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 per Segment" sheetId="1" r:id="rId5"/>
    <sheet state="visible" name="daily_rewards_old" sheetId="2" r:id="rId6"/>
    <sheet state="visible" name="daily_rewards_new" sheetId="3" r:id="rId7"/>
    <sheet state="visible" name="saga_progression_old" sheetId="4" r:id="rId8"/>
    <sheet state="visible" name="saga_progression_new" sheetId="5" r:id="rId9"/>
    <sheet state="visible" name="ns_old" sheetId="6" r:id="rId10"/>
    <sheet state="visible" name="ns_new" sheetId="7" r:id="rId11"/>
    <sheet state="visible" name="segmentation" sheetId="8" r:id="rId12"/>
    <sheet state="visible" name="data_processed" sheetId="9" r:id="rId13"/>
    <sheet state="visible" name="data_raw_seg_cp_pst" sheetId="10" r:id="rId14"/>
    <sheet state="visible" name="data_raw_segmentation_nonpay" sheetId="11" r:id="rId15"/>
    <sheet state="visible" name="data_raw_segmentation_payers" sheetId="12" r:id="rId16"/>
    <sheet state="visible" name="data_segment_HC_gains" sheetId="13" r:id="rId17"/>
    <sheet state="visible" name="data_raw_slopes" sheetId="14" r:id="rId18"/>
    <sheet state="visible" name="example" sheetId="15" r:id="rId19"/>
    <sheet state="visible" name="notes" sheetId="16" r:id="rId20"/>
    <sheet state="visible" name="Copy of (Current baseline) Sea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sharedStrings.xml><?xml version="1.0" encoding="utf-8"?>
<sst xmlns="http://schemas.openxmlformats.org/spreadsheetml/2006/main" count="4476" uniqueCount="340">
  <si>
    <t>NS Streak Increase Multiplier:</t>
  </si>
  <si>
    <t>Daily HC Gain</t>
  </si>
  <si>
    <t>Spend &amp; Net (data)</t>
  </si>
  <si>
    <t>P25</t>
  </si>
  <si>
    <t>P50</t>
  </si>
  <si>
    <t>P75</t>
  </si>
  <si>
    <t>P90</t>
  </si>
  <si>
    <t>Segment</t>
  </si>
  <si>
    <t>avg_attempts (data)</t>
  </si>
  <si>
    <t>avg_completes (data)</t>
  </si>
  <si>
    <t>current gain (data)</t>
  </si>
  <si>
    <t>saga old (data)</t>
  </si>
  <si>
    <t>dr old (data)</t>
  </si>
  <si>
    <t>gain w/o saga &amp; dr &amp; NS (data)</t>
  </si>
  <si>
    <t>saga new (sim)</t>
  </si>
  <si>
    <t>dr new (sim)</t>
  </si>
  <si>
    <t>P_completing_R1 (sim)</t>
  </si>
  <si>
    <t>P_completing_R2 (sim)</t>
  </si>
  <si>
    <t>P_completing_R3 (sim)</t>
  </si>
  <si>
    <t>NS new (sim)</t>
  </si>
  <si>
    <t>Total Sim Gain (calc)</t>
  </si>
  <si>
    <t>spend (data)</t>
  </si>
  <si>
    <t>net (data) (calc)</t>
  </si>
  <si>
    <t>streak (data)</t>
  </si>
  <si>
    <t>streak increase (sim)</t>
  </si>
  <si>
    <t>slope</t>
  </si>
  <si>
    <t>net (sim)</t>
  </si>
  <si>
    <t>net (sim) - with no hc spend change</t>
  </si>
  <si>
    <t>Cur Streak (data)</t>
  </si>
  <si>
    <t>Cur Gain (data)</t>
  </si>
  <si>
    <t>Cur Spend (data)</t>
  </si>
  <si>
    <t>Cur Net (data)</t>
  </si>
  <si>
    <t>Cur Saga (data)</t>
  </si>
  <si>
    <t>New Streak (sim)</t>
  </si>
  <si>
    <t>New Gain (sim)</t>
  </si>
  <si>
    <t>New Spend (sim)</t>
  </si>
  <si>
    <t>New Net (auto)</t>
  </si>
  <si>
    <t>New Saga (sim)</t>
  </si>
  <si>
    <t>diff Net</t>
  </si>
  <si>
    <t>diff Streak</t>
  </si>
  <si>
    <t>diff Saga</t>
  </si>
  <si>
    <t>diff Spend</t>
  </si>
  <si>
    <t>NONPAYER</t>
  </si>
  <si>
    <t>0-9</t>
  </si>
  <si>
    <t>10-19</t>
  </si>
  <si>
    <t>20-39</t>
  </si>
  <si>
    <t>40-99</t>
  </si>
  <si>
    <t>100+</t>
  </si>
  <si>
    <t>PAYERS</t>
  </si>
  <si>
    <t>chart data</t>
  </si>
  <si>
    <t>group</t>
  </si>
  <si>
    <t>current net</t>
  </si>
  <si>
    <t>net (sim) spend same</t>
  </si>
  <si>
    <t>0-9 (pau)</t>
  </si>
  <si>
    <t>10-19 (pau)</t>
  </si>
  <si>
    <t>20-39 (pau)</t>
  </si>
  <si>
    <t>40-99 (pau)</t>
  </si>
  <si>
    <t>100+ (pau)</t>
  </si>
  <si>
    <t>chart table</t>
  </si>
  <si>
    <t>different streak percentiles</t>
  </si>
  <si>
    <t>hc net (0-9)</t>
  </si>
  <si>
    <t>hc net (10-39)</t>
  </si>
  <si>
    <t>hc net (40+)</t>
  </si>
  <si>
    <t>p25_all</t>
  </si>
  <si>
    <t>p25_pau</t>
  </si>
  <si>
    <t>p50_all</t>
  </si>
  <si>
    <t>p50_pau</t>
  </si>
  <si>
    <t>p75_all</t>
  </si>
  <si>
    <t>p75_pau</t>
  </si>
  <si>
    <t>p90_all</t>
  </si>
  <si>
    <t>p90_pau</t>
  </si>
  <si>
    <t>Daily Rewards - OLD Config</t>
  </si>
  <si>
    <t>Day</t>
  </si>
  <si>
    <t>HC Reward</t>
  </si>
  <si>
    <t>👁</t>
  </si>
  <si>
    <t>Variant 1</t>
  </si>
  <si>
    <t>cur</t>
  </si>
  <si>
    <t>image</t>
  </si>
  <si>
    <t>Coin</t>
  </si>
  <si>
    <t>SPT</t>
  </si>
  <si>
    <t>Red</t>
  </si>
  <si>
    <t>Chuck</t>
  </si>
  <si>
    <t>Bomb</t>
  </si>
  <si>
    <t>Slingshot</t>
  </si>
  <si>
    <t>Shuffle</t>
  </si>
  <si>
    <t>Comet</t>
  </si>
  <si>
    <t>Unlimited Lives</t>
  </si>
  <si>
    <t>Unlimited Red</t>
  </si>
  <si>
    <t>Unlimited Chuck</t>
  </si>
  <si>
    <t>Unlimited Bomb</t>
  </si>
  <si>
    <t>Coins</t>
  </si>
  <si>
    <t>Total per cycle</t>
  </si>
  <si>
    <t>Avg HC/day (7d)</t>
  </si>
  <si>
    <t>Variant 2</t>
  </si>
  <si>
    <t>Variant 3</t>
  </si>
  <si>
    <t>Variant 4</t>
  </si>
  <si>
    <t>Variant 5</t>
  </si>
  <si>
    <t>Daily Rewards - NEW Config</t>
  </si>
  <si>
    <t>all segs</t>
  </si>
  <si>
    <t>% of old</t>
  </si>
  <si>
    <t>Saga Progression - OLD Config</t>
  </si>
  <si>
    <t>Node</t>
  </si>
  <si>
    <t>Levels Req</t>
  </si>
  <si>
    <t>Coin Val</t>
  </si>
  <si>
    <t>HC per level</t>
  </si>
  <si>
    <t>Saga Progression - NEW Config (5-segment scheme)</t>
  </si>
  <si>
    <t>Original</t>
  </si>
  <si>
    <t>Old Nerf</t>
  </si>
  <si>
    <t>% of not nerfed</t>
  </si>
  <si>
    <t>Night Sky - NEW Config (5-segs old) - (22.05 - 25.05)</t>
  </si>
  <si>
    <t>low tier increase (check updated current streaks), reward match (or more), see where to takeaway elsewhere</t>
  </si>
  <si>
    <t>see hc / $ for different streak segments</t>
  </si>
  <si>
    <t>Round</t>
  </si>
  <si>
    <t>Milestone</t>
  </si>
  <si>
    <t>Path</t>
  </si>
  <si>
    <t>Streak Req</t>
  </si>
  <si>
    <t>Cum Streak Req</t>
  </si>
  <si>
    <t>HC per streak</t>
  </si>
  <si>
    <t>Target Streak %</t>
  </si>
  <si>
    <t>Cur Streak (PAY)</t>
  </si>
  <si>
    <t>Cur Gain (PAY)</t>
  </si>
  <si>
    <t>Cur Spend (PAY)</t>
  </si>
  <si>
    <t>Cur Net (PAY)</t>
  </si>
  <si>
    <t>Cur Saga (PAY)</t>
  </si>
  <si>
    <t>New Streak (PAY)</t>
  </si>
  <si>
    <t>New Gain (PAY)</t>
  </si>
  <si>
    <t>New Spend (PAY)</t>
  </si>
  <si>
    <t>New Net (PAY)</t>
  </si>
  <si>
    <t>New Saga (PAY)</t>
  </si>
  <si>
    <t>diff Net (PAY)</t>
  </si>
  <si>
    <t>diff Streak (PAY)</t>
  </si>
  <si>
    <t>diff Saga (PAY)</t>
  </si>
  <si>
    <t>diff Spend (PAY)</t>
  </si>
  <si>
    <t>Cur Streak (NON)</t>
  </si>
  <si>
    <t>Cur Gain (NON)</t>
  </si>
  <si>
    <t>Cur Spend (NON)</t>
  </si>
  <si>
    <t>Cur Net (NON)</t>
  </si>
  <si>
    <t>Cur Saga (NON)</t>
  </si>
  <si>
    <t>New Streak (NON)</t>
  </si>
  <si>
    <t>New Gain (NON)</t>
  </si>
  <si>
    <t>New Spend (NON)</t>
  </si>
  <si>
    <t>New Net (NON)</t>
  </si>
  <si>
    <t>New Saga (NON)</t>
  </si>
  <si>
    <t>diff Net (NON)</t>
  </si>
  <si>
    <t>diff Streak (NON)</t>
  </si>
  <si>
    <t>diff Saga (NON)</t>
  </si>
  <si>
    <t>diff Spend (NON)</t>
  </si>
  <si>
    <t>Coin Value</t>
  </si>
  <si>
    <t>Final</t>
  </si>
  <si>
    <t>Night Sky - NEW Config (5-segment scheme)</t>
  </si>
  <si>
    <t>Previous Test</t>
  </si>
  <si>
    <t>diff ind</t>
  </si>
  <si>
    <t>diff cum</t>
  </si>
  <si>
    <t>segment</t>
  </si>
  <si>
    <t>player_days</t>
  </si>
  <si>
    <t>% of dau</t>
  </si>
  <si>
    <t>dau</t>
  </si>
  <si>
    <t>total_revenue</t>
  </si>
  <si>
    <t>% of revenue</t>
  </si>
  <si>
    <t>arpdau</t>
  </si>
  <si>
    <t>avg_streak</t>
  </si>
  <si>
    <t>median_streak</t>
  </si>
  <si>
    <t>p75_streak</t>
  </si>
  <si>
    <t>p90_streak</t>
  </si>
  <si>
    <t>bucket</t>
  </si>
  <si>
    <t>pct_of_player_days</t>
  </si>
  <si>
    <t>pct_of_dau</t>
  </si>
  <si>
    <t>unique_players</t>
  </si>
  <si>
    <t>pct_of_revenue</t>
  </si>
  <si>
    <t>payer_rate_pct</t>
  </si>
  <si>
    <t>avg_hc_spent_per_day</t>
  </si>
  <si>
    <t>hc_spent_per_attempt</t>
  </si>
  <si>
    <t>paid_pct_of_total_gain</t>
  </si>
  <si>
    <t>pass_rate</t>
  </si>
  <si>
    <t>p50_streak</t>
  </si>
  <si>
    <t>00. 0</t>
  </si>
  <si>
    <t>01. 1-9</t>
  </si>
  <si>
    <t>02. 10-19</t>
  </si>
  <si>
    <t>03. 20-29</t>
  </si>
  <si>
    <t>04. 30-39</t>
  </si>
  <si>
    <t>05. 40-49</t>
  </si>
  <si>
    <t>06. 50-59</t>
  </si>
  <si>
    <t>07. 60-69</t>
  </si>
  <si>
    <t>08. 70-79</t>
  </si>
  <si>
    <t>09. 80-89</t>
  </si>
  <si>
    <t>10. 90-99</t>
  </si>
  <si>
    <t>11. 100-109</t>
  </si>
  <si>
    <t>12. 110-119</t>
  </si>
  <si>
    <t>13. 120-129</t>
  </si>
  <si>
    <t>14. 130-139</t>
  </si>
  <si>
    <t>15. 140-149</t>
  </si>
  <si>
    <t>16. 150-159</t>
  </si>
  <si>
    <t>17. 160+</t>
  </si>
  <si>
    <t>is_payer</t>
  </si>
  <si>
    <t>source</t>
  </si>
  <si>
    <t>bucket_filter</t>
  </si>
  <si>
    <t>avg_attempts</t>
  </si>
  <si>
    <t>avg_completes</t>
  </si>
  <si>
    <t>hc_gain_total</t>
  </si>
  <si>
    <t>hc_gain_saga</t>
  </si>
  <si>
    <t>hc_gain_total_minus_saga</t>
  </si>
  <si>
    <t>hc_spent</t>
  </si>
  <si>
    <t>P_clear_R1</t>
  </si>
  <si>
    <t>P_clear_R2</t>
  </si>
  <si>
    <t>P_clear_R3</t>
  </si>
  <si>
    <t>p25_streak</t>
  </si>
  <si>
    <t>p25_slope</t>
  </si>
  <si>
    <t>p50_slope</t>
  </si>
  <si>
    <t>p75_slope</t>
  </si>
  <si>
    <t>p90_slope</t>
  </si>
  <si>
    <t>avg_hc_dr_gains</t>
  </si>
  <si>
    <t>% of days present</t>
  </si>
  <si>
    <t>nonpayer</t>
  </si>
  <si>
    <t>data_raw_segmentation_allpop</t>
  </si>
  <si>
    <t>B. 1-9</t>
  </si>
  <si>
    <t>C. 10-19</t>
  </si>
  <si>
    <t>D. 20-39</t>
  </si>
  <si>
    <t>E. 40-99</t>
  </si>
  <si>
    <t>F. 100+</t>
  </si>
  <si>
    <t>payer</t>
  </si>
  <si>
    <t>data_raw_segmentation_payers</t>
  </si>
  <si>
    <t>population</t>
  </si>
  <si>
    <t>event_date</t>
  </si>
  <si>
    <t>avg_completions_7d_bucket</t>
  </si>
  <si>
    <t>players</t>
  </si>
  <si>
    <t>arppu</t>
  </si>
  <si>
    <t>avg_time_spent_mins</t>
  </si>
  <si>
    <t>avg_level_attempts</t>
  </si>
  <si>
    <t>avg_level_completes</t>
  </si>
  <si>
    <t>oom_rate</t>
  </si>
  <si>
    <t>foom_rate</t>
  </si>
  <si>
    <t>avg_apc</t>
  </si>
  <si>
    <t>avg_hc_gain_total</t>
  </si>
  <si>
    <t>avg_hc_gain_total_minus_saga</t>
  </si>
  <si>
    <t>avg_hc_gain_saga</t>
  </si>
  <si>
    <t>avg_hc_gain_paid</t>
  </si>
  <si>
    <t>avg_hc_gain_free</t>
  </si>
  <si>
    <t>avg_hc_spent</t>
  </si>
  <si>
    <t>p50_hc_balance</t>
  </si>
  <si>
    <t>p75_hc_balance</t>
  </si>
  <si>
    <t>p90_hc_balance</t>
  </si>
  <si>
    <t>avg_player_performance</t>
  </si>
  <si>
    <t>avg_pr_last_50_levels</t>
  </si>
  <si>
    <t>avg_daily_streak</t>
  </si>
  <si>
    <t>p25_daily_streak</t>
  </si>
  <si>
    <t>p50_daily_streak</t>
  </si>
  <si>
    <t>p75_daily_streak</t>
  </si>
  <si>
    <t>p90_daily_streak</t>
  </si>
  <si>
    <t>pct_player_days_passed_R1</t>
  </si>
  <si>
    <t>pct_player_days_passed_R2</t>
  </si>
  <si>
    <t>pct_player_days_passed_R3</t>
  </si>
  <si>
    <t>d1_churn_rate</t>
  </si>
  <si>
    <t>avg_hc_gain_daily_gift</t>
  </si>
  <si>
    <t>avg_hc_gain_other</t>
  </si>
  <si>
    <t>avg_pct_online_days_7d</t>
  </si>
  <si>
    <t>estimated_daily_gift_hc_at_100pct</t>
  </si>
  <si>
    <t>Non-payer</t>
  </si>
  <si>
    <t>A. 0</t>
  </si>
  <si>
    <t>Payer</t>
  </si>
  <si>
    <t>percentile_band</t>
  </si>
  <si>
    <t>streak_value_at_band</t>
  </si>
  <si>
    <t>n_player_days</t>
  </si>
  <si>
    <t>p25</t>
  </si>
  <si>
    <t>p50</t>
  </si>
  <si>
    <t>p75</t>
  </si>
  <si>
    <t>p90</t>
  </si>
  <si>
    <t>payers only</t>
  </si>
  <si>
    <t>nonpayers only</t>
  </si>
  <si>
    <t>avg_spend_at_band</t>
  </si>
  <si>
    <t>slope_fallback</t>
  </si>
  <si>
    <t>sanity_check</t>
  </si>
  <si>
    <t>FALLBACK_USED</t>
  </si>
  <si>
    <t>OK</t>
  </si>
  <si>
    <t>Linear Regression Example (p50 example)</t>
  </si>
  <si>
    <t>row</t>
  </si>
  <si>
    <t>streak</t>
  </si>
  <si>
    <t>spend (HC)</t>
  </si>
  <si>
    <t>streak * spend</t>
  </si>
  <si>
    <t>streak²</t>
  </si>
  <si>
    <t>predicted HC spend</t>
  </si>
  <si>
    <t>trendline experiemnt</t>
  </si>
  <si>
    <t>number of player days</t>
  </si>
  <si>
    <t>sum of streaks</t>
  </si>
  <si>
    <t>sum of spend</t>
  </si>
  <si>
    <t>sum of streak * spend</t>
  </si>
  <si>
    <t>sum of streak²</t>
  </si>
  <si>
    <t>sum streaks / player days</t>
  </si>
  <si>
    <t>sum spend / player days</t>
  </si>
  <si>
    <t>numerator</t>
  </si>
  <si>
    <t>denominator</t>
  </si>
  <si>
    <t>Slope (b) = numerator / denominator</t>
  </si>
  <si>
    <t>Intercept (a)</t>
  </si>
  <si>
    <t>When working on this you have to update all data in the following order</t>
  </si>
  <si>
    <t>1. NS HC NET - SEGMENTATION Data</t>
  </si>
  <si>
    <t>https://redash.rovio.com/queries/62107/source</t>
  </si>
  <si>
    <t>2. NS HC NET - Slope Calculations</t>
  </si>
  <si>
    <t>https://redash.rovio.com/queries/62102/source</t>
  </si>
  <si>
    <t>3. NS HC NET - HC gains Temp</t>
  </si>
  <si>
    <t>https://redash.rovio.com/queries/62180</t>
  </si>
  <si>
    <t>Tier</t>
  </si>
  <si>
    <t>Incr real</t>
  </si>
  <si>
    <t>Cumul</t>
  </si>
  <si>
    <t>Avatar</t>
  </si>
  <si>
    <t>Value in coins</t>
  </si>
  <si>
    <t>Paid Timed Pre in coins</t>
  </si>
  <si>
    <t>Free Timed pre in coins</t>
  </si>
  <si>
    <t>Premium vs. free value</t>
  </si>
  <si>
    <t>Non-Spenders</t>
  </si>
  <si>
    <t>Spenders</t>
  </si>
  <si>
    <t xml:space="preserve">Premium pass Value in coins w/o UL </t>
  </si>
  <si>
    <t xml:space="preserve"> Free Value in coins (no UL)</t>
  </si>
  <si>
    <t>Paid value in coins (no UL)</t>
  </si>
  <si>
    <t>Cumulative total value in €</t>
  </si>
  <si>
    <t>SP Value in Coins</t>
  </si>
  <si>
    <t>Tokens required to complete SP</t>
  </si>
  <si>
    <t>SPT Value (coins)</t>
  </si>
  <si>
    <t>Coin value in $</t>
  </si>
  <si>
    <t xml:space="preserve">Variant A </t>
  </si>
  <si>
    <t>Paid</t>
  </si>
  <si>
    <t>Free</t>
  </si>
  <si>
    <t>Paid+Free</t>
  </si>
  <si>
    <t>Pre</t>
  </si>
  <si>
    <t>PUs</t>
  </si>
  <si>
    <t>Unlimited lives (mins)</t>
  </si>
  <si>
    <t>Unlimited Pre (mins)</t>
  </si>
  <si>
    <t>Total</t>
  </si>
  <si>
    <t>Excl UL</t>
  </si>
  <si>
    <t>NA</t>
  </si>
  <si>
    <t>In coins</t>
  </si>
  <si>
    <t>coin</t>
  </si>
  <si>
    <t>red</t>
  </si>
  <si>
    <t>chuck</t>
  </si>
  <si>
    <t>bomb</t>
  </si>
  <si>
    <t>slighshot</t>
  </si>
  <si>
    <t>shuffle</t>
  </si>
  <si>
    <t>shooting star</t>
  </si>
  <si>
    <t>UL</t>
  </si>
  <si>
    <t>UR</t>
  </si>
  <si>
    <t>UC</t>
  </si>
  <si>
    <t>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</si>
</sst>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0\x"/>
    <numFmt numFmtId="165" formatCode="0.0"/>
    <numFmt numFmtId="166" formatCode="0.0%"/>
    <numFmt numFmtId="167" formatCode="0.0000"/>
    <numFmt numFmtId="168" formatCode="yyyy-mm-dd"/>
    <numFmt numFmtId="169" formatCode="yyyy\-mm\-dd"/>
    <numFmt numFmtId="170" formatCode="&quot;$&quot;#,##0.0000"/>
    <numFmt numFmtId="171" formatCode="[$€]#,##0"/>
    <numFmt numFmtId="172" formatCode="&quot;€&quot;#,##0"/>
    <numFmt numFmtId="173" formatCode="&quot;$&quot;#,##0"/>
    <numFmt numFmtId="174" formatCode="&quot;€&quot;#,##0.0"/>
  </numFmts>
  <fonts count="38">
    <font>
      <sz val="11.0"/>
      <color theme="1"/>
      <name val="Calibri"/>
      <scheme val="minor"/>
    </font>
    <font>
      <sz val="11.0"/>
      <color theme="1"/>
      <name val="Arial"/>
    </font>
    <font>
      <b/>
      <sz val="10.0"/>
      <color rgb="FF000000"/>
      <name val="Arial"/>
    </font>
    <font>
      <color theme="1"/>
      <name val="Arial"/>
    </font>
    <font>
      <b/>
      <sz val="10.0"/>
      <color rgb="FFFFFFFF"/>
      <name val="Arial"/>
    </font>
    <font/>
    <font>
      <b/>
      <sz val="11.0"/>
      <color rgb="FFFFFFFF"/>
      <name val="Arial"/>
    </font>
    <font>
      <b/>
      <sz val="10.0"/>
      <color theme="1"/>
      <name val="Arial"/>
    </font>
    <font>
      <b/>
      <sz val="12.0"/>
      <color rgb="FFFFFFFF"/>
      <name val="Arial"/>
    </font>
    <font>
      <sz val="10.0"/>
      <color theme="1"/>
      <name val="Arial"/>
    </font>
    <font>
      <sz val="10.0"/>
      <color rgb="FF000000"/>
      <name val="Arial"/>
    </font>
    <font>
      <sz val="10.0"/>
      <color rgb="FFFF0000"/>
      <name val="Arial"/>
    </font>
    <font>
      <b/>
      <i/>
      <sz val="10.0"/>
      <color theme="1"/>
      <name val="Arial"/>
    </font>
    <font>
      <b/>
      <sz val="14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>
      <b/>
      <sz val="11.0"/>
      <color theme="1"/>
      <name val="Arial"/>
    </font>
    <font>
      <sz val="11.0"/>
      <color rgb="FFBFBFBF"/>
      <name val="Arial"/>
    </font>
    <font>
      <sz val="11.0"/>
      <color rgb="FF000000"/>
      <name val="Calibri"/>
    </font>
    <font>
      <i/>
      <sz val="9.0"/>
      <color rgb="FF666666"/>
      <name val="Arial"/>
    </font>
    <font>
      <sz val="11.0"/>
      <color rgb="FFFF0000"/>
      <name val="Arial"/>
    </font>
    <font>
      <sz val="11.0"/>
      <color rgb="FF000000"/>
      <name val="Arial"/>
    </font>
    <font>
      <color theme="1"/>
      <name val="Calibri"/>
      <scheme val="minor"/>
    </font>
    <font>
      <b/>
      <sz val="11.0"/>
      <color rgb="FFFF0000"/>
      <name val="Arial"/>
    </font>
    <font>
      <b/>
      <sz val="11.0"/>
      <color rgb="FFFF0000"/>
      <name val="Calibri"/>
    </font>
    <font>
      <sz val="11.0"/>
      <color rgb="FFFF0000"/>
      <name val="Cambria"/>
    </font>
    <font>
      <b/>
      <color theme="1"/>
      <name val="Arial"/>
    </font>
    <font>
      <color rgb="FFFF0000"/>
      <name val="Arial"/>
    </font>
    <font>
      <b/>
      <color rgb="FFFFFFFF"/>
      <name val="Arial"/>
    </font>
    <font>
      <sz val="11.0"/>
      <color theme="1"/>
      <name val="Cambria"/>
    </font>
    <font>
      <i/>
      <sz val="10.0"/>
      <color theme="1"/>
      <name val="Arial"/>
    </font>
    <font>
      <b/>
      <sz val="11.0"/>
      <color theme="1"/>
      <name val="Calibri"/>
    </font>
    <font>
      <b/>
      <sz val="11.0"/>
      <color rgb="FF000000"/>
      <name val="Calibri"/>
    </font>
    <font>
      <b/>
      <color theme="1"/>
      <name val="Calibri"/>
      <scheme val="minor"/>
    </font>
    <font>
      <sz val="11.0"/>
      <color rgb="FF0000FF"/>
      <name val="Arial"/>
    </font>
    <font>
      <b/>
      <sz val="12.0"/>
      <color rgb="FF1F4E78"/>
      <name val="Arial"/>
    </font>
    <font>
      <u/>
      <color rgb="FF0000FF"/>
    </font>
    <font>
      <sz val="10.0"/>
      <color theme="1"/>
      <name val="Calibri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4E78"/>
        <bgColor rgb="FF1F4E78"/>
      </patternFill>
    </fill>
    <fill>
      <patternFill patternType="solid">
        <fgColor rgb="FF9FC5E8"/>
        <bgColor rgb="FF9FC5E8"/>
      </patternFill>
    </fill>
    <fill>
      <patternFill patternType="solid">
        <fgColor rgb="FFA9D08E"/>
        <bgColor rgb="FFA9D08E"/>
      </patternFill>
    </fill>
    <fill>
      <patternFill patternType="solid">
        <fgColor rgb="FFFFD966"/>
        <bgColor rgb="FFFFD966"/>
      </patternFill>
    </fill>
    <fill>
      <patternFill patternType="solid">
        <fgColor rgb="FF305496"/>
        <bgColor rgb="FF305496"/>
      </patternFill>
    </fill>
    <fill>
      <patternFill patternType="solid">
        <fgColor rgb="FFCFE2F3"/>
        <bgColor rgb="FFCFE2F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4472C4"/>
        <bgColor rgb="FF4472C4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2B58A9"/>
        <bgColor rgb="FF2B58A9"/>
      </patternFill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  <fill>
      <patternFill patternType="solid">
        <fgColor rgb="FF4DD0E1"/>
        <bgColor rgb="FF4DD0E1"/>
      </patternFill>
    </fill>
    <fill>
      <patternFill patternType="solid">
        <fgColor rgb="FFF1C232"/>
        <bgColor rgb="FFF1C232"/>
      </patternFill>
    </fill>
    <fill>
      <patternFill patternType="solid">
        <fgColor rgb="FFB7E1CD"/>
        <bgColor rgb="FFB7E1CD"/>
      </patternFill>
    </fill>
    <fill>
      <patternFill patternType="solid">
        <fgColor rgb="FFA2E8F1"/>
        <bgColor rgb="FFA2E8F1"/>
      </patternFill>
    </fill>
    <fill>
      <patternFill patternType="solid">
        <fgColor rgb="FFE0F7FA"/>
        <bgColor rgb="FFE0F7FA"/>
      </patternFill>
    </fill>
    <fill>
      <patternFill patternType="solid">
        <fgColor rgb="FF000000"/>
        <bgColor rgb="FF000000"/>
      </patternFill>
    </fill>
  </fills>
  <borders count="6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000000"/>
      </right>
    </border>
    <border>
      <left/>
      <right/>
      <top/>
      <bottom/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 style="thin">
        <color rgb="FF000000"/>
      </left>
      <right/>
      <top style="thin">
        <color rgb="FFBFBFBF"/>
      </top>
      <bottom style="thin">
        <color rgb="FFBFBFBF"/>
      </bottom>
    </border>
    <border>
      <left/>
      <top style="thin">
        <color rgb="FFBFBFBF"/>
      </top>
      <bottom style="thin">
        <color rgb="FFBFBFBF"/>
      </bottom>
    </border>
    <border>
      <left/>
      <right style="thin">
        <color rgb="FF000000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</border>
    <border>
      <left style="dotted">
        <color rgb="FF000000"/>
      </left>
      <right style="dotted">
        <color rgb="FF000000"/>
      </right>
      <top style="dotted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dotted">
        <color rgb="FF000000"/>
      </left>
      <right style="dotted">
        <color rgb="FF000000"/>
      </right>
      <top/>
      <bottom/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 style="thick">
        <color rgb="FF000000"/>
      </left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6AA84F"/>
      </left>
      <top style="thin">
        <color rgb="FF6AA84F"/>
      </top>
    </border>
    <border>
      <top style="thin">
        <color rgb="FF6AA84F"/>
      </top>
    </border>
    <border>
      <right style="thin">
        <color rgb="FF6AA84F"/>
      </right>
      <top style="thin">
        <color rgb="FF6AA84F"/>
      </top>
    </border>
    <border>
      <left style="thin">
        <color rgb="FF6AA84F"/>
      </left>
    </border>
    <border>
      <right style="thin">
        <color rgb="FF6AA84F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6AA84F"/>
      </left>
      <top style="thin">
        <color rgb="FF000000"/>
      </top>
    </border>
    <border>
      <right style="thin">
        <color rgb="FF6AA84F"/>
      </right>
      <top style="thin">
        <color rgb="FF000000"/>
      </top>
    </border>
    <border>
      <left style="thin">
        <color rgb="FF6AA84F"/>
      </left>
      <bottom style="thin">
        <color rgb="FF6AA84F"/>
      </bottom>
    </border>
    <border>
      <bottom style="thin">
        <color rgb="FF6AA84F"/>
      </bottom>
    </border>
    <border>
      <right style="thin">
        <color rgb="FF6AA84F"/>
      </right>
      <bottom style="thin">
        <color rgb="FF6AA84F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4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Font="1"/>
    <xf borderId="1" fillId="0" fontId="2" numFmtId="0" xfId="0" applyAlignment="1" applyBorder="1" applyFont="1">
      <alignment shrinkToFit="0" vertical="bottom" wrapText="0"/>
    </xf>
    <xf borderId="1" fillId="2" fontId="2" numFmtId="164" xfId="0" applyAlignment="1" applyBorder="1" applyFill="1" applyFont="1" applyNumberFormat="1">
      <alignment readingOrder="0" shrinkToFit="0" vertical="bottom" wrapText="0"/>
    </xf>
    <xf borderId="2" fillId="3" fontId="4" numFmtId="0" xfId="0" applyAlignment="1" applyBorder="1" applyFill="1" applyFont="1">
      <alignment horizontal="center" shrinkToFit="0" vertical="center" wrapText="0"/>
    </xf>
    <xf borderId="3" fillId="0" fontId="5" numFmtId="0" xfId="0" applyBorder="1" applyFont="1"/>
    <xf borderId="4" fillId="0" fontId="5" numFmtId="0" xfId="0" applyBorder="1" applyFont="1"/>
    <xf borderId="2" fillId="3" fontId="6" numFmtId="0" xfId="0" applyAlignment="1" applyBorder="1" applyFont="1">
      <alignment horizontal="center" shrinkToFit="0" vertical="bottom" wrapText="0"/>
    </xf>
    <xf borderId="5" fillId="3" fontId="6" numFmtId="0" xfId="0" applyAlignment="1" applyBorder="1" applyFont="1">
      <alignment horizontal="center" shrinkToFit="0" vertical="bottom" wrapText="0"/>
    </xf>
    <xf borderId="6" fillId="0" fontId="5" numFmtId="0" xfId="0" applyBorder="1" applyFont="1"/>
    <xf borderId="7" fillId="0" fontId="5" numFmtId="0" xfId="0" applyBorder="1" applyFont="1"/>
    <xf borderId="0" fillId="0" fontId="1" numFmtId="0" xfId="0" applyAlignment="1" applyFont="1">
      <alignment shrinkToFit="0" vertical="bottom" wrapText="1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bottom" wrapText="1"/>
    </xf>
    <xf borderId="1" fillId="5" fontId="7" numFmtId="0" xfId="0" applyAlignment="1" applyBorder="1" applyFill="1" applyFont="1">
      <alignment horizontal="center" shrinkToFit="0" vertical="bottom" wrapText="1"/>
    </xf>
    <xf borderId="12" fillId="5" fontId="7" numFmtId="0" xfId="0" applyAlignment="1" applyBorder="1" applyFont="1">
      <alignment horizontal="center" shrinkToFit="0" vertical="bottom" wrapText="1"/>
    </xf>
    <xf borderId="1" fillId="6" fontId="7" numFmtId="0" xfId="0" applyAlignment="1" applyBorder="1" applyFill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shrinkToFit="0" vertical="center" wrapText="1"/>
    </xf>
    <xf borderId="12" fillId="4" fontId="7" numFmtId="0" xfId="0" applyAlignment="1" applyBorder="1" applyFont="1">
      <alignment horizontal="center" shrinkToFit="0" vertical="bottom" wrapText="1"/>
    </xf>
    <xf borderId="12" fillId="6" fontId="7" numFmtId="0" xfId="0" applyAlignment="1" applyBorder="1" applyFont="1">
      <alignment horizontal="center" readingOrder="0" shrinkToFit="0" vertical="bottom" wrapText="1"/>
    </xf>
    <xf borderId="13" fillId="7" fontId="8" numFmtId="0" xfId="0" applyAlignment="1" applyBorder="1" applyFill="1" applyFont="1">
      <alignment horizontal="center" shrinkToFit="0" vertical="center" wrapText="0"/>
    </xf>
    <xf borderId="14" fillId="3" fontId="4" numFmtId="0" xfId="0" applyAlignment="1" applyBorder="1" applyFont="1">
      <alignment horizontal="center" shrinkToFit="0" vertical="center" wrapText="0"/>
    </xf>
    <xf borderId="15" fillId="3" fontId="4" numFmtId="0" xfId="0" applyAlignment="1" applyBorder="1" applyFont="1">
      <alignment horizontal="center" shrinkToFit="0" vertical="center" wrapText="0"/>
    </xf>
    <xf borderId="16" fillId="3" fontId="4" numFmtId="0" xfId="0" applyAlignment="1" applyBorder="1" applyFont="1">
      <alignment horizontal="center" shrinkToFit="0" vertical="center" wrapText="0"/>
    </xf>
    <xf borderId="17" fillId="3" fontId="4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shrinkToFit="0" vertical="bottom" wrapText="0"/>
    </xf>
    <xf borderId="1" fillId="0" fontId="2" numFmtId="0" xfId="0" applyAlignment="1" applyBorder="1" applyFont="1">
      <alignment horizontal="left" shrinkToFit="0" vertical="center" wrapText="0"/>
    </xf>
    <xf borderId="1" fillId="8" fontId="10" numFmtId="2" xfId="0" applyAlignment="1" applyBorder="1" applyFill="1" applyFont="1" applyNumberFormat="1">
      <alignment shrinkToFit="0" vertical="bottom" wrapText="0"/>
    </xf>
    <xf borderId="13" fillId="8" fontId="10" numFmtId="2" xfId="0" applyAlignment="1" applyBorder="1" applyFont="1" applyNumberFormat="1">
      <alignment shrinkToFit="0" vertical="bottom" wrapText="0"/>
    </xf>
    <xf borderId="8" fillId="8" fontId="10" numFmtId="2" xfId="0" applyAlignment="1" applyBorder="1" applyFont="1" applyNumberFormat="1">
      <alignment shrinkToFit="0" vertical="bottom" wrapText="0"/>
    </xf>
    <xf borderId="2" fillId="8" fontId="10" numFmtId="2" xfId="0" applyAlignment="1" applyBorder="1" applyFont="1" applyNumberFormat="1">
      <alignment shrinkToFit="0" vertical="bottom" wrapText="0"/>
    </xf>
    <xf borderId="9" fillId="8" fontId="10" numFmtId="2" xfId="0" applyAlignment="1" applyBorder="1" applyFont="1" applyNumberFormat="1">
      <alignment shrinkToFit="0" vertical="bottom" wrapText="0"/>
    </xf>
    <xf borderId="18" fillId="9" fontId="10" numFmtId="2" xfId="0" applyAlignment="1" applyBorder="1" applyFill="1" applyFont="1" applyNumberFormat="1">
      <alignment shrinkToFit="0" vertical="bottom" wrapText="0"/>
    </xf>
    <xf borderId="1" fillId="4" fontId="10" numFmtId="2" xfId="0" applyAlignment="1" applyBorder="1" applyFont="1" applyNumberFormat="1">
      <alignment shrinkToFit="0" vertical="bottom" wrapText="0"/>
    </xf>
    <xf borderId="9" fillId="9" fontId="10" numFmtId="2" xfId="0" applyAlignment="1" applyBorder="1" applyFont="1" applyNumberFormat="1">
      <alignment shrinkToFit="0" vertical="bottom" wrapText="0"/>
    </xf>
    <xf borderId="0" fillId="0" fontId="9" numFmtId="2" xfId="0" applyAlignment="1" applyFont="1" applyNumberFormat="1">
      <alignment shrinkToFit="0" vertical="bottom" wrapText="0"/>
    </xf>
    <xf borderId="12" fillId="8" fontId="10" numFmtId="2" xfId="0" applyAlignment="1" applyBorder="1" applyFont="1" applyNumberFormat="1">
      <alignment shrinkToFit="0" vertical="bottom" wrapText="0"/>
    </xf>
    <xf borderId="12" fillId="9" fontId="10" numFmtId="2" xfId="0" applyAlignment="1" applyBorder="1" applyFont="1" applyNumberFormat="1">
      <alignment horizontal="center" shrinkToFit="0" vertical="bottom" wrapText="0"/>
    </xf>
    <xf borderId="9" fillId="10" fontId="10" numFmtId="2" xfId="0" applyAlignment="1" applyBorder="1" applyFill="1" applyFont="1" applyNumberFormat="1">
      <alignment shrinkToFit="0" vertical="bottom" wrapText="0"/>
    </xf>
    <xf borderId="12" fillId="9" fontId="10" numFmtId="2" xfId="0" applyAlignment="1" applyBorder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1" fillId="8" fontId="9" numFmtId="0" xfId="0" applyAlignment="1" applyBorder="1" applyFont="1">
      <alignment horizontal="right" shrinkToFit="0" vertical="bottom" wrapText="0"/>
    </xf>
    <xf borderId="1" fillId="9" fontId="9" numFmtId="1" xfId="0" applyAlignment="1" applyBorder="1" applyFont="1" applyNumberFormat="1">
      <alignment horizontal="right" shrinkToFit="0" vertical="bottom" wrapText="0"/>
    </xf>
    <xf borderId="12" fillId="9" fontId="9" numFmtId="1" xfId="0" applyAlignment="1" applyBorder="1" applyFont="1" applyNumberFormat="1">
      <alignment horizontal="right" shrinkToFit="0" vertical="bottom" wrapText="0"/>
    </xf>
    <xf borderId="1" fillId="11" fontId="9" numFmtId="1" xfId="0" applyAlignment="1" applyBorder="1" applyFill="1" applyFont="1" applyNumberFormat="1">
      <alignment horizontal="right" shrinkToFit="0" vertical="bottom" wrapText="0"/>
    </xf>
    <xf borderId="1" fillId="0" fontId="9" numFmtId="0" xfId="0" applyAlignment="1" applyBorder="1" applyFont="1">
      <alignment shrinkToFit="0" vertical="bottom" wrapText="0"/>
    </xf>
    <xf borderId="12" fillId="8" fontId="9" numFmtId="0" xfId="0" applyAlignment="1" applyBorder="1" applyFont="1">
      <alignment horizontal="right" shrinkToFit="0" vertical="bottom" wrapText="0"/>
    </xf>
    <xf borderId="1" fillId="9" fontId="9" numFmtId="165" xfId="0" applyAlignment="1" applyBorder="1" applyFont="1" applyNumberFormat="1">
      <alignment horizontal="right" shrinkToFit="0" vertical="bottom" wrapText="0"/>
    </xf>
    <xf borderId="12" fillId="9" fontId="9" numFmtId="165" xfId="0" applyAlignment="1" applyBorder="1" applyFont="1" applyNumberFormat="1">
      <alignment horizontal="right" shrinkToFit="0" vertical="bottom" wrapText="0"/>
    </xf>
    <xf borderId="1" fillId="11" fontId="9" numFmtId="165" xfId="0" applyAlignment="1" applyBorder="1" applyFont="1" applyNumberFormat="1">
      <alignment horizontal="right" shrinkToFit="0" vertical="bottom" wrapText="0"/>
    </xf>
    <xf borderId="12" fillId="11" fontId="9" numFmtId="165" xfId="0" applyAlignment="1" applyBorder="1" applyFont="1" applyNumberFormat="1">
      <alignment horizontal="right" shrinkToFit="0" vertical="bottom" wrapText="0"/>
    </xf>
    <xf borderId="0" fillId="0" fontId="2" numFmtId="0" xfId="0" applyAlignment="1" applyFont="1">
      <alignment horizontal="left" shrinkToFit="0" vertical="center" wrapText="0"/>
    </xf>
    <xf borderId="2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165" xfId="0" applyAlignment="1" applyBorder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1" fillId="7" fontId="8" numFmtId="0" xfId="0" applyAlignment="1" applyBorder="1" applyFont="1">
      <alignment horizontal="center" shrinkToFit="0" vertical="center" wrapText="0"/>
    </xf>
    <xf borderId="1" fillId="4" fontId="11" numFmtId="2" xfId="0" applyAlignment="1" applyBorder="1" applyFont="1" applyNumberFormat="1">
      <alignment shrinkToFit="0" vertical="bottom" wrapText="0"/>
    </xf>
    <xf borderId="1" fillId="0" fontId="12" numFmtId="0" xfId="0" applyAlignment="1" applyBorder="1" applyFont="1">
      <alignment horizontal="center" shrinkToFit="0" vertical="bottom" wrapText="0"/>
    </xf>
    <xf borderId="1" fillId="12" fontId="7" numFmtId="0" xfId="0" applyAlignment="1" applyBorder="1" applyFill="1" applyFont="1">
      <alignment horizontal="center" shrinkToFit="0" vertical="bottom" wrapText="0"/>
    </xf>
    <xf borderId="12" fillId="12" fontId="7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left" shrinkToFit="0" vertical="bottom" wrapText="0"/>
    </xf>
    <xf borderId="12" fillId="12" fontId="10" numFmtId="2" xfId="0" applyAlignment="1" applyBorder="1" applyFont="1" applyNumberForma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right" shrinkToFit="0" vertical="bottom" wrapText="0"/>
    </xf>
    <xf borderId="12" fillId="12" fontId="1" numFmtId="4" xfId="0" applyAlignment="1" applyBorder="1" applyFont="1" applyNumberFormat="1">
      <alignment horizontal="center"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19" fillId="13" fontId="6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center" readingOrder="0" shrinkToFit="0" vertical="bottom" wrapText="1"/>
    </xf>
    <xf borderId="0" fillId="13" fontId="8" numFmtId="0" xfId="0" applyAlignment="1" applyFont="1">
      <alignment horizontal="left" readingOrder="0" shrinkToFit="0" wrapText="0"/>
    </xf>
    <xf borderId="0" fillId="13" fontId="15" numFmtId="0" xfId="0" applyAlignment="1" applyFont="1">
      <alignment horizontal="left" shrinkToFit="0" wrapText="0"/>
    </xf>
    <xf borderId="20" fillId="0" fontId="9" numFmtId="0" xfId="0" applyAlignment="1" applyBorder="1" applyFont="1">
      <alignment horizontal="center" shrinkToFit="0" vertical="center" wrapText="1"/>
    </xf>
    <xf borderId="19" fillId="14" fontId="10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shrinkToFit="0" vertical="bottom" wrapText="0"/>
    </xf>
    <xf borderId="1" fillId="8" fontId="16" numFmtId="0" xfId="0" applyAlignment="1" applyBorder="1" applyFont="1">
      <alignment horizontal="center" readingOrder="0" shrinkToFit="0" wrapText="0"/>
    </xf>
    <xf borderId="1" fillId="8" fontId="16" numFmtId="0" xfId="0" applyAlignment="1" applyBorder="1" applyFont="1">
      <alignment horizontal="center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21" fillId="0" fontId="9" numFmtId="0" xfId="0" applyAlignment="1" applyBorder="1" applyFont="1">
      <alignment horizontal="center" shrinkToFit="0" vertical="center" wrapText="1"/>
    </xf>
    <xf borderId="22" fillId="14" fontId="10" numFmtId="0" xfId="0" applyAlignment="1" applyBorder="1" applyFont="1">
      <alignment horizontal="center" shrinkToFit="0" vertical="center" wrapText="1"/>
    </xf>
    <xf borderId="1" fillId="12" fontId="16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7" numFmtId="0" xfId="0" applyAlignment="1" applyBorder="1" applyFont="1">
      <alignment horizontal="center" readingOrder="0" shrinkToFit="0" vertical="bottom" wrapText="0"/>
    </xf>
    <xf borderId="23" fillId="0" fontId="9" numFmtId="0" xfId="0" applyAlignment="1" applyBorder="1" applyFont="1">
      <alignment horizontal="center" shrinkToFit="0" vertical="center" wrapText="1"/>
    </xf>
    <xf borderId="24" fillId="14" fontId="10" numFmtId="0" xfId="0" applyAlignment="1" applyBorder="1" applyFont="1">
      <alignment horizontal="center" shrinkToFit="0" vertical="center" wrapText="1"/>
    </xf>
    <xf borderId="25" fillId="0" fontId="7" numFmtId="0" xfId="0" applyAlignment="1" applyBorder="1" applyFont="1">
      <alignment horizontal="center" shrinkToFit="0" vertical="center" wrapText="1"/>
    </xf>
    <xf borderId="25" fillId="0" fontId="10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shrinkToFit="0" vertical="bottom" wrapText="0"/>
    </xf>
    <xf borderId="25" fillId="0" fontId="10" numFmtId="2" xfId="0" applyAlignment="1" applyBorder="1" applyFont="1" applyNumberFormat="1">
      <alignment horizontal="center" shrinkToFit="0" vertical="center" wrapText="1"/>
    </xf>
    <xf borderId="0" fillId="0" fontId="19" numFmtId="0" xfId="0" applyAlignment="1" applyFont="1">
      <alignment shrinkToFit="0" vertical="bottom" wrapText="0"/>
    </xf>
    <xf borderId="26" fillId="0" fontId="9" numFmtId="0" xfId="0" applyAlignment="1" applyBorder="1" applyFont="1">
      <alignment horizontal="center" shrinkToFit="0" vertical="center" wrapText="1"/>
    </xf>
    <xf borderId="19" fillId="12" fontId="11" numFmtId="0" xfId="0" applyAlignment="1" applyBorder="1" applyFont="1">
      <alignment horizontal="center" shrinkToFit="0" vertical="center" wrapText="1"/>
    </xf>
    <xf borderId="27" fillId="0" fontId="9" numFmtId="0" xfId="0" applyAlignment="1" applyBorder="1" applyFont="1">
      <alignment horizontal="center" shrinkToFit="0" vertical="center" wrapText="1"/>
    </xf>
    <xf borderId="22" fillId="12" fontId="10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horizontal="center" readingOrder="0" shrinkToFit="0" vertical="bottom" wrapText="0"/>
    </xf>
    <xf borderId="22" fillId="12" fontId="11" numFmtId="0" xfId="0" applyAlignment="1" applyBorder="1" applyFont="1">
      <alignment horizontal="center" shrinkToFit="0" vertical="center" wrapText="1"/>
    </xf>
    <xf borderId="28" fillId="0" fontId="9" numFmtId="0" xfId="0" applyAlignment="1" applyBorder="1" applyFont="1">
      <alignment horizontal="center" shrinkToFit="0" vertical="center" wrapText="1"/>
    </xf>
    <xf borderId="24" fillId="12" fontId="10" numFmtId="0" xfId="0" applyAlignment="1" applyBorder="1" applyFont="1">
      <alignment horizontal="center" shrinkToFit="0" vertical="center" wrapText="1"/>
    </xf>
    <xf borderId="25" fillId="0" fontId="10" numFmtId="166" xfId="0" applyAlignment="1" applyBorder="1" applyFont="1" applyNumberFormat="1">
      <alignment horizontal="center" shrinkToFit="0" vertical="center" wrapText="1"/>
    </xf>
    <xf borderId="26" fillId="13" fontId="6" numFmtId="0" xfId="0" applyAlignment="1" applyBorder="1" applyFont="1">
      <alignment horizontal="center" readingOrder="0" shrinkToFit="0" wrapText="1"/>
    </xf>
    <xf borderId="25" fillId="13" fontId="6" numFmtId="0" xfId="0" applyAlignment="1" applyBorder="1" applyFont="1">
      <alignment horizontal="center" readingOrder="0" shrinkToFit="0" wrapText="1"/>
    </xf>
    <xf borderId="26" fillId="13" fontId="6" numFmtId="0" xfId="0" applyAlignment="1" applyBorder="1" applyFont="1">
      <alignment horizontal="center" shrinkToFit="0" wrapText="1"/>
    </xf>
    <xf borderId="29" fillId="14" fontId="10" numFmtId="0" xfId="0" applyAlignment="1" applyBorder="1" applyFont="1">
      <alignment horizontal="center" shrinkToFit="0" vertical="center" wrapText="1"/>
    </xf>
    <xf borderId="30" fillId="14" fontId="10" numFmtId="0" xfId="0" applyAlignment="1" applyBorder="1" applyFont="1">
      <alignment horizontal="center" shrinkToFit="0" vertical="center" wrapText="1"/>
    </xf>
    <xf borderId="20" fillId="11" fontId="21" numFmtId="0" xfId="0" applyAlignment="1" applyBorder="1" applyFont="1">
      <alignment horizontal="center" readingOrder="0" shrinkToFit="0" vertical="bottom" wrapText="1"/>
    </xf>
    <xf borderId="31" fillId="11" fontId="21" numFmtId="0" xfId="0" applyAlignment="1" applyBorder="1" applyFont="1">
      <alignment horizontal="center" readingOrder="0" shrinkToFit="0" vertical="bottom" wrapText="1"/>
    </xf>
    <xf borderId="0" fillId="11" fontId="21" numFmtId="0" xfId="0" applyAlignment="1" applyFont="1">
      <alignment horizontal="center" readingOrder="0" shrinkToFit="0" vertical="bottom" wrapText="1"/>
    </xf>
    <xf borderId="32" fillId="11" fontId="21" numFmtId="0" xfId="0" applyAlignment="1" applyBorder="1" applyFont="1">
      <alignment horizontal="center" readingOrder="0" shrinkToFit="0" vertical="bottom" wrapText="1"/>
    </xf>
    <xf borderId="0" fillId="15" fontId="14" numFmtId="0" xfId="0" applyAlignment="1" applyFill="1" applyFont="1">
      <alignment horizontal="center" shrinkToFit="0" vertical="bottom" wrapText="0"/>
    </xf>
    <xf borderId="0" fillId="0" fontId="22" numFmtId="0" xfId="0" applyAlignment="1" applyFont="1">
      <alignment horizontal="right" readingOrder="0"/>
    </xf>
    <xf borderId="12" fillId="14" fontId="10" numFmtId="0" xfId="0" applyAlignment="1" applyBorder="1" applyFont="1">
      <alignment horizontal="center" shrinkToFit="0" vertical="center" wrapText="1"/>
    </xf>
    <xf borderId="33" fillId="14" fontId="10" numFmtId="0" xfId="0" applyAlignment="1" applyBorder="1" applyFont="1">
      <alignment horizontal="center" shrinkToFit="0" vertical="center" wrapText="1"/>
    </xf>
    <xf borderId="21" fillId="11" fontId="21" numFmtId="0" xfId="0" applyAlignment="1" applyBorder="1" applyFont="1">
      <alignment horizontal="center" readingOrder="0" shrinkToFit="0" vertical="bottom" wrapText="1"/>
    </xf>
    <xf borderId="11" fillId="11" fontId="21" numFmtId="0" xfId="0" applyAlignment="1" applyBorder="1" applyFont="1">
      <alignment horizontal="center" readingOrder="0" shrinkToFit="0" vertical="bottom" wrapText="1"/>
    </xf>
    <xf borderId="34" fillId="14" fontId="10" numFmtId="0" xfId="0" applyAlignment="1" applyBorder="1" applyFont="1">
      <alignment horizontal="center" shrinkToFit="0" vertical="center" wrapText="1"/>
    </xf>
    <xf borderId="35" fillId="14" fontId="10" numFmtId="0" xfId="0" applyAlignment="1" applyBorder="1" applyFont="1">
      <alignment horizontal="center" shrinkToFit="0" vertical="center" wrapText="1"/>
    </xf>
    <xf borderId="23" fillId="11" fontId="21" numFmtId="0" xfId="0" applyAlignment="1" applyBorder="1" applyFont="1">
      <alignment horizontal="center" readingOrder="0" shrinkToFit="0" vertical="bottom" wrapText="1"/>
    </xf>
    <xf borderId="36" fillId="11" fontId="21" numFmtId="0" xfId="0" applyAlignment="1" applyBorder="1" applyFont="1">
      <alignment horizontal="center" readingOrder="0" shrinkToFit="0" vertical="bottom" wrapText="1"/>
    </xf>
    <xf borderId="37" fillId="11" fontId="21" numFmtId="0" xfId="0" applyAlignment="1" applyBorder="1" applyFont="1">
      <alignment horizontal="center" readingOrder="0" shrinkToFit="0" vertical="bottom" wrapText="1"/>
    </xf>
    <xf borderId="0" fillId="0" fontId="13" numFmtId="0" xfId="0" applyAlignment="1" applyFont="1">
      <alignment readingOrder="0" shrinkToFit="0" vertical="bottom" wrapText="0"/>
    </xf>
    <xf borderId="1" fillId="16" fontId="2" numFmtId="0" xfId="0" applyAlignment="1" applyBorder="1" applyFill="1" applyFont="1">
      <alignment horizontal="center" shrinkToFit="0" vertical="bottom" wrapText="0"/>
    </xf>
    <xf borderId="0" fillId="0" fontId="14" numFmtId="0" xfId="0" applyAlignment="1" applyFont="1">
      <alignment shrinkToFit="0" vertical="bottom" wrapText="1"/>
    </xf>
    <xf borderId="25" fillId="17" fontId="6" numFmtId="0" xfId="0" applyAlignment="1" applyBorder="1" applyFill="1" applyFont="1">
      <alignment horizontal="center" shrinkToFit="0" vertical="center" wrapText="1"/>
    </xf>
    <xf borderId="25" fillId="13" fontId="6" numFmtId="0" xfId="0" applyAlignment="1" applyBorder="1" applyFont="1">
      <alignment horizontal="center" shrinkToFit="0" wrapText="1"/>
    </xf>
    <xf borderId="29" fillId="11" fontId="10" numFmtId="0" xfId="0" applyAlignment="1" applyBorder="1" applyFont="1">
      <alignment horizontal="center" shrinkToFit="0" vertical="center" wrapText="1"/>
    </xf>
    <xf borderId="30" fillId="11" fontId="20" numFmtId="0" xfId="0" applyAlignment="1" applyBorder="1" applyFont="1">
      <alignment horizontal="center" readingOrder="0" shrinkToFit="0" vertical="bottom" wrapText="1"/>
    </xf>
    <xf borderId="0" fillId="18" fontId="10" numFmtId="0" xfId="0" applyAlignment="1" applyFill="1" applyFont="1">
      <alignment horizontal="center" shrinkToFit="0" vertical="center" wrapText="1"/>
    </xf>
    <xf borderId="0" fillId="18" fontId="14" numFmtId="0" xfId="0" applyAlignment="1" applyFont="1">
      <alignment horizontal="center" readingOrder="0" shrinkToFit="0" vertical="bottom" wrapText="0"/>
    </xf>
    <xf borderId="20" fillId="11" fontId="21" numFmtId="0" xfId="0" applyAlignment="1" applyBorder="1" applyFont="1">
      <alignment horizontal="center" shrinkToFit="0" vertical="bottom" wrapText="1"/>
    </xf>
    <xf borderId="31" fillId="11" fontId="20" numFmtId="0" xfId="0" applyAlignment="1" applyBorder="1" applyFont="1">
      <alignment horizontal="center" readingOrder="0" shrinkToFit="0" vertical="bottom" wrapText="1"/>
    </xf>
    <xf borderId="31" fillId="11" fontId="21" numFmtId="0" xfId="0" applyAlignment="1" applyBorder="1" applyFont="1">
      <alignment horizontal="center" shrinkToFit="0" vertical="bottom" wrapText="1"/>
    </xf>
    <xf borderId="32" fillId="11" fontId="21" numFmtId="0" xfId="0" applyAlignment="1" applyBorder="1" applyFont="1">
      <alignment horizontal="center" shrinkToFit="0" vertical="bottom" wrapText="1"/>
    </xf>
    <xf borderId="12" fillId="11" fontId="10" numFmtId="0" xfId="0" applyAlignment="1" applyBorder="1" applyFont="1">
      <alignment horizontal="center" shrinkToFit="0" vertical="center" wrapText="1"/>
    </xf>
    <xf borderId="33" fillId="11" fontId="20" numFmtId="0" xfId="0" applyAlignment="1" applyBorder="1" applyFont="1">
      <alignment horizontal="center" readingOrder="0" shrinkToFit="0" vertical="bottom" wrapText="1"/>
    </xf>
    <xf borderId="21" fillId="11" fontId="21" numFmtId="0" xfId="0" applyAlignment="1" applyBorder="1" applyFont="1">
      <alignment horizontal="center" shrinkToFit="0" vertical="bottom" wrapText="1"/>
    </xf>
    <xf borderId="0" fillId="11" fontId="20" numFmtId="0" xfId="0" applyAlignment="1" applyFont="1">
      <alignment horizontal="center" readingOrder="0" shrinkToFit="0" vertical="bottom" wrapText="1"/>
    </xf>
    <xf borderId="0" fillId="11" fontId="21" numFmtId="0" xfId="0" applyAlignment="1" applyFont="1">
      <alignment horizontal="center" shrinkToFit="0" vertical="bottom" wrapText="1"/>
    </xf>
    <xf borderId="11" fillId="11" fontId="21" numFmtId="0" xfId="0" applyAlignment="1" applyBorder="1" applyFont="1">
      <alignment horizontal="center" shrinkToFit="0" vertical="bottom" wrapText="1"/>
    </xf>
    <xf borderId="34" fillId="11" fontId="10" numFmtId="0" xfId="0" applyAlignment="1" applyBorder="1" applyFont="1">
      <alignment horizontal="center" shrinkToFit="0" vertical="center" wrapText="1"/>
    </xf>
    <xf borderId="35" fillId="11" fontId="23" numFmtId="0" xfId="0" applyAlignment="1" applyBorder="1" applyFont="1">
      <alignment horizontal="center" readingOrder="0" shrinkToFit="0" vertical="bottom" wrapText="1"/>
    </xf>
    <xf borderId="23" fillId="11" fontId="21" numFmtId="0" xfId="0" applyAlignment="1" applyBorder="1" applyFont="1">
      <alignment horizontal="center" shrinkToFit="0" vertical="bottom" wrapText="1"/>
    </xf>
    <xf borderId="36" fillId="11" fontId="21" numFmtId="0" xfId="0" applyAlignment="1" applyBorder="1" applyFont="1">
      <alignment horizontal="center" shrinkToFit="0" vertical="bottom" wrapText="1"/>
    </xf>
    <xf borderId="36" fillId="11" fontId="20" numFmtId="0" xfId="0" applyAlignment="1" applyBorder="1" applyFont="1">
      <alignment horizontal="center" readingOrder="0" shrinkToFit="0" vertical="bottom" wrapText="1"/>
    </xf>
    <xf borderId="37" fillId="11" fontId="21" numFmtId="0" xfId="0" applyAlignment="1" applyBorder="1" applyFont="1">
      <alignment horizontal="center" shrinkToFit="0" vertical="bottom" wrapText="1"/>
    </xf>
    <xf borderId="25" fillId="0" fontId="3" numFmtId="0" xfId="0" applyAlignment="1" applyBorder="1" applyFont="1">
      <alignment horizontal="center" shrinkToFit="0" wrapText="1"/>
    </xf>
    <xf borderId="25" fillId="0" fontId="3" numFmtId="2" xfId="0" applyAlignment="1" applyBorder="1" applyFont="1" applyNumberFormat="1">
      <alignment horizontal="center" shrinkToFit="0" wrapText="1"/>
    </xf>
    <xf borderId="0" fillId="0" fontId="14" numFmtId="0" xfId="0" applyAlignment="1" applyFont="1">
      <alignment vertical="bottom"/>
    </xf>
    <xf borderId="25" fillId="0" fontId="3" numFmtId="166" xfId="0" applyAlignment="1" applyBorder="1" applyFont="1" applyNumberFormat="1">
      <alignment horizontal="center" shrinkToFit="0" wrapText="1"/>
    </xf>
    <xf borderId="0" fillId="0" fontId="24" numFmtId="0" xfId="0" applyAlignment="1" applyFont="1">
      <alignment shrinkToFit="0" vertical="bottom" wrapText="0"/>
    </xf>
    <xf borderId="0" fillId="0" fontId="13" numFmtId="0" xfId="0" applyAlignment="1" applyFont="1">
      <alignment readingOrder="0" vertical="bottom"/>
    </xf>
    <xf borderId="0" fillId="0" fontId="25" numFmtId="0" xfId="0" applyAlignment="1" applyFont="1">
      <alignment shrinkToFit="0" vertical="bottom" wrapText="1"/>
    </xf>
    <xf borderId="1" fillId="16" fontId="26" numFmtId="0" xfId="0" applyAlignment="1" applyBorder="1" applyFont="1">
      <alignment horizontal="center" vertical="bottom"/>
    </xf>
    <xf borderId="0" fillId="0" fontId="27" numFmtId="0" xfId="0" applyAlignment="1" applyFont="1">
      <alignment shrinkToFit="0" vertical="bottom" wrapText="1"/>
    </xf>
    <xf borderId="25" fillId="13" fontId="28" numFmtId="0" xfId="0" applyAlignment="1" applyBorder="1" applyFont="1">
      <alignment horizontal="center" shrinkToFit="0" wrapText="1"/>
    </xf>
    <xf borderId="25" fillId="0" fontId="26" numFmtId="0" xfId="0" applyAlignment="1" applyBorder="1" applyFont="1">
      <alignment horizontal="center" shrinkToFit="0" wrapText="1"/>
    </xf>
    <xf borderId="12" fillId="15" fontId="26" numFmtId="0" xfId="0" applyAlignment="1" applyBorder="1" applyFont="1">
      <alignment horizontal="center" shrinkToFit="0" wrapText="1"/>
    </xf>
    <xf borderId="38" fillId="4" fontId="26" numFmtId="0" xfId="0" applyAlignment="1" applyBorder="1" applyFont="1">
      <alignment horizontal="center" shrinkToFit="0" wrapText="1"/>
    </xf>
    <xf borderId="12" fillId="4" fontId="26" numFmtId="0" xfId="0" applyAlignment="1" applyBorder="1" applyFont="1">
      <alignment horizontal="center" shrinkToFit="0" wrapText="1"/>
    </xf>
    <xf borderId="12" fillId="5" fontId="26" numFmtId="0" xfId="0" applyAlignment="1" applyBorder="1" applyFont="1">
      <alignment horizontal="center" shrinkToFit="0" wrapText="1"/>
    </xf>
    <xf borderId="38" fillId="5" fontId="26" numFmtId="0" xfId="0" applyAlignment="1" applyBorder="1" applyFont="1">
      <alignment horizontal="center" shrinkToFit="0" wrapText="1"/>
    </xf>
    <xf borderId="38" fillId="6" fontId="26" numFmtId="0" xfId="0" applyAlignment="1" applyBorder="1" applyFont="1">
      <alignment horizontal="center" shrinkToFit="0" wrapText="1"/>
    </xf>
    <xf borderId="12" fillId="6" fontId="26" numFmtId="0" xfId="0" applyAlignment="1" applyBorder="1" applyFont="1">
      <alignment horizontal="center" shrinkToFit="0" wrapText="1"/>
    </xf>
    <xf borderId="12" fillId="0" fontId="14" numFmtId="0" xfId="0" applyBorder="1" applyFont="1"/>
    <xf borderId="25" fillId="13" fontId="6" numFmtId="0" xfId="0" applyAlignment="1" applyBorder="1" applyFont="1">
      <alignment horizontal="center" shrinkToFit="0" vertical="bottom" wrapText="1"/>
    </xf>
    <xf borderId="25" fillId="19" fontId="6" numFmtId="0" xfId="0" applyAlignment="1" applyBorder="1" applyFill="1" applyFont="1">
      <alignment horizontal="center" shrinkToFit="0" vertical="bottom" wrapText="1"/>
    </xf>
    <xf borderId="25" fillId="11" fontId="3" numFmtId="0" xfId="0" applyAlignment="1" applyBorder="1" applyFont="1">
      <alignment horizontal="center" shrinkToFit="0" vertical="bottom" wrapText="1"/>
    </xf>
    <xf borderId="25" fillId="15" fontId="3" numFmtId="0" xfId="0" applyAlignment="1" applyBorder="1" applyFont="1">
      <alignment horizontal="center" shrinkToFit="0" vertical="bottom" wrapText="1"/>
    </xf>
    <xf borderId="25" fillId="0" fontId="3" numFmtId="165" xfId="0" applyAlignment="1" applyBorder="1" applyFont="1" applyNumberFormat="1">
      <alignment horizontal="center" shrinkToFit="0" vertical="bottom" wrapText="1"/>
    </xf>
    <xf borderId="0" fillId="0" fontId="3" numFmtId="0" xfId="0" applyAlignment="1" applyFont="1">
      <alignment horizontal="center"/>
    </xf>
    <xf borderId="39" fillId="8" fontId="3" numFmtId="0" xfId="0" applyAlignment="1" applyBorder="1" applyFont="1">
      <alignment horizontal="right" shrinkToFit="0" vertical="bottom" wrapText="1"/>
    </xf>
    <xf borderId="7" fillId="8" fontId="3" numFmtId="0" xfId="0" applyAlignment="1" applyBorder="1" applyFont="1">
      <alignment horizontal="right" shrinkToFit="0" vertical="bottom" wrapText="1"/>
    </xf>
    <xf borderId="5" fillId="8" fontId="3" numFmtId="0" xfId="0" applyAlignment="1" applyBorder="1" applyFont="1">
      <alignment horizontal="right" shrinkToFit="0" vertical="bottom" wrapText="1"/>
    </xf>
    <xf borderId="19" fillId="8" fontId="26" numFmtId="0" xfId="0" applyAlignment="1" applyBorder="1" applyFont="1">
      <alignment horizontal="right" shrinkToFit="0" vertical="bottom" wrapText="1"/>
    </xf>
    <xf borderId="12" fillId="9" fontId="3" numFmtId="165" xfId="0" applyAlignment="1" applyBorder="1" applyFont="1" applyNumberFormat="1">
      <alignment horizontal="right" shrinkToFit="0" vertical="bottom" wrapText="1"/>
    </xf>
    <xf borderId="5" fillId="9" fontId="3" numFmtId="165" xfId="0" applyAlignment="1" applyBorder="1" applyFont="1" applyNumberFormat="1">
      <alignment horizontal="right" shrinkToFit="0" vertical="bottom" wrapText="1"/>
    </xf>
    <xf borderId="19" fillId="9" fontId="26" numFmtId="165" xfId="0" applyAlignment="1" applyBorder="1" applyFont="1" applyNumberFormat="1">
      <alignment horizontal="right" shrinkToFit="0" vertical="bottom" wrapText="1"/>
    </xf>
    <xf borderId="6" fillId="9" fontId="3" numFmtId="165" xfId="0" applyAlignment="1" applyBorder="1" applyFont="1" applyNumberFormat="1">
      <alignment horizontal="right" shrinkToFit="0" vertical="bottom" wrapText="1"/>
    </xf>
    <xf borderId="19" fillId="11" fontId="26" numFmtId="165" xfId="0" applyAlignment="1" applyBorder="1" applyFont="1" applyNumberFormat="1">
      <alignment horizontal="right" shrinkToFit="0" vertical="bottom" wrapText="1"/>
    </xf>
    <xf borderId="7" fillId="11" fontId="3" numFmtId="165" xfId="0" applyAlignment="1" applyBorder="1" applyFont="1" applyNumberFormat="1">
      <alignment horizontal="right" shrinkToFit="0" vertical="bottom" wrapText="1"/>
    </xf>
    <xf borderId="12" fillId="11" fontId="3" numFmtId="165" xfId="0" applyAlignment="1" applyBorder="1" applyFont="1" applyNumberFormat="1">
      <alignment horizontal="right" shrinkToFit="0" vertical="bottom" wrapText="1"/>
    </xf>
    <xf borderId="12" fillId="0" fontId="14" numFmtId="0" xfId="0" applyAlignment="1" applyBorder="1" applyFont="1">
      <alignment vertical="bottom"/>
    </xf>
    <xf borderId="12" fillId="8" fontId="3" numFmtId="0" xfId="0" applyAlignment="1" applyBorder="1" applyFont="1">
      <alignment horizontal="right" shrinkToFit="0" vertical="bottom" wrapText="1"/>
    </xf>
    <xf borderId="40" fillId="11" fontId="1" numFmtId="0" xfId="0" applyAlignment="1" applyBorder="1" applyFont="1">
      <alignment horizontal="center" shrinkToFit="0" vertical="bottom" wrapText="1"/>
    </xf>
    <xf borderId="34" fillId="11" fontId="1" numFmtId="0" xfId="0" applyAlignment="1" applyBorder="1" applyFont="1">
      <alignment horizontal="center" shrinkToFit="0" vertical="bottom" wrapText="1"/>
    </xf>
    <xf borderId="41" fillId="11" fontId="1" numFmtId="0" xfId="0" applyAlignment="1" applyBorder="1" applyFont="1">
      <alignment horizontal="center" shrinkToFit="0" vertical="bottom" wrapText="1"/>
    </xf>
    <xf borderId="19" fillId="18" fontId="14" numFmtId="0" xfId="0" applyAlignment="1" applyBorder="1" applyFont="1">
      <alignment horizontal="center" vertical="bottom"/>
    </xf>
    <xf borderId="42" fillId="8" fontId="3" numFmtId="0" xfId="0" applyAlignment="1" applyBorder="1" applyFont="1">
      <alignment horizontal="right" shrinkToFit="0" vertical="bottom" wrapText="1"/>
    </xf>
    <xf borderId="22" fillId="8" fontId="26" numFmtId="0" xfId="0" applyAlignment="1" applyBorder="1" applyFont="1">
      <alignment horizontal="right" shrinkToFit="0" vertical="bottom" wrapText="1"/>
    </xf>
    <xf borderId="22" fillId="9" fontId="26" numFmtId="165" xfId="0" applyAlignment="1" applyBorder="1" applyFont="1" applyNumberFormat="1">
      <alignment horizontal="right" shrinkToFit="0" vertical="bottom" wrapText="1"/>
    </xf>
    <xf borderId="22" fillId="11" fontId="26" numFmtId="165" xfId="0" applyAlignment="1" applyBorder="1" applyFont="1" applyNumberFormat="1">
      <alignment horizontal="right" shrinkToFit="0" vertical="bottom" wrapText="1"/>
    </xf>
    <xf borderId="22" fillId="18" fontId="14" numFmtId="0" xfId="0" applyAlignment="1" applyBorder="1" applyFont="1">
      <alignment horizontal="center" vertical="bottom"/>
    </xf>
    <xf borderId="43" fillId="8" fontId="3" numFmtId="0" xfId="0" applyAlignment="1" applyBorder="1" applyFont="1">
      <alignment horizontal="right" shrinkToFit="0" vertical="bottom" wrapText="1"/>
    </xf>
    <xf borderId="24" fillId="8" fontId="26" numFmtId="0" xfId="0" applyAlignment="1" applyBorder="1" applyFont="1">
      <alignment horizontal="right" shrinkToFit="0" vertical="bottom" wrapText="1"/>
    </xf>
    <xf borderId="24" fillId="9" fontId="26" numFmtId="165" xfId="0" applyAlignment="1" applyBorder="1" applyFont="1" applyNumberFormat="1">
      <alignment horizontal="right" shrinkToFit="0" vertical="bottom" wrapText="1"/>
    </xf>
    <xf borderId="24" fillId="11" fontId="26" numFmtId="165" xfId="0" applyAlignment="1" applyBorder="1" applyFont="1" applyNumberFormat="1">
      <alignment horizontal="right" shrinkToFit="0" vertical="bottom" wrapText="1"/>
    </xf>
    <xf borderId="24" fillId="18" fontId="14" numFmtId="0" xfId="0" applyAlignment="1" applyBorder="1" applyFont="1">
      <alignment horizontal="center" vertical="bottom"/>
    </xf>
    <xf borderId="0" fillId="0" fontId="14" numFmtId="165" xfId="0" applyAlignment="1" applyFont="1" applyNumberFormat="1">
      <alignment vertical="bottom"/>
    </xf>
    <xf borderId="25" fillId="0" fontId="26" numFmtId="165" xfId="0" applyAlignment="1" applyBorder="1" applyFont="1" applyNumberFormat="1">
      <alignment horizontal="center" shrinkToFit="0" wrapText="1"/>
    </xf>
    <xf borderId="12" fillId="5" fontId="26" numFmtId="165" xfId="0" applyAlignment="1" applyBorder="1" applyFont="1" applyNumberFormat="1">
      <alignment horizontal="center" shrinkToFit="0" wrapText="1"/>
    </xf>
    <xf borderId="38" fillId="5" fontId="26" numFmtId="165" xfId="0" applyAlignment="1" applyBorder="1" applyFont="1" applyNumberFormat="1">
      <alignment horizontal="center" shrinkToFit="0" wrapText="1"/>
    </xf>
    <xf borderId="0" fillId="20" fontId="3" numFmtId="0" xfId="0" applyAlignment="1" applyFill="1" applyFont="1">
      <alignment horizontal="center"/>
    </xf>
    <xf borderId="0" fillId="0" fontId="14" numFmtId="0" xfId="0" applyAlignment="1" applyFont="1">
      <alignment shrinkToFit="0" vertical="bottom" wrapText="0"/>
    </xf>
    <xf borderId="0" fillId="0" fontId="29" numFmtId="0" xfId="0" applyAlignment="1" applyFont="1">
      <alignment shrinkToFit="0" vertical="bottom" wrapText="0"/>
    </xf>
    <xf borderId="0" fillId="0" fontId="29" numFmtId="0" xfId="0" applyAlignment="1" applyFont="1">
      <alignment shrinkToFit="0" vertical="bottom" wrapText="1"/>
    </xf>
    <xf borderId="0" fillId="0" fontId="19" numFmtId="0" xfId="0" applyAlignment="1" applyFont="1">
      <alignment shrinkToFit="0" vertical="bottom" wrapText="0"/>
    </xf>
    <xf borderId="0" fillId="0" fontId="14" numFmtId="0" xfId="0" applyAlignment="1" applyFont="1">
      <alignment vertical="bottom"/>
    </xf>
    <xf borderId="1" fillId="16" fontId="2" numFmtId="0" xfId="0" applyAlignment="1" applyBorder="1" applyFont="1">
      <alignment horizontal="center" shrinkToFit="0" vertical="bottom" wrapText="0"/>
    </xf>
    <xf borderId="0" fillId="0" fontId="30" numFmtId="0" xfId="0" applyAlignment="1" applyFont="1">
      <alignment readingOrder="0" shrinkToFit="0" vertical="bottom" wrapText="0"/>
    </xf>
    <xf borderId="25" fillId="0" fontId="9" numFmtId="0" xfId="0" applyAlignment="1" applyBorder="1" applyFont="1">
      <alignment shrinkToFit="0" vertical="bottom" wrapText="0"/>
    </xf>
    <xf borderId="31" fillId="0" fontId="9" numFmtId="0" xfId="0" applyAlignment="1" applyBorder="1" applyFont="1">
      <alignment shrinkToFit="0" vertical="bottom" wrapText="0"/>
    </xf>
    <xf borderId="32" fillId="0" fontId="9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bottom" wrapText="1"/>
    </xf>
    <xf borderId="25" fillId="13" fontId="4" numFmtId="0" xfId="0" applyAlignment="1" applyBorder="1" applyFont="1">
      <alignment horizontal="center" shrinkToFit="0" vertical="center" wrapText="1"/>
    </xf>
    <xf borderId="25" fillId="13" fontId="4" numFmtId="0" xfId="0" applyAlignment="1" applyBorder="1" applyFont="1">
      <alignment horizontal="center" readingOrder="0" shrinkToFit="0" vertical="center" wrapText="1"/>
    </xf>
    <xf borderId="25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31" numFmtId="0" xfId="0" applyAlignment="1" applyFont="1">
      <alignment horizontal="center" readingOrder="0" shrinkToFit="0" vertical="bottom" wrapText="0"/>
    </xf>
    <xf borderId="25" fillId="13" fontId="28" numFmtId="0" xfId="0" applyAlignment="1" applyBorder="1" applyFont="1">
      <alignment horizontal="center" shrinkToFit="0" wrapText="1"/>
    </xf>
    <xf borderId="27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1" fillId="0" fontId="5" numFmtId="0" xfId="0" applyBorder="1" applyFont="1"/>
    <xf borderId="7" fillId="15" fontId="2" numFmtId="0" xfId="0" applyAlignment="1" applyBorder="1" applyFont="1">
      <alignment horizontal="center" readingOrder="0" shrinkToFit="0" vertical="center" wrapText="1"/>
    </xf>
    <xf borderId="38" fillId="4" fontId="2" numFmtId="0" xfId="0" applyAlignment="1" applyBorder="1" applyFont="1">
      <alignment horizontal="center" shrinkToFit="0" vertical="center" wrapText="1"/>
    </xf>
    <xf borderId="12" fillId="4" fontId="2" numFmtId="0" xfId="0" applyAlignment="1" applyBorder="1" applyFont="1">
      <alignment horizontal="center" shrinkToFit="0" vertical="center" wrapText="1"/>
    </xf>
    <xf borderId="12" fillId="5" fontId="2" numFmtId="0" xfId="0" applyAlignment="1" applyBorder="1" applyFont="1">
      <alignment horizontal="center" shrinkToFit="0" vertical="center" wrapText="1"/>
    </xf>
    <xf borderId="38" fillId="5" fontId="2" numFmtId="0" xfId="0" applyAlignment="1" applyBorder="1" applyFont="1">
      <alignment horizontal="center" shrinkToFit="0" vertical="center" wrapText="1"/>
    </xf>
    <xf borderId="38" fillId="6" fontId="2" numFmtId="0" xfId="0" applyAlignment="1" applyBorder="1" applyFont="1">
      <alignment horizontal="center" readingOrder="0" shrinkToFit="0" vertical="center" wrapText="1"/>
    </xf>
    <xf borderId="12" fillId="6" fontId="2" numFmtId="0" xfId="0" applyAlignment="1" applyBorder="1" applyFont="1">
      <alignment horizontal="center" readingOrder="0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25" fillId="19" fontId="6" numFmtId="0" xfId="0" applyAlignment="1" applyBorder="1" applyFont="1">
      <alignment horizontal="center" shrinkToFit="0" wrapText="1"/>
    </xf>
    <xf borderId="25" fillId="0" fontId="9" numFmtId="0" xfId="0" applyAlignment="1" applyBorder="1" applyFont="1">
      <alignment horizontal="center" shrinkToFit="0" vertical="center" wrapText="1"/>
    </xf>
    <xf borderId="25" fillId="11" fontId="11" numFmtId="0" xfId="0" applyAlignment="1" applyBorder="1" applyFont="1">
      <alignment horizontal="center" shrinkToFit="0" vertical="bottom" wrapText="1"/>
    </xf>
    <xf borderId="25" fillId="15" fontId="9" numFmtId="0" xfId="0" applyAlignment="1" applyBorder="1" applyFont="1">
      <alignment horizontal="center" readingOrder="0" shrinkToFit="0" vertical="bottom" wrapText="1"/>
    </xf>
    <xf borderId="25" fillId="11" fontId="11" numFmtId="0" xfId="0" applyAlignment="1" applyBorder="1" applyFont="1">
      <alignment horizontal="center" readingOrder="0" shrinkToFit="0" vertical="bottom" wrapText="1"/>
    </xf>
    <xf borderId="25" fillId="0" fontId="9" numFmtId="165" xfId="0" applyAlignment="1" applyBorder="1" applyFont="1" applyNumberFormat="1">
      <alignment horizontal="center" shrinkToFit="0" vertical="bottom" wrapText="1"/>
    </xf>
    <xf borderId="0" fillId="0" fontId="9" numFmtId="165" xfId="0" applyAlignment="1" applyFont="1" applyNumberFormat="1">
      <alignment horizontal="center" shrinkToFit="0" vertical="bottom" wrapText="1"/>
    </xf>
    <xf borderId="0" fillId="0" fontId="14" numFmtId="10" xfId="0" applyAlignment="1" applyFont="1" applyNumberFormat="1">
      <alignment horizontal="center" shrinkToFit="0" vertical="bottom" wrapText="0"/>
    </xf>
    <xf borderId="25" fillId="11" fontId="3" numFmtId="165" xfId="0" applyAlignment="1" applyBorder="1" applyFont="1" applyNumberFormat="1">
      <alignment horizontal="center" shrinkToFit="0" vertical="bottom" wrapText="1"/>
    </xf>
    <xf borderId="25" fillId="15" fontId="3" numFmtId="165" xfId="0" applyAlignment="1" applyBorder="1" applyFont="1" applyNumberFormat="1">
      <alignment horizontal="center" shrinkToFit="0" vertical="bottom" wrapText="1"/>
    </xf>
    <xf borderId="27" fillId="0" fontId="9" numFmtId="0" xfId="0" applyAlignment="1" applyBorder="1" applyFont="1">
      <alignment horizontal="center" shrinkToFit="0" vertical="bottom" wrapText="1"/>
    </xf>
    <xf borderId="0" fillId="0" fontId="9" numFmtId="0" xfId="0" applyAlignment="1" applyFont="1">
      <alignment horizontal="center" shrinkToFit="0" vertical="bottom" wrapText="1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left" vertical="bottom"/>
    </xf>
    <xf borderId="11" fillId="0" fontId="14" numFmtId="0" xfId="0" applyAlignment="1" applyBorder="1" applyFont="1">
      <alignment horizontal="left" vertical="bottom"/>
    </xf>
    <xf borderId="0" fillId="0" fontId="9" numFmtId="0" xfId="0" applyAlignment="1" applyFont="1">
      <alignment horizontal="center" shrinkToFit="0" vertical="center" wrapText="0"/>
    </xf>
    <xf borderId="39" fillId="8" fontId="9" numFmtId="0" xfId="0" applyAlignment="1" applyBorder="1" applyFont="1">
      <alignment horizontal="right" shrinkToFit="0" vertical="bottom" wrapText="1"/>
    </xf>
    <xf borderId="7" fillId="8" fontId="9" numFmtId="0" xfId="0" applyAlignment="1" applyBorder="1" applyFont="1">
      <alignment horizontal="right" shrinkToFit="0" vertical="bottom" wrapText="1"/>
    </xf>
    <xf borderId="5" fillId="8" fontId="9" numFmtId="0" xfId="0" applyAlignment="1" applyBorder="1" applyFont="1">
      <alignment horizontal="right" shrinkToFit="0" vertical="bottom" wrapText="1"/>
    </xf>
    <xf borderId="19" fillId="8" fontId="7" numFmtId="0" xfId="0" applyAlignment="1" applyBorder="1" applyFont="1">
      <alignment horizontal="right" shrinkToFit="0" vertical="bottom" wrapText="1"/>
    </xf>
    <xf borderId="12" fillId="9" fontId="9" numFmtId="165" xfId="0" applyAlignment="1" applyBorder="1" applyFont="1" applyNumberFormat="1">
      <alignment horizontal="right" shrinkToFit="0" vertical="bottom" wrapText="1"/>
    </xf>
    <xf borderId="5" fillId="9" fontId="9" numFmtId="165" xfId="0" applyAlignment="1" applyBorder="1" applyFont="1" applyNumberFormat="1">
      <alignment horizontal="right" shrinkToFit="0" vertical="bottom" wrapText="1"/>
    </xf>
    <xf borderId="19" fillId="9" fontId="7" numFmtId="165" xfId="0" applyAlignment="1" applyBorder="1" applyFont="1" applyNumberFormat="1">
      <alignment horizontal="right" shrinkToFit="0" vertical="bottom" wrapText="1"/>
    </xf>
    <xf borderId="6" fillId="9" fontId="9" numFmtId="165" xfId="0" applyAlignment="1" applyBorder="1" applyFont="1" applyNumberFormat="1">
      <alignment horizontal="right" shrinkToFit="0" vertical="bottom" wrapText="1"/>
    </xf>
    <xf borderId="19" fillId="11" fontId="7" numFmtId="165" xfId="0" applyAlignment="1" applyBorder="1" applyFont="1" applyNumberFormat="1">
      <alignment horizontal="right" shrinkToFit="0" vertical="bottom" wrapText="1"/>
    </xf>
    <xf borderId="7" fillId="11" fontId="9" numFmtId="165" xfId="0" applyAlignment="1" applyBorder="1" applyFont="1" applyNumberFormat="1">
      <alignment horizontal="right" shrinkToFit="0" vertical="bottom" wrapText="1"/>
    </xf>
    <xf borderId="12" fillId="11" fontId="9" numFmtId="165" xfId="0" applyAlignment="1" applyBorder="1" applyFont="1" applyNumberFormat="1">
      <alignment horizontal="right" shrinkToFit="0" vertical="bottom" wrapText="1"/>
    </xf>
    <xf borderId="12" fillId="0" fontId="9" numFmtId="0" xfId="0" applyAlignment="1" applyBorder="1" applyFont="1">
      <alignment horizontal="right" shrinkToFit="0" vertical="bottom" wrapText="1"/>
    </xf>
    <xf borderId="12" fillId="8" fontId="9" numFmtId="0" xfId="0" applyAlignment="1" applyBorder="1" applyFont="1">
      <alignment horizontal="right" shrinkToFit="0" vertical="bottom" wrapText="1"/>
    </xf>
    <xf borderId="40" fillId="11" fontId="1" numFmtId="0" xfId="0" applyAlignment="1" applyBorder="1" applyFont="1">
      <alignment horizontal="center" shrinkToFit="0" vertical="bottom" wrapText="1"/>
    </xf>
    <xf borderId="34" fillId="11" fontId="1" numFmtId="0" xfId="0" applyAlignment="1" applyBorder="1" applyFont="1">
      <alignment horizontal="center" shrinkToFit="0" vertical="bottom" wrapText="1"/>
    </xf>
    <xf borderId="41" fillId="11" fontId="1" numFmtId="0" xfId="0" applyAlignment="1" applyBorder="1" applyFont="1">
      <alignment horizontal="center" shrinkToFit="0" vertical="bottom" wrapText="1"/>
    </xf>
    <xf borderId="19" fillId="18" fontId="14" numFmtId="0" xfId="0" applyAlignment="1" applyBorder="1" applyFont="1">
      <alignment horizontal="center" vertical="bottom"/>
    </xf>
    <xf borderId="42" fillId="8" fontId="9" numFmtId="0" xfId="0" applyAlignment="1" applyBorder="1" applyFont="1">
      <alignment horizontal="right" shrinkToFit="0" vertical="bottom" wrapText="1"/>
    </xf>
    <xf borderId="22" fillId="8" fontId="7" numFmtId="0" xfId="0" applyAlignment="1" applyBorder="1" applyFont="1">
      <alignment horizontal="right" shrinkToFit="0" vertical="bottom" wrapText="1"/>
    </xf>
    <xf borderId="22" fillId="9" fontId="7" numFmtId="165" xfId="0" applyAlignment="1" applyBorder="1" applyFont="1" applyNumberFormat="1">
      <alignment horizontal="right" shrinkToFit="0" vertical="bottom" wrapText="1"/>
    </xf>
    <xf borderId="22" fillId="11" fontId="7" numFmtId="165" xfId="0" applyAlignment="1" applyBorder="1" applyFont="1" applyNumberFormat="1">
      <alignment horizontal="right" shrinkToFit="0" vertical="bottom" wrapText="1"/>
    </xf>
    <xf borderId="22" fillId="18" fontId="14" numFmtId="0" xfId="0" applyAlignment="1" applyBorder="1" applyFont="1">
      <alignment horizontal="center" vertical="bottom"/>
    </xf>
    <xf borderId="0" fillId="0" fontId="14" numFmtId="0" xfId="0" applyAlignment="1" applyFont="1">
      <alignment horizontal="right" readingOrder="0" shrinkToFit="0" vertical="bottom" wrapText="0"/>
    </xf>
    <xf borderId="28" fillId="0" fontId="9" numFmtId="0" xfId="0" applyAlignment="1" applyBorder="1" applyFont="1">
      <alignment horizontal="center" shrinkToFit="0" vertical="bottom" wrapText="1"/>
    </xf>
    <xf borderId="36" fillId="0" fontId="9" numFmtId="0" xfId="0" applyAlignment="1" applyBorder="1" applyFont="1">
      <alignment horizontal="center" shrinkToFit="0" vertical="bottom" wrapText="1"/>
    </xf>
    <xf borderId="36" fillId="0" fontId="14" numFmtId="0" xfId="0" applyAlignment="1" applyBorder="1" applyFont="1">
      <alignment horizontal="right" vertical="bottom"/>
    </xf>
    <xf borderId="36" fillId="0" fontId="14" numFmtId="0" xfId="0" applyAlignment="1" applyBorder="1" applyFont="1">
      <alignment horizontal="left" vertical="bottom"/>
    </xf>
    <xf borderId="37" fillId="0" fontId="14" numFmtId="0" xfId="0" applyAlignment="1" applyBorder="1" applyFont="1">
      <alignment horizontal="left" vertical="bottom"/>
    </xf>
    <xf borderId="43" fillId="8" fontId="9" numFmtId="0" xfId="0" applyAlignment="1" applyBorder="1" applyFont="1">
      <alignment horizontal="right" shrinkToFit="0" vertical="bottom" wrapText="1"/>
    </xf>
    <xf borderId="24" fillId="8" fontId="7" numFmtId="0" xfId="0" applyAlignment="1" applyBorder="1" applyFont="1">
      <alignment horizontal="right" shrinkToFit="0" vertical="bottom" wrapText="1"/>
    </xf>
    <xf borderId="24" fillId="9" fontId="7" numFmtId="165" xfId="0" applyAlignment="1" applyBorder="1" applyFont="1" applyNumberFormat="1">
      <alignment horizontal="right" shrinkToFit="0" vertical="bottom" wrapText="1"/>
    </xf>
    <xf borderId="24" fillId="11" fontId="7" numFmtId="165" xfId="0" applyAlignment="1" applyBorder="1" applyFont="1" applyNumberFormat="1">
      <alignment horizontal="right" shrinkToFit="0" vertical="bottom" wrapText="1"/>
    </xf>
    <xf borderId="24" fillId="18" fontId="14" numFmtId="0" xfId="0" applyAlignment="1" applyBorder="1" applyFont="1">
      <alignment horizontal="center" vertical="bottom"/>
    </xf>
    <xf borderId="0" fillId="0" fontId="9" numFmtId="165" xfId="0" applyAlignment="1" applyFont="1" applyNumberFormat="1">
      <alignment shrinkToFit="0" vertical="bottom" wrapText="0"/>
    </xf>
    <xf borderId="0" fillId="0" fontId="9" numFmtId="165" xfId="0" applyAlignment="1" applyFont="1" applyNumberFormat="1">
      <alignment shrinkToFit="0" vertical="bottom" wrapText="1"/>
    </xf>
    <xf borderId="25" fillId="0" fontId="7" numFmtId="165" xfId="0" applyAlignment="1" applyBorder="1" applyFont="1" applyNumberFormat="1">
      <alignment horizontal="center" shrinkToFit="0" vertical="center" wrapText="1"/>
    </xf>
    <xf borderId="0" fillId="0" fontId="7" numFmtId="165" xfId="0" applyAlignment="1" applyFont="1" applyNumberFormat="1">
      <alignment horizontal="center" shrinkToFit="0" vertical="center" wrapText="1"/>
    </xf>
    <xf borderId="25" fillId="13" fontId="28" numFmtId="165" xfId="0" applyAlignment="1" applyBorder="1" applyFont="1" applyNumberFormat="1">
      <alignment horizontal="center" shrinkToFit="0" wrapText="1"/>
    </xf>
    <xf borderId="12" fillId="15" fontId="2" numFmtId="0" xfId="0" applyAlignment="1" applyBorder="1" applyFont="1">
      <alignment horizontal="center" readingOrder="0" shrinkToFit="0" vertical="center" wrapText="1"/>
    </xf>
    <xf borderId="12" fillId="5" fontId="2" numFmtId="165" xfId="0" applyAlignment="1" applyBorder="1" applyFont="1" applyNumberFormat="1">
      <alignment horizontal="center" shrinkToFit="0" vertical="center" wrapText="1"/>
    </xf>
    <xf borderId="38" fillId="5" fontId="2" numFmtId="165" xfId="0" applyAlignment="1" applyBorder="1" applyFont="1" applyNumberFormat="1">
      <alignment horizontal="center" shrinkToFit="0" vertical="center" wrapText="1"/>
    </xf>
    <xf borderId="25" fillId="11" fontId="10" numFmtId="0" xfId="0" applyAlignment="1" applyBorder="1" applyFont="1">
      <alignment horizontal="center" readingOrder="0" shrinkToFit="0" vertical="bottom" wrapText="1"/>
    </xf>
    <xf borderId="34" fillId="11" fontId="23" numFmtId="0" xfId="0" applyAlignment="1" applyBorder="1" applyFont="1">
      <alignment horizontal="center" readingOrder="0" shrinkToFit="0" vertical="bottom" wrapText="1"/>
    </xf>
    <xf borderId="0" fillId="20" fontId="9" numFmtId="0" xfId="0" applyAlignment="1" applyFont="1">
      <alignment horizontal="center" shrinkToFit="0" vertical="center" wrapText="0"/>
    </xf>
    <xf borderId="0" fillId="0" fontId="14" numFmtId="0" xfId="0" applyAlignment="1" applyFont="1">
      <alignment shrinkToFit="0" vertical="bottom" wrapText="1"/>
    </xf>
    <xf borderId="0" fillId="0" fontId="22" numFmtId="0" xfId="0" applyFont="1"/>
    <xf borderId="0" fillId="0" fontId="32" numFmtId="0" xfId="0" applyAlignment="1" applyFont="1">
      <alignment shrinkToFit="0" vertical="bottom" wrapText="0"/>
    </xf>
    <xf borderId="0" fillId="0" fontId="32" numFmtId="0" xfId="0" applyAlignment="1" applyFont="1">
      <alignment readingOrder="0" shrinkToFit="0" vertical="bottom" wrapText="0"/>
    </xf>
    <xf borderId="0" fillId="0" fontId="32" numFmtId="0" xfId="0" applyAlignment="1" applyFont="1">
      <alignment horizontal="center" shrinkToFit="0" vertical="bottom" wrapText="0"/>
    </xf>
    <xf borderId="0" fillId="0" fontId="32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center" shrinkToFit="0" vertical="bottom" wrapText="0"/>
    </xf>
    <xf borderId="0" fillId="0" fontId="18" numFmtId="0" xfId="0" applyAlignment="1" applyFont="1">
      <alignment horizontal="right" shrinkToFit="0" vertical="bottom" wrapText="0"/>
    </xf>
    <xf borderId="0" fillId="0" fontId="18" numFmtId="10" xfId="0" applyAlignment="1" applyFont="1" applyNumberFormat="1">
      <alignment horizontal="right" shrinkToFit="0" vertical="bottom" wrapText="0"/>
    </xf>
    <xf borderId="0" fillId="0" fontId="18" numFmtId="1" xfId="0" applyAlignment="1" applyFont="1" applyNumberFormat="1">
      <alignment horizontal="right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10" xfId="0" applyAlignment="1" applyFont="1" applyNumberFormat="1">
      <alignment horizontal="right" shrinkToFit="0" vertical="bottom" wrapText="0"/>
    </xf>
    <xf borderId="0" fillId="0" fontId="22" numFmtId="0" xfId="0" applyAlignment="1" applyFont="1">
      <alignment readingOrder="0"/>
    </xf>
    <xf borderId="0" fillId="0" fontId="22" numFmtId="10" xfId="0" applyFont="1" applyNumberFormat="1"/>
    <xf borderId="12" fillId="21" fontId="31" numFmtId="0" xfId="0" applyAlignment="1" applyBorder="1" applyFill="1" applyFont="1">
      <alignment horizontal="center" shrinkToFit="0" vertical="bottom" wrapText="0"/>
    </xf>
    <xf borderId="12" fillId="21" fontId="31" numFmtId="0" xfId="0" applyAlignment="1" applyBorder="1" applyFont="1">
      <alignment horizontal="center" readingOrder="0" shrinkToFit="0" vertical="bottom" wrapText="0"/>
    </xf>
    <xf borderId="0" fillId="0" fontId="14" numFmtId="2" xfId="0" applyAlignment="1" applyFont="1" applyNumberFormat="1">
      <alignment shrinkToFit="0" vertical="bottom" wrapText="0"/>
    </xf>
    <xf borderId="0" fillId="0" fontId="14" numFmtId="167" xfId="0" applyAlignment="1" applyFont="1" applyNumberFormat="1">
      <alignment shrinkToFit="0" vertical="bottom" wrapText="0"/>
    </xf>
    <xf borderId="0" fillId="0" fontId="18" numFmtId="168" xfId="0" applyAlignment="1" applyFont="1" applyNumberFormat="1">
      <alignment readingOrder="0" shrinkToFit="0" vertical="bottom" wrapText="0"/>
    </xf>
    <xf borderId="0" fillId="0" fontId="18" numFmtId="0" xfId="0" applyAlignment="1" applyFont="1">
      <alignment shrinkToFit="0" vertical="bottom" wrapText="0"/>
    </xf>
    <xf borderId="0" fillId="0" fontId="18" numFmtId="169" xfId="0" applyAlignment="1" applyFont="1" applyNumberFormat="1">
      <alignment readingOrder="0" shrinkToFit="0" vertical="bottom" wrapText="0"/>
    </xf>
    <xf borderId="0" fillId="0" fontId="18" numFmtId="0" xfId="0" applyAlignment="1" applyFont="1">
      <alignment shrinkToFit="0" vertical="bottom" wrapText="0"/>
    </xf>
    <xf borderId="0" fillId="0" fontId="31" numFmtId="0" xfId="0" applyAlignment="1" applyFont="1">
      <alignment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shrinkToFit="0" vertical="bottom" wrapText="0"/>
    </xf>
    <xf borderId="0" fillId="0" fontId="32" numFmtId="0" xfId="0" applyAlignment="1" applyFont="1">
      <alignment horizontal="right" shrinkToFit="0" vertical="bottom" wrapText="0"/>
    </xf>
    <xf borderId="0" fillId="0" fontId="33" numFmtId="0" xfId="0" applyFont="1"/>
    <xf borderId="0" fillId="0" fontId="31" numFmtId="0" xfId="0" applyAlignment="1" applyFont="1">
      <alignment readingOrder="0" shrinkToFit="0" vertical="bottom" wrapText="0"/>
    </xf>
    <xf borderId="12" fillId="16" fontId="16" numFmtId="0" xfId="0" applyAlignment="1" applyBorder="1" applyFont="1">
      <alignment horizontal="center" shrinkToFit="0" vertical="bottom" wrapText="0"/>
    </xf>
    <xf borderId="0" fillId="0" fontId="34" numFmtId="0" xfId="0" applyAlignment="1" applyFont="1">
      <alignment horizontal="center" shrinkToFit="0" vertical="bottom" wrapText="0"/>
    </xf>
    <xf borderId="12" fillId="12" fontId="1" numFmtId="1" xfId="0" applyAlignment="1" applyBorder="1" applyFont="1" applyNumberFormat="1">
      <alignment horizontal="center" shrinkToFit="0" vertical="bottom" wrapText="0"/>
    </xf>
    <xf borderId="12" fillId="12" fontId="1" numFmtId="2" xfId="0" applyAlignment="1" applyBorder="1" applyFont="1" applyNumberFormat="1">
      <alignment horizontal="center" shrinkToFit="0" vertical="bottom" wrapText="0"/>
    </xf>
    <xf borderId="0" fillId="0" fontId="35" numFmtId="0" xfId="0" applyAlignment="1" applyFont="1">
      <alignment shrinkToFit="0" vertical="bottom" wrapText="0"/>
    </xf>
    <xf borderId="12" fillId="12" fontId="1" numFmtId="1" xfId="0" applyAlignment="1" applyBorder="1" applyFont="1" applyNumberFormat="1">
      <alignment horizontal="right" shrinkToFit="0" vertical="bottom" wrapText="0"/>
    </xf>
    <xf borderId="12" fillId="12" fontId="1" numFmtId="165" xfId="0" applyAlignment="1" applyBorder="1" applyFont="1" applyNumberFormat="1">
      <alignment horizontal="right" shrinkToFit="0" vertical="bottom" wrapText="0"/>
    </xf>
    <xf borderId="0" fillId="0" fontId="16" numFmtId="0" xfId="0" applyAlignment="1" applyFont="1">
      <alignment shrinkToFit="0" vertical="bottom" wrapText="0"/>
    </xf>
    <xf borderId="12" fillId="11" fontId="16" numFmtId="167" xfId="0" applyAlignment="1" applyBorder="1" applyFont="1" applyNumberFormat="1">
      <alignment horizontal="right" shrinkToFit="0" vertical="bottom" wrapText="0"/>
    </xf>
    <xf borderId="0" fillId="0" fontId="36" numFmtId="0" xfId="0" applyAlignment="1" applyFont="1">
      <alignment readingOrder="0"/>
    </xf>
    <xf borderId="0" fillId="0" fontId="33" numFmtId="0" xfId="0" applyFont="1"/>
    <xf borderId="44" fillId="0" fontId="22" numFmtId="0" xfId="0" applyAlignment="1" applyBorder="1" applyFont="1">
      <alignment horizontal="center" readingOrder="0" vertical="center"/>
    </xf>
    <xf borderId="21" fillId="0" fontId="22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11" fillId="0" fontId="22" numFmtId="0" xfId="0" applyAlignment="1" applyBorder="1" applyFont="1">
      <alignment horizontal="center" readingOrder="0" vertical="center"/>
    </xf>
    <xf borderId="0" fillId="0" fontId="33" numFmtId="0" xfId="0" applyAlignment="1" applyFont="1">
      <alignment horizontal="center" readingOrder="0" vertical="center"/>
    </xf>
    <xf borderId="36" fillId="22" fontId="26" numFmtId="0" xfId="0" applyAlignment="1" applyBorder="1" applyFill="1" applyFont="1">
      <alignment horizontal="center" readingOrder="0" shrinkToFit="0" vertical="bottom" wrapText="1"/>
    </xf>
    <xf borderId="44" fillId="23" fontId="22" numFmtId="0" xfId="0" applyAlignment="1" applyBorder="1" applyFill="1" applyFont="1">
      <alignment horizontal="center" readingOrder="0" vertical="center"/>
    </xf>
    <xf borderId="21" fillId="23" fontId="22" numFmtId="0" xfId="0" applyAlignment="1" applyBorder="1" applyFont="1">
      <alignment horizontal="center" readingOrder="0" vertical="center"/>
    </xf>
    <xf borderId="0" fillId="23" fontId="22" numFmtId="0" xfId="0" applyAlignment="1" applyFont="1">
      <alignment horizontal="center" readingOrder="0" vertical="center"/>
    </xf>
    <xf borderId="11" fillId="23" fontId="22" numFmtId="0" xfId="0" applyAlignment="1" applyBorder="1" applyFont="1">
      <alignment horizontal="center" readingOrder="0" vertical="center"/>
    </xf>
    <xf borderId="27" fillId="23" fontId="22" numFmtId="0" xfId="0" applyAlignment="1" applyBorder="1" applyFont="1">
      <alignment horizontal="center" readingOrder="0" vertical="center"/>
    </xf>
    <xf borderId="28" fillId="23" fontId="26" numFmtId="0" xfId="0" applyAlignment="1" applyBorder="1" applyFont="1">
      <alignment vertical="center"/>
    </xf>
    <xf borderId="45" fillId="22" fontId="26" numFmtId="0" xfId="0" applyAlignment="1" applyBorder="1" applyFont="1">
      <alignment horizontal="center" readingOrder="0" shrinkToFit="0" vertical="bottom" wrapText="1"/>
    </xf>
    <xf borderId="0" fillId="0" fontId="22" numFmtId="0" xfId="0" applyAlignment="1" applyFont="1">
      <alignment readingOrder="0" shrinkToFit="0" wrapText="1"/>
    </xf>
    <xf borderId="0" fillId="0" fontId="22" numFmtId="0" xfId="0" applyAlignment="1" applyFont="1">
      <alignment readingOrder="0" shrinkToFit="0" wrapText="1"/>
    </xf>
    <xf borderId="26" fillId="22" fontId="3" numFmtId="0" xfId="0" applyAlignment="1" applyBorder="1" applyFont="1">
      <alignment vertical="bottom"/>
    </xf>
    <xf borderId="32" fillId="22" fontId="26" numFmtId="0" xfId="0" applyAlignment="1" applyBorder="1" applyFont="1">
      <alignment vertical="bottom"/>
    </xf>
    <xf borderId="0" fillId="22" fontId="26" numFmtId="0" xfId="0" applyAlignment="1" applyFont="1">
      <alignment horizontal="center" readingOrder="0" shrinkToFit="0" vertical="bottom" wrapText="1"/>
    </xf>
    <xf borderId="0" fillId="0" fontId="22" numFmtId="0" xfId="0" applyFont="1"/>
    <xf borderId="46" fillId="20" fontId="3" numFmtId="0" xfId="0" applyAlignment="1" applyBorder="1" applyFont="1">
      <alignment horizontal="right" shrinkToFit="0" vertical="bottom" wrapText="1"/>
    </xf>
    <xf borderId="20" fillId="20" fontId="3" numFmtId="0" xfId="0" applyAlignment="1" applyBorder="1" applyFont="1">
      <alignment horizontal="right" shrinkToFit="0" vertical="bottom" wrapText="1"/>
    </xf>
    <xf borderId="31" fillId="24" fontId="3" numFmtId="0" xfId="0" applyAlignment="1" applyBorder="1" applyFill="1" applyFont="1">
      <alignment horizontal="right" readingOrder="0" shrinkToFit="0" vertical="bottom" wrapText="1"/>
    </xf>
    <xf borderId="31" fillId="20" fontId="3" numFmtId="0" xfId="0" applyAlignment="1" applyBorder="1" applyFont="1">
      <alignment horizontal="right" shrinkToFit="0" vertical="bottom" wrapText="1"/>
    </xf>
    <xf borderId="32" fillId="20" fontId="3" numFmtId="0" xfId="0" applyAlignment="1" applyBorder="1" applyFont="1">
      <alignment horizontal="right" shrinkToFit="0" vertical="bottom" wrapText="1"/>
    </xf>
    <xf borderId="26" fillId="20" fontId="3" numFmtId="0" xfId="0" applyAlignment="1" applyBorder="1" applyFont="1">
      <alignment horizontal="right" shrinkToFit="0" vertical="bottom" wrapText="1"/>
    </xf>
    <xf borderId="0" fillId="24" fontId="3" numFmtId="0" xfId="0" applyAlignment="1" applyFont="1">
      <alignment horizontal="right" readingOrder="0" shrinkToFit="0" vertical="bottom" wrapText="1"/>
    </xf>
    <xf borderId="0" fillId="25" fontId="3" numFmtId="1" xfId="0" applyAlignment="1" applyFill="1" applyFont="1" applyNumberFormat="1">
      <alignment horizontal="right" vertical="bottom"/>
    </xf>
    <xf borderId="47" fillId="20" fontId="3" numFmtId="0" xfId="0" applyAlignment="1" applyBorder="1" applyFont="1">
      <alignment horizontal="right" shrinkToFit="0" vertical="bottom" wrapText="1"/>
    </xf>
    <xf borderId="26" fillId="24" fontId="3" numFmtId="0" xfId="0" applyAlignment="1" applyBorder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27" fillId="20" fontId="3" numFmtId="0" xfId="0" applyAlignment="1" applyBorder="1" applyFont="1">
      <alignment horizontal="right" readingOrder="0" shrinkToFit="0" vertical="bottom" wrapText="1"/>
    </xf>
    <xf borderId="48" fillId="25" fontId="3" numFmtId="1" xfId="0" applyAlignment="1" applyBorder="1" applyFont="1" applyNumberFormat="1">
      <alignment horizontal="right" vertical="bottom"/>
    </xf>
    <xf borderId="0" fillId="0" fontId="22" numFmtId="0" xfId="0" applyFont="1"/>
    <xf borderId="25" fillId="20" fontId="26" numFmtId="0" xfId="0" applyAlignment="1" applyBorder="1" applyFont="1">
      <alignment readingOrder="0" shrinkToFit="0" vertical="bottom" wrapText="1"/>
    </xf>
    <xf borderId="25" fillId="20" fontId="3" numFmtId="1" xfId="0" applyAlignment="1" applyBorder="1" applyFont="1" applyNumberFormat="1">
      <alignment horizontal="right" vertical="bottom"/>
    </xf>
    <xf borderId="0" fillId="0" fontId="22" numFmtId="1" xfId="0" applyFont="1" applyNumberFormat="1"/>
    <xf borderId="49" fillId="24" fontId="3" numFmtId="0" xfId="0" applyAlignment="1" applyBorder="1" applyFont="1">
      <alignment horizontal="right" shrinkToFit="0" vertical="bottom" wrapText="1"/>
    </xf>
    <xf borderId="21" fillId="26" fontId="3" numFmtId="0" xfId="0" applyAlignment="1" applyBorder="1" applyFill="1" applyFont="1">
      <alignment horizontal="right" shrinkToFit="0" vertical="bottom" wrapText="1"/>
    </xf>
    <xf borderId="0" fillId="26" fontId="3" numFmtId="0" xfId="0" applyAlignment="1" applyFont="1">
      <alignment horizontal="right" shrinkToFit="0" vertical="bottom" wrapText="1"/>
    </xf>
    <xf borderId="11" fillId="26" fontId="3" numFmtId="0" xfId="0" applyAlignment="1" applyBorder="1" applyFont="1">
      <alignment horizontal="right" shrinkToFit="0" vertical="bottom" wrapText="1"/>
    </xf>
    <xf borderId="27" fillId="26" fontId="3" numFmtId="0" xfId="0" applyAlignment="1" applyBorder="1" applyFont="1">
      <alignment horizontal="right" shrinkToFit="0" vertical="bottom" wrapText="1"/>
    </xf>
    <xf borderId="44" fillId="24" fontId="3" numFmtId="0" xfId="0" applyAlignment="1" applyBorder="1" applyFont="1">
      <alignment horizontal="right" shrinkToFit="0" vertical="bottom" wrapText="1"/>
    </xf>
    <xf borderId="25" fillId="0" fontId="33" numFmtId="0" xfId="0" applyAlignment="1" applyBorder="1" applyFont="1">
      <alignment readingOrder="0" shrinkToFit="0" wrapText="1"/>
    </xf>
    <xf borderId="25" fillId="0" fontId="22" numFmtId="0" xfId="0" applyBorder="1" applyFont="1"/>
    <xf borderId="49" fillId="20" fontId="3" numFmtId="0" xfId="0" applyAlignment="1" applyBorder="1" applyFont="1">
      <alignment horizontal="right" shrinkToFit="0" vertical="bottom" wrapText="1"/>
    </xf>
    <xf borderId="21" fillId="20" fontId="3" numFmtId="0" xfId="0" applyAlignment="1" applyBorder="1" applyFont="1">
      <alignment horizontal="right" shrinkToFit="0" vertical="bottom" wrapText="1"/>
    </xf>
    <xf borderId="0" fillId="20" fontId="3" numFmtId="0" xfId="0" applyAlignment="1" applyFont="1">
      <alignment horizontal="right" shrinkToFit="0" vertical="bottom" wrapText="1"/>
    </xf>
    <xf borderId="11" fillId="20" fontId="3" numFmtId="0" xfId="0" applyAlignment="1" applyBorder="1" applyFont="1">
      <alignment horizontal="right" shrinkToFit="0" vertical="bottom" wrapText="1"/>
    </xf>
    <xf borderId="27" fillId="24" fontId="3" numFmtId="0" xfId="0" applyAlignment="1" applyBorder="1" applyFont="1">
      <alignment horizontal="right" shrinkToFit="0" vertical="bottom" wrapText="1"/>
    </xf>
    <xf borderId="44" fillId="20" fontId="3" numFmtId="0" xfId="0" applyAlignment="1" applyBorder="1" applyFont="1">
      <alignment horizontal="right" shrinkToFit="0" vertical="bottom" wrapText="1"/>
    </xf>
    <xf borderId="21" fillId="24" fontId="3" numFmtId="0" xfId="0" applyAlignment="1" applyBorder="1" applyFont="1">
      <alignment horizontal="right" shrinkToFit="0" vertical="bottom" wrapText="1"/>
    </xf>
    <xf borderId="27" fillId="20" fontId="3" numFmtId="0" xfId="0" applyAlignment="1" applyBorder="1" applyFont="1">
      <alignment horizontal="right" shrinkToFit="0" vertical="bottom" wrapText="1"/>
    </xf>
    <xf borderId="25" fillId="0" fontId="33" numFmtId="0" xfId="0" applyAlignment="1" applyBorder="1" applyFont="1">
      <alignment readingOrder="0"/>
    </xf>
    <xf borderId="25" fillId="0" fontId="22" numFmtId="2" xfId="0" applyBorder="1" applyFont="1" applyNumberFormat="1"/>
    <xf borderId="49" fillId="26" fontId="3" numFmtId="0" xfId="0" applyAlignment="1" applyBorder="1" applyFont="1">
      <alignment horizontal="right" shrinkToFit="0" vertical="bottom" wrapText="1"/>
    </xf>
    <xf borderId="0" fillId="24" fontId="3" numFmtId="0" xfId="0" applyAlignment="1" applyFont="1">
      <alignment horizontal="right" shrinkToFit="0" vertical="bottom" wrapText="1"/>
    </xf>
    <xf borderId="44" fillId="26" fontId="3" numFmtId="0" xfId="0" applyAlignment="1" applyBorder="1" applyFont="1">
      <alignment horizontal="right" shrinkToFit="0" vertical="bottom" wrapText="1"/>
    </xf>
    <xf borderId="0" fillId="26" fontId="3" numFmtId="0" xfId="0" applyAlignment="1" applyFont="1">
      <alignment horizontal="right" readingOrder="0" shrinkToFit="0" vertical="bottom" wrapText="1"/>
    </xf>
    <xf borderId="11" fillId="24" fontId="3" numFmtId="0" xfId="0" applyAlignment="1" applyBorder="1" applyFont="1">
      <alignment horizontal="right" shrinkToFit="0" vertical="bottom" wrapText="1"/>
    </xf>
    <xf borderId="0" fillId="0" fontId="22" numFmtId="170" xfId="0" applyAlignment="1" applyFont="1" applyNumberFormat="1">
      <alignment readingOrder="0"/>
    </xf>
    <xf borderId="27" fillId="26" fontId="3" numFmtId="0" xfId="0" applyAlignment="1" applyBorder="1" applyFont="1">
      <alignment horizontal="right" readingOrder="0" shrinkToFit="0" vertical="bottom" wrapText="1"/>
    </xf>
    <xf borderId="50" fillId="0" fontId="33" numFmtId="0" xfId="0" applyAlignment="1" applyBorder="1" applyFont="1">
      <alignment readingOrder="0"/>
    </xf>
    <xf borderId="51" fillId="0" fontId="22" numFmtId="0" xfId="0" applyAlignment="1" applyBorder="1" applyFont="1">
      <alignment readingOrder="0"/>
    </xf>
    <xf borderId="52" fillId="0" fontId="22" numFmtId="0" xfId="0" applyAlignment="1" applyBorder="1" applyFont="1">
      <alignment readingOrder="0"/>
    </xf>
    <xf borderId="53" fillId="0" fontId="3" numFmtId="0" xfId="0" applyAlignment="1" applyBorder="1" applyFont="1">
      <alignment vertical="bottom"/>
    </xf>
    <xf borderId="0" fillId="0" fontId="9" numFmtId="171" xfId="0" applyAlignment="1" applyFont="1" applyNumberFormat="1">
      <alignment horizontal="right" readingOrder="0" vertical="bottom"/>
    </xf>
    <xf borderId="0" fillId="0" fontId="37" numFmtId="171" xfId="0" applyFont="1" applyNumberFormat="1"/>
    <xf borderId="54" fillId="0" fontId="22" numFmtId="171" xfId="0" applyBorder="1" applyFont="1" applyNumberFormat="1"/>
    <xf borderId="55" fillId="24" fontId="3" numFmtId="0" xfId="0" applyAlignment="1" applyBorder="1" applyFont="1">
      <alignment horizontal="right" shrinkToFit="0" vertical="bottom" wrapText="1"/>
    </xf>
    <xf borderId="23" fillId="26" fontId="3" numFmtId="0" xfId="0" applyAlignment="1" applyBorder="1" applyFont="1">
      <alignment horizontal="right" shrinkToFit="0" vertical="bottom" wrapText="1"/>
    </xf>
    <xf borderId="36" fillId="26" fontId="3" numFmtId="0" xfId="0" applyAlignment="1" applyBorder="1" applyFont="1">
      <alignment horizontal="right" shrinkToFit="0" vertical="bottom" wrapText="1"/>
    </xf>
    <xf borderId="37" fillId="26" fontId="3" numFmtId="0" xfId="0" applyAlignment="1" applyBorder="1" applyFont="1">
      <alignment horizontal="right" shrinkToFit="0" vertical="bottom" wrapText="1"/>
    </xf>
    <xf borderId="28" fillId="26" fontId="3" numFmtId="0" xfId="0" applyAlignment="1" applyBorder="1" applyFont="1">
      <alignment horizontal="right" shrinkToFit="0" vertical="bottom" wrapText="1"/>
    </xf>
    <xf borderId="56" fillId="24" fontId="3" numFmtId="0" xfId="0" applyAlignment="1" applyBorder="1" applyFont="1">
      <alignment horizontal="right" shrinkToFit="0" vertical="bottom" wrapText="1"/>
    </xf>
    <xf borderId="28" fillId="24" fontId="3" numFmtId="0" xfId="0" applyAlignment="1" applyBorder="1" applyFont="1">
      <alignment horizontal="right" readingOrder="0" shrinkToFit="0" vertical="bottom" wrapText="1"/>
    </xf>
    <xf borderId="0" fillId="0" fontId="3" numFmtId="171" xfId="0" applyAlignment="1" applyFont="1" applyNumberFormat="1">
      <alignment horizontal="right" readingOrder="0" vertical="bottom"/>
    </xf>
    <xf borderId="0" fillId="0" fontId="22" numFmtId="171" xfId="0" applyFont="1" applyNumberFormat="1"/>
    <xf borderId="54" fillId="0" fontId="22" numFmtId="0" xfId="0" applyBorder="1" applyFont="1"/>
    <xf borderId="0" fillId="20" fontId="3" numFmtId="0" xfId="0" applyAlignment="1" applyFont="1">
      <alignment horizontal="right" readingOrder="0" shrinkToFit="0" vertical="bottom" wrapText="1"/>
    </xf>
    <xf borderId="57" fillId="0" fontId="3" numFmtId="0" xfId="0" applyAlignment="1" applyBorder="1" applyFont="1">
      <alignment readingOrder="0" vertical="bottom"/>
    </xf>
    <xf borderId="31" fillId="0" fontId="3" numFmtId="171" xfId="0" applyAlignment="1" applyBorder="1" applyFont="1" applyNumberFormat="1">
      <alignment horizontal="right" readingOrder="0" vertical="bottom"/>
    </xf>
    <xf borderId="31" fillId="0" fontId="22" numFmtId="171" xfId="0" applyBorder="1" applyFont="1" applyNumberFormat="1"/>
    <xf borderId="58" fillId="0" fontId="22" numFmtId="171" xfId="0" applyBorder="1" applyFont="1" applyNumberFormat="1"/>
    <xf borderId="59" fillId="0" fontId="22" numFmtId="0" xfId="0" applyAlignment="1" applyBorder="1" applyFont="1">
      <alignment readingOrder="0"/>
    </xf>
    <xf borderId="60" fillId="0" fontId="22" numFmtId="171" xfId="0" applyBorder="1" applyFont="1" applyNumberFormat="1"/>
    <xf borderId="61" fillId="0" fontId="22" numFmtId="171" xfId="0" applyBorder="1" applyFont="1" applyNumberFormat="1"/>
    <xf borderId="21" fillId="0" fontId="3" numFmtId="0" xfId="0" applyAlignment="1" applyBorder="1" applyFont="1">
      <alignment horizontal="right" readingOrder="0" shrinkToFit="0" vertical="bottom" wrapText="1"/>
    </xf>
    <xf borderId="23" fillId="24" fontId="3" numFmtId="0" xfId="0" applyAlignment="1" applyBorder="1" applyFont="1">
      <alignment horizontal="right" shrinkToFit="0" vertical="bottom" wrapText="1"/>
    </xf>
    <xf borderId="28" fillId="24" fontId="3" numFmtId="0" xfId="0" applyAlignment="1" applyBorder="1" applyFont="1">
      <alignment horizontal="right" shrinkToFit="0" vertical="bottom" wrapText="1"/>
    </xf>
    <xf borderId="27" fillId="24" fontId="3" numFmtId="0" xfId="0" applyAlignment="1" applyBorder="1" applyFont="1">
      <alignment horizontal="right" readingOrder="0" shrinkToFit="0" vertical="bottom" wrapText="1"/>
    </xf>
    <xf borderId="0" fillId="27" fontId="28" numFmtId="0" xfId="0" applyAlignment="1" applyFill="1" applyFont="1">
      <alignment horizontal="center" vertical="bottom"/>
    </xf>
    <xf borderId="44" fillId="27" fontId="28" numFmtId="0" xfId="0" applyAlignment="1" applyBorder="1" applyFont="1">
      <alignment horizontal="right" shrinkToFit="0" vertical="bottom" wrapText="1"/>
    </xf>
    <xf borderId="0" fillId="27" fontId="28" numFmtId="0" xfId="0" applyAlignment="1" applyFont="1">
      <alignment horizontal="right" shrinkToFit="0" vertical="bottom" wrapText="1"/>
    </xf>
    <xf borderId="21" fillId="27" fontId="28" numFmtId="0" xfId="0" applyAlignment="1" applyBorder="1" applyFont="1">
      <alignment horizontal="right" shrinkToFit="0" vertical="bottom" wrapText="1"/>
    </xf>
    <xf borderId="11" fillId="27" fontId="28" numFmtId="0" xfId="0" applyAlignment="1" applyBorder="1" applyFont="1">
      <alignment horizontal="right" shrinkToFit="0" vertical="bottom" wrapText="1"/>
    </xf>
    <xf borderId="0" fillId="27" fontId="28" numFmtId="1" xfId="0" applyAlignment="1" applyFont="1" applyNumberFormat="1">
      <alignment horizontal="right" shrinkToFit="0" vertical="bottom" wrapText="1"/>
    </xf>
    <xf borderId="62" fillId="27" fontId="28" numFmtId="0" xfId="0" applyAlignment="1" applyBorder="1" applyFont="1">
      <alignment horizontal="right" shrinkToFit="0" vertical="bottom" wrapText="1"/>
    </xf>
    <xf borderId="48" fillId="27" fontId="28" numFmtId="1" xfId="0" applyAlignment="1" applyBorder="1" applyFont="1" applyNumberFormat="1">
      <alignment horizontal="right" shrinkToFit="0" vertical="bottom" wrapText="1"/>
    </xf>
    <xf borderId="0" fillId="0" fontId="33" numFmtId="3" xfId="0" applyFont="1" applyNumberFormat="1"/>
    <xf borderId="0" fillId="0" fontId="22" numFmtId="3" xfId="0" applyFont="1" applyNumberFormat="1"/>
    <xf borderId="0" fillId="0" fontId="33" numFmtId="0" xfId="0" applyAlignment="1" applyFont="1">
      <alignment readingOrder="0" shrinkToFit="0" wrapText="1"/>
    </xf>
    <xf borderId="0" fillId="0" fontId="22" numFmtId="172" xfId="0" applyAlignment="1" applyFont="1" applyNumberFormat="1">
      <alignment readingOrder="0"/>
    </xf>
    <xf borderId="0" fillId="0" fontId="22" numFmtId="173" xfId="0" applyAlignment="1" applyFont="1" applyNumberFormat="1">
      <alignment readingOrder="0"/>
    </xf>
    <xf borderId="0" fillId="0" fontId="22" numFmtId="9" xfId="0" applyFont="1" applyNumberFormat="1"/>
    <xf borderId="0" fillId="0" fontId="22" numFmtId="174" xfId="0" applyAlignment="1" applyFont="1" applyNumberForma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7">
    <dxf>
      <font>
        <b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3">
    <tableStyle count="3" pivot="0" name="Copy of (Current baseline) Seas-style">
      <tableStyleElement dxfId="2" type="headerRow"/>
      <tableStyleElement dxfId="3" type="firstRowStripe"/>
      <tableStyleElement dxfId="4" type="secondRowStripe"/>
    </tableStyle>
    <tableStyle count="3" pivot="0" name="Copy of (Current baseline) Seas-style 2">
      <tableStyleElement dxfId="2" type="headerRow"/>
      <tableStyleElement dxfId="3" type="firstRowStripe"/>
      <tableStyleElement dxfId="4" type="secondRowStripe"/>
    </tableStyle>
    <tableStyle count="3" pivot="0" name="Copy of (Current baseline) Seas-style 3">
      <tableStyleElement dxfId="5" type="headerRow"/>
      <tableStyleElement dxfId="3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net, net (sim) and net (sim) spend same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Segment'!$G$21:$G$22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'Sim per Segment'!$F$23:$F$32</c:f>
            </c:strRef>
          </c:cat>
          <c:val>
            <c:numRef>
              <c:f>'Sim per Segment'!$G$23:$G$32</c:f>
              <c:numCache/>
            </c:numRef>
          </c:val>
        </c:ser>
        <c:ser>
          <c:idx val="1"/>
          <c:order val="1"/>
          <c:tx>
            <c:strRef>
              <c:f>'Sim per Segment'!$H$21:$H$22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'Sim per Segment'!$F$23:$F$32</c:f>
            </c:strRef>
          </c:cat>
          <c:val>
            <c:numRef>
              <c:f>'Sim per Segment'!$H$23:$H$32</c:f>
              <c:numCache/>
            </c:numRef>
          </c:val>
        </c:ser>
        <c:ser>
          <c:idx val="2"/>
          <c:order val="2"/>
          <c:tx>
            <c:strRef>
              <c:f>'Sim per Segment'!$I$21:$I$22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'Sim per Segment'!$F$23:$F$32</c:f>
            </c:strRef>
          </c:cat>
          <c:val>
            <c:numRef>
              <c:f>'Sim per Segment'!$I$23:$I$32</c:f>
              <c:numCache/>
            </c:numRef>
          </c:val>
        </c:ser>
        <c:ser>
          <c:idx val="3"/>
          <c:order val="3"/>
          <c:tx>
            <c:strRef>
              <c:f>'Sim per Segment'!$J$21:$J$22</c:f>
            </c:strRef>
          </c:tx>
          <c:cat>
            <c:strRef>
              <c:f>'Sim per Segment'!$F$23:$F$32</c:f>
            </c:strRef>
          </c:cat>
          <c:val>
            <c:numRef>
              <c:f>'Sim per Segment'!$J$23:$J$32</c:f>
              <c:numCache/>
            </c:numRef>
          </c:val>
        </c:ser>
        <c:ser>
          <c:idx val="4"/>
          <c:order val="4"/>
          <c:tx>
            <c:strRef>
              <c:f>'Sim per Segment'!$K$21:$K$22</c:f>
            </c:strRef>
          </c:tx>
          <c:cat>
            <c:strRef>
              <c:f>'Sim per Segment'!$F$23:$F$32</c:f>
            </c:strRef>
          </c:cat>
          <c:val>
            <c:numRef>
              <c:f>'Sim per Segment'!$K$23:$K$32</c:f>
              <c:numCache/>
            </c:numRef>
          </c:val>
        </c:ser>
        <c:axId val="757422984"/>
        <c:axId val="1648065780"/>
      </c:barChart>
      <c:catAx>
        <c:axId val="757422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065780"/>
      </c:catAx>
      <c:valAx>
        <c:axId val="16480657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74229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spend (HC)</c:v>
          </c:tx>
          <c:spPr>
            <a:ln cmpd="sng" w="19050">
              <a:solidFill>
                <a:srgbClr val="4F81B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example!$B$5:$B$24</c:f>
            </c:strRef>
          </c:cat>
          <c:val>
            <c:numRef>
              <c:f>example!$C$5:$C$24</c:f>
              <c:numCache/>
            </c:numRef>
          </c:val>
          <c:smooth val="0"/>
        </c:ser>
        <c:ser>
          <c:idx val="1"/>
          <c:order val="1"/>
          <c:tx>
            <c:v>predicted HC spend</c:v>
          </c:tx>
          <c:spPr>
            <a:ln cmpd="sng" w="19050">
              <a:solidFill>
                <a:srgbClr val="C0504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example!$B$5:$B$24</c:f>
            </c:strRef>
          </c:cat>
          <c:val>
            <c:numRef>
              <c:f>example!$F$5:$F$24</c:f>
              <c:numCache/>
            </c:numRef>
          </c:val>
          <c:smooth val="0"/>
        </c:ser>
        <c:axId val="148871194"/>
        <c:axId val="72107893"/>
      </c:lineChart>
      <c:catAx>
        <c:axId val="148871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2107893"/>
      </c:catAx>
      <c:valAx>
        <c:axId val="72107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887119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757575"/>
                </a:solidFill>
                <a:latin typeface="Calibri"/>
              </a:defRPr>
            </a:pPr>
            <a:r>
              <a:rPr b="0" i="0" sz="1800">
                <a:solidFill>
                  <a:srgbClr val="757575"/>
                </a:solidFill>
                <a:latin typeface="Calibri"/>
              </a:rPr>
              <a:t>trendline example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spend (HC)</c:v>
          </c:tx>
          <c:spPr>
            <a:ln cmpd="sng" w="19050">
              <a:solidFill>
                <a:srgbClr val="4F81BD">
                  <a:alpha val="100000"/>
                </a:srgbClr>
              </a:solidFill>
            </a:ln>
          </c:spPr>
          <c:marker>
            <c:symbol val="none"/>
          </c:marker>
          <c:trendline>
            <c:name>Linear (spend (HC))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example!$B$5:$B$24</c:f>
            </c:strRef>
          </c:cat>
          <c:val>
            <c:numRef>
              <c:f>example!$C$5:$C$24</c:f>
              <c:numCache/>
            </c:numRef>
          </c:val>
          <c:smooth val="0"/>
        </c:ser>
        <c:axId val="807007775"/>
        <c:axId val="437347470"/>
      </c:lineChart>
      <c:catAx>
        <c:axId val="807007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row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37347470"/>
      </c:catAx>
      <c:valAx>
        <c:axId val="437347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0700777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baseline: Value in coins per reward tier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'Copy of (Current baseline) Seas'!$P$1</c:f>
            </c:strRef>
          </c:tx>
          <c:cat>
            <c:strRef>
              <c:f>'Copy of (Current baseline) Seas'!$A$2:$A$31</c:f>
            </c:strRef>
          </c:cat>
          <c:val>
            <c:numRef>
              <c:f>'Copy of (Current baseline) Seas'!$P$2:$P$31</c:f>
              <c:numCache/>
            </c:numRef>
          </c:val>
        </c:ser>
        <c:ser>
          <c:idx val="1"/>
          <c:order val="1"/>
          <c:tx>
            <c:strRef>
              <c:f>'Copy of (Current baseline) Seas'!$AC$1</c:f>
            </c:strRef>
          </c:tx>
          <c:cat>
            <c:strRef>
              <c:f>'Copy of (Current baseline) Seas'!$A$2:$A$31</c:f>
            </c:strRef>
          </c:cat>
          <c:val>
            <c:numRef>
              <c:f>'Copy of (Current baseline) Seas'!$AC$2:$AC$31</c:f>
              <c:numCache/>
            </c:numRef>
          </c:val>
        </c:ser>
        <c:overlap val="100"/>
        <c:axId val="915839622"/>
        <c:axId val="74057691"/>
      </c:barChart>
      <c:catAx>
        <c:axId val="915839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57691"/>
      </c:catAx>
      <c:valAx>
        <c:axId val="7405769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158396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11" Type="http://schemas.openxmlformats.org/officeDocument/2006/relationships/image" Target="../media/image2.png"/><Relationship Id="rId10" Type="http://schemas.openxmlformats.org/officeDocument/2006/relationships/image" Target="../media/image4.png"/><Relationship Id="rId9" Type="http://schemas.openxmlformats.org/officeDocument/2006/relationships/image" Target="../media/image7.png"/><Relationship Id="rId5" Type="http://schemas.openxmlformats.org/officeDocument/2006/relationships/image" Target="../media/image10.png"/><Relationship Id="rId6" Type="http://schemas.openxmlformats.org/officeDocument/2006/relationships/image" Target="../media/image11.png"/><Relationship Id="rId7" Type="http://schemas.openxmlformats.org/officeDocument/2006/relationships/image" Target="../media/image9.png"/><Relationship Id="rId8" Type="http://schemas.openxmlformats.org/officeDocument/2006/relationships/image" Target="../media/image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11" Type="http://schemas.openxmlformats.org/officeDocument/2006/relationships/image" Target="../media/image2.png"/><Relationship Id="rId10" Type="http://schemas.openxmlformats.org/officeDocument/2006/relationships/image" Target="../media/image4.png"/><Relationship Id="rId9" Type="http://schemas.openxmlformats.org/officeDocument/2006/relationships/image" Target="../media/image7.png"/><Relationship Id="rId5" Type="http://schemas.openxmlformats.org/officeDocument/2006/relationships/image" Target="../media/image10.png"/><Relationship Id="rId6" Type="http://schemas.openxmlformats.org/officeDocument/2006/relationships/image" Target="../media/image11.png"/><Relationship Id="rId7" Type="http://schemas.openxmlformats.org/officeDocument/2006/relationships/image" Target="../media/image9.png"/><Relationship Id="rId8" Type="http://schemas.openxmlformats.org/officeDocument/2006/relationships/image" Target="../media/image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11" Type="http://schemas.openxmlformats.org/officeDocument/2006/relationships/image" Target="../media/image2.png"/><Relationship Id="rId10" Type="http://schemas.openxmlformats.org/officeDocument/2006/relationships/image" Target="../media/image4.png"/><Relationship Id="rId9" Type="http://schemas.openxmlformats.org/officeDocument/2006/relationships/image" Target="../media/image7.png"/><Relationship Id="rId5" Type="http://schemas.openxmlformats.org/officeDocument/2006/relationships/image" Target="../media/image10.png"/><Relationship Id="rId6" Type="http://schemas.openxmlformats.org/officeDocument/2006/relationships/image" Target="../media/image11.png"/><Relationship Id="rId7" Type="http://schemas.openxmlformats.org/officeDocument/2006/relationships/image" Target="../media/image9.png"/><Relationship Id="rId8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11" Type="http://schemas.openxmlformats.org/officeDocument/2006/relationships/image" Target="../media/image2.png"/><Relationship Id="rId10" Type="http://schemas.openxmlformats.org/officeDocument/2006/relationships/image" Target="../media/image4.png"/><Relationship Id="rId9" Type="http://schemas.openxmlformats.org/officeDocument/2006/relationships/image" Target="../media/image7.png"/><Relationship Id="rId5" Type="http://schemas.openxmlformats.org/officeDocument/2006/relationships/image" Target="../media/image10.png"/><Relationship Id="rId6" Type="http://schemas.openxmlformats.org/officeDocument/2006/relationships/image" Target="../media/image11.png"/><Relationship Id="rId7" Type="http://schemas.openxmlformats.org/officeDocument/2006/relationships/image" Target="../media/image9.png"/><Relationship Id="rId8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11" Type="http://schemas.openxmlformats.org/officeDocument/2006/relationships/image" Target="../media/image2.png"/><Relationship Id="rId10" Type="http://schemas.openxmlformats.org/officeDocument/2006/relationships/image" Target="../media/image4.png"/><Relationship Id="rId9" Type="http://schemas.openxmlformats.org/officeDocument/2006/relationships/image" Target="../media/image7.png"/><Relationship Id="rId5" Type="http://schemas.openxmlformats.org/officeDocument/2006/relationships/image" Target="../media/image10.png"/><Relationship Id="rId6" Type="http://schemas.openxmlformats.org/officeDocument/2006/relationships/image" Target="../media/image11.png"/><Relationship Id="rId7" Type="http://schemas.openxmlformats.org/officeDocument/2006/relationships/image" Target="../media/image9.png"/><Relationship Id="rId8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17.xml.rels><?xml version="1.0" encoding="UTF-8" standalone="yes"?><Relationships xmlns="http://schemas.openxmlformats.org/package/2006/relationships"><Relationship Id="rId11" Type="http://schemas.openxmlformats.org/officeDocument/2006/relationships/image" Target="../media/image7.png"/><Relationship Id="rId10" Type="http://schemas.openxmlformats.org/officeDocument/2006/relationships/image" Target="../media/image8.png"/><Relationship Id="rId13" Type="http://schemas.openxmlformats.org/officeDocument/2006/relationships/image" Target="../media/image2.png"/><Relationship Id="rId12" Type="http://schemas.openxmlformats.org/officeDocument/2006/relationships/image" Target="../media/image4.png"/><Relationship Id="rId1" Type="http://schemas.openxmlformats.org/officeDocument/2006/relationships/chart" Target="../charts/chart4.xml"/><Relationship Id="rId2" Type="http://schemas.openxmlformats.org/officeDocument/2006/relationships/image" Target="../media/Chart5.png"/><Relationship Id="rId3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9.png"/><Relationship Id="rId5" Type="http://schemas.openxmlformats.org/officeDocument/2006/relationships/image" Target="../media/image3.png"/><Relationship Id="rId6" Type="http://schemas.openxmlformats.org/officeDocument/2006/relationships/image" Target="../media/image1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514350</xdr:colOff>
      <xdr:row>21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3</xdr:row>
      <xdr:rowOff>0</xdr:rowOff>
    </xdr:from>
    <xdr:ext cx="247650" cy="1905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5</xdr:row>
      <xdr:rowOff>0</xdr:rowOff>
    </xdr:from>
    <xdr:ext cx="171450" cy="1905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6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7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8</xdr:row>
      <xdr:rowOff>0</xdr:rowOff>
    </xdr:from>
    <xdr:ext cx="190500" cy="1905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9</xdr:row>
      <xdr:rowOff>0</xdr:rowOff>
    </xdr:from>
    <xdr:ext cx="190500" cy="190500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10</xdr:row>
      <xdr:rowOff>0</xdr:rowOff>
    </xdr:from>
    <xdr:ext cx="190500" cy="1905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11</xdr:row>
      <xdr:rowOff>0</xdr:rowOff>
    </xdr:from>
    <xdr:ext cx="200025" cy="1905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12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13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14</xdr:row>
      <xdr:rowOff>0</xdr:rowOff>
    </xdr:from>
    <xdr:ext cx="180975" cy="190500"/>
    <xdr:pic>
      <xdr:nvPicPr>
        <xdr:cNvPr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0</xdr:colOff>
      <xdr:row>4</xdr:row>
      <xdr:rowOff>0</xdr:rowOff>
    </xdr:from>
    <xdr:ext cx="247650" cy="1905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</xdr:row>
      <xdr:rowOff>0</xdr:rowOff>
    </xdr:from>
    <xdr:ext cx="171450" cy="1905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8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9</xdr:row>
      <xdr:rowOff>0</xdr:rowOff>
    </xdr:from>
    <xdr:ext cx="190500" cy="1905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</xdr:row>
      <xdr:rowOff>0</xdr:rowOff>
    </xdr:from>
    <xdr:ext cx="190500" cy="190500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</xdr:row>
      <xdr:rowOff>0</xdr:rowOff>
    </xdr:from>
    <xdr:ext cx="190500" cy="1905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12</xdr:row>
      <xdr:rowOff>0</xdr:rowOff>
    </xdr:from>
    <xdr:ext cx="200025" cy="1905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13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</xdr:row>
      <xdr:rowOff>0</xdr:rowOff>
    </xdr:from>
    <xdr:ext cx="180975" cy="190500"/>
    <xdr:pic>
      <xdr:nvPicPr>
        <xdr:cNvPr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68</xdr:col>
      <xdr:colOff>0</xdr:colOff>
      <xdr:row>4</xdr:row>
      <xdr:rowOff>0</xdr:rowOff>
    </xdr:from>
    <xdr:ext cx="247650" cy="1905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0</xdr:colOff>
      <xdr:row>6</xdr:row>
      <xdr:rowOff>0</xdr:rowOff>
    </xdr:from>
    <xdr:ext cx="171450" cy="1905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0</xdr:colOff>
      <xdr:row>7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0</xdr:colOff>
      <xdr:row>8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0</xdr:colOff>
      <xdr:row>9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0</xdr:colOff>
      <xdr:row>10</xdr:row>
      <xdr:rowOff>0</xdr:rowOff>
    </xdr:from>
    <xdr:ext cx="190500" cy="190500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0</xdr:colOff>
      <xdr:row>11</xdr:row>
      <xdr:rowOff>0</xdr:rowOff>
    </xdr:from>
    <xdr:ext cx="190500" cy="1905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0</xdr:colOff>
      <xdr:row>12</xdr:row>
      <xdr:rowOff>0</xdr:rowOff>
    </xdr:from>
    <xdr:ext cx="200025" cy="1905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0</xdr:colOff>
      <xdr:row>13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0</xdr:colOff>
      <xdr:row>14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0</xdr:colOff>
      <xdr:row>15</xdr:row>
      <xdr:rowOff>0</xdr:rowOff>
    </xdr:from>
    <xdr:ext cx="361950" cy="381000"/>
    <xdr:pic>
      <xdr:nvPicPr>
        <xdr:cNvPr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619125</xdr:colOff>
      <xdr:row>0</xdr:row>
      <xdr:rowOff>180975</xdr:rowOff>
    </xdr:from>
    <xdr:ext cx="6877050" cy="45148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114300</xdr:colOff>
      <xdr:row>35</xdr:row>
      <xdr:rowOff>114300</xdr:rowOff>
    </xdr:from>
    <xdr:ext cx="5429250" cy="36576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304800</xdr:colOff>
      <xdr:row>35</xdr:row>
      <xdr:rowOff>95250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29</xdr:col>
      <xdr:colOff>247650</xdr:colOff>
      <xdr:row>35</xdr:row>
      <xdr:rowOff>95250</xdr:rowOff>
    </xdr:from>
    <xdr:ext cx="5715000" cy="3533775"/>
    <xdr:pic>
      <xdr:nvPicPr>
        <xdr:cNvPr id="849333352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390525" cy="29527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390525" cy="4095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390525" cy="4191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390525" cy="4286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390525" cy="390525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390525" cy="390525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390525" cy="39052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390525" cy="36195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390525" cy="40005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390525" cy="400050"/>
    <xdr:pic>
      <xdr:nvPicPr>
        <xdr:cNvPr id="0" name="image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390525" cy="400050"/>
    <xdr:pic>
      <xdr:nvPicPr>
        <xdr:cNvPr id="0" name="image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0</xdr:rowOff>
    </xdr:from>
    <xdr:ext cx="390525" cy="29527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0</xdr:row>
      <xdr:rowOff>0</xdr:rowOff>
    </xdr:from>
    <xdr:ext cx="390525" cy="4095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0</xdr:row>
      <xdr:rowOff>0</xdr:rowOff>
    </xdr:from>
    <xdr:ext cx="390525" cy="4191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0</xdr:row>
      <xdr:rowOff>0</xdr:rowOff>
    </xdr:from>
    <xdr:ext cx="390525" cy="4286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0</xdr:row>
      <xdr:rowOff>0</xdr:rowOff>
    </xdr:from>
    <xdr:ext cx="390525" cy="390525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0</xdr:row>
      <xdr:rowOff>0</xdr:rowOff>
    </xdr:from>
    <xdr:ext cx="390525" cy="390525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0</xdr:row>
      <xdr:rowOff>0</xdr:rowOff>
    </xdr:from>
    <xdr:ext cx="390525" cy="39052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0</xdr:row>
      <xdr:rowOff>0</xdr:rowOff>
    </xdr:from>
    <xdr:ext cx="390525" cy="36195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0</xdr:row>
      <xdr:rowOff>0</xdr:rowOff>
    </xdr:from>
    <xdr:ext cx="390525" cy="40005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0</xdr:row>
      <xdr:rowOff>0</xdr:rowOff>
    </xdr:from>
    <xdr:ext cx="390525" cy="400050"/>
    <xdr:pic>
      <xdr:nvPicPr>
        <xdr:cNvPr id="0" name="image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0</xdr:row>
      <xdr:rowOff>0</xdr:rowOff>
    </xdr:from>
    <xdr:ext cx="390525" cy="400050"/>
    <xdr:pic>
      <xdr:nvPicPr>
        <xdr:cNvPr id="0" name="image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C1:AD31" displayName="Table_1" name="Table_1" id="1">
  <tableColumns count="2">
    <tableColumn name="Value in coins" id="1"/>
    <tableColumn name="Paid Timed Pre in coins" id="2"/>
  </tableColumns>
  <tableStyleInfo name="Copy of (Current baseline) Seas-style" showColumnStripes="0" showFirstColumn="1" showLastColumn="1" showRowStripes="1"/>
</table>
</file>

<file path=xl/tables/table2.xml><?xml version="1.0" encoding="utf-8"?>
<table xmlns="http://schemas.openxmlformats.org/spreadsheetml/2006/main" ref="AF1:AF31" displayName="Table_2" name="Table_2" id="2">
  <tableColumns count="1">
    <tableColumn name="Premium vs. free value" id="1"/>
  </tableColumns>
  <tableStyleInfo name="Copy of (Current baseline) Seas-style 2" showColumnStripes="0" showFirstColumn="1" showLastColumn="1" showRowStripes="1"/>
</table>
</file>

<file path=xl/tables/table3.xml><?xml version="1.0" encoding="utf-8"?>
<table xmlns="http://schemas.openxmlformats.org/spreadsheetml/2006/main" headerRowCount="0" ref="AG1:AI4" displayName="Table_3" name="Table_3" id="3">
  <tableColumns count="3">
    <tableColumn name="Column1" id="1"/>
    <tableColumn name="Column2" id="2"/>
    <tableColumn name="Column3" id="3"/>
  </tableColumns>
  <tableStyleInfo name="Copy of (Current baseline) Sea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redash.rovio.com/queries/62107/source" TargetMode="External"/><Relationship Id="rId2" Type="http://schemas.openxmlformats.org/officeDocument/2006/relationships/hyperlink" Target="https://redash.rovio.com/queries/62102/source" TargetMode="External"/><Relationship Id="rId3" Type="http://schemas.openxmlformats.org/officeDocument/2006/relationships/hyperlink" Target="https://redash.rovio.com/queries/62180" TargetMode="External"/><Relationship Id="rId4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.0"/>
    <col customWidth="1" min="2" max="2" width="19.86"/>
    <col customWidth="1" min="3" max="15" width="14.14"/>
    <col customWidth="1" min="16" max="16" width="2.0"/>
    <col customWidth="1" min="17" max="23" width="13.0"/>
    <col customWidth="1" min="24" max="24" width="2.0"/>
    <col customWidth="1" min="25" max="38" width="12.0"/>
    <col customWidth="1" min="39" max="39" width="3.86"/>
    <col customWidth="1" min="40" max="53" width="12.0"/>
    <col customWidth="1" min="54" max="54" width="3.57"/>
    <col customWidth="1" min="55" max="68" width="12.0"/>
    <col customWidth="1" min="69" max="69" width="4.29"/>
    <col customWidth="1" min="70" max="83" width="12.0"/>
  </cols>
  <sheetData>
    <row r="1" ht="15.0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</row>
    <row r="2" ht="15.0" customHeight="1">
      <c r="A2" s="1"/>
      <c r="B2" s="5" t="s">
        <v>0</v>
      </c>
      <c r="C2" s="6">
        <v>1.05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3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3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</row>
    <row r="4" ht="15.0" customHeight="1">
      <c r="A4" s="1"/>
      <c r="B4" s="1"/>
      <c r="C4" s="7" t="s"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/>
      <c r="P4" s="1"/>
      <c r="Q4" s="7" t="s">
        <v>2</v>
      </c>
      <c r="R4" s="8"/>
      <c r="S4" s="8"/>
      <c r="T4" s="8"/>
      <c r="U4" s="8"/>
      <c r="V4" s="8"/>
      <c r="W4" s="9"/>
      <c r="X4" s="1"/>
      <c r="Y4" s="10" t="s">
        <v>3</v>
      </c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9"/>
      <c r="AM4" s="1"/>
      <c r="AN4" s="11" t="s">
        <v>4</v>
      </c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3"/>
      <c r="BB4" s="1"/>
      <c r="BC4" s="11" t="s">
        <v>5</v>
      </c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3"/>
      <c r="BQ4" s="1"/>
      <c r="BR4" s="11" t="s">
        <v>6</v>
      </c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3"/>
      <c r="CF4" s="1"/>
      <c r="CG4" s="1"/>
      <c r="CH4" s="1"/>
      <c r="CI4" s="1"/>
      <c r="CJ4" s="1"/>
      <c r="CK4" s="1"/>
      <c r="CL4" s="1"/>
      <c r="CM4" s="1"/>
    </row>
    <row r="5" ht="49.5" customHeight="1">
      <c r="A5" s="14"/>
      <c r="B5" s="15" t="s">
        <v>7</v>
      </c>
      <c r="C5" s="15" t="s">
        <v>8</v>
      </c>
      <c r="D5" s="16" t="s">
        <v>9</v>
      </c>
      <c r="E5" s="17" t="s">
        <v>10</v>
      </c>
      <c r="F5" s="15" t="s">
        <v>11</v>
      </c>
      <c r="G5" s="18" t="s">
        <v>12</v>
      </c>
      <c r="H5" s="19" t="s">
        <v>13</v>
      </c>
      <c r="I5" s="20" t="s">
        <v>14</v>
      </c>
      <c r="J5" s="21" t="s">
        <v>15</v>
      </c>
      <c r="K5" s="22" t="s">
        <v>16</v>
      </c>
      <c r="L5" s="22" t="s">
        <v>17</v>
      </c>
      <c r="M5" s="22" t="s">
        <v>18</v>
      </c>
      <c r="N5" s="23" t="s">
        <v>19</v>
      </c>
      <c r="O5" s="20" t="s">
        <v>20</v>
      </c>
      <c r="P5" s="14"/>
      <c r="Q5" s="17" t="s">
        <v>21</v>
      </c>
      <c r="R5" s="23" t="s">
        <v>22</v>
      </c>
      <c r="S5" s="20" t="s">
        <v>23</v>
      </c>
      <c r="T5" s="15" t="s">
        <v>24</v>
      </c>
      <c r="U5" s="24" t="s">
        <v>25</v>
      </c>
      <c r="V5" s="25" t="s">
        <v>26</v>
      </c>
      <c r="W5" s="25" t="s">
        <v>27</v>
      </c>
      <c r="X5" s="14"/>
      <c r="Y5" s="26" t="s">
        <v>28</v>
      </c>
      <c r="Z5" s="26" t="s">
        <v>29</v>
      </c>
      <c r="AA5" s="26" t="s">
        <v>30</v>
      </c>
      <c r="AB5" s="26" t="s">
        <v>31</v>
      </c>
      <c r="AC5" s="26" t="s">
        <v>32</v>
      </c>
      <c r="AD5" s="27" t="s">
        <v>33</v>
      </c>
      <c r="AE5" s="27" t="s">
        <v>34</v>
      </c>
      <c r="AF5" s="28" t="s">
        <v>35</v>
      </c>
      <c r="AG5" s="27" t="s">
        <v>36</v>
      </c>
      <c r="AH5" s="27" t="s">
        <v>37</v>
      </c>
      <c r="AI5" s="29" t="s">
        <v>38</v>
      </c>
      <c r="AJ5" s="29" t="s">
        <v>39</v>
      </c>
      <c r="AK5" s="29" t="s">
        <v>40</v>
      </c>
      <c r="AL5" s="29" t="s">
        <v>41</v>
      </c>
      <c r="AM5" s="30"/>
      <c r="AN5" s="31" t="s">
        <v>28</v>
      </c>
      <c r="AO5" s="26" t="s">
        <v>29</v>
      </c>
      <c r="AP5" s="26" t="s">
        <v>30</v>
      </c>
      <c r="AQ5" s="26" t="s">
        <v>31</v>
      </c>
      <c r="AR5" s="26" t="s">
        <v>32</v>
      </c>
      <c r="AS5" s="27" t="s">
        <v>33</v>
      </c>
      <c r="AT5" s="27" t="s">
        <v>34</v>
      </c>
      <c r="AU5" s="27" t="s">
        <v>35</v>
      </c>
      <c r="AV5" s="28" t="s">
        <v>36</v>
      </c>
      <c r="AW5" s="27" t="s">
        <v>37</v>
      </c>
      <c r="AX5" s="29" t="s">
        <v>38</v>
      </c>
      <c r="AY5" s="29" t="s">
        <v>39</v>
      </c>
      <c r="AZ5" s="29" t="s">
        <v>40</v>
      </c>
      <c r="BA5" s="29" t="s">
        <v>41</v>
      </c>
      <c r="BB5" s="30"/>
      <c r="BC5" s="26" t="s">
        <v>28</v>
      </c>
      <c r="BD5" s="31" t="s">
        <v>29</v>
      </c>
      <c r="BE5" s="31" t="s">
        <v>30</v>
      </c>
      <c r="BF5" s="31" t="s">
        <v>31</v>
      </c>
      <c r="BG5" s="31" t="s">
        <v>32</v>
      </c>
      <c r="BH5" s="28" t="s">
        <v>33</v>
      </c>
      <c r="BI5" s="28" t="s">
        <v>34</v>
      </c>
      <c r="BJ5" s="28" t="s">
        <v>35</v>
      </c>
      <c r="BK5" s="28" t="s">
        <v>36</v>
      </c>
      <c r="BL5" s="28" t="s">
        <v>37</v>
      </c>
      <c r="BM5" s="32" t="s">
        <v>38</v>
      </c>
      <c r="BN5" s="32" t="s">
        <v>39</v>
      </c>
      <c r="BO5" s="32" t="s">
        <v>40</v>
      </c>
      <c r="BP5" s="32" t="s">
        <v>41</v>
      </c>
      <c r="BQ5" s="14"/>
      <c r="BR5" s="31" t="s">
        <v>28</v>
      </c>
      <c r="BS5" s="31" t="s">
        <v>29</v>
      </c>
      <c r="BT5" s="31" t="s">
        <v>30</v>
      </c>
      <c r="BU5" s="31" t="s">
        <v>31</v>
      </c>
      <c r="BV5" s="31" t="s">
        <v>32</v>
      </c>
      <c r="BW5" s="28" t="s">
        <v>33</v>
      </c>
      <c r="BX5" s="28" t="s">
        <v>34</v>
      </c>
      <c r="BY5" s="28" t="s">
        <v>35</v>
      </c>
      <c r="BZ5" s="28" t="s">
        <v>36</v>
      </c>
      <c r="CA5" s="28" t="s">
        <v>37</v>
      </c>
      <c r="CB5" s="32" t="s">
        <v>38</v>
      </c>
      <c r="CC5" s="32" t="s">
        <v>39</v>
      </c>
      <c r="CD5" s="32" t="s">
        <v>40</v>
      </c>
      <c r="CE5" s="32" t="s">
        <v>41</v>
      </c>
      <c r="CF5" s="14"/>
      <c r="CG5" s="14"/>
      <c r="CH5" s="14"/>
      <c r="CI5" s="14"/>
      <c r="CJ5" s="14"/>
      <c r="CK5" s="14"/>
      <c r="CL5" s="14"/>
      <c r="CM5" s="14"/>
    </row>
    <row r="6" ht="15.0" customHeight="1">
      <c r="A6" s="1"/>
      <c r="B6" s="33" t="s">
        <v>42</v>
      </c>
      <c r="C6" s="34"/>
      <c r="D6" s="34"/>
      <c r="E6" s="35"/>
      <c r="F6" s="34"/>
      <c r="G6" s="36"/>
      <c r="H6" s="37"/>
      <c r="I6" s="34"/>
      <c r="J6" s="34"/>
      <c r="K6" s="34"/>
      <c r="L6" s="34"/>
      <c r="M6" s="34"/>
      <c r="N6" s="37"/>
      <c r="O6" s="34"/>
      <c r="P6" s="34"/>
      <c r="Q6" s="35"/>
      <c r="R6" s="37"/>
      <c r="S6" s="34"/>
      <c r="T6" s="34"/>
      <c r="U6" s="37"/>
      <c r="V6" s="34"/>
      <c r="W6" s="34"/>
      <c r="X6" s="34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</row>
    <row r="7" ht="15.0" customHeight="1">
      <c r="A7" s="39"/>
      <c r="B7" s="40" t="s">
        <v>43</v>
      </c>
      <c r="C7" s="41">
        <f>data_processed!E2</f>
        <v>13.79924534</v>
      </c>
      <c r="D7" s="42">
        <f>data_processed!G2</f>
        <v>5.678563939</v>
      </c>
      <c r="E7" s="43">
        <f>data_processed!H2</f>
        <v>55.05672093</v>
      </c>
      <c r="F7" s="41">
        <f>data_processed!I2</f>
        <v>11.09847012</v>
      </c>
      <c r="G7" s="44">
        <f>data_processed!X2</f>
        <v>19.72543734</v>
      </c>
      <c r="H7" s="45">
        <f>data_processed!J2</f>
        <v>43.95859503</v>
      </c>
      <c r="I7" s="46">
        <f>IFERROR(D7*saga_progression_new!$C17,"")</f>
        <v>4.258922954</v>
      </c>
      <c r="J7" s="46">
        <f>IFERROR(daily_rewards_new!$B$13*data_processed!Y2,"")</f>
        <v>13.86233506</v>
      </c>
      <c r="K7" s="47">
        <f>data_processed!L2</f>
        <v>0.7316577627</v>
      </c>
      <c r="L7" s="47">
        <f>data_processed!M2</f>
        <v>0.3092837433</v>
      </c>
      <c r="M7" s="47">
        <f>data_processed!N2</f>
        <v>0.08611681279</v>
      </c>
      <c r="N7" s="48">
        <f>IFERROR(K7*ns_new!$F$5+L7*ns_new!$F$6+M7*ns_new!$F$7,"")</f>
        <v>4.384589625</v>
      </c>
      <c r="O7" s="46">
        <f t="shared" ref="O7:O11" si="1">IFERROR(H7+I7+N7+J7,"")</f>
        <v>66.46444267</v>
      </c>
      <c r="P7" s="49"/>
      <c r="Q7" s="43">
        <f>data_processed!K2</f>
        <v>53.73250265</v>
      </c>
      <c r="R7" s="48">
        <f t="shared" ref="R7:R11" si="2">IFERROR(E7-Q7,"")</f>
        <v>1.32421828</v>
      </c>
      <c r="S7" s="50">
        <f>data_processed!W2</f>
        <v>4.014309565</v>
      </c>
      <c r="T7" s="51">
        <f t="shared" ref="T7:T11" si="3">IFERROR(S7*($C$2-1),"")</f>
        <v>0.2007154782</v>
      </c>
      <c r="U7" s="52">
        <f>data_processed!R2</f>
        <v>17.833</v>
      </c>
      <c r="V7" s="53">
        <f t="shared" ref="V7:V11" si="4">IFERROR(O7-(Q7+U7*T7),"")</f>
        <v>9.152580894</v>
      </c>
      <c r="W7" s="51">
        <f t="shared" ref="W7:W11" si="5">IFERROR(O7-Q7,"")</f>
        <v>12.73194002</v>
      </c>
      <c r="X7" s="54"/>
      <c r="Y7" s="55">
        <f>SUMPRODUCT((data_segment_HC_gains!$A$48:$A$67="0-9")*(data_segment_HC_gains!$B$48:$B$67="p25")*data_segment_HC_gains!$C$48:$C$67)</f>
        <v>0</v>
      </c>
      <c r="Z7" s="55">
        <f>SUMPRODUCT((data_segment_HC_gains!$A$48:$A$67="0-9")*(data_segment_HC_gains!$B$48:$B$67="p25")*data_segment_HC_gains!$E$48:$E$67)</f>
        <v>22</v>
      </c>
      <c r="AA7" s="55">
        <f>SUMPRODUCT((data_raw_slopes!$A$2:$A$41="0-9")*(data_raw_slopes!$B$2:$B$41="nonpayer")*(data_raw_slopes!$C$2:$C$41="p25")*data_raw_slopes!$E$2:$E$41)</f>
        <v>2.03</v>
      </c>
      <c r="AB7" s="55">
        <f t="shared" ref="AB7:AB11" si="6">Z7-AA7</f>
        <v>19.97</v>
      </c>
      <c r="AC7" s="55">
        <f>SUMPRODUCT((data_segment_HC_gains!$A$48:$A$67="0-9")*(data_segment_HC_gains!$B$48:$B$67="p25")*data_segment_HC_gains!$G$48:$G$67)</f>
        <v>0.16</v>
      </c>
      <c r="AD7" s="56">
        <f t="shared" ref="AD7:AD11" si="7">Y7*1.15</f>
        <v>0</v>
      </c>
      <c r="AE7" s="56">
        <f>Z7-AC7*(1-(saga_progression_new!$C$17/saga_progression_old!$C$16))+IF(Y7&lt;ns_new!$E$5,0,IF(Y7*1.25&lt;ns_new!$E$6-ns_new!$E$5,ns_new!$F$5,IF(Y7*1.25^2&lt;ns_new!$E$7-ns_new!$E$6,ns_new!$F$5+ns_new!$F$6,ns_new!$F$5+ns_new!$F$6+ns_new!$F$7)))</f>
        <v>21.89714286</v>
      </c>
      <c r="AF7" s="57">
        <f>AA7+(IF(SUMPRODUCT((data_raw_slopes!$A$2:$A$41="0-9")*(data_raw_slopes!$B$2:$B$41="nonpayer")*(data_raw_slopes!$C$2:$C$41="p25")*data_raw_slopes!$F$2:$F$41)&gt;0,SUMPRODUCT((data_raw_slopes!$A$2:$A$41="0-9")*(data_raw_slopes!$B$2:$B$41="nonpayer")*(data_raw_slopes!$C$2:$C$41="p25")*data_raw_slopes!$F$2:$F$41),SUMPRODUCT((data_raw_slopes!$A$2:$A$41="0-9")*(data_raw_slopes!$B$2:$B$41="nonpayer")*(data_raw_slopes!$C$2:$C$41="p25")*data_raw_slopes!$G$2:$G$41)))*Y7*0.15</f>
        <v>2.03</v>
      </c>
      <c r="AG7" s="56">
        <f t="shared" ref="AG7:AG11" si="8">AE7-AF7</f>
        <v>19.86714286</v>
      </c>
      <c r="AH7" s="56">
        <f>AC7*(saga_progression_new!$C$17/saga_progression_old!$C$16)</f>
        <v>0.05714285714</v>
      </c>
      <c r="AI7" s="58">
        <f t="shared" ref="AI7:AI11" si="9">AG7-AB7</f>
        <v>-0.1028571429</v>
      </c>
      <c r="AJ7" s="58">
        <f t="shared" ref="AJ7:AJ11" si="10">AD7-Y7</f>
        <v>0</v>
      </c>
      <c r="AK7" s="58">
        <f t="shared" ref="AK7:AK11" si="11">AH7-AC7</f>
        <v>-0.1028571429</v>
      </c>
      <c r="AL7" s="58">
        <f t="shared" ref="AL7:AL11" si="12">AF7-AA7</f>
        <v>0</v>
      </c>
      <c r="AM7" s="59"/>
      <c r="AN7" s="60">
        <f>SUMPRODUCT((data_segment_HC_gains!$A$48:$A$67="0-9")*(data_segment_HC_gains!$B$48:$B$67="p50")*data_segment_HC_gains!$C$48:$C$67)</f>
        <v>1</v>
      </c>
      <c r="AO7" s="55">
        <f>SUMPRODUCT((data_segment_HC_gains!$A$48:$A$67="0-9")*(data_segment_HC_gains!$B$48:$B$67="p50")*data_segment_HC_gains!$E$48:$E$67)</f>
        <v>28.55</v>
      </c>
      <c r="AP7" s="55">
        <f>SUMPRODUCT((data_raw_slopes!$A$2:$A$41="0-9")*(data_raw_slopes!$B$2:$B$41="nonpayer")*(data_raw_slopes!$C$2:$C$41="p50")*data_raw_slopes!$E$2:$E$41)</f>
        <v>20.5</v>
      </c>
      <c r="AQ7" s="55">
        <f t="shared" ref="AQ7:AQ11" si="13">AO7-AP7</f>
        <v>8.05</v>
      </c>
      <c r="AR7" s="55">
        <f>SUMPRODUCT((data_segment_HC_gains!$A$48:$A$67="0-9")*(data_segment_HC_gains!$B$48:$B$67="p50")*data_segment_HC_gains!$G$48:$G$67)</f>
        <v>2.2</v>
      </c>
      <c r="AS7" s="61">
        <f t="shared" ref="AS7:AS11" si="14">AN7*1.15</f>
        <v>1.15</v>
      </c>
      <c r="AT7" s="61">
        <f>AO7-AR7*(1-(saga_progression_new!$C$17/saga_progression_old!$C$16))+IF(AN7&lt;ns_new!$E$5,0,IF(AN7*1.25&lt;ns_new!$E$6-ns_new!$E$5,ns_new!$F$5,IF(AN7*1.25^2&lt;ns_new!$E$7-ns_new!$E$6,ns_new!$F$5+ns_new!$F$6,ns_new!$F$5+ns_new!$F$6+ns_new!$F$7)))</f>
        <v>27.13571429</v>
      </c>
      <c r="AU7" s="61">
        <f>AP7+(IF(SUMPRODUCT((data_raw_slopes!$A$2:$A$41="0-9")*(data_raw_slopes!$B$2:$B$41="nonpayer")*(data_raw_slopes!$C$2:$C$41="p50")*data_raw_slopes!$F$2:$F$41)&gt;0,SUMPRODUCT((data_raw_slopes!$A$2:$A$41="0-9")*(data_raw_slopes!$B$2:$B$41="nonpayer")*(data_raw_slopes!$C$2:$C$41="p50")*data_raw_slopes!$F$2:$F$41),SUMPRODUCT((data_raw_slopes!$A$2:$A$41="0-9")*(data_raw_slopes!$B$2:$B$41="nonpayer")*(data_raw_slopes!$C$2:$C$41="p50")*data_raw_slopes!$G$2:$G$41)))*AN7*0.15</f>
        <v>23.17495</v>
      </c>
      <c r="AV7" s="62">
        <f t="shared" ref="AV7:AV11" si="15">AT7-AU7</f>
        <v>3.960764286</v>
      </c>
      <c r="AW7" s="61">
        <f>AR7*(saga_progression_new!$C$17/saga_progression_old!$C$16)</f>
        <v>0.7857142857</v>
      </c>
      <c r="AX7" s="63">
        <f t="shared" ref="AX7:AX11" si="16">AV7-AQ7</f>
        <v>-4.089235714</v>
      </c>
      <c r="AY7" s="63">
        <f t="shared" ref="AY7:AY11" si="17">AS7-AN7</f>
        <v>0.15</v>
      </c>
      <c r="AZ7" s="63">
        <f t="shared" ref="AZ7:AZ11" si="18">AW7-AR7</f>
        <v>-1.414285714</v>
      </c>
      <c r="BA7" s="63">
        <f t="shared" ref="BA7:BA11" si="19">AU7-AP7</f>
        <v>2.67495</v>
      </c>
      <c r="BB7" s="59"/>
      <c r="BC7" s="55">
        <f>SUMPRODUCT((data_segment_HC_gains!$A$48:$A$67="0-9")*(data_segment_HC_gains!$B$48:$B$67="p75")*data_segment_HC_gains!$C$48:$C$67)</f>
        <v>3</v>
      </c>
      <c r="BD7" s="60">
        <f>SUMPRODUCT((data_segment_HC_gains!$A$48:$A$67="0-9")*(data_segment_HC_gains!$B$48:$B$67="p75")*data_segment_HC_gains!$E$48:$E$67)</f>
        <v>46.44</v>
      </c>
      <c r="BE7" s="60">
        <f>SUMPRODUCT((data_raw_slopes!$A$2:$A$41="0-9")*(data_raw_slopes!$B$2:$B$41="nonpayer")*(data_raw_slopes!$C$2:$C$41="p75")*data_raw_slopes!$E$2:$E$41)</f>
        <v>43.7</v>
      </c>
      <c r="BF7" s="60">
        <f t="shared" ref="BF7:BF11" si="20">BD7-BE7</f>
        <v>2.74</v>
      </c>
      <c r="BG7" s="60">
        <f>SUMPRODUCT((data_segment_HC_gains!$A$48:$A$67="0-9")*(data_segment_HC_gains!$B$48:$B$67="p75")*data_segment_HC_gains!$G$48:$G$67)</f>
        <v>8.05</v>
      </c>
      <c r="BH7" s="62">
        <f t="shared" ref="BH7:BH11" si="21">BC7*1.15</f>
        <v>3.45</v>
      </c>
      <c r="BI7" s="62">
        <f>BD7-BG7*(1-(saga_progression_new!$C$17/saga_progression_old!$C$16))+IF(BC7&lt;ns_new!$E$5,0,IF(BC7*1.25&lt;ns_new!$E$6-ns_new!$E$5,ns_new!$F$5,IF(BC7*1.25^2&lt;ns_new!$E$7-ns_new!$E$6,ns_new!$F$5+ns_new!$F$6,ns_new!$F$5+ns_new!$F$6+ns_new!$F$7)))</f>
        <v>51.265</v>
      </c>
      <c r="BJ7" s="62">
        <f>BE7+(IF(SUMPRODUCT((data_raw_slopes!$A$2:$A$41="0-9")*(data_raw_slopes!$B$2:$B$41="nonpayer")*(data_raw_slopes!$C$2:$C$41="p75")*data_raw_slopes!$F$2:$F$41)&gt;0,SUMPRODUCT((data_raw_slopes!$A$2:$A$41="0-9")*(data_raw_slopes!$B$2:$B$41="nonpayer")*(data_raw_slopes!$C$2:$C$41="p75")*data_raw_slopes!$F$2:$F$41),SUMPRODUCT((data_raw_slopes!$A$2:$A$41="0-9")*(data_raw_slopes!$B$2:$B$41="nonpayer")*(data_raw_slopes!$C$2:$C$41="p75")*data_raw_slopes!$G$2:$G$41)))*BC7*0.15</f>
        <v>47.582735</v>
      </c>
      <c r="BK7" s="62">
        <f t="shared" ref="BK7:BK11" si="22">BI7-BJ7</f>
        <v>3.682265</v>
      </c>
      <c r="BL7" s="62">
        <f>BG7*(saga_progression_new!$C$17/saga_progression_old!$C$16)</f>
        <v>2.875</v>
      </c>
      <c r="BM7" s="64">
        <f t="shared" ref="BM7:BM11" si="23">BK7-BF7</f>
        <v>0.942265</v>
      </c>
      <c r="BN7" s="64">
        <f t="shared" ref="BN7:BN11" si="24">BH7-BC7</f>
        <v>0.45</v>
      </c>
      <c r="BO7" s="64">
        <f t="shared" ref="BO7:BO11" si="25">BL7-BG7</f>
        <v>-5.175</v>
      </c>
      <c r="BP7" s="64">
        <f t="shared" ref="BP7:BP11" si="26">BJ7-BE7</f>
        <v>3.882735</v>
      </c>
      <c r="BQ7" s="54"/>
      <c r="BR7" s="60">
        <f>SUMPRODUCT((data_segment_HC_gains!$A$48:$A$67="0-9")*(data_segment_HC_gains!$B$48:$B$67="p90")*data_segment_HC_gains!$C$48:$C$67)</f>
        <v>7</v>
      </c>
      <c r="BS7" s="60">
        <f>SUMPRODUCT((data_segment_HC_gains!$A$48:$A$67="0-9")*(data_segment_HC_gains!$B$48:$B$67="p90")*data_segment_HC_gains!$E$48:$E$67)</f>
        <v>64.94</v>
      </c>
      <c r="BT7" s="60">
        <f>SUMPRODUCT((data_raw_slopes!$A$2:$A$41="0-9")*(data_raw_slopes!$B$2:$B$41="nonpayer")*(data_raw_slopes!$C$2:$C$41="p90")*data_raw_slopes!$E$2:$E$41)</f>
        <v>79.1</v>
      </c>
      <c r="BU7" s="60">
        <f t="shared" ref="BU7:BU11" si="27">BS7-BT7</f>
        <v>-14.16</v>
      </c>
      <c r="BV7" s="60">
        <f>SUMPRODUCT((data_segment_HC_gains!$A$48:$A$67="0-9")*(data_segment_HC_gains!$B$48:$B$67="p90")*data_segment_HC_gains!$G$48:$G$67)</f>
        <v>15.63</v>
      </c>
      <c r="BW7" s="62">
        <f t="shared" ref="BW7:BW11" si="28">BR7*1.15</f>
        <v>8.05</v>
      </c>
      <c r="BX7" s="62">
        <f>BS7-BV7*(1-(saga_progression_new!$C$17/saga_progression_old!$C$16))+IF(BR7&lt;ns_new!$E$5,0,IF(BR7*1.25&lt;ns_new!$E$6-ns_new!$E$5,ns_new!$F$5,IF(BR7*1.25^2&lt;ns_new!$E$7-ns_new!$E$6,ns_new!$F$5+ns_new!$F$6,ns_new!$F$5+ns_new!$F$6+ns_new!$F$7)))</f>
        <v>79.89214286</v>
      </c>
      <c r="BY7" s="62">
        <f>BT7+(IF(SUMPRODUCT((data_raw_slopes!$A$2:$A$41="0-9")*(data_raw_slopes!$B$2:$B$41="nonpayer")*(data_raw_slopes!$C$2:$C$41="p90")*data_raw_slopes!$F$2:$F$41)&gt;0,SUMPRODUCT((data_raw_slopes!$A$2:$A$41="0-9")*(data_raw_slopes!$B$2:$B$41="nonpayer")*(data_raw_slopes!$C$2:$C$41="p90")*data_raw_slopes!$F$2:$F$41),SUMPRODUCT((data_raw_slopes!$A$2:$A$41="0-9")*(data_raw_slopes!$B$2:$B$41="nonpayer")*(data_raw_slopes!$C$2:$C$41="p90")*data_raw_slopes!$G$2:$G$41)))*BR7*0.15</f>
        <v>86.442125</v>
      </c>
      <c r="BZ7" s="62">
        <f t="shared" ref="BZ7:BZ11" si="29">BX7-BY7</f>
        <v>-6.549982143</v>
      </c>
      <c r="CA7" s="62">
        <f>BV7*(saga_progression_new!$C$17/saga_progression_old!$C$16)</f>
        <v>5.582142857</v>
      </c>
      <c r="CB7" s="64">
        <f t="shared" ref="CB7:CB11" si="30">BZ7-BU7</f>
        <v>7.610017857</v>
      </c>
      <c r="CC7" s="64">
        <f t="shared" ref="CC7:CC11" si="31">BW7-BR7</f>
        <v>1.05</v>
      </c>
      <c r="CD7" s="64">
        <f t="shared" ref="CD7:CD11" si="32">CA7-BV7</f>
        <v>-10.04785714</v>
      </c>
      <c r="CE7" s="64">
        <f t="shared" ref="CE7:CE11" si="33">BY7-BT7</f>
        <v>7.342125</v>
      </c>
      <c r="CF7" s="39"/>
      <c r="CG7" s="39"/>
      <c r="CH7" s="39"/>
      <c r="CI7" s="39"/>
      <c r="CJ7" s="39"/>
      <c r="CK7" s="39"/>
      <c r="CL7" s="39"/>
      <c r="CM7" s="39"/>
    </row>
    <row r="8" ht="15.0" customHeight="1">
      <c r="A8" s="39"/>
      <c r="B8" s="40" t="s">
        <v>44</v>
      </c>
      <c r="C8" s="41">
        <f>data_processed!E3</f>
        <v>26.96606394</v>
      </c>
      <c r="D8" s="42">
        <f>data_processed!G3</f>
        <v>14.38549436</v>
      </c>
      <c r="E8" s="43">
        <f>data_processed!H3</f>
        <v>100.2844624</v>
      </c>
      <c r="F8" s="41">
        <f>data_processed!I3</f>
        <v>27.60077982</v>
      </c>
      <c r="G8" s="44">
        <f>data_processed!X3</f>
        <v>20.63398846</v>
      </c>
      <c r="H8" s="45">
        <f>data_processed!J3</f>
        <v>72.68375847</v>
      </c>
      <c r="I8" s="46">
        <f>IFERROR(D8*saga_progression_new!$E17,"")</f>
        <v>10.78912077</v>
      </c>
      <c r="J8" s="46">
        <f>IFERROR(daily_rewards_new!$B$13*data_processed!Y3,"")</f>
        <v>15.68596652</v>
      </c>
      <c r="K8" s="47">
        <f>data_processed!L3</f>
        <v>0.6092783093</v>
      </c>
      <c r="L8" s="47">
        <f>data_processed!M3</f>
        <v>0.2625770105</v>
      </c>
      <c r="M8" s="47">
        <f>data_processed!N3</f>
        <v>0.0464029229</v>
      </c>
      <c r="N8" s="48">
        <f>IFERROR(K8*ns_new!$F$11+L8*ns_new!$F$12+M8*ns_new!$F$13,"")</f>
        <v>16.75426878</v>
      </c>
      <c r="O8" s="46">
        <f t="shared" si="1"/>
        <v>115.9131145</v>
      </c>
      <c r="P8" s="49"/>
      <c r="Q8" s="43">
        <f>data_processed!K3</f>
        <v>101.0060543</v>
      </c>
      <c r="R8" s="48">
        <f t="shared" si="2"/>
        <v>-0.7215918655</v>
      </c>
      <c r="S8" s="50">
        <f>data_processed!W3</f>
        <v>9.449236951</v>
      </c>
      <c r="T8" s="51">
        <f t="shared" si="3"/>
        <v>0.4724618475</v>
      </c>
      <c r="U8" s="52">
        <f>data_processed!R3</f>
        <v>5.3655</v>
      </c>
      <c r="V8" s="53">
        <f t="shared" si="4"/>
        <v>12.37206623</v>
      </c>
      <c r="W8" s="51">
        <f t="shared" si="5"/>
        <v>14.90706028</v>
      </c>
      <c r="X8" s="54"/>
      <c r="Y8" s="55">
        <f>SUMPRODUCT((data_segment_HC_gains!$A$48:$A$67="10-19")*(data_segment_HC_gains!$B$48:$B$67="p25")*data_segment_HC_gains!$C$48:$C$67)</f>
        <v>3</v>
      </c>
      <c r="Z8" s="55">
        <f>SUMPRODUCT((data_segment_HC_gains!$A$48:$A$67="10-19")*(data_segment_HC_gains!$B$48:$B$67="p25")*data_segment_HC_gains!$E$48:$E$67)</f>
        <v>73.44</v>
      </c>
      <c r="AA8" s="55">
        <f>SUMPRODUCT((data_raw_slopes!$A$2:$A$41="10-19")*(data_raw_slopes!$B$2:$B$41="nonpayer")*(data_raw_slopes!$C$2:$C$41="p25")*data_raw_slopes!$E$2:$E$41)</f>
        <v>60.89</v>
      </c>
      <c r="AB8" s="55">
        <f t="shared" si="6"/>
        <v>12.55</v>
      </c>
      <c r="AC8" s="55">
        <f>SUMPRODUCT((data_segment_HC_gains!$A$48:$A$67="10-19")*(data_segment_HC_gains!$B$48:$B$67="p25")*data_segment_HC_gains!$G$48:$G$67)</f>
        <v>16.36</v>
      </c>
      <c r="AD8" s="56">
        <f t="shared" si="7"/>
        <v>3.45</v>
      </c>
      <c r="AE8" s="56">
        <f>Z8-AC8*(1-(saga_progression_new!$E$17/saga_progression_old!$C$16))+IF(Y8&lt;ns_new!$E$11,0,IF(Y8*1.25&lt;ns_new!$E$12-ns_new!$E$11,ns_new!$F$11,IF(Y8*1.25^2&lt;ns_new!$E$13-ns_new!$E$12,ns_new!$F$11+ns_new!$F$12,ns_new!$F$11+ns_new!$F$12+ns_new!$F$13)))</f>
        <v>62.92285714</v>
      </c>
      <c r="AF8" s="57">
        <f>AA8+(IF(SUMPRODUCT((data_raw_slopes!$A$2:$A$41="10-19")*(data_raw_slopes!$B$2:$B$41="nonpayer")*(data_raw_slopes!$C$2:$C$41="p25")*data_raw_slopes!$F$2:$F$41)&gt;0,SUMPRODUCT((data_raw_slopes!$A$2:$A$41="10-19")*(data_raw_slopes!$B$2:$B$41="nonpayer")*(data_raw_slopes!$C$2:$C$41="p25")*data_raw_slopes!$F$2:$F$41),SUMPRODUCT((data_raw_slopes!$A$2:$A$41="10-19")*(data_raw_slopes!$B$2:$B$41="nonpayer")*(data_raw_slopes!$C$2:$C$41="p25")*data_raw_slopes!$G$2:$G$41)))*Y8*0.15</f>
        <v>65.834105</v>
      </c>
      <c r="AG8" s="56">
        <f t="shared" si="8"/>
        <v>-2.911247857</v>
      </c>
      <c r="AH8" s="56">
        <f>AC8*(saga_progression_new!$E$17/saga_progression_old!$C$16)</f>
        <v>5.842857143</v>
      </c>
      <c r="AI8" s="58">
        <f t="shared" si="9"/>
        <v>-15.46124786</v>
      </c>
      <c r="AJ8" s="58">
        <f t="shared" si="10"/>
        <v>0.45</v>
      </c>
      <c r="AK8" s="58">
        <f t="shared" si="11"/>
        <v>-10.51714286</v>
      </c>
      <c r="AL8" s="58">
        <f t="shared" si="12"/>
        <v>4.944105</v>
      </c>
      <c r="AM8" s="59"/>
      <c r="AN8" s="60">
        <f>SUMPRODUCT((data_segment_HC_gains!$A$48:$A$67="10-19")*(data_segment_HC_gains!$B$48:$B$67="p50")*data_segment_HC_gains!$C$48:$C$67)</f>
        <v>7</v>
      </c>
      <c r="AO8" s="55">
        <f>SUMPRODUCT((data_segment_HC_gains!$A$48:$A$67="10-19")*(data_segment_HC_gains!$B$48:$B$67="p50")*data_segment_HC_gains!$E$48:$E$67)</f>
        <v>92.78</v>
      </c>
      <c r="AP8" s="55">
        <f>SUMPRODUCT((data_raw_slopes!$A$2:$A$41="10-19")*(data_raw_slopes!$B$2:$B$41="nonpayer")*(data_raw_slopes!$C$2:$C$41="p50")*data_raw_slopes!$E$2:$E$41)</f>
        <v>91.46</v>
      </c>
      <c r="AQ8" s="55">
        <f t="shared" si="13"/>
        <v>1.32</v>
      </c>
      <c r="AR8" s="55">
        <f>SUMPRODUCT((data_segment_HC_gains!$A$48:$A$67="10-19")*(data_segment_HC_gains!$B$48:$B$67="p50")*data_segment_HC_gains!$G$48:$G$67)</f>
        <v>24.86</v>
      </c>
      <c r="AS8" s="61">
        <f t="shared" si="14"/>
        <v>8.05</v>
      </c>
      <c r="AT8" s="61">
        <f>AO8-AR8*(1-(saga_progression_new!$E$17/saga_progression_old!$C$16))+IF(AN8&lt;ns_new!$E$11,0,IF(AN8*1.25&lt;ns_new!$E$12-ns_new!$E$11,ns_new!$F$11,IF(AN8*1.25^2&lt;ns_new!$E$13-ns_new!$E$12,ns_new!$F$11+ns_new!$F$12,ns_new!$F$11+ns_new!$F$12+ns_new!$F$13)))</f>
        <v>116.7985714</v>
      </c>
      <c r="AU8" s="61">
        <f>AP8+(IF(SUMPRODUCT((data_raw_slopes!$A$2:$A$41="10-19")*(data_raw_slopes!$B$2:$B$41="nonpayer")*(data_raw_slopes!$C$2:$C$41="p50")*data_raw_slopes!$F$2:$F$41)&gt;0,SUMPRODUCT((data_raw_slopes!$A$2:$A$41="10-19")*(data_raw_slopes!$B$2:$B$41="nonpayer")*(data_raw_slopes!$C$2:$C$41="p50")*data_raw_slopes!$F$2:$F$41),SUMPRODUCT((data_raw_slopes!$A$2:$A$41="10-19")*(data_raw_slopes!$B$2:$B$41="nonpayer")*(data_raw_slopes!$C$2:$C$41="p50")*data_raw_slopes!$G$2:$G$41)))*AN8*0.15</f>
        <v>97.093775</v>
      </c>
      <c r="AV8" s="62">
        <f t="shared" si="15"/>
        <v>19.70479643</v>
      </c>
      <c r="AW8" s="61">
        <f>AR8*(saga_progression_new!$E$17/saga_progression_old!$C$16)</f>
        <v>8.878571429</v>
      </c>
      <c r="AX8" s="63">
        <f t="shared" si="16"/>
        <v>18.38479643</v>
      </c>
      <c r="AY8" s="63">
        <f t="shared" si="17"/>
        <v>1.05</v>
      </c>
      <c r="AZ8" s="63">
        <f t="shared" si="18"/>
        <v>-15.98142857</v>
      </c>
      <c r="BA8" s="63">
        <f t="shared" si="19"/>
        <v>5.633775</v>
      </c>
      <c r="BB8" s="59"/>
      <c r="BC8" s="55">
        <f>SUMPRODUCT((data_segment_HC_gains!$A$48:$A$67="10-19")*(data_segment_HC_gains!$B$48:$B$67="p75")*data_segment_HC_gains!$C$48:$C$67)</f>
        <v>13</v>
      </c>
      <c r="BD8" s="60">
        <f>SUMPRODUCT((data_segment_HC_gains!$A$48:$A$67="10-19")*(data_segment_HC_gains!$B$48:$B$67="p75")*data_segment_HC_gains!$E$48:$E$67)</f>
        <v>104.9</v>
      </c>
      <c r="BE8" s="60">
        <f>SUMPRODUCT((data_raw_slopes!$A$2:$A$41="10-19")*(data_raw_slopes!$B$2:$B$41="nonpayer")*(data_raw_slopes!$C$2:$C$41="p75")*data_raw_slopes!$E$2:$E$41)</f>
        <v>115.5</v>
      </c>
      <c r="BF8" s="60">
        <f t="shared" si="20"/>
        <v>-10.6</v>
      </c>
      <c r="BG8" s="60">
        <f>SUMPRODUCT((data_segment_HC_gains!$A$48:$A$67="10-19")*(data_segment_HC_gains!$B$48:$B$67="p75")*data_segment_HC_gains!$G$48:$G$67)</f>
        <v>31.52</v>
      </c>
      <c r="BH8" s="62">
        <f t="shared" si="21"/>
        <v>14.95</v>
      </c>
      <c r="BI8" s="62">
        <f>BD8-BG8*(1-(saga_progression_new!$E$17/saga_progression_old!$C$16))+IF(BC8&lt;ns_new!$E$11,0,IF(BC8*1.25&lt;ns_new!$E$12-ns_new!$E$11,ns_new!$F$11,IF(BC8*1.25^2&lt;ns_new!$E$13-ns_new!$E$12,ns_new!$F$11+ns_new!$F$12,ns_new!$F$11+ns_new!$F$12+ns_new!$F$13)))</f>
        <v>184.6371429</v>
      </c>
      <c r="BJ8" s="62">
        <f>BE8+(IF(SUMPRODUCT((data_raw_slopes!$A$2:$A$41="10-19")*(data_raw_slopes!$B$2:$B$41="nonpayer")*(data_raw_slopes!$C$2:$C$41="p75")*data_raw_slopes!$F$2:$F$41)&gt;0,SUMPRODUCT((data_raw_slopes!$A$2:$A$41="10-19")*(data_raw_slopes!$B$2:$B$41="nonpayer")*(data_raw_slopes!$C$2:$C$41="p75")*data_raw_slopes!$F$2:$F$41),SUMPRODUCT((data_raw_slopes!$A$2:$A$41="10-19")*(data_raw_slopes!$B$2:$B$41="nonpayer")*(data_raw_slopes!$C$2:$C$41="p75")*data_raw_slopes!$G$2:$G$41)))*BC8*0.15</f>
        <v>127.115565</v>
      </c>
      <c r="BK8" s="62">
        <f t="shared" si="22"/>
        <v>57.52157786</v>
      </c>
      <c r="BL8" s="62">
        <f>BG8*(saga_progression_new!$E$17/saga_progression_old!$C$16)</f>
        <v>11.25714286</v>
      </c>
      <c r="BM8" s="64">
        <f t="shared" si="23"/>
        <v>68.12157786</v>
      </c>
      <c r="BN8" s="64">
        <f t="shared" si="24"/>
        <v>1.95</v>
      </c>
      <c r="BO8" s="64">
        <f t="shared" si="25"/>
        <v>-20.26285714</v>
      </c>
      <c r="BP8" s="64">
        <f t="shared" si="26"/>
        <v>11.615565</v>
      </c>
      <c r="BQ8" s="54"/>
      <c r="BR8" s="60">
        <f>SUMPRODUCT((data_segment_HC_gains!$A$48:$A$67="10-19")*(data_segment_HC_gains!$B$48:$B$67="p90")*data_segment_HC_gains!$C$48:$C$67)</f>
        <v>19</v>
      </c>
      <c r="BS8" s="60">
        <f>SUMPRODUCT((data_segment_HC_gains!$A$48:$A$67="10-19")*(data_segment_HC_gains!$B$48:$B$67="p90")*data_segment_HC_gains!$E$48:$E$67)</f>
        <v>142.33</v>
      </c>
      <c r="BT8" s="60">
        <f>SUMPRODUCT((data_raw_slopes!$A$2:$A$41="10-19")*(data_raw_slopes!$B$2:$B$41="nonpayer")*(data_raw_slopes!$C$2:$C$41="p90")*data_raw_slopes!$E$2:$E$41)</f>
        <v>170.28</v>
      </c>
      <c r="BU8" s="60">
        <f t="shared" si="27"/>
        <v>-27.95</v>
      </c>
      <c r="BV8" s="60">
        <f>SUMPRODUCT((data_segment_HC_gains!$A$48:$A$67="10-19")*(data_segment_HC_gains!$B$48:$B$67="p90")*data_segment_HC_gains!$G$48:$G$67)</f>
        <v>45.45</v>
      </c>
      <c r="BW8" s="62">
        <f t="shared" si="28"/>
        <v>21.85</v>
      </c>
      <c r="BX8" s="62">
        <f>BS8-BV8*(1-(saga_progression_new!$E$17/saga_progression_old!$C$16))+IF(BR8&lt;ns_new!$E$11,0,IF(BR8*1.25&lt;ns_new!$E$12-ns_new!$E$11,ns_new!$F$11,IF(BR8*1.25^2&lt;ns_new!$E$13-ns_new!$E$12,ns_new!$F$11+ns_new!$F$12,ns_new!$F$11+ns_new!$F$12+ns_new!$F$13)))</f>
        <v>213.1121429</v>
      </c>
      <c r="BY8" s="62">
        <f>BT8+(IF(SUMPRODUCT((data_raw_slopes!$A$2:$A$41="10-19")*(data_raw_slopes!$B$2:$B$41="nonpayer")*(data_raw_slopes!$C$2:$C$41="p90")*data_raw_slopes!$F$2:$F$41)&gt;0,SUMPRODUCT((data_raw_slopes!$A$2:$A$41="10-19")*(data_raw_slopes!$B$2:$B$41="nonpayer")*(data_raw_slopes!$C$2:$C$41="p90")*data_raw_slopes!$F$2:$F$41),SUMPRODUCT((data_raw_slopes!$A$2:$A$41="10-19")*(data_raw_slopes!$B$2:$B$41="nonpayer")*(data_raw_slopes!$C$2:$C$41="p90")*data_raw_slopes!$G$2:$G$41)))*BR8*0.15</f>
        <v>188.741445</v>
      </c>
      <c r="BZ8" s="62">
        <f t="shared" si="29"/>
        <v>24.37069786</v>
      </c>
      <c r="CA8" s="62">
        <f>BV8*(saga_progression_new!$E$17/saga_progression_old!$C$16)</f>
        <v>16.23214286</v>
      </c>
      <c r="CB8" s="64">
        <f t="shared" si="30"/>
        <v>52.32069786</v>
      </c>
      <c r="CC8" s="64">
        <f t="shared" si="31"/>
        <v>2.85</v>
      </c>
      <c r="CD8" s="64">
        <f t="shared" si="32"/>
        <v>-29.21785714</v>
      </c>
      <c r="CE8" s="64">
        <f t="shared" si="33"/>
        <v>18.461445</v>
      </c>
      <c r="CF8" s="39"/>
      <c r="CG8" s="39"/>
      <c r="CH8" s="39"/>
      <c r="CI8" s="39"/>
      <c r="CJ8" s="39"/>
      <c r="CK8" s="39"/>
      <c r="CL8" s="39"/>
      <c r="CM8" s="39"/>
    </row>
    <row r="9" ht="15.0" customHeight="1">
      <c r="A9" s="39"/>
      <c r="B9" s="40" t="s">
        <v>45</v>
      </c>
      <c r="C9" s="41">
        <f>data_processed!E4</f>
        <v>41.8411042</v>
      </c>
      <c r="D9" s="42">
        <f>data_processed!G4</f>
        <v>27.70998334</v>
      </c>
      <c r="E9" s="43">
        <f>data_processed!H4</f>
        <v>170.387522</v>
      </c>
      <c r="F9" s="41">
        <f>data_processed!I4</f>
        <v>53.23721451</v>
      </c>
      <c r="G9" s="44">
        <f>data_processed!X4</f>
        <v>20.94996818</v>
      </c>
      <c r="H9" s="45">
        <f>data_processed!J4</f>
        <v>117.1507876</v>
      </c>
      <c r="I9" s="46">
        <f>IFERROR(D9*saga_progression_new!$G17,"")</f>
        <v>20.78248751</v>
      </c>
      <c r="J9" s="46">
        <f>IFERROR(daily_rewards_new!$B$13*data_processed!Y4,"")</f>
        <v>16.13890082</v>
      </c>
      <c r="K9" s="47">
        <f>data_processed!L4</f>
        <v>0.6109214535</v>
      </c>
      <c r="L9" s="47">
        <f>data_processed!M4</f>
        <v>0.2396288743</v>
      </c>
      <c r="M9" s="47">
        <f>data_processed!N4</f>
        <v>0.06936363401</v>
      </c>
      <c r="N9" s="48">
        <f>IFERROR(K9*ns_new!$F$17+L9*ns_new!$F$18+M9*ns_new!$F$19,"")</f>
        <v>28.08162892</v>
      </c>
      <c r="O9" s="46">
        <f t="shared" si="1"/>
        <v>182.1538048</v>
      </c>
      <c r="P9" s="49"/>
      <c r="Q9" s="43">
        <f>data_processed!K4</f>
        <v>174.9874242</v>
      </c>
      <c r="R9" s="48">
        <f t="shared" si="2"/>
        <v>-4.599902181</v>
      </c>
      <c r="S9" s="50">
        <f>data_processed!W4</f>
        <v>18.06210043</v>
      </c>
      <c r="T9" s="51">
        <f t="shared" si="3"/>
        <v>0.9031050213</v>
      </c>
      <c r="U9" s="52">
        <f>data_processed!R4</f>
        <v>5.6273</v>
      </c>
      <c r="V9" s="53">
        <f t="shared" si="4"/>
        <v>2.084337736</v>
      </c>
      <c r="W9" s="51">
        <f t="shared" si="5"/>
        <v>7.166380623</v>
      </c>
      <c r="X9" s="54"/>
      <c r="Y9" s="55">
        <f>SUMPRODUCT((data_segment_HC_gains!$A$48:$A$67="20-39")*(data_segment_HC_gains!$B$48:$B$67="p25")*data_segment_HC_gains!$C$48:$C$67)</f>
        <v>7</v>
      </c>
      <c r="Z9" s="55">
        <f>SUMPRODUCT((data_segment_HC_gains!$A$48:$A$67="20-39")*(data_segment_HC_gains!$B$48:$B$67="p25")*data_segment_HC_gains!$E$48:$E$67)</f>
        <v>122.95</v>
      </c>
      <c r="AA9" s="55">
        <f>SUMPRODUCT((data_raw_slopes!$A$2:$A$41="20-39")*(data_raw_slopes!$B$2:$B$41="nonpayer")*(data_raw_slopes!$C$2:$C$41="p25")*data_raw_slopes!$E$2:$E$41)</f>
        <v>106.9</v>
      </c>
      <c r="AB9" s="55">
        <f t="shared" si="6"/>
        <v>16.05</v>
      </c>
      <c r="AC9" s="55">
        <f>SUMPRODUCT((data_segment_HC_gains!$A$48:$A$67="20-39")*(data_segment_HC_gains!$B$48:$B$67="p25")*data_segment_HC_gains!$G$48:$G$67)</f>
        <v>34.28</v>
      </c>
      <c r="AD9" s="56">
        <f t="shared" si="7"/>
        <v>8.05</v>
      </c>
      <c r="AE9" s="56">
        <f>Z9-AC9*(1-(saga_progression_new!$G$17/saga_progression_old!$C$16))+IF(Y9&lt;ns_new!$E$17,0,IF(Y9*1.25&lt;ns_new!$E$18-ns_new!$E$17,ns_new!$F$17,IF(Y9*1.25^2&lt;ns_new!$E$19-ns_new!$E$18,ns_new!$F$17+ns_new!$F$18,ns_new!$F$17+ns_new!$F$18+ns_new!$F$19)))</f>
        <v>100.9128571</v>
      </c>
      <c r="AF9" s="57">
        <f>AA9+(IF(SUMPRODUCT((data_raw_slopes!$A$2:$A$41="20-39")*(data_raw_slopes!$B$2:$B$41="nonpayer")*(data_raw_slopes!$C$2:$C$41="p25")*data_raw_slopes!$F$2:$F$41)&gt;0,SUMPRODUCT((data_raw_slopes!$A$2:$A$41="20-39")*(data_raw_slopes!$B$2:$B$41="nonpayer")*(data_raw_slopes!$C$2:$C$41="p25")*data_raw_slopes!$F$2:$F$41),SUMPRODUCT((data_raw_slopes!$A$2:$A$41="20-39")*(data_raw_slopes!$B$2:$B$41="nonpayer")*(data_raw_slopes!$C$2:$C$41="p25")*data_raw_slopes!$G$2:$G$41)))*Y9*0.15</f>
        <v>116.887285</v>
      </c>
      <c r="AG9" s="56">
        <f t="shared" si="8"/>
        <v>-15.97442786</v>
      </c>
      <c r="AH9" s="56">
        <f>AC9*(saga_progression_new!$G$17/saga_progression_old!$C$16)</f>
        <v>12.24285714</v>
      </c>
      <c r="AI9" s="58">
        <f t="shared" si="9"/>
        <v>-32.02442786</v>
      </c>
      <c r="AJ9" s="58">
        <f t="shared" si="10"/>
        <v>1.05</v>
      </c>
      <c r="AK9" s="58">
        <f t="shared" si="11"/>
        <v>-22.03714286</v>
      </c>
      <c r="AL9" s="58">
        <f t="shared" si="12"/>
        <v>9.987285</v>
      </c>
      <c r="AM9" s="59"/>
      <c r="AN9" s="60">
        <f>SUMPRODUCT((data_segment_HC_gains!$A$48:$A$67="20-39")*(data_segment_HC_gains!$B$48:$B$67="p50")*data_segment_HC_gains!$C$48:$C$67)</f>
        <v>14</v>
      </c>
      <c r="AO9" s="55">
        <f>SUMPRODUCT((data_segment_HC_gains!$A$48:$A$67="20-39")*(data_segment_HC_gains!$B$48:$B$67="p50")*data_segment_HC_gains!$E$48:$E$67)</f>
        <v>163.46</v>
      </c>
      <c r="AP9" s="55">
        <f>SUMPRODUCT((data_raw_slopes!$A$2:$A$41="20-39")*(data_raw_slopes!$B$2:$B$41="nonpayer")*(data_raw_slopes!$C$2:$C$41="p50")*data_raw_slopes!$E$2:$E$41)</f>
        <v>158.17</v>
      </c>
      <c r="AQ9" s="55">
        <f t="shared" si="13"/>
        <v>5.29</v>
      </c>
      <c r="AR9" s="55">
        <f>SUMPRODUCT((data_segment_HC_gains!$A$48:$A$67="20-39")*(data_segment_HC_gains!$B$48:$B$67="p50")*data_segment_HC_gains!$G$48:$G$67)</f>
        <v>51.4</v>
      </c>
      <c r="AS9" s="61">
        <f t="shared" si="14"/>
        <v>16.1</v>
      </c>
      <c r="AT9" s="61">
        <f>AO9-AR9*(1-(saga_progression_new!$G$17/saga_progression_old!$C$16))+IF(AN9&lt;ns_new!$E$17,0,IF(AN9*1.25&lt;ns_new!$E$18-ns_new!$E$17,ns_new!$F$17,IF(AN9*1.25^2&lt;ns_new!$E$19-ns_new!$E$18,ns_new!$F$17+ns_new!$F$18,ns_new!$F$17+ns_new!$F$18+ns_new!$F$19)))</f>
        <v>295.4171429</v>
      </c>
      <c r="AU9" s="61">
        <f>AP9+(IF(SUMPRODUCT((data_raw_slopes!$A$2:$A$41="20-39")*(data_raw_slopes!$B$2:$B$41="nonpayer")*(data_raw_slopes!$C$2:$C$41="p50")*data_raw_slopes!$F$2:$F$41)&gt;0,SUMPRODUCT((data_raw_slopes!$A$2:$A$41="20-39")*(data_raw_slopes!$B$2:$B$41="nonpayer")*(data_raw_slopes!$C$2:$C$41="p50")*data_raw_slopes!$F$2:$F$41),SUMPRODUCT((data_raw_slopes!$A$2:$A$41="20-39")*(data_raw_slopes!$B$2:$B$41="nonpayer")*(data_raw_slopes!$C$2:$C$41="p50")*data_raw_slopes!$G$2:$G$41)))*AN9*0.15</f>
        <v>169.98733</v>
      </c>
      <c r="AV9" s="62">
        <f t="shared" si="15"/>
        <v>125.4298129</v>
      </c>
      <c r="AW9" s="61">
        <f>AR9*(saga_progression_new!$G$17/saga_progression_old!$C$16)</f>
        <v>18.35714286</v>
      </c>
      <c r="AX9" s="63">
        <f t="shared" si="16"/>
        <v>120.1398129</v>
      </c>
      <c r="AY9" s="63">
        <f t="shared" si="17"/>
        <v>2.1</v>
      </c>
      <c r="AZ9" s="63">
        <f t="shared" si="18"/>
        <v>-33.04285714</v>
      </c>
      <c r="BA9" s="63">
        <f t="shared" si="19"/>
        <v>11.81733</v>
      </c>
      <c r="BB9" s="59"/>
      <c r="BC9" s="55">
        <f>SUMPRODUCT((data_segment_HC_gains!$A$48:$A$67="20-39")*(data_segment_HC_gains!$B$48:$B$67="p75")*data_segment_HC_gains!$C$48:$C$67)</f>
        <v>25</v>
      </c>
      <c r="BD9" s="60">
        <f>SUMPRODUCT((data_segment_HC_gains!$A$48:$A$67="20-39")*(data_segment_HC_gains!$B$48:$B$67="p75")*data_segment_HC_gains!$E$48:$E$67)</f>
        <v>184.96</v>
      </c>
      <c r="BE9" s="60">
        <f>SUMPRODUCT((data_raw_slopes!$A$2:$A$41="20-39")*(data_raw_slopes!$B$2:$B$41="nonpayer")*(data_raw_slopes!$C$2:$C$41="p75")*data_raw_slopes!$E$2:$E$41)</f>
        <v>205.98</v>
      </c>
      <c r="BF9" s="60">
        <f t="shared" si="20"/>
        <v>-21.02</v>
      </c>
      <c r="BG9" s="60">
        <f>SUMPRODUCT((data_segment_HC_gains!$A$48:$A$67="20-39")*(data_segment_HC_gains!$B$48:$B$67="p75")*data_segment_HC_gains!$G$48:$G$67)</f>
        <v>60.44</v>
      </c>
      <c r="BH9" s="62">
        <f t="shared" si="21"/>
        <v>28.75</v>
      </c>
      <c r="BI9" s="62">
        <f>BD9-BG9*(1-(saga_progression_new!$G$17/saga_progression_old!$C$16))+IF(BC9&lt;ns_new!$E$17,0,IF(BC9*1.25&lt;ns_new!$E$18-ns_new!$E$17,ns_new!$F$17,IF(BC9*1.25^2&lt;ns_new!$E$19-ns_new!$E$18,ns_new!$F$17+ns_new!$F$18,ns_new!$F$17+ns_new!$F$18+ns_new!$F$19)))</f>
        <v>311.1057143</v>
      </c>
      <c r="BJ9" s="62">
        <f>BE9+(IF(SUMPRODUCT((data_raw_slopes!$A$2:$A$41="20-39")*(data_raw_slopes!$B$2:$B$41="nonpayer")*(data_raw_slopes!$C$2:$C$41="p75")*data_raw_slopes!$F$2:$F$41)&gt;0,SUMPRODUCT((data_raw_slopes!$A$2:$A$41="20-39")*(data_raw_slopes!$B$2:$B$41="nonpayer")*(data_raw_slopes!$C$2:$C$41="p75")*data_raw_slopes!$F$2:$F$41),SUMPRODUCT((data_raw_slopes!$A$2:$A$41="20-39")*(data_raw_slopes!$B$2:$B$41="nonpayer")*(data_raw_slopes!$C$2:$C$41="p75")*data_raw_slopes!$G$2:$G$41)))*BC9*0.15</f>
        <v>226.403625</v>
      </c>
      <c r="BK9" s="62">
        <f t="shared" si="22"/>
        <v>84.70208929</v>
      </c>
      <c r="BL9" s="62">
        <f>BG9*(saga_progression_new!$G$17/saga_progression_old!$C$16)</f>
        <v>21.58571429</v>
      </c>
      <c r="BM9" s="64">
        <f t="shared" si="23"/>
        <v>105.7220893</v>
      </c>
      <c r="BN9" s="64">
        <f t="shared" si="24"/>
        <v>3.75</v>
      </c>
      <c r="BO9" s="64">
        <f t="shared" si="25"/>
        <v>-38.85428571</v>
      </c>
      <c r="BP9" s="64">
        <f t="shared" si="26"/>
        <v>20.423625</v>
      </c>
      <c r="BQ9" s="54"/>
      <c r="BR9" s="60">
        <f>SUMPRODUCT((data_segment_HC_gains!$A$48:$A$67="20-39")*(data_segment_HC_gains!$B$48:$B$67="p90")*data_segment_HC_gains!$C$48:$C$67)</f>
        <v>36</v>
      </c>
      <c r="BS9" s="60">
        <f>SUMPRODUCT((data_segment_HC_gains!$A$48:$A$67="20-39")*(data_segment_HC_gains!$B$48:$B$67="p90")*data_segment_HC_gains!$E$48:$E$67)</f>
        <v>247.92</v>
      </c>
      <c r="BT9" s="60">
        <f>SUMPRODUCT((data_raw_slopes!$A$2:$A$41="20-39")*(data_raw_slopes!$B$2:$B$41="nonpayer")*(data_raw_slopes!$C$2:$C$41="p90")*data_raw_slopes!$E$2:$E$41)</f>
        <v>295.42</v>
      </c>
      <c r="BU9" s="60">
        <f t="shared" si="27"/>
        <v>-47.5</v>
      </c>
      <c r="BV9" s="60">
        <f>SUMPRODUCT((data_segment_HC_gains!$A$48:$A$67="20-39")*(data_segment_HC_gains!$B$48:$B$67="p90")*data_segment_HC_gains!$G$48:$G$67)</f>
        <v>84.07</v>
      </c>
      <c r="BW9" s="62">
        <f t="shared" si="28"/>
        <v>41.4</v>
      </c>
      <c r="BX9" s="62">
        <f>BS9-BV9*(1-(saga_progression_new!$G$17/saga_progression_old!$C$16))+IF(BR9&lt;ns_new!$E$17,0,IF(BR9*1.25&lt;ns_new!$E$18-ns_new!$E$17,ns_new!$F$17,IF(BR9*1.25^2&lt;ns_new!$E$19-ns_new!$E$18,ns_new!$F$17+ns_new!$F$18,ns_new!$F$17+ns_new!$F$18+ns_new!$F$19)))</f>
        <v>358.875</v>
      </c>
      <c r="BY9" s="62">
        <f>BT9+(IF(SUMPRODUCT((data_raw_slopes!$A$2:$A$41="20-39")*(data_raw_slopes!$B$2:$B$41="nonpayer")*(data_raw_slopes!$C$2:$C$41="p90")*data_raw_slopes!$F$2:$F$41)&gt;0,SUMPRODUCT((data_raw_slopes!$A$2:$A$41="20-39")*(data_raw_slopes!$B$2:$B$41="nonpayer")*(data_raw_slopes!$C$2:$C$41="p90")*data_raw_slopes!$F$2:$F$41),SUMPRODUCT((data_raw_slopes!$A$2:$A$41="20-39")*(data_raw_slopes!$B$2:$B$41="nonpayer")*(data_raw_slopes!$C$2:$C$41="p90")*data_raw_slopes!$G$2:$G$41)))*BR9*0.15</f>
        <v>325.59898</v>
      </c>
      <c r="BZ9" s="62">
        <f t="shared" si="29"/>
        <v>33.27602</v>
      </c>
      <c r="CA9" s="62">
        <f>BV9*(saga_progression_new!$G$17/saga_progression_old!$C$16)</f>
        <v>30.025</v>
      </c>
      <c r="CB9" s="64">
        <f t="shared" si="30"/>
        <v>80.77602</v>
      </c>
      <c r="CC9" s="64">
        <f t="shared" si="31"/>
        <v>5.4</v>
      </c>
      <c r="CD9" s="64">
        <f t="shared" si="32"/>
        <v>-54.045</v>
      </c>
      <c r="CE9" s="64">
        <f t="shared" si="33"/>
        <v>30.17898</v>
      </c>
      <c r="CF9" s="39"/>
      <c r="CG9" s="39"/>
      <c r="CH9" s="39"/>
      <c r="CI9" s="39"/>
      <c r="CJ9" s="39"/>
      <c r="CK9" s="39"/>
      <c r="CL9" s="39"/>
      <c r="CM9" s="39"/>
    </row>
    <row r="10" ht="15.0" customHeight="1">
      <c r="A10" s="39"/>
      <c r="B10" s="65" t="s">
        <v>46</v>
      </c>
      <c r="C10" s="41">
        <f>data_processed!E5</f>
        <v>71.43060546</v>
      </c>
      <c r="D10" s="42">
        <f>data_processed!G5</f>
        <v>56.27039272</v>
      </c>
      <c r="E10" s="43">
        <f>data_processed!H5</f>
        <v>314.9946168</v>
      </c>
      <c r="F10" s="41">
        <f>data_processed!I5</f>
        <v>109.414804</v>
      </c>
      <c r="G10" s="44">
        <f>data_processed!X5</f>
        <v>21.83850189</v>
      </c>
      <c r="H10" s="45">
        <f>data_processed!J5</f>
        <v>205.5790253</v>
      </c>
      <c r="I10" s="46">
        <f>IFERROR(D10*saga_progression_new!$I17,"")</f>
        <v>42.20279454</v>
      </c>
      <c r="J10" s="46">
        <f>IFERROR(daily_rewards_new!$B$13*data_processed!Y5,"")</f>
        <v>17.12436409</v>
      </c>
      <c r="K10" s="47">
        <f>data_processed!L5</f>
        <v>0.5358222521</v>
      </c>
      <c r="L10" s="47">
        <f>data_processed!M5</f>
        <v>0.196710823</v>
      </c>
      <c r="M10" s="47">
        <f>data_processed!N5</f>
        <v>0.04774950489</v>
      </c>
      <c r="N10" s="48">
        <f>IFERROR(K10*ns_new!$F$23+L10*ns_new!$F$24+M10*ns_new!$F$25,"")</f>
        <v>62.33378759</v>
      </c>
      <c r="O10" s="46">
        <f t="shared" si="1"/>
        <v>327.2399715</v>
      </c>
      <c r="P10" s="49"/>
      <c r="Q10" s="43">
        <f>data_processed!K5</f>
        <v>330.3528177</v>
      </c>
      <c r="R10" s="48">
        <f t="shared" si="2"/>
        <v>-15.35820092</v>
      </c>
      <c r="S10" s="50">
        <f>data_processed!W5</f>
        <v>38.00161727</v>
      </c>
      <c r="T10" s="51">
        <f t="shared" si="3"/>
        <v>1.900080863</v>
      </c>
      <c r="U10" s="52">
        <f>data_processed!R5</f>
        <v>5.0627</v>
      </c>
      <c r="V10" s="53">
        <f t="shared" si="4"/>
        <v>-12.73238559</v>
      </c>
      <c r="W10" s="51">
        <f t="shared" si="5"/>
        <v>-3.112846204</v>
      </c>
      <c r="X10" s="54"/>
      <c r="Y10" s="55">
        <f>SUMPRODUCT((data_segment_HC_gains!$A$48:$A$67="40-99")*(data_segment_HC_gains!$B$48:$B$67="p25")*data_segment_HC_gains!$C$48:$C$67)</f>
        <v>14</v>
      </c>
      <c r="Z10" s="55">
        <f>SUMPRODUCT((data_segment_HC_gains!$A$48:$A$67="40-99")*(data_segment_HC_gains!$B$48:$B$67="p25")*data_segment_HC_gains!$E$48:$E$67)</f>
        <v>237.49</v>
      </c>
      <c r="AA10" s="55">
        <f>SUMPRODUCT((data_raw_slopes!$A$2:$A$41="40-99")*(data_raw_slopes!$B$2:$B$41="nonpayer")*(data_raw_slopes!$C$2:$C$41="p25")*data_raw_slopes!$E$2:$E$41)</f>
        <v>208.48</v>
      </c>
      <c r="AB10" s="55">
        <f t="shared" si="6"/>
        <v>29.01</v>
      </c>
      <c r="AC10" s="55">
        <f>SUMPRODUCT((data_segment_HC_gains!$A$48:$A$67="40-99")*(data_segment_HC_gains!$B$48:$B$67="p25")*data_segment_HC_gains!$G$48:$G$67)</f>
        <v>75.36</v>
      </c>
      <c r="AD10" s="56">
        <f t="shared" si="7"/>
        <v>16.1</v>
      </c>
      <c r="AE10" s="56">
        <f>Z10-AC10*(1-(saga_progression_new!$I$17/saga_progression_old!$C$16))+IF(Y10&lt;ns_new!$E$23,0,IF(Y10*1.25&lt;ns_new!$E$24-ns_new!$E$23,ns_new!$F$23,IF(Y10*1.25^2&lt;ns_new!$E$25-ns_new!$E$24,ns_new!$F$23+ns_new!$F$24,ns_new!$F$23+ns_new!$F$24+ns_new!$F$25)))</f>
        <v>189.0442857</v>
      </c>
      <c r="AF10" s="57">
        <f>AA10+(IF(SUMPRODUCT((data_raw_slopes!$A$2:$A$41="40-99")*(data_raw_slopes!$B$2:$B$41="nonpayer")*(data_raw_slopes!$C$2:$C$41="p25")*data_raw_slopes!$F$2:$F$41)&gt;0,SUMPRODUCT((data_raw_slopes!$A$2:$A$41="40-99")*(data_raw_slopes!$B$2:$B$41="nonpayer")*(data_raw_slopes!$C$2:$C$41="p25")*data_raw_slopes!$F$2:$F$41),SUMPRODUCT((data_raw_slopes!$A$2:$A$41="40-99")*(data_raw_slopes!$B$2:$B$41="nonpayer")*(data_raw_slopes!$C$2:$C$41="p25")*data_raw_slopes!$G$2:$G$41)))*Y10*0.15</f>
        <v>226.61035</v>
      </c>
      <c r="AG10" s="56">
        <f t="shared" si="8"/>
        <v>-37.56606429</v>
      </c>
      <c r="AH10" s="56">
        <f>AC10*(saga_progression_new!$I$17/saga_progression_old!$C$16)</f>
        <v>26.91428571</v>
      </c>
      <c r="AI10" s="58">
        <f t="shared" si="9"/>
        <v>-66.57606429</v>
      </c>
      <c r="AJ10" s="58">
        <f t="shared" si="10"/>
        <v>2.1</v>
      </c>
      <c r="AK10" s="58">
        <f t="shared" si="11"/>
        <v>-48.44571429</v>
      </c>
      <c r="AL10" s="58">
        <f t="shared" si="12"/>
        <v>18.13035</v>
      </c>
      <c r="AM10" s="59"/>
      <c r="AN10" s="60">
        <f>SUMPRODUCT((data_segment_HC_gains!$A$48:$A$67="40-99")*(data_segment_HC_gains!$B$48:$B$67="p50")*data_segment_HC_gains!$C$48:$C$67)</f>
        <v>29</v>
      </c>
      <c r="AO10" s="55">
        <f>SUMPRODUCT((data_segment_HC_gains!$A$48:$A$67="40-99")*(data_segment_HC_gains!$B$48:$B$67="p50")*data_segment_HC_gains!$E$48:$E$67)</f>
        <v>303.92</v>
      </c>
      <c r="AP10" s="55">
        <f>SUMPRODUCT((data_raw_slopes!$A$2:$A$41="40-99")*(data_raw_slopes!$B$2:$B$41="nonpayer")*(data_raw_slopes!$C$2:$C$41="p50")*data_raw_slopes!$E$2:$E$41)</f>
        <v>307.03</v>
      </c>
      <c r="AQ10" s="55">
        <f t="shared" si="13"/>
        <v>-3.11</v>
      </c>
      <c r="AR10" s="55">
        <f>SUMPRODUCT((data_segment_HC_gains!$A$48:$A$67="40-99")*(data_segment_HC_gains!$B$48:$B$67="p50")*data_segment_HC_gains!$G$48:$G$67)</f>
        <v>102.38</v>
      </c>
      <c r="AS10" s="61">
        <f t="shared" si="14"/>
        <v>33.35</v>
      </c>
      <c r="AT10" s="61">
        <f>AO10-AR10*(1-(saga_progression_new!$I$17/saga_progression_old!$C$16))+IF(AN10&lt;ns_new!$E$23,0,IF(AN10*1.25&lt;ns_new!$E$24-ns_new!$E$23,ns_new!$F$23,IF(AN10*1.25^2&lt;ns_new!$E$25-ns_new!$E$24,ns_new!$F$23+ns_new!$F$24,ns_new!$F$23+ns_new!$F$24+ns_new!$F$25)))</f>
        <v>658.1042857</v>
      </c>
      <c r="AU10" s="61">
        <f>AP10+(IF(SUMPRODUCT((data_raw_slopes!$A$2:$A$41="40-99")*(data_raw_slopes!$B$2:$B$41="nonpayer")*(data_raw_slopes!$C$2:$C$41="p50")*data_raw_slopes!$F$2:$F$41)&gt;0,SUMPRODUCT((data_raw_slopes!$A$2:$A$41="40-99")*(data_raw_slopes!$B$2:$B$41="nonpayer")*(data_raw_slopes!$C$2:$C$41="p50")*data_raw_slopes!$F$2:$F$41),SUMPRODUCT((data_raw_slopes!$A$2:$A$41="40-99")*(data_raw_slopes!$B$2:$B$41="nonpayer")*(data_raw_slopes!$C$2:$C$41="p50")*data_raw_slopes!$G$2:$G$41)))*AN10*0.15</f>
        <v>329.052745</v>
      </c>
      <c r="AV10" s="62">
        <f t="shared" si="15"/>
        <v>329.0515407</v>
      </c>
      <c r="AW10" s="61">
        <f>AR10*(saga_progression_new!$I$17/saga_progression_old!$C$16)</f>
        <v>36.56428571</v>
      </c>
      <c r="AX10" s="63">
        <f t="shared" si="16"/>
        <v>332.1615407</v>
      </c>
      <c r="AY10" s="63">
        <f t="shared" si="17"/>
        <v>4.35</v>
      </c>
      <c r="AZ10" s="63">
        <f t="shared" si="18"/>
        <v>-65.81571429</v>
      </c>
      <c r="BA10" s="63">
        <f t="shared" si="19"/>
        <v>22.022745</v>
      </c>
      <c r="BB10" s="59"/>
      <c r="BC10" s="55">
        <f>SUMPRODUCT((data_segment_HC_gains!$A$48:$A$67="40-99")*(data_segment_HC_gains!$B$48:$B$67="p75")*data_segment_HC_gains!$C$48:$C$67)</f>
        <v>50</v>
      </c>
      <c r="BD10" s="60">
        <f>SUMPRODUCT((data_segment_HC_gains!$A$48:$A$67="40-99")*(data_segment_HC_gains!$B$48:$B$67="p75")*data_segment_HC_gains!$E$48:$E$67)</f>
        <v>352.42</v>
      </c>
      <c r="BE10" s="60">
        <f>SUMPRODUCT((data_raw_slopes!$A$2:$A$41="40-99")*(data_raw_slopes!$B$2:$B$41="nonpayer")*(data_raw_slopes!$C$2:$C$41="p75")*data_raw_slopes!$E$2:$E$41)</f>
        <v>390.26</v>
      </c>
      <c r="BF10" s="60">
        <f t="shared" si="20"/>
        <v>-37.84</v>
      </c>
      <c r="BG10" s="60">
        <f>SUMPRODUCT((data_segment_HC_gains!$A$48:$A$67="40-99")*(data_segment_HC_gains!$B$48:$B$67="p75")*data_segment_HC_gains!$G$48:$G$67)</f>
        <v>120.97</v>
      </c>
      <c r="BH10" s="62">
        <f t="shared" si="21"/>
        <v>57.5</v>
      </c>
      <c r="BI10" s="62">
        <f>BD10-BG10*(1-(saga_progression_new!$I$17/saga_progression_old!$C$16))+IF(BC10&lt;ns_new!$E$23,0,IF(BC10*1.25&lt;ns_new!$E$24-ns_new!$E$23,ns_new!$F$23,IF(BC10*1.25^2&lt;ns_new!$E$25-ns_new!$E$24,ns_new!$F$23+ns_new!$F$24,ns_new!$F$23+ns_new!$F$24+ns_new!$F$25)))</f>
        <v>694.6535714</v>
      </c>
      <c r="BJ10" s="62">
        <f>BE10+(IF(SUMPRODUCT((data_raw_slopes!$A$2:$A$41="40-99")*(data_raw_slopes!$B$2:$B$41="nonpayer")*(data_raw_slopes!$C$2:$C$41="p75")*data_raw_slopes!$F$2:$F$41)&gt;0,SUMPRODUCT((data_raw_slopes!$A$2:$A$41="40-99")*(data_raw_slopes!$B$2:$B$41="nonpayer")*(data_raw_slopes!$C$2:$C$41="p75")*data_raw_slopes!$F$2:$F$41),SUMPRODUCT((data_raw_slopes!$A$2:$A$41="40-99")*(data_raw_slopes!$B$2:$B$41="nonpayer")*(data_raw_slopes!$C$2:$C$41="p75")*data_raw_slopes!$G$2:$G$41)))*BC10*0.15</f>
        <v>421.76825</v>
      </c>
      <c r="BK10" s="62">
        <f t="shared" si="22"/>
        <v>272.8853214</v>
      </c>
      <c r="BL10" s="62">
        <f>BG10*(saga_progression_new!$I$17/saga_progression_old!$C$16)</f>
        <v>43.20357143</v>
      </c>
      <c r="BM10" s="64">
        <f t="shared" si="23"/>
        <v>310.7253214</v>
      </c>
      <c r="BN10" s="64">
        <f t="shared" si="24"/>
        <v>7.5</v>
      </c>
      <c r="BO10" s="64">
        <f t="shared" si="25"/>
        <v>-77.76642857</v>
      </c>
      <c r="BP10" s="64">
        <f t="shared" si="26"/>
        <v>31.50825</v>
      </c>
      <c r="BQ10" s="54"/>
      <c r="BR10" s="60">
        <f>SUMPRODUCT((data_segment_HC_gains!$A$48:$A$67="40-99")*(data_segment_HC_gains!$B$48:$B$67="p90")*data_segment_HC_gains!$C$48:$C$67)</f>
        <v>76</v>
      </c>
      <c r="BS10" s="60">
        <f>SUMPRODUCT((data_segment_HC_gains!$A$48:$A$67="40-99")*(data_segment_HC_gains!$B$48:$B$67="p90")*data_segment_HC_gains!$E$48:$E$67)</f>
        <v>466.06</v>
      </c>
      <c r="BT10" s="60">
        <f>SUMPRODUCT((data_raw_slopes!$A$2:$A$41="40-99")*(data_raw_slopes!$B$2:$B$41="nonpayer")*(data_raw_slopes!$C$2:$C$41="p90")*data_raw_slopes!$E$2:$E$41)</f>
        <v>547.26</v>
      </c>
      <c r="BU10" s="60">
        <f t="shared" si="27"/>
        <v>-81.2</v>
      </c>
      <c r="BV10" s="60">
        <f>SUMPRODUCT((data_segment_HC_gains!$A$48:$A$67="40-99")*(data_segment_HC_gains!$B$48:$B$67="p90")*data_segment_HC_gains!$G$48:$G$67)</f>
        <v>170.37</v>
      </c>
      <c r="BW10" s="62">
        <f t="shared" si="28"/>
        <v>87.4</v>
      </c>
      <c r="BX10" s="62">
        <f>BS10-BV10*(1-(saga_progression_new!$I$17/saga_progression_old!$C$16))+IF(BR10&lt;ns_new!$E$23,0,IF(BR10*1.25&lt;ns_new!$E$24-ns_new!$E$23,ns_new!$F$23,IF(BR10*1.25^2&lt;ns_new!$E$25-ns_new!$E$24,ns_new!$F$23+ns_new!$F$24,ns_new!$F$23+ns_new!$F$24+ns_new!$F$25)))</f>
        <v>776.5364286</v>
      </c>
      <c r="BY10" s="62">
        <f>BT10+(IF(SUMPRODUCT((data_raw_slopes!$A$2:$A$41="40-99")*(data_raw_slopes!$B$2:$B$41="nonpayer")*(data_raw_slopes!$C$2:$C$41="p90")*data_raw_slopes!$F$2:$F$41)&gt;0,SUMPRODUCT((data_raw_slopes!$A$2:$A$41="40-99")*(data_raw_slopes!$B$2:$B$41="nonpayer")*(data_raw_slopes!$C$2:$C$41="p90")*data_raw_slopes!$F$2:$F$41),SUMPRODUCT((data_raw_slopes!$A$2:$A$41="40-99")*(data_raw_slopes!$B$2:$B$41="nonpayer")*(data_raw_slopes!$C$2:$C$41="p90")*data_raw_slopes!$G$2:$G$41)))*BR10*0.15</f>
        <v>610.12758</v>
      </c>
      <c r="BZ10" s="62">
        <f t="shared" si="29"/>
        <v>166.4088486</v>
      </c>
      <c r="CA10" s="62">
        <f>BV10*(saga_progression_new!$I$17/saga_progression_old!$C$16)</f>
        <v>60.84642857</v>
      </c>
      <c r="CB10" s="64">
        <f t="shared" si="30"/>
        <v>247.6088486</v>
      </c>
      <c r="CC10" s="64">
        <f t="shared" si="31"/>
        <v>11.4</v>
      </c>
      <c r="CD10" s="64">
        <f t="shared" si="32"/>
        <v>-109.5235714</v>
      </c>
      <c r="CE10" s="64">
        <f t="shared" si="33"/>
        <v>62.86758</v>
      </c>
      <c r="CF10" s="39"/>
      <c r="CG10" s="39"/>
      <c r="CH10" s="39"/>
      <c r="CI10" s="39"/>
      <c r="CJ10" s="39"/>
      <c r="CK10" s="39"/>
      <c r="CL10" s="39"/>
      <c r="CM10" s="39"/>
    </row>
    <row r="11" ht="15.0" customHeight="1">
      <c r="A11" s="39"/>
      <c r="B11" s="66" t="s">
        <v>47</v>
      </c>
      <c r="C11" s="41">
        <f>data_processed!E6</f>
        <v>144.472665</v>
      </c>
      <c r="D11" s="42">
        <f>data_processed!G6</f>
        <v>126.4408947</v>
      </c>
      <c r="E11" s="43">
        <f>data_processed!H6</f>
        <v>616.8101726</v>
      </c>
      <c r="F11" s="41">
        <f>data_processed!I6</f>
        <v>252.5799115</v>
      </c>
      <c r="G11" s="44">
        <f>data_processed!X6</f>
        <v>23.43151454</v>
      </c>
      <c r="H11" s="45">
        <f>data_processed!J6</f>
        <v>364.2298595</v>
      </c>
      <c r="I11" s="46">
        <f>IFERROR(D11*saga_progression_new!$K17,"")</f>
        <v>94.83067105</v>
      </c>
      <c r="J11" s="46">
        <f>IFERROR(daily_rewards_new!$B$13*data_processed!Y6,"")</f>
        <v>17.76173725</v>
      </c>
      <c r="K11" s="47">
        <f>data_processed!L6</f>
        <v>0.4732223038</v>
      </c>
      <c r="L11" s="47">
        <f>data_processed!M6</f>
        <v>0.1035863541</v>
      </c>
      <c r="M11" s="47">
        <f>data_processed!N6</f>
        <v>0.01392235508</v>
      </c>
      <c r="N11" s="48">
        <f>IFERROR(K11*ns_new!$F$29+L11*ns_new!$F$30+M11*ns_new!$F$31,"")</f>
        <v>83.96707865</v>
      </c>
      <c r="O11" s="46">
        <f t="shared" si="1"/>
        <v>560.7893465</v>
      </c>
      <c r="P11" s="49"/>
      <c r="Q11" s="43">
        <f>data_processed!K6</f>
        <v>689.6887316</v>
      </c>
      <c r="R11" s="48">
        <f t="shared" si="2"/>
        <v>-72.87855899</v>
      </c>
      <c r="S11" s="50">
        <f>data_processed!W6</f>
        <v>88.58836444</v>
      </c>
      <c r="T11" s="51">
        <f t="shared" si="3"/>
        <v>4.429418222</v>
      </c>
      <c r="U11" s="52">
        <f>data_processed!R6</f>
        <v>3.9052</v>
      </c>
      <c r="V11" s="53">
        <f t="shared" si="4"/>
        <v>-146.1971491</v>
      </c>
      <c r="W11" s="51">
        <f t="shared" si="5"/>
        <v>-128.8993851</v>
      </c>
      <c r="X11" s="54"/>
      <c r="Y11" s="55">
        <f>SUMPRODUCT((data_segment_HC_gains!$A$48:$A$67="100+")*(data_segment_HC_gains!$B$48:$B$67="p25")*data_segment_HC_gains!$C$48:$C$67)</f>
        <v>33</v>
      </c>
      <c r="Z11" s="55">
        <f>SUMPRODUCT((data_segment_HC_gains!$A$48:$A$67="100+")*(data_segment_HC_gains!$B$48:$B$67="p25")*data_segment_HC_gains!$E$48:$E$67)</f>
        <v>518.1</v>
      </c>
      <c r="AA11" s="55">
        <f>SUMPRODUCT((data_raw_slopes!$A$2:$A$41="100+")*(data_raw_slopes!$B$2:$B$41="nonpayer")*(data_raw_slopes!$C$2:$C$41="p25")*data_raw_slopes!$E$2:$E$41)</f>
        <v>459.17</v>
      </c>
      <c r="AB11" s="55">
        <f t="shared" si="6"/>
        <v>58.93</v>
      </c>
      <c r="AC11" s="55">
        <f>SUMPRODUCT((data_segment_HC_gains!$A$48:$A$67="100+")*(data_segment_HC_gains!$B$48:$B$67="p25")*data_segment_HC_gains!$G$48:$G$67)</f>
        <v>200.98</v>
      </c>
      <c r="AD11" s="56">
        <f t="shared" si="7"/>
        <v>37.95</v>
      </c>
      <c r="AE11" s="56">
        <f>Z11-AC11*(1-(saga_progression_new!$K$17/saga_progression_old!$C$16))+IF(Y11&lt;ns_new!$E$29,0,IF(Y11*1.25&lt;ns_new!$E$30-ns_new!$E$29,ns_new!$F$29,IF(Y11*1.25^2&lt;ns_new!$E$31-ns_new!$E$30,ns_new!$F$29+ns_new!$F$30,ns_new!$F$29+ns_new!$F$30+ns_new!$F$31)))</f>
        <v>388.8985714</v>
      </c>
      <c r="AF11" s="57">
        <f>AA11+(IF(SUMPRODUCT((data_raw_slopes!$A$2:$A$41="100+")*(data_raw_slopes!$B$2:$B$41="nonpayer")*(data_raw_slopes!$C$2:$C$41="p25")*data_raw_slopes!$F$2:$F$41)&gt;0,SUMPRODUCT((data_raw_slopes!$A$2:$A$41="100+")*(data_raw_slopes!$B$2:$B$41="nonpayer")*(data_raw_slopes!$C$2:$C$41="p25")*data_raw_slopes!$F$2:$F$41),SUMPRODUCT((data_raw_slopes!$A$2:$A$41="100+")*(data_raw_slopes!$B$2:$B$41="nonpayer")*(data_raw_slopes!$C$2:$C$41="p25")*data_raw_slopes!$G$2:$G$41)))*Y11*0.15</f>
        <v>488.215115</v>
      </c>
      <c r="AG11" s="56">
        <f t="shared" si="8"/>
        <v>-99.31654357</v>
      </c>
      <c r="AH11" s="56">
        <f>AC11*(saga_progression_new!$K$17/saga_progression_old!$C$16)</f>
        <v>71.77857143</v>
      </c>
      <c r="AI11" s="58">
        <f t="shared" si="9"/>
        <v>-158.2465436</v>
      </c>
      <c r="AJ11" s="58">
        <f t="shared" si="10"/>
        <v>4.95</v>
      </c>
      <c r="AK11" s="58">
        <f t="shared" si="11"/>
        <v>-129.2014286</v>
      </c>
      <c r="AL11" s="58">
        <f t="shared" si="12"/>
        <v>29.045115</v>
      </c>
      <c r="AM11" s="59"/>
      <c r="AN11" s="60">
        <f>SUMPRODUCT((data_segment_HC_gains!$A$48:$A$67="100+")*(data_segment_HC_gains!$B$48:$B$67="p50")*data_segment_HC_gains!$C$48:$C$67)</f>
        <v>68</v>
      </c>
      <c r="AO11" s="55">
        <f>SUMPRODUCT((data_segment_HC_gains!$A$48:$A$67="100+")*(data_segment_HC_gains!$B$48:$B$67="p50")*data_segment_HC_gains!$E$48:$E$67)</f>
        <v>624.31</v>
      </c>
      <c r="AP11" s="55">
        <f>SUMPRODUCT((data_raw_slopes!$A$2:$A$41="100+")*(data_raw_slopes!$B$2:$B$41="nonpayer")*(data_raw_slopes!$C$2:$C$41="p50")*data_raw_slopes!$E$2:$E$41)</f>
        <v>634.17</v>
      </c>
      <c r="AQ11" s="55">
        <f t="shared" si="13"/>
        <v>-9.86</v>
      </c>
      <c r="AR11" s="55">
        <f>SUMPRODUCT((data_segment_HC_gains!$A$48:$A$67="100+")*(data_segment_HC_gains!$B$48:$B$67="p50")*data_segment_HC_gains!$G$48:$G$67)</f>
        <v>247.18</v>
      </c>
      <c r="AS11" s="61">
        <f t="shared" si="14"/>
        <v>78.2</v>
      </c>
      <c r="AT11" s="61">
        <f>AO11-AR11*(1-(saga_progression_new!$K$17/saga_progression_old!$C$16))+IF(AN11&lt;ns_new!$E$29,0,IF(AN11*1.25&lt;ns_new!$E$30-ns_new!$E$29,ns_new!$F$29,IF(AN11*1.25^2&lt;ns_new!$E$31-ns_new!$E$30,ns_new!$F$29+ns_new!$F$30,ns_new!$F$29+ns_new!$F$30+ns_new!$F$31)))</f>
        <v>465.4085714</v>
      </c>
      <c r="AU11" s="61">
        <f>AP11+(IF(SUMPRODUCT((data_raw_slopes!$A$2:$A$41="100+")*(data_raw_slopes!$B$2:$B$41="nonpayer")*(data_raw_slopes!$C$2:$C$41="p50")*data_raw_slopes!$F$2:$F$41)&gt;0,SUMPRODUCT((data_raw_slopes!$A$2:$A$41="100+")*(data_raw_slopes!$B$2:$B$41="nonpayer")*(data_raw_slopes!$C$2:$C$41="p50")*data_raw_slopes!$F$2:$F$41),SUMPRODUCT((data_raw_slopes!$A$2:$A$41="100+")*(data_raw_slopes!$B$2:$B$41="nonpayer")*(data_raw_slopes!$C$2:$C$41="p50")*data_raw_slopes!$G$2:$G$41)))*AN11*0.15</f>
        <v>674.00304</v>
      </c>
      <c r="AV11" s="62">
        <f t="shared" si="15"/>
        <v>-208.5944686</v>
      </c>
      <c r="AW11" s="61">
        <f>AR11*(saga_progression_new!$K$17/saga_progression_old!$C$16)</f>
        <v>88.27857143</v>
      </c>
      <c r="AX11" s="63">
        <f t="shared" si="16"/>
        <v>-198.7344686</v>
      </c>
      <c r="AY11" s="63">
        <f t="shared" si="17"/>
        <v>10.2</v>
      </c>
      <c r="AZ11" s="63">
        <f t="shared" si="18"/>
        <v>-158.9014286</v>
      </c>
      <c r="BA11" s="63">
        <f t="shared" si="19"/>
        <v>39.83304</v>
      </c>
      <c r="BB11" s="59"/>
      <c r="BC11" s="55">
        <f>SUMPRODUCT((data_segment_HC_gains!$A$48:$A$67="100+")*(data_segment_HC_gains!$B$48:$B$67="p75")*data_segment_HC_gains!$C$48:$C$67)</f>
        <v>118</v>
      </c>
      <c r="BD11" s="60">
        <f>SUMPRODUCT((data_segment_HC_gains!$A$48:$A$67="100+")*(data_segment_HC_gains!$B$48:$B$67="p75")*data_segment_HC_gains!$E$48:$E$67)</f>
        <v>687.28</v>
      </c>
      <c r="BE11" s="60">
        <f>SUMPRODUCT((data_raw_slopes!$A$2:$A$41="100+")*(data_raw_slopes!$B$2:$B$41="nonpayer")*(data_raw_slopes!$C$2:$C$41="p75")*data_raw_slopes!$E$2:$E$41)</f>
        <v>792.43</v>
      </c>
      <c r="BF11" s="60">
        <f t="shared" si="20"/>
        <v>-105.15</v>
      </c>
      <c r="BG11" s="60">
        <f>SUMPRODUCT((data_segment_HC_gains!$A$48:$A$67="100+")*(data_segment_HC_gains!$B$48:$B$67="p75")*data_segment_HC_gains!$G$48:$G$67)</f>
        <v>279.6</v>
      </c>
      <c r="BH11" s="62">
        <f t="shared" si="21"/>
        <v>135.7</v>
      </c>
      <c r="BI11" s="62">
        <f>BD11-BG11*(1-(saga_progression_new!$K$17/saga_progression_old!$C$16))+IF(BC11&lt;ns_new!$E$29,0,IF(BC11*1.25&lt;ns_new!$E$30-ns_new!$E$29,ns_new!$F$29,IF(BC11*1.25^2&lt;ns_new!$E$31-ns_new!$E$30,ns_new!$F$29+ns_new!$F$30,ns_new!$F$29+ns_new!$F$30+ns_new!$F$31)))</f>
        <v>1307.537143</v>
      </c>
      <c r="BJ11" s="62">
        <f>BE11+(IF(SUMPRODUCT((data_raw_slopes!$A$2:$A$41="100+")*(data_raw_slopes!$B$2:$B$41="nonpayer")*(data_raw_slopes!$C$2:$C$41="p75")*data_raw_slopes!$F$2:$F$41)&gt;0,SUMPRODUCT((data_raw_slopes!$A$2:$A$41="100+")*(data_raw_slopes!$B$2:$B$41="nonpayer")*(data_raw_slopes!$C$2:$C$41="p75")*data_raw_slopes!$F$2:$F$41),SUMPRODUCT((data_raw_slopes!$A$2:$A$41="100+")*(data_raw_slopes!$B$2:$B$41="nonpayer")*(data_raw_slopes!$C$2:$C$41="p75")*data_raw_slopes!$G$2:$G$41)))*BC11*0.15</f>
        <v>864.98053</v>
      </c>
      <c r="BK11" s="62">
        <f t="shared" si="22"/>
        <v>442.5566129</v>
      </c>
      <c r="BL11" s="62">
        <f>BG11*(saga_progression_new!$K$17/saga_progression_old!$C$16)</f>
        <v>99.85714286</v>
      </c>
      <c r="BM11" s="64">
        <f t="shared" si="23"/>
        <v>547.7066129</v>
      </c>
      <c r="BN11" s="64">
        <f t="shared" si="24"/>
        <v>17.7</v>
      </c>
      <c r="BO11" s="64">
        <f t="shared" si="25"/>
        <v>-179.7428571</v>
      </c>
      <c r="BP11" s="64">
        <f t="shared" si="26"/>
        <v>72.55053</v>
      </c>
      <c r="BQ11" s="54"/>
      <c r="BR11" s="60">
        <f>SUMPRODUCT((data_segment_HC_gains!$A$48:$A$67="100+")*(data_segment_HC_gains!$B$48:$B$67="p90")*data_segment_HC_gains!$C$48:$C$67)</f>
        <v>172</v>
      </c>
      <c r="BS11" s="60">
        <f>SUMPRODUCT((data_segment_HC_gains!$A$48:$A$67="100+")*(data_segment_HC_gains!$B$48:$B$67="p90")*data_segment_HC_gains!$E$48:$E$67)</f>
        <v>912.86</v>
      </c>
      <c r="BT11" s="60">
        <f>SUMPRODUCT((data_raw_slopes!$A$2:$A$41="100+")*(data_raw_slopes!$B$2:$B$41="nonpayer")*(data_raw_slopes!$C$2:$C$41="p90")*data_raw_slopes!$E$2:$E$41)</f>
        <v>1103.44</v>
      </c>
      <c r="BU11" s="60">
        <f t="shared" si="27"/>
        <v>-190.58</v>
      </c>
      <c r="BV11" s="60">
        <f>SUMPRODUCT((data_segment_HC_gains!$A$48:$A$67="100+")*(data_segment_HC_gains!$B$48:$B$67="p90")*data_segment_HC_gains!$G$48:$G$67)</f>
        <v>381.8</v>
      </c>
      <c r="BW11" s="62">
        <f t="shared" si="28"/>
        <v>197.8</v>
      </c>
      <c r="BX11" s="62">
        <f>BS11-BV11*(1-(saga_progression_new!$K$17/saga_progression_old!$C$16))+IF(BR11&lt;ns_new!$E$29,0,IF(BR11*1.25&lt;ns_new!$E$30-ns_new!$E$29,ns_new!$F$29,IF(BR11*1.25^2&lt;ns_new!$E$31-ns_new!$E$30,ns_new!$F$29+ns_new!$F$30,ns_new!$F$29+ns_new!$F$30+ns_new!$F$31)))</f>
        <v>1467.417143</v>
      </c>
      <c r="BY11" s="62">
        <f>BT11+(IF(SUMPRODUCT((data_raw_slopes!$A$2:$A$41="100+")*(data_raw_slopes!$B$2:$B$41="nonpayer")*(data_raw_slopes!$C$2:$C$41="p90")*data_raw_slopes!$F$2:$F$41)&gt;0,SUMPRODUCT((data_raw_slopes!$A$2:$A$41="100+")*(data_raw_slopes!$B$2:$B$41="nonpayer")*(data_raw_slopes!$C$2:$C$41="p90")*data_raw_slopes!$F$2:$F$41),SUMPRODUCT((data_raw_slopes!$A$2:$A$41="100+")*(data_raw_slopes!$B$2:$B$41="nonpayer")*(data_raw_slopes!$C$2:$C$41="p90")*data_raw_slopes!$G$2:$G$41)))*BR11*0.15</f>
        <v>1219.65352</v>
      </c>
      <c r="BZ11" s="62">
        <f t="shared" si="29"/>
        <v>247.7636229</v>
      </c>
      <c r="CA11" s="62">
        <f>BV11*(saga_progression_new!$K$17/saga_progression_old!$C$16)</f>
        <v>136.3571429</v>
      </c>
      <c r="CB11" s="64">
        <f t="shared" si="30"/>
        <v>438.3436229</v>
      </c>
      <c r="CC11" s="64">
        <f t="shared" si="31"/>
        <v>25.8</v>
      </c>
      <c r="CD11" s="64">
        <f t="shared" si="32"/>
        <v>-245.4428571</v>
      </c>
      <c r="CE11" s="64">
        <f t="shared" si="33"/>
        <v>116.21352</v>
      </c>
      <c r="CF11" s="39"/>
      <c r="CG11" s="39"/>
      <c r="CH11" s="39"/>
      <c r="CI11" s="39"/>
      <c r="CJ11" s="39"/>
      <c r="CK11" s="39"/>
      <c r="CL11" s="39"/>
      <c r="CM11" s="39"/>
    </row>
    <row r="12" ht="15.0" customHeight="1">
      <c r="A12" s="1"/>
      <c r="B12" s="67"/>
      <c r="C12" s="68"/>
      <c r="D12" s="68"/>
      <c r="E12" s="68"/>
      <c r="F12" s="68"/>
      <c r="G12" s="68"/>
      <c r="H12" s="68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8"/>
      <c r="Y12" s="68"/>
      <c r="Z12" s="68"/>
      <c r="AA12" s="68"/>
      <c r="AB12" s="68"/>
      <c r="AC12" s="68"/>
      <c r="AD12" s="70"/>
      <c r="AE12" s="70"/>
      <c r="AF12" s="70"/>
      <c r="AG12" s="70"/>
      <c r="AH12" s="70"/>
      <c r="AI12" s="68"/>
      <c r="AJ12" s="68"/>
      <c r="AK12" s="68"/>
      <c r="AL12" s="71"/>
      <c r="AM12" s="71"/>
      <c r="AN12" s="68"/>
      <c r="AO12" s="71"/>
      <c r="AP12" s="71"/>
      <c r="AQ12" s="71"/>
      <c r="AR12" s="71"/>
      <c r="AS12" s="72"/>
      <c r="AT12" s="72"/>
      <c r="AU12" s="72"/>
      <c r="AV12" s="73"/>
      <c r="AW12" s="72"/>
      <c r="AX12" s="71"/>
      <c r="AY12" s="71"/>
      <c r="AZ12" s="71"/>
      <c r="BA12" s="71"/>
      <c r="BB12" s="71"/>
      <c r="BC12" s="71"/>
      <c r="BD12" s="68"/>
      <c r="BE12" s="68"/>
      <c r="BF12" s="68"/>
      <c r="BG12" s="68"/>
      <c r="BH12" s="73"/>
      <c r="BI12" s="73"/>
      <c r="BJ12" s="73"/>
      <c r="BK12" s="73"/>
      <c r="BL12" s="73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73"/>
      <c r="BX12" s="73"/>
      <c r="BY12" s="73"/>
      <c r="BZ12" s="73"/>
      <c r="CA12" s="73"/>
      <c r="CB12" s="68"/>
      <c r="CC12" s="68"/>
      <c r="CD12" s="68"/>
      <c r="CE12" s="68"/>
      <c r="CF12" s="1"/>
      <c r="CG12" s="1"/>
      <c r="CH12" s="1"/>
      <c r="CI12" s="1"/>
      <c r="CJ12" s="1"/>
      <c r="CK12" s="1"/>
      <c r="CL12" s="1"/>
      <c r="CM12" s="1"/>
    </row>
    <row r="13" ht="15.0" customHeight="1">
      <c r="A13" s="1"/>
      <c r="B13" s="74" t="s">
        <v>48</v>
      </c>
      <c r="C13" s="68"/>
      <c r="D13" s="68"/>
      <c r="E13" s="68"/>
      <c r="F13" s="68"/>
      <c r="G13" s="68"/>
      <c r="H13" s="68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8"/>
      <c r="Y13" s="68"/>
      <c r="Z13" s="68"/>
      <c r="AA13" s="68"/>
      <c r="AB13" s="68"/>
      <c r="AC13" s="68"/>
      <c r="AD13" s="70"/>
      <c r="AE13" s="70"/>
      <c r="AF13" s="70"/>
      <c r="AG13" s="70"/>
      <c r="AH13" s="70"/>
      <c r="AI13" s="68"/>
      <c r="AJ13" s="68"/>
      <c r="AK13" s="68"/>
      <c r="AL13" s="71"/>
      <c r="AM13" s="71"/>
      <c r="AN13" s="68"/>
      <c r="AO13" s="71"/>
      <c r="AP13" s="71"/>
      <c r="AQ13" s="71"/>
      <c r="AR13" s="71"/>
      <c r="AS13" s="72"/>
      <c r="AT13" s="72"/>
      <c r="AU13" s="72"/>
      <c r="AV13" s="73"/>
      <c r="AW13" s="72"/>
      <c r="AX13" s="71"/>
      <c r="AY13" s="71"/>
      <c r="AZ13" s="71"/>
      <c r="BA13" s="71"/>
      <c r="BB13" s="71"/>
      <c r="BC13" s="71"/>
      <c r="BD13" s="68"/>
      <c r="BE13" s="68"/>
      <c r="BF13" s="68"/>
      <c r="BG13" s="68"/>
      <c r="BH13" s="73"/>
      <c r="BI13" s="73"/>
      <c r="BJ13" s="73"/>
      <c r="BK13" s="73"/>
      <c r="BL13" s="73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73"/>
      <c r="BX13" s="73"/>
      <c r="BY13" s="73"/>
      <c r="BZ13" s="73"/>
      <c r="CA13" s="73"/>
      <c r="CB13" s="68"/>
      <c r="CC13" s="68"/>
      <c r="CD13" s="68"/>
      <c r="CE13" s="68"/>
      <c r="CF13" s="1"/>
      <c r="CG13" s="1"/>
      <c r="CH13" s="1"/>
      <c r="CI13" s="1"/>
      <c r="CJ13" s="1"/>
      <c r="CK13" s="1"/>
      <c r="CL13" s="1"/>
      <c r="CM13" s="1"/>
    </row>
    <row r="14" ht="15.0" customHeight="1">
      <c r="A14" s="39"/>
      <c r="B14" s="40" t="s">
        <v>43</v>
      </c>
      <c r="C14" s="41">
        <f>data_processed!E7</f>
        <v>17.5839349</v>
      </c>
      <c r="D14" s="42">
        <f>data_processed!G7</f>
        <v>5.357665721</v>
      </c>
      <c r="E14" s="43">
        <f>data_processed!H7</f>
        <v>75.58081843</v>
      </c>
      <c r="F14" s="41">
        <f>data_processed!I7</f>
        <v>10.43502499</v>
      </c>
      <c r="G14" s="44">
        <f>data_processed!X7</f>
        <v>20.4470219</v>
      </c>
      <c r="H14" s="45">
        <f>data_processed!J7</f>
        <v>65.14610682</v>
      </c>
      <c r="I14" s="46">
        <f>IFERROR(D14*saga_progression_new!$C17,"")</f>
        <v>4.018249291</v>
      </c>
      <c r="J14" s="46">
        <f>IFERROR(daily_rewards_new!$B$13*data_processed!Y7,"")</f>
        <v>14.42320482</v>
      </c>
      <c r="K14" s="75">
        <f>data_processed!L7</f>
        <v>0.6679737144</v>
      </c>
      <c r="L14" s="47">
        <f>data_processed!M7</f>
        <v>0.2499168202</v>
      </c>
      <c r="M14" s="47">
        <f>data_processed!N7</f>
        <v>0.06954441119</v>
      </c>
      <c r="N14" s="48">
        <f>IFERROR(K14*ns_new!$F$5+L14*ns_new!$F$6+M14*ns_new!$F$7,"")</f>
        <v>3.54233437</v>
      </c>
      <c r="O14" s="46">
        <f t="shared" ref="O14:O18" si="34">IFERROR(H14+I14+N14+J14,"")</f>
        <v>87.12989529</v>
      </c>
      <c r="P14" s="49"/>
      <c r="Q14" s="43">
        <f>data_processed!K7</f>
        <v>77.20980923</v>
      </c>
      <c r="R14" s="48">
        <f t="shared" ref="R14:R18" si="35">IFERROR(E14-Q14,"")</f>
        <v>-1.628990805</v>
      </c>
      <c r="S14" s="50">
        <f>data_processed!W7</f>
        <v>3.547780721</v>
      </c>
      <c r="T14" s="51">
        <f t="shared" ref="T14:T18" si="36">IFERROR(S14*($C$2-1),"")</f>
        <v>0.177389036</v>
      </c>
      <c r="U14" s="52">
        <f>data_processed!R7</f>
        <v>28.5464</v>
      </c>
      <c r="V14" s="53">
        <f t="shared" ref="V14:V18" si="37">IFERROR(O14-(Q14+U14*T14),"")</f>
        <v>4.85626768</v>
      </c>
      <c r="W14" s="51">
        <f t="shared" ref="W14:W18" si="38">IFERROR(O14-Q14,"")</f>
        <v>9.920086059</v>
      </c>
      <c r="X14" s="54"/>
      <c r="Y14" s="55">
        <f>SUMPRODUCT((data_segment_HC_gains!$A$25:$A$44="0-9")*(data_segment_HC_gains!$B$25:$B$44="p25")*data_segment_HC_gains!$C$25:$C$44)</f>
        <v>0</v>
      </c>
      <c r="Z14" s="55">
        <f>SUMPRODUCT((data_segment_HC_gains!$A$25:$A$44="0-9")*(data_segment_HC_gains!$B$25:$B$44="p25")*data_segment_HC_gains!$E$25:$E$44)</f>
        <v>27.59</v>
      </c>
      <c r="AA14" s="55">
        <f>SUMPRODUCT((data_raw_slopes!$A$2:$A$41="0-9")*(data_raw_slopes!$B$2:$B$41="payer")*(data_raw_slopes!$C$2:$C$41="p25")*data_raw_slopes!$E$2:$E$41)</f>
        <v>2.25</v>
      </c>
      <c r="AB14" s="55">
        <f t="shared" ref="AB14:AB18" si="39">Z14-AA14</f>
        <v>25.34</v>
      </c>
      <c r="AC14" s="55">
        <f>SUMPRODUCT((data_segment_HC_gains!$A$25:$A$44="0-9")*(data_segment_HC_gains!$B$25:$B$44="p25")*data_segment_HC_gains!$G$25:$G$44)</f>
        <v>0.07</v>
      </c>
      <c r="AD14" s="56">
        <f t="shared" ref="AD14:AD18" si="40">Y14*1.15</f>
        <v>0</v>
      </c>
      <c r="AE14" s="56">
        <f>Z14-AC14*(1-(saga_progression_new!$C$17/saga_progression_old!$C$16))+IF(Y14&lt;ns_new!$E$5,0,IF(Y14*1.25&lt;ns_new!$E$6-ns_new!$E$5,ns_new!$F$5,IF(Y14*1.25^2&lt;ns_new!$E$7-ns_new!$E$6,ns_new!$F$5+ns_new!$F$6,ns_new!$F$5+ns_new!$F$6+ns_new!$F$7)))</f>
        <v>27.545</v>
      </c>
      <c r="AF14" s="57">
        <f>AA14+(IF(SUMPRODUCT((data_raw_slopes!$A$2:$A$41="0-9")*(data_raw_slopes!$B$2:$B$41="payer")*(data_raw_slopes!$C$2:$C$41="p25")*data_raw_slopes!$F$2:$F$41)&gt;0,SUMPRODUCT((data_raw_slopes!$A$2:$A$41="0-9")*(data_raw_slopes!$B$2:$B$41="payer")*(data_raw_slopes!$C$2:$C$41="p25")*data_raw_slopes!$F$2:$F$41),SUMPRODUCT((data_raw_slopes!$A$2:$A$41="0-9")*(data_raw_slopes!$B$2:$B$41="payer")*(data_raw_slopes!$C$2:$C$41="p25")*data_raw_slopes!$G$2:$G$41)))*Y14*0.15</f>
        <v>2.25</v>
      </c>
      <c r="AG14" s="56">
        <f t="shared" ref="AG14:AG18" si="41">AE14-AF14</f>
        <v>25.295</v>
      </c>
      <c r="AH14" s="56">
        <f>AC14*(saga_progression_new!$C$17/saga_progression_old!$C$16)</f>
        <v>0.025</v>
      </c>
      <c r="AI14" s="58">
        <f t="shared" ref="AI14:AI18" si="42">AG14-AB14</f>
        <v>-0.045</v>
      </c>
      <c r="AJ14" s="58">
        <f t="shared" ref="AJ14:AJ18" si="43">AD14-Y14</f>
        <v>0</v>
      </c>
      <c r="AK14" s="58">
        <f t="shared" ref="AK14:AK18" si="44">AH14-AC14</f>
        <v>-0.045</v>
      </c>
      <c r="AL14" s="58">
        <f t="shared" ref="AL14:AL18" si="45">AF14-AA14</f>
        <v>0</v>
      </c>
      <c r="AM14" s="59"/>
      <c r="AN14" s="60">
        <f>SUMPRODUCT((data_segment_HC_gains!$A$25:$A$44="0-9")*(data_segment_HC_gains!$B$25:$B$44="p50")*data_segment_HC_gains!$C$25:$C$44)</f>
        <v>1</v>
      </c>
      <c r="AO14" s="55">
        <f>SUMPRODUCT((data_segment_HC_gains!$A$25:$A$44="0-9")*(data_segment_HC_gains!$B$25:$B$44="p50")*data_segment_HC_gains!$E$25:$E$44)</f>
        <v>38.94</v>
      </c>
      <c r="AP14" s="55">
        <f>SUMPRODUCT((data_raw_slopes!$A$2:$A$41="0-9")*(data_raw_slopes!$B$2:$B$41="payer")*(data_raw_slopes!$C$2:$C$41="p50")*data_raw_slopes!$E$2:$E$41)</f>
        <v>24.74</v>
      </c>
      <c r="AQ14" s="55">
        <f t="shared" ref="AQ14:AQ18" si="46">AO14-AP14</f>
        <v>14.2</v>
      </c>
      <c r="AR14" s="55">
        <f>SUMPRODUCT((data_segment_HC_gains!$A$25:$A$44="0-9")*(data_segment_HC_gains!$B$25:$B$44="p50")*data_segment_HC_gains!$G$25:$G$44)</f>
        <v>2.96</v>
      </c>
      <c r="AS14" s="61">
        <f t="shared" ref="AS14:AS18" si="47">AN14*1.15</f>
        <v>1.15</v>
      </c>
      <c r="AT14" s="61">
        <f>AO14-AR14*(1-(saga_progression_new!$C$17/saga_progression_old!$C$16))+IF(AN14&lt;ns_new!$E$5,0,IF(AN14*1.25&lt;ns_new!$E$6-ns_new!$E$5,ns_new!$F$5,IF(AN14*1.25^2&lt;ns_new!$E$7-ns_new!$E$6,ns_new!$F$5+ns_new!$F$6,ns_new!$F$5+ns_new!$F$6+ns_new!$F$7)))</f>
        <v>37.03714286</v>
      </c>
      <c r="AU14" s="61">
        <f>AP14+(IF(SUMPRODUCT((data_raw_slopes!$A$2:$A$41="0-9")*(data_raw_slopes!$B$2:$B$41="payer")*(data_raw_slopes!$C$2:$C$41="p50")*data_raw_slopes!$F$2:$F$41)&gt;0,SUMPRODUCT((data_raw_slopes!$A$2:$A$41="0-9")*(data_raw_slopes!$B$2:$B$41="payer")*(data_raw_slopes!$C$2:$C$41="p50")*data_raw_slopes!$F$2:$F$41),SUMPRODUCT((data_raw_slopes!$A$2:$A$41="0-9")*(data_raw_slopes!$B$2:$B$41="payer")*(data_raw_slopes!$C$2:$C$41="p50")*data_raw_slopes!$G$2:$G$41)))*AN14*0.15</f>
        <v>29.02196</v>
      </c>
      <c r="AV14" s="62">
        <f t="shared" ref="AV14:AV18" si="48">AT14-AU14</f>
        <v>8.015182857</v>
      </c>
      <c r="AW14" s="61">
        <f>AR14*(saga_progression_new!$C$17/saga_progression_old!$C$16)</f>
        <v>1.057142857</v>
      </c>
      <c r="AX14" s="63">
        <f t="shared" ref="AX14:AX18" si="49">AV14-AQ14</f>
        <v>-6.184817143</v>
      </c>
      <c r="AY14" s="63">
        <f t="shared" ref="AY14:AY18" si="50">AS14-AN14</f>
        <v>0.15</v>
      </c>
      <c r="AZ14" s="63">
        <f t="shared" ref="AZ14:AZ18" si="51">AW14-AR14</f>
        <v>-1.902857143</v>
      </c>
      <c r="BA14" s="63">
        <f t="shared" ref="BA14:BA18" si="52">AU14-AP14</f>
        <v>4.28196</v>
      </c>
      <c r="BB14" s="59"/>
      <c r="BC14" s="55">
        <f>SUMPRODUCT((data_segment_HC_gains!$A$25:$A$44="0-9")*(data_segment_HC_gains!$B$25:$B$44="p75")*data_segment_HC_gains!$C$25:$C$44)</f>
        <v>3</v>
      </c>
      <c r="BD14" s="60">
        <f>SUMPRODUCT((data_segment_HC_gains!$A$25:$A$44="0-9")*(data_segment_HC_gains!$B$25:$B$44="p75")*data_segment_HC_gains!$E$25:$E$44)</f>
        <v>58.44</v>
      </c>
      <c r="BE14" s="60">
        <f>SUMPRODUCT((data_raw_slopes!$A$2:$A$41="0-9")*(data_raw_slopes!$B$2:$B$41="payer")*(data_raw_slopes!$C$2:$C$41="p75")*data_raw_slopes!$E$2:$E$41)</f>
        <v>56.58</v>
      </c>
      <c r="BF14" s="60">
        <f t="shared" ref="BF14:BF18" si="53">BD14-BE14</f>
        <v>1.86</v>
      </c>
      <c r="BG14" s="60">
        <f>SUMPRODUCT((data_segment_HC_gains!$A$25:$A$44="0-9")*(data_segment_HC_gains!$B$25:$B$44="p75")*data_segment_HC_gains!$G$25:$G$44)</f>
        <v>7.56</v>
      </c>
      <c r="BH14" s="62">
        <f t="shared" ref="BH14:BH18" si="54">BC14*1.15</f>
        <v>3.45</v>
      </c>
      <c r="BI14" s="62">
        <f>BD14-BG14*(1-(saga_progression_new!$C$17/saga_progression_old!$C$16))+IF(BC14&lt;ns_new!$E$5,0,IF(BC14*1.25&lt;ns_new!$E$6-ns_new!$E$5,ns_new!$F$5,IF(BC14*1.25^2&lt;ns_new!$E$7-ns_new!$E$6,ns_new!$F$5+ns_new!$F$6,ns_new!$F$5+ns_new!$F$6+ns_new!$F$7)))</f>
        <v>63.58</v>
      </c>
      <c r="BJ14" s="62">
        <f>BE14+(IF(SUMPRODUCT((data_raw_slopes!$A$2:$A$41="0-9")*(data_raw_slopes!$B$2:$B$41="payer")*(data_raw_slopes!$C$2:$C$41="p75")*data_raw_slopes!$F$2:$F$41)&gt;0,SUMPRODUCT((data_raw_slopes!$A$2:$A$41="0-9")*(data_raw_slopes!$B$2:$B$41="payer")*(data_raw_slopes!$C$2:$C$41="p75")*data_raw_slopes!$F$2:$F$41),SUMPRODUCT((data_raw_slopes!$A$2:$A$41="0-9")*(data_raw_slopes!$B$2:$B$41="payer")*(data_raw_slopes!$C$2:$C$41="p75")*data_raw_slopes!$G$2:$G$41)))*BC14*0.15</f>
        <v>64.376565</v>
      </c>
      <c r="BK14" s="62">
        <f t="shared" ref="BK14:BK18" si="55">BI14-BJ14</f>
        <v>-0.796565</v>
      </c>
      <c r="BL14" s="62">
        <f>BG14*(saga_progression_new!$C$17/saga_progression_old!$C$16)</f>
        <v>2.7</v>
      </c>
      <c r="BM14" s="64">
        <f t="shared" ref="BM14:BM18" si="56">BK14-BF14</f>
        <v>-2.656565</v>
      </c>
      <c r="BN14" s="64">
        <f t="shared" ref="BN14:BN18" si="57">BH14-BC14</f>
        <v>0.45</v>
      </c>
      <c r="BO14" s="64">
        <f t="shared" ref="BO14:BO18" si="58">BL14-BG14</f>
        <v>-4.86</v>
      </c>
      <c r="BP14" s="64">
        <f t="shared" ref="BP14:BP18" si="59">BJ14-BE14</f>
        <v>7.796565</v>
      </c>
      <c r="BQ14" s="54"/>
      <c r="BR14" s="60">
        <f>SUMPRODUCT((data_segment_HC_gains!$A$25:$A$44="0-9")*(data_segment_HC_gains!$B$25:$B$44="p90")*data_segment_HC_gains!$C$25:$C$44)</f>
        <v>6</v>
      </c>
      <c r="BS14" s="60">
        <f>SUMPRODUCT((data_segment_HC_gains!$A$25:$A$44="0-9")*(data_segment_HC_gains!$B$25:$B$44="p90")*data_segment_HC_gains!$E$25:$E$44)</f>
        <v>110.87</v>
      </c>
      <c r="BT14" s="60">
        <f>SUMPRODUCT((data_raw_slopes!$A$2:$A$41="0-9")*(data_raw_slopes!$B$2:$B$41="payer")*(data_raw_slopes!$C$2:$C$41="p90")*data_raw_slopes!$E$2:$E$41)</f>
        <v>121.33</v>
      </c>
      <c r="BU14" s="60">
        <f t="shared" ref="BU14:BU18" si="60">BS14-BT14</f>
        <v>-10.46</v>
      </c>
      <c r="BV14" s="60">
        <f>SUMPRODUCT((data_segment_HC_gains!$A$25:$A$44="0-9")*(data_segment_HC_gains!$B$25:$B$44="p90")*data_segment_HC_gains!$G$25:$G$44)</f>
        <v>16.94</v>
      </c>
      <c r="BW14" s="62">
        <f t="shared" ref="BW14:BW18" si="61">BR14*1.15</f>
        <v>6.9</v>
      </c>
      <c r="BX14" s="62">
        <f>BS14-BV14*(1-(saga_progression_new!$C$17/saga_progression_old!$C$16))+IF(BR14&lt;ns_new!$E$5,0,IF(BR14*1.25&lt;ns_new!$E$6-ns_new!$E$5,ns_new!$F$5,IF(BR14*1.25^2&lt;ns_new!$E$7-ns_new!$E$6,ns_new!$F$5+ns_new!$F$6,ns_new!$F$5+ns_new!$F$6+ns_new!$F$7)))</f>
        <v>124.98</v>
      </c>
      <c r="BY14" s="62">
        <f>BT14+(IF(SUMPRODUCT((data_raw_slopes!$A$2:$A$41="0-9")*(data_raw_slopes!$B$2:$B$41="payer")*(data_raw_slopes!$C$2:$C$41="p90")*data_raw_slopes!$F$2:$F$41)&gt;0,SUMPRODUCT((data_raw_slopes!$A$2:$A$41="0-9")*(data_raw_slopes!$B$2:$B$41="payer")*(data_raw_slopes!$C$2:$C$41="p90")*data_raw_slopes!$F$2:$F$41),SUMPRODUCT((data_raw_slopes!$A$2:$A$41="0-9")*(data_raw_slopes!$B$2:$B$41="payer")*(data_raw_slopes!$C$2:$C$41="p90")*data_raw_slopes!$G$2:$G$41)))*BR14*0.15</f>
        <v>134.71012</v>
      </c>
      <c r="BZ14" s="62">
        <f t="shared" ref="BZ14:BZ18" si="62">BX14-BY14</f>
        <v>-9.73012</v>
      </c>
      <c r="CA14" s="62">
        <f>BV14*(saga_progression_new!$C$17/saga_progression_old!$C$16)</f>
        <v>6.05</v>
      </c>
      <c r="CB14" s="64">
        <f t="shared" ref="CB14:CB18" si="63">BZ14-BU14</f>
        <v>0.72988</v>
      </c>
      <c r="CC14" s="64">
        <f t="shared" ref="CC14:CC18" si="64">BW14-BR14</f>
        <v>0.9</v>
      </c>
      <c r="CD14" s="64">
        <f t="shared" ref="CD14:CD18" si="65">CA14-BV14</f>
        <v>-10.89</v>
      </c>
      <c r="CE14" s="64">
        <f t="shared" ref="CE14:CE18" si="66">BY14-BT14</f>
        <v>13.38012</v>
      </c>
      <c r="CF14" s="39"/>
      <c r="CG14" s="39"/>
      <c r="CH14" s="39"/>
      <c r="CI14" s="39"/>
      <c r="CJ14" s="39"/>
      <c r="CK14" s="39"/>
      <c r="CL14" s="39"/>
      <c r="CM14" s="39"/>
    </row>
    <row r="15" ht="15.0" customHeight="1">
      <c r="A15" s="39"/>
      <c r="B15" s="65" t="s">
        <v>44</v>
      </c>
      <c r="C15" s="41">
        <f>data_processed!E8</f>
        <v>34.26794995</v>
      </c>
      <c r="D15" s="42">
        <f>data_processed!G8</f>
        <v>14.12438225</v>
      </c>
      <c r="E15" s="43">
        <f>data_processed!H8</f>
        <v>175.7865835</v>
      </c>
      <c r="F15" s="41">
        <f>data_processed!I8</f>
        <v>27.04350865</v>
      </c>
      <c r="G15" s="44">
        <f>data_processed!X8</f>
        <v>21.03606262</v>
      </c>
      <c r="H15" s="45">
        <f>data_processed!J8</f>
        <v>148.743599</v>
      </c>
      <c r="I15" s="46">
        <f>IFERROR(D15*saga_progression_new!$E17,"")</f>
        <v>10.59328669</v>
      </c>
      <c r="J15" s="46">
        <f>IFERROR(daily_rewards_new!$B$13*data_processed!Y8,"")</f>
        <v>15.52788216</v>
      </c>
      <c r="K15" s="47">
        <f>data_processed!L8</f>
        <v>0.5452161393</v>
      </c>
      <c r="L15" s="47">
        <f>data_processed!M8</f>
        <v>0.245690148</v>
      </c>
      <c r="M15" s="47">
        <f>data_processed!N8</f>
        <v>0.04839591322</v>
      </c>
      <c r="N15" s="48">
        <f>IFERROR(K15*ns_new!$F$11+L15*ns_new!$F$12+M15*ns_new!$F$13,"")</f>
        <v>15.72662063</v>
      </c>
      <c r="O15" s="46">
        <f t="shared" si="34"/>
        <v>190.5913885</v>
      </c>
      <c r="P15" s="49"/>
      <c r="Q15" s="43">
        <f>data_processed!K8</f>
        <v>181.4248544</v>
      </c>
      <c r="R15" s="48">
        <f t="shared" si="35"/>
        <v>-5.638270879</v>
      </c>
      <c r="S15" s="50">
        <f>data_processed!W8</f>
        <v>8.891659208</v>
      </c>
      <c r="T15" s="51">
        <f t="shared" si="36"/>
        <v>0.4445829604</v>
      </c>
      <c r="U15" s="52">
        <f>data_processed!R8</f>
        <v>13.3578</v>
      </c>
      <c r="V15" s="53">
        <f t="shared" si="37"/>
        <v>3.227883862</v>
      </c>
      <c r="W15" s="51">
        <f t="shared" si="38"/>
        <v>9.16653413</v>
      </c>
      <c r="X15" s="54"/>
      <c r="Y15" s="55">
        <f>SUMPRODUCT((data_segment_HC_gains!$A$25:$A$44="10-19")*(data_segment_HC_gains!$B$25:$B$44="p25")*data_segment_HC_gains!$C$25:$C$44)</f>
        <v>3</v>
      </c>
      <c r="Z15" s="55">
        <f>SUMPRODUCT((data_segment_HC_gains!$A$25:$A$44="10-19")*(data_segment_HC_gains!$B$25:$B$44="p25")*data_segment_HC_gains!$E$25:$E$44)</f>
        <v>93.5</v>
      </c>
      <c r="AA15" s="55">
        <f>SUMPRODUCT((data_raw_slopes!$A$2:$A$41="10-19")*(data_raw_slopes!$B$2:$B$41="payer")*(data_raw_slopes!$C$2:$C$41="p25")*data_raw_slopes!$E$2:$E$41)</f>
        <v>89.02</v>
      </c>
      <c r="AB15" s="55">
        <f t="shared" si="39"/>
        <v>4.48</v>
      </c>
      <c r="AC15" s="55">
        <f>SUMPRODUCT((data_segment_HC_gains!$A$25:$A$44="10-19")*(data_segment_HC_gains!$B$25:$B$44="p25")*data_segment_HC_gains!$G$25:$G$44)</f>
        <v>14.79</v>
      </c>
      <c r="AD15" s="56">
        <f t="shared" si="40"/>
        <v>3.45</v>
      </c>
      <c r="AE15" s="56">
        <f>Z15-AC15*(1-(saga_progression_new!$E$17/saga_progression_old!$C$16))+IF(Y15&lt;ns_new!$E$11,0,IF(Y15*1.25&lt;ns_new!$E$12-ns_new!$E$11,ns_new!$F$11,IF(Y15*1.25^2&lt;ns_new!$E$13-ns_new!$E$12,ns_new!$F$11+ns_new!$F$12,ns_new!$F$11+ns_new!$F$12+ns_new!$F$13)))</f>
        <v>83.99214286</v>
      </c>
      <c r="AF15" s="57">
        <f>AA15+(IF(SUMPRODUCT((data_raw_slopes!$A$2:$A$41="10-19")*(data_raw_slopes!$B$2:$B$41="payer")*(data_raw_slopes!$C$2:$C$41="p25")*data_raw_slopes!$F$2:$F$41)&gt;0,SUMPRODUCT((data_raw_slopes!$A$2:$A$41="10-19")*(data_raw_slopes!$B$2:$B$41="payer")*(data_raw_slopes!$C$2:$C$41="p25")*data_raw_slopes!$F$2:$F$41),SUMPRODUCT((data_raw_slopes!$A$2:$A$41="10-19")*(data_raw_slopes!$B$2:$B$41="payer")*(data_raw_slopes!$C$2:$C$41="p25")*data_raw_slopes!$G$2:$G$41)))*Y15*0.15</f>
        <v>99.424135</v>
      </c>
      <c r="AG15" s="56">
        <f t="shared" si="41"/>
        <v>-15.43199214</v>
      </c>
      <c r="AH15" s="56">
        <f>AC15*(saga_progression_new!$E$17/saga_progression_old!$C$16)</f>
        <v>5.282142857</v>
      </c>
      <c r="AI15" s="58">
        <f t="shared" si="42"/>
        <v>-19.91199214</v>
      </c>
      <c r="AJ15" s="58">
        <f t="shared" si="43"/>
        <v>0.45</v>
      </c>
      <c r="AK15" s="58">
        <f t="shared" si="44"/>
        <v>-9.507857143</v>
      </c>
      <c r="AL15" s="58">
        <f t="shared" si="45"/>
        <v>10.404135</v>
      </c>
      <c r="AM15" s="59"/>
      <c r="AN15" s="60">
        <f>SUMPRODUCT((data_segment_HC_gains!$A$25:$A$44="10-19")*(data_segment_HC_gains!$B$25:$B$44="p50")*data_segment_HC_gains!$C$25:$C$44)</f>
        <v>6</v>
      </c>
      <c r="AO15" s="55">
        <f>SUMPRODUCT((data_segment_HC_gains!$A$25:$A$44="10-19")*(data_segment_HC_gains!$B$25:$B$44="p50")*data_segment_HC_gains!$E$25:$E$44)</f>
        <v>148.23</v>
      </c>
      <c r="AP15" s="55">
        <f>SUMPRODUCT((data_raw_slopes!$A$2:$A$41="10-19")*(data_raw_slopes!$B$2:$B$41="payer")*(data_raw_slopes!$C$2:$C$41="p50")*data_raw_slopes!$E$2:$E$41)</f>
        <v>151.27</v>
      </c>
      <c r="AQ15" s="55">
        <f t="shared" si="46"/>
        <v>-3.04</v>
      </c>
      <c r="AR15" s="55">
        <f>SUMPRODUCT((data_segment_HC_gains!$A$25:$A$44="10-19")*(data_segment_HC_gains!$B$25:$B$44="p50")*data_segment_HC_gains!$G$25:$G$44)</f>
        <v>25.07</v>
      </c>
      <c r="AS15" s="61">
        <f t="shared" si="47"/>
        <v>6.9</v>
      </c>
      <c r="AT15" s="61">
        <f>AO15-AR15*(1-(saga_progression_new!$E$17/saga_progression_old!$C$16))+IF(AN15&lt;ns_new!$E$11,0,IF(AN15*1.25&lt;ns_new!$E$12-ns_new!$E$11,ns_new!$F$11,IF(AN15*1.25^2&lt;ns_new!$E$13-ns_new!$E$12,ns_new!$F$11+ns_new!$F$12,ns_new!$F$11+ns_new!$F$12+ns_new!$F$13)))</f>
        <v>172.1135714</v>
      </c>
      <c r="AU15" s="61">
        <f>AP15+(IF(SUMPRODUCT((data_raw_slopes!$A$2:$A$41="10-19")*(data_raw_slopes!$B$2:$B$41="payer")*(data_raw_slopes!$C$2:$C$41="p50")*data_raw_slopes!$F$2:$F$41)&gt;0,SUMPRODUCT((data_raw_slopes!$A$2:$A$41="10-19")*(data_raw_slopes!$B$2:$B$41="payer")*(data_raw_slopes!$C$2:$C$41="p50")*data_raw_slopes!$F$2:$F$41),SUMPRODUCT((data_raw_slopes!$A$2:$A$41="10-19")*(data_raw_slopes!$B$2:$B$41="payer")*(data_raw_slopes!$C$2:$C$41="p50")*data_raw_slopes!$G$2:$G$41)))*AN15*0.15</f>
        <v>163.29202</v>
      </c>
      <c r="AV15" s="62">
        <f t="shared" si="48"/>
        <v>8.821551429</v>
      </c>
      <c r="AW15" s="61">
        <f>AR15*(saga_progression_new!$E$17/saga_progression_old!$C$16)</f>
        <v>8.953571429</v>
      </c>
      <c r="AX15" s="63">
        <f t="shared" si="49"/>
        <v>11.86155143</v>
      </c>
      <c r="AY15" s="63">
        <f t="shared" si="50"/>
        <v>0.9</v>
      </c>
      <c r="AZ15" s="63">
        <f t="shared" si="51"/>
        <v>-16.11642857</v>
      </c>
      <c r="BA15" s="63">
        <f t="shared" si="52"/>
        <v>12.02202</v>
      </c>
      <c r="BB15" s="59"/>
      <c r="BC15" s="55">
        <f>SUMPRODUCT((data_segment_HC_gains!$A$25:$A$44="10-19")*(data_segment_HC_gains!$B$25:$B$44="p75")*data_segment_HC_gains!$C$25:$C$44)</f>
        <v>12</v>
      </c>
      <c r="BD15" s="60">
        <f>SUMPRODUCT((data_segment_HC_gains!$A$25:$A$44="10-19")*(data_segment_HC_gains!$B$25:$B$44="p75")*data_segment_HC_gains!$E$25:$E$44)</f>
        <v>200.4</v>
      </c>
      <c r="BE15" s="60">
        <f>SUMPRODUCT((data_raw_slopes!$A$2:$A$41="10-19")*(data_raw_slopes!$B$2:$B$41="payer")*(data_raw_slopes!$C$2:$C$41="p75")*data_raw_slopes!$E$2:$E$41)</f>
        <v>210.6</v>
      </c>
      <c r="BF15" s="60">
        <f t="shared" si="53"/>
        <v>-10.2</v>
      </c>
      <c r="BG15" s="60">
        <f>SUMPRODUCT((data_segment_HC_gains!$A$25:$A$44="10-19")*(data_segment_HC_gains!$B$25:$B$44="p75")*data_segment_HC_gains!$G$25:$G$44)</f>
        <v>32.05</v>
      </c>
      <c r="BH15" s="62">
        <f t="shared" si="54"/>
        <v>13.8</v>
      </c>
      <c r="BI15" s="62">
        <f>BD15-BG15*(1-(saga_progression_new!$E$17/saga_progression_old!$C$16))+IF(BC15&lt;ns_new!$E$11,0,IF(BC15*1.25&lt;ns_new!$E$12-ns_new!$E$11,ns_new!$F$11,IF(BC15*1.25^2&lt;ns_new!$E$13-ns_new!$E$12,ns_new!$F$11+ns_new!$F$12,ns_new!$F$11+ns_new!$F$12+ns_new!$F$13)))</f>
        <v>279.7964286</v>
      </c>
      <c r="BJ15" s="62">
        <f>BE15+(IF(SUMPRODUCT((data_raw_slopes!$A$2:$A$41="10-19")*(data_raw_slopes!$B$2:$B$41="payer")*(data_raw_slopes!$C$2:$C$41="p75")*data_raw_slopes!$F$2:$F$41)&gt;0,SUMPRODUCT((data_raw_slopes!$A$2:$A$41="10-19")*(data_raw_slopes!$B$2:$B$41="payer")*(data_raw_slopes!$C$2:$C$41="p75")*data_raw_slopes!$F$2:$F$41),SUMPRODUCT((data_raw_slopes!$A$2:$A$41="10-19")*(data_raw_slopes!$B$2:$B$41="payer")*(data_raw_slopes!$C$2:$C$41="p75")*data_raw_slopes!$G$2:$G$41)))*BC15*0.15</f>
        <v>232.49736</v>
      </c>
      <c r="BK15" s="62">
        <f t="shared" si="55"/>
        <v>47.29906857</v>
      </c>
      <c r="BL15" s="62">
        <f>BG15*(saga_progression_new!$E$17/saga_progression_old!$C$16)</f>
        <v>11.44642857</v>
      </c>
      <c r="BM15" s="64">
        <f t="shared" si="56"/>
        <v>57.49906857</v>
      </c>
      <c r="BN15" s="64">
        <f t="shared" si="57"/>
        <v>1.8</v>
      </c>
      <c r="BO15" s="64">
        <f t="shared" si="58"/>
        <v>-20.60357143</v>
      </c>
      <c r="BP15" s="64">
        <f t="shared" si="59"/>
        <v>21.89736</v>
      </c>
      <c r="BQ15" s="54"/>
      <c r="BR15" s="60">
        <f>SUMPRODUCT((data_segment_HC_gains!$A$25:$A$44="10-19")*(data_segment_HC_gains!$B$25:$B$44="p90")*data_segment_HC_gains!$C$25:$C$44)</f>
        <v>20</v>
      </c>
      <c r="BS15" s="60">
        <f>SUMPRODUCT((data_segment_HC_gains!$A$25:$A$44="10-19")*(data_segment_HC_gains!$B$25:$B$44="p90")*data_segment_HC_gains!$E$25:$E$44)</f>
        <v>315.99</v>
      </c>
      <c r="BT15" s="60">
        <f>SUMPRODUCT((data_raw_slopes!$A$2:$A$41="10-19")*(data_raw_slopes!$B$2:$B$41="payer")*(data_raw_slopes!$C$2:$C$41="p90")*data_raw_slopes!$E$2:$E$41)</f>
        <v>343.63</v>
      </c>
      <c r="BU15" s="60">
        <f t="shared" si="60"/>
        <v>-27.64</v>
      </c>
      <c r="BV15" s="60">
        <f>SUMPRODUCT((data_segment_HC_gains!$A$25:$A$44="10-19")*(data_segment_HC_gains!$B$25:$B$44="p90")*data_segment_HC_gains!$G$25:$G$44)</f>
        <v>46.02</v>
      </c>
      <c r="BW15" s="62">
        <f t="shared" si="61"/>
        <v>23</v>
      </c>
      <c r="BX15" s="62">
        <f>BS15-BV15*(1-(saga_progression_new!$E$17/saga_progression_old!$C$16))+IF(BR15&lt;ns_new!$E$11,0,IF(BR15*1.25&lt;ns_new!$E$12-ns_new!$E$11,ns_new!$F$11,IF(BR15*1.25^2&lt;ns_new!$E$13-ns_new!$E$12,ns_new!$F$11+ns_new!$F$12,ns_new!$F$11+ns_new!$F$12+ns_new!$F$13)))</f>
        <v>386.4057143</v>
      </c>
      <c r="BY15" s="62">
        <f>BT15+(IF(SUMPRODUCT((data_raw_slopes!$A$2:$A$41="10-19")*(data_raw_slopes!$B$2:$B$41="payer")*(data_raw_slopes!$C$2:$C$41="p90")*data_raw_slopes!$F$2:$F$41)&gt;0,SUMPRODUCT((data_raw_slopes!$A$2:$A$41="10-19")*(data_raw_slopes!$B$2:$B$41="payer")*(data_raw_slopes!$C$2:$C$41="p90")*data_raw_slopes!$F$2:$F$41),SUMPRODUCT((data_raw_slopes!$A$2:$A$41="10-19")*(data_raw_slopes!$B$2:$B$41="payer")*(data_raw_slopes!$C$2:$C$41="p90")*data_raw_slopes!$G$2:$G$41)))*BR15*0.15</f>
        <v>394.3387</v>
      </c>
      <c r="BZ15" s="62">
        <f t="shared" si="62"/>
        <v>-7.932985714</v>
      </c>
      <c r="CA15" s="62">
        <f>BV15*(saga_progression_new!$E$17/saga_progression_old!$C$16)</f>
        <v>16.43571429</v>
      </c>
      <c r="CB15" s="64">
        <f t="shared" si="63"/>
        <v>19.70701429</v>
      </c>
      <c r="CC15" s="64">
        <f t="shared" si="64"/>
        <v>3</v>
      </c>
      <c r="CD15" s="64">
        <f t="shared" si="65"/>
        <v>-29.58428571</v>
      </c>
      <c r="CE15" s="64">
        <f t="shared" si="66"/>
        <v>50.7087</v>
      </c>
      <c r="CF15" s="39"/>
      <c r="CG15" s="39"/>
      <c r="CH15" s="39"/>
      <c r="CI15" s="39"/>
      <c r="CJ15" s="39"/>
      <c r="CK15" s="39"/>
      <c r="CL15" s="39"/>
      <c r="CM15" s="39"/>
    </row>
    <row r="16" ht="15.0" customHeight="1">
      <c r="A16" s="39"/>
      <c r="B16" s="65" t="s">
        <v>45</v>
      </c>
      <c r="C16" s="41">
        <f>data_processed!E9</f>
        <v>50.83676421</v>
      </c>
      <c r="D16" s="42">
        <f>data_processed!G9</f>
        <v>27.15266855</v>
      </c>
      <c r="E16" s="43">
        <f>data_processed!H9</f>
        <v>341.0461314</v>
      </c>
      <c r="F16" s="41">
        <f>data_processed!I9</f>
        <v>52.40180758</v>
      </c>
      <c r="G16" s="44">
        <f>data_processed!X9</f>
        <v>20.84465693</v>
      </c>
      <c r="H16" s="45">
        <f>data_processed!J9</f>
        <v>288.645357</v>
      </c>
      <c r="I16" s="46">
        <f>IFERROR(D16*saga_progression_new!$G17,"")</f>
        <v>20.36450141</v>
      </c>
      <c r="J16" s="46">
        <f>IFERROR(daily_rewards_new!$B$13*data_processed!Y9,"")</f>
        <v>15.56083275</v>
      </c>
      <c r="K16" s="47">
        <f>data_processed!L9</f>
        <v>0.5579668812</v>
      </c>
      <c r="L16" s="47">
        <f>data_processed!M9</f>
        <v>0.2316840878</v>
      </c>
      <c r="M16" s="47">
        <f>data_processed!N9</f>
        <v>0.07016236709</v>
      </c>
      <c r="N16" s="48">
        <f>IFERROR(K16*ns_new!$F$17+L16*ns_new!$F$18+M16*ns_new!$F$19,"")</f>
        <v>26.96994432</v>
      </c>
      <c r="O16" s="46">
        <f t="shared" si="34"/>
        <v>351.5406354</v>
      </c>
      <c r="P16" s="49"/>
      <c r="Q16" s="43">
        <f>data_processed!K9</f>
        <v>351.6417196</v>
      </c>
      <c r="R16" s="48">
        <f t="shared" si="35"/>
        <v>-10.59558821</v>
      </c>
      <c r="S16" s="50">
        <f>data_processed!W9</f>
        <v>17.23782168</v>
      </c>
      <c r="T16" s="51">
        <f t="shared" si="36"/>
        <v>0.8618910841</v>
      </c>
      <c r="U16" s="52">
        <f>data_processed!R9</f>
        <v>12.7456</v>
      </c>
      <c r="V16" s="53">
        <f t="shared" si="37"/>
        <v>-11.08640319</v>
      </c>
      <c r="W16" s="51">
        <f t="shared" si="38"/>
        <v>-0.1010841852</v>
      </c>
      <c r="X16" s="54"/>
      <c r="Y16" s="55">
        <f>SUMPRODUCT((data_segment_HC_gains!$A$25:$A$44="20-39")*(data_segment_HC_gains!$B$25:$B$44="p25")*data_segment_HC_gains!$C$25:$C$44)</f>
        <v>6</v>
      </c>
      <c r="Z16" s="55">
        <f>SUMPRODUCT((data_segment_HC_gains!$A$25:$A$44="20-39")*(data_segment_HC_gains!$B$25:$B$44="p25")*data_segment_HC_gains!$E$25:$E$44)</f>
        <v>186.81</v>
      </c>
      <c r="AA16" s="55">
        <f>SUMPRODUCT((data_raw_slopes!$A$2:$A$41="20-39")*(data_raw_slopes!$B$2:$B$41="payer")*(data_raw_slopes!$C$2:$C$41="p25")*data_raw_slopes!$E$2:$E$41)</f>
        <v>182.33</v>
      </c>
      <c r="AB16" s="55">
        <f t="shared" si="39"/>
        <v>4.48</v>
      </c>
      <c r="AC16" s="55">
        <f>SUMPRODUCT((data_segment_HC_gains!$A$25:$A$44="20-39")*(data_segment_HC_gains!$B$25:$B$44="p25")*data_segment_HC_gains!$G$25:$G$44)</f>
        <v>33</v>
      </c>
      <c r="AD16" s="56">
        <f t="shared" si="40"/>
        <v>6.9</v>
      </c>
      <c r="AE16" s="56">
        <f>Z16-AC16*(1-(saga_progression_new!$G$17/saga_progression_old!$C$16))+IF(Y16&lt;ns_new!$E$17,0,IF(Y16*1.25&lt;ns_new!$E$18-ns_new!$E$17,ns_new!$F$17,IF(Y16*1.25^2&lt;ns_new!$E$19-ns_new!$E$18,ns_new!$F$17+ns_new!$F$18,ns_new!$F$17+ns_new!$F$18+ns_new!$F$19)))</f>
        <v>165.5957143</v>
      </c>
      <c r="AF16" s="57">
        <f>AA16+(IF(SUMPRODUCT((data_raw_slopes!$A$2:$A$41="20-39")*(data_raw_slopes!$B$2:$B$41="payer")*(data_raw_slopes!$C$2:$C$41="p25")*data_raw_slopes!$F$2:$F$41)&gt;0,SUMPRODUCT((data_raw_slopes!$A$2:$A$41="20-39")*(data_raw_slopes!$B$2:$B$41="payer")*(data_raw_slopes!$C$2:$C$41="p25")*data_raw_slopes!$F$2:$F$41),SUMPRODUCT((data_raw_slopes!$A$2:$A$41="20-39")*(data_raw_slopes!$B$2:$B$41="payer")*(data_raw_slopes!$C$2:$C$41="p25")*data_raw_slopes!$G$2:$G$41)))*Y16*0.15</f>
        <v>201.52664</v>
      </c>
      <c r="AG16" s="56">
        <f t="shared" si="41"/>
        <v>-35.93092571</v>
      </c>
      <c r="AH16" s="56">
        <f>AC16*(saga_progression_new!$G$17/saga_progression_old!$C$16)</f>
        <v>11.78571429</v>
      </c>
      <c r="AI16" s="58">
        <f t="shared" si="42"/>
        <v>-40.41092571</v>
      </c>
      <c r="AJ16" s="58">
        <f t="shared" si="43"/>
        <v>0.9</v>
      </c>
      <c r="AK16" s="58">
        <f t="shared" si="44"/>
        <v>-21.21428571</v>
      </c>
      <c r="AL16" s="58">
        <f t="shared" si="45"/>
        <v>19.19664</v>
      </c>
      <c r="AM16" s="59"/>
      <c r="AN16" s="60">
        <f>SUMPRODUCT((data_segment_HC_gains!$A$25:$A$44="20-39")*(data_segment_HC_gains!$B$25:$B$44="p50")*data_segment_HC_gains!$C$25:$C$44)</f>
        <v>13</v>
      </c>
      <c r="AO16" s="55">
        <f>SUMPRODUCT((data_segment_HC_gains!$A$25:$A$44="20-39")*(data_segment_HC_gains!$B$25:$B$44="p50")*data_segment_HC_gains!$E$25:$E$44)</f>
        <v>292.33</v>
      </c>
      <c r="AP16" s="55">
        <f>SUMPRODUCT((data_raw_slopes!$A$2:$A$41="20-39")*(data_raw_slopes!$B$2:$B$41="payer")*(data_raw_slopes!$C$2:$C$41="p50")*data_raw_slopes!$E$2:$E$41)</f>
        <v>301.15</v>
      </c>
      <c r="AQ16" s="55">
        <f t="shared" si="46"/>
        <v>-8.82</v>
      </c>
      <c r="AR16" s="55">
        <f>SUMPRODUCT((data_segment_HC_gains!$A$25:$A$44="20-39")*(data_segment_HC_gains!$B$25:$B$44="p50")*data_segment_HC_gains!$G$25:$G$44)</f>
        <v>50.36</v>
      </c>
      <c r="AS16" s="61">
        <f t="shared" si="47"/>
        <v>14.95</v>
      </c>
      <c r="AT16" s="61">
        <f>AO16-AR16*(1-(saga_progression_new!$G$17/saga_progression_old!$C$16))+IF(AN16&lt;ns_new!$E$17,0,IF(AN16*1.25&lt;ns_new!$E$18-ns_new!$E$17,ns_new!$F$17,IF(AN16*1.25^2&lt;ns_new!$E$19-ns_new!$E$18,ns_new!$F$17+ns_new!$F$18,ns_new!$F$17+ns_new!$F$18+ns_new!$F$19)))</f>
        <v>424.9557143</v>
      </c>
      <c r="AU16" s="61">
        <f>AP16+(IF(SUMPRODUCT((data_raw_slopes!$A$2:$A$41="20-39")*(data_raw_slopes!$B$2:$B$41="payer")*(data_raw_slopes!$C$2:$C$41="p50")*data_raw_slopes!$F$2:$F$41)&gt;0,SUMPRODUCT((data_raw_slopes!$A$2:$A$41="20-39")*(data_raw_slopes!$B$2:$B$41="payer")*(data_raw_slopes!$C$2:$C$41="p50")*data_raw_slopes!$F$2:$F$41),SUMPRODUCT((data_raw_slopes!$A$2:$A$41="20-39")*(data_raw_slopes!$B$2:$B$41="payer")*(data_raw_slopes!$C$2:$C$41="p50")*data_raw_slopes!$G$2:$G$41)))*AN16*0.15</f>
        <v>326.00392</v>
      </c>
      <c r="AV16" s="62">
        <f t="shared" si="48"/>
        <v>98.95179429</v>
      </c>
      <c r="AW16" s="61">
        <f>AR16*(saga_progression_new!$G$17/saga_progression_old!$C$16)</f>
        <v>17.98571429</v>
      </c>
      <c r="AX16" s="63">
        <f t="shared" si="49"/>
        <v>107.7717943</v>
      </c>
      <c r="AY16" s="63">
        <f t="shared" si="50"/>
        <v>1.95</v>
      </c>
      <c r="AZ16" s="63">
        <f t="shared" si="51"/>
        <v>-32.37428571</v>
      </c>
      <c r="BA16" s="63">
        <f t="shared" si="52"/>
        <v>24.85392</v>
      </c>
      <c r="BB16" s="59"/>
      <c r="BC16" s="55">
        <f>SUMPRODUCT((data_segment_HC_gains!$A$25:$A$44="20-39")*(data_segment_HC_gains!$B$25:$B$44="p75")*data_segment_HC_gains!$C$25:$C$44)</f>
        <v>24</v>
      </c>
      <c r="BD16" s="60">
        <f>SUMPRODUCT((data_segment_HC_gains!$A$25:$A$44="20-39")*(data_segment_HC_gains!$B$25:$B$44="p75")*data_segment_HC_gains!$E$25:$E$44)</f>
        <v>400.43</v>
      </c>
      <c r="BE16" s="60">
        <f>SUMPRODUCT((data_raw_slopes!$A$2:$A$41="20-39")*(data_raw_slopes!$B$2:$B$41="payer")*(data_raw_slopes!$C$2:$C$41="p75")*data_raw_slopes!$E$2:$E$41)</f>
        <v>425.4</v>
      </c>
      <c r="BF16" s="60">
        <f t="shared" si="53"/>
        <v>-24.97</v>
      </c>
      <c r="BG16" s="60">
        <f>SUMPRODUCT((data_segment_HC_gains!$A$25:$A$44="20-39")*(data_segment_HC_gains!$B$25:$B$44="p75")*data_segment_HC_gains!$G$25:$G$44)</f>
        <v>61.53</v>
      </c>
      <c r="BH16" s="62">
        <f t="shared" si="54"/>
        <v>27.6</v>
      </c>
      <c r="BI16" s="62">
        <f>BD16-BG16*(1-(saga_progression_new!$G$17/saga_progression_old!$C$16))+IF(BC16&lt;ns_new!$E$17,0,IF(BC16*1.25&lt;ns_new!$E$18-ns_new!$E$17,ns_new!$F$17,IF(BC16*1.25^2&lt;ns_new!$E$19-ns_new!$E$18,ns_new!$F$17+ns_new!$F$18,ns_new!$F$17+ns_new!$F$18+ns_new!$F$19)))</f>
        <v>525.875</v>
      </c>
      <c r="BJ16" s="62">
        <f>BE16+(IF(SUMPRODUCT((data_raw_slopes!$A$2:$A$41="20-39")*(data_raw_slopes!$B$2:$B$41="payer")*(data_raw_slopes!$C$2:$C$41="p75")*data_raw_slopes!$F$2:$F$41)&gt;0,SUMPRODUCT((data_raw_slopes!$A$2:$A$41="20-39")*(data_raw_slopes!$B$2:$B$41="payer")*(data_raw_slopes!$C$2:$C$41="p75")*data_raw_slopes!$F$2:$F$41),SUMPRODUCT((data_raw_slopes!$A$2:$A$41="20-39")*(data_raw_slopes!$B$2:$B$41="payer")*(data_raw_slopes!$C$2:$C$41="p75")*data_raw_slopes!$G$2:$G$41)))*BC16*0.15</f>
        <v>473.19792</v>
      </c>
      <c r="BK16" s="62">
        <f t="shared" si="55"/>
        <v>52.67708</v>
      </c>
      <c r="BL16" s="62">
        <f>BG16*(saga_progression_new!$G$17/saga_progression_old!$C$16)</f>
        <v>21.975</v>
      </c>
      <c r="BM16" s="64">
        <f t="shared" si="56"/>
        <v>77.64708</v>
      </c>
      <c r="BN16" s="64">
        <f t="shared" si="57"/>
        <v>3.6</v>
      </c>
      <c r="BO16" s="64">
        <f t="shared" si="58"/>
        <v>-39.555</v>
      </c>
      <c r="BP16" s="64">
        <f t="shared" si="59"/>
        <v>47.79792</v>
      </c>
      <c r="BQ16" s="54"/>
      <c r="BR16" s="60">
        <f>SUMPRODUCT((data_segment_HC_gains!$A$25:$A$44="20-39")*(data_segment_HC_gains!$B$25:$B$44="p90")*data_segment_HC_gains!$C$25:$C$44)</f>
        <v>37</v>
      </c>
      <c r="BS16" s="60">
        <f>SUMPRODUCT((data_segment_HC_gains!$A$25:$A$44="20-39")*(data_segment_HC_gains!$B$25:$B$44="p90")*data_segment_HC_gains!$E$25:$E$44)</f>
        <v>625.07</v>
      </c>
      <c r="BT16" s="60">
        <f>SUMPRODUCT((data_raw_slopes!$A$2:$A$41="20-39")*(data_raw_slopes!$B$2:$B$41="payer")*(data_raw_slopes!$C$2:$C$41="p90")*data_raw_slopes!$E$2:$E$41)</f>
        <v>677.95</v>
      </c>
      <c r="BU16" s="60">
        <f t="shared" si="60"/>
        <v>-52.88</v>
      </c>
      <c r="BV16" s="60">
        <f>SUMPRODUCT((data_segment_HC_gains!$A$25:$A$44="20-39")*(data_segment_HC_gains!$B$25:$B$44="p90")*data_segment_HC_gains!$G$25:$G$44)</f>
        <v>85.68</v>
      </c>
      <c r="BW16" s="62">
        <f t="shared" si="61"/>
        <v>42.55</v>
      </c>
      <c r="BX16" s="62">
        <f>BS16-BV16*(1-(saga_progression_new!$G$17/saga_progression_old!$C$16))+IF(BR16&lt;ns_new!$E$17,0,IF(BR16*1.25&lt;ns_new!$E$18-ns_new!$E$17,ns_new!$F$17,IF(BR16*1.25^2&lt;ns_new!$E$19-ns_new!$E$18,ns_new!$F$17+ns_new!$F$18,ns_new!$F$17+ns_new!$F$18+ns_new!$F$19)))</f>
        <v>734.99</v>
      </c>
      <c r="BY16" s="62">
        <f>BT16+(IF(SUMPRODUCT((data_raw_slopes!$A$2:$A$41="20-39")*(data_raw_slopes!$B$2:$B$41="payer")*(data_raw_slopes!$C$2:$C$41="p90")*data_raw_slopes!$F$2:$F$41)&gt;0,SUMPRODUCT((data_raw_slopes!$A$2:$A$41="20-39")*(data_raw_slopes!$B$2:$B$41="payer")*(data_raw_slopes!$C$2:$C$41="p90")*data_raw_slopes!$F$2:$F$41),SUMPRODUCT((data_raw_slopes!$A$2:$A$41="20-39")*(data_raw_slopes!$B$2:$B$41="payer")*(data_raw_slopes!$C$2:$C$41="p90")*data_raw_slopes!$G$2:$G$41)))*BR16*0.15</f>
        <v>773.897845</v>
      </c>
      <c r="BZ16" s="62">
        <f t="shared" si="62"/>
        <v>-38.907845</v>
      </c>
      <c r="CA16" s="62">
        <f>BV16*(saga_progression_new!$G$17/saga_progression_old!$C$16)</f>
        <v>30.6</v>
      </c>
      <c r="CB16" s="64">
        <f t="shared" si="63"/>
        <v>13.972155</v>
      </c>
      <c r="CC16" s="64">
        <f t="shared" si="64"/>
        <v>5.55</v>
      </c>
      <c r="CD16" s="64">
        <f t="shared" si="65"/>
        <v>-55.08</v>
      </c>
      <c r="CE16" s="64">
        <f t="shared" si="66"/>
        <v>95.947845</v>
      </c>
      <c r="CF16" s="39"/>
      <c r="CG16" s="39"/>
      <c r="CH16" s="39"/>
      <c r="CI16" s="39"/>
      <c r="CJ16" s="39"/>
      <c r="CK16" s="39"/>
      <c r="CL16" s="39"/>
      <c r="CM16" s="39"/>
    </row>
    <row r="17" ht="15.75" customHeight="1">
      <c r="A17" s="39"/>
      <c r="B17" s="65" t="s">
        <v>46</v>
      </c>
      <c r="C17" s="41">
        <f>data_processed!E10</f>
        <v>81.61387398</v>
      </c>
      <c r="D17" s="42">
        <f>data_processed!G10</f>
        <v>55.00386983</v>
      </c>
      <c r="E17" s="43">
        <f>data_processed!H10</f>
        <v>684.6909244</v>
      </c>
      <c r="F17" s="41">
        <f>data_processed!I10</f>
        <v>107.1579817</v>
      </c>
      <c r="G17" s="44">
        <f>data_processed!X10</f>
        <v>20.85832578</v>
      </c>
      <c r="H17" s="45">
        <f>data_processed!J10</f>
        <v>577.5332307</v>
      </c>
      <c r="I17" s="46">
        <f>IFERROR(D17*saga_progression_new!$I17,"")</f>
        <v>41.25290237</v>
      </c>
      <c r="J17" s="46">
        <f>IFERROR(daily_rewards_new!$B$13*data_processed!Y10,"")</f>
        <v>15.67882714</v>
      </c>
      <c r="K17" s="47">
        <f>data_processed!L10</f>
        <v>0.4972475514</v>
      </c>
      <c r="L17" s="47">
        <f>data_processed!M10</f>
        <v>0.1849134422</v>
      </c>
      <c r="M17" s="47">
        <f>data_processed!N10</f>
        <v>0.04720710806</v>
      </c>
      <c r="N17" s="48">
        <f>IFERROR(K17*ns_new!$F$23+L17*ns_new!$F$24+M17*ns_new!$F$25,"")</f>
        <v>58.85376765</v>
      </c>
      <c r="O17" s="46">
        <f t="shared" si="34"/>
        <v>693.3187279</v>
      </c>
      <c r="P17" s="49"/>
      <c r="Q17" s="43">
        <f>data_processed!K10</f>
        <v>705.6426113</v>
      </c>
      <c r="R17" s="48">
        <f t="shared" si="35"/>
        <v>-20.95168696</v>
      </c>
      <c r="S17" s="50">
        <f>data_processed!W10</f>
        <v>35.95612431</v>
      </c>
      <c r="T17" s="51">
        <f t="shared" si="36"/>
        <v>1.797806216</v>
      </c>
      <c r="U17" s="52">
        <f>data_processed!R10</f>
        <v>15.4689</v>
      </c>
      <c r="V17" s="53">
        <f t="shared" si="37"/>
        <v>-40.13396799</v>
      </c>
      <c r="W17" s="51">
        <f t="shared" si="38"/>
        <v>-12.32388342</v>
      </c>
      <c r="X17" s="54"/>
      <c r="Y17" s="55">
        <f>SUMPRODUCT((data_segment_HC_gains!$A$25:$A$44="40-99")*(data_segment_HC_gains!$B$25:$B$44="p25")*data_segment_HC_gains!$C$25:$C$44)</f>
        <v>12</v>
      </c>
      <c r="Z17" s="55">
        <f>SUMPRODUCT((data_segment_HC_gains!$A$25:$A$44="40-99")*(data_segment_HC_gains!$B$25:$B$44="p25")*data_segment_HC_gains!$E$25:$E$44)</f>
        <v>364.39</v>
      </c>
      <c r="AA17" s="55">
        <f>SUMPRODUCT((data_raw_slopes!$A$2:$A$41="40-99")*(data_raw_slopes!$B$2:$B$41="payer")*(data_raw_slopes!$C$2:$C$41="p25")*data_raw_slopes!$E$2:$E$41)</f>
        <v>363.51</v>
      </c>
      <c r="AB17" s="55">
        <f t="shared" si="39"/>
        <v>0.88</v>
      </c>
      <c r="AC17" s="55">
        <f>SUMPRODUCT((data_segment_HC_gains!$A$25:$A$44="40-99")*(data_segment_HC_gains!$B$25:$B$44="p25")*data_segment_HC_gains!$G$25:$G$44)</f>
        <v>71.21</v>
      </c>
      <c r="AD17" s="56">
        <f t="shared" si="40"/>
        <v>13.8</v>
      </c>
      <c r="AE17" s="56">
        <f>Z17-AC17*(1-(saga_progression_new!$I$17/saga_progression_old!$C$16))+IF(Y17&lt;ns_new!$E$23,0,IF(Y17*1.25&lt;ns_new!$E$24-ns_new!$E$23,ns_new!$F$23,IF(Y17*1.25^2&lt;ns_new!$E$25-ns_new!$E$24,ns_new!$F$23+ns_new!$F$24,ns_new!$F$23+ns_new!$F$24+ns_new!$F$25)))</f>
        <v>318.6121429</v>
      </c>
      <c r="AF17" s="57">
        <f>AA17+(IF(SUMPRODUCT((data_raw_slopes!$A$2:$A$41="40-99")*(data_raw_slopes!$B$2:$B$41="payer")*(data_raw_slopes!$C$2:$C$41="p25")*data_raw_slopes!$F$2:$F$41)&gt;0,SUMPRODUCT((data_raw_slopes!$A$2:$A$41="40-99")*(data_raw_slopes!$B$2:$B$41="payer")*(data_raw_slopes!$C$2:$C$41="p25")*data_raw_slopes!$F$2:$F$41),SUMPRODUCT((data_raw_slopes!$A$2:$A$41="40-99")*(data_raw_slopes!$B$2:$B$41="payer")*(data_raw_slopes!$C$2:$C$41="p25")*data_raw_slopes!$G$2:$G$41)))*Y17*0.15</f>
        <v>400.7124</v>
      </c>
      <c r="AG17" s="56">
        <f t="shared" si="41"/>
        <v>-82.10025714</v>
      </c>
      <c r="AH17" s="56">
        <f>AC17*(saga_progression_new!$I$17/saga_progression_old!$C$16)</f>
        <v>25.43214286</v>
      </c>
      <c r="AI17" s="58">
        <f t="shared" si="42"/>
        <v>-82.98025714</v>
      </c>
      <c r="AJ17" s="58">
        <f t="shared" si="43"/>
        <v>1.8</v>
      </c>
      <c r="AK17" s="58">
        <f t="shared" si="44"/>
        <v>-45.77785714</v>
      </c>
      <c r="AL17" s="58">
        <f t="shared" si="45"/>
        <v>37.2024</v>
      </c>
      <c r="AM17" s="59"/>
      <c r="AN17" s="60">
        <f>SUMPRODUCT((data_segment_HC_gains!$A$25:$A$44="40-99")*(data_segment_HC_gains!$B$25:$B$44="p50")*data_segment_HC_gains!$C$25:$C$44)</f>
        <v>27</v>
      </c>
      <c r="AO17" s="55">
        <f>SUMPRODUCT((data_segment_HC_gains!$A$25:$A$44="40-99")*(data_segment_HC_gains!$B$25:$B$44="p50")*data_segment_HC_gains!$E$25:$E$44)</f>
        <v>607.99</v>
      </c>
      <c r="AP17" s="55">
        <f>SUMPRODUCT((data_raw_slopes!$A$2:$A$41="40-99")*(data_raw_slopes!$B$2:$B$41="payer")*(data_raw_slopes!$C$2:$C$41="p50")*data_raw_slopes!$E$2:$E$41)</f>
        <v>641.78</v>
      </c>
      <c r="AQ17" s="55">
        <f t="shared" si="46"/>
        <v>-33.79</v>
      </c>
      <c r="AR17" s="55">
        <f>SUMPRODUCT((data_segment_HC_gains!$A$25:$A$44="40-99")*(data_segment_HC_gains!$B$25:$B$44="p50")*data_segment_HC_gains!$G$25:$G$44)</f>
        <v>100.23</v>
      </c>
      <c r="AS17" s="61">
        <f t="shared" si="47"/>
        <v>31.05</v>
      </c>
      <c r="AT17" s="61">
        <f>AO17-AR17*(1-(saga_progression_new!$I$17/saga_progression_old!$C$16))+IF(AN17&lt;ns_new!$E$23,0,IF(AN17*1.25&lt;ns_new!$E$24-ns_new!$E$23,ns_new!$F$23,IF(AN17*1.25^2&lt;ns_new!$E$25-ns_new!$E$24,ns_new!$F$23+ns_new!$F$24,ns_new!$F$23+ns_new!$F$24+ns_new!$F$25)))</f>
        <v>543.5564286</v>
      </c>
      <c r="AU17" s="61">
        <f>AP17+(IF(SUMPRODUCT((data_raw_slopes!$A$2:$A$41="40-99")*(data_raw_slopes!$B$2:$B$41="payer")*(data_raw_slopes!$C$2:$C$41="p50")*data_raw_slopes!$F$2:$F$41)&gt;0,SUMPRODUCT((data_raw_slopes!$A$2:$A$41="40-99")*(data_raw_slopes!$B$2:$B$41="payer")*(data_raw_slopes!$C$2:$C$41="p50")*data_raw_slopes!$F$2:$F$41),SUMPRODUCT((data_raw_slopes!$A$2:$A$41="40-99")*(data_raw_slopes!$B$2:$B$41="payer")*(data_raw_slopes!$C$2:$C$41="p50")*data_raw_slopes!$G$2:$G$41)))*AN17*0.15</f>
        <v>704.429045</v>
      </c>
      <c r="AV17" s="62">
        <f t="shared" si="48"/>
        <v>-160.8726164</v>
      </c>
      <c r="AW17" s="61">
        <f>AR17*(saga_progression_new!$I$17/saga_progression_old!$C$16)</f>
        <v>35.79642857</v>
      </c>
      <c r="AX17" s="63">
        <f t="shared" si="49"/>
        <v>-127.0826164</v>
      </c>
      <c r="AY17" s="63">
        <f t="shared" si="50"/>
        <v>4.05</v>
      </c>
      <c r="AZ17" s="63">
        <f t="shared" si="51"/>
        <v>-64.43357143</v>
      </c>
      <c r="BA17" s="63">
        <f t="shared" si="52"/>
        <v>62.649045</v>
      </c>
      <c r="BB17" s="59"/>
      <c r="BC17" s="55">
        <f>SUMPRODUCT((data_segment_HC_gains!$A$25:$A$44="40-99")*(data_segment_HC_gains!$B$25:$B$44="p75")*data_segment_HC_gains!$C$25:$C$44)</f>
        <v>50</v>
      </c>
      <c r="BD17" s="60">
        <f>SUMPRODUCT((data_segment_HC_gains!$A$25:$A$44="40-99")*(data_segment_HC_gains!$B$25:$B$44="p75")*data_segment_HC_gains!$E$25:$E$44)</f>
        <v>828.58</v>
      </c>
      <c r="BE17" s="60">
        <f>SUMPRODUCT((data_raw_slopes!$A$2:$A$41="40-99")*(data_raw_slopes!$B$2:$B$41="payer")*(data_raw_slopes!$C$2:$C$41="p75")*data_raw_slopes!$E$2:$E$41)</f>
        <v>893.71</v>
      </c>
      <c r="BF17" s="60">
        <f t="shared" si="53"/>
        <v>-65.13</v>
      </c>
      <c r="BG17" s="60">
        <f>SUMPRODUCT((data_segment_HC_gains!$A$25:$A$44="40-99")*(data_segment_HC_gains!$B$25:$B$44="p75")*data_segment_HC_gains!$G$25:$G$44)</f>
        <v>120.7</v>
      </c>
      <c r="BH17" s="62">
        <f t="shared" si="54"/>
        <v>57.5</v>
      </c>
      <c r="BI17" s="62">
        <f>BD17-BG17*(1-(saga_progression_new!$I$17/saga_progression_old!$C$16))+IF(BC17&lt;ns_new!$E$23,0,IF(BC17*1.25&lt;ns_new!$E$24-ns_new!$E$23,ns_new!$F$23,IF(BC17*1.25^2&lt;ns_new!$E$25-ns_new!$E$24,ns_new!$F$23+ns_new!$F$24,ns_new!$F$23+ns_new!$F$24+ns_new!$F$25)))</f>
        <v>1170.987143</v>
      </c>
      <c r="BJ17" s="62">
        <f>BE17+(IF(SUMPRODUCT((data_raw_slopes!$A$2:$A$41="40-99")*(data_raw_slopes!$B$2:$B$41="payer")*(data_raw_slopes!$C$2:$C$41="p75")*data_raw_slopes!$F$2:$F$41)&gt;0,SUMPRODUCT((data_raw_slopes!$A$2:$A$41="40-99")*(data_raw_slopes!$B$2:$B$41="payer")*(data_raw_slopes!$C$2:$C$41="p75")*data_raw_slopes!$F$2:$F$41),SUMPRODUCT((data_raw_slopes!$A$2:$A$41="40-99")*(data_raw_slopes!$B$2:$B$41="payer")*(data_raw_slopes!$C$2:$C$41="p75")*data_raw_slopes!$G$2:$G$41)))*BC17*0.15</f>
        <v>982.2235</v>
      </c>
      <c r="BK17" s="62">
        <f t="shared" si="55"/>
        <v>188.7636429</v>
      </c>
      <c r="BL17" s="62">
        <f>BG17*(saga_progression_new!$I$17/saga_progression_old!$C$16)</f>
        <v>43.10714286</v>
      </c>
      <c r="BM17" s="64">
        <f t="shared" si="56"/>
        <v>253.8936429</v>
      </c>
      <c r="BN17" s="64">
        <f t="shared" si="57"/>
        <v>7.5</v>
      </c>
      <c r="BO17" s="64">
        <f t="shared" si="58"/>
        <v>-77.59285714</v>
      </c>
      <c r="BP17" s="64">
        <f t="shared" si="59"/>
        <v>88.5135</v>
      </c>
      <c r="BQ17" s="54"/>
      <c r="BR17" s="60">
        <f>SUMPRODUCT((data_segment_HC_gains!$A$25:$A$44="40-99")*(data_segment_HC_gains!$B$25:$B$44="p90")*data_segment_HC_gains!$C$25:$C$44)</f>
        <v>77</v>
      </c>
      <c r="BS17" s="60">
        <f>SUMPRODUCT((data_segment_HC_gains!$A$25:$A$44="40-99")*(data_segment_HC_gains!$B$25:$B$44="p90")*data_segment_HC_gains!$E$25:$E$44)</f>
        <v>1242.63</v>
      </c>
      <c r="BT17" s="60">
        <f>SUMPRODUCT((data_raw_slopes!$A$2:$A$41="40-99")*(data_raw_slopes!$B$2:$B$41="payer")*(data_raw_slopes!$C$2:$C$41="p90")*data_raw_slopes!$E$2:$E$41)</f>
        <v>1354.72</v>
      </c>
      <c r="BU17" s="60">
        <f t="shared" si="60"/>
        <v>-112.09</v>
      </c>
      <c r="BV17" s="60">
        <f>SUMPRODUCT((data_segment_HC_gains!$A$25:$A$44="40-99")*(data_segment_HC_gains!$B$25:$B$44="p90")*data_segment_HC_gains!$G$25:$G$44)</f>
        <v>176.22</v>
      </c>
      <c r="BW17" s="62">
        <f t="shared" si="61"/>
        <v>88.55</v>
      </c>
      <c r="BX17" s="62">
        <f>BS17-BV17*(1-(saga_progression_new!$I$17/saga_progression_old!$C$16))+IF(BR17&lt;ns_new!$E$23,0,IF(BR17*1.25&lt;ns_new!$E$24-ns_new!$E$23,ns_new!$F$23,IF(BR17*1.25^2&lt;ns_new!$E$25-ns_new!$E$24,ns_new!$F$23+ns_new!$F$24,ns_new!$F$23+ns_new!$F$24+ns_new!$F$25)))</f>
        <v>1549.345714</v>
      </c>
      <c r="BY17" s="62">
        <f>BT17+(IF(SUMPRODUCT((data_raw_slopes!$A$2:$A$41="40-99")*(data_raw_slopes!$B$2:$B$41="payer")*(data_raw_slopes!$C$2:$C$41="p90")*data_raw_slopes!$F$2:$F$41)&gt;0,SUMPRODUCT((data_raw_slopes!$A$2:$A$41="40-99")*(data_raw_slopes!$B$2:$B$41="payer")*(data_raw_slopes!$C$2:$C$41="p90")*data_raw_slopes!$F$2:$F$41),SUMPRODUCT((data_raw_slopes!$A$2:$A$41="40-99")*(data_raw_slopes!$B$2:$B$41="payer")*(data_raw_slopes!$C$2:$C$41="p90")*data_raw_slopes!$G$2:$G$41)))*BR17*0.15</f>
        <v>1534.002565</v>
      </c>
      <c r="BZ17" s="62">
        <f t="shared" si="62"/>
        <v>15.34314929</v>
      </c>
      <c r="CA17" s="62">
        <f>BV17*(saga_progression_new!$I$17/saga_progression_old!$C$16)</f>
        <v>62.93571429</v>
      </c>
      <c r="CB17" s="64">
        <f t="shared" si="63"/>
        <v>127.4331493</v>
      </c>
      <c r="CC17" s="64">
        <f t="shared" si="64"/>
        <v>11.55</v>
      </c>
      <c r="CD17" s="64">
        <f t="shared" si="65"/>
        <v>-113.2842857</v>
      </c>
      <c r="CE17" s="64">
        <f t="shared" si="66"/>
        <v>179.282565</v>
      </c>
      <c r="CF17" s="39"/>
      <c r="CG17" s="39"/>
      <c r="CH17" s="39"/>
      <c r="CI17" s="39"/>
      <c r="CJ17" s="39"/>
      <c r="CK17" s="39"/>
      <c r="CL17" s="39"/>
      <c r="CM17" s="39"/>
    </row>
    <row r="18" ht="15.75" customHeight="1">
      <c r="A18" s="39"/>
      <c r="B18" s="65" t="s">
        <v>47</v>
      </c>
      <c r="C18" s="41">
        <f>data_processed!E11</f>
        <v>158.4660972</v>
      </c>
      <c r="D18" s="42">
        <f>data_processed!G11</f>
        <v>127.7556596</v>
      </c>
      <c r="E18" s="43">
        <f>data_processed!H11</f>
        <v>1315.776031</v>
      </c>
      <c r="F18" s="41">
        <f>data_processed!I11</f>
        <v>255.2872968</v>
      </c>
      <c r="G18" s="44">
        <f>data_processed!X11</f>
        <v>21.6458124</v>
      </c>
      <c r="H18" s="45">
        <f>data_processed!J11</f>
        <v>1060.489098</v>
      </c>
      <c r="I18" s="46">
        <f>IFERROR(D18*saga_progression_new!$K17,"")</f>
        <v>95.8167447</v>
      </c>
      <c r="J18" s="46">
        <f>IFERROR(daily_rewards_new!$B$13*data_processed!Y11,"")</f>
        <v>15.12453669</v>
      </c>
      <c r="K18" s="75">
        <f>data_processed!L11</f>
        <v>0.442252152</v>
      </c>
      <c r="L18" s="75">
        <f>data_processed!M11</f>
        <v>0.1086571512</v>
      </c>
      <c r="M18" s="75">
        <f>data_processed!N11</f>
        <v>0.01977833065</v>
      </c>
      <c r="N18" s="48">
        <f>IFERROR(K18*ns_new!$F$29+L18*ns_new!$F$30+M18*ns_new!$F$31,"")</f>
        <v>84.73369282</v>
      </c>
      <c r="O18" s="46">
        <f t="shared" si="34"/>
        <v>1256.164072</v>
      </c>
      <c r="P18" s="49"/>
      <c r="Q18" s="43">
        <f>data_processed!K11</f>
        <v>1368.011309</v>
      </c>
      <c r="R18" s="48">
        <f t="shared" si="35"/>
        <v>-52.23527819</v>
      </c>
      <c r="S18" s="50">
        <f>data_processed!W11</f>
        <v>85.41678074</v>
      </c>
      <c r="T18" s="51">
        <f t="shared" si="36"/>
        <v>4.270839037</v>
      </c>
      <c r="U18" s="52">
        <f>data_processed!R11</f>
        <v>10.8686</v>
      </c>
      <c r="V18" s="53">
        <f t="shared" si="37"/>
        <v>-158.2652777</v>
      </c>
      <c r="W18" s="51">
        <f t="shared" si="38"/>
        <v>-111.8472366</v>
      </c>
      <c r="X18" s="54"/>
      <c r="Y18" s="55">
        <f>SUMPRODUCT((data_segment_HC_gains!$A$25:$A$44="100+")*(data_segment_HC_gains!$B$25:$B$44="p25")*data_segment_HC_gains!$C$25:$C$44)</f>
        <v>29</v>
      </c>
      <c r="Z18" s="55">
        <f>SUMPRODUCT((data_segment_HC_gains!$A$25:$A$44="100+")*(data_segment_HC_gains!$B$25:$B$44="p25")*data_segment_HC_gains!$E$25:$E$44)</f>
        <v>773.66</v>
      </c>
      <c r="AA18" s="55">
        <f>SUMPRODUCT((data_raw_slopes!$A$2:$A$41="100+")*(data_raw_slopes!$B$2:$B$41="payer")*(data_raw_slopes!$C$2:$C$41="p25")*data_raw_slopes!$E$2:$E$41)</f>
        <v>788.37</v>
      </c>
      <c r="AB18" s="55">
        <f t="shared" si="39"/>
        <v>-14.71</v>
      </c>
      <c r="AC18" s="55">
        <f>SUMPRODUCT((data_segment_HC_gains!$A$25:$A$44="100+")*(data_segment_HC_gains!$B$25:$B$44="p25")*data_segment_HC_gains!$G$25:$G$44)</f>
        <v>183.63</v>
      </c>
      <c r="AD18" s="56">
        <f t="shared" si="40"/>
        <v>33.35</v>
      </c>
      <c r="AE18" s="56">
        <f>Z18-AC18*(1-(saga_progression_new!$K$17/saga_progression_old!$C$16))+IF(Y18&lt;ns_new!$E$29,0,IF(Y18*1.25&lt;ns_new!$E$30-ns_new!$E$29,ns_new!$F$29,IF(Y18*1.25^2&lt;ns_new!$E$31-ns_new!$E$30,ns_new!$F$29+ns_new!$F$30,ns_new!$F$29+ns_new!$F$30+ns_new!$F$31)))</f>
        <v>655.6121429</v>
      </c>
      <c r="AF18" s="57">
        <f>AA18+(IF(SUMPRODUCT((data_raw_slopes!$A$2:$A$41="100+")*(data_raw_slopes!$B$2:$B$41="payer")*(data_raw_slopes!$C$2:$C$41="p25")*data_raw_slopes!$F$2:$F$41)&gt;0,SUMPRODUCT((data_raw_slopes!$A$2:$A$41="100+")*(data_raw_slopes!$B$2:$B$41="payer")*(data_raw_slopes!$C$2:$C$41="p25")*data_raw_slopes!$F$2:$F$41),SUMPRODUCT((data_raw_slopes!$A$2:$A$41="100+")*(data_raw_slopes!$B$2:$B$41="payer")*(data_raw_slopes!$C$2:$C$41="p25")*data_raw_slopes!$G$2:$G$41)))*Y18*0.15</f>
        <v>865.05267</v>
      </c>
      <c r="AG18" s="56">
        <f t="shared" si="41"/>
        <v>-209.4405271</v>
      </c>
      <c r="AH18" s="56">
        <f>AC18*(saga_progression_new!$K$17/saga_progression_old!$C$16)</f>
        <v>65.58214286</v>
      </c>
      <c r="AI18" s="58">
        <f t="shared" si="42"/>
        <v>-194.7305271</v>
      </c>
      <c r="AJ18" s="58">
        <f t="shared" si="43"/>
        <v>4.35</v>
      </c>
      <c r="AK18" s="58">
        <f t="shared" si="44"/>
        <v>-118.0478571</v>
      </c>
      <c r="AL18" s="58">
        <f t="shared" si="45"/>
        <v>76.68267</v>
      </c>
      <c r="AM18" s="59"/>
      <c r="AN18" s="60">
        <f>SUMPRODUCT((data_segment_HC_gains!$A$25:$A$44="100+")*(data_segment_HC_gains!$B$25:$B$44="p50")*data_segment_HC_gains!$C$25:$C$44)</f>
        <v>67</v>
      </c>
      <c r="AO18" s="55">
        <f>SUMPRODUCT((data_segment_HC_gains!$A$25:$A$44="100+")*(data_segment_HC_gains!$B$25:$B$44="p50")*data_segment_HC_gains!$E$25:$E$44)</f>
        <v>1213.14</v>
      </c>
      <c r="AP18" s="55">
        <f>SUMPRODUCT((data_raw_slopes!$A$2:$A$41="100+")*(data_raw_slopes!$B$2:$B$41="payer")*(data_raw_slopes!$C$2:$C$41="p50")*data_raw_slopes!$E$2:$E$41)</f>
        <v>1312.35</v>
      </c>
      <c r="AQ18" s="55">
        <f t="shared" si="46"/>
        <v>-99.21</v>
      </c>
      <c r="AR18" s="55">
        <f>SUMPRODUCT((data_segment_HC_gains!$A$25:$A$44="100+")*(data_segment_HC_gains!$B$25:$B$44="p50")*data_segment_HC_gains!$G$25:$G$44)</f>
        <v>233.68</v>
      </c>
      <c r="AS18" s="61">
        <f t="shared" si="47"/>
        <v>77.05</v>
      </c>
      <c r="AT18" s="61">
        <f>AO18-AR18*(1-(saga_progression_new!$K$17/saga_progression_old!$C$16))+IF(AN18&lt;ns_new!$E$29,0,IF(AN18*1.25&lt;ns_new!$E$30-ns_new!$E$29,ns_new!$F$29,IF(AN18*1.25^2&lt;ns_new!$E$31-ns_new!$E$30,ns_new!$F$29+ns_new!$F$30,ns_new!$F$29+ns_new!$F$30+ns_new!$F$31)))</f>
        <v>1062.917143</v>
      </c>
      <c r="AU18" s="61">
        <f>AP18+(IF(SUMPRODUCT((data_raw_slopes!$A$2:$A$41="100+")*(data_raw_slopes!$B$2:$B$41="payer")*(data_raw_slopes!$C$2:$C$41="p50")*data_raw_slopes!$F$2:$F$41)&gt;0,SUMPRODUCT((data_raw_slopes!$A$2:$A$41="100+")*(data_raw_slopes!$B$2:$B$41="payer")*(data_raw_slopes!$C$2:$C$41="p50")*data_raw_slopes!$F$2:$F$41),SUMPRODUCT((data_raw_slopes!$A$2:$A$41="100+")*(data_raw_slopes!$B$2:$B$41="payer")*(data_raw_slopes!$C$2:$C$41="p50")*data_raw_slopes!$G$2:$G$41)))*AN18*0.15</f>
        <v>1421.57943</v>
      </c>
      <c r="AV18" s="62">
        <f t="shared" si="48"/>
        <v>-358.6622871</v>
      </c>
      <c r="AW18" s="61">
        <f>AR18*(saga_progression_new!$K$17/saga_progression_old!$C$16)</f>
        <v>83.45714286</v>
      </c>
      <c r="AX18" s="63">
        <f t="shared" si="49"/>
        <v>-259.4522871</v>
      </c>
      <c r="AY18" s="63">
        <f t="shared" si="50"/>
        <v>10.05</v>
      </c>
      <c r="AZ18" s="63">
        <f t="shared" si="51"/>
        <v>-150.2228571</v>
      </c>
      <c r="BA18" s="63">
        <f t="shared" si="52"/>
        <v>109.22943</v>
      </c>
      <c r="BB18" s="59"/>
      <c r="BC18" s="55">
        <f>SUMPRODUCT((data_segment_HC_gains!$A$25:$A$44="100+")*(data_segment_HC_gains!$B$25:$B$44="p75")*data_segment_HC_gains!$C$25:$C$44)</f>
        <v>121</v>
      </c>
      <c r="BD18" s="60">
        <f>SUMPRODUCT((data_segment_HC_gains!$A$25:$A$44="100+")*(data_segment_HC_gains!$B$25:$B$44="p75")*data_segment_HC_gains!$E$25:$E$44)</f>
        <v>1602.6</v>
      </c>
      <c r="BE18" s="60">
        <f>SUMPRODUCT((data_raw_slopes!$A$2:$A$41="100+")*(data_raw_slopes!$B$2:$B$41="payer")*(data_raw_slopes!$C$2:$C$41="p75")*data_raw_slopes!$E$2:$E$41)</f>
        <v>1782.22</v>
      </c>
      <c r="BF18" s="60">
        <f t="shared" si="53"/>
        <v>-179.62</v>
      </c>
      <c r="BG18" s="60">
        <f>SUMPRODUCT((data_segment_HC_gains!$A$25:$A$44="100+")*(data_segment_HC_gains!$B$25:$B$44="p75")*data_segment_HC_gains!$G$25:$G$44)</f>
        <v>280.49</v>
      </c>
      <c r="BH18" s="62">
        <f t="shared" si="54"/>
        <v>139.15</v>
      </c>
      <c r="BI18" s="62">
        <f>BD18-BG18*(1-(saga_progression_new!$K$17/saga_progression_old!$C$16))+IF(BC18&lt;ns_new!$E$29,0,IF(BC18*1.25&lt;ns_new!$E$30-ns_new!$E$29,ns_new!$F$29,IF(BC18*1.25^2&lt;ns_new!$E$31-ns_new!$E$30,ns_new!$F$29+ns_new!$F$30,ns_new!$F$29+ns_new!$F$30+ns_new!$F$31)))</f>
        <v>2222.285</v>
      </c>
      <c r="BJ18" s="62">
        <f>BE18+(IF(SUMPRODUCT((data_raw_slopes!$A$2:$A$41="100+")*(data_raw_slopes!$B$2:$B$41="payer")*(data_raw_slopes!$C$2:$C$41="p75")*data_raw_slopes!$F$2:$F$41)&gt;0,SUMPRODUCT((data_raw_slopes!$A$2:$A$41="100+")*(data_raw_slopes!$B$2:$B$41="payer")*(data_raw_slopes!$C$2:$C$41="p75")*data_raw_slopes!$F$2:$F$41),SUMPRODUCT((data_raw_slopes!$A$2:$A$41="100+")*(data_raw_slopes!$B$2:$B$41="payer")*(data_raw_slopes!$C$2:$C$41="p75")*data_raw_slopes!$G$2:$G$41)))*BC18*0.15</f>
        <v>1953.32731</v>
      </c>
      <c r="BK18" s="62">
        <f t="shared" si="55"/>
        <v>268.95769</v>
      </c>
      <c r="BL18" s="62">
        <f>BG18*(saga_progression_new!$K$17/saga_progression_old!$C$16)</f>
        <v>100.175</v>
      </c>
      <c r="BM18" s="64">
        <f t="shared" si="56"/>
        <v>448.57769</v>
      </c>
      <c r="BN18" s="64">
        <f t="shared" si="57"/>
        <v>18.15</v>
      </c>
      <c r="BO18" s="64">
        <f t="shared" si="58"/>
        <v>-180.315</v>
      </c>
      <c r="BP18" s="64">
        <f t="shared" si="59"/>
        <v>171.10731</v>
      </c>
      <c r="BQ18" s="54"/>
      <c r="BR18" s="60">
        <f>SUMPRODUCT((data_segment_HC_gains!$A$25:$A$44="100+")*(data_segment_HC_gains!$B$25:$B$44="p90")*data_segment_HC_gains!$C$25:$C$44)</f>
        <v>179</v>
      </c>
      <c r="BS18" s="60">
        <f>SUMPRODUCT((data_segment_HC_gains!$A$25:$A$44="100+")*(data_segment_HC_gains!$B$25:$B$44="p90")*data_segment_HC_gains!$E$25:$E$44)</f>
        <v>2269.96</v>
      </c>
      <c r="BT18" s="60">
        <f>SUMPRODUCT((data_raw_slopes!$A$2:$A$41="100+")*(data_raw_slopes!$B$2:$B$41="payer")*(data_raw_slopes!$C$2:$C$41="p90")*data_raw_slopes!$E$2:$E$41)</f>
        <v>2566.89</v>
      </c>
      <c r="BU18" s="60">
        <f t="shared" si="60"/>
        <v>-296.93</v>
      </c>
      <c r="BV18" s="60">
        <f>SUMPRODUCT((data_segment_HC_gains!$A$25:$A$44="100+")*(data_segment_HC_gains!$B$25:$B$44="p90")*data_segment_HC_gains!$G$25:$G$44)</f>
        <v>400.43</v>
      </c>
      <c r="BW18" s="62">
        <f t="shared" si="61"/>
        <v>205.85</v>
      </c>
      <c r="BX18" s="62">
        <f>BS18-BV18*(1-(saga_progression_new!$K$17/saga_progression_old!$C$16))+IF(BR18&lt;ns_new!$E$29,0,IF(BR18*1.25&lt;ns_new!$E$30-ns_new!$E$29,ns_new!$F$29,IF(BR18*1.25^2&lt;ns_new!$E$31-ns_new!$E$30,ns_new!$F$29+ns_new!$F$30,ns_new!$F$29+ns_new!$F$30+ns_new!$F$31)))</f>
        <v>2812.540714</v>
      </c>
      <c r="BY18" s="62">
        <f>BT18+(IF(SUMPRODUCT((data_raw_slopes!$A$2:$A$41="100+")*(data_raw_slopes!$B$2:$B$41="payer")*(data_raw_slopes!$C$2:$C$41="p90")*data_raw_slopes!$F$2:$F$41)&gt;0,SUMPRODUCT((data_raw_slopes!$A$2:$A$41="100+")*(data_raw_slopes!$B$2:$B$41="payer")*(data_raw_slopes!$C$2:$C$41="p90")*data_raw_slopes!$F$2:$F$41),SUMPRODUCT((data_raw_slopes!$A$2:$A$41="100+")*(data_raw_slopes!$B$2:$B$41="payer")*(data_raw_slopes!$C$2:$C$41="p90")*data_raw_slopes!$G$2:$G$41)))*BR18*0.15</f>
        <v>2819.54313</v>
      </c>
      <c r="BZ18" s="62">
        <f t="shared" si="62"/>
        <v>-7.002415714</v>
      </c>
      <c r="CA18" s="62">
        <f>BV18*(saga_progression_new!$K$17/saga_progression_old!$C$16)</f>
        <v>143.0107143</v>
      </c>
      <c r="CB18" s="64">
        <f t="shared" si="63"/>
        <v>289.9275843</v>
      </c>
      <c r="CC18" s="64">
        <f t="shared" si="64"/>
        <v>26.85</v>
      </c>
      <c r="CD18" s="64">
        <f t="shared" si="65"/>
        <v>-257.4192857</v>
      </c>
      <c r="CE18" s="64">
        <f t="shared" si="66"/>
        <v>252.65313</v>
      </c>
      <c r="CF18" s="39"/>
      <c r="CG18" s="39"/>
      <c r="CH18" s="39"/>
      <c r="CI18" s="39"/>
      <c r="CJ18" s="39"/>
      <c r="CK18" s="39"/>
      <c r="CL18" s="39"/>
      <c r="CM18" s="39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3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69">
        <f t="shared" ref="K20:M20" si="67">min(K7:K18)-max(K7:K18)</f>
        <v>-0.2894056107</v>
      </c>
      <c r="L20" s="69">
        <f t="shared" si="67"/>
        <v>-0.2056973892</v>
      </c>
      <c r="M20" s="69">
        <f t="shared" si="67"/>
        <v>-0.07219445771</v>
      </c>
      <c r="N20" s="1"/>
      <c r="O20" s="1"/>
      <c r="P20" s="1"/>
      <c r="Q20" s="1"/>
      <c r="R20" s="1"/>
      <c r="S20" s="1"/>
      <c r="T20" s="1"/>
      <c r="U20" s="1"/>
      <c r="V20" s="1"/>
      <c r="W20" s="3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</row>
    <row r="21" ht="15.75" customHeight="1">
      <c r="A21" s="1"/>
      <c r="B21" s="1"/>
      <c r="C21" s="1"/>
      <c r="D21" s="1"/>
      <c r="E21" s="1"/>
      <c r="F21" s="76" t="s">
        <v>49</v>
      </c>
      <c r="G21" s="54"/>
      <c r="H21" s="54"/>
      <c r="I21" s="54"/>
      <c r="J21" s="54"/>
      <c r="K21" s="49">
        <f t="shared" ref="K21:M21" si="68">min(K15:K17)-max(K15:K17)</f>
        <v>-0.06071932979</v>
      </c>
      <c r="L21" s="49">
        <f t="shared" si="68"/>
        <v>-0.06077670587</v>
      </c>
      <c r="M21" s="49">
        <f t="shared" si="68"/>
        <v>-0.02295525902</v>
      </c>
      <c r="N21" s="1"/>
      <c r="O21" s="1"/>
      <c r="P21" s="1"/>
      <c r="Q21" s="1"/>
      <c r="R21" s="1"/>
      <c r="S21" s="1"/>
      <c r="T21" s="1"/>
      <c r="U21" s="1"/>
      <c r="V21" s="1"/>
      <c r="W21" s="3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</row>
    <row r="22">
      <c r="A22" s="1"/>
      <c r="B22" s="1"/>
      <c r="C22" s="1"/>
      <c r="D22" s="1"/>
      <c r="E22" s="1"/>
      <c r="F22" s="77" t="s">
        <v>50</v>
      </c>
      <c r="G22" s="78" t="s">
        <v>51</v>
      </c>
      <c r="H22" s="78" t="s">
        <v>26</v>
      </c>
      <c r="I22" s="78" t="s">
        <v>52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3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</row>
    <row r="23" ht="15.75" customHeight="1">
      <c r="A23" s="1"/>
      <c r="B23" s="1"/>
      <c r="C23" s="1"/>
      <c r="D23" s="1"/>
      <c r="E23" s="1"/>
      <c r="F23" s="79" t="s">
        <v>43</v>
      </c>
      <c r="G23" s="80">
        <f t="shared" ref="G23:G27" si="70">R7</f>
        <v>1.32421828</v>
      </c>
      <c r="H23" s="80">
        <f t="shared" ref="H23:I23" si="69">V7</f>
        <v>9.152580894</v>
      </c>
      <c r="I23" s="80">
        <f t="shared" si="69"/>
        <v>12.73194002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3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</row>
    <row r="24" ht="15.75" customHeight="1">
      <c r="A24" s="1"/>
      <c r="B24" s="1"/>
      <c r="C24" s="1"/>
      <c r="D24" s="1"/>
      <c r="E24" s="1"/>
      <c r="F24" s="79" t="s">
        <v>44</v>
      </c>
      <c r="G24" s="80">
        <f t="shared" si="70"/>
        <v>-0.7215918655</v>
      </c>
      <c r="H24" s="80">
        <f t="shared" ref="H24:I24" si="71">V8</f>
        <v>12.37206623</v>
      </c>
      <c r="I24" s="80">
        <f t="shared" si="71"/>
        <v>14.90706028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3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</row>
    <row r="25" ht="15.75" customHeight="1">
      <c r="A25" s="1"/>
      <c r="B25" s="1"/>
      <c r="C25" s="1"/>
      <c r="D25" s="1"/>
      <c r="E25" s="1"/>
      <c r="F25" s="81" t="s">
        <v>45</v>
      </c>
      <c r="G25" s="80">
        <f t="shared" si="70"/>
        <v>-4.599902181</v>
      </c>
      <c r="H25" s="80">
        <f t="shared" ref="H25:I25" si="72">V9</f>
        <v>2.084337736</v>
      </c>
      <c r="I25" s="80">
        <f t="shared" si="72"/>
        <v>7.166380623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3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</row>
    <row r="26" ht="15.75" customHeight="1">
      <c r="A26" s="1"/>
      <c r="B26" s="1"/>
      <c r="C26" s="1"/>
      <c r="D26" s="1"/>
      <c r="E26" s="1"/>
      <c r="F26" s="81" t="s">
        <v>46</v>
      </c>
      <c r="G26" s="80">
        <f t="shared" si="70"/>
        <v>-15.35820092</v>
      </c>
      <c r="H26" s="80">
        <f t="shared" ref="H26:I26" si="73">V10</f>
        <v>-12.73238559</v>
      </c>
      <c r="I26" s="80">
        <f t="shared" si="73"/>
        <v>-3.112846204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3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</row>
    <row r="27" ht="15.75" customHeight="1">
      <c r="A27" s="1"/>
      <c r="B27" s="1"/>
      <c r="C27" s="1"/>
      <c r="D27" s="1"/>
      <c r="E27" s="1"/>
      <c r="F27" s="81" t="s">
        <v>47</v>
      </c>
      <c r="G27" s="80">
        <f t="shared" si="70"/>
        <v>-72.87855899</v>
      </c>
      <c r="H27" s="80">
        <f t="shared" ref="H27:I27" si="74">V11</f>
        <v>-146.1971491</v>
      </c>
      <c r="I27" s="80">
        <f t="shared" si="74"/>
        <v>-128.8993851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3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</row>
    <row r="28" ht="15.75" customHeight="1">
      <c r="A28" s="1"/>
      <c r="B28" s="1"/>
      <c r="C28" s="1"/>
      <c r="D28" s="1"/>
      <c r="E28" s="1"/>
      <c r="F28" s="81" t="s">
        <v>53</v>
      </c>
      <c r="G28" s="80">
        <f t="shared" ref="G28:G32" si="76">R14</f>
        <v>-1.628990805</v>
      </c>
      <c r="H28" s="80">
        <f t="shared" ref="H28:I28" si="75">V14</f>
        <v>4.85626768</v>
      </c>
      <c r="I28" s="80">
        <f t="shared" si="75"/>
        <v>9.920086059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3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</row>
    <row r="29" ht="15.75" customHeight="1">
      <c r="A29" s="1"/>
      <c r="B29" s="1"/>
      <c r="C29" s="1"/>
      <c r="D29" s="1"/>
      <c r="E29" s="1"/>
      <c r="F29" s="81" t="s">
        <v>54</v>
      </c>
      <c r="G29" s="80">
        <f t="shared" si="76"/>
        <v>-5.638270879</v>
      </c>
      <c r="H29" s="80">
        <f t="shared" ref="H29:I29" si="77">V15</f>
        <v>3.227883862</v>
      </c>
      <c r="I29" s="80">
        <f t="shared" si="77"/>
        <v>9.16653413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3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</row>
    <row r="30" ht="15.75" customHeight="1">
      <c r="A30" s="1"/>
      <c r="B30" s="1"/>
      <c r="C30" s="1"/>
      <c r="D30" s="1"/>
      <c r="E30" s="1"/>
      <c r="F30" s="81" t="s">
        <v>55</v>
      </c>
      <c r="G30" s="80">
        <f t="shared" si="76"/>
        <v>-10.59558821</v>
      </c>
      <c r="H30" s="80">
        <f t="shared" ref="H30:I30" si="78">V16</f>
        <v>-11.08640319</v>
      </c>
      <c r="I30" s="80">
        <f t="shared" si="78"/>
        <v>-0.1010841852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3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</row>
    <row r="31" ht="15.75" customHeight="1">
      <c r="A31" s="1"/>
      <c r="B31" s="1"/>
      <c r="C31" s="1"/>
      <c r="D31" s="1"/>
      <c r="E31" s="1"/>
      <c r="F31" s="81" t="s">
        <v>56</v>
      </c>
      <c r="G31" s="80">
        <f t="shared" si="76"/>
        <v>-20.95168696</v>
      </c>
      <c r="H31" s="80">
        <f t="shared" ref="H31:I31" si="79">V17</f>
        <v>-40.13396799</v>
      </c>
      <c r="I31" s="80">
        <f t="shared" si="79"/>
        <v>-12.32388342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3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</row>
    <row r="32" ht="15.75" customHeight="1">
      <c r="A32" s="1"/>
      <c r="B32" s="1"/>
      <c r="C32" s="1"/>
      <c r="D32" s="1"/>
      <c r="E32" s="1"/>
      <c r="F32" s="81" t="s">
        <v>57</v>
      </c>
      <c r="G32" s="80">
        <f t="shared" si="76"/>
        <v>-52.23527819</v>
      </c>
      <c r="H32" s="80">
        <f t="shared" ref="H32:I32" si="80">V18</f>
        <v>-158.2652777</v>
      </c>
      <c r="I32" s="80">
        <f t="shared" si="80"/>
        <v>-111.8472366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3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3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3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3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3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3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3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3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3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3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3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3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3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3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</row>
    <row r="46" ht="15.75" customHeight="1">
      <c r="A46" s="1"/>
      <c r="B46" s="1"/>
      <c r="C46" s="1"/>
      <c r="D46" s="15" t="s">
        <v>58</v>
      </c>
      <c r="E46" s="40" t="s">
        <v>59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3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</row>
    <row r="47" ht="15.75" customHeight="1">
      <c r="A47" s="1"/>
      <c r="B47" s="1"/>
      <c r="C47" s="1"/>
      <c r="D47" s="15" t="s">
        <v>50</v>
      </c>
      <c r="E47" s="15" t="s">
        <v>60</v>
      </c>
      <c r="F47" s="15" t="s">
        <v>61</v>
      </c>
      <c r="G47" s="15"/>
      <c r="H47" s="15" t="s">
        <v>62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3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</row>
    <row r="48" ht="15.75" customHeight="1">
      <c r="A48" s="1"/>
      <c r="B48" s="1"/>
      <c r="C48" s="1"/>
      <c r="D48" s="82" t="s">
        <v>63</v>
      </c>
      <c r="E48" s="83">
        <f>AE7</f>
        <v>21.89714286</v>
      </c>
      <c r="F48" s="83">
        <f>AE8</f>
        <v>62.92285714</v>
      </c>
      <c r="G48" s="83"/>
      <c r="H48" s="83">
        <f>AE9</f>
        <v>100.9128571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3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</row>
    <row r="49" ht="15.75" customHeight="1">
      <c r="A49" s="1"/>
      <c r="B49" s="1"/>
      <c r="C49" s="1"/>
      <c r="D49" s="82" t="s">
        <v>64</v>
      </c>
      <c r="E49" s="83" t="str">
        <f>AE12</f>
        <v/>
      </c>
      <c r="F49" s="83" t="str">
        <f>AE13</f>
        <v/>
      </c>
      <c r="G49" s="83"/>
      <c r="H49" s="83">
        <f>AE14</f>
        <v>27.545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3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</row>
    <row r="50" ht="15.75" customHeight="1">
      <c r="A50" s="1"/>
      <c r="B50" s="1"/>
      <c r="C50" s="1"/>
      <c r="D50" s="82" t="s">
        <v>65</v>
      </c>
      <c r="E50" s="83" t="str">
        <f>AM7</f>
        <v/>
      </c>
      <c r="F50" s="83" t="str">
        <f>AM8</f>
        <v/>
      </c>
      <c r="G50" s="83"/>
      <c r="H50" s="83" t="str">
        <f>AM9</f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3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</row>
    <row r="51" ht="15.75" customHeight="1">
      <c r="A51" s="1"/>
      <c r="B51" s="1"/>
      <c r="C51" s="1"/>
      <c r="D51" s="82" t="s">
        <v>66</v>
      </c>
      <c r="E51" s="83" t="str">
        <f>AM12</f>
        <v/>
      </c>
      <c r="F51" s="83" t="str">
        <f>AM13</f>
        <v/>
      </c>
      <c r="G51" s="83"/>
      <c r="H51" s="83" t="str">
        <f>AM14</f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3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</row>
    <row r="52" ht="15.75" customHeight="1">
      <c r="A52" s="1"/>
      <c r="B52" s="1"/>
      <c r="C52" s="1"/>
      <c r="D52" s="82" t="s">
        <v>67</v>
      </c>
      <c r="E52" s="83">
        <f>AU7</f>
        <v>23.17495</v>
      </c>
      <c r="F52" s="83">
        <f>AU8</f>
        <v>97.093775</v>
      </c>
      <c r="G52" s="83"/>
      <c r="H52" s="83">
        <f>AU9</f>
        <v>169.98733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3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</row>
    <row r="53" ht="15.75" customHeight="1">
      <c r="A53" s="1"/>
      <c r="B53" s="1"/>
      <c r="C53" s="1"/>
      <c r="D53" s="82" t="s">
        <v>68</v>
      </c>
      <c r="E53" s="83" t="str">
        <f>AU12</f>
        <v/>
      </c>
      <c r="F53" s="83" t="str">
        <f>AU13</f>
        <v/>
      </c>
      <c r="G53" s="83"/>
      <c r="H53" s="83">
        <f>AU14</f>
        <v>29.02196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3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</row>
    <row r="54" ht="15.75" customHeight="1">
      <c r="A54" s="1"/>
      <c r="B54" s="1"/>
      <c r="C54" s="1"/>
      <c r="D54" s="82" t="s">
        <v>69</v>
      </c>
      <c r="E54" s="83">
        <f>BC7</f>
        <v>3</v>
      </c>
      <c r="F54" s="83">
        <f>BC8</f>
        <v>13</v>
      </c>
      <c r="G54" s="83"/>
      <c r="H54" s="83">
        <f>BC9</f>
        <v>25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3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</row>
    <row r="55" ht="15.75" customHeight="1">
      <c r="A55" s="1"/>
      <c r="B55" s="1"/>
      <c r="C55" s="1"/>
      <c r="D55" s="82" t="s">
        <v>70</v>
      </c>
      <c r="E55" s="83" t="str">
        <f>BC12</f>
        <v/>
      </c>
      <c r="F55" s="83" t="str">
        <f>BC13</f>
        <v/>
      </c>
      <c r="G55" s="83"/>
      <c r="H55" s="83">
        <f>BC14</f>
        <v>3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3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3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3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3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3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3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3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3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3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3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3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3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3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3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3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3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3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3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3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3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3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3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3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3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3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3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3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3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3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3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3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3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3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3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3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3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3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3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3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3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3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3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3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3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3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3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3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3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3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3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3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3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3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3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3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3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3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3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3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3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3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3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3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3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3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3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3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3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3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3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3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3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3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3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3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3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3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3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3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3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3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3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3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3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3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3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3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3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3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3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3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3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3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3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3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3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3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3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3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3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3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3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3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3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3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3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3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3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3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3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3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3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3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3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3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3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3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3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3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3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3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3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3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3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3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3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3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3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3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3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3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3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3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3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3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3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3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3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3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3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3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3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3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3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3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3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3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3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3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3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3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3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3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3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3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3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3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3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3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3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3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3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3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3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3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3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3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3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3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3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3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3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3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3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3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3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3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3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3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3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3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3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3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3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3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3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3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3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3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3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3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3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3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3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3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3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3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3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3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3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</row>
  </sheetData>
  <mergeCells count="6">
    <mergeCell ref="C4:O4"/>
    <mergeCell ref="Q4:W4"/>
    <mergeCell ref="Y4:AL4"/>
    <mergeCell ref="AN4:BA4"/>
    <mergeCell ref="BC4:BP4"/>
    <mergeCell ref="BR4:CE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5.0"/>
    <col customWidth="1" min="3" max="3" width="8.71"/>
    <col customWidth="1" min="4" max="4" width="4.71"/>
    <col customWidth="1" min="5" max="10" width="4.29"/>
    <col customWidth="1" min="11" max="11" width="5.14"/>
    <col customWidth="1" min="12" max="12" width="8.71"/>
    <col customWidth="1" min="13" max="24" width="8.29"/>
    <col hidden="1" min="28" max="29" width="14.43"/>
  </cols>
  <sheetData>
    <row r="1" ht="17.25" customHeight="1">
      <c r="A1" s="84" t="s">
        <v>71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</row>
    <row r="3" ht="15.0" customHeight="1">
      <c r="A3" s="86" t="s">
        <v>72</v>
      </c>
      <c r="B3" s="86" t="s">
        <v>73</v>
      </c>
      <c r="C3" s="85"/>
      <c r="D3" s="85"/>
      <c r="E3" s="87" t="s">
        <v>74</v>
      </c>
      <c r="K3" s="85"/>
      <c r="L3" s="88" t="s">
        <v>75</v>
      </c>
      <c r="M3" s="88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5"/>
      <c r="Z3" s="85"/>
      <c r="AA3" s="85"/>
      <c r="AB3" s="86" t="s">
        <v>76</v>
      </c>
      <c r="AC3" s="86" t="s">
        <v>77</v>
      </c>
      <c r="AD3" s="85"/>
      <c r="AE3" s="85"/>
      <c r="AF3" s="85"/>
    </row>
    <row r="4" ht="15.0" customHeight="1">
      <c r="A4" s="90">
        <v>1.0</v>
      </c>
      <c r="B4" s="91">
        <f>average(M5,M16,M26,M35,M45)</f>
        <v>22</v>
      </c>
      <c r="C4" s="85"/>
      <c r="D4" s="85"/>
      <c r="G4" s="92"/>
      <c r="H4" s="93"/>
      <c r="I4" s="92"/>
      <c r="J4" s="93"/>
      <c r="K4" s="85"/>
      <c r="L4" s="94" t="s">
        <v>72</v>
      </c>
      <c r="M4" s="95" t="s">
        <v>78</v>
      </c>
      <c r="N4" s="95" t="s">
        <v>79</v>
      </c>
      <c r="O4" s="95" t="s">
        <v>80</v>
      </c>
      <c r="P4" s="95" t="s">
        <v>81</v>
      </c>
      <c r="Q4" s="95" t="s">
        <v>82</v>
      </c>
      <c r="R4" s="95" t="s">
        <v>83</v>
      </c>
      <c r="S4" s="95" t="s">
        <v>84</v>
      </c>
      <c r="T4" s="95" t="s">
        <v>85</v>
      </c>
      <c r="U4" s="95" t="s">
        <v>86</v>
      </c>
      <c r="V4" s="95" t="s">
        <v>87</v>
      </c>
      <c r="W4" s="95" t="s">
        <v>88</v>
      </c>
      <c r="X4" s="95" t="s">
        <v>89</v>
      </c>
      <c r="Y4" s="85"/>
      <c r="Z4" s="85"/>
      <c r="AA4" s="85"/>
      <c r="AB4" s="96" t="s">
        <v>90</v>
      </c>
      <c r="AC4" s="96"/>
      <c r="AD4" s="85"/>
      <c r="AE4" s="85"/>
      <c r="AF4" s="85"/>
    </row>
    <row r="5" ht="15.0" customHeight="1">
      <c r="A5" s="97">
        <v>2.0</v>
      </c>
      <c r="B5" s="98">
        <v>0.0</v>
      </c>
      <c r="C5" s="85"/>
      <c r="D5" s="85"/>
      <c r="E5" s="92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93">
        <f>IFERROR(__xludf.DUMMYFUNCTION("""COMPUTED_VALUE"""),20.0)</f>
        <v>20</v>
      </c>
      <c r="G5" s="92"/>
      <c r="H5" s="93"/>
      <c r="I5" s="92"/>
      <c r="J5" s="93"/>
      <c r="K5" s="85"/>
      <c r="L5" s="99">
        <v>1.0</v>
      </c>
      <c r="M5" s="100">
        <v>20.0</v>
      </c>
      <c r="N5" s="101">
        <v>0.0</v>
      </c>
      <c r="O5" s="101">
        <v>0.0</v>
      </c>
      <c r="P5" s="101">
        <v>0.0</v>
      </c>
      <c r="Q5" s="101">
        <v>0.0</v>
      </c>
      <c r="R5" s="101">
        <v>0.0</v>
      </c>
      <c r="S5" s="101">
        <v>0.0</v>
      </c>
      <c r="T5" s="101">
        <v>0.0</v>
      </c>
      <c r="U5" s="101">
        <v>0.0</v>
      </c>
      <c r="V5" s="101">
        <v>0.0</v>
      </c>
      <c r="W5" s="101">
        <v>0.0</v>
      </c>
      <c r="X5" s="101">
        <v>0.0</v>
      </c>
      <c r="Y5" s="85"/>
      <c r="Z5" s="85"/>
      <c r="AA5" s="85"/>
      <c r="AB5" s="85" t="s">
        <v>79</v>
      </c>
      <c r="AC5" s="85"/>
      <c r="AD5" s="85"/>
      <c r="AE5" s="85"/>
      <c r="AF5" s="85"/>
    </row>
    <row r="6" ht="15.0" customHeight="1">
      <c r="A6" s="97">
        <v>3.0</v>
      </c>
      <c r="B6" s="98">
        <v>0.0</v>
      </c>
      <c r="C6" s="85"/>
      <c r="D6" s="85"/>
      <c r="E6" s="92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93">
        <f>IFERROR(__xludf.DUMMYFUNCTION("""COMPUTED_VALUE"""),15.0)</f>
        <v>15</v>
      </c>
      <c r="G6" s="92"/>
      <c r="H6" s="93"/>
      <c r="I6" s="92"/>
      <c r="J6" s="93"/>
      <c r="K6" s="85"/>
      <c r="L6" s="99">
        <v>2.0</v>
      </c>
      <c r="M6" s="101">
        <v>0.0</v>
      </c>
      <c r="N6" s="101">
        <v>0.0</v>
      </c>
      <c r="O6" s="101">
        <v>0.0</v>
      </c>
      <c r="P6" s="101">
        <v>0.0</v>
      </c>
      <c r="Q6" s="101">
        <v>0.0</v>
      </c>
      <c r="R6" s="101">
        <v>0.0</v>
      </c>
      <c r="S6" s="101">
        <v>0.0</v>
      </c>
      <c r="T6" s="101">
        <v>0.0</v>
      </c>
      <c r="U6" s="100">
        <v>15.0</v>
      </c>
      <c r="V6" s="101">
        <v>0.0</v>
      </c>
      <c r="W6" s="101">
        <v>0.0</v>
      </c>
      <c r="X6" s="101">
        <v>0.0</v>
      </c>
      <c r="Y6" s="85"/>
      <c r="Z6" s="85"/>
      <c r="AA6" s="85"/>
      <c r="AB6" s="85" t="s">
        <v>80</v>
      </c>
      <c r="AC6" s="96"/>
      <c r="AD6" s="85"/>
      <c r="AE6" s="85"/>
      <c r="AF6" s="85"/>
    </row>
    <row r="7" ht="15.0" customHeight="1">
      <c r="A7" s="97">
        <v>4.0</v>
      </c>
      <c r="B7" s="98">
        <f>mround(average(M8,M18,M28), 1)</f>
        <v>27</v>
      </c>
      <c r="C7" s="85"/>
      <c r="D7" s="85"/>
      <c r="E7" s="92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93">
        <f>IFERROR(__xludf.DUMMYFUNCTION("""COMPUTED_VALUE"""),1.0)</f>
        <v>1</v>
      </c>
      <c r="G7" s="92"/>
      <c r="H7" s="93"/>
      <c r="I7" s="92"/>
      <c r="J7" s="93"/>
      <c r="K7" s="85"/>
      <c r="L7" s="99">
        <v>3.0</v>
      </c>
      <c r="M7" s="101">
        <v>0.0</v>
      </c>
      <c r="N7" s="101">
        <v>0.0</v>
      </c>
      <c r="O7" s="101">
        <v>0.0</v>
      </c>
      <c r="P7" s="101">
        <v>0.0</v>
      </c>
      <c r="Q7" s="101">
        <v>0.0</v>
      </c>
      <c r="R7" s="100">
        <v>1.0</v>
      </c>
      <c r="S7" s="101">
        <v>0.0</v>
      </c>
      <c r="T7" s="101">
        <v>0.0</v>
      </c>
      <c r="U7" s="101">
        <v>0.0</v>
      </c>
      <c r="V7" s="101">
        <v>0.0</v>
      </c>
      <c r="W7" s="101">
        <v>0.0</v>
      </c>
      <c r="X7" s="101">
        <v>0.0</v>
      </c>
      <c r="Y7" s="85"/>
      <c r="Z7" s="85"/>
      <c r="AA7" s="85"/>
      <c r="AB7" s="85" t="s">
        <v>81</v>
      </c>
      <c r="AC7" s="96"/>
      <c r="AD7" s="85"/>
      <c r="AE7" s="85"/>
      <c r="AF7" s="85"/>
    </row>
    <row r="8" ht="15.0" customHeight="1">
      <c r="A8" s="97">
        <v>5.0</v>
      </c>
      <c r="B8" s="98">
        <v>0.0</v>
      </c>
      <c r="C8" s="85"/>
      <c r="D8" s="85"/>
      <c r="E8" s="92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93">
        <f>IFERROR(__xludf.DUMMYFUNCTION("""COMPUTED_VALUE"""),25.0)</f>
        <v>25</v>
      </c>
      <c r="G8" s="92"/>
      <c r="H8" s="93"/>
      <c r="I8" s="92"/>
      <c r="J8" s="93"/>
      <c r="K8" s="85"/>
      <c r="L8" s="99">
        <v>4.0</v>
      </c>
      <c r="M8" s="100">
        <v>25.0</v>
      </c>
      <c r="N8" s="101">
        <v>0.0</v>
      </c>
      <c r="O8" s="101">
        <v>0.0</v>
      </c>
      <c r="P8" s="101">
        <v>0.0</v>
      </c>
      <c r="Q8" s="101">
        <v>0.0</v>
      </c>
      <c r="R8" s="101">
        <v>0.0</v>
      </c>
      <c r="S8" s="101">
        <v>0.0</v>
      </c>
      <c r="T8" s="101">
        <v>0.0</v>
      </c>
      <c r="U8" s="101">
        <v>0.0</v>
      </c>
      <c r="V8" s="101">
        <v>0.0</v>
      </c>
      <c r="W8" s="101">
        <v>0.0</v>
      </c>
      <c r="X8" s="101">
        <v>0.0</v>
      </c>
      <c r="Y8" s="85"/>
      <c r="Z8" s="85"/>
      <c r="AA8" s="85"/>
      <c r="AB8" s="85" t="s">
        <v>82</v>
      </c>
      <c r="AC8" s="96"/>
      <c r="AD8" s="85"/>
      <c r="AE8" s="85"/>
      <c r="AF8" s="85"/>
    </row>
    <row r="9" ht="15.0" customHeight="1">
      <c r="A9" s="97">
        <v>6.0</v>
      </c>
      <c r="B9" s="98">
        <f>mround(AVERAGE(M10, M20, M30, M50),1)</f>
        <v>33</v>
      </c>
      <c r="C9" s="85"/>
      <c r="D9" s="85"/>
      <c r="E9" s="92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93">
        <f>IFERROR(__xludf.DUMMYFUNCTION("""COMPUTED_VALUE"""),1.0)</f>
        <v>1</v>
      </c>
      <c r="G9" s="92"/>
      <c r="H9" s="93"/>
      <c r="I9" s="92"/>
      <c r="J9" s="93"/>
      <c r="K9" s="85"/>
      <c r="L9" s="99">
        <v>5.0</v>
      </c>
      <c r="M9" s="101">
        <v>0.0</v>
      </c>
      <c r="N9" s="101">
        <v>0.0</v>
      </c>
      <c r="O9" s="101">
        <v>0.0</v>
      </c>
      <c r="P9" s="101">
        <v>0.0</v>
      </c>
      <c r="Q9" s="101">
        <v>0.0</v>
      </c>
      <c r="R9" s="101">
        <v>0.0</v>
      </c>
      <c r="S9" s="100">
        <v>1.0</v>
      </c>
      <c r="T9" s="101">
        <v>0.0</v>
      </c>
      <c r="U9" s="101">
        <v>0.0</v>
      </c>
      <c r="V9" s="101">
        <v>0.0</v>
      </c>
      <c r="W9" s="101">
        <v>0.0</v>
      </c>
      <c r="X9" s="101">
        <v>0.0</v>
      </c>
      <c r="Y9" s="85"/>
      <c r="Z9" s="85"/>
      <c r="AA9" s="85"/>
      <c r="AB9" s="85" t="s">
        <v>83</v>
      </c>
      <c r="AC9" s="96"/>
      <c r="AD9" s="85"/>
      <c r="AE9" s="85"/>
      <c r="AF9" s="85"/>
    </row>
    <row r="10" ht="15.0" customHeight="1">
      <c r="A10" s="102">
        <v>7.0</v>
      </c>
      <c r="B10" s="103">
        <v>100.0</v>
      </c>
      <c r="C10" s="85"/>
      <c r="D10" s="85"/>
      <c r="E10" s="92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93">
        <f>IFERROR(__xludf.DUMMYFUNCTION("""COMPUTED_VALUE"""),30.0)</f>
        <v>30</v>
      </c>
      <c r="G10" s="92"/>
      <c r="H10" s="93"/>
      <c r="I10" s="92"/>
      <c r="J10" s="93"/>
      <c r="K10" s="85"/>
      <c r="L10" s="99">
        <v>6.0</v>
      </c>
      <c r="M10" s="100">
        <v>30.0</v>
      </c>
      <c r="N10" s="101">
        <v>0.0</v>
      </c>
      <c r="O10" s="101">
        <v>0.0</v>
      </c>
      <c r="P10" s="101">
        <v>0.0</v>
      </c>
      <c r="Q10" s="101">
        <v>0.0</v>
      </c>
      <c r="R10" s="101">
        <v>0.0</v>
      </c>
      <c r="S10" s="101">
        <v>0.0</v>
      </c>
      <c r="T10" s="101">
        <v>0.0</v>
      </c>
      <c r="U10" s="101">
        <v>0.0</v>
      </c>
      <c r="V10" s="101">
        <v>0.0</v>
      </c>
      <c r="W10" s="101">
        <v>0.0</v>
      </c>
      <c r="X10" s="101">
        <v>0.0</v>
      </c>
      <c r="Y10" s="85"/>
      <c r="Z10" s="85"/>
      <c r="AA10" s="85"/>
      <c r="AB10" s="85" t="s">
        <v>84</v>
      </c>
      <c r="AC10" s="96"/>
      <c r="AD10" s="85"/>
      <c r="AE10" s="85"/>
      <c r="AF10" s="85"/>
    </row>
    <row r="11">
      <c r="A11" s="85"/>
      <c r="B11" s="85"/>
      <c r="C11" s="85"/>
      <c r="D11" s="85"/>
      <c r="E11" s="92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93">
        <f>IFERROR(__xludf.DUMMYFUNCTION("""COMPUTED_VALUE"""),100.0)</f>
        <v>100</v>
      </c>
      <c r="G11" s="92" t="str">
        <f>IFERROR(__xludf.DUMMYFUNCTION("""COMPUTED_VALUE"""),"")</f>
        <v/>
      </c>
      <c r="H11" s="93">
        <f>IFERROR(__xludf.DUMMYFUNCTION("""COMPUTED_VALUE"""),120.0)</f>
        <v>120</v>
      </c>
      <c r="I11" s="92" t="str">
        <f>IFERROR(__xludf.DUMMYFUNCTION("""COMPUTED_VALUE"""),"")</f>
        <v/>
      </c>
      <c r="J11" s="93">
        <f>IFERROR(__xludf.DUMMYFUNCTION("""COMPUTED_VALUE"""),60.0)</f>
        <v>60</v>
      </c>
      <c r="K11" s="85"/>
      <c r="L11" s="99">
        <v>7.0</v>
      </c>
      <c r="M11" s="100">
        <v>100.0</v>
      </c>
      <c r="N11" s="101">
        <v>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0">
        <v>120.0</v>
      </c>
      <c r="V11" s="100">
        <v>60.0</v>
      </c>
      <c r="W11" s="101">
        <v>0.0</v>
      </c>
      <c r="X11" s="101">
        <v>0.0</v>
      </c>
      <c r="Y11" s="85"/>
      <c r="Z11" s="85"/>
      <c r="AA11" s="85"/>
      <c r="AB11" s="85" t="s">
        <v>85</v>
      </c>
      <c r="AC11" s="96"/>
      <c r="AD11" s="85"/>
      <c r="AE11" s="85"/>
      <c r="AF11" s="85"/>
    </row>
    <row r="12" ht="15.0" customHeight="1">
      <c r="A12" s="104" t="s">
        <v>91</v>
      </c>
      <c r="B12" s="105">
        <f>SUM(B4:B10)</f>
        <v>182</v>
      </c>
      <c r="C12" s="85"/>
      <c r="D12" s="85"/>
      <c r="E12" s="92"/>
      <c r="F12" s="93"/>
      <c r="G12" s="92"/>
      <c r="H12" s="93"/>
      <c r="I12" s="92"/>
      <c r="J12" s="93"/>
      <c r="K12" s="85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85"/>
      <c r="Z12" s="85"/>
      <c r="AA12" s="85"/>
      <c r="AB12" s="85" t="s">
        <v>86</v>
      </c>
      <c r="AC12" s="96"/>
      <c r="AD12" s="85"/>
      <c r="AE12" s="85"/>
      <c r="AF12" s="85"/>
    </row>
    <row r="13" ht="15.0" customHeight="1">
      <c r="A13" s="104" t="s">
        <v>92</v>
      </c>
      <c r="B13" s="107">
        <f>B12/7</f>
        <v>26</v>
      </c>
      <c r="C13" s="85"/>
      <c r="D13" s="85"/>
      <c r="E13" s="92"/>
      <c r="F13" s="93"/>
      <c r="G13" s="92"/>
      <c r="H13" s="93"/>
      <c r="I13" s="92"/>
      <c r="J13" s="93"/>
      <c r="K13" s="85"/>
      <c r="L13" s="88" t="s">
        <v>93</v>
      </c>
      <c r="M13" s="88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5"/>
      <c r="Z13" s="85"/>
      <c r="AA13" s="85"/>
      <c r="AB13" s="85" t="s">
        <v>87</v>
      </c>
      <c r="AC13" s="96"/>
      <c r="AD13" s="85"/>
      <c r="AE13" s="85"/>
      <c r="AF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94" t="s">
        <v>72</v>
      </c>
      <c r="M14" s="95" t="s">
        <v>78</v>
      </c>
      <c r="N14" s="95" t="s">
        <v>79</v>
      </c>
      <c r="O14" s="95" t="s">
        <v>80</v>
      </c>
      <c r="P14" s="95" t="s">
        <v>81</v>
      </c>
      <c r="Q14" s="95" t="s">
        <v>82</v>
      </c>
      <c r="R14" s="95" t="s">
        <v>83</v>
      </c>
      <c r="S14" s="95" t="s">
        <v>84</v>
      </c>
      <c r="T14" s="95" t="s">
        <v>85</v>
      </c>
      <c r="U14" s="95" t="s">
        <v>86</v>
      </c>
      <c r="V14" s="95" t="s">
        <v>87</v>
      </c>
      <c r="W14" s="95" t="s">
        <v>88</v>
      </c>
      <c r="X14" s="95" t="s">
        <v>89</v>
      </c>
      <c r="Y14" s="85"/>
      <c r="Z14" s="85"/>
      <c r="AA14" s="85"/>
      <c r="AB14" s="85" t="s">
        <v>88</v>
      </c>
      <c r="AC14" s="96"/>
      <c r="AD14" s="85"/>
      <c r="AE14" s="85"/>
      <c r="AF14" s="85"/>
    </row>
    <row r="15">
      <c r="A15" s="85"/>
      <c r="B15" s="85"/>
      <c r="C15" s="85"/>
      <c r="D15" s="85"/>
      <c r="E15" s="92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93">
        <f>IFERROR(__xludf.DUMMYFUNCTION("""COMPUTED_VALUE"""),20.0)</f>
        <v>20</v>
      </c>
      <c r="G15" s="92"/>
      <c r="H15" s="93"/>
      <c r="I15" s="92"/>
      <c r="J15" s="93"/>
      <c r="K15" s="85"/>
      <c r="L15" s="99">
        <v>1.0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0">
        <v>20.0</v>
      </c>
      <c r="V15" s="101">
        <v>0.0</v>
      </c>
      <c r="W15" s="101">
        <v>0.0</v>
      </c>
      <c r="X15" s="101">
        <v>0.0</v>
      </c>
      <c r="Y15" s="85"/>
      <c r="Z15" s="85"/>
      <c r="AA15" s="85"/>
      <c r="AB15" s="85" t="s">
        <v>89</v>
      </c>
      <c r="AC15" s="96"/>
      <c r="AD15" s="85"/>
      <c r="AE15" s="85"/>
      <c r="AF15" s="85"/>
    </row>
    <row r="16">
      <c r="A16" s="85"/>
      <c r="B16" s="85"/>
      <c r="C16" s="85"/>
      <c r="D16" s="85"/>
      <c r="E16" s="92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93">
        <f>IFERROR(__xludf.DUMMYFUNCTION("""COMPUTED_VALUE"""),25.0)</f>
        <v>25</v>
      </c>
      <c r="G16" s="92"/>
      <c r="H16" s="93"/>
      <c r="I16" s="92"/>
      <c r="J16" s="93"/>
      <c r="K16" s="85"/>
      <c r="L16" s="99">
        <v>2.0</v>
      </c>
      <c r="M16" s="100">
        <v>25.0</v>
      </c>
      <c r="N16" s="101">
        <v>0.0</v>
      </c>
      <c r="O16" s="101">
        <v>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  <c r="W16" s="101">
        <v>0.0</v>
      </c>
      <c r="X16" s="101">
        <v>0.0</v>
      </c>
      <c r="Y16" s="85"/>
      <c r="Z16" s="85"/>
      <c r="AA16" s="85"/>
      <c r="AB16" s="85"/>
      <c r="AC16" s="85"/>
      <c r="AD16" s="85"/>
      <c r="AE16" s="85"/>
      <c r="AF16" s="85"/>
    </row>
    <row r="17">
      <c r="A17" s="85"/>
      <c r="B17" s="85"/>
      <c r="C17" s="85"/>
      <c r="D17" s="85"/>
      <c r="E17" s="92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93">
        <f>IFERROR(__xludf.DUMMYFUNCTION("""COMPUTED_VALUE"""),1.0)</f>
        <v>1</v>
      </c>
      <c r="G17" s="92"/>
      <c r="H17" s="93"/>
      <c r="I17" s="92"/>
      <c r="J17" s="93"/>
      <c r="K17" s="85"/>
      <c r="L17" s="99">
        <v>3.0</v>
      </c>
      <c r="M17" s="101">
        <v>0.0</v>
      </c>
      <c r="N17" s="101">
        <v>0.0</v>
      </c>
      <c r="O17" s="101">
        <v>0.0</v>
      </c>
      <c r="P17" s="101">
        <v>0.0</v>
      </c>
      <c r="Q17" s="101">
        <v>0.0</v>
      </c>
      <c r="R17" s="100">
        <v>1.0</v>
      </c>
      <c r="S17" s="101">
        <v>0.0</v>
      </c>
      <c r="T17" s="101">
        <v>0.0</v>
      </c>
      <c r="U17" s="101">
        <v>0.0</v>
      </c>
      <c r="V17" s="101">
        <v>0.0</v>
      </c>
      <c r="W17" s="101">
        <v>0.0</v>
      </c>
      <c r="X17" s="101">
        <v>0.0</v>
      </c>
      <c r="Y17" s="85"/>
      <c r="Z17" s="85"/>
      <c r="AA17" s="85"/>
      <c r="AB17" s="85"/>
      <c r="AC17" s="85"/>
      <c r="AD17" s="85"/>
      <c r="AE17" s="85"/>
      <c r="AF17" s="85"/>
    </row>
    <row r="18">
      <c r="A18" s="85"/>
      <c r="B18" s="85"/>
      <c r="C18" s="85"/>
      <c r="D18" s="85"/>
      <c r="E18" s="92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93">
        <f>IFERROR(__xludf.DUMMYFUNCTION("""COMPUTED_VALUE"""),30.0)</f>
        <v>30</v>
      </c>
      <c r="G18" s="92"/>
      <c r="H18" s="93"/>
      <c r="I18" s="92"/>
      <c r="J18" s="93"/>
      <c r="K18" s="85"/>
      <c r="L18" s="99">
        <v>4.0</v>
      </c>
      <c r="M18" s="100">
        <v>30.0</v>
      </c>
      <c r="N18" s="101">
        <v>0.0</v>
      </c>
      <c r="O18" s="101">
        <v>0.0</v>
      </c>
      <c r="P18" s="101">
        <v>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  <c r="W18" s="101">
        <v>0.0</v>
      </c>
      <c r="X18" s="101">
        <v>0.0</v>
      </c>
      <c r="Y18" s="85"/>
      <c r="Z18" s="85"/>
      <c r="AA18" s="85"/>
      <c r="AB18" s="85"/>
      <c r="AC18" s="85"/>
      <c r="AD18" s="85"/>
      <c r="AE18" s="85"/>
      <c r="AF18" s="85"/>
    </row>
    <row r="19">
      <c r="A19" s="85"/>
      <c r="B19" s="85"/>
      <c r="C19" s="85"/>
      <c r="D19" s="85"/>
      <c r="E19" s="92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93">
        <f>IFERROR(__xludf.DUMMYFUNCTION("""COMPUTED_VALUE"""),1.0)</f>
        <v>1</v>
      </c>
      <c r="G19" s="92"/>
      <c r="H19" s="93"/>
      <c r="I19" s="92"/>
      <c r="J19" s="93"/>
      <c r="K19" s="85"/>
      <c r="L19" s="99">
        <v>5.0</v>
      </c>
      <c r="M19" s="101">
        <v>0.0</v>
      </c>
      <c r="N19" s="101">
        <v>0.0</v>
      </c>
      <c r="O19" s="101">
        <v>0.0</v>
      </c>
      <c r="P19" s="101">
        <v>0.0</v>
      </c>
      <c r="Q19" s="101">
        <v>0.0</v>
      </c>
      <c r="R19" s="101">
        <v>0.0</v>
      </c>
      <c r="S19" s="100">
        <v>1.0</v>
      </c>
      <c r="T19" s="101">
        <v>0.0</v>
      </c>
      <c r="U19" s="101">
        <v>0.0</v>
      </c>
      <c r="V19" s="101">
        <v>0.0</v>
      </c>
      <c r="W19" s="101">
        <v>0.0</v>
      </c>
      <c r="X19" s="101">
        <v>0.0</v>
      </c>
      <c r="Y19" s="85"/>
      <c r="Z19" s="85"/>
      <c r="AA19" s="85"/>
      <c r="AB19" s="85"/>
      <c r="AC19" s="85"/>
      <c r="AD19" s="85"/>
      <c r="AE19" s="85"/>
      <c r="AF19" s="85"/>
    </row>
    <row r="20">
      <c r="A20" s="85"/>
      <c r="B20" s="85"/>
      <c r="C20" s="85"/>
      <c r="D20" s="85"/>
      <c r="E20" s="92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93">
        <f>IFERROR(__xludf.DUMMYFUNCTION("""COMPUTED_VALUE"""),35.0)</f>
        <v>35</v>
      </c>
      <c r="G20" s="92"/>
      <c r="H20" s="93"/>
      <c r="I20" s="92"/>
      <c r="J20" s="93"/>
      <c r="K20" s="85"/>
      <c r="L20" s="99">
        <v>6.0</v>
      </c>
      <c r="M20" s="100">
        <v>35.0</v>
      </c>
      <c r="N20" s="101">
        <v>0.0</v>
      </c>
      <c r="O20" s="101">
        <v>0.0</v>
      </c>
      <c r="P20" s="101">
        <v>0.0</v>
      </c>
      <c r="Q20" s="101">
        <v>0.0</v>
      </c>
      <c r="R20" s="101">
        <v>0.0</v>
      </c>
      <c r="S20" s="101">
        <v>0.0</v>
      </c>
      <c r="T20" s="101">
        <v>0.0</v>
      </c>
      <c r="U20" s="101">
        <v>0.0</v>
      </c>
      <c r="V20" s="101">
        <v>0.0</v>
      </c>
      <c r="W20" s="101">
        <v>0.0</v>
      </c>
      <c r="X20" s="101">
        <v>0.0</v>
      </c>
      <c r="Y20" s="85"/>
      <c r="Z20" s="85"/>
      <c r="AA20" s="85"/>
      <c r="AB20" s="85"/>
      <c r="AC20" s="85"/>
      <c r="AD20" s="85"/>
      <c r="AE20" s="85"/>
      <c r="AF20" s="85"/>
    </row>
    <row r="21" ht="15.75" customHeight="1">
      <c r="A21" s="85"/>
      <c r="B21" s="85"/>
      <c r="C21" s="85"/>
      <c r="D21" s="85"/>
      <c r="E21" s="92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93">
        <f>IFERROR(__xludf.DUMMYFUNCTION("""COMPUTED_VALUE"""),100.0)</f>
        <v>100</v>
      </c>
      <c r="G21" s="92" t="str">
        <f>IFERROR(__xludf.DUMMYFUNCTION("""COMPUTED_VALUE"""),"")</f>
        <v/>
      </c>
      <c r="H21" s="93">
        <f>IFERROR(__xludf.DUMMYFUNCTION("""COMPUTED_VALUE"""),120.0)</f>
        <v>120</v>
      </c>
      <c r="I21" s="92" t="str">
        <f>IFERROR(__xludf.DUMMYFUNCTION("""COMPUTED_VALUE"""),"")</f>
        <v/>
      </c>
      <c r="J21" s="93">
        <f>IFERROR(__xludf.DUMMYFUNCTION("""COMPUTED_VALUE"""),60.0)</f>
        <v>60</v>
      </c>
      <c r="K21" s="85"/>
      <c r="L21" s="99">
        <v>7.0</v>
      </c>
      <c r="M21" s="100">
        <v>100.0</v>
      </c>
      <c r="N21" s="101">
        <v>0.0</v>
      </c>
      <c r="O21" s="101">
        <v>0.0</v>
      </c>
      <c r="P21" s="101">
        <v>0.0</v>
      </c>
      <c r="Q21" s="101">
        <v>0.0</v>
      </c>
      <c r="R21" s="101">
        <v>0.0</v>
      </c>
      <c r="S21" s="101">
        <v>0.0</v>
      </c>
      <c r="T21" s="101">
        <v>0.0</v>
      </c>
      <c r="U21" s="100">
        <v>120.0</v>
      </c>
      <c r="V21" s="101">
        <v>0.0</v>
      </c>
      <c r="W21" s="100">
        <v>60.0</v>
      </c>
      <c r="X21" s="101">
        <v>0.0</v>
      </c>
      <c r="Y21" s="85"/>
      <c r="Z21" s="85"/>
      <c r="AA21" s="85"/>
      <c r="AB21" s="85"/>
      <c r="AC21" s="85"/>
      <c r="AD21" s="85"/>
      <c r="AE21" s="85"/>
      <c r="AF21" s="85"/>
    </row>
    <row r="22" ht="15.75" customHeight="1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85"/>
      <c r="Z22" s="85"/>
      <c r="AA22" s="85"/>
      <c r="AB22" s="85"/>
      <c r="AC22" s="85"/>
      <c r="AD22" s="85"/>
      <c r="AE22" s="85"/>
      <c r="AF22" s="85"/>
    </row>
    <row r="23" ht="15.75" customHeight="1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8" t="s">
        <v>94</v>
      </c>
      <c r="M23" s="88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5"/>
      <c r="Z23" s="85"/>
      <c r="AA23" s="85"/>
      <c r="AB23" s="85"/>
      <c r="AC23" s="85"/>
      <c r="AD23" s="85"/>
      <c r="AE23" s="85"/>
      <c r="AF23" s="85"/>
    </row>
    <row r="24" ht="15.75" customHeight="1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94" t="s">
        <v>72</v>
      </c>
      <c r="M24" s="95" t="s">
        <v>78</v>
      </c>
      <c r="N24" s="95" t="s">
        <v>79</v>
      </c>
      <c r="O24" s="95" t="s">
        <v>80</v>
      </c>
      <c r="P24" s="95" t="s">
        <v>81</v>
      </c>
      <c r="Q24" s="95" t="s">
        <v>82</v>
      </c>
      <c r="R24" s="95" t="s">
        <v>83</v>
      </c>
      <c r="S24" s="95" t="s">
        <v>84</v>
      </c>
      <c r="T24" s="95" t="s">
        <v>85</v>
      </c>
      <c r="U24" s="95" t="s">
        <v>86</v>
      </c>
      <c r="V24" s="95" t="s">
        <v>87</v>
      </c>
      <c r="W24" s="95" t="s">
        <v>88</v>
      </c>
      <c r="X24" s="95" t="s">
        <v>89</v>
      </c>
      <c r="Y24" s="85"/>
      <c r="Z24" s="85"/>
      <c r="AA24" s="85"/>
      <c r="AB24" s="85"/>
      <c r="AC24" s="85"/>
      <c r="AD24" s="85"/>
      <c r="AE24" s="85"/>
      <c r="AF24" s="85"/>
    </row>
    <row r="25" ht="15.75" customHeight="1">
      <c r="A25" s="85"/>
      <c r="B25" s="85"/>
      <c r="C25" s="85"/>
      <c r="D25" s="85"/>
      <c r="E25" s="92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93">
        <f>IFERROR(__xludf.DUMMYFUNCTION("""COMPUTED_VALUE"""),15.0)</f>
        <v>15</v>
      </c>
      <c r="G25" s="92"/>
      <c r="H25" s="93"/>
      <c r="I25" s="92"/>
      <c r="J25" s="93"/>
      <c r="K25" s="85"/>
      <c r="L25" s="99">
        <v>1.0</v>
      </c>
      <c r="M25" s="101">
        <v>0.0</v>
      </c>
      <c r="N25" s="101">
        <v>0.0</v>
      </c>
      <c r="O25" s="101">
        <v>0.0</v>
      </c>
      <c r="P25" s="101">
        <v>0.0</v>
      </c>
      <c r="Q25" s="101">
        <v>0.0</v>
      </c>
      <c r="R25" s="101">
        <v>0.0</v>
      </c>
      <c r="S25" s="101">
        <v>0.0</v>
      </c>
      <c r="T25" s="101">
        <v>0.0</v>
      </c>
      <c r="U25" s="100">
        <v>15.0</v>
      </c>
      <c r="V25" s="101">
        <v>0.0</v>
      </c>
      <c r="W25" s="101">
        <v>0.0</v>
      </c>
      <c r="X25" s="101">
        <v>0.0</v>
      </c>
      <c r="Y25" s="85"/>
      <c r="Z25" s="85"/>
      <c r="AA25" s="85"/>
      <c r="AB25" s="85"/>
      <c r="AC25" s="85"/>
      <c r="AD25" s="85"/>
      <c r="AE25" s="85"/>
      <c r="AF25" s="85"/>
    </row>
    <row r="26" ht="15.75" customHeight="1">
      <c r="A26" s="85"/>
      <c r="B26" s="85"/>
      <c r="C26" s="85"/>
      <c r="D26" s="85"/>
      <c r="E26" s="92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93">
        <f>IFERROR(__xludf.DUMMYFUNCTION("""COMPUTED_VALUE"""),20.0)</f>
        <v>20</v>
      </c>
      <c r="G26" s="92"/>
      <c r="H26" s="93"/>
      <c r="I26" s="92"/>
      <c r="J26" s="93"/>
      <c r="K26" s="85"/>
      <c r="L26" s="99">
        <v>2.0</v>
      </c>
      <c r="M26" s="100">
        <v>20.0</v>
      </c>
      <c r="N26" s="101">
        <v>0.0</v>
      </c>
      <c r="O26" s="101">
        <v>0.0</v>
      </c>
      <c r="P26" s="101">
        <v>0.0</v>
      </c>
      <c r="Q26" s="101">
        <v>0.0</v>
      </c>
      <c r="R26" s="101">
        <v>0.0</v>
      </c>
      <c r="S26" s="101">
        <v>0.0</v>
      </c>
      <c r="T26" s="101">
        <v>0.0</v>
      </c>
      <c r="U26" s="101">
        <v>0.0</v>
      </c>
      <c r="V26" s="101">
        <v>0.0</v>
      </c>
      <c r="W26" s="101">
        <v>0.0</v>
      </c>
      <c r="X26" s="101">
        <v>0.0</v>
      </c>
      <c r="Y26" s="85"/>
      <c r="Z26" s="85"/>
      <c r="AA26" s="85"/>
      <c r="AB26" s="85"/>
      <c r="AC26" s="85"/>
      <c r="AD26" s="85"/>
      <c r="AE26" s="85"/>
      <c r="AF26" s="85"/>
    </row>
    <row r="27" ht="15.75" customHeight="1">
      <c r="A27" s="85"/>
      <c r="B27" s="85"/>
      <c r="C27" s="85"/>
      <c r="D27" s="85"/>
      <c r="E27" s="92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93">
        <f>IFERROR(__xludf.DUMMYFUNCTION("""COMPUTED_VALUE"""),1.0)</f>
        <v>1</v>
      </c>
      <c r="G27" s="92"/>
      <c r="H27" s="93"/>
      <c r="I27" s="92"/>
      <c r="J27" s="93"/>
      <c r="K27" s="85"/>
      <c r="L27" s="99">
        <v>3.0</v>
      </c>
      <c r="M27" s="101">
        <v>0.0</v>
      </c>
      <c r="N27" s="101">
        <v>0.0</v>
      </c>
      <c r="O27" s="101">
        <v>0.0</v>
      </c>
      <c r="P27" s="101">
        <v>0.0</v>
      </c>
      <c r="Q27" s="101">
        <v>0.0</v>
      </c>
      <c r="R27" s="100">
        <v>1.0</v>
      </c>
      <c r="S27" s="101">
        <v>0.0</v>
      </c>
      <c r="T27" s="101">
        <v>0.0</v>
      </c>
      <c r="U27" s="101">
        <v>0.0</v>
      </c>
      <c r="V27" s="101">
        <v>0.0</v>
      </c>
      <c r="W27" s="101">
        <v>0.0</v>
      </c>
      <c r="X27" s="101">
        <v>0.0</v>
      </c>
      <c r="Y27" s="85"/>
      <c r="Z27" s="85"/>
      <c r="AA27" s="85"/>
      <c r="AB27" s="85"/>
      <c r="AC27" s="85"/>
      <c r="AD27" s="85"/>
      <c r="AE27" s="85"/>
      <c r="AF27" s="85"/>
    </row>
    <row r="28" ht="15.75" customHeight="1">
      <c r="A28" s="85"/>
      <c r="B28" s="85"/>
      <c r="C28" s="85"/>
      <c r="D28" s="85"/>
      <c r="E28" s="92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93">
        <f>IFERROR(__xludf.DUMMYFUNCTION("""COMPUTED_VALUE"""),25.0)</f>
        <v>25</v>
      </c>
      <c r="G28" s="92"/>
      <c r="H28" s="93"/>
      <c r="I28" s="92"/>
      <c r="J28" s="93"/>
      <c r="K28" s="85"/>
      <c r="L28" s="99">
        <v>4.0</v>
      </c>
      <c r="M28" s="100">
        <v>25.0</v>
      </c>
      <c r="N28" s="101">
        <v>0.0</v>
      </c>
      <c r="O28" s="101">
        <v>0.0</v>
      </c>
      <c r="P28" s="101">
        <v>0.0</v>
      </c>
      <c r="Q28" s="101">
        <v>0.0</v>
      </c>
      <c r="R28" s="101">
        <v>0.0</v>
      </c>
      <c r="S28" s="101">
        <v>0.0</v>
      </c>
      <c r="T28" s="101">
        <v>0.0</v>
      </c>
      <c r="U28" s="101">
        <v>0.0</v>
      </c>
      <c r="V28" s="101">
        <v>0.0</v>
      </c>
      <c r="W28" s="101">
        <v>0.0</v>
      </c>
      <c r="X28" s="101">
        <v>0.0</v>
      </c>
      <c r="Y28" s="85"/>
      <c r="Z28" s="85"/>
      <c r="AA28" s="85"/>
      <c r="AB28" s="85"/>
      <c r="AC28" s="85"/>
      <c r="AD28" s="85"/>
      <c r="AE28" s="85"/>
      <c r="AF28" s="85"/>
    </row>
    <row r="29" ht="15.75" customHeight="1">
      <c r="A29" s="85"/>
      <c r="B29" s="85"/>
      <c r="C29" s="85"/>
      <c r="D29" s="85"/>
      <c r="E29" s="92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93">
        <f>IFERROR(__xludf.DUMMYFUNCTION("""COMPUTED_VALUE"""),1.0)</f>
        <v>1</v>
      </c>
      <c r="G29" s="92"/>
      <c r="H29" s="93"/>
      <c r="I29" s="92"/>
      <c r="J29" s="93"/>
      <c r="K29" s="85"/>
      <c r="L29" s="99">
        <v>5.0</v>
      </c>
      <c r="M29" s="101">
        <v>0.0</v>
      </c>
      <c r="N29" s="101">
        <v>0.0</v>
      </c>
      <c r="O29" s="101">
        <v>0.0</v>
      </c>
      <c r="P29" s="101">
        <v>0.0</v>
      </c>
      <c r="Q29" s="101">
        <v>0.0</v>
      </c>
      <c r="R29" s="101">
        <v>0.0</v>
      </c>
      <c r="S29" s="100">
        <v>1.0</v>
      </c>
      <c r="T29" s="101">
        <v>0.0</v>
      </c>
      <c r="U29" s="101">
        <v>0.0</v>
      </c>
      <c r="V29" s="101">
        <v>0.0</v>
      </c>
      <c r="W29" s="101">
        <v>0.0</v>
      </c>
      <c r="X29" s="101">
        <v>0.0</v>
      </c>
      <c r="Y29" s="85"/>
      <c r="Z29" s="85"/>
      <c r="AA29" s="85"/>
      <c r="AB29" s="85"/>
      <c r="AC29" s="85"/>
      <c r="AD29" s="85"/>
      <c r="AE29" s="85"/>
      <c r="AF29" s="85"/>
    </row>
    <row r="30" ht="15.75" customHeight="1">
      <c r="A30" s="85"/>
      <c r="B30" s="85"/>
      <c r="C30" s="85"/>
      <c r="D30" s="85"/>
      <c r="E30" s="92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93">
        <f>IFERROR(__xludf.DUMMYFUNCTION("""COMPUTED_VALUE"""),30.0)</f>
        <v>30</v>
      </c>
      <c r="G30" s="92"/>
      <c r="H30" s="93"/>
      <c r="I30" s="92"/>
      <c r="J30" s="93"/>
      <c r="K30" s="85"/>
      <c r="L30" s="99">
        <v>6.0</v>
      </c>
      <c r="M30" s="100">
        <v>30.0</v>
      </c>
      <c r="N30" s="101">
        <v>0.0</v>
      </c>
      <c r="O30" s="101">
        <v>0.0</v>
      </c>
      <c r="P30" s="101">
        <v>0.0</v>
      </c>
      <c r="Q30" s="101">
        <v>0.0</v>
      </c>
      <c r="R30" s="101">
        <v>0.0</v>
      </c>
      <c r="S30" s="101">
        <v>0.0</v>
      </c>
      <c r="T30" s="101">
        <v>0.0</v>
      </c>
      <c r="U30" s="101">
        <v>0.0</v>
      </c>
      <c r="V30" s="101">
        <v>0.0</v>
      </c>
      <c r="W30" s="101">
        <v>0.0</v>
      </c>
      <c r="X30" s="101">
        <v>0.0</v>
      </c>
      <c r="Y30" s="85"/>
      <c r="Z30" s="85"/>
      <c r="AA30" s="85"/>
      <c r="AB30" s="85"/>
      <c r="AC30" s="85"/>
      <c r="AD30" s="85"/>
      <c r="AE30" s="85"/>
      <c r="AF30" s="85"/>
    </row>
    <row r="31" ht="15.75" customHeight="1">
      <c r="A31" s="85"/>
      <c r="B31" s="85"/>
      <c r="C31" s="85"/>
      <c r="D31" s="85"/>
      <c r="E31" s="92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93">
        <f>IFERROR(__xludf.DUMMYFUNCTION("""COMPUTED_VALUE"""),100.0)</f>
        <v>100</v>
      </c>
      <c r="G31" s="92" t="str">
        <f>IFERROR(__xludf.DUMMYFUNCTION("""COMPUTED_VALUE"""),"")</f>
        <v/>
      </c>
      <c r="H31" s="93">
        <f>IFERROR(__xludf.DUMMYFUNCTION("""COMPUTED_VALUE"""),120.0)</f>
        <v>120</v>
      </c>
      <c r="I31" s="92" t="str">
        <f>IFERROR(__xludf.DUMMYFUNCTION("""COMPUTED_VALUE"""),"")</f>
        <v/>
      </c>
      <c r="J31" s="93">
        <f>IFERROR(__xludf.DUMMYFUNCTION("""COMPUTED_VALUE"""),30.0)</f>
        <v>30</v>
      </c>
      <c r="K31" s="85"/>
      <c r="L31" s="99">
        <v>7.0</v>
      </c>
      <c r="M31" s="100">
        <v>100.0</v>
      </c>
      <c r="N31" s="101">
        <v>0.0</v>
      </c>
      <c r="O31" s="101">
        <v>0.0</v>
      </c>
      <c r="P31" s="101">
        <v>0.0</v>
      </c>
      <c r="Q31" s="101">
        <v>0.0</v>
      </c>
      <c r="R31" s="101">
        <v>0.0</v>
      </c>
      <c r="S31" s="101">
        <v>0.0</v>
      </c>
      <c r="T31" s="101">
        <v>0.0</v>
      </c>
      <c r="U31" s="100">
        <v>120.0</v>
      </c>
      <c r="V31" s="101">
        <v>0.0</v>
      </c>
      <c r="W31" s="101">
        <v>0.0</v>
      </c>
      <c r="X31" s="100">
        <v>30.0</v>
      </c>
      <c r="Y31" s="85"/>
      <c r="Z31" s="85"/>
      <c r="AA31" s="85"/>
      <c r="AB31" s="85"/>
      <c r="AC31" s="85"/>
      <c r="AD31" s="85"/>
      <c r="AE31" s="85"/>
      <c r="AF31" s="85"/>
    </row>
    <row r="32" ht="15.75" customHeight="1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85"/>
      <c r="Z32" s="85"/>
      <c r="AA32" s="85"/>
      <c r="AB32" s="85"/>
      <c r="AC32" s="85"/>
      <c r="AD32" s="85"/>
      <c r="AE32" s="85"/>
      <c r="AF32" s="85"/>
    </row>
    <row r="33" ht="15.75" customHeight="1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8" t="s">
        <v>95</v>
      </c>
      <c r="M33" s="88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5"/>
      <c r="Z33" s="85"/>
      <c r="AA33" s="85"/>
      <c r="AB33" s="85"/>
      <c r="AC33" s="85"/>
      <c r="AD33" s="85"/>
      <c r="AE33" s="85"/>
      <c r="AF33" s="85"/>
    </row>
    <row r="34" ht="15.75" customHeight="1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94" t="s">
        <v>72</v>
      </c>
      <c r="M34" s="95" t="s">
        <v>78</v>
      </c>
      <c r="N34" s="95" t="s">
        <v>79</v>
      </c>
      <c r="O34" s="95" t="s">
        <v>80</v>
      </c>
      <c r="P34" s="95" t="s">
        <v>81</v>
      </c>
      <c r="Q34" s="95" t="s">
        <v>82</v>
      </c>
      <c r="R34" s="95" t="s">
        <v>83</v>
      </c>
      <c r="S34" s="95" t="s">
        <v>84</v>
      </c>
      <c r="T34" s="95" t="s">
        <v>85</v>
      </c>
      <c r="U34" s="95" t="s">
        <v>86</v>
      </c>
      <c r="V34" s="95" t="s">
        <v>87</v>
      </c>
      <c r="W34" s="95" t="s">
        <v>88</v>
      </c>
      <c r="X34" s="95" t="s">
        <v>89</v>
      </c>
      <c r="Y34" s="85"/>
      <c r="Z34" s="85"/>
      <c r="AA34" s="85"/>
      <c r="AB34" s="85"/>
      <c r="AC34" s="85"/>
      <c r="AD34" s="85"/>
      <c r="AE34" s="85"/>
      <c r="AF34" s="85"/>
    </row>
    <row r="35" ht="15.75" customHeight="1">
      <c r="A35" s="85"/>
      <c r="B35" s="85"/>
      <c r="C35" s="85"/>
      <c r="D35" s="85"/>
      <c r="E35" s="92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93">
        <f>IFERROR(__xludf.DUMMYFUNCTION("""COMPUTED_VALUE"""),25.0)</f>
        <v>25</v>
      </c>
      <c r="G35" s="92"/>
      <c r="H35" s="93"/>
      <c r="I35" s="92"/>
      <c r="J35" s="93"/>
      <c r="K35" s="85"/>
      <c r="L35" s="99">
        <v>1.0</v>
      </c>
      <c r="M35" s="100">
        <v>25.0</v>
      </c>
      <c r="N35" s="101">
        <v>0.0</v>
      </c>
      <c r="O35" s="101">
        <v>0.0</v>
      </c>
      <c r="P35" s="101">
        <v>0.0</v>
      </c>
      <c r="Q35" s="101">
        <v>0.0</v>
      </c>
      <c r="R35" s="101">
        <v>0.0</v>
      </c>
      <c r="S35" s="101">
        <v>0.0</v>
      </c>
      <c r="T35" s="101">
        <v>0.0</v>
      </c>
      <c r="U35" s="101">
        <v>0.0</v>
      </c>
      <c r="V35" s="101">
        <v>0.0</v>
      </c>
      <c r="W35" s="101">
        <v>0.0</v>
      </c>
      <c r="X35" s="101">
        <v>0.0</v>
      </c>
      <c r="Y35" s="85"/>
      <c r="Z35" s="85"/>
      <c r="AA35" s="85"/>
      <c r="AB35" s="85"/>
      <c r="AC35" s="85"/>
      <c r="AD35" s="85"/>
      <c r="AE35" s="85"/>
      <c r="AF35" s="85"/>
    </row>
    <row r="36" ht="15.75" customHeight="1">
      <c r="A36" s="85"/>
      <c r="B36" s="85"/>
      <c r="C36" s="85"/>
      <c r="D36" s="85"/>
      <c r="E36" s="92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93">
        <f>IFERROR(__xludf.DUMMYFUNCTION("""COMPUTED_VALUE"""),30.0)</f>
        <v>30</v>
      </c>
      <c r="G36" s="92"/>
      <c r="H36" s="93"/>
      <c r="I36" s="92"/>
      <c r="J36" s="93"/>
      <c r="K36" s="85"/>
      <c r="L36" s="99">
        <v>2.0</v>
      </c>
      <c r="M36" s="101">
        <v>0.0</v>
      </c>
      <c r="N36" s="101">
        <v>0.0</v>
      </c>
      <c r="O36" s="101">
        <v>0.0</v>
      </c>
      <c r="P36" s="101">
        <v>0.0</v>
      </c>
      <c r="Q36" s="101">
        <v>0.0</v>
      </c>
      <c r="R36" s="101">
        <v>0.0</v>
      </c>
      <c r="S36" s="101">
        <v>0.0</v>
      </c>
      <c r="T36" s="101">
        <v>0.0</v>
      </c>
      <c r="U36" s="100">
        <v>30.0</v>
      </c>
      <c r="V36" s="101">
        <v>0.0</v>
      </c>
      <c r="W36" s="101">
        <v>0.0</v>
      </c>
      <c r="X36" s="101">
        <v>0.0</v>
      </c>
      <c r="Y36" s="85"/>
      <c r="Z36" s="85"/>
      <c r="AA36" s="85"/>
      <c r="AB36" s="85"/>
      <c r="AC36" s="85"/>
      <c r="AD36" s="85"/>
      <c r="AE36" s="85"/>
      <c r="AF36" s="85"/>
    </row>
    <row r="37" ht="15.75" customHeight="1">
      <c r="A37" s="85"/>
      <c r="B37" s="85"/>
      <c r="C37" s="85"/>
      <c r="D37" s="85"/>
      <c r="E37" s="92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93">
        <f>IFERROR(__xludf.DUMMYFUNCTION("""COMPUTED_VALUE"""),1.0)</f>
        <v>1</v>
      </c>
      <c r="G37" s="92"/>
      <c r="H37" s="93"/>
      <c r="I37" s="92"/>
      <c r="J37" s="93"/>
      <c r="K37" s="85"/>
      <c r="L37" s="99">
        <v>3.0</v>
      </c>
      <c r="M37" s="101">
        <v>0.0</v>
      </c>
      <c r="N37" s="101">
        <v>0.0</v>
      </c>
      <c r="O37" s="101">
        <v>0.0</v>
      </c>
      <c r="P37" s="101">
        <v>0.0</v>
      </c>
      <c r="Q37" s="101">
        <v>0.0</v>
      </c>
      <c r="R37" s="101">
        <v>0.0</v>
      </c>
      <c r="S37" s="100">
        <v>1.0</v>
      </c>
      <c r="T37" s="101">
        <v>0.0</v>
      </c>
      <c r="U37" s="101">
        <v>0.0</v>
      </c>
      <c r="V37" s="101">
        <v>0.0</v>
      </c>
      <c r="W37" s="101">
        <v>0.0</v>
      </c>
      <c r="X37" s="101">
        <v>0.0</v>
      </c>
      <c r="Y37" s="85"/>
      <c r="Z37" s="85"/>
      <c r="AA37" s="85"/>
      <c r="AB37" s="85"/>
      <c r="AC37" s="85"/>
      <c r="AD37" s="85"/>
      <c r="AE37" s="85"/>
      <c r="AF37" s="85"/>
    </row>
    <row r="38" ht="15.75" customHeight="1">
      <c r="A38" s="85"/>
      <c r="B38" s="85"/>
      <c r="C38" s="85"/>
      <c r="D38" s="85"/>
      <c r="E38" s="92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93">
        <f>IFERROR(__xludf.DUMMYFUNCTION("""COMPUTED_VALUE"""),1.0)</f>
        <v>1</v>
      </c>
      <c r="G38" s="92"/>
      <c r="H38" s="93"/>
      <c r="I38" s="92"/>
      <c r="J38" s="93"/>
      <c r="K38" s="85"/>
      <c r="L38" s="99">
        <v>4.0</v>
      </c>
      <c r="M38" s="101">
        <v>0.0</v>
      </c>
      <c r="N38" s="101">
        <v>0.0</v>
      </c>
      <c r="O38" s="101">
        <v>0.0</v>
      </c>
      <c r="P38" s="101">
        <v>0.0</v>
      </c>
      <c r="Q38" s="101">
        <v>0.0</v>
      </c>
      <c r="R38" s="100">
        <v>1.0</v>
      </c>
      <c r="S38" s="101">
        <v>0.0</v>
      </c>
      <c r="T38" s="101">
        <v>0.0</v>
      </c>
      <c r="U38" s="101">
        <v>0.0</v>
      </c>
      <c r="V38" s="101">
        <v>0.0</v>
      </c>
      <c r="W38" s="101">
        <v>0.0</v>
      </c>
      <c r="X38" s="101">
        <v>0.0</v>
      </c>
      <c r="Y38" s="85"/>
      <c r="Z38" s="85"/>
      <c r="AA38" s="85"/>
      <c r="AB38" s="85"/>
      <c r="AC38" s="85"/>
      <c r="AD38" s="85"/>
      <c r="AE38" s="85"/>
      <c r="AF38" s="85"/>
    </row>
    <row r="39" ht="15.75" customHeight="1">
      <c r="A39" s="85"/>
      <c r="B39" s="85"/>
      <c r="C39" s="85"/>
      <c r="D39" s="85"/>
      <c r="E39" s="92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93">
        <f>IFERROR(__xludf.DUMMYFUNCTION("""COMPUTED_VALUE"""),30.0)</f>
        <v>30</v>
      </c>
      <c r="G39" s="92"/>
      <c r="H39" s="93"/>
      <c r="I39" s="92"/>
      <c r="J39" s="93"/>
      <c r="K39" s="85"/>
      <c r="L39" s="99">
        <v>5.0</v>
      </c>
      <c r="M39" s="100">
        <v>30.0</v>
      </c>
      <c r="N39" s="101">
        <v>0.0</v>
      </c>
      <c r="O39" s="101">
        <v>0.0</v>
      </c>
      <c r="P39" s="101">
        <v>0.0</v>
      </c>
      <c r="Q39" s="101">
        <v>0.0</v>
      </c>
      <c r="R39" s="101">
        <v>0.0</v>
      </c>
      <c r="S39" s="101">
        <v>0.0</v>
      </c>
      <c r="T39" s="101">
        <v>0.0</v>
      </c>
      <c r="U39" s="101">
        <v>0.0</v>
      </c>
      <c r="V39" s="101">
        <v>0.0</v>
      </c>
      <c r="W39" s="101">
        <v>0.0</v>
      </c>
      <c r="X39" s="101">
        <v>0.0</v>
      </c>
      <c r="Y39" s="85"/>
      <c r="Z39" s="85"/>
      <c r="AA39" s="85"/>
      <c r="AB39" s="85"/>
      <c r="AC39" s="85"/>
      <c r="AD39" s="85"/>
      <c r="AE39" s="85"/>
      <c r="AF39" s="85"/>
    </row>
    <row r="40" ht="15.75" customHeight="1">
      <c r="A40" s="85"/>
      <c r="B40" s="85"/>
      <c r="C40" s="85"/>
      <c r="D40" s="85"/>
      <c r="E40" s="92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93">
        <f>IFERROR(__xludf.DUMMYFUNCTION("""COMPUTED_VALUE"""),1.0)</f>
        <v>1</v>
      </c>
      <c r="G40" s="92"/>
      <c r="H40" s="93"/>
      <c r="I40" s="92"/>
      <c r="J40" s="93"/>
      <c r="K40" s="85"/>
      <c r="L40" s="99">
        <v>6.0</v>
      </c>
      <c r="M40" s="101">
        <v>0.0</v>
      </c>
      <c r="N40" s="101">
        <v>0.0</v>
      </c>
      <c r="O40" s="101">
        <v>0.0</v>
      </c>
      <c r="P40" s="101">
        <v>0.0</v>
      </c>
      <c r="Q40" s="101">
        <v>0.0</v>
      </c>
      <c r="R40" s="100">
        <v>1.0</v>
      </c>
      <c r="S40" s="101">
        <v>0.0</v>
      </c>
      <c r="T40" s="101">
        <v>0.0</v>
      </c>
      <c r="U40" s="101">
        <v>0.0</v>
      </c>
      <c r="V40" s="101">
        <v>0.0</v>
      </c>
      <c r="W40" s="101">
        <v>0.0</v>
      </c>
      <c r="X40" s="101">
        <v>0.0</v>
      </c>
      <c r="Y40" s="85"/>
      <c r="Z40" s="85"/>
      <c r="AA40" s="85"/>
      <c r="AB40" s="85"/>
      <c r="AC40" s="85"/>
      <c r="AD40" s="85"/>
      <c r="AE40" s="85"/>
      <c r="AF40" s="85"/>
    </row>
    <row r="41" ht="15.75" customHeight="1">
      <c r="A41" s="85"/>
      <c r="B41" s="85"/>
      <c r="C41" s="85"/>
      <c r="D41" s="85"/>
      <c r="E41" s="92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93">
        <f>IFERROR(__xludf.DUMMYFUNCTION("""COMPUTED_VALUE"""),100.0)</f>
        <v>100</v>
      </c>
      <c r="G41" s="92" t="str">
        <f>IFERROR(__xludf.DUMMYFUNCTION("""COMPUTED_VALUE"""),"")</f>
        <v/>
      </c>
      <c r="H41" s="93">
        <f>IFERROR(__xludf.DUMMYFUNCTION("""COMPUTED_VALUE"""),1.0)</f>
        <v>1</v>
      </c>
      <c r="I41" s="92" t="str">
        <f>IFERROR(__xludf.DUMMYFUNCTION("""COMPUTED_VALUE"""),"")</f>
        <v/>
      </c>
      <c r="J41" s="93">
        <f>IFERROR(__xludf.DUMMYFUNCTION("""COMPUTED_VALUE"""),120.0)</f>
        <v>120</v>
      </c>
      <c r="K41" s="85"/>
      <c r="L41" s="99">
        <v>7.0</v>
      </c>
      <c r="M41" s="100">
        <v>100.0</v>
      </c>
      <c r="N41" s="101">
        <v>0.0</v>
      </c>
      <c r="O41" s="101">
        <v>0.0</v>
      </c>
      <c r="P41" s="101">
        <v>0.0</v>
      </c>
      <c r="Q41" s="101">
        <v>0.0</v>
      </c>
      <c r="R41" s="101">
        <v>0.0</v>
      </c>
      <c r="S41" s="101">
        <v>0.0</v>
      </c>
      <c r="T41" s="100">
        <v>1.0</v>
      </c>
      <c r="U41" s="100">
        <v>120.0</v>
      </c>
      <c r="V41" s="101">
        <v>0.0</v>
      </c>
      <c r="W41" s="101">
        <v>0.0</v>
      </c>
      <c r="X41" s="101">
        <v>0.0</v>
      </c>
      <c r="Y41" s="85"/>
      <c r="Z41" s="85"/>
      <c r="AA41" s="85"/>
      <c r="AB41" s="85"/>
      <c r="AC41" s="85"/>
      <c r="AD41" s="85"/>
      <c r="AE41" s="85"/>
      <c r="AF41" s="85"/>
    </row>
    <row r="42" ht="15.75" customHeight="1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85"/>
      <c r="Z42" s="85"/>
      <c r="AA42" s="85"/>
      <c r="AB42" s="85"/>
      <c r="AC42" s="85"/>
      <c r="AD42" s="85"/>
      <c r="AE42" s="85"/>
      <c r="AF42" s="85"/>
    </row>
    <row r="43" ht="15.75" customHeight="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8" t="s">
        <v>96</v>
      </c>
      <c r="M43" s="88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5"/>
      <c r="Z43" s="85"/>
      <c r="AA43" s="85"/>
      <c r="AB43" s="85"/>
      <c r="AC43" s="85"/>
      <c r="AD43" s="85"/>
      <c r="AE43" s="85"/>
      <c r="AF43" s="85"/>
    </row>
    <row r="44" ht="15.7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94" t="s">
        <v>72</v>
      </c>
      <c r="M44" s="95" t="s">
        <v>78</v>
      </c>
      <c r="N44" s="95" t="s">
        <v>79</v>
      </c>
      <c r="O44" s="95" t="s">
        <v>80</v>
      </c>
      <c r="P44" s="95" t="s">
        <v>81</v>
      </c>
      <c r="Q44" s="95" t="s">
        <v>82</v>
      </c>
      <c r="R44" s="95" t="s">
        <v>83</v>
      </c>
      <c r="S44" s="95" t="s">
        <v>84</v>
      </c>
      <c r="T44" s="95" t="s">
        <v>85</v>
      </c>
      <c r="U44" s="95" t="s">
        <v>86</v>
      </c>
      <c r="V44" s="95" t="s">
        <v>87</v>
      </c>
      <c r="W44" s="95" t="s">
        <v>88</v>
      </c>
      <c r="X44" s="95" t="s">
        <v>89</v>
      </c>
      <c r="Y44" s="85"/>
      <c r="Z44" s="85"/>
      <c r="AA44" s="85"/>
      <c r="AB44" s="85"/>
      <c r="AC44" s="85"/>
      <c r="AD44" s="85"/>
      <c r="AE44" s="85"/>
      <c r="AF44" s="85"/>
    </row>
    <row r="45" ht="15.75" customHeight="1">
      <c r="A45" s="85"/>
      <c r="B45" s="85"/>
      <c r="C45" s="85"/>
      <c r="D45" s="85"/>
      <c r="E45" s="92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93">
        <f>IFERROR(__xludf.DUMMYFUNCTION("""COMPUTED_VALUE"""),20.0)</f>
        <v>20</v>
      </c>
      <c r="G45" s="92"/>
      <c r="H45" s="93"/>
      <c r="I45" s="92"/>
      <c r="J45" s="93"/>
      <c r="K45" s="85"/>
      <c r="L45" s="99">
        <v>1.0</v>
      </c>
      <c r="M45" s="100">
        <v>20.0</v>
      </c>
      <c r="N45" s="101">
        <v>0.0</v>
      </c>
      <c r="O45" s="101">
        <v>0.0</v>
      </c>
      <c r="P45" s="101">
        <v>0.0</v>
      </c>
      <c r="Q45" s="101">
        <v>0.0</v>
      </c>
      <c r="R45" s="101">
        <v>0.0</v>
      </c>
      <c r="S45" s="101">
        <v>0.0</v>
      </c>
      <c r="T45" s="101">
        <v>0.0</v>
      </c>
      <c r="U45" s="101">
        <v>0.0</v>
      </c>
      <c r="V45" s="101">
        <v>0.0</v>
      </c>
      <c r="W45" s="101">
        <v>0.0</v>
      </c>
      <c r="X45" s="101">
        <v>0.0</v>
      </c>
      <c r="Y45" s="85"/>
      <c r="Z45" s="85"/>
      <c r="AA45" s="85"/>
      <c r="AB45" s="85"/>
      <c r="AC45" s="85"/>
      <c r="AD45" s="85"/>
      <c r="AE45" s="85"/>
      <c r="AF45" s="85"/>
    </row>
    <row r="46" ht="15.75" customHeight="1">
      <c r="A46" s="85"/>
      <c r="B46" s="85"/>
      <c r="C46" s="85"/>
      <c r="D46" s="85"/>
      <c r="E46" s="92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93">
        <f>IFERROR(__xludf.DUMMYFUNCTION("""COMPUTED_VALUE"""),15.0)</f>
        <v>15</v>
      </c>
      <c r="G46" s="92"/>
      <c r="H46" s="93"/>
      <c r="I46" s="92"/>
      <c r="J46" s="93"/>
      <c r="K46" s="85"/>
      <c r="L46" s="99">
        <v>2.0</v>
      </c>
      <c r="M46" s="101">
        <v>0.0</v>
      </c>
      <c r="N46" s="101">
        <v>0.0</v>
      </c>
      <c r="O46" s="101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0">
        <v>15.0</v>
      </c>
      <c r="V46" s="101">
        <v>0.0</v>
      </c>
      <c r="W46" s="101">
        <v>0.0</v>
      </c>
      <c r="X46" s="101">
        <v>0.0</v>
      </c>
      <c r="Y46" s="85"/>
      <c r="Z46" s="85"/>
      <c r="AA46" s="85"/>
      <c r="AB46" s="85"/>
      <c r="AC46" s="85"/>
      <c r="AD46" s="85"/>
      <c r="AE46" s="85"/>
      <c r="AF46" s="85"/>
    </row>
    <row r="47" ht="15.75" customHeight="1">
      <c r="A47" s="85"/>
      <c r="B47" s="85"/>
      <c r="C47" s="85"/>
      <c r="D47" s="85"/>
      <c r="E47" s="92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93">
        <f>IFERROR(__xludf.DUMMYFUNCTION("""COMPUTED_VALUE"""),1.0)</f>
        <v>1</v>
      </c>
      <c r="G47" s="92"/>
      <c r="H47" s="93"/>
      <c r="I47" s="92"/>
      <c r="J47" s="93"/>
      <c r="K47" s="85"/>
      <c r="L47" s="99">
        <v>3.0</v>
      </c>
      <c r="M47" s="101">
        <v>0.0</v>
      </c>
      <c r="N47" s="101">
        <v>0.0</v>
      </c>
      <c r="O47" s="101">
        <v>0.0</v>
      </c>
      <c r="P47" s="101">
        <v>0.0</v>
      </c>
      <c r="Q47" s="101">
        <v>0.0</v>
      </c>
      <c r="R47" s="100">
        <v>1.0</v>
      </c>
      <c r="S47" s="101">
        <v>0.0</v>
      </c>
      <c r="T47" s="101">
        <v>0.0</v>
      </c>
      <c r="U47" s="101">
        <v>0.0</v>
      </c>
      <c r="V47" s="101">
        <v>0.0</v>
      </c>
      <c r="W47" s="101">
        <v>0.0</v>
      </c>
      <c r="X47" s="101">
        <v>0.0</v>
      </c>
      <c r="Y47" s="85"/>
      <c r="Z47" s="85"/>
      <c r="AA47" s="85"/>
      <c r="AB47" s="85"/>
      <c r="AC47" s="85"/>
      <c r="AD47" s="85"/>
      <c r="AE47" s="85"/>
      <c r="AF47" s="85"/>
    </row>
    <row r="48" ht="15.75" customHeight="1">
      <c r="A48" s="85"/>
      <c r="B48" s="85"/>
      <c r="C48" s="85"/>
      <c r="D48" s="85"/>
      <c r="E48" s="92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93">
        <f>IFERROR(__xludf.DUMMYFUNCTION("""COMPUTED_VALUE"""),1.0)</f>
        <v>1</v>
      </c>
      <c r="G48" s="92"/>
      <c r="H48" s="93"/>
      <c r="I48" s="92"/>
      <c r="J48" s="93"/>
      <c r="K48" s="85"/>
      <c r="L48" s="99">
        <v>4.0</v>
      </c>
      <c r="M48" s="101">
        <v>0.0</v>
      </c>
      <c r="N48" s="101">
        <v>0.0</v>
      </c>
      <c r="O48" s="101">
        <v>0.0</v>
      </c>
      <c r="P48" s="101">
        <v>0.0</v>
      </c>
      <c r="Q48" s="101">
        <v>0.0</v>
      </c>
      <c r="R48" s="101">
        <v>0.0</v>
      </c>
      <c r="S48" s="100">
        <v>1.0</v>
      </c>
      <c r="T48" s="101">
        <v>0.0</v>
      </c>
      <c r="U48" s="101">
        <v>0.0</v>
      </c>
      <c r="V48" s="101">
        <v>0.0</v>
      </c>
      <c r="W48" s="101">
        <v>0.0</v>
      </c>
      <c r="X48" s="101">
        <v>0.0</v>
      </c>
      <c r="Y48" s="85"/>
      <c r="Z48" s="85"/>
      <c r="AA48" s="85"/>
      <c r="AB48" s="85"/>
      <c r="AC48" s="85"/>
      <c r="AD48" s="85"/>
      <c r="AE48" s="85"/>
      <c r="AF48" s="85"/>
    </row>
    <row r="49" ht="15.75" customHeight="1">
      <c r="A49" s="85"/>
      <c r="B49" s="85"/>
      <c r="C49" s="85"/>
      <c r="D49" s="85"/>
      <c r="E49" s="92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93">
        <f>IFERROR(__xludf.DUMMYFUNCTION("""COMPUTED_VALUE"""),60.0)</f>
        <v>60</v>
      </c>
      <c r="G49" s="92"/>
      <c r="H49" s="93"/>
      <c r="I49" s="92"/>
      <c r="J49" s="93"/>
      <c r="K49" s="85"/>
      <c r="L49" s="99">
        <v>5.0</v>
      </c>
      <c r="M49" s="101">
        <v>0.0</v>
      </c>
      <c r="N49" s="101">
        <v>0.0</v>
      </c>
      <c r="O49" s="101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0">
        <v>60.0</v>
      </c>
      <c r="V49" s="101">
        <v>0.0</v>
      </c>
      <c r="W49" s="101">
        <v>0.0</v>
      </c>
      <c r="X49" s="101">
        <v>0.0</v>
      </c>
      <c r="Y49" s="85"/>
      <c r="Z49" s="85"/>
      <c r="AA49" s="85"/>
      <c r="AB49" s="85"/>
      <c r="AC49" s="85"/>
      <c r="AD49" s="85"/>
      <c r="AE49" s="85"/>
      <c r="AF49" s="85"/>
    </row>
    <row r="50" ht="15.75" customHeight="1">
      <c r="A50" s="85"/>
      <c r="B50" s="85"/>
      <c r="C50" s="85"/>
      <c r="D50" s="85"/>
      <c r="E50" s="92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93">
        <f>IFERROR(__xludf.DUMMYFUNCTION("""COMPUTED_VALUE"""),35.0)</f>
        <v>35</v>
      </c>
      <c r="G50" s="92"/>
      <c r="H50" s="93"/>
      <c r="I50" s="92"/>
      <c r="J50" s="93"/>
      <c r="K50" s="85"/>
      <c r="L50" s="99">
        <v>6.0</v>
      </c>
      <c r="M50" s="100">
        <v>35.0</v>
      </c>
      <c r="N50" s="101">
        <v>0.0</v>
      </c>
      <c r="O50" s="101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  <c r="W50" s="101">
        <v>0.0</v>
      </c>
      <c r="X50" s="101">
        <v>0.0</v>
      </c>
      <c r="Y50" s="85"/>
      <c r="Z50" s="85"/>
      <c r="AA50" s="85"/>
      <c r="AB50" s="85"/>
      <c r="AC50" s="85"/>
      <c r="AD50" s="85"/>
      <c r="AE50" s="85"/>
      <c r="AF50" s="85"/>
    </row>
    <row r="51" ht="15.75" customHeight="1">
      <c r="A51" s="85"/>
      <c r="B51" s="85"/>
      <c r="C51" s="85"/>
      <c r="D51" s="85"/>
      <c r="E51" s="92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93">
        <f>IFERROR(__xludf.DUMMYFUNCTION("""COMPUTED_VALUE"""),100.0)</f>
        <v>100</v>
      </c>
      <c r="G51" s="92" t="str">
        <f>IFERROR(__xludf.DUMMYFUNCTION("""COMPUTED_VALUE"""),"")</f>
        <v/>
      </c>
      <c r="H51" s="93">
        <f>IFERROR(__xludf.DUMMYFUNCTION("""COMPUTED_VALUE"""),1.0)</f>
        <v>1</v>
      </c>
      <c r="I51" s="92" t="str">
        <f>IFERROR(__xludf.DUMMYFUNCTION("""COMPUTED_VALUE"""),"")</f>
        <v/>
      </c>
      <c r="J51" s="93">
        <f>IFERROR(__xludf.DUMMYFUNCTION("""COMPUTED_VALUE"""),120.0)</f>
        <v>120</v>
      </c>
      <c r="K51" s="85"/>
      <c r="L51" s="99">
        <v>7.0</v>
      </c>
      <c r="M51" s="100">
        <v>100.0</v>
      </c>
      <c r="N51" s="101">
        <v>0.0</v>
      </c>
      <c r="O51" s="101">
        <v>0.0</v>
      </c>
      <c r="P51" s="101">
        <v>0.0</v>
      </c>
      <c r="Q51" s="101">
        <v>0.0</v>
      </c>
      <c r="R51" s="100">
        <v>1.0</v>
      </c>
      <c r="S51" s="101">
        <v>0.0</v>
      </c>
      <c r="T51" s="101">
        <v>0.0</v>
      </c>
      <c r="U51" s="100">
        <v>120.0</v>
      </c>
      <c r="V51" s="101">
        <v>0.0</v>
      </c>
      <c r="W51" s="101">
        <v>0.0</v>
      </c>
      <c r="X51" s="101">
        <v>0.0</v>
      </c>
      <c r="Y51" s="85"/>
      <c r="Z51" s="85"/>
      <c r="AA51" s="85"/>
      <c r="AB51" s="85"/>
      <c r="AC51" s="85"/>
      <c r="AD51" s="85"/>
      <c r="AE51" s="85"/>
      <c r="AF51" s="85"/>
    </row>
    <row r="52" ht="15.75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</row>
    <row r="53" ht="15.75" customHeight="1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</row>
    <row r="54" ht="15.75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</row>
    <row r="55" ht="15.75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</row>
    <row r="56" ht="15.75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</row>
    <row r="57" ht="15.7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</row>
    <row r="58" ht="15.7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</row>
    <row r="59" ht="15.7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</row>
    <row r="60" ht="15.7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</row>
    <row r="61" ht="15.7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</row>
    <row r="62" ht="15.7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</row>
    <row r="63" ht="15.7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</row>
    <row r="64" ht="15.7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</row>
    <row r="65" ht="15.7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</row>
    <row r="66" ht="15.7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</row>
    <row r="67" ht="15.7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</row>
    <row r="68" ht="15.7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</row>
    <row r="69" ht="15.7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</row>
    <row r="70" ht="15.7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</row>
    <row r="71" ht="15.7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</row>
    <row r="72" ht="15.7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</row>
    <row r="74" ht="15.7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</row>
    <row r="75" ht="15.7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</row>
    <row r="76" ht="15.7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</row>
    <row r="77" ht="15.7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</row>
    <row r="78" ht="15.7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</row>
    <row r="79" ht="15.7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</row>
    <row r="80" ht="15.7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</row>
    <row r="81" ht="15.7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</row>
    <row r="82" ht="15.7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</row>
    <row r="83" ht="15.7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</row>
    <row r="84" ht="15.7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</row>
    <row r="85" ht="15.7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</row>
    <row r="86" ht="15.7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</row>
    <row r="87" ht="15.7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</row>
    <row r="88" ht="15.7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</row>
    <row r="89" ht="15.7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</row>
    <row r="90" ht="15.7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</row>
    <row r="91" ht="15.7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</row>
    <row r="92" ht="15.7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</row>
    <row r="93" ht="15.7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</row>
    <row r="94" ht="15.7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</row>
    <row r="95" ht="15.7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</row>
    <row r="96" ht="15.7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</row>
    <row r="97" ht="15.7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</row>
    <row r="98" ht="15.7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</row>
    <row r="99" ht="15.7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</row>
    <row r="100" ht="15.7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</row>
    <row r="101" ht="15.7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</row>
    <row r="102" ht="15.7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</row>
    <row r="103" ht="15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</row>
    <row r="104" ht="15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</row>
    <row r="105" ht="15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</row>
    <row r="106" ht="15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</row>
    <row r="107" ht="15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</row>
    <row r="108" ht="15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</row>
    <row r="109" ht="15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</row>
    <row r="110" ht="15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</row>
    <row r="111" ht="15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</row>
    <row r="112" ht="15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</row>
    <row r="113" ht="15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</row>
    <row r="114" ht="15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</row>
    <row r="115" ht="15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</row>
    <row r="116" ht="15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</row>
    <row r="117" ht="15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</row>
    <row r="118" ht="15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</row>
    <row r="119" ht="15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</row>
    <row r="120" ht="15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</row>
    <row r="121" ht="15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</row>
    <row r="122" ht="15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</row>
    <row r="123" ht="15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</row>
    <row r="124" ht="15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</row>
    <row r="125" ht="15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</row>
    <row r="126" ht="15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</row>
    <row r="127" ht="15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</row>
    <row r="128" ht="15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</row>
    <row r="129" ht="15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</row>
    <row r="130" ht="15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</row>
    <row r="131" ht="15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</row>
    <row r="132" ht="15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</row>
    <row r="133" ht="15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</row>
    <row r="134" ht="15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</row>
    <row r="135" ht="15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</row>
    <row r="136" ht="15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</row>
    <row r="137" ht="15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</row>
    <row r="138" ht="15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</row>
    <row r="139" ht="15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</row>
    <row r="140" ht="15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</row>
    <row r="141" ht="15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</row>
    <row r="142" ht="15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</row>
    <row r="143" ht="15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</row>
    <row r="144" ht="15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</row>
    <row r="145" ht="15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</row>
    <row r="146" ht="15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</row>
    <row r="147" ht="15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</row>
    <row r="148" ht="15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</row>
    <row r="149" ht="15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</row>
    <row r="150" ht="15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</row>
    <row r="151" ht="15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</row>
    <row r="152" ht="15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</row>
    <row r="153" ht="15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</row>
    <row r="154" ht="15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</row>
    <row r="155" ht="15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</row>
    <row r="156" ht="15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</row>
    <row r="157" ht="15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</row>
    <row r="158" ht="15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</row>
    <row r="159" ht="15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</row>
    <row r="160" ht="15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</row>
    <row r="161" ht="15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</row>
    <row r="162" ht="15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</row>
    <row r="163" ht="15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</row>
    <row r="164" ht="15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</row>
    <row r="165" ht="15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</row>
    <row r="166" ht="15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</row>
    <row r="167" ht="15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</row>
    <row r="168" ht="15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</row>
    <row r="169" ht="15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</row>
    <row r="170" ht="15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</row>
    <row r="171" ht="15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</row>
    <row r="172" ht="15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</row>
    <row r="173" ht="15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</row>
    <row r="174" ht="15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</row>
    <row r="175" ht="15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</row>
    <row r="176" ht="15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</row>
    <row r="177" ht="15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</row>
    <row r="178" ht="15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</row>
    <row r="179" ht="15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</row>
    <row r="180" ht="15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</row>
    <row r="181" ht="15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</row>
    <row r="182" ht="15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</row>
    <row r="183" ht="15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</row>
    <row r="184" ht="15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</row>
    <row r="185" ht="15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</row>
    <row r="186" ht="15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</row>
    <row r="187" ht="15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</row>
    <row r="188" ht="15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</row>
    <row r="189" ht="15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</row>
    <row r="190" ht="15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</row>
    <row r="191" ht="15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</row>
    <row r="192" ht="15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</row>
    <row r="193" ht="15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</row>
    <row r="194" ht="15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</row>
    <row r="195" ht="15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</row>
    <row r="219" ht="15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</row>
    <row r="220" ht="15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</row>
    <row r="221" ht="15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</row>
    <row r="222" ht="15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</row>
    <row r="223" ht="15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</row>
    <row r="224" ht="15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</row>
    <row r="225" ht="15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</row>
    <row r="226" ht="15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</row>
    <row r="227" ht="15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</row>
    <row r="228" ht="15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</row>
    <row r="229" ht="15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</row>
    <row r="230" ht="15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</row>
    <row r="231" ht="15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</row>
    <row r="232" ht="15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</row>
    <row r="233" ht="15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</row>
    <row r="234" ht="15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</row>
    <row r="235" ht="15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</row>
    <row r="236" ht="15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</row>
    <row r="237" ht="15.7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</row>
    <row r="238" ht="15.7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</row>
    <row r="239" ht="15.7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</row>
    <row r="240" ht="15.7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</row>
    <row r="241" ht="15.7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</row>
    <row r="242" ht="15.7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</row>
    <row r="243" ht="15.7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</row>
    <row r="244" ht="15.7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</row>
    <row r="245" ht="15.7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</row>
    <row r="246" ht="15.7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</row>
    <row r="247" ht="15.7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</row>
    <row r="248" ht="15.7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</row>
    <row r="249" ht="15.7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</row>
    <row r="250" ht="15.7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</row>
    <row r="251" ht="15.7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</row>
    <row r="252" ht="15.7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</row>
    <row r="253" ht="15.7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</row>
    <row r="254" ht="15.7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</row>
    <row r="255" ht="15.7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</row>
    <row r="256" ht="15.7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</row>
    <row r="257" ht="15.7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</row>
    <row r="258" ht="15.7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</row>
    <row r="259" ht="15.7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</row>
    <row r="260" ht="15.7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</row>
    <row r="261" ht="15.7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</row>
    <row r="262" ht="15.7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</row>
    <row r="263" ht="15.7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</row>
    <row r="264" ht="15.7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</row>
    <row r="265" ht="15.7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</row>
    <row r="266" ht="15.7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</row>
    <row r="267" ht="15.7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</row>
    <row r="268" ht="15.7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</row>
    <row r="269" ht="15.7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</row>
    <row r="270" ht="15.7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</row>
    <row r="271" ht="15.7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</row>
    <row r="272" ht="15.7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</row>
    <row r="273" ht="15.7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</row>
    <row r="274" ht="15.7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</row>
    <row r="275" ht="15.7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</row>
    <row r="276" ht="15.7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</row>
    <row r="277" ht="15.7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</row>
    <row r="278" ht="15.7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</row>
    <row r="279" ht="15.7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</row>
    <row r="280" ht="15.7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</row>
    <row r="281" ht="15.7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</row>
    <row r="282" ht="15.7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</row>
    <row r="283" ht="15.7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</row>
    <row r="284" ht="15.7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</row>
    <row r="285" ht="15.7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</row>
    <row r="286" ht="15.7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</row>
    <row r="287" ht="15.7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</row>
    <row r="288" ht="15.7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</row>
    <row r="289" ht="15.7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</row>
    <row r="290" ht="15.7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</row>
    <row r="291" ht="15.7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</row>
    <row r="292" ht="15.7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</row>
    <row r="293" ht="15.7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</row>
    <row r="294" ht="15.7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</row>
    <row r="295" ht="15.7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</row>
    <row r="296" ht="15.7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</row>
    <row r="297" ht="15.7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</row>
    <row r="298" ht="15.7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</row>
    <row r="299" ht="15.7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</row>
    <row r="300" ht="15.7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</row>
    <row r="301" ht="15.7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</row>
    <row r="302" ht="15.7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</row>
    <row r="303" ht="15.7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</row>
    <row r="304" ht="15.7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</row>
    <row r="305" ht="15.7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</row>
    <row r="306" ht="15.7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</row>
    <row r="307" ht="15.7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ht="15.7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</row>
    <row r="309" ht="15.7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</row>
    <row r="310" ht="15.7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</row>
    <row r="311" ht="15.7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</row>
    <row r="312" ht="15.7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</row>
    <row r="313" ht="15.7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</row>
    <row r="314" ht="15.7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</row>
    <row r="315" ht="15.7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</row>
    <row r="316" ht="15.7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</row>
    <row r="317" ht="15.7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</row>
    <row r="318" ht="15.7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</row>
    <row r="319" ht="15.7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</row>
    <row r="320" ht="15.7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</row>
    <row r="321" ht="15.7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</row>
    <row r="322" ht="15.7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</row>
    <row r="323" ht="15.7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</row>
    <row r="324" ht="15.7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</row>
    <row r="325" ht="15.7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</row>
    <row r="326" ht="15.7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</row>
    <row r="327" ht="15.7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</row>
    <row r="328" ht="15.7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</row>
    <row r="329" ht="15.7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</row>
    <row r="330" ht="15.7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</row>
    <row r="331" ht="15.7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</row>
    <row r="332" ht="15.7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</row>
    <row r="333" ht="15.7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</row>
    <row r="334" ht="15.7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</row>
    <row r="335" ht="15.7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</row>
    <row r="336" ht="15.7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</row>
    <row r="337" ht="15.7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</row>
    <row r="338" ht="15.7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</row>
    <row r="339" ht="15.7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</row>
    <row r="340" ht="15.7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</row>
    <row r="341" ht="15.7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</row>
    <row r="342" ht="15.7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</row>
    <row r="343" ht="15.7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</row>
    <row r="344" ht="15.7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</row>
    <row r="345" ht="15.7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</row>
    <row r="346" ht="15.7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</row>
    <row r="347" ht="15.7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</row>
    <row r="348" ht="15.7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</row>
    <row r="349" ht="15.7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</row>
    <row r="350" ht="15.7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</row>
    <row r="351" ht="15.7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</row>
    <row r="352" ht="15.7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</row>
    <row r="353" ht="15.7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</row>
    <row r="354" ht="15.7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</row>
    <row r="355" ht="15.7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</row>
    <row r="356" ht="15.7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</row>
    <row r="357" ht="15.7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</row>
    <row r="358" ht="15.7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</row>
    <row r="359" ht="15.7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</row>
    <row r="360" ht="15.7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</row>
    <row r="361" ht="15.7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</row>
    <row r="362" ht="15.7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</row>
    <row r="363" ht="15.7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</row>
    <row r="364" ht="15.7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</row>
    <row r="365" ht="15.7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</row>
    <row r="366" ht="15.7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</row>
    <row r="367" ht="15.7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</row>
    <row r="368" ht="15.7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</row>
    <row r="369" ht="15.7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</row>
    <row r="370" ht="15.7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</row>
    <row r="371" ht="15.7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</row>
    <row r="372" ht="15.7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</row>
    <row r="373" ht="15.7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</row>
    <row r="374" ht="15.7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</row>
    <row r="375" ht="15.7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</row>
    <row r="376" ht="15.7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</row>
    <row r="377" ht="15.7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</row>
    <row r="378" ht="15.7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</row>
    <row r="379" ht="15.7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</row>
    <row r="380" ht="15.7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</row>
    <row r="381" ht="15.7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</row>
    <row r="382" ht="15.7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</row>
    <row r="383" ht="15.7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</row>
    <row r="384" ht="15.7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</row>
    <row r="385" ht="15.7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</row>
    <row r="386" ht="15.7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</row>
    <row r="387" ht="15.7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</row>
    <row r="388" ht="15.7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</row>
    <row r="389" ht="15.7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</row>
    <row r="390" ht="15.7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</row>
    <row r="391" ht="15.7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</row>
    <row r="392" ht="15.7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</row>
    <row r="393" ht="15.7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</row>
    <row r="394" ht="15.7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</row>
    <row r="395" ht="15.7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</row>
    <row r="396" ht="15.7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</row>
    <row r="397" ht="15.7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</row>
    <row r="398" ht="15.7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</row>
    <row r="399" ht="15.7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</row>
    <row r="400" ht="15.7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</row>
    <row r="401" ht="15.7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</row>
    <row r="402" ht="15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</row>
    <row r="403" ht="15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</row>
    <row r="404" ht="15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</row>
    <row r="405" ht="15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</row>
    <row r="406" ht="15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</row>
    <row r="407" ht="15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</row>
    <row r="408" ht="15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</row>
    <row r="409" ht="15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</row>
    <row r="410" ht="15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</row>
    <row r="411" ht="15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</row>
    <row r="412" ht="15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</row>
    <row r="413" ht="15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</row>
    <row r="414" ht="15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</row>
    <row r="415" ht="15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</row>
    <row r="416" ht="15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</row>
    <row r="417" ht="15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</row>
    <row r="418" ht="15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</row>
    <row r="419" ht="15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</row>
    <row r="420" ht="15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</row>
    <row r="421" ht="15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</row>
    <row r="422" ht="15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</row>
    <row r="423" ht="15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</row>
    <row r="424" ht="15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</row>
    <row r="425" ht="15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</row>
    <row r="426" ht="15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</row>
    <row r="427" ht="15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</row>
    <row r="428" ht="15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</row>
    <row r="429" ht="15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</row>
    <row r="430" ht="15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</row>
    <row r="431" ht="15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</row>
    <row r="432" ht="15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</row>
    <row r="433" ht="15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</row>
    <row r="434" ht="15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</row>
    <row r="435" ht="15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</row>
    <row r="436" ht="15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</row>
    <row r="437" ht="15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</row>
    <row r="438" ht="15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</row>
    <row r="439" ht="15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</row>
    <row r="440" ht="15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</row>
    <row r="441" ht="15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</row>
    <row r="442" ht="15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</row>
    <row r="443" ht="15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</row>
    <row r="444" ht="15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</row>
    <row r="445" ht="15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</row>
    <row r="446" ht="15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</row>
    <row r="447" ht="15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</row>
    <row r="448" ht="15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</row>
    <row r="449" ht="15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</row>
    <row r="450" ht="15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</row>
    <row r="451" ht="15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</row>
    <row r="452" ht="15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</row>
    <row r="453" ht="15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</row>
    <row r="454" ht="15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</row>
    <row r="455" ht="15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</row>
    <row r="456" ht="15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</row>
    <row r="457" ht="15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</row>
    <row r="458" ht="15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</row>
    <row r="459" ht="15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</row>
    <row r="460" ht="15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</row>
    <row r="461" ht="15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</row>
    <row r="462" ht="15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</row>
    <row r="463" ht="15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</row>
    <row r="464" ht="15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</row>
    <row r="465" ht="15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</row>
    <row r="466" ht="15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</row>
    <row r="467" ht="15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</row>
    <row r="468" ht="15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</row>
    <row r="469" ht="15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</row>
    <row r="470" ht="15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</row>
    <row r="471" ht="15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</row>
    <row r="472" ht="15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</row>
    <row r="473" ht="15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</row>
    <row r="474" ht="15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</row>
    <row r="475" ht="15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</row>
    <row r="476" ht="15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</row>
    <row r="477" ht="15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</row>
    <row r="478" ht="15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</row>
    <row r="479" ht="15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</row>
    <row r="480" ht="15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</row>
    <row r="481" ht="15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</row>
    <row r="482" ht="15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</row>
    <row r="483" ht="15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</row>
    <row r="484" ht="15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</row>
    <row r="485" ht="15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</row>
    <row r="486" ht="15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</row>
    <row r="487" ht="15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</row>
    <row r="488" ht="15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</row>
    <row r="489" ht="15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</row>
    <row r="490" ht="15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</row>
    <row r="491" ht="15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</row>
    <row r="492" ht="15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</row>
    <row r="493" ht="15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</row>
    <row r="494" ht="15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</row>
    <row r="495" ht="15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</row>
    <row r="496" ht="15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</row>
    <row r="497" ht="15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</row>
    <row r="498" ht="15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</row>
    <row r="499" ht="15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0" ht="15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</row>
    <row r="501" ht="15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</row>
    <row r="502" ht="15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</row>
    <row r="503" ht="15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</row>
    <row r="504" ht="15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</row>
    <row r="505" ht="15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</row>
    <row r="506" ht="15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</row>
    <row r="507" ht="15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</row>
    <row r="508" ht="15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</row>
    <row r="509" ht="15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ht="15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ht="15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</row>
    <row r="512" ht="15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</row>
    <row r="513" ht="15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</row>
    <row r="514" ht="15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</row>
    <row r="515" ht="15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</row>
    <row r="516" ht="15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</row>
    <row r="517" ht="15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</row>
    <row r="518" ht="15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</row>
    <row r="519" ht="15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</row>
    <row r="520" ht="15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</row>
    <row r="521" ht="15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</row>
    <row r="522" ht="15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</row>
    <row r="523" ht="15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</row>
    <row r="524" ht="15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</row>
    <row r="525" ht="15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</row>
    <row r="526" ht="15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</row>
    <row r="527" ht="15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</row>
    <row r="528" ht="15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</row>
    <row r="529" ht="15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</row>
    <row r="530" ht="15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</row>
    <row r="531" ht="15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</row>
    <row r="532" ht="15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</row>
    <row r="533" ht="15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</row>
    <row r="534" ht="15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</row>
    <row r="535" ht="15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</row>
    <row r="536" ht="15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</row>
    <row r="537" ht="15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</row>
    <row r="538" ht="15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</row>
    <row r="539" ht="15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</row>
    <row r="540" ht="15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</row>
    <row r="541" ht="15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</row>
    <row r="542" ht="15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</row>
    <row r="543" ht="15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</row>
    <row r="544" ht="15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</row>
    <row r="545" ht="15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</row>
    <row r="546" ht="15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</row>
    <row r="547" ht="15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</row>
    <row r="548" ht="15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</row>
    <row r="549" ht="15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</row>
    <row r="550" ht="15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</row>
    <row r="551" ht="15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</row>
    <row r="552" ht="15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</row>
    <row r="553" ht="15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</row>
    <row r="554" ht="15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</row>
    <row r="555" ht="15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</row>
    <row r="556" ht="15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</row>
    <row r="557" ht="15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</row>
    <row r="558" ht="15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</row>
    <row r="559" ht="15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</row>
    <row r="560" ht="15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</row>
    <row r="561" ht="15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</row>
    <row r="562" ht="15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</row>
    <row r="563" ht="15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</row>
    <row r="564" ht="15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</row>
    <row r="565" ht="15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</row>
    <row r="566" ht="15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</row>
    <row r="567" ht="15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</row>
    <row r="568" ht="15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</row>
    <row r="569" ht="15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</row>
    <row r="570" ht="15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</row>
    <row r="571" ht="15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</row>
    <row r="572" ht="15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</row>
    <row r="573" ht="15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</row>
    <row r="574" ht="15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</row>
    <row r="575" ht="15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</row>
    <row r="576" ht="15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</row>
    <row r="577" ht="15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</row>
    <row r="578" ht="15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</row>
    <row r="579" ht="15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</row>
    <row r="580" ht="15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</row>
    <row r="581" ht="15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</row>
    <row r="582" ht="15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</row>
    <row r="583" ht="15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</row>
    <row r="584" ht="15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</row>
    <row r="585" ht="15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</row>
    <row r="586" ht="15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</row>
    <row r="587" ht="15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</row>
    <row r="588" ht="15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</row>
    <row r="589" ht="15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</row>
    <row r="590" ht="15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</row>
    <row r="591" ht="15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</row>
    <row r="592" ht="15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</row>
    <row r="593" ht="15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</row>
    <row r="594" ht="15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</row>
    <row r="595" ht="15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</row>
    <row r="596" ht="15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</row>
    <row r="597" ht="15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</row>
    <row r="598" ht="15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</row>
    <row r="599" ht="15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</row>
    <row r="600" ht="15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</row>
    <row r="601" ht="15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</row>
    <row r="602" ht="15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</row>
    <row r="603" ht="15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</row>
    <row r="604" ht="15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</row>
    <row r="605" ht="15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</row>
    <row r="606" ht="15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</row>
    <row r="607" ht="15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</row>
    <row r="608" ht="15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</row>
    <row r="609" ht="15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</row>
    <row r="610" ht="15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</row>
    <row r="611" ht="15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</row>
    <row r="612" ht="15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</row>
    <row r="613" ht="15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</row>
    <row r="614" ht="15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</row>
    <row r="615" ht="15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</row>
    <row r="616" ht="15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</row>
    <row r="617" ht="15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</row>
    <row r="618" ht="15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</row>
    <row r="619" ht="15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</row>
    <row r="620" ht="15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</row>
    <row r="621" ht="15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</row>
    <row r="622" ht="15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</row>
    <row r="623" ht="15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</row>
    <row r="624" ht="15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</row>
    <row r="625" ht="15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</row>
    <row r="626" ht="15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</row>
    <row r="627" ht="15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</row>
    <row r="628" ht="15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</row>
    <row r="629" ht="15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</row>
    <row r="630" ht="15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</row>
    <row r="631" ht="15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</row>
    <row r="632" ht="15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</row>
    <row r="633" ht="15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</row>
    <row r="634" ht="15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</row>
    <row r="635" ht="15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</row>
    <row r="636" ht="15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</row>
    <row r="637" ht="15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</row>
    <row r="638" ht="15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</row>
    <row r="639" ht="15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</row>
    <row r="640" ht="15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</row>
    <row r="641" ht="15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</row>
    <row r="642" ht="15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</row>
    <row r="643" ht="15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</row>
    <row r="644" ht="15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</row>
    <row r="645" ht="15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</row>
    <row r="646" ht="15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</row>
    <row r="647" ht="15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</row>
    <row r="648" ht="15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</row>
    <row r="649" ht="15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</row>
    <row r="650" ht="15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</row>
    <row r="651" ht="15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</row>
    <row r="652" ht="15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</row>
    <row r="653" ht="15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</row>
    <row r="654" ht="15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</row>
    <row r="655" ht="15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</row>
    <row r="656" ht="15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</row>
    <row r="657" ht="15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</row>
    <row r="658" ht="15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</row>
    <row r="659" ht="15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</row>
    <row r="660" ht="15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</row>
    <row r="661" ht="15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</row>
    <row r="662" ht="15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</row>
    <row r="663" ht="15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</row>
    <row r="664" ht="15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</row>
    <row r="665" ht="15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</row>
    <row r="666" ht="15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</row>
    <row r="667" ht="15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</row>
    <row r="668" ht="15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</row>
    <row r="669" ht="15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</row>
    <row r="670" ht="15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</row>
    <row r="671" ht="15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</row>
    <row r="672" ht="15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</row>
    <row r="673" ht="15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</row>
    <row r="674" ht="15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</row>
    <row r="675" ht="15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</row>
    <row r="676" ht="15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</row>
    <row r="677" ht="15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</row>
    <row r="678" ht="15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</row>
    <row r="679" ht="15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</row>
    <row r="680" ht="15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</row>
    <row r="681" ht="15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</row>
    <row r="682" ht="15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</row>
    <row r="683" ht="15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</row>
    <row r="684" ht="15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</row>
    <row r="685" ht="15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</row>
    <row r="686" ht="15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</row>
    <row r="687" ht="15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</row>
    <row r="688" ht="15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</row>
    <row r="689" ht="15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</row>
    <row r="690" ht="15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</row>
    <row r="691" ht="15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</row>
    <row r="692" ht="15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</row>
    <row r="693" ht="15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</row>
    <row r="694" ht="15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</row>
    <row r="695" ht="15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</row>
    <row r="696" ht="15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</row>
    <row r="697" ht="15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</row>
    <row r="698" ht="15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</row>
    <row r="699" ht="15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</row>
    <row r="700" ht="15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</row>
    <row r="701" ht="15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</row>
    <row r="702" ht="15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</row>
    <row r="703" ht="15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</row>
    <row r="704" ht="15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</row>
    <row r="705" ht="15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</row>
    <row r="706" ht="15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</row>
    <row r="707" ht="15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</row>
    <row r="708" ht="15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</row>
    <row r="709" ht="15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</row>
    <row r="710" ht="15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</row>
    <row r="711" ht="15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ht="15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</row>
    <row r="713" ht="15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</row>
    <row r="714" ht="15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</row>
    <row r="715" ht="15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</row>
    <row r="716" ht="15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</row>
    <row r="717" ht="15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</row>
    <row r="718" ht="15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</row>
    <row r="719" ht="15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</row>
    <row r="720" ht="15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</row>
    <row r="721" ht="15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</row>
    <row r="722" ht="15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</row>
    <row r="723" ht="15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</row>
    <row r="724" ht="15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</row>
    <row r="725" ht="15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</row>
    <row r="726" ht="15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</row>
    <row r="727" ht="15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</row>
    <row r="728" ht="15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</row>
    <row r="729" ht="15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</row>
    <row r="730" ht="15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</row>
    <row r="731" ht="15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</row>
    <row r="732" ht="15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</row>
    <row r="733" ht="15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</row>
    <row r="734" ht="15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</row>
    <row r="735" ht="15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</row>
    <row r="736" ht="15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</row>
    <row r="737" ht="15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</row>
    <row r="738" ht="15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</row>
    <row r="739" ht="15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</row>
    <row r="740" ht="15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</row>
    <row r="741" ht="15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</row>
    <row r="742" ht="15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</row>
    <row r="743" ht="15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</row>
    <row r="744" ht="15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</row>
    <row r="745" ht="15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</row>
    <row r="746" ht="15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</row>
    <row r="747" ht="15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</row>
    <row r="748" ht="15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</row>
    <row r="749" ht="15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</row>
    <row r="750" ht="15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</row>
    <row r="751" ht="15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</row>
    <row r="752" ht="15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</row>
    <row r="753" ht="15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</row>
    <row r="754" ht="15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</row>
    <row r="755" ht="15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</row>
    <row r="756" ht="15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</row>
    <row r="757" ht="15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</row>
    <row r="758" ht="15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</row>
    <row r="759" ht="15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</row>
    <row r="760" ht="15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</row>
    <row r="761" ht="15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</row>
    <row r="762" ht="15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</row>
    <row r="763" ht="15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</row>
    <row r="764" ht="15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</row>
    <row r="765" ht="15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</row>
    <row r="766" ht="15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</row>
    <row r="767" ht="15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</row>
    <row r="768" ht="15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</row>
    <row r="769" ht="15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</row>
    <row r="770" ht="15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</row>
    <row r="771" ht="15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</row>
    <row r="772" ht="15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</row>
    <row r="773" ht="15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</row>
    <row r="774" ht="15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</row>
    <row r="775" ht="15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</row>
    <row r="776" ht="15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</row>
    <row r="777" ht="15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</row>
    <row r="778" ht="15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</row>
    <row r="779" ht="15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</row>
    <row r="780" ht="15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</row>
    <row r="781" ht="15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</row>
    <row r="782" ht="15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</row>
    <row r="783" ht="15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</row>
    <row r="784" ht="15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</row>
    <row r="785" ht="15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</row>
    <row r="786" ht="15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</row>
    <row r="787" ht="15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</row>
    <row r="788" ht="15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</row>
    <row r="789" ht="15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</row>
    <row r="790" ht="15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</row>
    <row r="791" ht="15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</row>
    <row r="792" ht="15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</row>
    <row r="793" ht="15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</row>
    <row r="794" ht="15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</row>
    <row r="795" ht="15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</row>
    <row r="796" ht="15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</row>
    <row r="797" ht="15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</row>
    <row r="798" ht="15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</row>
    <row r="799" ht="15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</row>
    <row r="800" ht="15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</row>
    <row r="801" ht="15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</row>
    <row r="802" ht="15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</row>
    <row r="803" ht="15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</row>
    <row r="804" ht="15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</row>
    <row r="805" ht="15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</row>
    <row r="806" ht="15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</row>
    <row r="807" ht="15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</row>
    <row r="808" ht="15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</row>
    <row r="809" ht="15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</row>
    <row r="810" ht="15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</row>
    <row r="811" ht="15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</row>
    <row r="812" ht="15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</row>
    <row r="813" ht="15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</row>
    <row r="814" ht="15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</row>
    <row r="815" ht="15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</row>
    <row r="816" ht="15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</row>
    <row r="817" ht="15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</row>
    <row r="818" ht="15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</row>
    <row r="819" ht="15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</row>
    <row r="820" ht="15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</row>
    <row r="821" ht="15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</row>
    <row r="822" ht="15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</row>
    <row r="823" ht="15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</row>
    <row r="824" ht="15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</row>
    <row r="825" ht="15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</row>
    <row r="826" ht="15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</row>
    <row r="827" ht="15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</row>
    <row r="828" ht="15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</row>
    <row r="829" ht="15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</row>
    <row r="830" ht="15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</row>
    <row r="831" ht="15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</row>
    <row r="832" ht="15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</row>
    <row r="833" ht="15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</row>
    <row r="834" ht="15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</row>
    <row r="835" ht="15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</row>
    <row r="836" ht="15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</row>
    <row r="837" ht="15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</row>
    <row r="838" ht="15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</row>
    <row r="839" ht="15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</row>
    <row r="840" ht="15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</row>
    <row r="841" ht="15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</row>
    <row r="842" ht="15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</row>
    <row r="843" ht="15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</row>
    <row r="844" ht="15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</row>
    <row r="845" ht="15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</row>
    <row r="846" ht="15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</row>
    <row r="847" ht="15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</row>
    <row r="848" ht="15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</row>
    <row r="849" ht="15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</row>
    <row r="850" ht="15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</row>
    <row r="851" ht="15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</row>
    <row r="852" ht="15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</row>
    <row r="853" ht="15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</row>
    <row r="854" ht="15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</row>
    <row r="855" ht="15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</row>
    <row r="856" ht="15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</row>
    <row r="857" ht="15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</row>
    <row r="858" ht="15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</row>
    <row r="859" ht="15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</row>
    <row r="860" ht="15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</row>
    <row r="861" ht="15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</row>
    <row r="862" ht="15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</row>
    <row r="863" ht="15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</row>
    <row r="864" ht="15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</row>
    <row r="865" ht="15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</row>
    <row r="866" ht="15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</row>
    <row r="867" ht="15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</row>
    <row r="868" ht="15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</row>
    <row r="869" ht="15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</row>
    <row r="870" ht="15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</row>
    <row r="871" ht="15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</row>
    <row r="872" ht="15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</row>
    <row r="873" ht="15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</row>
    <row r="874" ht="15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</row>
    <row r="875" ht="15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</row>
    <row r="876" ht="15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</row>
    <row r="877" ht="15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</row>
    <row r="878" ht="15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</row>
    <row r="879" ht="15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</row>
    <row r="880" ht="15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</row>
    <row r="881" ht="15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</row>
    <row r="882" ht="15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</row>
    <row r="883" ht="15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</row>
    <row r="884" ht="15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</row>
    <row r="885" ht="15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</row>
    <row r="886" ht="15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ht="15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</row>
    <row r="888" ht="15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</row>
    <row r="889" ht="15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</row>
    <row r="890" ht="15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</row>
    <row r="891" ht="15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</row>
    <row r="892" ht="15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</row>
    <row r="893" ht="15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</row>
    <row r="894" ht="15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</row>
    <row r="895" ht="15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</row>
    <row r="896" ht="15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</row>
    <row r="897" ht="15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</row>
    <row r="898" ht="15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</row>
    <row r="899" ht="15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</row>
    <row r="900" ht="15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</row>
    <row r="901" ht="15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</row>
    <row r="902" ht="15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</row>
    <row r="903" ht="15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</row>
    <row r="904" ht="15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</row>
    <row r="905" ht="15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</row>
    <row r="906" ht="15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</row>
    <row r="907" ht="15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</row>
    <row r="908" ht="15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</row>
    <row r="909" ht="15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</row>
    <row r="910" ht="15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</row>
    <row r="911" ht="15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</row>
    <row r="912" ht="15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</row>
    <row r="913" ht="15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</row>
    <row r="914" ht="15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</row>
    <row r="915" ht="15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</row>
    <row r="916" ht="15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</row>
    <row r="917" ht="15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</row>
    <row r="918" ht="15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</row>
    <row r="919" ht="15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</row>
    <row r="920" ht="15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</row>
    <row r="921" ht="15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</row>
    <row r="922" ht="15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</row>
    <row r="923" ht="15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</row>
    <row r="924" ht="15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</row>
    <row r="925" ht="15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</row>
    <row r="926" ht="15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</row>
    <row r="927" ht="15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</row>
    <row r="928" ht="15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</row>
    <row r="929" ht="15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</row>
    <row r="930" ht="15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</row>
    <row r="931" ht="15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</row>
    <row r="932" ht="15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</row>
    <row r="933" ht="15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</row>
    <row r="934" ht="15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</row>
    <row r="935" ht="15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</row>
    <row r="936" ht="15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</row>
    <row r="937" ht="15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</row>
    <row r="938" ht="15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</row>
    <row r="939" ht="15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</row>
    <row r="940" ht="15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</row>
    <row r="941" ht="15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</row>
    <row r="942" ht="15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</row>
    <row r="943" ht="15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</row>
    <row r="944" ht="15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</row>
    <row r="945" ht="15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</row>
    <row r="946" ht="15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</row>
    <row r="947" ht="15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</row>
    <row r="948" ht="15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</row>
    <row r="949" ht="15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</row>
    <row r="950" ht="15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</row>
    <row r="951" ht="15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</row>
    <row r="952" ht="15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</row>
    <row r="953" ht="15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</row>
    <row r="954" ht="15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</row>
    <row r="955" ht="15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</row>
    <row r="956" ht="15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</row>
    <row r="957" ht="15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</row>
    <row r="958" ht="15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</row>
    <row r="959" ht="15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</row>
    <row r="960" ht="15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</row>
    <row r="961" ht="15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</row>
    <row r="962" ht="15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</row>
    <row r="963" ht="15.7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</row>
    <row r="964" ht="15.7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</row>
    <row r="965" ht="15.7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</row>
    <row r="966" ht="15.7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</row>
    <row r="967" ht="15.7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</row>
    <row r="968" ht="15.7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</row>
    <row r="969" ht="15.7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</row>
    <row r="970" ht="15.7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</row>
    <row r="971" ht="15.7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</row>
    <row r="972" ht="15.7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</row>
    <row r="973" ht="15.7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</row>
    <row r="974" ht="15.7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</row>
    <row r="975" ht="15.7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</row>
    <row r="976" ht="15.7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</row>
    <row r="977" ht="15.7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</row>
    <row r="978" ht="15.7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</row>
    <row r="979" ht="15.7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</row>
    <row r="980" ht="15.7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</row>
    <row r="981" ht="15.7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</row>
    <row r="982" ht="15.7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</row>
    <row r="983" ht="15.7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</row>
    <row r="984" ht="15.7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</row>
    <row r="985" ht="15.7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</row>
    <row r="986" ht="15.7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</row>
    <row r="987" ht="15.7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</row>
    <row r="988" ht="15.7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</row>
    <row r="989" ht="15.7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</row>
    <row r="990" ht="15.7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</row>
    <row r="991" ht="15.7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</row>
    <row r="992" ht="15.7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</row>
    <row r="993" ht="15.7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</row>
    <row r="994" ht="15.7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</row>
    <row r="995" ht="15.7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</row>
    <row r="996" ht="15.7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</row>
    <row r="997" ht="15.7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</row>
    <row r="998" ht="15.7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</row>
    <row r="999" ht="15.7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</row>
    <row r="1000" ht="15.7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</row>
  </sheetData>
  <mergeCells count="1">
    <mergeCell ref="E3:J3"/>
  </mergeCells>
  <conditionalFormatting sqref="M4:X51">
    <cfRule type="cellIs" dxfId="0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5.0"/>
    <col customWidth="1" min="3" max="3" width="8.71"/>
    <col customWidth="1" min="4" max="4" width="4.29"/>
    <col customWidth="1" min="5" max="10" width="3.86"/>
    <col customWidth="1" min="11" max="11" width="4.86"/>
    <col customWidth="1" min="12" max="12" width="8.71"/>
    <col customWidth="1" min="13" max="24" width="8.29"/>
    <col hidden="1" min="28" max="29" width="14.43"/>
  </cols>
  <sheetData>
    <row r="1" ht="17.25" customHeight="1">
      <c r="A1" s="84" t="s">
        <v>97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</row>
    <row r="2" ht="15.0" customHeight="1">
      <c r="A2" s="108"/>
      <c r="B2" s="85"/>
      <c r="C2" s="85"/>
      <c r="D2" s="85"/>
      <c r="E2" s="85"/>
      <c r="F2" s="85"/>
      <c r="G2" s="85"/>
      <c r="H2" s="85"/>
      <c r="I2" s="85"/>
      <c r="J2" s="85"/>
      <c r="K2" s="85"/>
      <c r="L2" s="96" t="s">
        <v>98</v>
      </c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</row>
    <row r="3" ht="15.0" customHeight="1">
      <c r="A3" s="86" t="s">
        <v>72</v>
      </c>
      <c r="B3" s="86" t="s">
        <v>73</v>
      </c>
      <c r="C3" s="85"/>
      <c r="D3" s="85"/>
      <c r="E3" s="87" t="s">
        <v>74</v>
      </c>
      <c r="K3" s="85"/>
      <c r="L3" s="88" t="s">
        <v>75</v>
      </c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5"/>
      <c r="Z3" s="85"/>
      <c r="AA3" s="85"/>
      <c r="AB3" s="86" t="s">
        <v>76</v>
      </c>
      <c r="AC3" s="86" t="s">
        <v>77</v>
      </c>
      <c r="AD3" s="85"/>
      <c r="AE3" s="85"/>
      <c r="AF3" s="85"/>
    </row>
    <row r="4" ht="15.0" customHeight="1">
      <c r="A4" s="109">
        <v>1.0</v>
      </c>
      <c r="B4" s="110">
        <f>average(M5,M16,M26,M35,M45)</f>
        <v>12</v>
      </c>
      <c r="C4" s="85"/>
      <c r="D4" s="85"/>
      <c r="G4" s="92"/>
      <c r="H4" s="93"/>
      <c r="I4" s="92"/>
      <c r="J4" s="93"/>
      <c r="K4" s="85"/>
      <c r="L4" s="94" t="s">
        <v>72</v>
      </c>
      <c r="M4" s="95" t="s">
        <v>78</v>
      </c>
      <c r="N4" s="95" t="s">
        <v>79</v>
      </c>
      <c r="O4" s="95" t="s">
        <v>80</v>
      </c>
      <c r="P4" s="95" t="s">
        <v>81</v>
      </c>
      <c r="Q4" s="95" t="s">
        <v>82</v>
      </c>
      <c r="R4" s="95" t="s">
        <v>83</v>
      </c>
      <c r="S4" s="95" t="s">
        <v>84</v>
      </c>
      <c r="T4" s="95" t="s">
        <v>85</v>
      </c>
      <c r="U4" s="95" t="s">
        <v>86</v>
      </c>
      <c r="V4" s="95" t="s">
        <v>87</v>
      </c>
      <c r="W4" s="95" t="s">
        <v>88</v>
      </c>
      <c r="X4" s="95" t="s">
        <v>89</v>
      </c>
      <c r="Y4" s="85"/>
      <c r="Z4" s="85"/>
      <c r="AA4" s="85"/>
      <c r="AB4" s="96" t="s">
        <v>90</v>
      </c>
      <c r="AC4" s="96"/>
      <c r="AD4" s="85"/>
      <c r="AE4" s="85"/>
      <c r="AF4" s="85"/>
    </row>
    <row r="5" ht="15.0" customHeight="1">
      <c r="A5" s="111">
        <v>2.0</v>
      </c>
      <c r="B5" s="112">
        <v>0.0</v>
      </c>
      <c r="C5" s="85"/>
      <c r="D5" s="85"/>
      <c r="E5" s="92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93">
        <f>IFERROR(__xludf.DUMMYFUNCTION("""COMPUTED_VALUE"""),10.0)</f>
        <v>10</v>
      </c>
      <c r="G5" s="92"/>
      <c r="H5" s="93"/>
      <c r="I5" s="92"/>
      <c r="J5" s="93"/>
      <c r="K5" s="85"/>
      <c r="L5" s="99">
        <v>1.0</v>
      </c>
      <c r="M5" s="113">
        <v>10.0</v>
      </c>
      <c r="N5" s="101">
        <v>0.0</v>
      </c>
      <c r="O5" s="101">
        <v>0.0</v>
      </c>
      <c r="P5" s="101">
        <v>0.0</v>
      </c>
      <c r="Q5" s="101">
        <v>0.0</v>
      </c>
      <c r="R5" s="101">
        <v>0.0</v>
      </c>
      <c r="S5" s="101">
        <v>0.0</v>
      </c>
      <c r="T5" s="101">
        <v>0.0</v>
      </c>
      <c r="U5" s="101">
        <v>0.0</v>
      </c>
      <c r="V5" s="101">
        <v>0.0</v>
      </c>
      <c r="W5" s="101">
        <v>0.0</v>
      </c>
      <c r="X5" s="101">
        <v>0.0</v>
      </c>
      <c r="Y5" s="85"/>
      <c r="Z5" s="85"/>
      <c r="AA5" s="85"/>
      <c r="AB5" s="85" t="s">
        <v>79</v>
      </c>
      <c r="AC5" s="85"/>
      <c r="AD5" s="85"/>
      <c r="AE5" s="85"/>
      <c r="AF5" s="85"/>
    </row>
    <row r="6" ht="15.0" customHeight="1">
      <c r="A6" s="111">
        <v>3.0</v>
      </c>
      <c r="B6" s="112">
        <v>0.0</v>
      </c>
      <c r="C6" s="85"/>
      <c r="D6" s="85"/>
      <c r="E6" s="92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93">
        <f>IFERROR(__xludf.DUMMYFUNCTION("""COMPUTED_VALUE"""),15.0)</f>
        <v>15</v>
      </c>
      <c r="G6" s="92"/>
      <c r="H6" s="93"/>
      <c r="I6" s="92"/>
      <c r="J6" s="93"/>
      <c r="K6" s="85"/>
      <c r="L6" s="99">
        <v>2.0</v>
      </c>
      <c r="M6" s="101">
        <v>0.0</v>
      </c>
      <c r="N6" s="101">
        <v>0.0</v>
      </c>
      <c r="O6" s="101">
        <v>0.0</v>
      </c>
      <c r="P6" s="101">
        <v>0.0</v>
      </c>
      <c r="Q6" s="101">
        <v>0.0</v>
      </c>
      <c r="R6" s="101">
        <v>0.0</v>
      </c>
      <c r="S6" s="101">
        <v>0.0</v>
      </c>
      <c r="T6" s="101">
        <v>0.0</v>
      </c>
      <c r="U6" s="100">
        <v>15.0</v>
      </c>
      <c r="V6" s="101">
        <v>0.0</v>
      </c>
      <c r="W6" s="101">
        <v>0.0</v>
      </c>
      <c r="X6" s="101">
        <v>0.0</v>
      </c>
      <c r="Y6" s="85"/>
      <c r="Z6" s="85"/>
      <c r="AA6" s="85"/>
      <c r="AB6" s="85" t="s">
        <v>80</v>
      </c>
      <c r="AC6" s="96"/>
      <c r="AD6" s="85"/>
      <c r="AE6" s="85"/>
      <c r="AF6" s="85"/>
    </row>
    <row r="7" ht="15.0" customHeight="1">
      <c r="A7" s="111">
        <v>4.0</v>
      </c>
      <c r="B7" s="114">
        <f>mround(average(M8,M18,M28), 1)</f>
        <v>17</v>
      </c>
      <c r="C7" s="85"/>
      <c r="D7" s="85"/>
      <c r="E7" s="92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93">
        <f>IFERROR(__xludf.DUMMYFUNCTION("""COMPUTED_VALUE"""),1.0)</f>
        <v>1</v>
      </c>
      <c r="G7" s="92"/>
      <c r="H7" s="93"/>
      <c r="I7" s="92"/>
      <c r="J7" s="93"/>
      <c r="K7" s="85"/>
      <c r="L7" s="99">
        <v>3.0</v>
      </c>
      <c r="M7" s="101">
        <v>0.0</v>
      </c>
      <c r="N7" s="101">
        <v>0.0</v>
      </c>
      <c r="O7" s="101">
        <v>0.0</v>
      </c>
      <c r="P7" s="101">
        <v>0.0</v>
      </c>
      <c r="Q7" s="101">
        <v>0.0</v>
      </c>
      <c r="R7" s="100">
        <v>1.0</v>
      </c>
      <c r="S7" s="101">
        <v>0.0</v>
      </c>
      <c r="T7" s="101">
        <v>0.0</v>
      </c>
      <c r="U7" s="101">
        <v>0.0</v>
      </c>
      <c r="V7" s="101">
        <v>0.0</v>
      </c>
      <c r="W7" s="101">
        <v>0.0</v>
      </c>
      <c r="X7" s="101">
        <v>0.0</v>
      </c>
      <c r="Y7" s="85"/>
      <c r="Z7" s="85"/>
      <c r="AA7" s="85"/>
      <c r="AB7" s="85" t="s">
        <v>81</v>
      </c>
      <c r="AC7" s="96"/>
      <c r="AD7" s="85"/>
      <c r="AE7" s="85"/>
      <c r="AF7" s="85"/>
    </row>
    <row r="8" ht="15.0" customHeight="1">
      <c r="A8" s="111">
        <v>5.0</v>
      </c>
      <c r="B8" s="112">
        <v>0.0</v>
      </c>
      <c r="C8" s="85"/>
      <c r="D8" s="85"/>
      <c r="E8" s="92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93">
        <f>IFERROR(__xludf.DUMMYFUNCTION("""COMPUTED_VALUE"""),15.0)</f>
        <v>15</v>
      </c>
      <c r="G8" s="92"/>
      <c r="H8" s="93"/>
      <c r="I8" s="92"/>
      <c r="J8" s="93"/>
      <c r="K8" s="85"/>
      <c r="L8" s="99">
        <v>4.0</v>
      </c>
      <c r="M8" s="113">
        <v>15.0</v>
      </c>
      <c r="N8" s="101">
        <v>0.0</v>
      </c>
      <c r="O8" s="101">
        <v>0.0</v>
      </c>
      <c r="P8" s="101">
        <v>0.0</v>
      </c>
      <c r="Q8" s="101">
        <v>0.0</v>
      </c>
      <c r="R8" s="101">
        <v>0.0</v>
      </c>
      <c r="S8" s="101">
        <v>0.0</v>
      </c>
      <c r="T8" s="101">
        <v>0.0</v>
      </c>
      <c r="U8" s="101">
        <v>0.0</v>
      </c>
      <c r="V8" s="101">
        <v>0.0</v>
      </c>
      <c r="W8" s="101">
        <v>0.0</v>
      </c>
      <c r="X8" s="101">
        <v>0.0</v>
      </c>
      <c r="Y8" s="85"/>
      <c r="Z8" s="85"/>
      <c r="AA8" s="85"/>
      <c r="AB8" s="85" t="s">
        <v>82</v>
      </c>
      <c r="AC8" s="96"/>
      <c r="AD8" s="85"/>
      <c r="AE8" s="85"/>
      <c r="AF8" s="85"/>
    </row>
    <row r="9" ht="15.0" customHeight="1">
      <c r="A9" s="111">
        <v>6.0</v>
      </c>
      <c r="B9" s="114">
        <f>mround(AVERAGE(M10, M20, M30, M50),1)</f>
        <v>23</v>
      </c>
      <c r="C9" s="85"/>
      <c r="D9" s="85"/>
      <c r="E9" s="92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93">
        <f>IFERROR(__xludf.DUMMYFUNCTION("""COMPUTED_VALUE"""),1.0)</f>
        <v>1</v>
      </c>
      <c r="G9" s="92"/>
      <c r="H9" s="93"/>
      <c r="I9" s="92"/>
      <c r="J9" s="93"/>
      <c r="K9" s="85"/>
      <c r="L9" s="99">
        <v>5.0</v>
      </c>
      <c r="M9" s="101">
        <v>0.0</v>
      </c>
      <c r="N9" s="101">
        <v>0.0</v>
      </c>
      <c r="O9" s="101">
        <v>0.0</v>
      </c>
      <c r="P9" s="101">
        <v>0.0</v>
      </c>
      <c r="Q9" s="101">
        <v>0.0</v>
      </c>
      <c r="R9" s="101">
        <v>0.0</v>
      </c>
      <c r="S9" s="100">
        <v>1.0</v>
      </c>
      <c r="T9" s="101">
        <v>0.0</v>
      </c>
      <c r="U9" s="101">
        <v>0.0</v>
      </c>
      <c r="V9" s="101">
        <v>0.0</v>
      </c>
      <c r="W9" s="101">
        <v>0.0</v>
      </c>
      <c r="X9" s="101">
        <v>0.0</v>
      </c>
      <c r="Y9" s="85"/>
      <c r="Z9" s="85"/>
      <c r="AA9" s="85"/>
      <c r="AB9" s="85" t="s">
        <v>83</v>
      </c>
      <c r="AC9" s="96"/>
      <c r="AD9" s="85"/>
      <c r="AE9" s="85"/>
      <c r="AF9" s="85"/>
    </row>
    <row r="10" ht="15.0" customHeight="1">
      <c r="A10" s="115">
        <v>7.0</v>
      </c>
      <c r="B10" s="116">
        <v>100.0</v>
      </c>
      <c r="C10" s="85"/>
      <c r="D10" s="85"/>
      <c r="E10" s="92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93">
        <f>IFERROR(__xludf.DUMMYFUNCTION("""COMPUTED_VALUE"""),20.0)</f>
        <v>20</v>
      </c>
      <c r="G10" s="92"/>
      <c r="H10" s="93"/>
      <c r="I10" s="92"/>
      <c r="J10" s="93"/>
      <c r="K10" s="85"/>
      <c r="L10" s="99">
        <v>6.0</v>
      </c>
      <c r="M10" s="113">
        <v>20.0</v>
      </c>
      <c r="N10" s="101">
        <v>0.0</v>
      </c>
      <c r="O10" s="101">
        <v>0.0</v>
      </c>
      <c r="P10" s="101">
        <v>0.0</v>
      </c>
      <c r="Q10" s="101">
        <v>0.0</v>
      </c>
      <c r="R10" s="101">
        <v>0.0</v>
      </c>
      <c r="S10" s="101">
        <v>0.0</v>
      </c>
      <c r="T10" s="101">
        <v>0.0</v>
      </c>
      <c r="U10" s="101">
        <v>0.0</v>
      </c>
      <c r="V10" s="101">
        <v>0.0</v>
      </c>
      <c r="W10" s="101">
        <v>0.0</v>
      </c>
      <c r="X10" s="101">
        <v>0.0</v>
      </c>
      <c r="Y10" s="85"/>
      <c r="Z10" s="85"/>
      <c r="AA10" s="85"/>
      <c r="AB10" s="85" t="s">
        <v>84</v>
      </c>
      <c r="AC10" s="96"/>
      <c r="AD10" s="85"/>
      <c r="AE10" s="85"/>
      <c r="AF10" s="85"/>
    </row>
    <row r="11">
      <c r="A11" s="85"/>
      <c r="B11" s="85"/>
      <c r="C11" s="85"/>
      <c r="D11" s="85"/>
      <c r="E11" s="92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93">
        <f>IFERROR(__xludf.DUMMYFUNCTION("""COMPUTED_VALUE"""),100.0)</f>
        <v>100</v>
      </c>
      <c r="G11" s="92" t="str">
        <f>IFERROR(__xludf.DUMMYFUNCTION("""COMPUTED_VALUE"""),"")</f>
        <v/>
      </c>
      <c r="H11" s="93">
        <f>IFERROR(__xludf.DUMMYFUNCTION("""COMPUTED_VALUE"""),120.0)</f>
        <v>120</v>
      </c>
      <c r="I11" s="92" t="str">
        <f>IFERROR(__xludf.DUMMYFUNCTION("""COMPUTED_VALUE"""),"")</f>
        <v/>
      </c>
      <c r="J11" s="93">
        <f>IFERROR(__xludf.DUMMYFUNCTION("""COMPUTED_VALUE"""),60.0)</f>
        <v>60</v>
      </c>
      <c r="K11" s="85"/>
      <c r="L11" s="99">
        <v>7.0</v>
      </c>
      <c r="M11" s="100">
        <v>100.0</v>
      </c>
      <c r="N11" s="101">
        <v>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0">
        <v>120.0</v>
      </c>
      <c r="V11" s="100">
        <v>60.0</v>
      </c>
      <c r="W11" s="101">
        <v>0.0</v>
      </c>
      <c r="X11" s="101">
        <v>0.0</v>
      </c>
      <c r="Y11" s="85"/>
      <c r="Z11" s="85"/>
      <c r="AA11" s="85"/>
      <c r="AB11" s="85" t="s">
        <v>85</v>
      </c>
      <c r="AC11" s="96"/>
      <c r="AD11" s="85"/>
      <c r="AE11" s="85"/>
      <c r="AF11" s="85"/>
    </row>
    <row r="12" ht="15.0" customHeight="1">
      <c r="A12" s="104" t="s">
        <v>91</v>
      </c>
      <c r="B12" s="105">
        <f>SUM(B4:B10)</f>
        <v>152</v>
      </c>
      <c r="C12" s="85"/>
      <c r="D12" s="85"/>
      <c r="E12" s="92"/>
      <c r="F12" s="93"/>
      <c r="G12" s="92"/>
      <c r="H12" s="93"/>
      <c r="I12" s="92"/>
      <c r="J12" s="93"/>
      <c r="K12" s="85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85"/>
      <c r="Z12" s="85"/>
      <c r="AA12" s="85"/>
      <c r="AB12" s="85" t="s">
        <v>86</v>
      </c>
      <c r="AC12" s="96"/>
      <c r="AD12" s="85"/>
      <c r="AE12" s="85"/>
      <c r="AF12" s="85"/>
    </row>
    <row r="13" ht="15.0" customHeight="1">
      <c r="A13" s="104" t="s">
        <v>92</v>
      </c>
      <c r="B13" s="107">
        <f>B12/7</f>
        <v>21.71428571</v>
      </c>
      <c r="C13" s="85"/>
      <c r="D13" s="85"/>
      <c r="E13" s="92"/>
      <c r="F13" s="93"/>
      <c r="G13" s="92"/>
      <c r="H13" s="93"/>
      <c r="I13" s="92"/>
      <c r="J13" s="93"/>
      <c r="K13" s="85"/>
      <c r="L13" s="88" t="s">
        <v>93</v>
      </c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5"/>
      <c r="Z13" s="85"/>
      <c r="AA13" s="85"/>
      <c r="AB13" s="85" t="s">
        <v>87</v>
      </c>
      <c r="AC13" s="96"/>
      <c r="AD13" s="85"/>
      <c r="AE13" s="85"/>
      <c r="AF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94" t="s">
        <v>72</v>
      </c>
      <c r="M14" s="95" t="s">
        <v>78</v>
      </c>
      <c r="N14" s="95" t="s">
        <v>79</v>
      </c>
      <c r="O14" s="95" t="s">
        <v>80</v>
      </c>
      <c r="P14" s="95" t="s">
        <v>81</v>
      </c>
      <c r="Q14" s="95" t="s">
        <v>82</v>
      </c>
      <c r="R14" s="95" t="s">
        <v>83</v>
      </c>
      <c r="S14" s="95" t="s">
        <v>84</v>
      </c>
      <c r="T14" s="95" t="s">
        <v>85</v>
      </c>
      <c r="U14" s="95" t="s">
        <v>86</v>
      </c>
      <c r="V14" s="95" t="s">
        <v>87</v>
      </c>
      <c r="W14" s="95" t="s">
        <v>88</v>
      </c>
      <c r="X14" s="95" t="s">
        <v>89</v>
      </c>
      <c r="Y14" s="85"/>
      <c r="Z14" s="85"/>
      <c r="AA14" s="85"/>
      <c r="AB14" s="85" t="s">
        <v>88</v>
      </c>
      <c r="AC14" s="96"/>
      <c r="AD14" s="85"/>
      <c r="AE14" s="85"/>
      <c r="AF14" s="85"/>
    </row>
    <row r="15" ht="15.0" customHeight="1">
      <c r="A15" s="104" t="s">
        <v>99</v>
      </c>
      <c r="B15" s="117">
        <f>B12/daily_rewards_old!B12</f>
        <v>0.8351648352</v>
      </c>
      <c r="C15" s="85"/>
      <c r="D15" s="85"/>
      <c r="E15" s="92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93">
        <f>IFERROR(__xludf.DUMMYFUNCTION("""COMPUTED_VALUE"""),20.0)</f>
        <v>20</v>
      </c>
      <c r="G15" s="92"/>
      <c r="H15" s="93"/>
      <c r="I15" s="92"/>
      <c r="J15" s="93"/>
      <c r="K15" s="85"/>
      <c r="L15" s="99">
        <v>1.0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0">
        <v>20.0</v>
      </c>
      <c r="V15" s="101">
        <v>0.0</v>
      </c>
      <c r="W15" s="101">
        <v>0.0</v>
      </c>
      <c r="X15" s="101">
        <v>0.0</v>
      </c>
      <c r="Y15" s="85"/>
      <c r="Z15" s="85"/>
      <c r="AA15" s="85"/>
      <c r="AB15" s="85" t="s">
        <v>89</v>
      </c>
      <c r="AC15" s="96"/>
      <c r="AD15" s="85"/>
      <c r="AE15" s="85"/>
      <c r="AF15" s="85"/>
    </row>
    <row r="16">
      <c r="A16" s="85"/>
      <c r="B16" s="85"/>
      <c r="C16" s="85"/>
      <c r="D16" s="85"/>
      <c r="E16" s="92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93">
        <f>IFERROR(__xludf.DUMMYFUNCTION("""COMPUTED_VALUE"""),15.0)</f>
        <v>15</v>
      </c>
      <c r="G16" s="92"/>
      <c r="H16" s="93"/>
      <c r="I16" s="92"/>
      <c r="J16" s="93"/>
      <c r="K16" s="85"/>
      <c r="L16" s="99">
        <v>2.0</v>
      </c>
      <c r="M16" s="113">
        <v>15.0</v>
      </c>
      <c r="N16" s="101">
        <v>0.0</v>
      </c>
      <c r="O16" s="101">
        <v>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  <c r="W16" s="101">
        <v>0.0</v>
      </c>
      <c r="X16" s="101">
        <v>0.0</v>
      </c>
      <c r="Y16" s="85"/>
      <c r="Z16" s="85"/>
      <c r="AA16" s="85"/>
      <c r="AB16" s="85"/>
      <c r="AC16" s="85"/>
      <c r="AD16" s="85"/>
      <c r="AE16" s="85"/>
      <c r="AF16" s="85"/>
    </row>
    <row r="17">
      <c r="A17" s="85"/>
      <c r="B17" s="85"/>
      <c r="C17" s="85"/>
      <c r="D17" s="85"/>
      <c r="E17" s="92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93">
        <f>IFERROR(__xludf.DUMMYFUNCTION("""COMPUTED_VALUE"""),1.0)</f>
        <v>1</v>
      </c>
      <c r="G17" s="92"/>
      <c r="H17" s="93"/>
      <c r="I17" s="92"/>
      <c r="J17" s="93"/>
      <c r="K17" s="85"/>
      <c r="L17" s="99">
        <v>3.0</v>
      </c>
      <c r="M17" s="101">
        <v>0.0</v>
      </c>
      <c r="N17" s="101">
        <v>0.0</v>
      </c>
      <c r="O17" s="101">
        <v>0.0</v>
      </c>
      <c r="P17" s="101">
        <v>0.0</v>
      </c>
      <c r="Q17" s="101">
        <v>0.0</v>
      </c>
      <c r="R17" s="100">
        <v>1.0</v>
      </c>
      <c r="S17" s="101">
        <v>0.0</v>
      </c>
      <c r="T17" s="101">
        <v>0.0</v>
      </c>
      <c r="U17" s="101">
        <v>0.0</v>
      </c>
      <c r="V17" s="101">
        <v>0.0</v>
      </c>
      <c r="W17" s="101">
        <v>0.0</v>
      </c>
      <c r="X17" s="101">
        <v>0.0</v>
      </c>
      <c r="Y17" s="85"/>
      <c r="Z17" s="85"/>
      <c r="AA17" s="85"/>
      <c r="AB17" s="85"/>
      <c r="AC17" s="85"/>
      <c r="AD17" s="85"/>
      <c r="AE17" s="85"/>
      <c r="AF17" s="85"/>
    </row>
    <row r="18">
      <c r="A18" s="85"/>
      <c r="B18" s="85"/>
      <c r="C18" s="85"/>
      <c r="D18" s="85"/>
      <c r="E18" s="92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93">
        <f>IFERROR(__xludf.DUMMYFUNCTION("""COMPUTED_VALUE"""),20.0)</f>
        <v>20</v>
      </c>
      <c r="G18" s="92"/>
      <c r="H18" s="93"/>
      <c r="I18" s="92"/>
      <c r="J18" s="93"/>
      <c r="K18" s="85"/>
      <c r="L18" s="99">
        <v>4.0</v>
      </c>
      <c r="M18" s="113">
        <v>20.0</v>
      </c>
      <c r="N18" s="101">
        <v>0.0</v>
      </c>
      <c r="O18" s="101">
        <v>0.0</v>
      </c>
      <c r="P18" s="101">
        <v>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  <c r="W18" s="101">
        <v>0.0</v>
      </c>
      <c r="X18" s="101">
        <v>0.0</v>
      </c>
      <c r="Y18" s="85"/>
      <c r="Z18" s="85"/>
      <c r="AA18" s="85"/>
      <c r="AB18" s="85"/>
      <c r="AC18" s="85"/>
      <c r="AD18" s="85"/>
      <c r="AE18" s="85"/>
      <c r="AF18" s="85"/>
    </row>
    <row r="19">
      <c r="A19" s="85"/>
      <c r="B19" s="85"/>
      <c r="C19" s="85"/>
      <c r="D19" s="85"/>
      <c r="E19" s="92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93">
        <f>IFERROR(__xludf.DUMMYFUNCTION("""COMPUTED_VALUE"""),1.0)</f>
        <v>1</v>
      </c>
      <c r="G19" s="92"/>
      <c r="H19" s="93"/>
      <c r="I19" s="92"/>
      <c r="J19" s="93"/>
      <c r="K19" s="85"/>
      <c r="L19" s="99">
        <v>5.0</v>
      </c>
      <c r="M19" s="101">
        <v>0.0</v>
      </c>
      <c r="N19" s="101">
        <v>0.0</v>
      </c>
      <c r="O19" s="101">
        <v>0.0</v>
      </c>
      <c r="P19" s="101">
        <v>0.0</v>
      </c>
      <c r="Q19" s="101">
        <v>0.0</v>
      </c>
      <c r="R19" s="101">
        <v>0.0</v>
      </c>
      <c r="S19" s="100">
        <v>1.0</v>
      </c>
      <c r="T19" s="101">
        <v>0.0</v>
      </c>
      <c r="U19" s="101">
        <v>0.0</v>
      </c>
      <c r="V19" s="101">
        <v>0.0</v>
      </c>
      <c r="W19" s="101">
        <v>0.0</v>
      </c>
      <c r="X19" s="101">
        <v>0.0</v>
      </c>
      <c r="Y19" s="85"/>
      <c r="Z19" s="85"/>
      <c r="AA19" s="85"/>
      <c r="AB19" s="85"/>
      <c r="AC19" s="85"/>
      <c r="AD19" s="85"/>
      <c r="AE19" s="85"/>
      <c r="AF19" s="85"/>
    </row>
    <row r="20">
      <c r="A20" s="85"/>
      <c r="B20" s="85"/>
      <c r="C20" s="85"/>
      <c r="D20" s="85"/>
      <c r="E20" s="92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93">
        <f>IFERROR(__xludf.DUMMYFUNCTION("""COMPUTED_VALUE"""),25.0)</f>
        <v>25</v>
      </c>
      <c r="G20" s="92"/>
      <c r="H20" s="93"/>
      <c r="I20" s="92"/>
      <c r="J20" s="93"/>
      <c r="K20" s="85"/>
      <c r="L20" s="99">
        <v>6.0</v>
      </c>
      <c r="M20" s="113">
        <v>25.0</v>
      </c>
      <c r="N20" s="101">
        <v>0.0</v>
      </c>
      <c r="O20" s="101">
        <v>0.0</v>
      </c>
      <c r="P20" s="101">
        <v>0.0</v>
      </c>
      <c r="Q20" s="101">
        <v>0.0</v>
      </c>
      <c r="R20" s="101">
        <v>0.0</v>
      </c>
      <c r="S20" s="101">
        <v>0.0</v>
      </c>
      <c r="T20" s="101">
        <v>0.0</v>
      </c>
      <c r="U20" s="101">
        <v>0.0</v>
      </c>
      <c r="V20" s="101">
        <v>0.0</v>
      </c>
      <c r="W20" s="101">
        <v>0.0</v>
      </c>
      <c r="X20" s="101">
        <v>0.0</v>
      </c>
      <c r="Y20" s="85"/>
      <c r="Z20" s="85"/>
      <c r="AA20" s="85"/>
      <c r="AB20" s="85"/>
      <c r="AC20" s="85"/>
      <c r="AD20" s="85"/>
      <c r="AE20" s="85"/>
      <c r="AF20" s="85"/>
    </row>
    <row r="21" ht="15.75" customHeight="1">
      <c r="A21" s="85"/>
      <c r="B21" s="85"/>
      <c r="C21" s="85"/>
      <c r="D21" s="85"/>
      <c r="E21" s="92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93">
        <f>IFERROR(__xludf.DUMMYFUNCTION("""COMPUTED_VALUE"""),100.0)</f>
        <v>100</v>
      </c>
      <c r="G21" s="92" t="str">
        <f>IFERROR(__xludf.DUMMYFUNCTION("""COMPUTED_VALUE"""),"")</f>
        <v/>
      </c>
      <c r="H21" s="93">
        <f>IFERROR(__xludf.DUMMYFUNCTION("""COMPUTED_VALUE"""),120.0)</f>
        <v>120</v>
      </c>
      <c r="I21" s="92" t="str">
        <f>IFERROR(__xludf.DUMMYFUNCTION("""COMPUTED_VALUE"""),"")</f>
        <v/>
      </c>
      <c r="J21" s="93">
        <f>IFERROR(__xludf.DUMMYFUNCTION("""COMPUTED_VALUE"""),60.0)</f>
        <v>60</v>
      </c>
      <c r="K21" s="85"/>
      <c r="L21" s="99">
        <v>7.0</v>
      </c>
      <c r="M21" s="100">
        <v>100.0</v>
      </c>
      <c r="N21" s="101">
        <v>0.0</v>
      </c>
      <c r="O21" s="101">
        <v>0.0</v>
      </c>
      <c r="P21" s="101">
        <v>0.0</v>
      </c>
      <c r="Q21" s="101">
        <v>0.0</v>
      </c>
      <c r="R21" s="101">
        <v>0.0</v>
      </c>
      <c r="S21" s="101">
        <v>0.0</v>
      </c>
      <c r="T21" s="101">
        <v>0.0</v>
      </c>
      <c r="U21" s="100">
        <v>120.0</v>
      </c>
      <c r="V21" s="101">
        <v>0.0</v>
      </c>
      <c r="W21" s="100">
        <v>60.0</v>
      </c>
      <c r="X21" s="101">
        <v>0.0</v>
      </c>
      <c r="Y21" s="85"/>
      <c r="Z21" s="85"/>
      <c r="AA21" s="85"/>
      <c r="AB21" s="85"/>
      <c r="AC21" s="85"/>
      <c r="AD21" s="85"/>
      <c r="AE21" s="85"/>
      <c r="AF21" s="85"/>
    </row>
    <row r="22" ht="15.75" customHeight="1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85"/>
      <c r="Z22" s="85"/>
      <c r="AA22" s="85"/>
      <c r="AB22" s="85"/>
      <c r="AC22" s="85"/>
      <c r="AD22" s="85"/>
      <c r="AE22" s="85"/>
      <c r="AF22" s="85"/>
    </row>
    <row r="23" ht="15.75" customHeight="1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8" t="s">
        <v>94</v>
      </c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5"/>
      <c r="Z23" s="85"/>
      <c r="AA23" s="85"/>
      <c r="AB23" s="85"/>
      <c r="AC23" s="85"/>
      <c r="AD23" s="85"/>
      <c r="AE23" s="85"/>
      <c r="AF23" s="85"/>
    </row>
    <row r="24" ht="15.75" customHeight="1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94" t="s">
        <v>72</v>
      </c>
      <c r="M24" s="95" t="s">
        <v>78</v>
      </c>
      <c r="N24" s="95" t="s">
        <v>79</v>
      </c>
      <c r="O24" s="95" t="s">
        <v>80</v>
      </c>
      <c r="P24" s="95" t="s">
        <v>81</v>
      </c>
      <c r="Q24" s="95" t="s">
        <v>82</v>
      </c>
      <c r="R24" s="95" t="s">
        <v>83</v>
      </c>
      <c r="S24" s="95" t="s">
        <v>84</v>
      </c>
      <c r="T24" s="95" t="s">
        <v>85</v>
      </c>
      <c r="U24" s="95" t="s">
        <v>86</v>
      </c>
      <c r="V24" s="95" t="s">
        <v>87</v>
      </c>
      <c r="W24" s="95" t="s">
        <v>88</v>
      </c>
      <c r="X24" s="95" t="s">
        <v>89</v>
      </c>
      <c r="Y24" s="85"/>
      <c r="Z24" s="85"/>
      <c r="AA24" s="85"/>
      <c r="AB24" s="85"/>
      <c r="AC24" s="85"/>
      <c r="AD24" s="85"/>
      <c r="AE24" s="85"/>
      <c r="AF24" s="85"/>
    </row>
    <row r="25" ht="15.75" customHeight="1">
      <c r="A25" s="85"/>
      <c r="B25" s="85"/>
      <c r="C25" s="85"/>
      <c r="D25" s="85"/>
      <c r="E25" s="92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93">
        <f>IFERROR(__xludf.DUMMYFUNCTION("""COMPUTED_VALUE"""),15.0)</f>
        <v>15</v>
      </c>
      <c r="G25" s="92"/>
      <c r="H25" s="93"/>
      <c r="I25" s="92"/>
      <c r="J25" s="93"/>
      <c r="K25" s="85"/>
      <c r="L25" s="99">
        <v>1.0</v>
      </c>
      <c r="M25" s="101">
        <v>0.0</v>
      </c>
      <c r="N25" s="101">
        <v>0.0</v>
      </c>
      <c r="O25" s="101">
        <v>0.0</v>
      </c>
      <c r="P25" s="101">
        <v>0.0</v>
      </c>
      <c r="Q25" s="101">
        <v>0.0</v>
      </c>
      <c r="R25" s="101">
        <v>0.0</v>
      </c>
      <c r="S25" s="101">
        <v>0.0</v>
      </c>
      <c r="T25" s="101">
        <v>0.0</v>
      </c>
      <c r="U25" s="100">
        <v>15.0</v>
      </c>
      <c r="V25" s="101">
        <v>0.0</v>
      </c>
      <c r="W25" s="101">
        <v>0.0</v>
      </c>
      <c r="X25" s="101">
        <v>0.0</v>
      </c>
      <c r="Y25" s="85"/>
      <c r="Z25" s="85"/>
      <c r="AA25" s="85"/>
      <c r="AB25" s="85"/>
      <c r="AC25" s="85"/>
      <c r="AD25" s="85"/>
      <c r="AE25" s="85"/>
      <c r="AF25" s="85"/>
    </row>
    <row r="26" ht="15.75" customHeight="1">
      <c r="A26" s="85"/>
      <c r="B26" s="85"/>
      <c r="C26" s="85"/>
      <c r="D26" s="85"/>
      <c r="E26" s="92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93">
        <f>IFERROR(__xludf.DUMMYFUNCTION("""COMPUTED_VALUE"""),10.0)</f>
        <v>10</v>
      </c>
      <c r="G26" s="92"/>
      <c r="H26" s="93"/>
      <c r="I26" s="92"/>
      <c r="J26" s="93"/>
      <c r="K26" s="85"/>
      <c r="L26" s="99">
        <v>2.0</v>
      </c>
      <c r="M26" s="113">
        <v>10.0</v>
      </c>
      <c r="N26" s="101">
        <v>0.0</v>
      </c>
      <c r="O26" s="101">
        <v>0.0</v>
      </c>
      <c r="P26" s="101">
        <v>0.0</v>
      </c>
      <c r="Q26" s="101">
        <v>0.0</v>
      </c>
      <c r="R26" s="101">
        <v>0.0</v>
      </c>
      <c r="S26" s="101">
        <v>0.0</v>
      </c>
      <c r="T26" s="101">
        <v>0.0</v>
      </c>
      <c r="U26" s="101">
        <v>0.0</v>
      </c>
      <c r="V26" s="101">
        <v>0.0</v>
      </c>
      <c r="W26" s="101">
        <v>0.0</v>
      </c>
      <c r="X26" s="101">
        <v>0.0</v>
      </c>
      <c r="Y26" s="85"/>
      <c r="Z26" s="85"/>
      <c r="AA26" s="85"/>
      <c r="AB26" s="85"/>
      <c r="AC26" s="85"/>
      <c r="AD26" s="85"/>
      <c r="AE26" s="85"/>
      <c r="AF26" s="85"/>
    </row>
    <row r="27" ht="15.75" customHeight="1">
      <c r="A27" s="85"/>
      <c r="B27" s="85"/>
      <c r="C27" s="85"/>
      <c r="D27" s="85"/>
      <c r="E27" s="92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93">
        <f>IFERROR(__xludf.DUMMYFUNCTION("""COMPUTED_VALUE"""),1.0)</f>
        <v>1</v>
      </c>
      <c r="G27" s="92"/>
      <c r="H27" s="93"/>
      <c r="I27" s="92"/>
      <c r="J27" s="93"/>
      <c r="K27" s="85"/>
      <c r="L27" s="99">
        <v>3.0</v>
      </c>
      <c r="M27" s="101">
        <v>0.0</v>
      </c>
      <c r="N27" s="101">
        <v>0.0</v>
      </c>
      <c r="O27" s="101">
        <v>0.0</v>
      </c>
      <c r="P27" s="101">
        <v>0.0</v>
      </c>
      <c r="Q27" s="101">
        <v>0.0</v>
      </c>
      <c r="R27" s="100">
        <v>1.0</v>
      </c>
      <c r="S27" s="101">
        <v>0.0</v>
      </c>
      <c r="T27" s="101">
        <v>0.0</v>
      </c>
      <c r="U27" s="101">
        <v>0.0</v>
      </c>
      <c r="V27" s="101">
        <v>0.0</v>
      </c>
      <c r="W27" s="101">
        <v>0.0</v>
      </c>
      <c r="X27" s="101">
        <v>0.0</v>
      </c>
      <c r="Y27" s="85"/>
      <c r="Z27" s="85"/>
      <c r="AA27" s="85"/>
      <c r="AB27" s="85"/>
      <c r="AC27" s="85"/>
      <c r="AD27" s="85"/>
      <c r="AE27" s="85"/>
      <c r="AF27" s="85"/>
    </row>
    <row r="28" ht="15.75" customHeight="1">
      <c r="A28" s="85"/>
      <c r="B28" s="85"/>
      <c r="C28" s="85"/>
      <c r="D28" s="85"/>
      <c r="E28" s="92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93">
        <f>IFERROR(__xludf.DUMMYFUNCTION("""COMPUTED_VALUE"""),15.0)</f>
        <v>15</v>
      </c>
      <c r="G28" s="92"/>
      <c r="H28" s="93"/>
      <c r="I28" s="92"/>
      <c r="J28" s="93"/>
      <c r="K28" s="85"/>
      <c r="L28" s="99">
        <v>4.0</v>
      </c>
      <c r="M28" s="113">
        <v>15.0</v>
      </c>
      <c r="N28" s="101">
        <v>0.0</v>
      </c>
      <c r="O28" s="101">
        <v>0.0</v>
      </c>
      <c r="P28" s="101">
        <v>0.0</v>
      </c>
      <c r="Q28" s="101">
        <v>0.0</v>
      </c>
      <c r="R28" s="101">
        <v>0.0</v>
      </c>
      <c r="S28" s="101">
        <v>0.0</v>
      </c>
      <c r="T28" s="101">
        <v>0.0</v>
      </c>
      <c r="U28" s="101">
        <v>0.0</v>
      </c>
      <c r="V28" s="101">
        <v>0.0</v>
      </c>
      <c r="W28" s="101">
        <v>0.0</v>
      </c>
      <c r="X28" s="101">
        <v>0.0</v>
      </c>
      <c r="Y28" s="85"/>
      <c r="Z28" s="85"/>
      <c r="AA28" s="85"/>
      <c r="AB28" s="85"/>
      <c r="AC28" s="85"/>
      <c r="AD28" s="85"/>
      <c r="AE28" s="85"/>
      <c r="AF28" s="85"/>
    </row>
    <row r="29" ht="15.75" customHeight="1">
      <c r="A29" s="85"/>
      <c r="B29" s="85"/>
      <c r="C29" s="85"/>
      <c r="D29" s="85"/>
      <c r="E29" s="92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93">
        <f>IFERROR(__xludf.DUMMYFUNCTION("""COMPUTED_VALUE"""),1.0)</f>
        <v>1</v>
      </c>
      <c r="G29" s="92"/>
      <c r="H29" s="93"/>
      <c r="I29" s="92"/>
      <c r="J29" s="93"/>
      <c r="K29" s="85"/>
      <c r="L29" s="99">
        <v>5.0</v>
      </c>
      <c r="M29" s="101">
        <v>0.0</v>
      </c>
      <c r="N29" s="101">
        <v>0.0</v>
      </c>
      <c r="O29" s="101">
        <v>0.0</v>
      </c>
      <c r="P29" s="101">
        <v>0.0</v>
      </c>
      <c r="Q29" s="101">
        <v>0.0</v>
      </c>
      <c r="R29" s="101">
        <v>0.0</v>
      </c>
      <c r="S29" s="100">
        <v>1.0</v>
      </c>
      <c r="T29" s="101">
        <v>0.0</v>
      </c>
      <c r="U29" s="101">
        <v>0.0</v>
      </c>
      <c r="V29" s="101">
        <v>0.0</v>
      </c>
      <c r="W29" s="101">
        <v>0.0</v>
      </c>
      <c r="X29" s="101">
        <v>0.0</v>
      </c>
      <c r="Y29" s="85"/>
      <c r="Z29" s="85"/>
      <c r="AA29" s="85"/>
      <c r="AB29" s="85"/>
      <c r="AC29" s="85"/>
      <c r="AD29" s="85"/>
      <c r="AE29" s="85"/>
      <c r="AF29" s="85"/>
    </row>
    <row r="30" ht="15.75" customHeight="1">
      <c r="A30" s="85"/>
      <c r="B30" s="85"/>
      <c r="C30" s="85"/>
      <c r="D30" s="85"/>
      <c r="E30" s="92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93">
        <f>IFERROR(__xludf.DUMMYFUNCTION("""COMPUTED_VALUE"""),20.0)</f>
        <v>20</v>
      </c>
      <c r="G30" s="92"/>
      <c r="H30" s="93"/>
      <c r="I30" s="92"/>
      <c r="J30" s="93"/>
      <c r="K30" s="85"/>
      <c r="L30" s="99">
        <v>6.0</v>
      </c>
      <c r="M30" s="113">
        <v>20.0</v>
      </c>
      <c r="N30" s="101">
        <v>0.0</v>
      </c>
      <c r="O30" s="101">
        <v>0.0</v>
      </c>
      <c r="P30" s="101">
        <v>0.0</v>
      </c>
      <c r="Q30" s="101">
        <v>0.0</v>
      </c>
      <c r="R30" s="101">
        <v>0.0</v>
      </c>
      <c r="S30" s="101">
        <v>0.0</v>
      </c>
      <c r="T30" s="101">
        <v>0.0</v>
      </c>
      <c r="U30" s="101">
        <v>0.0</v>
      </c>
      <c r="V30" s="101">
        <v>0.0</v>
      </c>
      <c r="W30" s="101">
        <v>0.0</v>
      </c>
      <c r="X30" s="101">
        <v>0.0</v>
      </c>
      <c r="Y30" s="85"/>
      <c r="Z30" s="85"/>
      <c r="AA30" s="85"/>
      <c r="AB30" s="85"/>
      <c r="AC30" s="85"/>
      <c r="AD30" s="85"/>
      <c r="AE30" s="85"/>
      <c r="AF30" s="85"/>
    </row>
    <row r="31" ht="15.75" customHeight="1">
      <c r="A31" s="85"/>
      <c r="B31" s="85"/>
      <c r="C31" s="85"/>
      <c r="D31" s="85"/>
      <c r="E31" s="92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93">
        <f>IFERROR(__xludf.DUMMYFUNCTION("""COMPUTED_VALUE"""),100.0)</f>
        <v>100</v>
      </c>
      <c r="G31" s="92" t="str">
        <f>IFERROR(__xludf.DUMMYFUNCTION("""COMPUTED_VALUE"""),"")</f>
        <v/>
      </c>
      <c r="H31" s="93">
        <f>IFERROR(__xludf.DUMMYFUNCTION("""COMPUTED_VALUE"""),120.0)</f>
        <v>120</v>
      </c>
      <c r="I31" s="92" t="str">
        <f>IFERROR(__xludf.DUMMYFUNCTION("""COMPUTED_VALUE"""),"")</f>
        <v/>
      </c>
      <c r="J31" s="93">
        <f>IFERROR(__xludf.DUMMYFUNCTION("""COMPUTED_VALUE"""),30.0)</f>
        <v>30</v>
      </c>
      <c r="K31" s="85"/>
      <c r="L31" s="99">
        <v>7.0</v>
      </c>
      <c r="M31" s="100">
        <v>100.0</v>
      </c>
      <c r="N31" s="101">
        <v>0.0</v>
      </c>
      <c r="O31" s="101">
        <v>0.0</v>
      </c>
      <c r="P31" s="101">
        <v>0.0</v>
      </c>
      <c r="Q31" s="101">
        <v>0.0</v>
      </c>
      <c r="R31" s="101">
        <v>0.0</v>
      </c>
      <c r="S31" s="101">
        <v>0.0</v>
      </c>
      <c r="T31" s="101">
        <v>0.0</v>
      </c>
      <c r="U31" s="100">
        <v>120.0</v>
      </c>
      <c r="V31" s="101">
        <v>0.0</v>
      </c>
      <c r="W31" s="101">
        <v>0.0</v>
      </c>
      <c r="X31" s="100">
        <v>30.0</v>
      </c>
      <c r="Y31" s="85"/>
      <c r="Z31" s="85"/>
      <c r="AA31" s="85"/>
      <c r="AB31" s="85"/>
      <c r="AC31" s="85"/>
      <c r="AD31" s="85"/>
      <c r="AE31" s="85"/>
      <c r="AF31" s="85"/>
    </row>
    <row r="32" ht="15.75" customHeight="1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85"/>
      <c r="Z32" s="85"/>
      <c r="AA32" s="85"/>
      <c r="AB32" s="85"/>
      <c r="AC32" s="85"/>
      <c r="AD32" s="85"/>
      <c r="AE32" s="85"/>
      <c r="AF32" s="85"/>
    </row>
    <row r="33" ht="15.75" customHeight="1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8" t="s">
        <v>95</v>
      </c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5"/>
      <c r="Z33" s="85"/>
      <c r="AA33" s="85"/>
      <c r="AB33" s="85"/>
      <c r="AC33" s="85"/>
      <c r="AD33" s="85"/>
      <c r="AE33" s="85"/>
      <c r="AF33" s="85"/>
    </row>
    <row r="34" ht="15.75" customHeight="1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94" t="s">
        <v>72</v>
      </c>
      <c r="M34" s="95" t="s">
        <v>78</v>
      </c>
      <c r="N34" s="95" t="s">
        <v>79</v>
      </c>
      <c r="O34" s="95" t="s">
        <v>80</v>
      </c>
      <c r="P34" s="95" t="s">
        <v>81</v>
      </c>
      <c r="Q34" s="95" t="s">
        <v>82</v>
      </c>
      <c r="R34" s="95" t="s">
        <v>83</v>
      </c>
      <c r="S34" s="95" t="s">
        <v>84</v>
      </c>
      <c r="T34" s="95" t="s">
        <v>85</v>
      </c>
      <c r="U34" s="95" t="s">
        <v>86</v>
      </c>
      <c r="V34" s="95" t="s">
        <v>87</v>
      </c>
      <c r="W34" s="95" t="s">
        <v>88</v>
      </c>
      <c r="X34" s="95" t="s">
        <v>89</v>
      </c>
      <c r="Y34" s="85"/>
      <c r="Z34" s="85"/>
      <c r="AA34" s="85"/>
      <c r="AB34" s="85"/>
      <c r="AC34" s="85"/>
      <c r="AD34" s="85"/>
      <c r="AE34" s="85"/>
      <c r="AF34" s="85"/>
    </row>
    <row r="35" ht="15.75" customHeight="1">
      <c r="A35" s="85"/>
      <c r="B35" s="85"/>
      <c r="C35" s="85"/>
      <c r="D35" s="85"/>
      <c r="E35" s="92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93">
        <f>IFERROR(__xludf.DUMMYFUNCTION("""COMPUTED_VALUE"""),15.0)</f>
        <v>15</v>
      </c>
      <c r="G35" s="92"/>
      <c r="H35" s="93"/>
      <c r="I35" s="92"/>
      <c r="J35" s="93"/>
      <c r="K35" s="85"/>
      <c r="L35" s="99">
        <v>1.0</v>
      </c>
      <c r="M35" s="113">
        <v>15.0</v>
      </c>
      <c r="N35" s="101">
        <v>0.0</v>
      </c>
      <c r="O35" s="101">
        <v>0.0</v>
      </c>
      <c r="P35" s="101">
        <v>0.0</v>
      </c>
      <c r="Q35" s="101">
        <v>0.0</v>
      </c>
      <c r="R35" s="101">
        <v>0.0</v>
      </c>
      <c r="S35" s="101">
        <v>0.0</v>
      </c>
      <c r="T35" s="101">
        <v>0.0</v>
      </c>
      <c r="U35" s="101">
        <v>0.0</v>
      </c>
      <c r="V35" s="101">
        <v>0.0</v>
      </c>
      <c r="W35" s="101">
        <v>0.0</v>
      </c>
      <c r="X35" s="101">
        <v>0.0</v>
      </c>
      <c r="Y35" s="85"/>
      <c r="Z35" s="85"/>
      <c r="AA35" s="85"/>
      <c r="AB35" s="85"/>
      <c r="AC35" s="85"/>
      <c r="AD35" s="85"/>
      <c r="AE35" s="85"/>
      <c r="AF35" s="85"/>
    </row>
    <row r="36" ht="15.75" customHeight="1">
      <c r="A36" s="85"/>
      <c r="B36" s="85"/>
      <c r="C36" s="85"/>
      <c r="D36" s="85"/>
      <c r="E36" s="92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93">
        <f>IFERROR(__xludf.DUMMYFUNCTION("""COMPUTED_VALUE"""),30.0)</f>
        <v>30</v>
      </c>
      <c r="G36" s="92"/>
      <c r="H36" s="93"/>
      <c r="I36" s="92"/>
      <c r="J36" s="93"/>
      <c r="K36" s="85"/>
      <c r="L36" s="99">
        <v>2.0</v>
      </c>
      <c r="M36" s="101">
        <v>0.0</v>
      </c>
      <c r="N36" s="101">
        <v>0.0</v>
      </c>
      <c r="O36" s="101">
        <v>0.0</v>
      </c>
      <c r="P36" s="101">
        <v>0.0</v>
      </c>
      <c r="Q36" s="101">
        <v>0.0</v>
      </c>
      <c r="R36" s="101">
        <v>0.0</v>
      </c>
      <c r="S36" s="101">
        <v>0.0</v>
      </c>
      <c r="T36" s="101">
        <v>0.0</v>
      </c>
      <c r="U36" s="100">
        <v>30.0</v>
      </c>
      <c r="V36" s="101">
        <v>0.0</v>
      </c>
      <c r="W36" s="101">
        <v>0.0</v>
      </c>
      <c r="X36" s="101">
        <v>0.0</v>
      </c>
      <c r="Y36" s="85"/>
      <c r="Z36" s="85"/>
      <c r="AA36" s="85"/>
      <c r="AB36" s="85"/>
      <c r="AC36" s="85"/>
      <c r="AD36" s="85"/>
      <c r="AE36" s="85"/>
      <c r="AF36" s="85"/>
    </row>
    <row r="37" ht="15.75" customHeight="1">
      <c r="A37" s="85"/>
      <c r="B37" s="85"/>
      <c r="C37" s="85"/>
      <c r="D37" s="85"/>
      <c r="E37" s="92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93">
        <f>IFERROR(__xludf.DUMMYFUNCTION("""COMPUTED_VALUE"""),1.0)</f>
        <v>1</v>
      </c>
      <c r="G37" s="92"/>
      <c r="H37" s="93"/>
      <c r="I37" s="92"/>
      <c r="J37" s="93"/>
      <c r="K37" s="85"/>
      <c r="L37" s="99">
        <v>3.0</v>
      </c>
      <c r="M37" s="101">
        <v>0.0</v>
      </c>
      <c r="N37" s="101">
        <v>0.0</v>
      </c>
      <c r="O37" s="101">
        <v>0.0</v>
      </c>
      <c r="P37" s="101">
        <v>0.0</v>
      </c>
      <c r="Q37" s="101">
        <v>0.0</v>
      </c>
      <c r="R37" s="101">
        <v>0.0</v>
      </c>
      <c r="S37" s="100">
        <v>1.0</v>
      </c>
      <c r="T37" s="101">
        <v>0.0</v>
      </c>
      <c r="U37" s="101">
        <v>0.0</v>
      </c>
      <c r="V37" s="101">
        <v>0.0</v>
      </c>
      <c r="W37" s="101">
        <v>0.0</v>
      </c>
      <c r="X37" s="101">
        <v>0.0</v>
      </c>
      <c r="Y37" s="85"/>
      <c r="Z37" s="85"/>
      <c r="AA37" s="85"/>
      <c r="AB37" s="85"/>
      <c r="AC37" s="85"/>
      <c r="AD37" s="85"/>
      <c r="AE37" s="85"/>
      <c r="AF37" s="85"/>
    </row>
    <row r="38" ht="15.75" customHeight="1">
      <c r="A38" s="85"/>
      <c r="B38" s="85"/>
      <c r="C38" s="85"/>
      <c r="D38" s="85"/>
      <c r="E38" s="92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93">
        <f>IFERROR(__xludf.DUMMYFUNCTION("""COMPUTED_VALUE"""),1.0)</f>
        <v>1</v>
      </c>
      <c r="G38" s="92"/>
      <c r="H38" s="93"/>
      <c r="I38" s="92"/>
      <c r="J38" s="93"/>
      <c r="K38" s="85"/>
      <c r="L38" s="99">
        <v>4.0</v>
      </c>
      <c r="M38" s="101">
        <v>0.0</v>
      </c>
      <c r="N38" s="101">
        <v>0.0</v>
      </c>
      <c r="O38" s="101">
        <v>0.0</v>
      </c>
      <c r="P38" s="101">
        <v>0.0</v>
      </c>
      <c r="Q38" s="101">
        <v>0.0</v>
      </c>
      <c r="R38" s="100">
        <v>1.0</v>
      </c>
      <c r="S38" s="101">
        <v>0.0</v>
      </c>
      <c r="T38" s="101">
        <v>0.0</v>
      </c>
      <c r="U38" s="101">
        <v>0.0</v>
      </c>
      <c r="V38" s="101">
        <v>0.0</v>
      </c>
      <c r="W38" s="101">
        <v>0.0</v>
      </c>
      <c r="X38" s="101">
        <v>0.0</v>
      </c>
      <c r="Y38" s="85"/>
      <c r="Z38" s="85"/>
      <c r="AA38" s="85"/>
      <c r="AB38" s="85"/>
      <c r="AC38" s="85"/>
      <c r="AD38" s="85"/>
      <c r="AE38" s="85"/>
      <c r="AF38" s="85"/>
    </row>
    <row r="39" ht="15.75" customHeight="1">
      <c r="A39" s="85"/>
      <c r="B39" s="85"/>
      <c r="C39" s="85"/>
      <c r="D39" s="85"/>
      <c r="E39" s="92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93">
        <f>IFERROR(__xludf.DUMMYFUNCTION("""COMPUTED_VALUE"""),20.0)</f>
        <v>20</v>
      </c>
      <c r="G39" s="92"/>
      <c r="H39" s="93"/>
      <c r="I39" s="92"/>
      <c r="J39" s="93"/>
      <c r="K39" s="85"/>
      <c r="L39" s="99">
        <v>5.0</v>
      </c>
      <c r="M39" s="113">
        <v>20.0</v>
      </c>
      <c r="N39" s="101">
        <v>0.0</v>
      </c>
      <c r="O39" s="101">
        <v>0.0</v>
      </c>
      <c r="P39" s="101">
        <v>0.0</v>
      </c>
      <c r="Q39" s="101">
        <v>0.0</v>
      </c>
      <c r="R39" s="101">
        <v>0.0</v>
      </c>
      <c r="S39" s="101">
        <v>0.0</v>
      </c>
      <c r="T39" s="101">
        <v>0.0</v>
      </c>
      <c r="U39" s="101">
        <v>0.0</v>
      </c>
      <c r="V39" s="101">
        <v>0.0</v>
      </c>
      <c r="W39" s="101">
        <v>0.0</v>
      </c>
      <c r="X39" s="101">
        <v>0.0</v>
      </c>
      <c r="Y39" s="85"/>
      <c r="Z39" s="85"/>
      <c r="AA39" s="85"/>
      <c r="AB39" s="85"/>
      <c r="AC39" s="85"/>
      <c r="AD39" s="85"/>
      <c r="AE39" s="85"/>
      <c r="AF39" s="85"/>
    </row>
    <row r="40" ht="15.75" customHeight="1">
      <c r="A40" s="85"/>
      <c r="B40" s="85"/>
      <c r="C40" s="85"/>
      <c r="D40" s="85"/>
      <c r="E40" s="92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93">
        <f>IFERROR(__xludf.DUMMYFUNCTION("""COMPUTED_VALUE"""),1.0)</f>
        <v>1</v>
      </c>
      <c r="G40" s="92"/>
      <c r="H40" s="93"/>
      <c r="I40" s="92"/>
      <c r="J40" s="93"/>
      <c r="K40" s="85"/>
      <c r="L40" s="99">
        <v>6.0</v>
      </c>
      <c r="M40" s="101">
        <v>0.0</v>
      </c>
      <c r="N40" s="101">
        <v>0.0</v>
      </c>
      <c r="O40" s="101">
        <v>0.0</v>
      </c>
      <c r="P40" s="101">
        <v>0.0</v>
      </c>
      <c r="Q40" s="101">
        <v>0.0</v>
      </c>
      <c r="R40" s="100">
        <v>1.0</v>
      </c>
      <c r="S40" s="101">
        <v>0.0</v>
      </c>
      <c r="T40" s="101">
        <v>0.0</v>
      </c>
      <c r="U40" s="101">
        <v>0.0</v>
      </c>
      <c r="V40" s="101">
        <v>0.0</v>
      </c>
      <c r="W40" s="101">
        <v>0.0</v>
      </c>
      <c r="X40" s="101">
        <v>0.0</v>
      </c>
      <c r="Y40" s="85"/>
      <c r="Z40" s="85"/>
      <c r="AA40" s="85"/>
      <c r="AB40" s="85"/>
      <c r="AC40" s="85"/>
      <c r="AD40" s="85"/>
      <c r="AE40" s="85"/>
      <c r="AF40" s="85"/>
    </row>
    <row r="41" ht="15.75" customHeight="1">
      <c r="A41" s="85"/>
      <c r="B41" s="85"/>
      <c r="C41" s="85"/>
      <c r="D41" s="85"/>
      <c r="E41" s="92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93">
        <f>IFERROR(__xludf.DUMMYFUNCTION("""COMPUTED_VALUE"""),100.0)</f>
        <v>100</v>
      </c>
      <c r="G41" s="92" t="str">
        <f>IFERROR(__xludf.DUMMYFUNCTION("""COMPUTED_VALUE"""),"")</f>
        <v/>
      </c>
      <c r="H41" s="93">
        <f>IFERROR(__xludf.DUMMYFUNCTION("""COMPUTED_VALUE"""),1.0)</f>
        <v>1</v>
      </c>
      <c r="I41" s="92" t="str">
        <f>IFERROR(__xludf.DUMMYFUNCTION("""COMPUTED_VALUE"""),"")</f>
        <v/>
      </c>
      <c r="J41" s="93">
        <f>IFERROR(__xludf.DUMMYFUNCTION("""COMPUTED_VALUE"""),120.0)</f>
        <v>120</v>
      </c>
      <c r="K41" s="85"/>
      <c r="L41" s="99">
        <v>7.0</v>
      </c>
      <c r="M41" s="100">
        <v>100.0</v>
      </c>
      <c r="N41" s="101">
        <v>0.0</v>
      </c>
      <c r="O41" s="101">
        <v>0.0</v>
      </c>
      <c r="P41" s="101">
        <v>0.0</v>
      </c>
      <c r="Q41" s="101">
        <v>0.0</v>
      </c>
      <c r="R41" s="101">
        <v>0.0</v>
      </c>
      <c r="S41" s="101">
        <v>0.0</v>
      </c>
      <c r="T41" s="100">
        <v>1.0</v>
      </c>
      <c r="U41" s="100">
        <v>120.0</v>
      </c>
      <c r="V41" s="101">
        <v>0.0</v>
      </c>
      <c r="W41" s="101">
        <v>0.0</v>
      </c>
      <c r="X41" s="101">
        <v>0.0</v>
      </c>
      <c r="Y41" s="85"/>
      <c r="Z41" s="85"/>
      <c r="AA41" s="85"/>
      <c r="AB41" s="85"/>
      <c r="AC41" s="85"/>
      <c r="AD41" s="85"/>
      <c r="AE41" s="85"/>
      <c r="AF41" s="85"/>
    </row>
    <row r="42" ht="15.75" customHeight="1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85"/>
      <c r="Z42" s="85"/>
      <c r="AA42" s="85"/>
      <c r="AB42" s="85"/>
      <c r="AC42" s="85"/>
      <c r="AD42" s="85"/>
      <c r="AE42" s="85"/>
      <c r="AF42" s="85"/>
    </row>
    <row r="43" ht="15.75" customHeight="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8" t="s">
        <v>96</v>
      </c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5"/>
      <c r="Z43" s="85"/>
      <c r="AA43" s="85"/>
      <c r="AB43" s="85"/>
      <c r="AC43" s="85"/>
      <c r="AD43" s="85"/>
      <c r="AE43" s="85"/>
      <c r="AF43" s="85"/>
    </row>
    <row r="44" ht="15.7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94" t="s">
        <v>72</v>
      </c>
      <c r="M44" s="95" t="s">
        <v>78</v>
      </c>
      <c r="N44" s="95" t="s">
        <v>79</v>
      </c>
      <c r="O44" s="95" t="s">
        <v>80</v>
      </c>
      <c r="P44" s="95" t="s">
        <v>81</v>
      </c>
      <c r="Q44" s="95" t="s">
        <v>82</v>
      </c>
      <c r="R44" s="95" t="s">
        <v>83</v>
      </c>
      <c r="S44" s="95" t="s">
        <v>84</v>
      </c>
      <c r="T44" s="95" t="s">
        <v>85</v>
      </c>
      <c r="U44" s="95" t="s">
        <v>86</v>
      </c>
      <c r="V44" s="95" t="s">
        <v>87</v>
      </c>
      <c r="W44" s="95" t="s">
        <v>88</v>
      </c>
      <c r="X44" s="95" t="s">
        <v>89</v>
      </c>
      <c r="Y44" s="85"/>
      <c r="Z44" s="85"/>
      <c r="AA44" s="85"/>
      <c r="AB44" s="85"/>
      <c r="AC44" s="85"/>
      <c r="AD44" s="85"/>
      <c r="AE44" s="85"/>
      <c r="AF44" s="85"/>
    </row>
    <row r="45" ht="15.75" customHeight="1">
      <c r="A45" s="85"/>
      <c r="B45" s="85"/>
      <c r="C45" s="85"/>
      <c r="D45" s="85"/>
      <c r="E45" s="92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93">
        <f>IFERROR(__xludf.DUMMYFUNCTION("""COMPUTED_VALUE"""),10.0)</f>
        <v>10</v>
      </c>
      <c r="G45" s="92"/>
      <c r="H45" s="93"/>
      <c r="I45" s="92"/>
      <c r="J45" s="93"/>
      <c r="K45" s="85"/>
      <c r="L45" s="99">
        <v>1.0</v>
      </c>
      <c r="M45" s="113">
        <v>10.0</v>
      </c>
      <c r="N45" s="101">
        <v>0.0</v>
      </c>
      <c r="O45" s="101">
        <v>0.0</v>
      </c>
      <c r="P45" s="101">
        <v>0.0</v>
      </c>
      <c r="Q45" s="101">
        <v>0.0</v>
      </c>
      <c r="R45" s="101">
        <v>0.0</v>
      </c>
      <c r="S45" s="101">
        <v>0.0</v>
      </c>
      <c r="T45" s="101">
        <v>0.0</v>
      </c>
      <c r="U45" s="101">
        <v>0.0</v>
      </c>
      <c r="V45" s="101">
        <v>0.0</v>
      </c>
      <c r="W45" s="101">
        <v>0.0</v>
      </c>
      <c r="X45" s="101">
        <v>0.0</v>
      </c>
      <c r="Y45" s="85"/>
      <c r="Z45" s="85"/>
      <c r="AA45" s="85"/>
      <c r="AB45" s="85"/>
      <c r="AC45" s="85"/>
      <c r="AD45" s="85"/>
      <c r="AE45" s="85"/>
      <c r="AF45" s="85"/>
    </row>
    <row r="46" ht="15.75" customHeight="1">
      <c r="A46" s="85"/>
      <c r="B46" s="85"/>
      <c r="C46" s="85"/>
      <c r="D46" s="85"/>
      <c r="E46" s="92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93">
        <f>IFERROR(__xludf.DUMMYFUNCTION("""COMPUTED_VALUE"""),15.0)</f>
        <v>15</v>
      </c>
      <c r="G46" s="92"/>
      <c r="H46" s="93"/>
      <c r="I46" s="92"/>
      <c r="J46" s="93"/>
      <c r="K46" s="85"/>
      <c r="L46" s="99">
        <v>2.0</v>
      </c>
      <c r="M46" s="101">
        <v>0.0</v>
      </c>
      <c r="N46" s="101">
        <v>0.0</v>
      </c>
      <c r="O46" s="101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0">
        <v>15.0</v>
      </c>
      <c r="V46" s="101">
        <v>0.0</v>
      </c>
      <c r="W46" s="101">
        <v>0.0</v>
      </c>
      <c r="X46" s="101">
        <v>0.0</v>
      </c>
      <c r="Y46" s="85"/>
      <c r="Z46" s="85"/>
      <c r="AA46" s="85"/>
      <c r="AB46" s="85"/>
      <c r="AC46" s="85"/>
      <c r="AD46" s="85"/>
      <c r="AE46" s="85"/>
      <c r="AF46" s="85"/>
    </row>
    <row r="47" ht="15.75" customHeight="1">
      <c r="A47" s="85"/>
      <c r="B47" s="85"/>
      <c r="C47" s="85"/>
      <c r="D47" s="85"/>
      <c r="E47" s="92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93">
        <f>IFERROR(__xludf.DUMMYFUNCTION("""COMPUTED_VALUE"""),1.0)</f>
        <v>1</v>
      </c>
      <c r="G47" s="92"/>
      <c r="H47" s="93"/>
      <c r="I47" s="92"/>
      <c r="J47" s="93"/>
      <c r="K47" s="85"/>
      <c r="L47" s="99">
        <v>3.0</v>
      </c>
      <c r="M47" s="101">
        <v>0.0</v>
      </c>
      <c r="N47" s="101">
        <v>0.0</v>
      </c>
      <c r="O47" s="101">
        <v>0.0</v>
      </c>
      <c r="P47" s="101">
        <v>0.0</v>
      </c>
      <c r="Q47" s="101">
        <v>0.0</v>
      </c>
      <c r="R47" s="100">
        <v>1.0</v>
      </c>
      <c r="S47" s="101">
        <v>0.0</v>
      </c>
      <c r="T47" s="101">
        <v>0.0</v>
      </c>
      <c r="U47" s="101">
        <v>0.0</v>
      </c>
      <c r="V47" s="101">
        <v>0.0</v>
      </c>
      <c r="W47" s="101">
        <v>0.0</v>
      </c>
      <c r="X47" s="101">
        <v>0.0</v>
      </c>
      <c r="Y47" s="85"/>
      <c r="Z47" s="85"/>
      <c r="AA47" s="85"/>
      <c r="AB47" s="85"/>
      <c r="AC47" s="85"/>
      <c r="AD47" s="85"/>
      <c r="AE47" s="85"/>
      <c r="AF47" s="85"/>
    </row>
    <row r="48" ht="15.75" customHeight="1">
      <c r="A48" s="85"/>
      <c r="B48" s="85"/>
      <c r="C48" s="85"/>
      <c r="D48" s="85"/>
      <c r="E48" s="92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93">
        <f>IFERROR(__xludf.DUMMYFUNCTION("""COMPUTED_VALUE"""),1.0)</f>
        <v>1</v>
      </c>
      <c r="G48" s="92"/>
      <c r="H48" s="93"/>
      <c r="I48" s="92"/>
      <c r="J48" s="93"/>
      <c r="K48" s="85"/>
      <c r="L48" s="99">
        <v>4.0</v>
      </c>
      <c r="M48" s="101">
        <v>0.0</v>
      </c>
      <c r="N48" s="101">
        <v>0.0</v>
      </c>
      <c r="O48" s="101">
        <v>0.0</v>
      </c>
      <c r="P48" s="101">
        <v>0.0</v>
      </c>
      <c r="Q48" s="101">
        <v>0.0</v>
      </c>
      <c r="R48" s="101">
        <v>0.0</v>
      </c>
      <c r="S48" s="100">
        <v>1.0</v>
      </c>
      <c r="T48" s="101">
        <v>0.0</v>
      </c>
      <c r="U48" s="101">
        <v>0.0</v>
      </c>
      <c r="V48" s="101">
        <v>0.0</v>
      </c>
      <c r="W48" s="101">
        <v>0.0</v>
      </c>
      <c r="X48" s="101">
        <v>0.0</v>
      </c>
      <c r="Y48" s="85"/>
      <c r="Z48" s="85"/>
      <c r="AA48" s="85"/>
      <c r="AB48" s="85"/>
      <c r="AC48" s="85"/>
      <c r="AD48" s="85"/>
      <c r="AE48" s="85"/>
      <c r="AF48" s="85"/>
    </row>
    <row r="49" ht="15.75" customHeight="1">
      <c r="A49" s="85"/>
      <c r="B49" s="85"/>
      <c r="C49" s="85"/>
      <c r="D49" s="85"/>
      <c r="E49" s="92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93">
        <f>IFERROR(__xludf.DUMMYFUNCTION("""COMPUTED_VALUE"""),60.0)</f>
        <v>60</v>
      </c>
      <c r="G49" s="92"/>
      <c r="H49" s="93"/>
      <c r="I49" s="92"/>
      <c r="J49" s="93"/>
      <c r="K49" s="85"/>
      <c r="L49" s="99">
        <v>5.0</v>
      </c>
      <c r="M49" s="101">
        <v>0.0</v>
      </c>
      <c r="N49" s="101">
        <v>0.0</v>
      </c>
      <c r="O49" s="101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0">
        <v>60.0</v>
      </c>
      <c r="V49" s="101">
        <v>0.0</v>
      </c>
      <c r="W49" s="101">
        <v>0.0</v>
      </c>
      <c r="X49" s="101">
        <v>0.0</v>
      </c>
      <c r="Y49" s="85"/>
      <c r="Z49" s="85"/>
      <c r="AA49" s="85"/>
      <c r="AB49" s="85"/>
      <c r="AC49" s="85"/>
      <c r="AD49" s="85"/>
      <c r="AE49" s="85"/>
      <c r="AF49" s="85"/>
    </row>
    <row r="50" ht="15.75" customHeight="1">
      <c r="A50" s="85"/>
      <c r="B50" s="85"/>
      <c r="C50" s="85"/>
      <c r="D50" s="85"/>
      <c r="E50" s="92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93">
        <f>IFERROR(__xludf.DUMMYFUNCTION("""COMPUTED_VALUE"""),25.0)</f>
        <v>25</v>
      </c>
      <c r="G50" s="92"/>
      <c r="H50" s="93"/>
      <c r="I50" s="92"/>
      <c r="J50" s="93"/>
      <c r="K50" s="85"/>
      <c r="L50" s="99">
        <v>6.0</v>
      </c>
      <c r="M50" s="113">
        <v>25.0</v>
      </c>
      <c r="N50" s="101">
        <v>0.0</v>
      </c>
      <c r="O50" s="101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  <c r="W50" s="101">
        <v>0.0</v>
      </c>
      <c r="X50" s="101">
        <v>0.0</v>
      </c>
      <c r="Y50" s="85"/>
      <c r="Z50" s="85"/>
      <c r="AA50" s="85"/>
      <c r="AB50" s="85"/>
      <c r="AC50" s="85"/>
      <c r="AD50" s="85"/>
      <c r="AE50" s="85"/>
      <c r="AF50" s="85"/>
    </row>
    <row r="51" ht="15.75" customHeight="1">
      <c r="A51" s="85"/>
      <c r="B51" s="85"/>
      <c r="C51" s="85"/>
      <c r="D51" s="85"/>
      <c r="E51" s="92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93">
        <f>IFERROR(__xludf.DUMMYFUNCTION("""COMPUTED_VALUE"""),100.0)</f>
        <v>100</v>
      </c>
      <c r="G51" s="92" t="str">
        <f>IFERROR(__xludf.DUMMYFUNCTION("""COMPUTED_VALUE"""),"")</f>
        <v/>
      </c>
      <c r="H51" s="93">
        <f>IFERROR(__xludf.DUMMYFUNCTION("""COMPUTED_VALUE"""),1.0)</f>
        <v>1</v>
      </c>
      <c r="I51" s="92" t="str">
        <f>IFERROR(__xludf.DUMMYFUNCTION("""COMPUTED_VALUE"""),"")</f>
        <v/>
      </c>
      <c r="J51" s="93">
        <f>IFERROR(__xludf.DUMMYFUNCTION("""COMPUTED_VALUE"""),120.0)</f>
        <v>120</v>
      </c>
      <c r="K51" s="85"/>
      <c r="L51" s="99">
        <v>7.0</v>
      </c>
      <c r="M51" s="100">
        <v>100.0</v>
      </c>
      <c r="N51" s="101">
        <v>0.0</v>
      </c>
      <c r="O51" s="101">
        <v>0.0</v>
      </c>
      <c r="P51" s="101">
        <v>0.0</v>
      </c>
      <c r="Q51" s="101">
        <v>0.0</v>
      </c>
      <c r="R51" s="100">
        <v>1.0</v>
      </c>
      <c r="S51" s="101">
        <v>0.0</v>
      </c>
      <c r="T51" s="101">
        <v>0.0</v>
      </c>
      <c r="U51" s="100">
        <v>120.0</v>
      </c>
      <c r="V51" s="101">
        <v>0.0</v>
      </c>
      <c r="W51" s="101">
        <v>0.0</v>
      </c>
      <c r="X51" s="101">
        <v>0.0</v>
      </c>
      <c r="Y51" s="85"/>
      <c r="Z51" s="85"/>
      <c r="AA51" s="85"/>
      <c r="AB51" s="85"/>
      <c r="AC51" s="85"/>
      <c r="AD51" s="85"/>
      <c r="AE51" s="85"/>
      <c r="AF51" s="85"/>
    </row>
    <row r="52" ht="15.75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</row>
    <row r="53" ht="15.75" customHeight="1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</row>
    <row r="54" ht="15.75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</row>
    <row r="55" ht="15.75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</row>
    <row r="56" ht="15.75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</row>
    <row r="57" ht="15.7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</row>
    <row r="58" ht="15.7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</row>
    <row r="59" ht="15.7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</row>
    <row r="60" ht="15.7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</row>
    <row r="61" ht="15.7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</row>
    <row r="62" ht="15.7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</row>
    <row r="63" ht="15.7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</row>
    <row r="64" ht="15.7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</row>
    <row r="65" ht="15.7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</row>
    <row r="66" ht="15.7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</row>
    <row r="67" ht="15.7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</row>
    <row r="68" ht="15.7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</row>
    <row r="69" ht="15.7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</row>
    <row r="70" ht="15.7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</row>
    <row r="71" ht="15.7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</row>
    <row r="72" ht="15.7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</row>
    <row r="74" ht="15.7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</row>
    <row r="75" ht="15.7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</row>
    <row r="76" ht="15.7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</row>
    <row r="77" ht="15.7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</row>
    <row r="78" ht="15.7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</row>
    <row r="79" ht="15.7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</row>
    <row r="80" ht="15.7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</row>
    <row r="81" ht="15.7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</row>
    <row r="82" ht="15.7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</row>
    <row r="83" ht="15.7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</row>
    <row r="84" ht="15.7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</row>
    <row r="85" ht="15.7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</row>
    <row r="86" ht="15.7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</row>
    <row r="87" ht="15.7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</row>
    <row r="88" ht="15.7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</row>
    <row r="89" ht="15.7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</row>
    <row r="90" ht="15.7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</row>
    <row r="91" ht="15.7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</row>
    <row r="92" ht="15.7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</row>
    <row r="93" ht="15.7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</row>
    <row r="94" ht="15.7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</row>
    <row r="95" ht="15.7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</row>
    <row r="96" ht="15.7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</row>
    <row r="97" ht="15.7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</row>
    <row r="98" ht="15.7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</row>
    <row r="99" ht="15.7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</row>
    <row r="100" ht="15.7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</row>
    <row r="101" ht="15.7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</row>
    <row r="102" ht="15.7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</row>
    <row r="103" ht="15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</row>
    <row r="104" ht="15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</row>
    <row r="105" ht="15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</row>
    <row r="106" ht="15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</row>
    <row r="107" ht="15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</row>
    <row r="108" ht="15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</row>
    <row r="109" ht="15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</row>
    <row r="110" ht="15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</row>
    <row r="111" ht="15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</row>
    <row r="112" ht="15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</row>
    <row r="113" ht="15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</row>
    <row r="114" ht="15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</row>
    <row r="115" ht="15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</row>
    <row r="116" ht="15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</row>
    <row r="117" ht="15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</row>
    <row r="118" ht="15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</row>
    <row r="119" ht="15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</row>
    <row r="120" ht="15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</row>
    <row r="121" ht="15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</row>
    <row r="122" ht="15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</row>
    <row r="123" ht="15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</row>
    <row r="124" ht="15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</row>
    <row r="125" ht="15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</row>
    <row r="126" ht="15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</row>
    <row r="127" ht="15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</row>
    <row r="128" ht="15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</row>
    <row r="129" ht="15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</row>
    <row r="130" ht="15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</row>
    <row r="131" ht="15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</row>
    <row r="132" ht="15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</row>
    <row r="133" ht="15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</row>
    <row r="134" ht="15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</row>
    <row r="135" ht="15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</row>
    <row r="136" ht="15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</row>
    <row r="137" ht="15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</row>
    <row r="138" ht="15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</row>
    <row r="139" ht="15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</row>
    <row r="140" ht="15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</row>
    <row r="141" ht="15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</row>
    <row r="142" ht="15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</row>
    <row r="143" ht="15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</row>
    <row r="144" ht="15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</row>
    <row r="145" ht="15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</row>
    <row r="146" ht="15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</row>
    <row r="147" ht="15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</row>
    <row r="148" ht="15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</row>
    <row r="149" ht="15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</row>
    <row r="150" ht="15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</row>
    <row r="151" ht="15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</row>
    <row r="152" ht="15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</row>
    <row r="153" ht="15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</row>
    <row r="154" ht="15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</row>
    <row r="155" ht="15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</row>
    <row r="156" ht="15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</row>
    <row r="157" ht="15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</row>
    <row r="158" ht="15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</row>
    <row r="159" ht="15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</row>
    <row r="160" ht="15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</row>
    <row r="161" ht="15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</row>
    <row r="162" ht="15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</row>
    <row r="163" ht="15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</row>
    <row r="164" ht="15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</row>
    <row r="165" ht="15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</row>
    <row r="166" ht="15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</row>
    <row r="167" ht="15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</row>
    <row r="168" ht="15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</row>
    <row r="169" ht="15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</row>
    <row r="170" ht="15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</row>
    <row r="171" ht="15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</row>
    <row r="172" ht="15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</row>
    <row r="173" ht="15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</row>
    <row r="174" ht="15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</row>
    <row r="175" ht="15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</row>
    <row r="176" ht="15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</row>
    <row r="177" ht="15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</row>
    <row r="178" ht="15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</row>
    <row r="179" ht="15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</row>
    <row r="180" ht="15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</row>
    <row r="181" ht="15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</row>
    <row r="182" ht="15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</row>
    <row r="183" ht="15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</row>
    <row r="184" ht="15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</row>
    <row r="185" ht="15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</row>
    <row r="186" ht="15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</row>
    <row r="187" ht="15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</row>
    <row r="188" ht="15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</row>
    <row r="189" ht="15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</row>
    <row r="190" ht="15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</row>
    <row r="191" ht="15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</row>
    <row r="192" ht="15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</row>
    <row r="193" ht="15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</row>
    <row r="194" ht="15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</row>
    <row r="195" ht="15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</row>
    <row r="219" ht="15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</row>
    <row r="220" ht="15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</row>
    <row r="221" ht="15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</row>
    <row r="222" ht="15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</row>
    <row r="223" ht="15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</row>
    <row r="224" ht="15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</row>
    <row r="225" ht="15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</row>
    <row r="226" ht="15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</row>
    <row r="227" ht="15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</row>
    <row r="228" ht="15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</row>
    <row r="229" ht="15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</row>
    <row r="230" ht="15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</row>
    <row r="231" ht="15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</row>
    <row r="232" ht="15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</row>
    <row r="233" ht="15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</row>
    <row r="234" ht="15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</row>
    <row r="235" ht="15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</row>
    <row r="236" ht="15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</row>
    <row r="237" ht="15.7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</row>
    <row r="238" ht="15.7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</row>
    <row r="239" ht="15.7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</row>
    <row r="240" ht="15.7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</row>
    <row r="241" ht="15.7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</row>
    <row r="242" ht="15.7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</row>
    <row r="243" ht="15.7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</row>
    <row r="244" ht="15.7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</row>
    <row r="245" ht="15.7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</row>
    <row r="246" ht="15.7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</row>
    <row r="247" ht="15.7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</row>
    <row r="248" ht="15.7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</row>
    <row r="249" ht="15.7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</row>
    <row r="250" ht="15.7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</row>
    <row r="251" ht="15.7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</row>
    <row r="252" ht="15.7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</row>
    <row r="253" ht="15.7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</row>
    <row r="254" ht="15.7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</row>
    <row r="255" ht="15.7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</row>
    <row r="256" ht="15.7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</row>
    <row r="257" ht="15.7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</row>
    <row r="258" ht="15.7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</row>
    <row r="259" ht="15.7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</row>
    <row r="260" ht="15.7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</row>
    <row r="261" ht="15.7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</row>
    <row r="262" ht="15.7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</row>
    <row r="263" ht="15.7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</row>
    <row r="264" ht="15.7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</row>
    <row r="265" ht="15.7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</row>
    <row r="266" ht="15.7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</row>
    <row r="267" ht="15.7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</row>
    <row r="268" ht="15.7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</row>
    <row r="269" ht="15.7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</row>
    <row r="270" ht="15.7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</row>
    <row r="271" ht="15.7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</row>
    <row r="272" ht="15.7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</row>
    <row r="273" ht="15.7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</row>
    <row r="274" ht="15.7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</row>
    <row r="275" ht="15.7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</row>
    <row r="276" ht="15.7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</row>
    <row r="277" ht="15.7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</row>
    <row r="278" ht="15.7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</row>
    <row r="279" ht="15.7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</row>
    <row r="280" ht="15.7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</row>
    <row r="281" ht="15.7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</row>
    <row r="282" ht="15.7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</row>
    <row r="283" ht="15.7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</row>
    <row r="284" ht="15.7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</row>
    <row r="285" ht="15.7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</row>
    <row r="286" ht="15.7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</row>
    <row r="287" ht="15.7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</row>
    <row r="288" ht="15.7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</row>
    <row r="289" ht="15.7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</row>
    <row r="290" ht="15.7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</row>
    <row r="291" ht="15.7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</row>
    <row r="292" ht="15.7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</row>
    <row r="293" ht="15.7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</row>
    <row r="294" ht="15.7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</row>
    <row r="295" ht="15.7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</row>
    <row r="296" ht="15.7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</row>
    <row r="297" ht="15.7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</row>
    <row r="298" ht="15.7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</row>
    <row r="299" ht="15.7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</row>
    <row r="300" ht="15.7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</row>
    <row r="301" ht="15.7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</row>
    <row r="302" ht="15.7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</row>
    <row r="303" ht="15.7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</row>
    <row r="304" ht="15.7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</row>
    <row r="305" ht="15.7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</row>
    <row r="306" ht="15.7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</row>
    <row r="307" ht="15.7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ht="15.7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</row>
    <row r="309" ht="15.7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</row>
    <row r="310" ht="15.7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</row>
    <row r="311" ht="15.7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</row>
    <row r="312" ht="15.7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</row>
    <row r="313" ht="15.7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</row>
    <row r="314" ht="15.7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</row>
    <row r="315" ht="15.7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</row>
    <row r="316" ht="15.7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</row>
    <row r="317" ht="15.7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</row>
    <row r="318" ht="15.7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</row>
    <row r="319" ht="15.7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</row>
    <row r="320" ht="15.7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</row>
    <row r="321" ht="15.7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</row>
    <row r="322" ht="15.7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</row>
    <row r="323" ht="15.7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</row>
    <row r="324" ht="15.7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</row>
    <row r="325" ht="15.7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</row>
    <row r="326" ht="15.7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</row>
    <row r="327" ht="15.7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</row>
    <row r="328" ht="15.7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</row>
    <row r="329" ht="15.7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</row>
    <row r="330" ht="15.7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</row>
    <row r="331" ht="15.7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</row>
    <row r="332" ht="15.7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</row>
    <row r="333" ht="15.7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</row>
    <row r="334" ht="15.7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</row>
    <row r="335" ht="15.7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</row>
    <row r="336" ht="15.7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</row>
    <row r="337" ht="15.7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</row>
    <row r="338" ht="15.7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</row>
    <row r="339" ht="15.7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</row>
    <row r="340" ht="15.7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</row>
    <row r="341" ht="15.7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</row>
    <row r="342" ht="15.7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</row>
    <row r="343" ht="15.7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</row>
    <row r="344" ht="15.7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</row>
    <row r="345" ht="15.7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</row>
    <row r="346" ht="15.7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</row>
    <row r="347" ht="15.7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</row>
    <row r="348" ht="15.7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</row>
    <row r="349" ht="15.7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</row>
    <row r="350" ht="15.7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</row>
    <row r="351" ht="15.7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</row>
    <row r="352" ht="15.7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</row>
    <row r="353" ht="15.7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</row>
    <row r="354" ht="15.7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</row>
    <row r="355" ht="15.7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</row>
    <row r="356" ht="15.7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</row>
    <row r="357" ht="15.7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</row>
    <row r="358" ht="15.7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</row>
    <row r="359" ht="15.7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</row>
    <row r="360" ht="15.7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</row>
    <row r="361" ht="15.7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</row>
    <row r="362" ht="15.7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</row>
    <row r="363" ht="15.7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</row>
    <row r="364" ht="15.7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</row>
    <row r="365" ht="15.7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</row>
    <row r="366" ht="15.7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</row>
    <row r="367" ht="15.7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</row>
    <row r="368" ht="15.7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</row>
    <row r="369" ht="15.7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</row>
    <row r="370" ht="15.7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</row>
    <row r="371" ht="15.7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</row>
    <row r="372" ht="15.7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</row>
    <row r="373" ht="15.7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</row>
    <row r="374" ht="15.7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</row>
    <row r="375" ht="15.7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</row>
    <row r="376" ht="15.7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</row>
    <row r="377" ht="15.7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</row>
    <row r="378" ht="15.7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</row>
    <row r="379" ht="15.7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</row>
    <row r="380" ht="15.7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</row>
    <row r="381" ht="15.7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</row>
    <row r="382" ht="15.7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</row>
    <row r="383" ht="15.7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</row>
    <row r="384" ht="15.7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</row>
    <row r="385" ht="15.7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</row>
    <row r="386" ht="15.7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</row>
    <row r="387" ht="15.7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</row>
    <row r="388" ht="15.7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</row>
    <row r="389" ht="15.7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</row>
    <row r="390" ht="15.7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</row>
    <row r="391" ht="15.7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</row>
    <row r="392" ht="15.7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</row>
    <row r="393" ht="15.7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</row>
    <row r="394" ht="15.7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</row>
    <row r="395" ht="15.7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</row>
    <row r="396" ht="15.7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</row>
    <row r="397" ht="15.7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</row>
    <row r="398" ht="15.7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</row>
    <row r="399" ht="15.7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</row>
    <row r="400" ht="15.7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</row>
    <row r="401" ht="15.7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</row>
    <row r="402" ht="15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</row>
    <row r="403" ht="15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</row>
    <row r="404" ht="15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</row>
    <row r="405" ht="15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</row>
    <row r="406" ht="15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</row>
    <row r="407" ht="15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</row>
    <row r="408" ht="15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</row>
    <row r="409" ht="15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</row>
    <row r="410" ht="15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</row>
    <row r="411" ht="15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</row>
    <row r="412" ht="15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</row>
    <row r="413" ht="15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</row>
    <row r="414" ht="15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</row>
    <row r="415" ht="15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</row>
    <row r="416" ht="15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</row>
    <row r="417" ht="15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</row>
    <row r="418" ht="15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</row>
    <row r="419" ht="15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</row>
    <row r="420" ht="15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</row>
    <row r="421" ht="15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</row>
    <row r="422" ht="15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</row>
    <row r="423" ht="15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</row>
    <row r="424" ht="15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</row>
    <row r="425" ht="15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</row>
    <row r="426" ht="15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</row>
    <row r="427" ht="15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</row>
    <row r="428" ht="15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</row>
    <row r="429" ht="15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</row>
    <row r="430" ht="15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</row>
    <row r="431" ht="15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</row>
    <row r="432" ht="15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</row>
    <row r="433" ht="15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</row>
    <row r="434" ht="15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</row>
    <row r="435" ht="15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</row>
    <row r="436" ht="15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</row>
    <row r="437" ht="15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</row>
    <row r="438" ht="15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</row>
    <row r="439" ht="15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</row>
    <row r="440" ht="15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</row>
    <row r="441" ht="15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</row>
    <row r="442" ht="15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</row>
    <row r="443" ht="15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</row>
    <row r="444" ht="15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</row>
    <row r="445" ht="15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</row>
    <row r="446" ht="15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</row>
    <row r="447" ht="15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</row>
    <row r="448" ht="15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</row>
    <row r="449" ht="15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</row>
    <row r="450" ht="15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</row>
    <row r="451" ht="15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</row>
    <row r="452" ht="15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</row>
    <row r="453" ht="15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</row>
    <row r="454" ht="15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</row>
    <row r="455" ht="15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</row>
    <row r="456" ht="15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</row>
    <row r="457" ht="15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</row>
    <row r="458" ht="15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</row>
    <row r="459" ht="15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</row>
    <row r="460" ht="15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</row>
    <row r="461" ht="15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</row>
    <row r="462" ht="15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</row>
    <row r="463" ht="15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</row>
    <row r="464" ht="15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</row>
    <row r="465" ht="15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</row>
    <row r="466" ht="15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</row>
    <row r="467" ht="15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</row>
    <row r="468" ht="15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</row>
    <row r="469" ht="15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</row>
    <row r="470" ht="15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</row>
    <row r="471" ht="15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</row>
    <row r="472" ht="15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</row>
    <row r="473" ht="15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</row>
    <row r="474" ht="15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</row>
    <row r="475" ht="15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</row>
    <row r="476" ht="15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</row>
    <row r="477" ht="15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</row>
    <row r="478" ht="15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</row>
    <row r="479" ht="15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</row>
    <row r="480" ht="15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</row>
    <row r="481" ht="15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</row>
    <row r="482" ht="15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</row>
    <row r="483" ht="15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</row>
    <row r="484" ht="15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</row>
    <row r="485" ht="15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</row>
    <row r="486" ht="15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</row>
    <row r="487" ht="15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</row>
    <row r="488" ht="15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</row>
    <row r="489" ht="15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</row>
    <row r="490" ht="15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</row>
    <row r="491" ht="15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</row>
    <row r="492" ht="15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</row>
    <row r="493" ht="15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</row>
    <row r="494" ht="15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</row>
    <row r="495" ht="15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</row>
    <row r="496" ht="15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</row>
    <row r="497" ht="15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</row>
    <row r="498" ht="15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</row>
    <row r="499" ht="15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0" ht="15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</row>
    <row r="501" ht="15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</row>
    <row r="502" ht="15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</row>
    <row r="503" ht="15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</row>
    <row r="504" ht="15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</row>
    <row r="505" ht="15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</row>
    <row r="506" ht="15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</row>
    <row r="507" ht="15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</row>
    <row r="508" ht="15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</row>
    <row r="509" ht="15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ht="15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ht="15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</row>
    <row r="512" ht="15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</row>
    <row r="513" ht="15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</row>
    <row r="514" ht="15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</row>
    <row r="515" ht="15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</row>
    <row r="516" ht="15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</row>
    <row r="517" ht="15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</row>
    <row r="518" ht="15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</row>
    <row r="519" ht="15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</row>
    <row r="520" ht="15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</row>
    <row r="521" ht="15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</row>
    <row r="522" ht="15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</row>
    <row r="523" ht="15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</row>
    <row r="524" ht="15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</row>
    <row r="525" ht="15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</row>
    <row r="526" ht="15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</row>
    <row r="527" ht="15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</row>
    <row r="528" ht="15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</row>
    <row r="529" ht="15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</row>
    <row r="530" ht="15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</row>
    <row r="531" ht="15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</row>
    <row r="532" ht="15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</row>
    <row r="533" ht="15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</row>
    <row r="534" ht="15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</row>
    <row r="535" ht="15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</row>
    <row r="536" ht="15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</row>
    <row r="537" ht="15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</row>
    <row r="538" ht="15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</row>
    <row r="539" ht="15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</row>
    <row r="540" ht="15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</row>
    <row r="541" ht="15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</row>
    <row r="542" ht="15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</row>
    <row r="543" ht="15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</row>
    <row r="544" ht="15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</row>
    <row r="545" ht="15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</row>
    <row r="546" ht="15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</row>
    <row r="547" ht="15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</row>
    <row r="548" ht="15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</row>
    <row r="549" ht="15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</row>
    <row r="550" ht="15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</row>
    <row r="551" ht="15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</row>
    <row r="552" ht="15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</row>
    <row r="553" ht="15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</row>
    <row r="554" ht="15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</row>
    <row r="555" ht="15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</row>
    <row r="556" ht="15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</row>
    <row r="557" ht="15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</row>
    <row r="558" ht="15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</row>
    <row r="559" ht="15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</row>
    <row r="560" ht="15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</row>
    <row r="561" ht="15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</row>
    <row r="562" ht="15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</row>
    <row r="563" ht="15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</row>
    <row r="564" ht="15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</row>
    <row r="565" ht="15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</row>
    <row r="566" ht="15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</row>
    <row r="567" ht="15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</row>
    <row r="568" ht="15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</row>
    <row r="569" ht="15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</row>
    <row r="570" ht="15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</row>
    <row r="571" ht="15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</row>
    <row r="572" ht="15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</row>
    <row r="573" ht="15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</row>
    <row r="574" ht="15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</row>
    <row r="575" ht="15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</row>
    <row r="576" ht="15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</row>
    <row r="577" ht="15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</row>
    <row r="578" ht="15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</row>
    <row r="579" ht="15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</row>
    <row r="580" ht="15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</row>
    <row r="581" ht="15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</row>
    <row r="582" ht="15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</row>
    <row r="583" ht="15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</row>
    <row r="584" ht="15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</row>
    <row r="585" ht="15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</row>
    <row r="586" ht="15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</row>
    <row r="587" ht="15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</row>
    <row r="588" ht="15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</row>
    <row r="589" ht="15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</row>
    <row r="590" ht="15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</row>
    <row r="591" ht="15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</row>
    <row r="592" ht="15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</row>
    <row r="593" ht="15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</row>
    <row r="594" ht="15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</row>
    <row r="595" ht="15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</row>
    <row r="596" ht="15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</row>
    <row r="597" ht="15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</row>
    <row r="598" ht="15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</row>
    <row r="599" ht="15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</row>
    <row r="600" ht="15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</row>
    <row r="601" ht="15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</row>
    <row r="602" ht="15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</row>
    <row r="603" ht="15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</row>
    <row r="604" ht="15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</row>
    <row r="605" ht="15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</row>
    <row r="606" ht="15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</row>
    <row r="607" ht="15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</row>
    <row r="608" ht="15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</row>
    <row r="609" ht="15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</row>
    <row r="610" ht="15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</row>
    <row r="611" ht="15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</row>
    <row r="612" ht="15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</row>
    <row r="613" ht="15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</row>
    <row r="614" ht="15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</row>
    <row r="615" ht="15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</row>
    <row r="616" ht="15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</row>
    <row r="617" ht="15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</row>
    <row r="618" ht="15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</row>
    <row r="619" ht="15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</row>
    <row r="620" ht="15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</row>
    <row r="621" ht="15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</row>
    <row r="622" ht="15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</row>
    <row r="623" ht="15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</row>
    <row r="624" ht="15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</row>
    <row r="625" ht="15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</row>
    <row r="626" ht="15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</row>
    <row r="627" ht="15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</row>
    <row r="628" ht="15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</row>
    <row r="629" ht="15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</row>
    <row r="630" ht="15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</row>
    <row r="631" ht="15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</row>
    <row r="632" ht="15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</row>
    <row r="633" ht="15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</row>
    <row r="634" ht="15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</row>
    <row r="635" ht="15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</row>
    <row r="636" ht="15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</row>
    <row r="637" ht="15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</row>
    <row r="638" ht="15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</row>
    <row r="639" ht="15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</row>
    <row r="640" ht="15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</row>
    <row r="641" ht="15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</row>
    <row r="642" ht="15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</row>
    <row r="643" ht="15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</row>
    <row r="644" ht="15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</row>
    <row r="645" ht="15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</row>
    <row r="646" ht="15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</row>
    <row r="647" ht="15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</row>
    <row r="648" ht="15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</row>
    <row r="649" ht="15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</row>
    <row r="650" ht="15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</row>
    <row r="651" ht="15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</row>
    <row r="652" ht="15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</row>
    <row r="653" ht="15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</row>
    <row r="654" ht="15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</row>
    <row r="655" ht="15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</row>
    <row r="656" ht="15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</row>
    <row r="657" ht="15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</row>
    <row r="658" ht="15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</row>
    <row r="659" ht="15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</row>
    <row r="660" ht="15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</row>
    <row r="661" ht="15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</row>
    <row r="662" ht="15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</row>
    <row r="663" ht="15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</row>
    <row r="664" ht="15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</row>
    <row r="665" ht="15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</row>
    <row r="666" ht="15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</row>
    <row r="667" ht="15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</row>
    <row r="668" ht="15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</row>
    <row r="669" ht="15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</row>
    <row r="670" ht="15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</row>
    <row r="671" ht="15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</row>
    <row r="672" ht="15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</row>
    <row r="673" ht="15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</row>
    <row r="674" ht="15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</row>
    <row r="675" ht="15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</row>
    <row r="676" ht="15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</row>
    <row r="677" ht="15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</row>
    <row r="678" ht="15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</row>
    <row r="679" ht="15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</row>
    <row r="680" ht="15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</row>
    <row r="681" ht="15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</row>
    <row r="682" ht="15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</row>
    <row r="683" ht="15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</row>
    <row r="684" ht="15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</row>
    <row r="685" ht="15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</row>
    <row r="686" ht="15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</row>
    <row r="687" ht="15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</row>
    <row r="688" ht="15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</row>
    <row r="689" ht="15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</row>
    <row r="690" ht="15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</row>
    <row r="691" ht="15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</row>
    <row r="692" ht="15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</row>
    <row r="693" ht="15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</row>
    <row r="694" ht="15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</row>
    <row r="695" ht="15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</row>
    <row r="696" ht="15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</row>
    <row r="697" ht="15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</row>
    <row r="698" ht="15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</row>
    <row r="699" ht="15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</row>
    <row r="700" ht="15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</row>
    <row r="701" ht="15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</row>
    <row r="702" ht="15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</row>
    <row r="703" ht="15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</row>
    <row r="704" ht="15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</row>
    <row r="705" ht="15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</row>
    <row r="706" ht="15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</row>
    <row r="707" ht="15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</row>
    <row r="708" ht="15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</row>
    <row r="709" ht="15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</row>
    <row r="710" ht="15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</row>
    <row r="711" ht="15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ht="15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</row>
    <row r="713" ht="15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</row>
    <row r="714" ht="15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</row>
    <row r="715" ht="15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</row>
    <row r="716" ht="15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</row>
    <row r="717" ht="15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</row>
    <row r="718" ht="15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</row>
    <row r="719" ht="15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</row>
    <row r="720" ht="15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</row>
    <row r="721" ht="15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</row>
    <row r="722" ht="15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</row>
    <row r="723" ht="15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</row>
    <row r="724" ht="15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</row>
    <row r="725" ht="15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</row>
    <row r="726" ht="15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</row>
    <row r="727" ht="15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</row>
    <row r="728" ht="15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</row>
    <row r="729" ht="15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</row>
    <row r="730" ht="15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</row>
    <row r="731" ht="15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</row>
    <row r="732" ht="15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</row>
    <row r="733" ht="15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</row>
    <row r="734" ht="15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</row>
    <row r="735" ht="15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</row>
    <row r="736" ht="15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</row>
    <row r="737" ht="15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</row>
    <row r="738" ht="15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</row>
    <row r="739" ht="15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</row>
    <row r="740" ht="15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</row>
    <row r="741" ht="15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</row>
    <row r="742" ht="15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</row>
    <row r="743" ht="15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</row>
    <row r="744" ht="15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</row>
    <row r="745" ht="15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</row>
    <row r="746" ht="15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</row>
    <row r="747" ht="15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</row>
    <row r="748" ht="15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</row>
    <row r="749" ht="15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</row>
    <row r="750" ht="15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</row>
    <row r="751" ht="15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</row>
    <row r="752" ht="15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</row>
    <row r="753" ht="15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</row>
    <row r="754" ht="15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</row>
    <row r="755" ht="15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</row>
    <row r="756" ht="15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</row>
    <row r="757" ht="15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</row>
    <row r="758" ht="15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</row>
    <row r="759" ht="15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</row>
    <row r="760" ht="15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</row>
    <row r="761" ht="15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</row>
    <row r="762" ht="15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</row>
    <row r="763" ht="15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</row>
    <row r="764" ht="15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</row>
    <row r="765" ht="15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</row>
    <row r="766" ht="15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</row>
    <row r="767" ht="15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</row>
    <row r="768" ht="15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</row>
    <row r="769" ht="15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</row>
    <row r="770" ht="15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</row>
    <row r="771" ht="15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</row>
    <row r="772" ht="15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</row>
    <row r="773" ht="15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</row>
    <row r="774" ht="15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</row>
    <row r="775" ht="15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</row>
    <row r="776" ht="15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</row>
    <row r="777" ht="15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</row>
    <row r="778" ht="15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</row>
    <row r="779" ht="15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</row>
    <row r="780" ht="15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</row>
    <row r="781" ht="15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</row>
    <row r="782" ht="15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</row>
    <row r="783" ht="15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</row>
    <row r="784" ht="15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</row>
    <row r="785" ht="15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</row>
    <row r="786" ht="15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</row>
    <row r="787" ht="15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</row>
    <row r="788" ht="15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</row>
    <row r="789" ht="15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</row>
    <row r="790" ht="15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</row>
    <row r="791" ht="15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</row>
    <row r="792" ht="15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</row>
    <row r="793" ht="15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</row>
    <row r="794" ht="15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</row>
    <row r="795" ht="15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</row>
    <row r="796" ht="15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</row>
    <row r="797" ht="15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</row>
    <row r="798" ht="15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</row>
    <row r="799" ht="15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</row>
    <row r="800" ht="15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</row>
    <row r="801" ht="15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</row>
    <row r="802" ht="15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</row>
    <row r="803" ht="15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</row>
    <row r="804" ht="15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</row>
    <row r="805" ht="15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</row>
    <row r="806" ht="15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</row>
    <row r="807" ht="15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</row>
    <row r="808" ht="15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</row>
    <row r="809" ht="15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</row>
    <row r="810" ht="15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</row>
    <row r="811" ht="15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</row>
    <row r="812" ht="15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</row>
    <row r="813" ht="15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</row>
    <row r="814" ht="15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</row>
    <row r="815" ht="15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</row>
    <row r="816" ht="15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</row>
    <row r="817" ht="15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</row>
    <row r="818" ht="15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</row>
    <row r="819" ht="15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</row>
    <row r="820" ht="15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</row>
    <row r="821" ht="15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</row>
    <row r="822" ht="15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</row>
    <row r="823" ht="15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</row>
    <row r="824" ht="15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</row>
    <row r="825" ht="15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</row>
    <row r="826" ht="15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</row>
    <row r="827" ht="15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</row>
    <row r="828" ht="15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</row>
    <row r="829" ht="15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</row>
    <row r="830" ht="15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</row>
    <row r="831" ht="15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</row>
    <row r="832" ht="15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</row>
    <row r="833" ht="15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</row>
    <row r="834" ht="15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</row>
    <row r="835" ht="15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</row>
    <row r="836" ht="15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</row>
    <row r="837" ht="15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</row>
    <row r="838" ht="15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</row>
    <row r="839" ht="15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</row>
    <row r="840" ht="15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</row>
    <row r="841" ht="15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</row>
    <row r="842" ht="15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</row>
    <row r="843" ht="15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</row>
    <row r="844" ht="15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</row>
    <row r="845" ht="15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</row>
    <row r="846" ht="15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</row>
    <row r="847" ht="15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</row>
    <row r="848" ht="15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</row>
    <row r="849" ht="15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</row>
    <row r="850" ht="15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</row>
    <row r="851" ht="15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</row>
    <row r="852" ht="15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</row>
    <row r="853" ht="15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</row>
    <row r="854" ht="15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</row>
    <row r="855" ht="15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</row>
    <row r="856" ht="15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</row>
    <row r="857" ht="15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</row>
    <row r="858" ht="15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</row>
    <row r="859" ht="15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</row>
    <row r="860" ht="15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</row>
    <row r="861" ht="15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</row>
    <row r="862" ht="15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</row>
    <row r="863" ht="15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</row>
    <row r="864" ht="15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</row>
    <row r="865" ht="15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</row>
    <row r="866" ht="15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</row>
    <row r="867" ht="15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</row>
    <row r="868" ht="15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</row>
    <row r="869" ht="15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</row>
    <row r="870" ht="15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</row>
    <row r="871" ht="15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</row>
    <row r="872" ht="15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</row>
    <row r="873" ht="15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</row>
    <row r="874" ht="15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</row>
    <row r="875" ht="15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</row>
    <row r="876" ht="15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</row>
    <row r="877" ht="15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</row>
    <row r="878" ht="15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</row>
    <row r="879" ht="15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</row>
    <row r="880" ht="15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</row>
    <row r="881" ht="15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</row>
    <row r="882" ht="15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</row>
    <row r="883" ht="15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</row>
    <row r="884" ht="15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</row>
    <row r="885" ht="15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</row>
    <row r="886" ht="15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ht="15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</row>
    <row r="888" ht="15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</row>
    <row r="889" ht="15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</row>
    <row r="890" ht="15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</row>
    <row r="891" ht="15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</row>
    <row r="892" ht="15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</row>
    <row r="893" ht="15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</row>
    <row r="894" ht="15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</row>
    <row r="895" ht="15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</row>
    <row r="896" ht="15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</row>
    <row r="897" ht="15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</row>
    <row r="898" ht="15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</row>
    <row r="899" ht="15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</row>
    <row r="900" ht="15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</row>
    <row r="901" ht="15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</row>
    <row r="902" ht="15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</row>
    <row r="903" ht="15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</row>
    <row r="904" ht="15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</row>
    <row r="905" ht="15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</row>
    <row r="906" ht="15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</row>
    <row r="907" ht="15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</row>
    <row r="908" ht="15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</row>
    <row r="909" ht="15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</row>
    <row r="910" ht="15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</row>
    <row r="911" ht="15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</row>
    <row r="912" ht="15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</row>
    <row r="913" ht="15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</row>
    <row r="914" ht="15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</row>
    <row r="915" ht="15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</row>
    <row r="916" ht="15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</row>
    <row r="917" ht="15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</row>
    <row r="918" ht="15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</row>
    <row r="919" ht="15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</row>
    <row r="920" ht="15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</row>
    <row r="921" ht="15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</row>
    <row r="922" ht="15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</row>
    <row r="923" ht="15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</row>
    <row r="924" ht="15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</row>
    <row r="925" ht="15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</row>
    <row r="926" ht="15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</row>
    <row r="927" ht="15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</row>
    <row r="928" ht="15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</row>
    <row r="929" ht="15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</row>
    <row r="930" ht="15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</row>
    <row r="931" ht="15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</row>
    <row r="932" ht="15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</row>
    <row r="933" ht="15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</row>
    <row r="934" ht="15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</row>
    <row r="935" ht="15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</row>
    <row r="936" ht="15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</row>
    <row r="937" ht="15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</row>
    <row r="938" ht="15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</row>
    <row r="939" ht="15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</row>
    <row r="940" ht="15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</row>
    <row r="941" ht="15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</row>
    <row r="942" ht="15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</row>
    <row r="943" ht="15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</row>
    <row r="944" ht="15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</row>
    <row r="945" ht="15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</row>
    <row r="946" ht="15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</row>
    <row r="947" ht="15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</row>
    <row r="948" ht="15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</row>
    <row r="949" ht="15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</row>
    <row r="950" ht="15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</row>
    <row r="951" ht="15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</row>
    <row r="952" ht="15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</row>
    <row r="953" ht="15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</row>
    <row r="954" ht="15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</row>
    <row r="955" ht="15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</row>
    <row r="956" ht="15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</row>
    <row r="957" ht="15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</row>
    <row r="958" ht="15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</row>
    <row r="959" ht="15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</row>
    <row r="960" ht="15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</row>
    <row r="961" ht="15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</row>
    <row r="962" ht="15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</row>
    <row r="963" ht="15.7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</row>
    <row r="964" ht="15.7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</row>
    <row r="965" ht="15.7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</row>
    <row r="966" ht="15.7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</row>
    <row r="967" ht="15.7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</row>
    <row r="968" ht="15.7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</row>
    <row r="969" ht="15.7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</row>
    <row r="970" ht="15.7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</row>
    <row r="971" ht="15.7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</row>
    <row r="972" ht="15.7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</row>
    <row r="973" ht="15.7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</row>
    <row r="974" ht="15.7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</row>
    <row r="975" ht="15.7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</row>
    <row r="976" ht="15.7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</row>
    <row r="977" ht="15.7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</row>
    <row r="978" ht="15.7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</row>
    <row r="979" ht="15.7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</row>
    <row r="980" ht="15.7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</row>
    <row r="981" ht="15.7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</row>
    <row r="982" ht="15.7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</row>
    <row r="983" ht="15.7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</row>
    <row r="984" ht="15.7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</row>
    <row r="985" ht="15.7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</row>
    <row r="986" ht="15.7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</row>
    <row r="987" ht="15.7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</row>
    <row r="988" ht="15.7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</row>
    <row r="989" ht="15.7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</row>
    <row r="990" ht="15.7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</row>
    <row r="991" ht="15.7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</row>
    <row r="992" ht="15.7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</row>
    <row r="993" ht="15.7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</row>
    <row r="994" ht="15.7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</row>
    <row r="995" ht="15.7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</row>
    <row r="996" ht="15.7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</row>
    <row r="997" ht="15.7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</row>
    <row r="998" ht="15.7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</row>
    <row r="999" ht="15.7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</row>
    <row r="1000" ht="15.7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</row>
  </sheetData>
  <mergeCells count="6">
    <mergeCell ref="E3:J3"/>
    <mergeCell ref="L3:M3"/>
    <mergeCell ref="L13:M13"/>
    <mergeCell ref="L23:M23"/>
    <mergeCell ref="L33:M33"/>
    <mergeCell ref="L43:M43"/>
  </mergeCells>
  <conditionalFormatting sqref="Q41:T41">
    <cfRule type="cellIs" dxfId="0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8.0"/>
    <col customWidth="1" min="3" max="3" width="15.0"/>
    <col customWidth="1" min="4" max="13" width="4.57"/>
    <col customWidth="1" min="14" max="25" width="10.86"/>
    <col hidden="1" min="27" max="28" width="14.43"/>
  </cols>
  <sheetData>
    <row r="1" ht="17.25" customHeight="1">
      <c r="A1" s="84" t="s">
        <v>100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</row>
    <row r="2" ht="15.0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ht="15.0" customHeight="1">
      <c r="A3" s="86" t="s">
        <v>101</v>
      </c>
      <c r="B3" s="86" t="s">
        <v>102</v>
      </c>
      <c r="C3" s="86" t="s">
        <v>73</v>
      </c>
      <c r="D3" s="85"/>
      <c r="E3" s="87" t="s">
        <v>74</v>
      </c>
      <c r="M3" s="85"/>
      <c r="N3" s="118" t="s">
        <v>79</v>
      </c>
      <c r="O3" s="118" t="s">
        <v>80</v>
      </c>
      <c r="P3" s="118" t="s">
        <v>81</v>
      </c>
      <c r="Q3" s="118" t="s">
        <v>82</v>
      </c>
      <c r="R3" s="118" t="s">
        <v>83</v>
      </c>
      <c r="S3" s="118" t="s">
        <v>84</v>
      </c>
      <c r="T3" s="118" t="s">
        <v>85</v>
      </c>
      <c r="U3" s="119" t="s">
        <v>86</v>
      </c>
      <c r="V3" s="118" t="s">
        <v>87</v>
      </c>
      <c r="W3" s="118" t="s">
        <v>88</v>
      </c>
      <c r="X3" s="118" t="s">
        <v>89</v>
      </c>
      <c r="Y3" s="120" t="s">
        <v>103</v>
      </c>
      <c r="Z3" s="85"/>
      <c r="AA3" s="120" t="s">
        <v>76</v>
      </c>
      <c r="AB3" s="120" t="s">
        <v>77</v>
      </c>
      <c r="AC3" s="85"/>
      <c r="AD3" s="85"/>
      <c r="AE3" s="85"/>
      <c r="AF3" s="85"/>
      <c r="AG3" s="85"/>
    </row>
    <row r="4" ht="15.0" customHeight="1">
      <c r="A4" s="109">
        <v>1.0</v>
      </c>
      <c r="B4" s="121">
        <v>10.0</v>
      </c>
      <c r="C4" s="122">
        <v>15.0</v>
      </c>
      <c r="D4" s="85"/>
      <c r="E4" s="92" t="str">
        <f>IFERROR(__xludf.DUMMYFUNCTION("LET(
  names, HSTACK(""Coins"", $N$3:$X$3),
  amounts, HSTACK(C4, N4:X4),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4" s="93">
        <f>IFERROR(__xludf.DUMMYFUNCTION("""COMPUTED_VALUE"""),15.0)</f>
        <v>15</v>
      </c>
      <c r="G4" s="92" t="str">
        <f>IFERROR(__xludf.DUMMYFUNCTION("""COMPUTED_VALUE"""),"")</f>
        <v/>
      </c>
      <c r="H4" s="93">
        <f>IFERROR(__xludf.DUMMYFUNCTION("""COMPUTED_VALUE"""),1.0)</f>
        <v>1</v>
      </c>
      <c r="I4" s="92" t="str">
        <f>IFERROR(__xludf.DUMMYFUNCTION("""COMPUTED_VALUE"""),"")</f>
        <v/>
      </c>
      <c r="J4" s="93">
        <f>IFERROR(__xludf.DUMMYFUNCTION("""COMPUTED_VALUE"""),1.0)</f>
        <v>1</v>
      </c>
      <c r="K4" s="93"/>
      <c r="L4" s="93"/>
      <c r="M4" s="85"/>
      <c r="N4" s="123">
        <v>0.0</v>
      </c>
      <c r="O4" s="124">
        <v>1.0</v>
      </c>
      <c r="P4" s="124">
        <v>0.0</v>
      </c>
      <c r="Q4" s="124">
        <v>1.0</v>
      </c>
      <c r="R4" s="124">
        <v>0.0</v>
      </c>
      <c r="S4" s="124">
        <v>0.0</v>
      </c>
      <c r="T4" s="124">
        <v>0.0</v>
      </c>
      <c r="U4" s="125">
        <v>0.0</v>
      </c>
      <c r="V4" s="124">
        <v>0.0</v>
      </c>
      <c r="W4" s="124">
        <v>0.0</v>
      </c>
      <c r="X4" s="126">
        <v>0.0</v>
      </c>
      <c r="Y4" s="127">
        <f t="shared" ref="Y4:Y13" si="1">SUMPRODUCT(N4:X4, {0,33,50,67,167,67,50,4.17,7.56,12.17,16.22})</f>
        <v>100</v>
      </c>
      <c r="Z4" s="85"/>
      <c r="AA4" s="128" t="s">
        <v>90</v>
      </c>
      <c r="AB4" s="96"/>
      <c r="AC4" s="85"/>
      <c r="AD4" s="85"/>
      <c r="AE4" s="85"/>
      <c r="AF4" s="85"/>
      <c r="AG4" s="85"/>
    </row>
    <row r="5" ht="15.0" customHeight="1">
      <c r="A5" s="111">
        <v>2.0</v>
      </c>
      <c r="B5" s="129">
        <v>10.0</v>
      </c>
      <c r="C5" s="130">
        <v>15.0</v>
      </c>
      <c r="D5" s="85"/>
      <c r="E5" s="92" t="str">
        <f>IFERROR(__xludf.DUMMYFUNCTION("LET(
  names, HSTACK(""Coins"", $N$3:$X$3),
  amounts, HSTACK(C5, N5:X5),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93">
        <f>IFERROR(__xludf.DUMMYFUNCTION("""COMPUTED_VALUE"""),15.0)</f>
        <v>15</v>
      </c>
      <c r="G5" s="92" t="str">
        <f>IFERROR(__xludf.DUMMYFUNCTION("""COMPUTED_VALUE"""),"")</f>
        <v/>
      </c>
      <c r="H5" s="93">
        <f>IFERROR(__xludf.DUMMYFUNCTION("""COMPUTED_VALUE"""),1.0)</f>
        <v>1</v>
      </c>
      <c r="I5" s="92" t="str">
        <f>IFERROR(__xludf.DUMMYFUNCTION("""COMPUTED_VALUE"""),"")</f>
        <v/>
      </c>
      <c r="J5" s="93">
        <f>IFERROR(__xludf.DUMMYFUNCTION("""COMPUTED_VALUE"""),15.0)</f>
        <v>15</v>
      </c>
      <c r="K5" s="93"/>
      <c r="L5" s="93"/>
      <c r="M5" s="85"/>
      <c r="N5" s="131">
        <v>0.0</v>
      </c>
      <c r="O5" s="125">
        <v>0.0</v>
      </c>
      <c r="P5" s="125">
        <v>1.0</v>
      </c>
      <c r="Q5" s="125">
        <v>0.0</v>
      </c>
      <c r="R5" s="125">
        <v>0.0</v>
      </c>
      <c r="S5" s="125">
        <v>0.0</v>
      </c>
      <c r="T5" s="125">
        <v>0.0</v>
      </c>
      <c r="U5" s="125">
        <v>15.0</v>
      </c>
      <c r="V5" s="125">
        <v>0.0</v>
      </c>
      <c r="W5" s="125">
        <v>0.0</v>
      </c>
      <c r="X5" s="132">
        <v>0.0</v>
      </c>
      <c r="Y5" s="127">
        <f t="shared" si="1"/>
        <v>112.55</v>
      </c>
      <c r="Z5" s="85"/>
      <c r="AA5" s="92" t="str">
        <f t="array" ref="AA5:AA15">TRANSPOSE(N3:X3)</f>
        <v>SPT</v>
      </c>
      <c r="AB5" s="85"/>
      <c r="AC5" s="85"/>
      <c r="AD5" s="85"/>
      <c r="AE5" s="85"/>
      <c r="AF5" s="85"/>
      <c r="AG5" s="85"/>
    </row>
    <row r="6" ht="15.0" customHeight="1">
      <c r="A6" s="111">
        <v>3.0</v>
      </c>
      <c r="B6" s="129">
        <v>10.0</v>
      </c>
      <c r="C6" s="130">
        <v>15.0</v>
      </c>
      <c r="D6" s="85"/>
      <c r="E6" s="92" t="str">
        <f>IFERROR(__xludf.DUMMYFUNCTION("LET(
  names, HSTACK(""Coins"", $N$3:$X$3),
  amounts, HSTACK(C6, N6:X6),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93">
        <f>IFERROR(__xludf.DUMMYFUNCTION("""COMPUTED_VALUE"""),15.0)</f>
        <v>15</v>
      </c>
      <c r="G6" s="92" t="str">
        <f>IFERROR(__xludf.DUMMYFUNCTION("""COMPUTED_VALUE"""),"")</f>
        <v/>
      </c>
      <c r="H6" s="93">
        <f>IFERROR(__xludf.DUMMYFUNCTION("""COMPUTED_VALUE"""),1.0)</f>
        <v>1</v>
      </c>
      <c r="I6" s="92" t="str">
        <f>IFERROR(__xludf.DUMMYFUNCTION("""COMPUTED_VALUE"""),"")</f>
        <v/>
      </c>
      <c r="J6" s="93">
        <f>IFERROR(__xludf.DUMMYFUNCTION("""COMPUTED_VALUE"""),15.0)</f>
        <v>15</v>
      </c>
      <c r="K6" s="93"/>
      <c r="L6" s="93"/>
      <c r="M6" s="85"/>
      <c r="N6" s="131">
        <v>0.0</v>
      </c>
      <c r="O6" s="125">
        <v>1.0</v>
      </c>
      <c r="P6" s="125">
        <v>0.0</v>
      </c>
      <c r="Q6" s="125">
        <v>0.0</v>
      </c>
      <c r="R6" s="125">
        <v>0.0</v>
      </c>
      <c r="S6" s="125">
        <v>0.0</v>
      </c>
      <c r="T6" s="125">
        <v>0.0</v>
      </c>
      <c r="U6" s="125">
        <v>15.0</v>
      </c>
      <c r="V6" s="125">
        <v>0.0</v>
      </c>
      <c r="W6" s="125">
        <v>0.0</v>
      </c>
      <c r="X6" s="132">
        <v>0.0</v>
      </c>
      <c r="Y6" s="127">
        <f t="shared" si="1"/>
        <v>95.55</v>
      </c>
      <c r="Z6" s="85"/>
      <c r="AA6" s="92" t="s">
        <v>80</v>
      </c>
      <c r="AB6" s="96"/>
      <c r="AC6" s="85"/>
      <c r="AD6" s="85"/>
      <c r="AE6" s="85"/>
      <c r="AF6" s="85"/>
      <c r="AG6" s="85"/>
    </row>
    <row r="7" ht="15.0" customHeight="1">
      <c r="A7" s="111">
        <v>4.0</v>
      </c>
      <c r="B7" s="129">
        <v>10.0</v>
      </c>
      <c r="C7" s="130">
        <v>20.0</v>
      </c>
      <c r="D7" s="85"/>
      <c r="E7" s="92" t="str">
        <f>IFERROR(__xludf.DUMMYFUNCTION("LET(
  names, HSTACK(""Coins"", $N$3:$X$3),
  amounts, HSTACK(C7, N7:X7),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93">
        <f>IFERROR(__xludf.DUMMYFUNCTION("""COMPUTED_VALUE"""),20.0)</f>
        <v>20</v>
      </c>
      <c r="G7" s="92" t="str">
        <f>IFERROR(__xludf.DUMMYFUNCTION("""COMPUTED_VALUE"""),"")</f>
        <v/>
      </c>
      <c r="H7" s="93">
        <f>IFERROR(__xludf.DUMMYFUNCTION("""COMPUTED_VALUE"""),1.0)</f>
        <v>1</v>
      </c>
      <c r="I7" s="92" t="str">
        <f>IFERROR(__xludf.DUMMYFUNCTION("""COMPUTED_VALUE"""),"")</f>
        <v/>
      </c>
      <c r="J7" s="93">
        <f>IFERROR(__xludf.DUMMYFUNCTION("""COMPUTED_VALUE"""),15.0)</f>
        <v>15</v>
      </c>
      <c r="K7" s="93"/>
      <c r="L7" s="93"/>
      <c r="M7" s="85"/>
      <c r="N7" s="131">
        <v>0.0</v>
      </c>
      <c r="O7" s="125">
        <v>1.0</v>
      </c>
      <c r="P7" s="125">
        <v>0.0</v>
      </c>
      <c r="Q7" s="125">
        <v>0.0</v>
      </c>
      <c r="R7" s="125">
        <v>0.0</v>
      </c>
      <c r="S7" s="125">
        <v>0.0</v>
      </c>
      <c r="T7" s="125">
        <v>0.0</v>
      </c>
      <c r="U7" s="125">
        <v>15.0</v>
      </c>
      <c r="V7" s="125">
        <v>0.0</v>
      </c>
      <c r="W7" s="125">
        <v>0.0</v>
      </c>
      <c r="X7" s="132">
        <v>0.0</v>
      </c>
      <c r="Y7" s="127">
        <f t="shared" si="1"/>
        <v>95.55</v>
      </c>
      <c r="Z7" s="85"/>
      <c r="AA7" s="92" t="s">
        <v>81</v>
      </c>
      <c r="AB7" s="96"/>
      <c r="AC7" s="85"/>
      <c r="AD7" s="85"/>
      <c r="AE7" s="85"/>
      <c r="AF7" s="85"/>
      <c r="AG7" s="85"/>
    </row>
    <row r="8" ht="15.0" customHeight="1">
      <c r="A8" s="111">
        <v>5.0</v>
      </c>
      <c r="B8" s="129">
        <v>10.0</v>
      </c>
      <c r="C8" s="130">
        <v>20.0</v>
      </c>
      <c r="D8" s="85"/>
      <c r="E8" s="92" t="str">
        <f>IFERROR(__xludf.DUMMYFUNCTION("LET(
  names, HSTACK(""Coins"", $N$3:$X$3),
  amounts, HSTACK(C8, N8:X8),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93">
        <f>IFERROR(__xludf.DUMMYFUNCTION("""COMPUTED_VALUE"""),20.0)</f>
        <v>20</v>
      </c>
      <c r="G8" s="92" t="str">
        <f>IFERROR(__xludf.DUMMYFUNCTION("""COMPUTED_VALUE"""),"")</f>
        <v/>
      </c>
      <c r="H8" s="93">
        <f>IFERROR(__xludf.DUMMYFUNCTION("""COMPUTED_VALUE"""),1.0)</f>
        <v>1</v>
      </c>
      <c r="I8" s="92" t="str">
        <f>IFERROR(__xludf.DUMMYFUNCTION("""COMPUTED_VALUE"""),"")</f>
        <v/>
      </c>
      <c r="J8" s="93">
        <f>IFERROR(__xludf.DUMMYFUNCTION("""COMPUTED_VALUE"""),1.0)</f>
        <v>1</v>
      </c>
      <c r="K8" s="93"/>
      <c r="L8" s="93"/>
      <c r="M8" s="85"/>
      <c r="N8" s="131">
        <v>0.0</v>
      </c>
      <c r="O8" s="125">
        <v>1.0</v>
      </c>
      <c r="P8" s="125">
        <v>0.0</v>
      </c>
      <c r="Q8" s="125">
        <v>0.0</v>
      </c>
      <c r="R8" s="125">
        <v>0.0</v>
      </c>
      <c r="S8" s="125">
        <v>1.0</v>
      </c>
      <c r="T8" s="125">
        <v>0.0</v>
      </c>
      <c r="U8" s="125">
        <v>0.0</v>
      </c>
      <c r="V8" s="125">
        <v>0.0</v>
      </c>
      <c r="W8" s="125">
        <v>0.0</v>
      </c>
      <c r="X8" s="132">
        <v>0.0</v>
      </c>
      <c r="Y8" s="127">
        <f t="shared" si="1"/>
        <v>100</v>
      </c>
      <c r="Z8" s="85"/>
      <c r="AA8" s="92" t="s">
        <v>82</v>
      </c>
      <c r="AB8" s="96"/>
      <c r="AC8" s="85"/>
      <c r="AD8" s="85"/>
      <c r="AE8" s="85"/>
      <c r="AF8" s="85"/>
      <c r="AG8" s="85"/>
    </row>
    <row r="9" ht="15.0" customHeight="1">
      <c r="A9" s="111">
        <v>6.0</v>
      </c>
      <c r="B9" s="129">
        <v>10.0</v>
      </c>
      <c r="C9" s="130">
        <v>20.0</v>
      </c>
      <c r="D9" s="85"/>
      <c r="E9" s="92" t="str">
        <f>IFERROR(__xludf.DUMMYFUNCTION("LET(
  names, HSTACK(""Coins"", $N$3:$X$3),
  amounts, HSTACK(C9, N9:X9),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93">
        <f>IFERROR(__xludf.DUMMYFUNCTION("""COMPUTED_VALUE"""),20.0)</f>
        <v>20</v>
      </c>
      <c r="G9" s="92" t="str">
        <f>IFERROR(__xludf.DUMMYFUNCTION("""COMPUTED_VALUE"""),"")</f>
        <v/>
      </c>
      <c r="H9" s="93">
        <f>IFERROR(__xludf.DUMMYFUNCTION("""COMPUTED_VALUE"""),1.0)</f>
        <v>1</v>
      </c>
      <c r="I9" s="92" t="str">
        <f>IFERROR(__xludf.DUMMYFUNCTION("""COMPUTED_VALUE"""),"")</f>
        <v/>
      </c>
      <c r="J9" s="93">
        <f>IFERROR(__xludf.DUMMYFUNCTION("""COMPUTED_VALUE"""),15.0)</f>
        <v>15</v>
      </c>
      <c r="K9" s="93"/>
      <c r="L9" s="93"/>
      <c r="M9" s="85"/>
      <c r="N9" s="131">
        <v>0.0</v>
      </c>
      <c r="O9" s="125">
        <v>0.0</v>
      </c>
      <c r="P9" s="125">
        <v>0.0</v>
      </c>
      <c r="Q9" s="125">
        <v>0.0</v>
      </c>
      <c r="R9" s="125">
        <v>1.0</v>
      </c>
      <c r="S9" s="125">
        <v>0.0</v>
      </c>
      <c r="T9" s="125">
        <v>0.0</v>
      </c>
      <c r="U9" s="125">
        <v>15.0</v>
      </c>
      <c r="V9" s="125">
        <v>0.0</v>
      </c>
      <c r="W9" s="125">
        <v>0.0</v>
      </c>
      <c r="X9" s="132">
        <v>0.0</v>
      </c>
      <c r="Y9" s="127">
        <f t="shared" si="1"/>
        <v>229.55</v>
      </c>
      <c r="Z9" s="85"/>
      <c r="AA9" s="92" t="s">
        <v>83</v>
      </c>
      <c r="AB9" s="96"/>
      <c r="AC9" s="85"/>
      <c r="AD9" s="85"/>
      <c r="AE9" s="85"/>
      <c r="AF9" s="85"/>
      <c r="AG9" s="85"/>
    </row>
    <row r="10" ht="15.0" customHeight="1">
      <c r="A10" s="111">
        <v>7.0</v>
      </c>
      <c r="B10" s="129">
        <v>10.0</v>
      </c>
      <c r="C10" s="130">
        <v>25.0</v>
      </c>
      <c r="D10" s="85"/>
      <c r="E10" s="92" t="str">
        <f>IFERROR(__xludf.DUMMYFUNCTION("LET(
  names, HSTACK(""Coins"", $N$3:$X$3),
  amounts, HSTACK(C10, N10:X10),
  lookupNames, $AA$4:$AA$15,
  lookupImages, $AB$4:$AB$15,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93">
        <f>IFERROR(__xludf.DUMMYFUNCTION("""COMPUTED_VALUE"""),25.0)</f>
        <v>25</v>
      </c>
      <c r="G10" s="92" t="str">
        <f>IFERROR(__xludf.DUMMYFUNCTION("""COMPUTED_VALUE"""),"")</f>
        <v/>
      </c>
      <c r="H10" s="93">
        <f>IFERROR(__xludf.DUMMYFUNCTION("""COMPUTED_VALUE"""),1.0)</f>
        <v>1</v>
      </c>
      <c r="I10" s="92" t="str">
        <f>IFERROR(__xludf.DUMMYFUNCTION("""COMPUTED_VALUE"""),"")</f>
        <v/>
      </c>
      <c r="J10" s="93">
        <f>IFERROR(__xludf.DUMMYFUNCTION("""COMPUTED_VALUE"""),30.0)</f>
        <v>30</v>
      </c>
      <c r="K10" s="93"/>
      <c r="L10" s="93"/>
      <c r="M10" s="85"/>
      <c r="N10" s="131">
        <v>0.0</v>
      </c>
      <c r="O10" s="125">
        <v>0.0</v>
      </c>
      <c r="P10" s="125">
        <v>0.0</v>
      </c>
      <c r="Q10" s="125">
        <v>0.0</v>
      </c>
      <c r="R10" s="125">
        <v>0.0</v>
      </c>
      <c r="S10" s="125">
        <v>1.0</v>
      </c>
      <c r="T10" s="125">
        <v>0.0</v>
      </c>
      <c r="U10" s="125">
        <v>30.0</v>
      </c>
      <c r="V10" s="125">
        <v>0.0</v>
      </c>
      <c r="W10" s="125">
        <v>0.0</v>
      </c>
      <c r="X10" s="132">
        <v>0.0</v>
      </c>
      <c r="Y10" s="127">
        <f t="shared" si="1"/>
        <v>192.1</v>
      </c>
      <c r="Z10" s="85"/>
      <c r="AA10" s="92" t="s">
        <v>84</v>
      </c>
      <c r="AB10" s="96"/>
      <c r="AC10" s="85"/>
      <c r="AD10" s="85"/>
      <c r="AE10" s="85"/>
      <c r="AF10" s="85"/>
      <c r="AG10" s="85"/>
    </row>
    <row r="11" ht="15.0" customHeight="1">
      <c r="A11" s="111">
        <v>8.0</v>
      </c>
      <c r="B11" s="129">
        <v>10.0</v>
      </c>
      <c r="C11" s="130">
        <v>25.0</v>
      </c>
      <c r="D11" s="85"/>
      <c r="E11" s="92" t="str">
        <f>IFERROR(__xludf.DUMMYFUNCTION("LET(
  names, HSTACK(""Coins"", $N$3:$X$3),
  amounts, HSTACK(C11, N11:X11),
  lookupNames, $AA$4:$AA$15,
  lookupImages, $AB$4:$AB$15,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93">
        <f>IFERROR(__xludf.DUMMYFUNCTION("""COMPUTED_VALUE"""),25.0)</f>
        <v>25</v>
      </c>
      <c r="G11" s="92" t="str">
        <f>IFERROR(__xludf.DUMMYFUNCTION("""COMPUTED_VALUE"""),"")</f>
        <v/>
      </c>
      <c r="H11" s="93">
        <f>IFERROR(__xludf.DUMMYFUNCTION("""COMPUTED_VALUE"""),1.0)</f>
        <v>1</v>
      </c>
      <c r="I11" s="92" t="str">
        <f>IFERROR(__xludf.DUMMYFUNCTION("""COMPUTED_VALUE"""),"")</f>
        <v/>
      </c>
      <c r="J11" s="93">
        <f>IFERROR(__xludf.DUMMYFUNCTION("""COMPUTED_VALUE"""),1.0)</f>
        <v>1</v>
      </c>
      <c r="K11" s="93"/>
      <c r="L11" s="93"/>
      <c r="M11" s="85"/>
      <c r="N11" s="131">
        <v>0.0</v>
      </c>
      <c r="O11" s="125">
        <v>0.0</v>
      </c>
      <c r="P11" s="125">
        <v>1.0</v>
      </c>
      <c r="Q11" s="125">
        <v>0.0</v>
      </c>
      <c r="R11" s="125">
        <v>1.0</v>
      </c>
      <c r="S11" s="125">
        <v>0.0</v>
      </c>
      <c r="T11" s="125">
        <v>0.0</v>
      </c>
      <c r="U11" s="125">
        <v>0.0</v>
      </c>
      <c r="V11" s="125">
        <v>0.0</v>
      </c>
      <c r="W11" s="125">
        <v>0.0</v>
      </c>
      <c r="X11" s="132">
        <v>0.0</v>
      </c>
      <c r="Y11" s="127">
        <f t="shared" si="1"/>
        <v>217</v>
      </c>
      <c r="Z11" s="85"/>
      <c r="AA11" s="92" t="s">
        <v>85</v>
      </c>
      <c r="AB11" s="96"/>
      <c r="AC11" s="85"/>
      <c r="AD11" s="85"/>
      <c r="AE11" s="85"/>
      <c r="AF11" s="85"/>
      <c r="AG11" s="85"/>
    </row>
    <row r="12" ht="15.0" customHeight="1">
      <c r="A12" s="111">
        <v>9.0</v>
      </c>
      <c r="B12" s="129">
        <v>10.0</v>
      </c>
      <c r="C12" s="130">
        <v>25.0</v>
      </c>
      <c r="D12" s="85"/>
      <c r="E12" s="92" t="str">
        <f>IFERROR(__xludf.DUMMYFUNCTION("LET(
  names, HSTACK(""Coins"", $N$3:$X$3),
  amounts, HSTACK(C12, N12:X12),
  lookupNames, $AA$4:$AA$15,
  lookupImages, $AB$4:$AB$15,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2" s="93">
        <f>IFERROR(__xludf.DUMMYFUNCTION("""COMPUTED_VALUE"""),25.0)</f>
        <v>25</v>
      </c>
      <c r="G12" s="92" t="str">
        <f>IFERROR(__xludf.DUMMYFUNCTION("""COMPUTED_VALUE"""),"")</f>
        <v/>
      </c>
      <c r="H12" s="93">
        <f>IFERROR(__xludf.DUMMYFUNCTION("""COMPUTED_VALUE"""),1.0)</f>
        <v>1</v>
      </c>
      <c r="I12" s="92" t="str">
        <f>IFERROR(__xludf.DUMMYFUNCTION("""COMPUTED_VALUE"""),"")</f>
        <v/>
      </c>
      <c r="J12" s="93">
        <f>IFERROR(__xludf.DUMMYFUNCTION("""COMPUTED_VALUE"""),60.0)</f>
        <v>60</v>
      </c>
      <c r="K12" s="93"/>
      <c r="L12" s="93"/>
      <c r="M12" s="85"/>
      <c r="N12" s="131">
        <v>0.0</v>
      </c>
      <c r="O12" s="125">
        <v>0.0</v>
      </c>
      <c r="P12" s="125">
        <v>1.0</v>
      </c>
      <c r="Q12" s="125">
        <v>0.0</v>
      </c>
      <c r="R12" s="125">
        <v>0.0</v>
      </c>
      <c r="S12" s="125">
        <v>0.0</v>
      </c>
      <c r="T12" s="125">
        <v>0.0</v>
      </c>
      <c r="U12" s="125">
        <v>60.0</v>
      </c>
      <c r="V12" s="125">
        <v>0.0</v>
      </c>
      <c r="W12" s="125">
        <v>0.0</v>
      </c>
      <c r="X12" s="132">
        <v>0.0</v>
      </c>
      <c r="Y12" s="127">
        <f t="shared" si="1"/>
        <v>300.2</v>
      </c>
      <c r="Z12" s="85"/>
      <c r="AA12" s="92" t="s">
        <v>86</v>
      </c>
      <c r="AB12" s="96"/>
      <c r="AC12" s="85"/>
      <c r="AD12" s="85"/>
      <c r="AE12" s="85"/>
      <c r="AF12" s="85"/>
      <c r="AG12" s="85"/>
    </row>
    <row r="13" ht="15.0" customHeight="1">
      <c r="A13" s="115">
        <v>10.0</v>
      </c>
      <c r="B13" s="133">
        <v>10.0</v>
      </c>
      <c r="C13" s="134">
        <v>30.0</v>
      </c>
      <c r="D13" s="85"/>
      <c r="E13" s="92" t="str">
        <f>IFERROR(__xludf.DUMMYFUNCTION("LET(
  names, HSTACK(""Coins"", $N$3:$X$3),
  amounts, HSTACK(C13, N13:X13),
  lookupNames, $AA$4:$AA$15,
  lookupImages, $AB$4:$AB$15,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3" s="93">
        <f>IFERROR(__xludf.DUMMYFUNCTION("""COMPUTED_VALUE"""),30.0)</f>
        <v>30</v>
      </c>
      <c r="G13" s="92" t="str">
        <f>IFERROR(__xludf.DUMMYFUNCTION("""COMPUTED_VALUE"""),"")</f>
        <v/>
      </c>
      <c r="H13" s="93">
        <f>IFERROR(__xludf.DUMMYFUNCTION("""COMPUTED_VALUE"""),1.0)</f>
        <v>1</v>
      </c>
      <c r="I13" s="92" t="str">
        <f>IFERROR(__xludf.DUMMYFUNCTION("""COMPUTED_VALUE"""),"")</f>
        <v/>
      </c>
      <c r="J13" s="93">
        <f>IFERROR(__xludf.DUMMYFUNCTION("""COMPUTED_VALUE"""),1.0)</f>
        <v>1</v>
      </c>
      <c r="K13" s="93"/>
      <c r="L13" s="93"/>
      <c r="M13" s="85"/>
      <c r="N13" s="135">
        <v>0.0</v>
      </c>
      <c r="O13" s="136">
        <v>0.0</v>
      </c>
      <c r="P13" s="136">
        <v>0.0</v>
      </c>
      <c r="Q13" s="136">
        <v>1.0</v>
      </c>
      <c r="R13" s="136">
        <v>0.0</v>
      </c>
      <c r="S13" s="136">
        <v>0.0</v>
      </c>
      <c r="T13" s="136">
        <v>1.0</v>
      </c>
      <c r="U13" s="136">
        <v>0.0</v>
      </c>
      <c r="V13" s="136">
        <v>0.0</v>
      </c>
      <c r="W13" s="136">
        <v>0.0</v>
      </c>
      <c r="X13" s="137">
        <v>0.0</v>
      </c>
      <c r="Y13" s="127">
        <f t="shared" si="1"/>
        <v>117</v>
      </c>
      <c r="Z13" s="85"/>
      <c r="AA13" s="92" t="s">
        <v>87</v>
      </c>
      <c r="AB13" s="96"/>
      <c r="AC13" s="85"/>
      <c r="AD13" s="85"/>
      <c r="AE13" s="85"/>
      <c r="AF13" s="85"/>
      <c r="AG13" s="85"/>
    </row>
    <row r="14" ht="15.0" customHeight="1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92" t="s">
        <v>88</v>
      </c>
      <c r="AB14" s="96"/>
      <c r="AC14" s="85"/>
      <c r="AD14" s="85"/>
      <c r="AE14" s="85"/>
      <c r="AF14" s="85"/>
      <c r="AG14" s="85"/>
    </row>
    <row r="15" ht="15.0" customHeight="1">
      <c r="A15" s="104" t="s">
        <v>91</v>
      </c>
      <c r="B15" s="105">
        <f t="shared" ref="B15:C15" si="2">SUM(B4:B13)</f>
        <v>100</v>
      </c>
      <c r="C15" s="105">
        <f t="shared" si="2"/>
        <v>210</v>
      </c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 t="s">
        <v>89</v>
      </c>
      <c r="AB15" s="96"/>
      <c r="AC15" s="85"/>
      <c r="AD15" s="85"/>
      <c r="AE15" s="85"/>
      <c r="AF15" s="85"/>
      <c r="AG15" s="85"/>
    </row>
    <row r="16" ht="15.0" customHeight="1">
      <c r="A16" s="104" t="s">
        <v>104</v>
      </c>
      <c r="B16" s="85"/>
      <c r="C16" s="107">
        <f>C15/B15</f>
        <v>2.1</v>
      </c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</row>
    <row r="17" ht="15.0" customHeight="1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</row>
    <row r="18" ht="15.0" customHeight="1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</row>
    <row r="19" ht="15.0" customHeight="1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</row>
    <row r="20" ht="15.0" customHeight="1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</row>
    <row r="21" ht="15.75" customHeight="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</row>
    <row r="22" ht="15.75" customHeight="1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</row>
    <row r="23" ht="15.75" customHeight="1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</row>
    <row r="24" ht="15.75" customHeight="1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</row>
    <row r="25" ht="15.75" customHeight="1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</row>
    <row r="26" ht="15.75" customHeight="1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</row>
    <row r="27" ht="15.75" customHeight="1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</row>
    <row r="28" ht="15.75" customHeight="1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</row>
    <row r="29" ht="15.75" customHeight="1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</row>
    <row r="30" ht="15.75" customHeight="1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</row>
    <row r="31" ht="15.75" customHeight="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</row>
    <row r="32" ht="15.75" customHeight="1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</row>
    <row r="33" ht="15.75" customHeight="1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</row>
    <row r="34" ht="15.75" customHeight="1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</row>
    <row r="35" ht="15.75" customHeight="1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</row>
    <row r="36" ht="15.75" customHeight="1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</row>
    <row r="37" ht="15.75" customHeight="1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</row>
    <row r="38" ht="15.75" customHeight="1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</row>
    <row r="39" ht="15.75" customHeight="1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</row>
    <row r="40" ht="15.75" customHeight="1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</row>
    <row r="41" ht="15.75" customHeight="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</row>
    <row r="42" ht="15.75" customHeight="1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</row>
    <row r="43" ht="15.75" customHeight="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</row>
    <row r="44" ht="15.7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</row>
    <row r="45" ht="15.75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</row>
    <row r="46" ht="15.75" customHeight="1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</row>
    <row r="47" ht="15.75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</row>
    <row r="48" ht="15.75" customHeight="1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</row>
    <row r="49" ht="15.75" customHeight="1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</row>
    <row r="50" ht="15.75" customHeight="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</row>
    <row r="51" ht="15.75" customHeight="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</row>
    <row r="52" ht="15.75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</row>
    <row r="53" ht="15.75" customHeight="1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</row>
    <row r="54" ht="15.75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</row>
    <row r="55" ht="15.75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</row>
    <row r="56" ht="15.75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</row>
    <row r="57" ht="15.7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</row>
    <row r="58" ht="15.7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</row>
    <row r="59" ht="15.7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</row>
    <row r="60" ht="15.7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</row>
    <row r="61" ht="15.7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</row>
    <row r="62" ht="15.7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</row>
    <row r="63" ht="15.7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</row>
    <row r="64" ht="15.7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</row>
    <row r="65" ht="15.7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</row>
    <row r="66" ht="15.7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</row>
    <row r="67" ht="15.7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</row>
    <row r="68" ht="15.7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</row>
    <row r="69" ht="15.7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</row>
    <row r="70" ht="15.7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</row>
    <row r="71" ht="15.7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</row>
    <row r="72" ht="15.7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</row>
    <row r="74" ht="15.7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</row>
    <row r="75" ht="15.7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</row>
    <row r="76" ht="15.7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</row>
    <row r="77" ht="15.7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</row>
    <row r="78" ht="15.7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</row>
    <row r="79" ht="15.7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</row>
    <row r="80" ht="15.7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</row>
    <row r="81" ht="15.7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</row>
    <row r="82" ht="15.7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</row>
    <row r="83" ht="15.7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</row>
    <row r="84" ht="15.7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</row>
    <row r="85" ht="15.7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</row>
    <row r="86" ht="15.7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</row>
    <row r="87" ht="15.7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</row>
    <row r="88" ht="15.7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</row>
    <row r="89" ht="15.7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</row>
    <row r="90" ht="15.7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</row>
    <row r="91" ht="15.7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</row>
    <row r="92" ht="15.7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</row>
    <row r="93" ht="15.7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</row>
    <row r="94" ht="15.7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</row>
    <row r="95" ht="15.7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</row>
    <row r="96" ht="15.7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</row>
    <row r="97" ht="15.7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</row>
    <row r="98" ht="15.7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</row>
    <row r="99" ht="15.7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</row>
    <row r="100" ht="15.7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</row>
    <row r="101" ht="15.7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</row>
    <row r="102" ht="15.7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</row>
    <row r="103" ht="15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</row>
    <row r="104" ht="15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</row>
    <row r="105" ht="15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</row>
    <row r="106" ht="15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</row>
    <row r="107" ht="15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</row>
    <row r="108" ht="15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</row>
    <row r="109" ht="15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</row>
    <row r="110" ht="15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</row>
    <row r="111" ht="15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</row>
    <row r="112" ht="15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</row>
    <row r="113" ht="15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</row>
    <row r="114" ht="15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</row>
    <row r="115" ht="15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</row>
    <row r="116" ht="15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</row>
    <row r="117" ht="15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</row>
    <row r="118" ht="15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</row>
    <row r="119" ht="15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</row>
    <row r="120" ht="15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</row>
    <row r="121" ht="15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</row>
    <row r="122" ht="15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</row>
    <row r="123" ht="15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</row>
    <row r="124" ht="15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</row>
    <row r="125" ht="15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</row>
    <row r="126" ht="15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</row>
    <row r="127" ht="15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</row>
    <row r="128" ht="15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</row>
    <row r="129" ht="15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</row>
    <row r="130" ht="15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</row>
    <row r="131" ht="15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</row>
    <row r="132" ht="15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</row>
    <row r="133" ht="15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</row>
    <row r="134" ht="15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</row>
    <row r="135" ht="15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</row>
    <row r="136" ht="15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</row>
    <row r="137" ht="15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</row>
    <row r="138" ht="15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</row>
    <row r="139" ht="15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</row>
    <row r="140" ht="15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</row>
    <row r="141" ht="15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</row>
    <row r="142" ht="15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</row>
    <row r="143" ht="15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</row>
    <row r="144" ht="15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</row>
    <row r="145" ht="15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</row>
    <row r="146" ht="15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</row>
    <row r="147" ht="15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</row>
    <row r="148" ht="15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</row>
    <row r="149" ht="15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</row>
    <row r="150" ht="15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</row>
    <row r="151" ht="15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</row>
    <row r="152" ht="15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</row>
    <row r="153" ht="15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</row>
    <row r="154" ht="15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</row>
    <row r="155" ht="15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</row>
    <row r="156" ht="15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</row>
    <row r="157" ht="15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</row>
    <row r="158" ht="15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</row>
    <row r="159" ht="15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</row>
    <row r="160" ht="15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</row>
    <row r="161" ht="15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</row>
    <row r="162" ht="15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</row>
    <row r="163" ht="15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</row>
    <row r="164" ht="15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</row>
    <row r="165" ht="15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</row>
    <row r="166" ht="15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</row>
    <row r="167" ht="15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</row>
    <row r="168" ht="15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</row>
    <row r="169" ht="15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</row>
    <row r="170" ht="15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</row>
    <row r="171" ht="15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</row>
    <row r="172" ht="15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</row>
    <row r="173" ht="15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</row>
    <row r="174" ht="15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</row>
    <row r="175" ht="15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</row>
    <row r="176" ht="15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</row>
    <row r="177" ht="15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</row>
    <row r="178" ht="15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</row>
    <row r="179" ht="15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</row>
    <row r="180" ht="15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</row>
    <row r="181" ht="15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</row>
    <row r="182" ht="15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</row>
    <row r="183" ht="15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</row>
    <row r="184" ht="15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</row>
    <row r="185" ht="15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</row>
    <row r="186" ht="15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</row>
    <row r="187" ht="15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</row>
    <row r="188" ht="15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</row>
    <row r="189" ht="15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</row>
    <row r="190" ht="15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</row>
    <row r="191" ht="15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</row>
    <row r="192" ht="15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</row>
    <row r="193" ht="15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</row>
    <row r="194" ht="15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</row>
    <row r="195" ht="15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</row>
    <row r="219" ht="15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</row>
    <row r="220" ht="15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</row>
    <row r="221" ht="15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</row>
    <row r="222" ht="15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</row>
    <row r="223" ht="15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</row>
    <row r="224" ht="15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</row>
    <row r="225" ht="15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</row>
    <row r="226" ht="15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</row>
    <row r="227" ht="15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</row>
    <row r="228" ht="15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</row>
    <row r="229" ht="15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</row>
    <row r="230" ht="15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</row>
    <row r="231" ht="15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</row>
    <row r="232" ht="15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</row>
    <row r="233" ht="15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</row>
    <row r="234" ht="15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</row>
    <row r="235" ht="15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</row>
    <row r="236" ht="15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</row>
    <row r="237" ht="15.7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</row>
    <row r="238" ht="15.7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</row>
    <row r="239" ht="15.7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</row>
    <row r="240" ht="15.7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</row>
    <row r="241" ht="15.7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</row>
    <row r="242" ht="15.7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</row>
    <row r="243" ht="15.7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</row>
    <row r="244" ht="15.7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</row>
    <row r="245" ht="15.7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</row>
    <row r="246" ht="15.7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</row>
    <row r="247" ht="15.7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</row>
    <row r="248" ht="15.7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</row>
    <row r="249" ht="15.7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</row>
    <row r="250" ht="15.7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</row>
    <row r="251" ht="15.7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</row>
    <row r="252" ht="15.7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</row>
    <row r="253" ht="15.7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</row>
    <row r="254" ht="15.7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</row>
    <row r="255" ht="15.7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</row>
    <row r="256" ht="15.7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</row>
    <row r="257" ht="15.7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</row>
    <row r="258" ht="15.7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</row>
    <row r="259" ht="15.7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</row>
    <row r="260" ht="15.7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</row>
    <row r="261" ht="15.7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</row>
    <row r="262" ht="15.7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</row>
    <row r="263" ht="15.7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</row>
    <row r="264" ht="15.7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</row>
    <row r="265" ht="15.7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</row>
    <row r="266" ht="15.7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</row>
    <row r="267" ht="15.7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</row>
    <row r="268" ht="15.7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</row>
    <row r="269" ht="15.7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</row>
    <row r="270" ht="15.7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</row>
    <row r="271" ht="15.7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</row>
    <row r="272" ht="15.7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</row>
    <row r="273" ht="15.7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</row>
    <row r="274" ht="15.7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</row>
    <row r="275" ht="15.7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</row>
    <row r="276" ht="15.7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</row>
    <row r="277" ht="15.7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</row>
    <row r="278" ht="15.7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</row>
    <row r="279" ht="15.7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</row>
    <row r="280" ht="15.7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</row>
    <row r="281" ht="15.7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</row>
    <row r="282" ht="15.7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</row>
    <row r="283" ht="15.7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</row>
    <row r="284" ht="15.7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</row>
    <row r="285" ht="15.7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</row>
    <row r="286" ht="15.7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</row>
    <row r="287" ht="15.7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</row>
    <row r="288" ht="15.7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</row>
    <row r="289" ht="15.7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</row>
    <row r="290" ht="15.7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</row>
    <row r="291" ht="15.7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</row>
    <row r="292" ht="15.7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</row>
    <row r="293" ht="15.7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</row>
    <row r="294" ht="15.7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</row>
    <row r="295" ht="15.7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</row>
    <row r="296" ht="15.7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</row>
    <row r="297" ht="15.7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</row>
    <row r="298" ht="15.7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</row>
    <row r="299" ht="15.7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</row>
    <row r="300" ht="15.7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</row>
    <row r="301" ht="15.7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</row>
    <row r="302" ht="15.7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</row>
    <row r="303" ht="15.7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</row>
    <row r="304" ht="15.7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</row>
    <row r="305" ht="15.7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</row>
    <row r="306" ht="15.7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</row>
    <row r="307" ht="15.7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</row>
    <row r="308" ht="15.7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</row>
    <row r="309" ht="15.7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</row>
    <row r="310" ht="15.7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</row>
    <row r="311" ht="15.7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</row>
    <row r="312" ht="15.7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</row>
    <row r="313" ht="15.7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</row>
    <row r="314" ht="15.7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</row>
    <row r="315" ht="15.7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</row>
    <row r="316" ht="15.7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</row>
    <row r="317" ht="15.7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</row>
    <row r="318" ht="15.7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</row>
    <row r="319" ht="15.7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</row>
    <row r="320" ht="15.7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</row>
    <row r="321" ht="15.7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</row>
    <row r="322" ht="15.7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</row>
    <row r="323" ht="15.7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</row>
    <row r="324" ht="15.7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</row>
    <row r="325" ht="15.7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</row>
    <row r="326" ht="15.7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</row>
    <row r="327" ht="15.7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</row>
    <row r="328" ht="15.7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</row>
    <row r="329" ht="15.7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</row>
    <row r="330" ht="15.7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</row>
    <row r="331" ht="15.7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</row>
    <row r="332" ht="15.7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</row>
    <row r="333" ht="15.7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</row>
    <row r="334" ht="15.7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</row>
    <row r="335" ht="15.7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</row>
    <row r="336" ht="15.7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</row>
    <row r="337" ht="15.7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</row>
    <row r="338" ht="15.7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</row>
    <row r="339" ht="15.7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</row>
    <row r="340" ht="15.7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</row>
    <row r="341" ht="15.7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</row>
    <row r="342" ht="15.7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</row>
    <row r="343" ht="15.7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</row>
    <row r="344" ht="15.7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</row>
    <row r="345" ht="15.7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</row>
    <row r="346" ht="15.7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</row>
    <row r="347" ht="15.7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</row>
    <row r="348" ht="15.7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</row>
    <row r="349" ht="15.7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</row>
    <row r="350" ht="15.7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</row>
    <row r="351" ht="15.7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</row>
    <row r="352" ht="15.7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</row>
    <row r="353" ht="15.7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</row>
    <row r="354" ht="15.7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</row>
    <row r="355" ht="15.7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</row>
    <row r="356" ht="15.7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</row>
    <row r="357" ht="15.7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</row>
    <row r="358" ht="15.7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</row>
    <row r="359" ht="15.7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</row>
    <row r="360" ht="15.7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</row>
    <row r="361" ht="15.7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</row>
    <row r="362" ht="15.7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</row>
    <row r="363" ht="15.7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</row>
    <row r="364" ht="15.7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</row>
    <row r="365" ht="15.7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</row>
    <row r="366" ht="15.7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</row>
    <row r="367" ht="15.7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</row>
    <row r="368" ht="15.7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</row>
    <row r="369" ht="15.7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</row>
    <row r="370" ht="15.7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</row>
    <row r="371" ht="15.7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</row>
    <row r="372" ht="15.7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</row>
    <row r="373" ht="15.7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</row>
    <row r="374" ht="15.7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</row>
    <row r="375" ht="15.7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</row>
    <row r="376" ht="15.7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</row>
    <row r="377" ht="15.7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</row>
    <row r="378" ht="15.7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</row>
    <row r="379" ht="15.7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</row>
    <row r="380" ht="15.7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</row>
    <row r="381" ht="15.7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</row>
    <row r="382" ht="15.7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</row>
    <row r="383" ht="15.7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</row>
    <row r="384" ht="15.7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</row>
    <row r="385" ht="15.7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</row>
    <row r="386" ht="15.7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</row>
    <row r="387" ht="15.7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</row>
    <row r="388" ht="15.7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</row>
    <row r="389" ht="15.7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</row>
    <row r="390" ht="15.7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</row>
    <row r="391" ht="15.7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</row>
    <row r="392" ht="15.7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</row>
    <row r="393" ht="15.7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</row>
    <row r="394" ht="15.7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</row>
    <row r="395" ht="15.7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</row>
    <row r="396" ht="15.7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</row>
    <row r="397" ht="15.7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</row>
    <row r="398" ht="15.7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</row>
    <row r="399" ht="15.7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</row>
    <row r="400" ht="15.7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</row>
    <row r="401" ht="15.7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</row>
    <row r="402" ht="15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</row>
    <row r="403" ht="15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</row>
    <row r="404" ht="15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</row>
    <row r="405" ht="15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</row>
    <row r="406" ht="15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</row>
    <row r="407" ht="15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</row>
    <row r="408" ht="15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</row>
    <row r="409" ht="15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</row>
    <row r="410" ht="15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</row>
    <row r="411" ht="15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</row>
    <row r="412" ht="15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</row>
    <row r="413" ht="15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</row>
    <row r="414" ht="15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</row>
    <row r="415" ht="15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</row>
    <row r="416" ht="15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</row>
    <row r="417" ht="15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</row>
    <row r="418" ht="15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</row>
    <row r="419" ht="15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</row>
    <row r="420" ht="15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</row>
    <row r="421" ht="15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</row>
    <row r="422" ht="15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</row>
    <row r="423" ht="15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</row>
    <row r="424" ht="15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</row>
    <row r="425" ht="15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</row>
    <row r="426" ht="15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</row>
    <row r="427" ht="15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</row>
    <row r="428" ht="15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</row>
    <row r="429" ht="15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</row>
    <row r="430" ht="15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</row>
    <row r="431" ht="15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</row>
    <row r="432" ht="15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</row>
    <row r="433" ht="15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</row>
    <row r="434" ht="15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</row>
    <row r="435" ht="15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</row>
    <row r="436" ht="15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</row>
    <row r="437" ht="15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</row>
    <row r="438" ht="15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</row>
    <row r="439" ht="15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</row>
    <row r="440" ht="15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</row>
    <row r="441" ht="15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</row>
    <row r="442" ht="15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</row>
    <row r="443" ht="15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</row>
    <row r="444" ht="15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</row>
    <row r="445" ht="15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</row>
    <row r="446" ht="15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</row>
    <row r="447" ht="15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</row>
    <row r="448" ht="15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</row>
    <row r="449" ht="15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</row>
    <row r="450" ht="15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</row>
    <row r="451" ht="15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</row>
    <row r="452" ht="15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</row>
    <row r="453" ht="15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</row>
    <row r="454" ht="15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</row>
    <row r="455" ht="15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</row>
    <row r="456" ht="15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</row>
    <row r="457" ht="15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</row>
    <row r="458" ht="15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</row>
    <row r="459" ht="15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</row>
    <row r="460" ht="15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</row>
    <row r="461" ht="15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</row>
    <row r="462" ht="15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</row>
    <row r="463" ht="15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</row>
    <row r="464" ht="15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</row>
    <row r="465" ht="15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</row>
    <row r="466" ht="15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</row>
    <row r="467" ht="15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</row>
    <row r="468" ht="15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</row>
    <row r="469" ht="15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</row>
    <row r="470" ht="15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</row>
    <row r="471" ht="15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</row>
    <row r="472" ht="15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</row>
    <row r="473" ht="15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</row>
    <row r="474" ht="15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</row>
    <row r="475" ht="15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</row>
    <row r="476" ht="15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</row>
    <row r="477" ht="15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</row>
    <row r="478" ht="15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</row>
    <row r="479" ht="15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</row>
    <row r="480" ht="15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</row>
    <row r="481" ht="15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</row>
    <row r="482" ht="15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</row>
    <row r="483" ht="15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</row>
    <row r="484" ht="15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</row>
    <row r="485" ht="15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</row>
    <row r="486" ht="15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</row>
    <row r="487" ht="15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</row>
    <row r="488" ht="15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</row>
    <row r="489" ht="15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</row>
    <row r="490" ht="15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</row>
    <row r="491" ht="15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</row>
    <row r="492" ht="15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</row>
    <row r="493" ht="15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</row>
    <row r="494" ht="15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</row>
    <row r="495" ht="15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</row>
    <row r="496" ht="15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</row>
    <row r="497" ht="15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</row>
    <row r="498" ht="15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</row>
    <row r="499" ht="15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</row>
    <row r="500" ht="15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</row>
    <row r="501" ht="15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</row>
    <row r="502" ht="15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</row>
    <row r="503" ht="15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</row>
    <row r="504" ht="15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</row>
    <row r="505" ht="15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</row>
    <row r="506" ht="15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</row>
    <row r="507" ht="15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</row>
    <row r="508" ht="15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</row>
    <row r="509" ht="15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</row>
    <row r="510" ht="15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</row>
    <row r="511" ht="15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</row>
    <row r="512" ht="15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</row>
    <row r="513" ht="15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</row>
    <row r="514" ht="15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</row>
    <row r="515" ht="15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</row>
    <row r="516" ht="15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</row>
    <row r="517" ht="15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</row>
    <row r="518" ht="15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</row>
    <row r="519" ht="15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</row>
    <row r="520" ht="15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</row>
    <row r="521" ht="15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</row>
    <row r="522" ht="15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</row>
    <row r="523" ht="15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</row>
    <row r="524" ht="15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</row>
    <row r="525" ht="15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</row>
    <row r="526" ht="15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</row>
    <row r="527" ht="15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</row>
    <row r="528" ht="15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</row>
    <row r="529" ht="15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</row>
    <row r="530" ht="15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</row>
    <row r="531" ht="15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</row>
    <row r="532" ht="15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</row>
    <row r="533" ht="15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</row>
    <row r="534" ht="15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</row>
    <row r="535" ht="15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</row>
    <row r="536" ht="15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</row>
    <row r="537" ht="15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</row>
    <row r="538" ht="15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</row>
    <row r="539" ht="15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</row>
    <row r="540" ht="15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</row>
    <row r="541" ht="15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</row>
    <row r="542" ht="15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</row>
    <row r="543" ht="15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</row>
    <row r="544" ht="15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</row>
    <row r="545" ht="15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</row>
    <row r="546" ht="15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</row>
    <row r="547" ht="15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</row>
    <row r="548" ht="15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</row>
    <row r="549" ht="15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</row>
    <row r="550" ht="15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</row>
    <row r="551" ht="15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</row>
    <row r="552" ht="15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</row>
    <row r="553" ht="15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</row>
    <row r="554" ht="15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</row>
    <row r="555" ht="15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</row>
    <row r="556" ht="15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</row>
    <row r="557" ht="15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</row>
    <row r="558" ht="15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</row>
    <row r="559" ht="15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</row>
    <row r="560" ht="15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</row>
    <row r="561" ht="15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</row>
    <row r="562" ht="15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</row>
    <row r="563" ht="15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</row>
    <row r="564" ht="15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</row>
    <row r="565" ht="15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</row>
    <row r="566" ht="15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</row>
    <row r="567" ht="15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</row>
    <row r="568" ht="15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</row>
    <row r="569" ht="15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</row>
    <row r="570" ht="15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</row>
    <row r="571" ht="15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</row>
    <row r="572" ht="15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</row>
    <row r="573" ht="15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</row>
    <row r="574" ht="15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</row>
    <row r="575" ht="15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</row>
    <row r="576" ht="15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</row>
    <row r="577" ht="15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</row>
    <row r="578" ht="15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</row>
    <row r="579" ht="15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</row>
    <row r="580" ht="15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</row>
    <row r="581" ht="15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</row>
    <row r="582" ht="15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</row>
    <row r="583" ht="15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</row>
    <row r="584" ht="15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</row>
    <row r="585" ht="15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</row>
    <row r="586" ht="15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</row>
    <row r="587" ht="15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</row>
    <row r="588" ht="15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</row>
    <row r="589" ht="15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</row>
    <row r="590" ht="15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</row>
    <row r="591" ht="15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</row>
    <row r="592" ht="15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</row>
    <row r="593" ht="15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</row>
    <row r="594" ht="15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</row>
    <row r="595" ht="15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</row>
    <row r="596" ht="15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</row>
    <row r="597" ht="15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</row>
    <row r="598" ht="15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</row>
    <row r="599" ht="15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</row>
    <row r="600" ht="15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</row>
    <row r="601" ht="15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</row>
    <row r="602" ht="15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</row>
    <row r="603" ht="15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</row>
    <row r="604" ht="15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</row>
    <row r="605" ht="15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</row>
    <row r="606" ht="15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</row>
    <row r="607" ht="15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</row>
    <row r="608" ht="15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</row>
    <row r="609" ht="15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</row>
    <row r="610" ht="15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</row>
    <row r="611" ht="15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</row>
    <row r="612" ht="15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</row>
    <row r="613" ht="15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</row>
    <row r="614" ht="15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</row>
    <row r="615" ht="15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</row>
    <row r="616" ht="15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</row>
    <row r="617" ht="15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</row>
    <row r="618" ht="15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</row>
    <row r="619" ht="15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</row>
    <row r="620" ht="15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</row>
    <row r="621" ht="15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</row>
    <row r="622" ht="15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</row>
    <row r="623" ht="15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</row>
    <row r="624" ht="15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</row>
    <row r="625" ht="15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</row>
    <row r="626" ht="15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</row>
    <row r="627" ht="15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</row>
    <row r="628" ht="15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</row>
    <row r="629" ht="15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</row>
    <row r="630" ht="15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</row>
    <row r="631" ht="15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</row>
    <row r="632" ht="15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</row>
    <row r="633" ht="15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</row>
    <row r="634" ht="15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</row>
    <row r="635" ht="15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</row>
    <row r="636" ht="15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</row>
    <row r="637" ht="15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</row>
    <row r="638" ht="15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</row>
    <row r="639" ht="15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</row>
    <row r="640" ht="15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</row>
    <row r="641" ht="15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</row>
    <row r="642" ht="15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</row>
    <row r="643" ht="15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</row>
    <row r="644" ht="15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</row>
    <row r="645" ht="15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</row>
    <row r="646" ht="15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</row>
    <row r="647" ht="15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</row>
    <row r="648" ht="15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</row>
    <row r="649" ht="15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</row>
    <row r="650" ht="15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</row>
    <row r="651" ht="15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</row>
    <row r="652" ht="15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</row>
    <row r="653" ht="15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</row>
    <row r="654" ht="15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</row>
    <row r="655" ht="15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</row>
    <row r="656" ht="15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</row>
    <row r="657" ht="15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</row>
    <row r="658" ht="15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</row>
    <row r="659" ht="15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</row>
    <row r="660" ht="15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</row>
    <row r="661" ht="15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</row>
    <row r="662" ht="15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</row>
    <row r="663" ht="15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</row>
    <row r="664" ht="15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</row>
    <row r="665" ht="15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</row>
    <row r="666" ht="15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</row>
    <row r="667" ht="15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</row>
    <row r="668" ht="15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</row>
    <row r="669" ht="15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</row>
    <row r="670" ht="15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</row>
    <row r="671" ht="15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</row>
    <row r="672" ht="15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</row>
    <row r="673" ht="15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</row>
    <row r="674" ht="15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</row>
    <row r="675" ht="15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</row>
    <row r="676" ht="15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</row>
    <row r="677" ht="15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</row>
    <row r="678" ht="15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</row>
    <row r="679" ht="15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</row>
    <row r="680" ht="15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</row>
    <row r="681" ht="15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</row>
    <row r="682" ht="15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</row>
    <row r="683" ht="15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</row>
    <row r="684" ht="15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</row>
    <row r="685" ht="15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</row>
    <row r="686" ht="15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</row>
    <row r="687" ht="15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</row>
    <row r="688" ht="15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</row>
    <row r="689" ht="15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</row>
    <row r="690" ht="15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</row>
    <row r="691" ht="15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</row>
    <row r="692" ht="15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</row>
    <row r="693" ht="15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</row>
    <row r="694" ht="15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</row>
    <row r="695" ht="15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</row>
    <row r="696" ht="15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</row>
    <row r="697" ht="15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</row>
    <row r="698" ht="15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</row>
    <row r="699" ht="15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</row>
    <row r="700" ht="15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</row>
    <row r="701" ht="15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</row>
    <row r="702" ht="15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</row>
    <row r="703" ht="15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</row>
    <row r="704" ht="15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</row>
    <row r="705" ht="15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</row>
    <row r="706" ht="15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</row>
    <row r="707" ht="15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</row>
    <row r="708" ht="15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</row>
    <row r="709" ht="15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</row>
    <row r="710" ht="15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</row>
    <row r="711" ht="15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</row>
    <row r="712" ht="15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</row>
    <row r="713" ht="15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</row>
    <row r="714" ht="15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</row>
    <row r="715" ht="15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</row>
    <row r="716" ht="15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</row>
    <row r="717" ht="15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</row>
    <row r="718" ht="15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</row>
    <row r="719" ht="15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</row>
    <row r="720" ht="15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</row>
    <row r="721" ht="15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</row>
    <row r="722" ht="15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</row>
    <row r="723" ht="15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</row>
    <row r="724" ht="15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</row>
    <row r="725" ht="15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</row>
    <row r="726" ht="15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</row>
    <row r="727" ht="15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</row>
    <row r="728" ht="15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</row>
    <row r="729" ht="15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</row>
    <row r="730" ht="15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</row>
    <row r="731" ht="15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</row>
    <row r="732" ht="15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</row>
    <row r="733" ht="15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</row>
    <row r="734" ht="15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</row>
    <row r="735" ht="15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</row>
    <row r="736" ht="15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</row>
    <row r="737" ht="15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</row>
    <row r="738" ht="15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</row>
    <row r="739" ht="15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</row>
    <row r="740" ht="15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</row>
    <row r="741" ht="15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</row>
    <row r="742" ht="15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</row>
    <row r="743" ht="15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</row>
    <row r="744" ht="15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</row>
    <row r="745" ht="15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</row>
    <row r="746" ht="15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</row>
    <row r="747" ht="15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</row>
    <row r="748" ht="15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</row>
    <row r="749" ht="15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</row>
    <row r="750" ht="15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</row>
    <row r="751" ht="15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</row>
    <row r="752" ht="15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</row>
    <row r="753" ht="15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</row>
    <row r="754" ht="15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</row>
    <row r="755" ht="15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</row>
    <row r="756" ht="15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</row>
    <row r="757" ht="15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</row>
    <row r="758" ht="15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</row>
    <row r="759" ht="15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</row>
    <row r="760" ht="15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</row>
    <row r="761" ht="15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</row>
    <row r="762" ht="15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</row>
    <row r="763" ht="15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</row>
    <row r="764" ht="15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</row>
    <row r="765" ht="15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</row>
    <row r="766" ht="15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</row>
    <row r="767" ht="15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</row>
    <row r="768" ht="15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</row>
    <row r="769" ht="15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</row>
    <row r="770" ht="15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</row>
    <row r="771" ht="15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</row>
    <row r="772" ht="15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</row>
    <row r="773" ht="15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</row>
    <row r="774" ht="15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</row>
    <row r="775" ht="15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</row>
    <row r="776" ht="15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</row>
    <row r="777" ht="15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</row>
    <row r="778" ht="15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</row>
    <row r="779" ht="15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</row>
    <row r="780" ht="15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</row>
    <row r="781" ht="15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</row>
    <row r="782" ht="15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</row>
    <row r="783" ht="15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</row>
    <row r="784" ht="15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</row>
    <row r="785" ht="15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</row>
    <row r="786" ht="15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</row>
    <row r="787" ht="15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</row>
    <row r="788" ht="15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</row>
    <row r="789" ht="15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</row>
    <row r="790" ht="15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</row>
    <row r="791" ht="15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</row>
    <row r="792" ht="15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</row>
    <row r="793" ht="15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</row>
    <row r="794" ht="15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</row>
    <row r="795" ht="15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</row>
    <row r="796" ht="15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</row>
    <row r="797" ht="15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</row>
    <row r="798" ht="15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</row>
    <row r="799" ht="15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</row>
    <row r="800" ht="15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</row>
    <row r="801" ht="15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</row>
    <row r="802" ht="15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</row>
    <row r="803" ht="15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</row>
    <row r="804" ht="15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</row>
    <row r="805" ht="15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</row>
    <row r="806" ht="15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</row>
    <row r="807" ht="15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</row>
    <row r="808" ht="15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</row>
    <row r="809" ht="15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</row>
    <row r="810" ht="15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</row>
    <row r="811" ht="15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</row>
    <row r="812" ht="15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</row>
    <row r="813" ht="15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</row>
    <row r="814" ht="15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</row>
    <row r="815" ht="15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</row>
    <row r="816" ht="15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</row>
    <row r="817" ht="15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</row>
    <row r="818" ht="15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</row>
    <row r="819" ht="15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</row>
    <row r="820" ht="15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</row>
    <row r="821" ht="15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</row>
    <row r="822" ht="15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</row>
    <row r="823" ht="15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</row>
    <row r="824" ht="15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</row>
    <row r="825" ht="15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</row>
    <row r="826" ht="15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</row>
    <row r="827" ht="15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</row>
    <row r="828" ht="15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</row>
    <row r="829" ht="15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</row>
    <row r="830" ht="15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</row>
    <row r="831" ht="15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</row>
    <row r="832" ht="15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</row>
    <row r="833" ht="15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</row>
    <row r="834" ht="15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</row>
    <row r="835" ht="15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</row>
    <row r="836" ht="15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</row>
    <row r="837" ht="15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</row>
    <row r="838" ht="15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</row>
    <row r="839" ht="15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</row>
    <row r="840" ht="15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</row>
    <row r="841" ht="15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</row>
    <row r="842" ht="15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</row>
    <row r="843" ht="15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</row>
    <row r="844" ht="15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</row>
    <row r="845" ht="15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</row>
    <row r="846" ht="15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</row>
    <row r="847" ht="15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</row>
    <row r="848" ht="15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</row>
    <row r="849" ht="15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</row>
    <row r="850" ht="15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</row>
    <row r="851" ht="15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</row>
    <row r="852" ht="15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</row>
    <row r="853" ht="15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</row>
    <row r="854" ht="15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</row>
    <row r="855" ht="15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</row>
    <row r="856" ht="15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</row>
    <row r="857" ht="15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</row>
    <row r="858" ht="15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</row>
    <row r="859" ht="15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</row>
    <row r="860" ht="15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</row>
    <row r="861" ht="15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</row>
    <row r="862" ht="15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</row>
    <row r="863" ht="15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</row>
    <row r="864" ht="15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</row>
    <row r="865" ht="15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</row>
    <row r="866" ht="15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</row>
    <row r="867" ht="15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</row>
    <row r="868" ht="15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</row>
    <row r="869" ht="15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</row>
    <row r="870" ht="15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</row>
    <row r="871" ht="15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</row>
    <row r="872" ht="15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</row>
    <row r="873" ht="15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</row>
    <row r="874" ht="15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</row>
    <row r="875" ht="15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</row>
    <row r="876" ht="15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</row>
    <row r="877" ht="15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</row>
    <row r="878" ht="15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</row>
    <row r="879" ht="15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</row>
    <row r="880" ht="15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</row>
    <row r="881" ht="15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</row>
    <row r="882" ht="15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</row>
    <row r="883" ht="15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</row>
    <row r="884" ht="15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</row>
    <row r="885" ht="15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</row>
    <row r="886" ht="15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</row>
    <row r="887" ht="15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</row>
    <row r="888" ht="15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</row>
    <row r="889" ht="15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</row>
    <row r="890" ht="15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</row>
    <row r="891" ht="15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</row>
    <row r="892" ht="15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</row>
    <row r="893" ht="15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</row>
    <row r="894" ht="15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</row>
    <row r="895" ht="15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</row>
    <row r="896" ht="15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</row>
    <row r="897" ht="15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</row>
    <row r="898" ht="15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</row>
    <row r="899" ht="15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</row>
    <row r="900" ht="15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</row>
    <row r="901" ht="15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</row>
    <row r="902" ht="15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</row>
    <row r="903" ht="15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</row>
    <row r="904" ht="15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</row>
    <row r="905" ht="15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</row>
    <row r="906" ht="15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</row>
    <row r="907" ht="15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</row>
    <row r="908" ht="15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</row>
    <row r="909" ht="15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</row>
    <row r="910" ht="15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</row>
    <row r="911" ht="15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</row>
    <row r="912" ht="15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</row>
    <row r="913" ht="15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</row>
    <row r="914" ht="15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</row>
    <row r="915" ht="15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</row>
    <row r="916" ht="15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</row>
    <row r="917" ht="15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</row>
    <row r="918" ht="15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</row>
    <row r="919" ht="15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</row>
    <row r="920" ht="15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</row>
    <row r="921" ht="15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</row>
    <row r="922" ht="15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</row>
    <row r="923" ht="15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</row>
    <row r="924" ht="15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</row>
    <row r="925" ht="15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</row>
    <row r="926" ht="15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</row>
    <row r="927" ht="15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</row>
    <row r="928" ht="15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</row>
    <row r="929" ht="15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</row>
    <row r="930" ht="15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</row>
    <row r="931" ht="15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</row>
    <row r="932" ht="15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</row>
    <row r="933" ht="15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</row>
    <row r="934" ht="15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</row>
    <row r="935" ht="15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</row>
    <row r="936" ht="15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</row>
    <row r="937" ht="15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  <c r="AG937" s="85"/>
    </row>
    <row r="938" ht="15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  <c r="AG938" s="85"/>
    </row>
    <row r="939" ht="15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</row>
    <row r="940" ht="15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</row>
    <row r="941" ht="15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</row>
    <row r="942" ht="15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  <c r="AG942" s="85"/>
    </row>
    <row r="943" ht="15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</row>
    <row r="944" ht="15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</row>
    <row r="945" ht="15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</row>
    <row r="946" ht="15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</row>
    <row r="947" ht="15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</row>
    <row r="948" ht="15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</row>
    <row r="949" ht="15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  <c r="AG949" s="85"/>
    </row>
    <row r="950" ht="15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</row>
    <row r="951" ht="15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</row>
    <row r="952" ht="15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</row>
    <row r="953" ht="15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</row>
    <row r="954" ht="15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</row>
    <row r="955" ht="15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</row>
    <row r="956" ht="15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</row>
    <row r="957" ht="15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</row>
    <row r="958" ht="15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</row>
    <row r="959" ht="15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</row>
    <row r="960" ht="15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</row>
    <row r="961" ht="15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</row>
    <row r="962" ht="15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</row>
    <row r="963" ht="15.7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  <c r="AG963" s="85"/>
    </row>
    <row r="964" ht="15.7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</row>
    <row r="965" ht="15.7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  <c r="AG965" s="85"/>
    </row>
    <row r="966" ht="15.7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  <c r="AG966" s="85"/>
    </row>
    <row r="967" ht="15.7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  <c r="AG967" s="85"/>
    </row>
    <row r="968" ht="15.7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  <c r="AG968" s="85"/>
    </row>
    <row r="969" ht="15.7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  <c r="AG969" s="85"/>
    </row>
    <row r="970" ht="15.7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  <c r="AG970" s="85"/>
    </row>
    <row r="971" ht="15.7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  <c r="AG971" s="85"/>
    </row>
    <row r="972" ht="15.7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</row>
    <row r="973" ht="15.7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  <c r="AG973" s="85"/>
    </row>
    <row r="974" ht="15.7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  <c r="AG974" s="85"/>
    </row>
    <row r="975" ht="15.7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</row>
    <row r="976" ht="15.7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</row>
    <row r="977" ht="15.7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  <c r="AG977" s="85"/>
    </row>
    <row r="978" ht="15.7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  <c r="AG978" s="85"/>
    </row>
    <row r="979" ht="15.7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  <c r="AG979" s="85"/>
    </row>
    <row r="980" ht="15.7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  <c r="AG980" s="85"/>
    </row>
    <row r="981" ht="15.7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  <c r="AG981" s="85"/>
    </row>
    <row r="982" ht="15.7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</row>
    <row r="983" ht="15.7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  <c r="AG983" s="85"/>
    </row>
    <row r="984" ht="15.7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</row>
    <row r="985" ht="15.7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  <c r="AG985" s="85"/>
    </row>
    <row r="986" ht="15.7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</row>
    <row r="987" ht="15.7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</row>
    <row r="988" ht="15.7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</row>
    <row r="989" ht="15.7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</row>
    <row r="990" ht="15.7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</row>
    <row r="991" ht="15.7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</row>
    <row r="992" ht="15.7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</row>
    <row r="993" ht="15.7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</row>
    <row r="994" ht="15.7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</row>
    <row r="995" ht="15.7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</row>
    <row r="996" ht="15.7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  <c r="AG996" s="85"/>
    </row>
    <row r="997" ht="15.7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</row>
    <row r="998" ht="15.7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  <c r="AG998" s="85"/>
    </row>
    <row r="999" ht="15.7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  <c r="AG999" s="85"/>
    </row>
    <row r="1000" ht="15.7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  <c r="AG1000" s="85"/>
    </row>
  </sheetData>
  <mergeCells count="1">
    <mergeCell ref="E3:L3"/>
  </mergeCells>
  <conditionalFormatting sqref="N4:X13">
    <cfRule type="cellIs" dxfId="0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7" width="9.57"/>
    <col customWidth="1" min="8" max="8" width="8.57"/>
    <col customWidth="1" min="9" max="9" width="8.71"/>
    <col customWidth="1" min="10" max="10" width="8.57"/>
    <col customWidth="1" min="11" max="11" width="8.71"/>
    <col customWidth="1" min="12" max="12" width="4.43"/>
    <col customWidth="1" min="13" max="13" width="3.86"/>
    <col customWidth="1" min="14" max="14" width="2.86"/>
    <col customWidth="1" min="15" max="15" width="3.86"/>
    <col customWidth="1" min="16" max="16" width="2.86"/>
    <col customWidth="1" min="17" max="17" width="3.86"/>
    <col customWidth="1" min="18" max="18" width="2.86"/>
    <col customWidth="1" min="19" max="19" width="4.43"/>
    <col customWidth="1" hidden="1" min="20" max="21" width="12.71"/>
    <col customWidth="1" min="22" max="22" width="4.43"/>
    <col customWidth="1" min="23" max="33" width="10.71"/>
    <col hidden="1" min="36" max="37" width="14.43"/>
  </cols>
  <sheetData>
    <row r="1" ht="17.25" customHeight="1">
      <c r="A1" s="138" t="s">
        <v>105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</row>
    <row r="2" ht="15.0" customHeight="1">
      <c r="A2" s="108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</row>
    <row r="3" ht="15.0" customHeight="1">
      <c r="A3" s="108"/>
      <c r="B3" s="139" t="s">
        <v>43</v>
      </c>
      <c r="C3" s="85"/>
      <c r="D3" s="139" t="s">
        <v>44</v>
      </c>
      <c r="E3" s="85"/>
      <c r="F3" s="139" t="s">
        <v>45</v>
      </c>
      <c r="G3" s="85"/>
      <c r="H3" s="139" t="s">
        <v>46</v>
      </c>
      <c r="I3" s="85"/>
      <c r="J3" s="139" t="s">
        <v>47</v>
      </c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96" t="s">
        <v>98</v>
      </c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</row>
    <row r="4">
      <c r="A4" s="86" t="s">
        <v>101</v>
      </c>
      <c r="B4" s="86" t="s">
        <v>102</v>
      </c>
      <c r="C4" s="86" t="s">
        <v>73</v>
      </c>
      <c r="D4" s="86" t="s">
        <v>102</v>
      </c>
      <c r="E4" s="86" t="s">
        <v>73</v>
      </c>
      <c r="F4" s="86" t="s">
        <v>102</v>
      </c>
      <c r="G4" s="86" t="s">
        <v>73</v>
      </c>
      <c r="H4" s="86" t="s">
        <v>102</v>
      </c>
      <c r="I4" s="86" t="s">
        <v>73</v>
      </c>
      <c r="J4" s="86" t="s">
        <v>102</v>
      </c>
      <c r="K4" s="86" t="s">
        <v>73</v>
      </c>
      <c r="L4" s="140"/>
      <c r="M4" s="87" t="s">
        <v>74</v>
      </c>
      <c r="S4" s="140"/>
      <c r="T4" s="141" t="s">
        <v>106</v>
      </c>
      <c r="U4" s="141" t="s">
        <v>107</v>
      </c>
      <c r="V4" s="85"/>
      <c r="W4" s="120" t="s">
        <v>79</v>
      </c>
      <c r="X4" s="120" t="s">
        <v>80</v>
      </c>
      <c r="Y4" s="120" t="s">
        <v>81</v>
      </c>
      <c r="Z4" s="120" t="s">
        <v>82</v>
      </c>
      <c r="AA4" s="120" t="s">
        <v>83</v>
      </c>
      <c r="AB4" s="120" t="s">
        <v>84</v>
      </c>
      <c r="AC4" s="120" t="s">
        <v>85</v>
      </c>
      <c r="AD4" s="142" t="s">
        <v>86</v>
      </c>
      <c r="AE4" s="120" t="s">
        <v>87</v>
      </c>
      <c r="AF4" s="120" t="s">
        <v>88</v>
      </c>
      <c r="AG4" s="120" t="s">
        <v>89</v>
      </c>
      <c r="AH4" s="142" t="s">
        <v>103</v>
      </c>
      <c r="AI4" s="140"/>
      <c r="AJ4" s="120" t="s">
        <v>76</v>
      </c>
      <c r="AK4" s="120" t="s">
        <v>77</v>
      </c>
      <c r="AL4" s="140"/>
    </row>
    <row r="5" ht="15.0" customHeight="1">
      <c r="A5" s="109">
        <v>1.0</v>
      </c>
      <c r="B5" s="143">
        <v>10.0</v>
      </c>
      <c r="C5" s="144">
        <v>10.0</v>
      </c>
      <c r="D5" s="143">
        <v>10.0</v>
      </c>
      <c r="E5" s="144">
        <v>10.0</v>
      </c>
      <c r="F5" s="143">
        <v>10.0</v>
      </c>
      <c r="G5" s="144">
        <v>10.0</v>
      </c>
      <c r="H5" s="143">
        <v>10.0</v>
      </c>
      <c r="I5" s="144">
        <v>10.0</v>
      </c>
      <c r="J5" s="143">
        <v>10.0</v>
      </c>
      <c r="K5" s="144">
        <v>10.0</v>
      </c>
      <c r="L5" s="85"/>
      <c r="M5" s="92" t="str">
        <f>IFERROR(__xludf.DUMMYFUNCTION("LET(
  names, HSTACK(""Coins"", W$4:AG$4),
  amounts, HSTACK(C5, W5:AG5),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5" s="93">
        <f>IFERROR(__xludf.DUMMYFUNCTION("""COMPUTED_VALUE"""),10.0)</f>
        <v>10</v>
      </c>
      <c r="O5" s="92" t="str">
        <f>IFERROR(__xludf.DUMMYFUNCTION("""COMPUTED_VALUE"""),"")</f>
        <v/>
      </c>
      <c r="P5" s="93">
        <f>IFERROR(__xludf.DUMMYFUNCTION("""COMPUTED_VALUE"""),1.0)</f>
        <v>1</v>
      </c>
      <c r="Q5" s="92" t="str">
        <f>IFERROR(__xludf.DUMMYFUNCTION("""COMPUTED_VALUE"""),"")</f>
        <v/>
      </c>
      <c r="R5" s="93">
        <f>IFERROR(__xludf.DUMMYFUNCTION("""COMPUTED_VALUE"""),15.0)</f>
        <v>15</v>
      </c>
      <c r="S5" s="85"/>
      <c r="T5" s="145">
        <v>15.0</v>
      </c>
      <c r="U5" s="146">
        <v>10.0</v>
      </c>
      <c r="V5" s="85"/>
      <c r="W5" s="147">
        <v>0.0</v>
      </c>
      <c r="X5" s="148">
        <v>1.0</v>
      </c>
      <c r="Y5" s="148">
        <v>0.0</v>
      </c>
      <c r="Z5" s="149">
        <v>0.0</v>
      </c>
      <c r="AA5" s="149">
        <v>0.0</v>
      </c>
      <c r="AB5" s="149">
        <v>0.0</v>
      </c>
      <c r="AC5" s="149">
        <v>0.0</v>
      </c>
      <c r="AD5" s="125">
        <v>15.0</v>
      </c>
      <c r="AE5" s="149">
        <v>0.0</v>
      </c>
      <c r="AF5" s="149">
        <v>0.0</v>
      </c>
      <c r="AG5" s="150">
        <v>0.0</v>
      </c>
      <c r="AH5" s="127">
        <f t="shared" ref="AH5:AH14" si="1">SUMPRODUCT(W5:AG5, {0,33,50,67,167,67,50,4.17,7.56,12.17,16.22})</f>
        <v>95.55</v>
      </c>
      <c r="AI5" s="85">
        <v>100.0</v>
      </c>
      <c r="AJ5" s="128" t="s">
        <v>90</v>
      </c>
      <c r="AK5" s="96"/>
      <c r="AL5" s="85">
        <f t="shared" ref="AL5:AL14" si="2">AH5-AI5</f>
        <v>-4.45</v>
      </c>
    </row>
    <row r="6" ht="15.0" customHeight="1">
      <c r="A6" s="111">
        <v>2.0</v>
      </c>
      <c r="B6" s="151">
        <v>10.0</v>
      </c>
      <c r="C6" s="152">
        <v>0.0</v>
      </c>
      <c r="D6" s="151">
        <v>10.0</v>
      </c>
      <c r="E6" s="152">
        <v>0.0</v>
      </c>
      <c r="F6" s="151">
        <v>10.0</v>
      </c>
      <c r="G6" s="152">
        <v>0.0</v>
      </c>
      <c r="H6" s="151">
        <v>10.0</v>
      </c>
      <c r="I6" s="152">
        <v>0.0</v>
      </c>
      <c r="J6" s="151">
        <v>10.0</v>
      </c>
      <c r="K6" s="152">
        <v>0.0</v>
      </c>
      <c r="L6" s="85"/>
      <c r="M6" s="92" t="str">
        <f>IFERROR(__xludf.DUMMYFUNCTION("LET(
  names, HSTACK(""Coins"", W$4:AG$4),
  amounts, HSTACK(C6, W6:AG6),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6" s="93">
        <f>IFERROR(__xludf.DUMMYFUNCTION("""COMPUTED_VALUE"""),1.0)</f>
        <v>1</v>
      </c>
      <c r="O6" s="92" t="str">
        <f>IFERROR(__xludf.DUMMYFUNCTION("""COMPUTED_VALUE"""),"")</f>
        <v/>
      </c>
      <c r="P6" s="93">
        <f>IFERROR(__xludf.DUMMYFUNCTION("""COMPUTED_VALUE"""),1.0)</f>
        <v>1</v>
      </c>
      <c r="Q6" s="92" t="str">
        <f>IFERROR(__xludf.DUMMYFUNCTION("""COMPUTED_VALUE"""),"")</f>
        <v/>
      </c>
      <c r="R6" s="93">
        <f>IFERROR(__xludf.DUMMYFUNCTION("""COMPUTED_VALUE"""),15.0)</f>
        <v>15</v>
      </c>
      <c r="S6" s="85"/>
      <c r="T6" s="145">
        <v>15.0</v>
      </c>
      <c r="U6" s="146">
        <v>10.0</v>
      </c>
      <c r="V6" s="85"/>
      <c r="W6" s="153">
        <v>0.0</v>
      </c>
      <c r="X6" s="154">
        <v>1.0</v>
      </c>
      <c r="Y6" s="125">
        <v>1.0</v>
      </c>
      <c r="Z6" s="154">
        <v>0.0</v>
      </c>
      <c r="AA6" s="154">
        <v>0.0</v>
      </c>
      <c r="AB6" s="155">
        <v>0.0</v>
      </c>
      <c r="AC6" s="155">
        <v>0.0</v>
      </c>
      <c r="AD6" s="125">
        <v>15.0</v>
      </c>
      <c r="AE6" s="155">
        <v>0.0</v>
      </c>
      <c r="AF6" s="155">
        <v>0.0</v>
      </c>
      <c r="AG6" s="156">
        <v>0.0</v>
      </c>
      <c r="AH6" s="127">
        <f t="shared" si="1"/>
        <v>145.55</v>
      </c>
      <c r="AI6" s="85">
        <v>112.55</v>
      </c>
      <c r="AJ6" s="92" t="str">
        <f t="array" ref="AJ6:AJ16">TRANSPOSE(W4:AG4)</f>
        <v>SPT</v>
      </c>
      <c r="AK6" s="85"/>
      <c r="AL6" s="85">
        <f t="shared" si="2"/>
        <v>33</v>
      </c>
    </row>
    <row r="7" ht="15.0" customHeight="1">
      <c r="A7" s="111">
        <v>3.0</v>
      </c>
      <c r="B7" s="151">
        <v>10.0</v>
      </c>
      <c r="C7" s="152">
        <v>10.0</v>
      </c>
      <c r="D7" s="151">
        <v>10.0</v>
      </c>
      <c r="E7" s="152">
        <v>10.0</v>
      </c>
      <c r="F7" s="151">
        <v>10.0</v>
      </c>
      <c r="G7" s="152">
        <v>10.0</v>
      </c>
      <c r="H7" s="151">
        <v>10.0</v>
      </c>
      <c r="I7" s="152">
        <v>10.0</v>
      </c>
      <c r="J7" s="151">
        <v>10.0</v>
      </c>
      <c r="K7" s="152">
        <v>10.0</v>
      </c>
      <c r="L7" s="85"/>
      <c r="M7" s="92" t="str">
        <f>IFERROR(__xludf.DUMMYFUNCTION("LET(
  names, HSTACK(""Coins"", W$4:AG$4),
  amounts, HSTACK(C7, W7:AG7),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7" s="93">
        <f>IFERROR(__xludf.DUMMYFUNCTION("""COMPUTED_VALUE"""),10.0)</f>
        <v>10</v>
      </c>
      <c r="O7" s="92" t="str">
        <f>IFERROR(__xludf.DUMMYFUNCTION("""COMPUTED_VALUE"""),"")</f>
        <v/>
      </c>
      <c r="P7" s="93">
        <f>IFERROR(__xludf.DUMMYFUNCTION("""COMPUTED_VALUE"""),1.0)</f>
        <v>1</v>
      </c>
      <c r="Q7" s="92" t="str">
        <f>IFERROR(__xludf.DUMMYFUNCTION("""COMPUTED_VALUE"""),"")</f>
        <v/>
      </c>
      <c r="R7" s="93">
        <f>IFERROR(__xludf.DUMMYFUNCTION("""COMPUTED_VALUE"""),15.0)</f>
        <v>15</v>
      </c>
      <c r="S7" s="85"/>
      <c r="T7" s="145">
        <v>15.0</v>
      </c>
      <c r="U7" s="146">
        <v>10.0</v>
      </c>
      <c r="V7" s="85"/>
      <c r="W7" s="153">
        <v>0.0</v>
      </c>
      <c r="X7" s="154">
        <v>0.0</v>
      </c>
      <c r="Y7" s="155">
        <v>0.0</v>
      </c>
      <c r="Z7" s="125">
        <v>1.0</v>
      </c>
      <c r="AA7" s="155">
        <v>0.0</v>
      </c>
      <c r="AB7" s="155">
        <v>0.0</v>
      </c>
      <c r="AC7" s="155">
        <v>0.0</v>
      </c>
      <c r="AD7" s="125">
        <v>15.0</v>
      </c>
      <c r="AE7" s="155">
        <v>0.0</v>
      </c>
      <c r="AF7" s="155">
        <v>0.0</v>
      </c>
      <c r="AG7" s="156">
        <v>0.0</v>
      </c>
      <c r="AH7" s="127">
        <f t="shared" si="1"/>
        <v>129.55</v>
      </c>
      <c r="AI7" s="85">
        <v>95.55</v>
      </c>
      <c r="AJ7" s="92" t="s">
        <v>80</v>
      </c>
      <c r="AK7" s="96"/>
      <c r="AL7" s="85">
        <f t="shared" si="2"/>
        <v>34</v>
      </c>
    </row>
    <row r="8">
      <c r="A8" s="111">
        <v>4.0</v>
      </c>
      <c r="B8" s="151">
        <v>10.0</v>
      </c>
      <c r="C8" s="152">
        <v>0.0</v>
      </c>
      <c r="D8" s="151">
        <v>10.0</v>
      </c>
      <c r="E8" s="152">
        <v>0.0</v>
      </c>
      <c r="F8" s="151">
        <v>10.0</v>
      </c>
      <c r="G8" s="152">
        <v>0.0</v>
      </c>
      <c r="H8" s="151">
        <v>10.0</v>
      </c>
      <c r="I8" s="152">
        <v>0.0</v>
      </c>
      <c r="J8" s="151">
        <v>10.0</v>
      </c>
      <c r="K8" s="152">
        <v>0.0</v>
      </c>
      <c r="L8" s="85"/>
      <c r="M8" s="92" t="str">
        <f>IFERROR(__xludf.DUMMYFUNCTION("LET(
  names, HSTACK(""Coins"", W$4:AG$4),
  amounts, HSTACK(C8, W8:AG8),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8" s="93">
        <f>IFERROR(__xludf.DUMMYFUNCTION("""COMPUTED_VALUE"""),1.0)</f>
        <v>1</v>
      </c>
      <c r="O8" s="92" t="str">
        <f>IFERROR(__xludf.DUMMYFUNCTION("""COMPUTED_VALUE"""),"")</f>
        <v/>
      </c>
      <c r="P8" s="93">
        <f>IFERROR(__xludf.DUMMYFUNCTION("""COMPUTED_VALUE"""),1.0)</f>
        <v>1</v>
      </c>
      <c r="Q8" s="92" t="str">
        <f>IFERROR(__xludf.DUMMYFUNCTION("""COMPUTED_VALUE"""),"")</f>
        <v/>
      </c>
      <c r="R8" s="93">
        <f>IFERROR(__xludf.DUMMYFUNCTION("""COMPUTED_VALUE"""),15.0)</f>
        <v>15</v>
      </c>
      <c r="S8" s="85"/>
      <c r="T8" s="145">
        <v>20.0</v>
      </c>
      <c r="U8" s="146">
        <v>10.0</v>
      </c>
      <c r="V8" s="85"/>
      <c r="W8" s="153">
        <v>0.0</v>
      </c>
      <c r="X8" s="125">
        <v>1.0</v>
      </c>
      <c r="Y8" s="155">
        <v>0.0</v>
      </c>
      <c r="Z8" s="155">
        <v>0.0</v>
      </c>
      <c r="AA8" s="155">
        <v>0.0</v>
      </c>
      <c r="AB8" s="125">
        <v>1.0</v>
      </c>
      <c r="AC8" s="155">
        <v>0.0</v>
      </c>
      <c r="AD8" s="154">
        <v>15.0</v>
      </c>
      <c r="AE8" s="155">
        <v>0.0</v>
      </c>
      <c r="AF8" s="155">
        <v>0.0</v>
      </c>
      <c r="AG8" s="156">
        <v>0.0</v>
      </c>
      <c r="AH8" s="127">
        <f t="shared" si="1"/>
        <v>162.55</v>
      </c>
      <c r="AI8" s="85">
        <v>95.55</v>
      </c>
      <c r="AJ8" s="92" t="s">
        <v>81</v>
      </c>
      <c r="AK8" s="96"/>
      <c r="AL8" s="85">
        <f t="shared" si="2"/>
        <v>67</v>
      </c>
    </row>
    <row r="9" ht="15.0" customHeight="1">
      <c r="A9" s="111">
        <v>5.0</v>
      </c>
      <c r="B9" s="151">
        <v>10.0</v>
      </c>
      <c r="C9" s="152">
        <v>10.0</v>
      </c>
      <c r="D9" s="151">
        <v>10.0</v>
      </c>
      <c r="E9" s="152">
        <v>10.0</v>
      </c>
      <c r="F9" s="151">
        <v>10.0</v>
      </c>
      <c r="G9" s="152">
        <v>10.0</v>
      </c>
      <c r="H9" s="151">
        <v>10.0</v>
      </c>
      <c r="I9" s="152">
        <v>10.0</v>
      </c>
      <c r="J9" s="151">
        <v>10.0</v>
      </c>
      <c r="K9" s="152">
        <v>10.0</v>
      </c>
      <c r="L9" s="85"/>
      <c r="M9" s="92" t="str">
        <f>IFERROR(__xludf.DUMMYFUNCTION("LET(
  names, HSTACK(""Coins"", W$4:AG$4),
  amounts, HSTACK(C9, W9:AG9),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9" s="93">
        <f>IFERROR(__xludf.DUMMYFUNCTION("""COMPUTED_VALUE"""),10.0)</f>
        <v>10</v>
      </c>
      <c r="O9" s="92" t="str">
        <f>IFERROR(__xludf.DUMMYFUNCTION("""COMPUTED_VALUE"""),"")</f>
        <v/>
      </c>
      <c r="P9" s="93">
        <f>IFERROR(__xludf.DUMMYFUNCTION("""COMPUTED_VALUE"""),1.0)</f>
        <v>1</v>
      </c>
      <c r="Q9" s="92" t="str">
        <f>IFERROR(__xludf.DUMMYFUNCTION("""COMPUTED_VALUE"""),"")</f>
        <v/>
      </c>
      <c r="R9" s="93">
        <f>IFERROR(__xludf.DUMMYFUNCTION("""COMPUTED_VALUE"""),15.0)</f>
        <v>15</v>
      </c>
      <c r="S9" s="85"/>
      <c r="T9" s="145">
        <v>20.0</v>
      </c>
      <c r="U9" s="146">
        <v>10.0</v>
      </c>
      <c r="V9" s="85"/>
      <c r="W9" s="153">
        <v>0.0</v>
      </c>
      <c r="X9" s="155">
        <v>0.0</v>
      </c>
      <c r="Y9" s="125">
        <v>0.0</v>
      </c>
      <c r="Z9" s="154">
        <v>1.0</v>
      </c>
      <c r="AA9" s="154">
        <v>0.0</v>
      </c>
      <c r="AB9" s="155">
        <v>0.0</v>
      </c>
      <c r="AC9" s="155">
        <v>0.0</v>
      </c>
      <c r="AD9" s="125">
        <v>15.0</v>
      </c>
      <c r="AE9" s="155">
        <v>0.0</v>
      </c>
      <c r="AF9" s="155">
        <v>0.0</v>
      </c>
      <c r="AG9" s="156">
        <v>0.0</v>
      </c>
      <c r="AH9" s="127">
        <f t="shared" si="1"/>
        <v>129.55</v>
      </c>
      <c r="AI9" s="85">
        <v>100.0</v>
      </c>
      <c r="AJ9" s="92" t="s">
        <v>82</v>
      </c>
      <c r="AK9" s="96"/>
      <c r="AL9" s="85">
        <f t="shared" si="2"/>
        <v>29.55</v>
      </c>
    </row>
    <row r="10" ht="15.0" customHeight="1">
      <c r="A10" s="111">
        <v>6.0</v>
      </c>
      <c r="B10" s="151">
        <v>10.0</v>
      </c>
      <c r="C10" s="152">
        <v>0.0</v>
      </c>
      <c r="D10" s="151">
        <v>10.0</v>
      </c>
      <c r="E10" s="152">
        <v>0.0</v>
      </c>
      <c r="F10" s="151">
        <v>10.0</v>
      </c>
      <c r="G10" s="152">
        <v>0.0</v>
      </c>
      <c r="H10" s="151">
        <v>10.0</v>
      </c>
      <c r="I10" s="152">
        <v>0.0</v>
      </c>
      <c r="J10" s="151">
        <v>10.0</v>
      </c>
      <c r="K10" s="152">
        <v>0.0</v>
      </c>
      <c r="L10" s="85"/>
      <c r="M10" s="92" t="str">
        <f>IFERROR(__xludf.DUMMYFUNCTION("LET(
  names, HSTACK(""Coins"", W$4:AG$4),
  amounts, HSTACK(C10, W10:AG10),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0" s="93">
        <f>IFERROR(__xludf.DUMMYFUNCTION("""COMPUTED_VALUE"""),1.0)</f>
        <v>1</v>
      </c>
      <c r="O10" s="92" t="str">
        <f>IFERROR(__xludf.DUMMYFUNCTION("""COMPUTED_VALUE"""),"")</f>
        <v/>
      </c>
      <c r="P10" s="93">
        <f>IFERROR(__xludf.DUMMYFUNCTION("""COMPUTED_VALUE"""),1.0)</f>
        <v>1</v>
      </c>
      <c r="Q10" s="92" t="str">
        <f>IFERROR(__xludf.DUMMYFUNCTION("""COMPUTED_VALUE"""),"")</f>
        <v/>
      </c>
      <c r="R10" s="93">
        <f>IFERROR(__xludf.DUMMYFUNCTION("""COMPUTED_VALUE"""),20.0)</f>
        <v>20</v>
      </c>
      <c r="S10" s="85"/>
      <c r="T10" s="145">
        <v>20.0</v>
      </c>
      <c r="U10" s="146">
        <v>15.0</v>
      </c>
      <c r="V10" s="85"/>
      <c r="W10" s="153">
        <v>0.0</v>
      </c>
      <c r="X10" s="155">
        <v>0.0</v>
      </c>
      <c r="Y10" s="154">
        <v>1.0</v>
      </c>
      <c r="Z10" s="155">
        <v>0.0</v>
      </c>
      <c r="AA10" s="154">
        <v>0.0</v>
      </c>
      <c r="AB10" s="155">
        <v>0.0</v>
      </c>
      <c r="AC10" s="154">
        <v>1.0</v>
      </c>
      <c r="AD10" s="154">
        <v>20.0</v>
      </c>
      <c r="AE10" s="155">
        <v>0.0</v>
      </c>
      <c r="AF10" s="155">
        <v>0.0</v>
      </c>
      <c r="AG10" s="156">
        <v>0.0</v>
      </c>
      <c r="AH10" s="127">
        <f t="shared" si="1"/>
        <v>183.4</v>
      </c>
      <c r="AI10" s="85">
        <v>229.55</v>
      </c>
      <c r="AJ10" s="92" t="s">
        <v>83</v>
      </c>
      <c r="AK10" s="96"/>
      <c r="AL10" s="85">
        <f t="shared" si="2"/>
        <v>-46.15</v>
      </c>
    </row>
    <row r="11" ht="15.0" customHeight="1">
      <c r="A11" s="111">
        <v>7.0</v>
      </c>
      <c r="B11" s="151">
        <v>10.0</v>
      </c>
      <c r="C11" s="152">
        <v>10.0</v>
      </c>
      <c r="D11" s="151">
        <v>10.0</v>
      </c>
      <c r="E11" s="152">
        <v>10.0</v>
      </c>
      <c r="F11" s="151">
        <v>10.0</v>
      </c>
      <c r="G11" s="152">
        <v>10.0</v>
      </c>
      <c r="H11" s="151">
        <v>10.0</v>
      </c>
      <c r="I11" s="152">
        <v>10.0</v>
      </c>
      <c r="J11" s="151">
        <v>10.0</v>
      </c>
      <c r="K11" s="152">
        <v>10.0</v>
      </c>
      <c r="L11" s="85"/>
      <c r="M11" s="92" t="str">
        <f>IFERROR(__xludf.DUMMYFUNCTION("LET(
  names, HSTACK(""Coins"", W$4:AG$4),
  amounts, HSTACK(C11, W11:AG11),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1" s="93">
        <f>IFERROR(__xludf.DUMMYFUNCTION("""COMPUTED_VALUE"""),10.0)</f>
        <v>10</v>
      </c>
      <c r="O11" s="92" t="str">
        <f>IFERROR(__xludf.DUMMYFUNCTION("""COMPUTED_VALUE"""),"")</f>
        <v/>
      </c>
      <c r="P11" s="93">
        <f>IFERROR(__xludf.DUMMYFUNCTION("""COMPUTED_VALUE"""),1.0)</f>
        <v>1</v>
      </c>
      <c r="Q11" s="92" t="str">
        <f>IFERROR(__xludf.DUMMYFUNCTION("""COMPUTED_VALUE"""),"")</f>
        <v/>
      </c>
      <c r="R11" s="93">
        <f>IFERROR(__xludf.DUMMYFUNCTION("""COMPUTED_VALUE"""),20.0)</f>
        <v>20</v>
      </c>
      <c r="S11" s="85"/>
      <c r="T11" s="145">
        <v>25.0</v>
      </c>
      <c r="U11" s="146">
        <v>15.0</v>
      </c>
      <c r="V11" s="85"/>
      <c r="W11" s="153">
        <v>0.0</v>
      </c>
      <c r="X11" s="155">
        <v>0.0</v>
      </c>
      <c r="Y11" s="154">
        <v>0.0</v>
      </c>
      <c r="Z11" s="154">
        <v>1.0</v>
      </c>
      <c r="AA11" s="154">
        <v>0.0</v>
      </c>
      <c r="AB11" s="155">
        <v>0.0</v>
      </c>
      <c r="AC11" s="155">
        <v>0.0</v>
      </c>
      <c r="AD11" s="154">
        <v>20.0</v>
      </c>
      <c r="AE11" s="155">
        <v>0.0</v>
      </c>
      <c r="AF11" s="155">
        <v>0.0</v>
      </c>
      <c r="AG11" s="156">
        <v>0.0</v>
      </c>
      <c r="AH11" s="127">
        <f t="shared" si="1"/>
        <v>150.4</v>
      </c>
      <c r="AI11" s="85">
        <v>192.1</v>
      </c>
      <c r="AJ11" s="92" t="s">
        <v>84</v>
      </c>
      <c r="AK11" s="96"/>
      <c r="AL11" s="85">
        <f t="shared" si="2"/>
        <v>-41.7</v>
      </c>
    </row>
    <row r="12">
      <c r="A12" s="111">
        <v>8.0</v>
      </c>
      <c r="B12" s="151">
        <v>10.0</v>
      </c>
      <c r="C12" s="152">
        <v>0.0</v>
      </c>
      <c r="D12" s="151">
        <v>10.0</v>
      </c>
      <c r="E12" s="152">
        <v>0.0</v>
      </c>
      <c r="F12" s="151">
        <v>10.0</v>
      </c>
      <c r="G12" s="152">
        <v>0.0</v>
      </c>
      <c r="H12" s="151">
        <v>10.0</v>
      </c>
      <c r="I12" s="152">
        <v>0.0</v>
      </c>
      <c r="J12" s="151">
        <v>10.0</v>
      </c>
      <c r="K12" s="152">
        <v>0.0</v>
      </c>
      <c r="L12" s="85"/>
      <c r="M12" s="92" t="str">
        <f>IFERROR(__xludf.DUMMYFUNCTION("LET(
  names, HSTACK(""Coins"", W$4:AG$4),
  amounts, HSTACK(C12, W12:AG12),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2" s="93">
        <f>IFERROR(__xludf.DUMMYFUNCTION("""COMPUTED_VALUE"""),1.0)</f>
        <v>1</v>
      </c>
      <c r="O12" s="92" t="str">
        <f>IFERROR(__xludf.DUMMYFUNCTION("""COMPUTED_VALUE"""),"")</f>
        <v/>
      </c>
      <c r="P12" s="93">
        <f>IFERROR(__xludf.DUMMYFUNCTION("""COMPUTED_VALUE"""),1.0)</f>
        <v>1</v>
      </c>
      <c r="Q12" s="92" t="str">
        <f>IFERROR(__xludf.DUMMYFUNCTION("""COMPUTED_VALUE"""),"")</f>
        <v/>
      </c>
      <c r="R12" s="93">
        <f>IFERROR(__xludf.DUMMYFUNCTION("""COMPUTED_VALUE"""),30.0)</f>
        <v>30</v>
      </c>
      <c r="S12" s="85"/>
      <c r="T12" s="145">
        <v>25.0</v>
      </c>
      <c r="U12" s="146">
        <v>15.0</v>
      </c>
      <c r="V12" s="85"/>
      <c r="W12" s="153">
        <v>0.0</v>
      </c>
      <c r="X12" s="155">
        <v>0.0</v>
      </c>
      <c r="Y12" s="125">
        <v>1.0</v>
      </c>
      <c r="Z12" s="155">
        <v>0.0</v>
      </c>
      <c r="AA12" s="125">
        <v>1.0</v>
      </c>
      <c r="AB12" s="155">
        <v>0.0</v>
      </c>
      <c r="AC12" s="155">
        <v>0.0</v>
      </c>
      <c r="AD12" s="154">
        <v>30.0</v>
      </c>
      <c r="AE12" s="155">
        <v>0.0</v>
      </c>
      <c r="AF12" s="155">
        <v>0.0</v>
      </c>
      <c r="AG12" s="156">
        <v>0.0</v>
      </c>
      <c r="AH12" s="127">
        <f t="shared" si="1"/>
        <v>342.1</v>
      </c>
      <c r="AI12" s="85">
        <v>217.0</v>
      </c>
      <c r="AJ12" s="92" t="s">
        <v>85</v>
      </c>
      <c r="AK12" s="96"/>
      <c r="AL12" s="85">
        <f t="shared" si="2"/>
        <v>125.1</v>
      </c>
    </row>
    <row r="13" ht="15.0" customHeight="1">
      <c r="A13" s="111">
        <v>9.0</v>
      </c>
      <c r="B13" s="151">
        <v>10.0</v>
      </c>
      <c r="C13" s="152">
        <v>10.0</v>
      </c>
      <c r="D13" s="151">
        <v>10.0</v>
      </c>
      <c r="E13" s="152">
        <v>10.0</v>
      </c>
      <c r="F13" s="151">
        <v>10.0</v>
      </c>
      <c r="G13" s="152">
        <v>10.0</v>
      </c>
      <c r="H13" s="151">
        <v>10.0</v>
      </c>
      <c r="I13" s="152">
        <v>10.0</v>
      </c>
      <c r="J13" s="151">
        <v>10.0</v>
      </c>
      <c r="K13" s="152">
        <v>10.0</v>
      </c>
      <c r="L13" s="85"/>
      <c r="M13" s="92" t="str">
        <f>IFERROR(__xludf.DUMMYFUNCTION("LET(
  names, HSTACK(""Coins"", W$4:AG$4),
  amounts, HSTACK(C13, W13:AG13),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3" s="93">
        <f>IFERROR(__xludf.DUMMYFUNCTION("""COMPUTED_VALUE"""),10.0)</f>
        <v>10</v>
      </c>
      <c r="O13" s="92" t="str">
        <f>IFERROR(__xludf.DUMMYFUNCTION("""COMPUTED_VALUE"""),"")</f>
        <v/>
      </c>
      <c r="P13" s="93">
        <f>IFERROR(__xludf.DUMMYFUNCTION("""COMPUTED_VALUE"""),1.0)</f>
        <v>1</v>
      </c>
      <c r="Q13" s="92" t="str">
        <f>IFERROR(__xludf.DUMMYFUNCTION("""COMPUTED_VALUE"""),"")</f>
        <v/>
      </c>
      <c r="R13" s="93">
        <f>IFERROR(__xludf.DUMMYFUNCTION("""COMPUTED_VALUE"""),60.0)</f>
        <v>60</v>
      </c>
      <c r="S13" s="85"/>
      <c r="T13" s="145">
        <v>25.0</v>
      </c>
      <c r="U13" s="146">
        <v>15.0</v>
      </c>
      <c r="V13" s="85"/>
      <c r="W13" s="153">
        <v>0.0</v>
      </c>
      <c r="X13" s="155">
        <v>0.0</v>
      </c>
      <c r="Y13" s="154">
        <v>0.0</v>
      </c>
      <c r="Z13" s="155">
        <v>0.0</v>
      </c>
      <c r="AA13" s="155">
        <v>0.0</v>
      </c>
      <c r="AB13" s="125">
        <v>1.0</v>
      </c>
      <c r="AC13" s="155">
        <v>0.0</v>
      </c>
      <c r="AD13" s="154">
        <v>60.0</v>
      </c>
      <c r="AE13" s="155">
        <v>0.0</v>
      </c>
      <c r="AF13" s="155">
        <v>0.0</v>
      </c>
      <c r="AG13" s="156">
        <v>0.0</v>
      </c>
      <c r="AH13" s="127">
        <f t="shared" si="1"/>
        <v>317.2</v>
      </c>
      <c r="AI13" s="85">
        <v>300.2</v>
      </c>
      <c r="AJ13" s="92" t="s">
        <v>86</v>
      </c>
      <c r="AK13" s="96"/>
      <c r="AL13" s="85">
        <f t="shared" si="2"/>
        <v>17</v>
      </c>
    </row>
    <row r="14" ht="15.0" customHeight="1">
      <c r="A14" s="115">
        <v>10.0</v>
      </c>
      <c r="B14" s="157">
        <v>10.0</v>
      </c>
      <c r="C14" s="158">
        <v>25.0</v>
      </c>
      <c r="D14" s="157">
        <v>10.0</v>
      </c>
      <c r="E14" s="158">
        <v>25.0</v>
      </c>
      <c r="F14" s="157">
        <v>10.0</v>
      </c>
      <c r="G14" s="158">
        <v>25.0</v>
      </c>
      <c r="H14" s="157">
        <v>10.0</v>
      </c>
      <c r="I14" s="158">
        <v>25.0</v>
      </c>
      <c r="J14" s="157">
        <v>10.0</v>
      </c>
      <c r="K14" s="158">
        <v>25.0</v>
      </c>
      <c r="L14" s="85"/>
      <c r="M14" s="92" t="str">
        <f>IFERROR(__xludf.DUMMYFUNCTION("LET(
  names, HSTACK(""Coins"", W$4:AG$4),
  amounts, HSTACK(C14, W14:AG14),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4" s="93">
        <f>IFERROR(__xludf.DUMMYFUNCTION("""COMPUTED_VALUE"""),25.0)</f>
        <v>25</v>
      </c>
      <c r="O14" s="92" t="str">
        <f>IFERROR(__xludf.DUMMYFUNCTION("""COMPUTED_VALUE"""),"")</f>
        <v/>
      </c>
      <c r="P14" s="93">
        <f>IFERROR(__xludf.DUMMYFUNCTION("""COMPUTED_VALUE"""),1.0)</f>
        <v>1</v>
      </c>
      <c r="Q14" s="92" t="str">
        <f>IFERROR(__xludf.DUMMYFUNCTION("""COMPUTED_VALUE"""),"")</f>
        <v/>
      </c>
      <c r="R14" s="93">
        <f>IFERROR(__xludf.DUMMYFUNCTION("""COMPUTED_VALUE"""),60.0)</f>
        <v>60</v>
      </c>
      <c r="S14" s="85"/>
      <c r="T14" s="145">
        <v>30.0</v>
      </c>
      <c r="U14" s="146">
        <v>20.0</v>
      </c>
      <c r="V14" s="85"/>
      <c r="W14" s="159">
        <v>0.0</v>
      </c>
      <c r="X14" s="160">
        <v>0.0</v>
      </c>
      <c r="Y14" s="160">
        <v>0.0</v>
      </c>
      <c r="Z14" s="161">
        <v>0.0</v>
      </c>
      <c r="AA14" s="160">
        <v>0.0</v>
      </c>
      <c r="AB14" s="160">
        <v>0.0</v>
      </c>
      <c r="AC14" s="136">
        <v>1.0</v>
      </c>
      <c r="AD14" s="161">
        <v>60.0</v>
      </c>
      <c r="AE14" s="160">
        <v>0.0</v>
      </c>
      <c r="AF14" s="160">
        <v>0.0</v>
      </c>
      <c r="AG14" s="162">
        <v>0.0</v>
      </c>
      <c r="AH14" s="127">
        <f t="shared" si="1"/>
        <v>300.2</v>
      </c>
      <c r="AI14" s="85">
        <v>117.0</v>
      </c>
      <c r="AJ14" s="92" t="s">
        <v>87</v>
      </c>
      <c r="AK14" s="96"/>
      <c r="AL14" s="85">
        <f t="shared" si="2"/>
        <v>183.2</v>
      </c>
    </row>
    <row r="15" ht="15.0" customHeight="1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92" t="s">
        <v>88</v>
      </c>
      <c r="AK15" s="96"/>
      <c r="AL15" s="85"/>
    </row>
    <row r="16" ht="15.0" customHeight="1">
      <c r="A16" s="104" t="s">
        <v>91</v>
      </c>
      <c r="B16" s="105">
        <f t="shared" ref="B16:K16" si="3">SUM(B5:B14)</f>
        <v>100</v>
      </c>
      <c r="C16" s="105">
        <f t="shared" si="3"/>
        <v>75</v>
      </c>
      <c r="D16" s="105">
        <f t="shared" si="3"/>
        <v>100</v>
      </c>
      <c r="E16" s="105">
        <f t="shared" si="3"/>
        <v>75</v>
      </c>
      <c r="F16" s="105">
        <f t="shared" si="3"/>
        <v>100</v>
      </c>
      <c r="G16" s="105">
        <f t="shared" si="3"/>
        <v>75</v>
      </c>
      <c r="H16" s="105">
        <f t="shared" si="3"/>
        <v>100</v>
      </c>
      <c r="I16" s="105">
        <f t="shared" si="3"/>
        <v>75</v>
      </c>
      <c r="J16" s="105">
        <f t="shared" si="3"/>
        <v>100</v>
      </c>
      <c r="K16" s="105">
        <f t="shared" si="3"/>
        <v>75</v>
      </c>
      <c r="L16" s="85"/>
      <c r="M16" s="85"/>
      <c r="N16" s="85"/>
      <c r="O16" s="85"/>
      <c r="P16" s="85"/>
      <c r="Q16" s="85"/>
      <c r="R16" s="85"/>
      <c r="S16" s="85"/>
      <c r="T16" s="163">
        <f t="shared" ref="T16:U16" si="4">SUM(T5:T14)</f>
        <v>210</v>
      </c>
      <c r="U16" s="163">
        <f t="shared" si="4"/>
        <v>130</v>
      </c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 t="s">
        <v>89</v>
      </c>
      <c r="AK16" s="96"/>
      <c r="AL16" s="85"/>
    </row>
    <row r="17" ht="15.0" customHeight="1">
      <c r="A17" s="104" t="s">
        <v>104</v>
      </c>
      <c r="B17" s="85"/>
      <c r="C17" s="107">
        <f>C16/B16</f>
        <v>0.75</v>
      </c>
      <c r="D17" s="85"/>
      <c r="E17" s="107">
        <f>E16/D16</f>
        <v>0.75</v>
      </c>
      <c r="F17" s="85"/>
      <c r="G17" s="107">
        <f>G16/F16</f>
        <v>0.75</v>
      </c>
      <c r="H17" s="85"/>
      <c r="I17" s="107">
        <f>I16/H16</f>
        <v>0.75</v>
      </c>
      <c r="J17" s="85"/>
      <c r="K17" s="107">
        <f>K16/J16</f>
        <v>0.75</v>
      </c>
      <c r="L17" s="85"/>
      <c r="M17" s="85"/>
      <c r="N17" s="85"/>
      <c r="O17" s="85"/>
      <c r="P17" s="85"/>
      <c r="Q17" s="85"/>
      <c r="R17" s="85"/>
      <c r="S17" s="85"/>
      <c r="T17" s="164">
        <f t="shared" ref="T17:U17" si="5">T16/$J$16</f>
        <v>2.1</v>
      </c>
      <c r="U17" s="164">
        <f t="shared" si="5"/>
        <v>1.3</v>
      </c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</row>
    <row r="18" ht="15.0" customHeight="1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65"/>
      <c r="U18" s="16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</row>
    <row r="19" ht="15.0" customHeight="1">
      <c r="A19" s="104" t="s">
        <v>108</v>
      </c>
      <c r="B19" s="85"/>
      <c r="C19" s="166">
        <f>C16/saga_progression_old!$C$15</f>
        <v>0.3571428571</v>
      </c>
      <c r="D19" s="85"/>
      <c r="E19" s="166">
        <f>E16/saga_progression_old!$C$15</f>
        <v>0.3571428571</v>
      </c>
      <c r="F19" s="85"/>
      <c r="G19" s="166">
        <f>G16/saga_progression_old!$C$15</f>
        <v>0.3571428571</v>
      </c>
      <c r="H19" s="85"/>
      <c r="I19" s="166">
        <f>I16/saga_progression_old!$C$15</f>
        <v>0.3571428571</v>
      </c>
      <c r="J19" s="85"/>
      <c r="K19" s="166">
        <f>K16/saga_progression_old!$C$15</f>
        <v>0.3571428571</v>
      </c>
      <c r="L19" s="85"/>
      <c r="M19" s="85"/>
      <c r="N19" s="85"/>
      <c r="O19" s="85"/>
      <c r="P19" s="85"/>
      <c r="Q19" s="85"/>
      <c r="R19" s="85"/>
      <c r="S19" s="85"/>
      <c r="T19" s="166">
        <f>T16/saga_progression_old!$C$15</f>
        <v>1</v>
      </c>
      <c r="U19" s="166">
        <f>U16/saga_progression_old!$C$15</f>
        <v>0.619047619</v>
      </c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</row>
    <row r="20" ht="15.0" customHeight="1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</row>
    <row r="21" ht="15.75" customHeight="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</row>
    <row r="22" ht="15.75" customHeight="1">
      <c r="A22" s="85"/>
      <c r="B22" s="167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</row>
    <row r="23" ht="15.75" customHeight="1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</row>
    <row r="24" ht="15.75" customHeight="1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</row>
    <row r="25" ht="15.75" customHeight="1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</row>
    <row r="26" ht="15.75" customHeight="1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</row>
    <row r="27" ht="15.75" customHeight="1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</row>
    <row r="28" ht="15.75" customHeight="1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</row>
    <row r="29" ht="15.75" customHeight="1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</row>
    <row r="30" ht="15.75" customHeight="1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</row>
    <row r="31" ht="15.75" customHeight="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</row>
    <row r="32" ht="15.75" customHeight="1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</row>
    <row r="33" ht="15.75" customHeight="1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</row>
    <row r="34" ht="15.75" customHeight="1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</row>
    <row r="35" ht="15.75" customHeight="1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</row>
    <row r="36" ht="15.75" customHeight="1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</row>
    <row r="37" ht="15.75" customHeight="1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</row>
    <row r="38" ht="15.75" customHeight="1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</row>
    <row r="39" ht="15.75" customHeight="1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</row>
    <row r="40" ht="15.75" customHeight="1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</row>
    <row r="41" ht="15.75" customHeight="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</row>
    <row r="42" ht="15.75" customHeight="1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</row>
    <row r="43" ht="15.75" customHeight="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</row>
    <row r="44" ht="15.7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</row>
    <row r="45" ht="15.75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</row>
    <row r="46" ht="15.75" customHeight="1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</row>
    <row r="47" ht="15.75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</row>
    <row r="48" ht="15.75" customHeight="1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</row>
    <row r="49" ht="15.75" customHeight="1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</row>
    <row r="50" ht="15.75" customHeight="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</row>
    <row r="51" ht="15.75" customHeight="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</row>
    <row r="52" ht="15.75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</row>
    <row r="53" ht="15.75" customHeight="1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</row>
    <row r="54" ht="15.75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</row>
    <row r="55" ht="15.75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</row>
    <row r="56" ht="15.75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</row>
    <row r="57" ht="15.7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</row>
    <row r="58" ht="15.7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</row>
    <row r="59" ht="15.7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</row>
    <row r="60" ht="15.7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</row>
    <row r="61" ht="15.7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</row>
    <row r="62" ht="15.7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</row>
    <row r="63" ht="15.7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</row>
    <row r="64" ht="15.7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</row>
    <row r="65" ht="15.7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</row>
    <row r="66" ht="15.7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</row>
    <row r="67" ht="15.7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</row>
    <row r="68" ht="15.7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</row>
    <row r="69" ht="15.7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</row>
    <row r="70" ht="15.7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</row>
    <row r="71" ht="15.7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</row>
    <row r="72" ht="15.7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</row>
    <row r="74" ht="15.7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</row>
    <row r="75" ht="15.7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</row>
    <row r="76" ht="15.7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</row>
    <row r="77" ht="15.7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</row>
    <row r="78" ht="15.7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</row>
    <row r="79" ht="15.7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</row>
    <row r="80" ht="15.7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</row>
    <row r="81" ht="15.7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</row>
    <row r="82" ht="15.7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</row>
    <row r="83" ht="15.7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</row>
    <row r="84" ht="15.7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</row>
    <row r="85" ht="15.7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</row>
    <row r="86" ht="15.7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</row>
    <row r="87" ht="15.7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</row>
    <row r="88" ht="15.7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</row>
    <row r="89" ht="15.7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</row>
    <row r="90" ht="15.7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</row>
    <row r="91" ht="15.7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</row>
    <row r="92" ht="15.7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</row>
    <row r="93" ht="15.7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</row>
    <row r="94" ht="15.7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</row>
    <row r="95" ht="15.7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</row>
    <row r="96" ht="15.7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</row>
    <row r="97" ht="15.7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</row>
    <row r="98" ht="15.7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</row>
    <row r="99" ht="15.7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</row>
    <row r="100" ht="15.7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</row>
    <row r="101" ht="15.7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</row>
    <row r="102" ht="15.7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</row>
    <row r="103" ht="15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</row>
    <row r="104" ht="15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</row>
    <row r="105" ht="15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</row>
    <row r="106" ht="15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</row>
    <row r="107" ht="15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</row>
    <row r="108" ht="15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</row>
    <row r="109" ht="15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</row>
    <row r="110" ht="15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</row>
    <row r="111" ht="15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</row>
    <row r="112" ht="15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</row>
    <row r="113" ht="15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</row>
    <row r="114" ht="15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</row>
    <row r="115" ht="15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</row>
    <row r="116" ht="15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</row>
    <row r="117" ht="15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</row>
    <row r="118" ht="15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</row>
    <row r="119" ht="15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</row>
    <row r="120" ht="15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</row>
    <row r="121" ht="15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</row>
    <row r="122" ht="15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</row>
    <row r="123" ht="15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</row>
    <row r="124" ht="15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</row>
    <row r="125" ht="15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</row>
    <row r="126" ht="15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</row>
    <row r="127" ht="15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</row>
    <row r="128" ht="15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</row>
    <row r="129" ht="15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</row>
    <row r="130" ht="15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</row>
    <row r="131" ht="15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</row>
    <row r="132" ht="15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</row>
    <row r="133" ht="15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</row>
    <row r="134" ht="15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</row>
    <row r="135" ht="15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</row>
    <row r="136" ht="15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</row>
    <row r="137" ht="15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</row>
    <row r="138" ht="15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</row>
    <row r="139" ht="15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</row>
    <row r="140" ht="15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</row>
    <row r="141" ht="15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</row>
    <row r="142" ht="15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</row>
    <row r="143" ht="15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</row>
    <row r="144" ht="15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</row>
    <row r="145" ht="15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</row>
    <row r="146" ht="15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</row>
    <row r="147" ht="15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</row>
    <row r="148" ht="15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</row>
    <row r="149" ht="15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</row>
    <row r="150" ht="15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</row>
    <row r="151" ht="15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</row>
    <row r="152" ht="15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</row>
    <row r="153" ht="15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</row>
    <row r="154" ht="15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</row>
    <row r="155" ht="15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</row>
    <row r="156" ht="15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</row>
    <row r="157" ht="15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</row>
    <row r="158" ht="15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</row>
    <row r="159" ht="15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</row>
    <row r="160" ht="15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</row>
    <row r="161" ht="15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</row>
    <row r="162" ht="15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</row>
    <row r="163" ht="15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</row>
    <row r="164" ht="15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</row>
    <row r="165" ht="15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</row>
    <row r="166" ht="15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</row>
    <row r="167" ht="15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</row>
    <row r="168" ht="15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</row>
    <row r="169" ht="15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</row>
    <row r="170" ht="15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</row>
    <row r="171" ht="15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</row>
    <row r="172" ht="15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</row>
    <row r="173" ht="15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</row>
    <row r="174" ht="15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</row>
    <row r="175" ht="15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</row>
    <row r="176" ht="15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</row>
    <row r="177" ht="15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</row>
    <row r="178" ht="15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</row>
    <row r="179" ht="15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</row>
    <row r="180" ht="15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</row>
    <row r="181" ht="15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</row>
    <row r="182" ht="15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</row>
    <row r="183" ht="15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</row>
    <row r="184" ht="15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</row>
    <row r="185" ht="15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</row>
    <row r="186" ht="15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</row>
    <row r="187" ht="15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</row>
    <row r="188" ht="15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</row>
    <row r="189" ht="15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</row>
    <row r="190" ht="15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</row>
    <row r="191" ht="15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</row>
    <row r="192" ht="15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</row>
    <row r="193" ht="15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</row>
    <row r="194" ht="15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</row>
    <row r="195" ht="15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</row>
    <row r="219" ht="15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</row>
    <row r="220" ht="15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</row>
    <row r="221" ht="15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</row>
    <row r="222" ht="15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</row>
    <row r="223" ht="15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</row>
    <row r="224" ht="15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</row>
    <row r="225" ht="15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</row>
    <row r="226" ht="15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</row>
    <row r="227" ht="15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</row>
    <row r="228" ht="15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</row>
    <row r="229" ht="15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</row>
    <row r="230" ht="15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</row>
    <row r="231" ht="15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</row>
    <row r="232" ht="15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</row>
    <row r="233" ht="15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</row>
    <row r="234" ht="15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</row>
    <row r="235" ht="15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</row>
    <row r="236" ht="15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</row>
    <row r="237" ht="15.7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</row>
    <row r="238" ht="15.7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</row>
    <row r="239" ht="15.7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</row>
    <row r="240" ht="15.7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</row>
    <row r="241" ht="15.7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</row>
    <row r="242" ht="15.7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</row>
    <row r="243" ht="15.7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</row>
    <row r="244" ht="15.7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</row>
    <row r="245" ht="15.7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</row>
    <row r="246" ht="15.7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</row>
    <row r="247" ht="15.7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</row>
    <row r="248" ht="15.7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</row>
    <row r="249" ht="15.7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</row>
    <row r="250" ht="15.7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</row>
    <row r="251" ht="15.7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</row>
    <row r="252" ht="15.7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</row>
    <row r="253" ht="15.7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</row>
    <row r="254" ht="15.7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</row>
    <row r="255" ht="15.7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</row>
    <row r="256" ht="15.7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</row>
    <row r="257" ht="15.7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</row>
    <row r="258" ht="15.7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</row>
    <row r="259" ht="15.7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</row>
    <row r="260" ht="15.7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</row>
    <row r="261" ht="15.7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</row>
    <row r="262" ht="15.7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</row>
    <row r="263" ht="15.7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</row>
    <row r="264" ht="15.7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</row>
    <row r="265" ht="15.7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</row>
    <row r="266" ht="15.7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</row>
    <row r="267" ht="15.7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</row>
    <row r="268" ht="15.7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</row>
    <row r="269" ht="15.7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</row>
    <row r="270" ht="15.7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</row>
    <row r="271" ht="15.7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</row>
    <row r="272" ht="15.7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</row>
    <row r="273" ht="15.7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</row>
    <row r="274" ht="15.7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</row>
    <row r="275" ht="15.7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</row>
    <row r="276" ht="15.7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</row>
    <row r="277" ht="15.7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</row>
    <row r="278" ht="15.7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</row>
    <row r="279" ht="15.7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</row>
    <row r="280" ht="15.7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</row>
    <row r="281" ht="15.7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</row>
    <row r="282" ht="15.7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</row>
    <row r="283" ht="15.7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</row>
    <row r="284" ht="15.7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</row>
    <row r="285" ht="15.7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</row>
    <row r="286" ht="15.7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</row>
    <row r="287" ht="15.7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</row>
    <row r="288" ht="15.7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</row>
    <row r="289" ht="15.7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</row>
    <row r="290" ht="15.7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</row>
    <row r="291" ht="15.7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</row>
    <row r="292" ht="15.7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</row>
    <row r="293" ht="15.7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</row>
    <row r="294" ht="15.7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</row>
    <row r="295" ht="15.7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</row>
    <row r="296" ht="15.7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</row>
    <row r="297" ht="15.7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</row>
    <row r="298" ht="15.7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</row>
    <row r="299" ht="15.7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</row>
    <row r="300" ht="15.7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</row>
    <row r="301" ht="15.7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</row>
    <row r="302" ht="15.7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</row>
    <row r="303" ht="15.7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</row>
    <row r="304" ht="15.7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</row>
    <row r="305" ht="15.7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</row>
    <row r="306" ht="15.7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</row>
    <row r="307" ht="15.7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</row>
    <row r="308" ht="15.7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</row>
    <row r="309" ht="15.7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</row>
    <row r="310" ht="15.7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</row>
    <row r="311" ht="15.7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</row>
    <row r="312" ht="15.7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</row>
    <row r="313" ht="15.7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</row>
    <row r="314" ht="15.7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</row>
    <row r="315" ht="15.7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</row>
    <row r="316" ht="15.7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</row>
    <row r="317" ht="15.7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</row>
    <row r="318" ht="15.7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</row>
    <row r="319" ht="15.7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</row>
    <row r="320" ht="15.7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</row>
    <row r="321" ht="15.7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</row>
    <row r="322" ht="15.7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</row>
    <row r="323" ht="15.7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</row>
    <row r="324" ht="15.7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</row>
    <row r="325" ht="15.7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</row>
    <row r="326" ht="15.7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</row>
    <row r="327" ht="15.7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</row>
    <row r="328" ht="15.7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</row>
    <row r="329" ht="15.7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</row>
    <row r="330" ht="15.7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</row>
    <row r="331" ht="15.7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</row>
    <row r="332" ht="15.7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</row>
    <row r="333" ht="15.7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</row>
    <row r="334" ht="15.7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</row>
    <row r="335" ht="15.7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</row>
    <row r="336" ht="15.7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</row>
    <row r="337" ht="15.7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</row>
    <row r="338" ht="15.7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</row>
    <row r="339" ht="15.7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</row>
    <row r="340" ht="15.7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</row>
    <row r="341" ht="15.7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</row>
    <row r="342" ht="15.7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</row>
    <row r="343" ht="15.7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</row>
    <row r="344" ht="15.7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</row>
    <row r="345" ht="15.7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</row>
    <row r="346" ht="15.7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</row>
    <row r="347" ht="15.7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</row>
    <row r="348" ht="15.7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</row>
    <row r="349" ht="15.7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</row>
    <row r="350" ht="15.7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</row>
    <row r="351" ht="15.7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</row>
    <row r="352" ht="15.7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</row>
    <row r="353" ht="15.7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</row>
    <row r="354" ht="15.7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</row>
    <row r="355" ht="15.7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</row>
    <row r="356" ht="15.7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</row>
    <row r="357" ht="15.7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</row>
    <row r="358" ht="15.7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</row>
    <row r="359" ht="15.7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</row>
    <row r="360" ht="15.7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</row>
    <row r="361" ht="15.7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</row>
    <row r="362" ht="15.7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</row>
    <row r="363" ht="15.7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</row>
    <row r="364" ht="15.7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</row>
    <row r="365" ht="15.7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</row>
    <row r="366" ht="15.7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</row>
    <row r="367" ht="15.7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</row>
    <row r="368" ht="15.7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</row>
    <row r="369" ht="15.7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</row>
    <row r="370" ht="15.7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</row>
    <row r="371" ht="15.7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</row>
    <row r="372" ht="15.7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</row>
    <row r="373" ht="15.7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</row>
    <row r="374" ht="15.7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</row>
    <row r="375" ht="15.7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</row>
    <row r="376" ht="15.7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</row>
    <row r="377" ht="15.7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</row>
    <row r="378" ht="15.7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</row>
    <row r="379" ht="15.7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</row>
    <row r="380" ht="15.7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</row>
    <row r="381" ht="15.7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</row>
    <row r="382" ht="15.7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</row>
    <row r="383" ht="15.7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</row>
    <row r="384" ht="15.7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</row>
    <row r="385" ht="15.7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</row>
    <row r="386" ht="15.7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</row>
    <row r="387" ht="15.7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</row>
    <row r="388" ht="15.7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</row>
    <row r="389" ht="15.7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</row>
    <row r="390" ht="15.7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</row>
    <row r="391" ht="15.7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</row>
    <row r="392" ht="15.7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</row>
    <row r="393" ht="15.7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</row>
    <row r="394" ht="15.7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</row>
    <row r="395" ht="15.7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</row>
    <row r="396" ht="15.7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</row>
    <row r="397" ht="15.7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</row>
    <row r="398" ht="15.7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</row>
    <row r="399" ht="15.7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</row>
    <row r="400" ht="15.7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</row>
    <row r="401" ht="15.7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</row>
    <row r="402" ht="15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</row>
    <row r="403" ht="15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</row>
    <row r="404" ht="15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</row>
    <row r="405" ht="15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</row>
    <row r="406" ht="15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</row>
    <row r="407" ht="15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</row>
    <row r="408" ht="15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</row>
    <row r="409" ht="15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</row>
    <row r="410" ht="15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</row>
    <row r="411" ht="15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</row>
    <row r="412" ht="15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</row>
    <row r="413" ht="15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</row>
    <row r="414" ht="15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</row>
    <row r="415" ht="15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</row>
    <row r="416" ht="15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</row>
    <row r="417" ht="15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</row>
    <row r="418" ht="15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</row>
    <row r="419" ht="15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</row>
    <row r="420" ht="15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</row>
    <row r="421" ht="15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</row>
    <row r="422" ht="15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</row>
    <row r="423" ht="15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</row>
    <row r="424" ht="15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</row>
    <row r="425" ht="15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</row>
    <row r="426" ht="15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</row>
    <row r="427" ht="15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</row>
    <row r="428" ht="15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</row>
    <row r="429" ht="15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</row>
    <row r="430" ht="15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</row>
    <row r="431" ht="15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</row>
    <row r="432" ht="15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</row>
    <row r="433" ht="15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</row>
    <row r="434" ht="15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</row>
    <row r="435" ht="15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</row>
    <row r="436" ht="15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</row>
    <row r="437" ht="15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</row>
    <row r="438" ht="15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</row>
    <row r="439" ht="15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</row>
    <row r="440" ht="15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</row>
    <row r="441" ht="15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</row>
    <row r="442" ht="15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</row>
    <row r="443" ht="15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</row>
    <row r="444" ht="15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</row>
    <row r="445" ht="15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</row>
    <row r="446" ht="15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</row>
    <row r="447" ht="15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</row>
    <row r="448" ht="15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</row>
    <row r="449" ht="15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</row>
    <row r="450" ht="15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</row>
    <row r="451" ht="15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</row>
    <row r="452" ht="15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</row>
    <row r="453" ht="15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</row>
    <row r="454" ht="15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</row>
    <row r="455" ht="15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</row>
    <row r="456" ht="15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</row>
    <row r="457" ht="15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</row>
    <row r="458" ht="15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</row>
    <row r="459" ht="15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</row>
    <row r="460" ht="15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</row>
    <row r="461" ht="15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</row>
    <row r="462" ht="15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</row>
    <row r="463" ht="15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</row>
    <row r="464" ht="15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</row>
    <row r="465" ht="15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</row>
    <row r="466" ht="15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</row>
    <row r="467" ht="15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</row>
    <row r="468" ht="15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</row>
    <row r="469" ht="15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</row>
    <row r="470" ht="15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</row>
    <row r="471" ht="15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</row>
    <row r="472" ht="15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</row>
    <row r="473" ht="15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</row>
    <row r="474" ht="15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</row>
    <row r="475" ht="15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</row>
    <row r="476" ht="15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</row>
    <row r="477" ht="15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</row>
    <row r="478" ht="15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</row>
    <row r="479" ht="15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</row>
    <row r="480" ht="15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</row>
    <row r="481" ht="15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</row>
    <row r="482" ht="15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</row>
    <row r="483" ht="15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</row>
    <row r="484" ht="15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</row>
    <row r="485" ht="15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</row>
    <row r="486" ht="15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</row>
    <row r="487" ht="15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</row>
    <row r="488" ht="15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</row>
    <row r="489" ht="15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</row>
    <row r="490" ht="15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</row>
    <row r="491" ht="15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</row>
    <row r="492" ht="15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</row>
    <row r="493" ht="15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</row>
    <row r="494" ht="15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</row>
    <row r="495" ht="15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</row>
    <row r="496" ht="15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</row>
    <row r="497" ht="15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</row>
    <row r="498" ht="15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</row>
    <row r="499" ht="15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</row>
    <row r="500" ht="15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</row>
    <row r="501" ht="15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</row>
    <row r="502" ht="15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</row>
    <row r="503" ht="15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</row>
    <row r="504" ht="15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</row>
    <row r="505" ht="15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</row>
    <row r="506" ht="15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</row>
    <row r="507" ht="15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</row>
    <row r="508" ht="15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</row>
    <row r="509" ht="15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</row>
    <row r="510" ht="15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</row>
    <row r="511" ht="15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</row>
    <row r="512" ht="15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</row>
    <row r="513" ht="15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</row>
    <row r="514" ht="15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</row>
    <row r="515" ht="15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</row>
    <row r="516" ht="15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</row>
    <row r="517" ht="15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</row>
    <row r="518" ht="15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</row>
    <row r="519" ht="15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</row>
    <row r="520" ht="15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</row>
    <row r="521" ht="15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</row>
    <row r="522" ht="15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</row>
    <row r="523" ht="15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</row>
    <row r="524" ht="15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</row>
    <row r="525" ht="15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</row>
    <row r="526" ht="15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</row>
    <row r="527" ht="15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</row>
    <row r="528" ht="15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</row>
    <row r="529" ht="15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</row>
    <row r="530" ht="15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</row>
    <row r="531" ht="15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</row>
    <row r="532" ht="15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</row>
    <row r="533" ht="15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</row>
    <row r="534" ht="15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</row>
    <row r="535" ht="15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</row>
    <row r="536" ht="15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</row>
    <row r="537" ht="15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</row>
    <row r="538" ht="15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</row>
    <row r="539" ht="15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</row>
    <row r="540" ht="15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</row>
    <row r="541" ht="15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</row>
    <row r="542" ht="15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85"/>
    </row>
    <row r="543" ht="15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</row>
    <row r="544" ht="15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</row>
    <row r="545" ht="15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</row>
    <row r="546" ht="15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</row>
    <row r="547" ht="15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85"/>
    </row>
    <row r="548" ht="15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85"/>
    </row>
    <row r="549" ht="15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85"/>
    </row>
    <row r="550" ht="15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</row>
    <row r="551" ht="15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5"/>
    </row>
    <row r="552" ht="15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</row>
    <row r="553" ht="15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</row>
    <row r="554" ht="15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</row>
    <row r="555" ht="15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85"/>
    </row>
    <row r="556" ht="15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</row>
    <row r="557" ht="15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</row>
    <row r="558" ht="15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</row>
    <row r="559" ht="15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85"/>
    </row>
    <row r="560" ht="15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</row>
    <row r="561" ht="15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</row>
    <row r="562" ht="15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85"/>
    </row>
    <row r="563" ht="15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85"/>
    </row>
    <row r="564" ht="15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</row>
    <row r="565" ht="15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</row>
    <row r="566" ht="15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85"/>
    </row>
    <row r="567" ht="15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</row>
    <row r="568" ht="15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85"/>
    </row>
    <row r="569" ht="15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</row>
    <row r="570" ht="15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85"/>
    </row>
    <row r="571" ht="15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</row>
    <row r="572" ht="15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85"/>
    </row>
    <row r="573" ht="15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</row>
    <row r="574" ht="15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</row>
    <row r="575" ht="15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</row>
    <row r="576" ht="15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85"/>
    </row>
    <row r="577" ht="15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</row>
    <row r="578" ht="15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</row>
    <row r="579" ht="15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85"/>
    </row>
    <row r="580" ht="15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85"/>
    </row>
    <row r="581" ht="15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  <c r="AH581" s="85"/>
      <c r="AI581" s="85"/>
      <c r="AJ581" s="85"/>
      <c r="AK581" s="85"/>
      <c r="AL581" s="85"/>
    </row>
    <row r="582" ht="15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85"/>
    </row>
    <row r="583" ht="15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</row>
    <row r="584" ht="15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  <c r="AH584" s="85"/>
      <c r="AI584" s="85"/>
      <c r="AJ584" s="85"/>
      <c r="AK584" s="85"/>
      <c r="AL584" s="85"/>
    </row>
    <row r="585" ht="15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  <c r="AH585" s="85"/>
      <c r="AI585" s="85"/>
      <c r="AJ585" s="85"/>
      <c r="AK585" s="85"/>
      <c r="AL585" s="85"/>
    </row>
    <row r="586" ht="15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</row>
    <row r="587" ht="15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85"/>
    </row>
    <row r="588" ht="15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  <c r="AH588" s="85"/>
      <c r="AI588" s="85"/>
      <c r="AJ588" s="85"/>
      <c r="AK588" s="85"/>
      <c r="AL588" s="85"/>
    </row>
    <row r="589" ht="15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  <c r="AH589" s="85"/>
      <c r="AI589" s="85"/>
      <c r="AJ589" s="85"/>
      <c r="AK589" s="85"/>
      <c r="AL589" s="85"/>
    </row>
    <row r="590" ht="15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  <c r="AH590" s="85"/>
      <c r="AI590" s="85"/>
      <c r="AJ590" s="85"/>
      <c r="AK590" s="85"/>
      <c r="AL590" s="85"/>
    </row>
    <row r="591" ht="15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  <c r="AH591" s="85"/>
      <c r="AI591" s="85"/>
      <c r="AJ591" s="85"/>
      <c r="AK591" s="85"/>
      <c r="AL591" s="85"/>
    </row>
    <row r="592" ht="15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85"/>
      <c r="AJ592" s="85"/>
      <c r="AK592" s="85"/>
      <c r="AL592" s="85"/>
    </row>
    <row r="593" ht="15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85"/>
    </row>
    <row r="594" ht="15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  <c r="AH594" s="85"/>
      <c r="AI594" s="85"/>
      <c r="AJ594" s="85"/>
      <c r="AK594" s="85"/>
      <c r="AL594" s="85"/>
    </row>
    <row r="595" ht="15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</row>
    <row r="596" ht="15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85"/>
    </row>
    <row r="597" ht="15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</row>
    <row r="598" ht="15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</row>
    <row r="599" ht="15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  <c r="AH599" s="85"/>
      <c r="AI599" s="85"/>
      <c r="AJ599" s="85"/>
      <c r="AK599" s="85"/>
      <c r="AL599" s="85"/>
    </row>
    <row r="600" ht="15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85"/>
    </row>
    <row r="601" ht="15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/>
      <c r="AK601" s="85"/>
      <c r="AL601" s="85"/>
    </row>
    <row r="602" ht="15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  <c r="AH602" s="85"/>
      <c r="AI602" s="85"/>
      <c r="AJ602" s="85"/>
      <c r="AK602" s="85"/>
      <c r="AL602" s="85"/>
    </row>
    <row r="603" ht="15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85"/>
    </row>
    <row r="604" ht="15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85"/>
    </row>
    <row r="605" ht="15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/>
      <c r="AK605" s="85"/>
      <c r="AL605" s="85"/>
    </row>
    <row r="606" ht="15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85"/>
    </row>
    <row r="607" ht="15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85"/>
    </row>
    <row r="608" ht="15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85"/>
    </row>
    <row r="609" ht="15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  <c r="AH609" s="85"/>
      <c r="AI609" s="85"/>
      <c r="AJ609" s="85"/>
      <c r="AK609" s="85"/>
      <c r="AL609" s="85"/>
    </row>
    <row r="610" ht="15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</row>
    <row r="611" ht="15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</row>
    <row r="612" ht="15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85"/>
    </row>
    <row r="613" ht="15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85"/>
    </row>
    <row r="614" ht="15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85"/>
    </row>
    <row r="615" ht="15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/>
      <c r="AK615" s="85"/>
      <c r="AL615" s="85"/>
    </row>
    <row r="616" ht="15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85"/>
      <c r="AK616" s="85"/>
      <c r="AL616" s="85"/>
    </row>
    <row r="617" ht="15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85"/>
    </row>
    <row r="618" ht="15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85"/>
    </row>
    <row r="619" ht="15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</row>
    <row r="620" ht="15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  <c r="AH620" s="85"/>
      <c r="AI620" s="85"/>
      <c r="AJ620" s="85"/>
      <c r="AK620" s="85"/>
      <c r="AL620" s="85"/>
    </row>
    <row r="621" ht="15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85"/>
    </row>
    <row r="622" ht="15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  <c r="AH622" s="85"/>
      <c r="AI622" s="85"/>
      <c r="AJ622" s="85"/>
      <c r="AK622" s="85"/>
      <c r="AL622" s="85"/>
    </row>
    <row r="623" ht="15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</row>
    <row r="624" ht="15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85"/>
    </row>
    <row r="625" ht="15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  <c r="AH625" s="85"/>
      <c r="AI625" s="85"/>
      <c r="AJ625" s="85"/>
      <c r="AK625" s="85"/>
      <c r="AL625" s="85"/>
    </row>
    <row r="626" ht="15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/>
      <c r="AK626" s="85"/>
      <c r="AL626" s="85"/>
    </row>
    <row r="627" ht="15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85"/>
    </row>
    <row r="628" ht="15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</row>
    <row r="629" ht="15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  <c r="AH629" s="85"/>
      <c r="AI629" s="85"/>
      <c r="AJ629" s="85"/>
      <c r="AK629" s="85"/>
      <c r="AL629" s="85"/>
    </row>
    <row r="630" ht="15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/>
      <c r="AK630" s="85"/>
      <c r="AL630" s="85"/>
    </row>
    <row r="631" ht="15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/>
      <c r="AK631" s="85"/>
      <c r="AL631" s="85"/>
    </row>
    <row r="632" ht="15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85"/>
    </row>
    <row r="633" ht="15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85"/>
    </row>
    <row r="634" ht="15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85"/>
    </row>
    <row r="635" ht="15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  <c r="AH635" s="85"/>
      <c r="AI635" s="85"/>
      <c r="AJ635" s="85"/>
      <c r="AK635" s="85"/>
      <c r="AL635" s="85"/>
    </row>
    <row r="636" ht="15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85"/>
    </row>
    <row r="637" ht="15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</row>
    <row r="638" ht="15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</row>
    <row r="639" ht="15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</row>
    <row r="640" ht="15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85"/>
    </row>
    <row r="641" ht="15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</row>
    <row r="642" ht="15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85"/>
    </row>
    <row r="643" ht="15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85"/>
    </row>
    <row r="644" ht="15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</row>
    <row r="645" ht="15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</row>
    <row r="646" ht="15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</row>
    <row r="647" ht="15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85"/>
    </row>
    <row r="648" ht="15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</row>
    <row r="649" ht="15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</row>
    <row r="650" ht="15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</row>
    <row r="651" ht="15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  <c r="AH651" s="85"/>
      <c r="AI651" s="85"/>
      <c r="AJ651" s="85"/>
      <c r="AK651" s="85"/>
      <c r="AL651" s="85"/>
    </row>
    <row r="652" ht="15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85"/>
    </row>
    <row r="653" ht="15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  <c r="AH653" s="85"/>
      <c r="AI653" s="85"/>
      <c r="AJ653" s="85"/>
      <c r="AK653" s="85"/>
      <c r="AL653" s="85"/>
    </row>
    <row r="654" ht="15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85"/>
    </row>
    <row r="655" ht="15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</row>
    <row r="656" ht="15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</row>
    <row r="657" ht="15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</row>
    <row r="658" ht="15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  <c r="AH658" s="85"/>
      <c r="AI658" s="85"/>
      <c r="AJ658" s="85"/>
      <c r="AK658" s="85"/>
      <c r="AL658" s="85"/>
    </row>
    <row r="659" ht="15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85"/>
    </row>
    <row r="660" ht="15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85"/>
    </row>
    <row r="661" ht="15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  <c r="AH661" s="85"/>
      <c r="AI661" s="85"/>
      <c r="AJ661" s="85"/>
      <c r="AK661" s="85"/>
      <c r="AL661" s="85"/>
    </row>
    <row r="662" ht="15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</row>
    <row r="663" ht="15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/>
      <c r="AK663" s="85"/>
      <c r="AL663" s="85"/>
    </row>
    <row r="664" ht="15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85"/>
    </row>
    <row r="665" ht="15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  <c r="AH665" s="85"/>
      <c r="AI665" s="85"/>
      <c r="AJ665" s="85"/>
      <c r="AK665" s="85"/>
      <c r="AL665" s="85"/>
    </row>
    <row r="666" ht="15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</row>
    <row r="667" ht="15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85"/>
    </row>
    <row r="668" ht="15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</row>
    <row r="669" ht="15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/>
      <c r="AK669" s="85"/>
      <c r="AL669" s="85"/>
    </row>
    <row r="670" ht="15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/>
      <c r="AJ670" s="85"/>
      <c r="AK670" s="85"/>
      <c r="AL670" s="85"/>
    </row>
    <row r="671" ht="15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85"/>
    </row>
    <row r="672" ht="15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  <c r="AH672" s="85"/>
      <c r="AI672" s="85"/>
      <c r="AJ672" s="85"/>
      <c r="AK672" s="85"/>
      <c r="AL672" s="85"/>
    </row>
    <row r="673" ht="15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85"/>
    </row>
    <row r="674" ht="15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</row>
    <row r="675" ht="15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</row>
    <row r="676" ht="15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/>
      <c r="AK676" s="85"/>
      <c r="AL676" s="85"/>
    </row>
    <row r="677" ht="15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/>
      <c r="AK677" s="85"/>
      <c r="AL677" s="85"/>
    </row>
    <row r="678" ht="15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85"/>
    </row>
    <row r="679" ht="15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85"/>
    </row>
    <row r="680" ht="15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  <c r="AH680" s="85"/>
      <c r="AI680" s="85"/>
      <c r="AJ680" s="85"/>
      <c r="AK680" s="85"/>
      <c r="AL680" s="85"/>
    </row>
    <row r="681" ht="15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85"/>
    </row>
    <row r="682" ht="15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</row>
    <row r="683" ht="15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/>
      <c r="AK683" s="85"/>
      <c r="AL683" s="85"/>
    </row>
    <row r="684" ht="15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85"/>
    </row>
    <row r="685" ht="15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85"/>
    </row>
    <row r="686" ht="15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85"/>
    </row>
    <row r="687" ht="15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</row>
    <row r="688" ht="15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</row>
    <row r="689" ht="15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85"/>
    </row>
    <row r="690" ht="15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85"/>
    </row>
    <row r="691" ht="15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</row>
    <row r="692" ht="15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85"/>
    </row>
    <row r="693" ht="15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</row>
    <row r="694" ht="15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</row>
    <row r="695" ht="15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</row>
    <row r="696" ht="15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85"/>
    </row>
    <row r="697" ht="15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85"/>
    </row>
    <row r="698" ht="15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85"/>
    </row>
    <row r="699" ht="15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</row>
    <row r="700" ht="15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</row>
    <row r="701" ht="15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</row>
    <row r="702" ht="15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</row>
    <row r="703" ht="15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</row>
    <row r="704" ht="15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</row>
    <row r="705" ht="15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</row>
    <row r="706" ht="15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</row>
    <row r="707" ht="15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</row>
    <row r="708" ht="15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</row>
    <row r="709" ht="15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</row>
    <row r="710" ht="15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85"/>
    </row>
    <row r="711" ht="15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</row>
    <row r="712" ht="15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85"/>
    </row>
    <row r="713" ht="15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85"/>
    </row>
    <row r="714" ht="15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</row>
    <row r="715" ht="15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</row>
    <row r="716" ht="15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</row>
    <row r="717" ht="15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</row>
    <row r="718" ht="15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</row>
    <row r="719" ht="15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</row>
    <row r="720" ht="15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</row>
    <row r="721" ht="15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</row>
    <row r="722" ht="15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</row>
    <row r="723" ht="15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85"/>
    </row>
    <row r="724" ht="15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</row>
    <row r="725" ht="15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</row>
    <row r="726" ht="15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</row>
    <row r="727" ht="15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</row>
    <row r="728" ht="15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</row>
    <row r="729" ht="15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</row>
    <row r="730" ht="15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85"/>
    </row>
    <row r="731" ht="15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</row>
    <row r="732" ht="15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85"/>
    </row>
    <row r="733" ht="15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</row>
    <row r="734" ht="15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</row>
    <row r="735" ht="15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85"/>
    </row>
    <row r="736" ht="15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85"/>
    </row>
    <row r="737" ht="15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85"/>
    </row>
    <row r="738" ht="15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/>
      <c r="AK738" s="85"/>
      <c r="AL738" s="85"/>
    </row>
    <row r="739" ht="15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85"/>
    </row>
    <row r="740" ht="15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</row>
    <row r="741" ht="15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85"/>
    </row>
    <row r="742" ht="15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</row>
    <row r="743" ht="15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  <c r="AH743" s="85"/>
      <c r="AI743" s="85"/>
      <c r="AJ743" s="85"/>
      <c r="AK743" s="85"/>
      <c r="AL743" s="85"/>
    </row>
    <row r="744" ht="15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85"/>
    </row>
    <row r="745" ht="15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  <c r="AH745" s="85"/>
      <c r="AI745" s="85"/>
      <c r="AJ745" s="85"/>
      <c r="AK745" s="85"/>
      <c r="AL745" s="85"/>
    </row>
    <row r="746" ht="15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85"/>
    </row>
    <row r="747" ht="15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  <c r="AH747" s="85"/>
      <c r="AI747" s="85"/>
      <c r="AJ747" s="85"/>
      <c r="AK747" s="85"/>
      <c r="AL747" s="85"/>
    </row>
    <row r="748" ht="15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  <c r="AH748" s="85"/>
      <c r="AI748" s="85"/>
      <c r="AJ748" s="85"/>
      <c r="AK748" s="85"/>
      <c r="AL748" s="85"/>
    </row>
    <row r="749" ht="15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85"/>
    </row>
    <row r="750" ht="15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  <c r="AH750" s="85"/>
      <c r="AI750" s="85"/>
      <c r="AJ750" s="85"/>
      <c r="AK750" s="85"/>
      <c r="AL750" s="85"/>
    </row>
    <row r="751" ht="15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</row>
    <row r="752" ht="15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  <c r="AH752" s="85"/>
      <c r="AI752" s="85"/>
      <c r="AJ752" s="85"/>
      <c r="AK752" s="85"/>
      <c r="AL752" s="85"/>
    </row>
    <row r="753" ht="15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  <c r="AH753" s="85"/>
      <c r="AI753" s="85"/>
      <c r="AJ753" s="85"/>
      <c r="AK753" s="85"/>
      <c r="AL753" s="85"/>
    </row>
    <row r="754" ht="15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  <c r="AH754" s="85"/>
      <c r="AI754" s="85"/>
      <c r="AJ754" s="85"/>
      <c r="AK754" s="85"/>
      <c r="AL754" s="85"/>
    </row>
    <row r="755" ht="15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  <c r="AH755" s="85"/>
      <c r="AI755" s="85"/>
      <c r="AJ755" s="85"/>
      <c r="AK755" s="85"/>
      <c r="AL755" s="85"/>
    </row>
    <row r="756" ht="15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  <c r="AH756" s="85"/>
      <c r="AI756" s="85"/>
      <c r="AJ756" s="85"/>
      <c r="AK756" s="85"/>
      <c r="AL756" s="85"/>
    </row>
    <row r="757" ht="15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  <c r="AH757" s="85"/>
      <c r="AI757" s="85"/>
      <c r="AJ757" s="85"/>
      <c r="AK757" s="85"/>
      <c r="AL757" s="85"/>
    </row>
    <row r="758" ht="15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  <c r="AH758" s="85"/>
      <c r="AI758" s="85"/>
      <c r="AJ758" s="85"/>
      <c r="AK758" s="85"/>
      <c r="AL758" s="85"/>
    </row>
    <row r="759" ht="15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  <c r="AH759" s="85"/>
      <c r="AI759" s="85"/>
      <c r="AJ759" s="85"/>
      <c r="AK759" s="85"/>
      <c r="AL759" s="85"/>
    </row>
    <row r="760" ht="15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  <c r="AH760" s="85"/>
      <c r="AI760" s="85"/>
      <c r="AJ760" s="85"/>
      <c r="AK760" s="85"/>
      <c r="AL760" s="85"/>
    </row>
    <row r="761" ht="15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85"/>
    </row>
    <row r="762" ht="15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  <c r="AH762" s="85"/>
      <c r="AI762" s="85"/>
      <c r="AJ762" s="85"/>
      <c r="AK762" s="85"/>
      <c r="AL762" s="85"/>
    </row>
    <row r="763" ht="15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</row>
    <row r="764" ht="15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  <c r="AH764" s="85"/>
      <c r="AI764" s="85"/>
      <c r="AJ764" s="85"/>
      <c r="AK764" s="85"/>
      <c r="AL764" s="85"/>
    </row>
    <row r="765" ht="15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85"/>
    </row>
    <row r="766" ht="15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  <c r="AH766" s="85"/>
      <c r="AI766" s="85"/>
      <c r="AJ766" s="85"/>
      <c r="AK766" s="85"/>
      <c r="AL766" s="85"/>
    </row>
    <row r="767" ht="15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  <c r="AH767" s="85"/>
      <c r="AI767" s="85"/>
      <c r="AJ767" s="85"/>
      <c r="AK767" s="85"/>
      <c r="AL767" s="85"/>
    </row>
    <row r="768" ht="15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  <c r="AH768" s="85"/>
      <c r="AI768" s="85"/>
      <c r="AJ768" s="85"/>
      <c r="AK768" s="85"/>
      <c r="AL768" s="85"/>
    </row>
    <row r="769" ht="15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85"/>
    </row>
    <row r="770" ht="15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85"/>
    </row>
    <row r="771" ht="15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85"/>
    </row>
    <row r="772" ht="15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  <c r="AH772" s="85"/>
      <c r="AI772" s="85"/>
      <c r="AJ772" s="85"/>
      <c r="AK772" s="85"/>
      <c r="AL772" s="85"/>
    </row>
    <row r="773" ht="15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  <c r="AH773" s="85"/>
      <c r="AI773" s="85"/>
      <c r="AJ773" s="85"/>
      <c r="AK773" s="85"/>
      <c r="AL773" s="85"/>
    </row>
    <row r="774" ht="15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  <c r="AH774" s="85"/>
      <c r="AI774" s="85"/>
      <c r="AJ774" s="85"/>
      <c r="AK774" s="85"/>
      <c r="AL774" s="85"/>
    </row>
    <row r="775" ht="15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  <c r="AH775" s="85"/>
      <c r="AI775" s="85"/>
      <c r="AJ775" s="85"/>
      <c r="AK775" s="85"/>
      <c r="AL775" s="85"/>
    </row>
    <row r="776" ht="15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85"/>
    </row>
    <row r="777" ht="15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85"/>
    </row>
    <row r="778" ht="15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</row>
    <row r="779" ht="15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  <c r="AH779" s="85"/>
      <c r="AI779" s="85"/>
      <c r="AJ779" s="85"/>
      <c r="AK779" s="85"/>
      <c r="AL779" s="85"/>
    </row>
    <row r="780" ht="15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</row>
    <row r="781" ht="15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  <c r="AH781" s="85"/>
      <c r="AI781" s="85"/>
      <c r="AJ781" s="85"/>
      <c r="AK781" s="85"/>
      <c r="AL781" s="85"/>
    </row>
    <row r="782" ht="15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85"/>
    </row>
    <row r="783" ht="15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85"/>
    </row>
    <row r="784" ht="15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  <c r="AH784" s="85"/>
      <c r="AI784" s="85"/>
      <c r="AJ784" s="85"/>
      <c r="AK784" s="85"/>
      <c r="AL784" s="85"/>
    </row>
    <row r="785" ht="15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85"/>
    </row>
    <row r="786" ht="15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  <c r="AH786" s="85"/>
      <c r="AI786" s="85"/>
      <c r="AJ786" s="85"/>
      <c r="AK786" s="85"/>
      <c r="AL786" s="85"/>
    </row>
    <row r="787" ht="15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85"/>
    </row>
    <row r="788" ht="15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  <c r="AH788" s="85"/>
      <c r="AI788" s="85"/>
      <c r="AJ788" s="85"/>
      <c r="AK788" s="85"/>
      <c r="AL788" s="85"/>
    </row>
    <row r="789" ht="15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  <c r="AH789" s="85"/>
      <c r="AI789" s="85"/>
      <c r="AJ789" s="85"/>
      <c r="AK789" s="85"/>
      <c r="AL789" s="85"/>
    </row>
    <row r="790" ht="15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  <c r="AH790" s="85"/>
      <c r="AI790" s="85"/>
      <c r="AJ790" s="85"/>
      <c r="AK790" s="85"/>
      <c r="AL790" s="85"/>
    </row>
    <row r="791" ht="15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  <c r="AH791" s="85"/>
      <c r="AI791" s="85"/>
      <c r="AJ791" s="85"/>
      <c r="AK791" s="85"/>
      <c r="AL791" s="85"/>
    </row>
    <row r="792" ht="15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85"/>
    </row>
    <row r="793" ht="15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  <c r="AH793" s="85"/>
      <c r="AI793" s="85"/>
      <c r="AJ793" s="85"/>
      <c r="AK793" s="85"/>
      <c r="AL793" s="85"/>
    </row>
    <row r="794" ht="15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85"/>
    </row>
    <row r="795" ht="15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  <c r="AH795" s="85"/>
      <c r="AI795" s="85"/>
      <c r="AJ795" s="85"/>
      <c r="AK795" s="85"/>
      <c r="AL795" s="85"/>
    </row>
    <row r="796" ht="15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85"/>
    </row>
    <row r="797" ht="15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  <c r="AH797" s="85"/>
      <c r="AI797" s="85"/>
      <c r="AJ797" s="85"/>
      <c r="AK797" s="85"/>
      <c r="AL797" s="85"/>
    </row>
    <row r="798" ht="15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  <c r="AH798" s="85"/>
      <c r="AI798" s="85"/>
      <c r="AJ798" s="85"/>
      <c r="AK798" s="85"/>
      <c r="AL798" s="85"/>
    </row>
    <row r="799" ht="15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  <c r="AH799" s="85"/>
      <c r="AI799" s="85"/>
      <c r="AJ799" s="85"/>
      <c r="AK799" s="85"/>
      <c r="AL799" s="85"/>
    </row>
    <row r="800" ht="15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85"/>
    </row>
    <row r="801" ht="15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</row>
    <row r="802" ht="15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</row>
    <row r="803" ht="15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  <c r="AH803" s="85"/>
      <c r="AI803" s="85"/>
      <c r="AJ803" s="85"/>
      <c r="AK803" s="85"/>
      <c r="AL803" s="85"/>
    </row>
    <row r="804" ht="15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85"/>
    </row>
    <row r="805" ht="15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  <c r="AH805" s="85"/>
      <c r="AI805" s="85"/>
      <c r="AJ805" s="85"/>
      <c r="AK805" s="85"/>
      <c r="AL805" s="85"/>
    </row>
    <row r="806" ht="15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  <c r="AH806" s="85"/>
      <c r="AI806" s="85"/>
      <c r="AJ806" s="85"/>
      <c r="AK806" s="85"/>
      <c r="AL806" s="85"/>
    </row>
    <row r="807" ht="15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  <c r="AH807" s="85"/>
      <c r="AI807" s="85"/>
      <c r="AJ807" s="85"/>
      <c r="AK807" s="85"/>
      <c r="AL807" s="85"/>
    </row>
    <row r="808" ht="15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  <c r="AH808" s="85"/>
      <c r="AI808" s="85"/>
      <c r="AJ808" s="85"/>
      <c r="AK808" s="85"/>
      <c r="AL808" s="85"/>
    </row>
    <row r="809" ht="15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  <c r="AH809" s="85"/>
      <c r="AI809" s="85"/>
      <c r="AJ809" s="85"/>
      <c r="AK809" s="85"/>
      <c r="AL809" s="85"/>
    </row>
    <row r="810" ht="15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  <c r="AH810" s="85"/>
      <c r="AI810" s="85"/>
      <c r="AJ810" s="85"/>
      <c r="AK810" s="85"/>
      <c r="AL810" s="85"/>
    </row>
    <row r="811" ht="15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  <c r="AH811" s="85"/>
      <c r="AI811" s="85"/>
      <c r="AJ811" s="85"/>
      <c r="AK811" s="85"/>
      <c r="AL811" s="85"/>
    </row>
    <row r="812" ht="15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  <c r="AH812" s="85"/>
      <c r="AI812" s="85"/>
      <c r="AJ812" s="85"/>
      <c r="AK812" s="85"/>
      <c r="AL812" s="85"/>
    </row>
    <row r="813" ht="15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  <c r="AH813" s="85"/>
      <c r="AI813" s="85"/>
      <c r="AJ813" s="85"/>
      <c r="AK813" s="85"/>
      <c r="AL813" s="85"/>
    </row>
    <row r="814" ht="15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  <c r="AH814" s="85"/>
      <c r="AI814" s="85"/>
      <c r="AJ814" s="85"/>
      <c r="AK814" s="85"/>
      <c r="AL814" s="85"/>
    </row>
    <row r="815" ht="15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85"/>
    </row>
    <row r="816" ht="15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85"/>
    </row>
    <row r="817" ht="15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85"/>
    </row>
    <row r="818" ht="15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  <c r="AH818" s="85"/>
      <c r="AI818" s="85"/>
      <c r="AJ818" s="85"/>
      <c r="AK818" s="85"/>
      <c r="AL818" s="85"/>
    </row>
    <row r="819" ht="15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  <c r="AH819" s="85"/>
      <c r="AI819" s="85"/>
      <c r="AJ819" s="85"/>
      <c r="AK819" s="85"/>
      <c r="AL819" s="85"/>
    </row>
    <row r="820" ht="15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</row>
    <row r="821" ht="15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85"/>
    </row>
    <row r="822" ht="15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</row>
    <row r="823" ht="15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85"/>
    </row>
    <row r="824" ht="15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85"/>
    </row>
    <row r="825" ht="15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</row>
    <row r="826" ht="15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85"/>
    </row>
    <row r="827" ht="15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85"/>
    </row>
    <row r="828" ht="15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85"/>
    </row>
    <row r="829" ht="15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85"/>
    </row>
    <row r="830" ht="15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85"/>
    </row>
    <row r="831" ht="15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</row>
    <row r="832" ht="15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85"/>
    </row>
    <row r="833" ht="15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</row>
    <row r="834" ht="15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</row>
    <row r="835" ht="15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85"/>
    </row>
    <row r="836" ht="15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85"/>
    </row>
    <row r="837" ht="15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85"/>
    </row>
    <row r="838" ht="15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85"/>
    </row>
    <row r="839" ht="15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</row>
    <row r="840" ht="15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85"/>
    </row>
    <row r="841" ht="15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</row>
    <row r="842" ht="15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85"/>
    </row>
    <row r="843" ht="15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</row>
    <row r="844" ht="15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</row>
    <row r="845" ht="15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85"/>
    </row>
    <row r="846" ht="15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85"/>
    </row>
    <row r="847" ht="15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85"/>
    </row>
    <row r="848" ht="15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85"/>
    </row>
    <row r="849" ht="15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85"/>
    </row>
    <row r="850" ht="15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</row>
    <row r="851" ht="15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</row>
    <row r="852" ht="15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85"/>
    </row>
    <row r="853" ht="15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</row>
    <row r="854" ht="15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85"/>
    </row>
    <row r="855" ht="15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</row>
    <row r="856" ht="15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85"/>
    </row>
    <row r="857" ht="15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</row>
    <row r="858" ht="15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85"/>
    </row>
    <row r="859" ht="15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85"/>
    </row>
    <row r="860" ht="15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</row>
    <row r="861" ht="15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</row>
    <row r="862" ht="15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</row>
    <row r="863" ht="15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85"/>
    </row>
    <row r="864" ht="15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</row>
    <row r="865" ht="15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</row>
    <row r="866" ht="15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85"/>
    </row>
    <row r="867" ht="15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85"/>
    </row>
    <row r="868" ht="15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85"/>
    </row>
    <row r="869" ht="15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85"/>
    </row>
    <row r="870" ht="15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85"/>
    </row>
    <row r="871" ht="15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  <c r="AH871" s="85"/>
      <c r="AI871" s="85"/>
      <c r="AJ871" s="85"/>
      <c r="AK871" s="85"/>
      <c r="AL871" s="85"/>
    </row>
    <row r="872" ht="15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  <c r="AH872" s="85"/>
      <c r="AI872" s="85"/>
      <c r="AJ872" s="85"/>
      <c r="AK872" s="85"/>
      <c r="AL872" s="85"/>
    </row>
    <row r="873" ht="15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85"/>
    </row>
    <row r="874" ht="15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85"/>
    </row>
    <row r="875" ht="15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85"/>
    </row>
    <row r="876" ht="15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  <c r="AH876" s="85"/>
      <c r="AI876" s="85"/>
      <c r="AJ876" s="85"/>
      <c r="AK876" s="85"/>
      <c r="AL876" s="85"/>
    </row>
    <row r="877" ht="15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</row>
    <row r="878" ht="15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  <c r="AH878" s="85"/>
      <c r="AI878" s="85"/>
      <c r="AJ878" s="85"/>
      <c r="AK878" s="85"/>
      <c r="AL878" s="85"/>
    </row>
    <row r="879" ht="15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  <c r="AH879" s="85"/>
      <c r="AI879" s="85"/>
      <c r="AJ879" s="85"/>
      <c r="AK879" s="85"/>
      <c r="AL879" s="85"/>
    </row>
    <row r="880" ht="15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  <c r="AH880" s="85"/>
      <c r="AI880" s="85"/>
      <c r="AJ880" s="85"/>
      <c r="AK880" s="85"/>
      <c r="AL880" s="85"/>
    </row>
    <row r="881" ht="15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  <c r="AH881" s="85"/>
      <c r="AI881" s="85"/>
      <c r="AJ881" s="85"/>
      <c r="AK881" s="85"/>
      <c r="AL881" s="85"/>
    </row>
    <row r="882" ht="15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  <c r="AH882" s="85"/>
      <c r="AI882" s="85"/>
      <c r="AJ882" s="85"/>
      <c r="AK882" s="85"/>
      <c r="AL882" s="85"/>
    </row>
    <row r="883" ht="15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  <c r="AH883" s="85"/>
      <c r="AI883" s="85"/>
      <c r="AJ883" s="85"/>
      <c r="AK883" s="85"/>
      <c r="AL883" s="85"/>
    </row>
    <row r="884" ht="15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85"/>
    </row>
    <row r="885" ht="15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85"/>
    </row>
    <row r="886" ht="15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</row>
    <row r="887" ht="15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  <c r="AH887" s="85"/>
      <c r="AI887" s="85"/>
      <c r="AJ887" s="85"/>
      <c r="AK887" s="85"/>
      <c r="AL887" s="85"/>
    </row>
    <row r="888" ht="15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85"/>
    </row>
    <row r="889" ht="15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  <c r="AH889" s="85"/>
      <c r="AI889" s="85"/>
      <c r="AJ889" s="85"/>
      <c r="AK889" s="85"/>
      <c r="AL889" s="85"/>
    </row>
    <row r="890" ht="15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  <c r="AH890" s="85"/>
      <c r="AI890" s="85"/>
      <c r="AJ890" s="85"/>
      <c r="AK890" s="85"/>
      <c r="AL890" s="85"/>
    </row>
    <row r="891" ht="15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  <c r="AH891" s="85"/>
      <c r="AI891" s="85"/>
      <c r="AJ891" s="85"/>
      <c r="AK891" s="85"/>
      <c r="AL891" s="85"/>
    </row>
    <row r="892" ht="15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85"/>
    </row>
    <row r="893" ht="15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85"/>
    </row>
    <row r="894" ht="15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85"/>
    </row>
    <row r="895" ht="15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85"/>
    </row>
    <row r="896" ht="15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</row>
    <row r="897" ht="15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  <c r="AH897" s="85"/>
      <c r="AI897" s="85"/>
      <c r="AJ897" s="85"/>
      <c r="AK897" s="85"/>
      <c r="AL897" s="85"/>
    </row>
    <row r="898" ht="15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85"/>
    </row>
    <row r="899" ht="15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  <c r="AH899" s="85"/>
      <c r="AI899" s="85"/>
      <c r="AJ899" s="85"/>
      <c r="AK899" s="85"/>
      <c r="AL899" s="85"/>
    </row>
    <row r="900" ht="15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85"/>
    </row>
    <row r="901" ht="15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  <c r="AH901" s="85"/>
      <c r="AI901" s="85"/>
      <c r="AJ901" s="85"/>
      <c r="AK901" s="85"/>
      <c r="AL901" s="85"/>
    </row>
    <row r="902" ht="15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  <c r="AH902" s="85"/>
      <c r="AI902" s="85"/>
      <c r="AJ902" s="85"/>
      <c r="AK902" s="85"/>
      <c r="AL902" s="85"/>
    </row>
    <row r="903" ht="15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  <c r="AH903" s="85"/>
      <c r="AI903" s="85"/>
      <c r="AJ903" s="85"/>
      <c r="AK903" s="85"/>
      <c r="AL903" s="85"/>
    </row>
    <row r="904" ht="15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  <c r="AH904" s="85"/>
      <c r="AI904" s="85"/>
      <c r="AJ904" s="85"/>
      <c r="AK904" s="85"/>
      <c r="AL904" s="85"/>
    </row>
    <row r="905" ht="15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  <c r="AH905" s="85"/>
      <c r="AI905" s="85"/>
      <c r="AJ905" s="85"/>
      <c r="AK905" s="85"/>
      <c r="AL905" s="85"/>
    </row>
    <row r="906" ht="15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  <c r="AH906" s="85"/>
      <c r="AI906" s="85"/>
      <c r="AJ906" s="85"/>
      <c r="AK906" s="85"/>
      <c r="AL906" s="85"/>
    </row>
    <row r="907" ht="15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85"/>
    </row>
    <row r="908" ht="15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  <c r="AH908" s="85"/>
      <c r="AI908" s="85"/>
      <c r="AJ908" s="85"/>
      <c r="AK908" s="85"/>
      <c r="AL908" s="85"/>
    </row>
    <row r="909" ht="15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</row>
    <row r="910" ht="15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  <c r="AH910" s="85"/>
      <c r="AI910" s="85"/>
      <c r="AJ910" s="85"/>
      <c r="AK910" s="85"/>
      <c r="AL910" s="85"/>
    </row>
    <row r="911" ht="15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  <c r="AH911" s="85"/>
      <c r="AI911" s="85"/>
      <c r="AJ911" s="85"/>
      <c r="AK911" s="85"/>
      <c r="AL911" s="85"/>
    </row>
    <row r="912" ht="15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85"/>
    </row>
    <row r="913" ht="15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  <c r="AH913" s="85"/>
      <c r="AI913" s="85"/>
      <c r="AJ913" s="85"/>
      <c r="AK913" s="85"/>
      <c r="AL913" s="85"/>
    </row>
    <row r="914" ht="15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85"/>
    </row>
    <row r="915" ht="15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</row>
    <row r="916" ht="15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  <c r="AH916" s="85"/>
      <c r="AI916" s="85"/>
      <c r="AJ916" s="85"/>
      <c r="AK916" s="85"/>
      <c r="AL916" s="85"/>
    </row>
    <row r="917" ht="15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85"/>
    </row>
    <row r="918" ht="15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85"/>
    </row>
    <row r="919" ht="15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  <c r="AH919" s="85"/>
      <c r="AI919" s="85"/>
      <c r="AJ919" s="85"/>
      <c r="AK919" s="85"/>
      <c r="AL919" s="85"/>
    </row>
    <row r="920" ht="15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  <c r="AH920" s="85"/>
      <c r="AI920" s="85"/>
      <c r="AJ920" s="85"/>
      <c r="AK920" s="85"/>
      <c r="AL920" s="85"/>
    </row>
    <row r="921" ht="15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85"/>
    </row>
    <row r="922" ht="15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85"/>
    </row>
    <row r="923" ht="15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  <c r="AH923" s="85"/>
      <c r="AI923" s="85"/>
      <c r="AJ923" s="85"/>
      <c r="AK923" s="85"/>
      <c r="AL923" s="85"/>
    </row>
    <row r="924" ht="15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85"/>
    </row>
    <row r="925" ht="15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85"/>
    </row>
    <row r="926" ht="15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85"/>
    </row>
    <row r="927" ht="15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  <c r="AH927" s="85"/>
      <c r="AI927" s="85"/>
      <c r="AJ927" s="85"/>
      <c r="AK927" s="85"/>
      <c r="AL927" s="85"/>
    </row>
    <row r="928" ht="15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  <c r="AH928" s="85"/>
      <c r="AI928" s="85"/>
      <c r="AJ928" s="85"/>
      <c r="AK928" s="85"/>
      <c r="AL928" s="85"/>
    </row>
    <row r="929" ht="15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  <c r="AH929" s="85"/>
      <c r="AI929" s="85"/>
      <c r="AJ929" s="85"/>
      <c r="AK929" s="85"/>
      <c r="AL929" s="85"/>
    </row>
    <row r="930" ht="15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  <c r="AH930" s="85"/>
      <c r="AI930" s="85"/>
      <c r="AJ930" s="85"/>
      <c r="AK930" s="85"/>
      <c r="AL930" s="85"/>
    </row>
    <row r="931" ht="15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  <c r="AH931" s="85"/>
      <c r="AI931" s="85"/>
      <c r="AJ931" s="85"/>
      <c r="AK931" s="85"/>
      <c r="AL931" s="85"/>
    </row>
    <row r="932" ht="15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  <c r="AH932" s="85"/>
      <c r="AI932" s="85"/>
      <c r="AJ932" s="85"/>
      <c r="AK932" s="85"/>
      <c r="AL932" s="85"/>
    </row>
    <row r="933" ht="15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  <c r="AH933" s="85"/>
      <c r="AI933" s="85"/>
      <c r="AJ933" s="85"/>
      <c r="AK933" s="85"/>
      <c r="AL933" s="85"/>
    </row>
    <row r="934" ht="15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  <c r="AH934" s="85"/>
      <c r="AI934" s="85"/>
      <c r="AJ934" s="85"/>
      <c r="AK934" s="85"/>
      <c r="AL934" s="85"/>
    </row>
    <row r="935" ht="15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  <c r="AH935" s="85"/>
      <c r="AI935" s="85"/>
      <c r="AJ935" s="85"/>
      <c r="AK935" s="85"/>
      <c r="AL935" s="85"/>
    </row>
    <row r="936" ht="15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  <c r="AH936" s="85"/>
      <c r="AI936" s="85"/>
      <c r="AJ936" s="85"/>
      <c r="AK936" s="85"/>
      <c r="AL936" s="85"/>
    </row>
    <row r="937" ht="15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  <c r="AG937" s="85"/>
      <c r="AH937" s="85"/>
      <c r="AI937" s="85"/>
      <c r="AJ937" s="85"/>
      <c r="AK937" s="85"/>
      <c r="AL937" s="85"/>
    </row>
    <row r="938" ht="15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  <c r="AG938" s="85"/>
      <c r="AH938" s="85"/>
      <c r="AI938" s="85"/>
      <c r="AJ938" s="85"/>
      <c r="AK938" s="85"/>
      <c r="AL938" s="85"/>
    </row>
    <row r="939" ht="15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  <c r="AH939" s="85"/>
      <c r="AI939" s="85"/>
      <c r="AJ939" s="85"/>
      <c r="AK939" s="85"/>
      <c r="AL939" s="85"/>
    </row>
    <row r="940" ht="15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</row>
    <row r="941" ht="15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  <c r="AH941" s="85"/>
      <c r="AI941" s="85"/>
      <c r="AJ941" s="85"/>
      <c r="AK941" s="85"/>
      <c r="AL941" s="85"/>
    </row>
    <row r="942" ht="15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  <c r="AG942" s="85"/>
      <c r="AH942" s="85"/>
      <c r="AI942" s="85"/>
      <c r="AJ942" s="85"/>
      <c r="AK942" s="85"/>
      <c r="AL942" s="85"/>
    </row>
    <row r="943" ht="15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</row>
    <row r="944" ht="15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  <c r="AH944" s="85"/>
      <c r="AI944" s="85"/>
      <c r="AJ944" s="85"/>
      <c r="AK944" s="85"/>
      <c r="AL944" s="85"/>
    </row>
    <row r="945" ht="15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</row>
    <row r="946" ht="15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  <c r="AH946" s="85"/>
      <c r="AI946" s="85"/>
      <c r="AJ946" s="85"/>
      <c r="AK946" s="85"/>
      <c r="AL946" s="85"/>
    </row>
    <row r="947" ht="15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  <c r="AH947" s="85"/>
      <c r="AI947" s="85"/>
      <c r="AJ947" s="85"/>
      <c r="AK947" s="85"/>
      <c r="AL947" s="85"/>
    </row>
    <row r="948" ht="15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</row>
    <row r="949" ht="15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  <c r="AG949" s="85"/>
      <c r="AH949" s="85"/>
      <c r="AI949" s="85"/>
      <c r="AJ949" s="85"/>
      <c r="AK949" s="85"/>
      <c r="AL949" s="85"/>
    </row>
    <row r="950" ht="15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</row>
    <row r="951" ht="15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  <c r="AH951" s="85"/>
      <c r="AI951" s="85"/>
      <c r="AJ951" s="85"/>
      <c r="AK951" s="85"/>
      <c r="AL951" s="85"/>
    </row>
    <row r="952" ht="15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  <c r="AH952" s="85"/>
      <c r="AI952" s="85"/>
      <c r="AJ952" s="85"/>
      <c r="AK952" s="85"/>
      <c r="AL952" s="85"/>
    </row>
    <row r="953" ht="15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</row>
    <row r="954" ht="15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  <c r="AH954" s="85"/>
      <c r="AI954" s="85"/>
      <c r="AJ954" s="85"/>
      <c r="AK954" s="85"/>
      <c r="AL954" s="85"/>
    </row>
    <row r="955" ht="15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  <c r="AH955" s="85"/>
      <c r="AI955" s="85"/>
      <c r="AJ955" s="85"/>
      <c r="AK955" s="85"/>
      <c r="AL955" s="85"/>
    </row>
    <row r="956" ht="15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  <c r="AH956" s="85"/>
      <c r="AI956" s="85"/>
      <c r="AJ956" s="85"/>
      <c r="AK956" s="85"/>
      <c r="AL956" s="85"/>
    </row>
    <row r="957" ht="15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  <c r="AH957" s="85"/>
      <c r="AI957" s="85"/>
      <c r="AJ957" s="85"/>
      <c r="AK957" s="85"/>
      <c r="AL957" s="85"/>
    </row>
    <row r="958" ht="15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  <c r="AH958" s="85"/>
      <c r="AI958" s="85"/>
      <c r="AJ958" s="85"/>
      <c r="AK958" s="85"/>
      <c r="AL958" s="85"/>
    </row>
    <row r="959" ht="15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  <c r="AH959" s="85"/>
      <c r="AI959" s="85"/>
      <c r="AJ959" s="85"/>
      <c r="AK959" s="85"/>
      <c r="AL959" s="85"/>
    </row>
    <row r="960" ht="15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</row>
    <row r="961" ht="15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  <c r="AH961" s="85"/>
      <c r="AI961" s="85"/>
      <c r="AJ961" s="85"/>
      <c r="AK961" s="85"/>
      <c r="AL961" s="85"/>
    </row>
    <row r="962" ht="15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</row>
    <row r="963" ht="15.7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  <c r="AG963" s="85"/>
      <c r="AH963" s="85"/>
      <c r="AI963" s="85"/>
      <c r="AJ963" s="85"/>
      <c r="AK963" s="85"/>
      <c r="AL963" s="85"/>
    </row>
    <row r="964" ht="15.7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</row>
    <row r="965" ht="15.7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  <c r="AG965" s="85"/>
      <c r="AH965" s="85"/>
      <c r="AI965" s="85"/>
      <c r="AJ965" s="85"/>
      <c r="AK965" s="85"/>
      <c r="AL965" s="85"/>
    </row>
    <row r="966" ht="15.7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  <c r="AG966" s="85"/>
      <c r="AH966" s="85"/>
      <c r="AI966" s="85"/>
      <c r="AJ966" s="85"/>
      <c r="AK966" s="85"/>
      <c r="AL966" s="85"/>
    </row>
    <row r="967" ht="15.7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  <c r="AG967" s="85"/>
      <c r="AH967" s="85"/>
      <c r="AI967" s="85"/>
      <c r="AJ967" s="85"/>
      <c r="AK967" s="85"/>
      <c r="AL967" s="85"/>
    </row>
    <row r="968" ht="15.7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  <c r="AG968" s="85"/>
      <c r="AH968" s="85"/>
      <c r="AI968" s="85"/>
      <c r="AJ968" s="85"/>
      <c r="AK968" s="85"/>
      <c r="AL968" s="85"/>
    </row>
    <row r="969" ht="15.7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  <c r="AG969" s="85"/>
      <c r="AH969" s="85"/>
      <c r="AI969" s="85"/>
      <c r="AJ969" s="85"/>
      <c r="AK969" s="85"/>
      <c r="AL969" s="85"/>
    </row>
    <row r="970" ht="15.7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  <c r="AG970" s="85"/>
      <c r="AH970" s="85"/>
      <c r="AI970" s="85"/>
      <c r="AJ970" s="85"/>
      <c r="AK970" s="85"/>
      <c r="AL970" s="85"/>
    </row>
    <row r="971" ht="15.7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  <c r="AG971" s="85"/>
      <c r="AH971" s="85"/>
      <c r="AI971" s="85"/>
      <c r="AJ971" s="85"/>
      <c r="AK971" s="85"/>
      <c r="AL971" s="85"/>
    </row>
    <row r="972" ht="15.7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  <c r="AH972" s="85"/>
      <c r="AI972" s="85"/>
      <c r="AJ972" s="85"/>
      <c r="AK972" s="85"/>
      <c r="AL972" s="85"/>
    </row>
    <row r="973" ht="15.7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  <c r="AG973" s="85"/>
      <c r="AH973" s="85"/>
      <c r="AI973" s="85"/>
      <c r="AJ973" s="85"/>
      <c r="AK973" s="85"/>
      <c r="AL973" s="85"/>
    </row>
    <row r="974" ht="15.7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  <c r="AG974" s="85"/>
      <c r="AH974" s="85"/>
      <c r="AI974" s="85"/>
      <c r="AJ974" s="85"/>
      <c r="AK974" s="85"/>
      <c r="AL974" s="85"/>
    </row>
    <row r="975" ht="15.7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  <c r="AH975" s="85"/>
      <c r="AI975" s="85"/>
      <c r="AJ975" s="85"/>
      <c r="AK975" s="85"/>
      <c r="AL975" s="85"/>
    </row>
    <row r="976" ht="15.7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  <c r="AH976" s="85"/>
      <c r="AI976" s="85"/>
      <c r="AJ976" s="85"/>
      <c r="AK976" s="85"/>
      <c r="AL976" s="85"/>
    </row>
    <row r="977" ht="15.7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  <c r="AG977" s="85"/>
      <c r="AH977" s="85"/>
      <c r="AI977" s="85"/>
      <c r="AJ977" s="85"/>
      <c r="AK977" s="85"/>
      <c r="AL977" s="85"/>
    </row>
    <row r="978" ht="15.7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  <c r="AG978" s="85"/>
      <c r="AH978" s="85"/>
      <c r="AI978" s="85"/>
      <c r="AJ978" s="85"/>
      <c r="AK978" s="85"/>
      <c r="AL978" s="85"/>
    </row>
    <row r="979" ht="15.7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  <c r="AG979" s="85"/>
      <c r="AH979" s="85"/>
      <c r="AI979" s="85"/>
      <c r="AJ979" s="85"/>
      <c r="AK979" s="85"/>
      <c r="AL979" s="85"/>
    </row>
    <row r="980" ht="15.7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  <c r="AG980" s="85"/>
      <c r="AH980" s="85"/>
      <c r="AI980" s="85"/>
      <c r="AJ980" s="85"/>
      <c r="AK980" s="85"/>
      <c r="AL980" s="85"/>
    </row>
    <row r="981" ht="15.7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  <c r="AG981" s="85"/>
      <c r="AH981" s="85"/>
      <c r="AI981" s="85"/>
      <c r="AJ981" s="85"/>
      <c r="AK981" s="85"/>
      <c r="AL981" s="85"/>
    </row>
    <row r="982" ht="15.7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  <c r="AH982" s="85"/>
      <c r="AI982" s="85"/>
      <c r="AJ982" s="85"/>
      <c r="AK982" s="85"/>
      <c r="AL982" s="85"/>
    </row>
    <row r="983" ht="15.7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  <c r="AG983" s="85"/>
      <c r="AH983" s="85"/>
      <c r="AI983" s="85"/>
      <c r="AJ983" s="85"/>
      <c r="AK983" s="85"/>
      <c r="AL983" s="85"/>
    </row>
    <row r="984" ht="15.7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  <c r="AH984" s="85"/>
      <c r="AI984" s="85"/>
      <c r="AJ984" s="85"/>
      <c r="AK984" s="85"/>
      <c r="AL984" s="85"/>
    </row>
    <row r="985" ht="15.7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  <c r="AG985" s="85"/>
      <c r="AH985" s="85"/>
      <c r="AI985" s="85"/>
      <c r="AJ985" s="85"/>
      <c r="AK985" s="85"/>
      <c r="AL985" s="85"/>
    </row>
    <row r="986" ht="15.7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  <c r="AH986" s="85"/>
      <c r="AI986" s="85"/>
      <c r="AJ986" s="85"/>
      <c r="AK986" s="85"/>
      <c r="AL986" s="85"/>
    </row>
    <row r="987" ht="15.7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  <c r="AH987" s="85"/>
      <c r="AI987" s="85"/>
      <c r="AJ987" s="85"/>
      <c r="AK987" s="85"/>
      <c r="AL987" s="85"/>
    </row>
    <row r="988" ht="15.7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  <c r="AH988" s="85"/>
      <c r="AI988" s="85"/>
      <c r="AJ988" s="85"/>
      <c r="AK988" s="85"/>
      <c r="AL988" s="85"/>
    </row>
    <row r="989" ht="15.7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  <c r="AH989" s="85"/>
      <c r="AI989" s="85"/>
      <c r="AJ989" s="85"/>
      <c r="AK989" s="85"/>
      <c r="AL989" s="85"/>
    </row>
    <row r="990" ht="15.7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  <c r="AH990" s="85"/>
      <c r="AI990" s="85"/>
      <c r="AJ990" s="85"/>
      <c r="AK990" s="85"/>
      <c r="AL990" s="85"/>
    </row>
    <row r="991" ht="15.7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</row>
    <row r="992" ht="15.7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  <c r="AH992" s="85"/>
      <c r="AI992" s="85"/>
      <c r="AJ992" s="85"/>
      <c r="AK992" s="85"/>
      <c r="AL992" s="85"/>
    </row>
    <row r="993" ht="15.7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  <c r="AH993" s="85"/>
      <c r="AI993" s="85"/>
      <c r="AJ993" s="85"/>
      <c r="AK993" s="85"/>
      <c r="AL993" s="85"/>
    </row>
    <row r="994" ht="15.7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  <c r="AH994" s="85"/>
      <c r="AI994" s="85"/>
      <c r="AJ994" s="85"/>
      <c r="AK994" s="85"/>
      <c r="AL994" s="85"/>
    </row>
    <row r="995" ht="15.7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</row>
    <row r="996" ht="15.7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  <c r="AG996" s="85"/>
      <c r="AH996" s="85"/>
      <c r="AI996" s="85"/>
      <c r="AJ996" s="85"/>
      <c r="AK996" s="85"/>
      <c r="AL996" s="85"/>
    </row>
    <row r="997" ht="15.7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  <c r="AH997" s="85"/>
      <c r="AI997" s="85"/>
      <c r="AJ997" s="85"/>
      <c r="AK997" s="85"/>
      <c r="AL997" s="85"/>
    </row>
    <row r="998" ht="15.7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  <c r="AG998" s="85"/>
      <c r="AH998" s="85"/>
      <c r="AI998" s="85"/>
      <c r="AJ998" s="85"/>
      <c r="AK998" s="85"/>
      <c r="AL998" s="85"/>
    </row>
    <row r="999" ht="15.7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  <c r="AG999" s="85"/>
      <c r="AH999" s="85"/>
      <c r="AI999" s="85"/>
      <c r="AJ999" s="85"/>
      <c r="AK999" s="85"/>
      <c r="AL999" s="85"/>
    </row>
    <row r="1000" ht="15.7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  <c r="AG1000" s="85"/>
      <c r="AH1000" s="85"/>
      <c r="AI1000" s="85"/>
      <c r="AJ1000" s="85"/>
      <c r="AK1000" s="85"/>
      <c r="AL1000" s="85"/>
    </row>
  </sheetData>
  <mergeCells count="1">
    <mergeCell ref="M4:R4"/>
  </mergeCells>
  <conditionalFormatting sqref="C5:C14 E5:E14 G5:G14 I5:I14 K5:K14 W5:AG14">
    <cfRule type="cellIs" dxfId="0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57"/>
    <col customWidth="1" min="3" max="3" width="10.0"/>
    <col customWidth="1" min="4" max="4" width="14.0"/>
    <col customWidth="1" min="5" max="6" width="8.71"/>
  </cols>
  <sheetData>
    <row r="1" ht="17.25" customHeight="1">
      <c r="A1" s="168" t="s">
        <v>109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</row>
    <row r="2" ht="15.0" customHeight="1">
      <c r="A2" s="165"/>
      <c r="B2" s="165"/>
      <c r="C2" s="165"/>
      <c r="D2" s="165"/>
      <c r="E2" s="165"/>
      <c r="F2" s="165"/>
      <c r="G2" s="165"/>
      <c r="H2" s="165"/>
      <c r="I2" s="169" t="s">
        <v>110</v>
      </c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</row>
    <row r="3" ht="15.0" customHeight="1">
      <c r="A3" s="170" t="s">
        <v>43</v>
      </c>
      <c r="B3" s="165"/>
      <c r="C3" s="165"/>
      <c r="D3" s="165"/>
      <c r="E3" s="165"/>
      <c r="F3" s="165"/>
      <c r="G3" s="165"/>
      <c r="H3" s="165"/>
      <c r="I3" s="171" t="s">
        <v>111</v>
      </c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</row>
    <row r="4" ht="15.0" customHeight="1">
      <c r="A4" s="172" t="s">
        <v>112</v>
      </c>
      <c r="B4" s="172" t="s">
        <v>113</v>
      </c>
      <c r="C4" s="172" t="s">
        <v>114</v>
      </c>
      <c r="D4" s="172" t="s">
        <v>115</v>
      </c>
      <c r="E4" s="172" t="s">
        <v>116</v>
      </c>
      <c r="F4" s="172" t="s">
        <v>73</v>
      </c>
      <c r="G4" s="173" t="s">
        <v>117</v>
      </c>
      <c r="H4" s="174" t="s">
        <v>118</v>
      </c>
      <c r="I4" s="175" t="s">
        <v>119</v>
      </c>
      <c r="J4" s="176" t="s">
        <v>120</v>
      </c>
      <c r="K4" s="176" t="s">
        <v>121</v>
      </c>
      <c r="L4" s="175" t="s">
        <v>122</v>
      </c>
      <c r="M4" s="176" t="s">
        <v>123</v>
      </c>
      <c r="N4" s="177" t="s">
        <v>124</v>
      </c>
      <c r="O4" s="177" t="s">
        <v>125</v>
      </c>
      <c r="P4" s="177" t="s">
        <v>126</v>
      </c>
      <c r="Q4" s="178" t="s">
        <v>127</v>
      </c>
      <c r="R4" s="177" t="s">
        <v>128</v>
      </c>
      <c r="S4" s="179" t="s">
        <v>129</v>
      </c>
      <c r="T4" s="180" t="s">
        <v>130</v>
      </c>
      <c r="U4" s="180" t="s">
        <v>131</v>
      </c>
      <c r="V4" s="180" t="s">
        <v>132</v>
      </c>
      <c r="W4" s="181"/>
      <c r="X4" s="176" t="s">
        <v>133</v>
      </c>
      <c r="Y4" s="176" t="s">
        <v>134</v>
      </c>
      <c r="Z4" s="176" t="s">
        <v>135</v>
      </c>
      <c r="AA4" s="176" t="s">
        <v>136</v>
      </c>
      <c r="AB4" s="176" t="s">
        <v>137</v>
      </c>
      <c r="AC4" s="177" t="s">
        <v>138</v>
      </c>
      <c r="AD4" s="177" t="s">
        <v>139</v>
      </c>
      <c r="AE4" s="177" t="s">
        <v>140</v>
      </c>
      <c r="AF4" s="177" t="s">
        <v>141</v>
      </c>
      <c r="AG4" s="177" t="s">
        <v>142</v>
      </c>
      <c r="AH4" s="180" t="s">
        <v>143</v>
      </c>
      <c r="AI4" s="180" t="s">
        <v>144</v>
      </c>
      <c r="AJ4" s="180" t="s">
        <v>145</v>
      </c>
      <c r="AK4" s="180" t="s">
        <v>146</v>
      </c>
      <c r="AL4" s="165"/>
      <c r="AM4" s="182" t="s">
        <v>79</v>
      </c>
      <c r="AN4" s="182" t="s">
        <v>80</v>
      </c>
      <c r="AO4" s="182" t="s">
        <v>81</v>
      </c>
      <c r="AP4" s="182" t="s">
        <v>82</v>
      </c>
      <c r="AQ4" s="182" t="s">
        <v>83</v>
      </c>
      <c r="AR4" s="182" t="s">
        <v>84</v>
      </c>
      <c r="AS4" s="182" t="s">
        <v>85</v>
      </c>
      <c r="AT4" s="182" t="s">
        <v>86</v>
      </c>
      <c r="AU4" s="182" t="s">
        <v>87</v>
      </c>
      <c r="AV4" s="182" t="s">
        <v>88</v>
      </c>
      <c r="AW4" s="182" t="s">
        <v>89</v>
      </c>
      <c r="AX4" s="183" t="s">
        <v>147</v>
      </c>
    </row>
    <row r="5" ht="15.0" customHeight="1">
      <c r="A5" s="163">
        <v>1.0</v>
      </c>
      <c r="B5" s="163">
        <v>1.0</v>
      </c>
      <c r="C5" s="163" t="s">
        <v>148</v>
      </c>
      <c r="D5" s="184">
        <f>E5</f>
        <v>3</v>
      </c>
      <c r="E5" s="185">
        <v>3.0</v>
      </c>
      <c r="F5" s="184">
        <v>5.0</v>
      </c>
      <c r="G5" s="186">
        <f t="shared" ref="G5:G7" si="1">F5/E5</f>
        <v>1.666666667</v>
      </c>
      <c r="H5" s="187" t="str">
        <f t="shared" ref="H5:H7" si="2">IF(A5=1,"p50",IF(A5=2,"p75","p90"))</f>
        <v>p50</v>
      </c>
      <c r="I5" s="188">
        <f>SUMPRODUCT((data_segment_HC_gains!$A$25:$A$44="0-9")*(data_segment_HC_gains!$B$25:$B$44=H5)*data_segment_HC_gains!$C$25:$C$44)</f>
        <v>1</v>
      </c>
      <c r="J5" s="189">
        <f>SUMPRODUCT((data_segment_HC_gains!$A$25:$A$44="0-9")*(data_segment_HC_gains!$B$25:$B$44=H5)*data_segment_HC_gains!$E$25:$E$44)</f>
        <v>38.94</v>
      </c>
      <c r="K5" s="190">
        <f>SUMPRODUCT((data_raw_slopes!$A$2:$A$41="0-9")*(data_raw_slopes!$B$2:$B$41="payer")*(data_raw_slopes!$C$2:$C$41=H5)*data_raw_slopes!$E$2:$E$41)</f>
        <v>24.74</v>
      </c>
      <c r="L5" s="191">
        <f t="shared" ref="L5:L7" si="3">J5-K5</f>
        <v>14.2</v>
      </c>
      <c r="M5" s="189">
        <f>SUMPRODUCT((data_segment_HC_gains!$A$25:$A$44="0-9")*(data_segment_HC_gains!$B$25:$B$44=H5)*data_segment_HC_gains!$G$25:$G$44)</f>
        <v>2.96</v>
      </c>
      <c r="N5" s="192">
        <f t="shared" ref="N5:N7" si="4">I5*1.15</f>
        <v>1.15</v>
      </c>
      <c r="O5" s="192">
        <f>J5-M5*(1-(saga_progression_new!$C$17/saga_progression_old!$C$16))+SUM($F$5:F5)</f>
        <v>42.03714286</v>
      </c>
      <c r="P5" s="193">
        <f>K5+(IF(SUMPRODUCT((data_raw_slopes!$A$2:$A$41="0-9")*(data_raw_slopes!$B$2:$B$41="payer")*(data_raw_slopes!$C$2:$C$41=H5)*data_raw_slopes!$F$2:$F$41)&gt;0,SUMPRODUCT((data_raw_slopes!$A$2:$A$41="0-9")*(data_raw_slopes!$B$2:$B$41="payer")*(data_raw_slopes!$C$2:$C$41=H5)*data_raw_slopes!$F$2:$F$41),SUMPRODUCT((data_raw_slopes!$A$2:$A$41="0-9")*(data_raw_slopes!$B$2:$B$41="payer")*(data_raw_slopes!$C$2:$C$41=H5)*data_raw_slopes!$G$2:$G$41)))*I5*0.15</f>
        <v>29.02196</v>
      </c>
      <c r="Q5" s="194">
        <f t="shared" ref="Q5:Q7" si="5">O5-P5</f>
        <v>13.01518286</v>
      </c>
      <c r="R5" s="195">
        <f>M5*(saga_progression_new!$C$17/saga_progression_old!$C$16)</f>
        <v>1.057142857</v>
      </c>
      <c r="S5" s="196">
        <f t="shared" ref="S5:S7" si="6">Q5-L5</f>
        <v>-1.184817143</v>
      </c>
      <c r="T5" s="197">
        <f t="shared" ref="T5:T7" si="7">N5-I5</f>
        <v>0.15</v>
      </c>
      <c r="U5" s="198">
        <f t="shared" ref="U5:U7" si="8">R5-M5</f>
        <v>-1.902857143</v>
      </c>
      <c r="V5" s="198">
        <f t="shared" ref="V5:V7" si="9">P5-K5</f>
        <v>4.28196</v>
      </c>
      <c r="W5" s="199"/>
      <c r="X5" s="200">
        <f>SUMPRODUCT((data_segment_HC_gains!$A$48:$A$67="0-9")*(data_segment_HC_gains!$B$48:$B$67=H5)*data_segment_HC_gains!$C$48:$C$67)</f>
        <v>1</v>
      </c>
      <c r="Y5" s="200">
        <f>SUMPRODUCT((data_segment_HC_gains!$A$48:$A$67="0-9")*(data_segment_HC_gains!$B$48:$B$67=H5)*data_segment_HC_gains!$E$48:$E$67)</f>
        <v>28.55</v>
      </c>
      <c r="Z5" s="200">
        <f>SUMPRODUCT((data_raw_slopes!$A$2:$A$41="0-9")*(data_raw_slopes!$B$2:$B$41="nonpayer")*(data_raw_slopes!$C$2:$C$41=H5)*data_raw_slopes!$E$2:$E$41)</f>
        <v>20.5</v>
      </c>
      <c r="AA5" s="200">
        <f t="shared" ref="AA5:AA7" si="10">Y5-Z5</f>
        <v>8.05</v>
      </c>
      <c r="AB5" s="200">
        <f>SUMPRODUCT((data_segment_HC_gains!$A$48:$A$67="0-9")*(data_segment_HC_gains!$B$48:$B$67=H5)*data_segment_HC_gains!$G$48:$G$67)</f>
        <v>2.2</v>
      </c>
      <c r="AC5" s="192">
        <f t="shared" ref="AC5:AC7" si="11">X5*1.15</f>
        <v>1.15</v>
      </c>
      <c r="AD5" s="192">
        <f>Y5-AB5*(1-(saga_progression_new!$C$17/saga_progression_old!$C$16))+SUM($F$5:F5)</f>
        <v>32.13571429</v>
      </c>
      <c r="AE5" s="192">
        <f>Z5+(IF(SUMPRODUCT((data_raw_slopes!$A$2:$A$41="0-9")*(data_raw_slopes!$B$2:$B$41="nonpayer")*(data_raw_slopes!$C$2:$C$41=H5)*data_raw_slopes!$F$2:$F$41)&gt;0,SUMPRODUCT((data_raw_slopes!$A$2:$A$41="0-9")*(data_raw_slopes!$B$2:$B$41="nonpayer")*(data_raw_slopes!$C$2:$C$41=H5)*data_raw_slopes!$F$2:$F$41),SUMPRODUCT((data_raw_slopes!$A$2:$A$41="0-9")*(data_raw_slopes!$B$2:$B$41="nonpayer")*(data_raw_slopes!$C$2:$C$41=H5)*data_raw_slopes!$G$2:$G$41)))*X5*0.15</f>
        <v>23.17495</v>
      </c>
      <c r="AF5" s="192">
        <f t="shared" ref="AF5:AF7" si="12">AD5-AE5</f>
        <v>8.960764286</v>
      </c>
      <c r="AG5" s="192">
        <f>AB5*(saga_progression_new!$C$17/saga_progression_old!$C$16)</f>
        <v>0.7857142857</v>
      </c>
      <c r="AH5" s="198">
        <f t="shared" ref="AH5:AH7" si="13">AF5-AA5</f>
        <v>0.9107642857</v>
      </c>
      <c r="AI5" s="198">
        <f t="shared" ref="AI5:AI7" si="14">AC5-X5</f>
        <v>0.15</v>
      </c>
      <c r="AJ5" s="198">
        <f t="shared" ref="AJ5:AJ7" si="15">AG5-AB5</f>
        <v>-1.414285714</v>
      </c>
      <c r="AK5" s="198">
        <f t="shared" ref="AK5:AK7" si="16">AE5-Z5</f>
        <v>2.67495</v>
      </c>
      <c r="AL5" s="165"/>
      <c r="AM5" s="201">
        <v>0.0</v>
      </c>
      <c r="AN5" s="202">
        <v>0.0</v>
      </c>
      <c r="AO5" s="202">
        <v>0.0</v>
      </c>
      <c r="AP5" s="202">
        <v>0.0</v>
      </c>
      <c r="AQ5" s="202">
        <v>0.0</v>
      </c>
      <c r="AR5" s="202">
        <v>0.0</v>
      </c>
      <c r="AS5" s="202">
        <v>0.0</v>
      </c>
      <c r="AT5" s="202">
        <v>20.0</v>
      </c>
      <c r="AU5" s="202">
        <v>0.0</v>
      </c>
      <c r="AV5" s="202">
        <v>0.0</v>
      </c>
      <c r="AW5" s="203">
        <v>0.0</v>
      </c>
      <c r="AX5" s="204">
        <f t="shared" ref="AX5:AX7" si="17">SUMPRODUCT(AM5:AW5, {0,33,50,67,167,67,50,4.17,7.56,12.17,16.22})</f>
        <v>83.4</v>
      </c>
    </row>
    <row r="6" ht="15.0" customHeight="1">
      <c r="A6" s="163">
        <v>2.0</v>
      </c>
      <c r="B6" s="163">
        <v>1.0</v>
      </c>
      <c r="C6" s="163" t="s">
        <v>148</v>
      </c>
      <c r="D6" s="184">
        <f t="shared" ref="D6:D7" si="18">E6-E5</f>
        <v>3</v>
      </c>
      <c r="E6" s="185">
        <v>6.0</v>
      </c>
      <c r="F6" s="184">
        <v>10.0</v>
      </c>
      <c r="G6" s="186">
        <f t="shared" si="1"/>
        <v>1.666666667</v>
      </c>
      <c r="H6" s="187" t="str">
        <f t="shared" si="2"/>
        <v>p75</v>
      </c>
      <c r="I6" s="205">
        <f>SUMPRODUCT((data_segment_HC_gains!$A$25:$A$44="0-9")*(data_segment_HC_gains!$B$25:$B$44=H6)*data_segment_HC_gains!$C$25:$C$44)</f>
        <v>3</v>
      </c>
      <c r="J6" s="189">
        <f>SUMPRODUCT((data_segment_HC_gains!$A$25:$A$44="0-9")*(data_segment_HC_gains!$B$25:$B$44=H6)*data_segment_HC_gains!$E$25:$E$44)</f>
        <v>58.44</v>
      </c>
      <c r="K6" s="190">
        <f>SUMPRODUCT((data_raw_slopes!$A$2:$A$41="0-9")*(data_raw_slopes!$B$2:$B$41="payer")*(data_raw_slopes!$C$2:$C$41=H6)*data_raw_slopes!$E$2:$E$41)</f>
        <v>56.58</v>
      </c>
      <c r="L6" s="206">
        <f t="shared" si="3"/>
        <v>1.86</v>
      </c>
      <c r="M6" s="189">
        <f>SUMPRODUCT((data_segment_HC_gains!$A$25:$A$44="0-9")*(data_segment_HC_gains!$B$25:$B$44=H6)*data_segment_HC_gains!$G$25:$G$44)</f>
        <v>7.56</v>
      </c>
      <c r="N6" s="192">
        <f t="shared" si="4"/>
        <v>3.45</v>
      </c>
      <c r="O6" s="192">
        <f>J6-M6*(1-(saga_progression_new!$C$17/saga_progression_old!$C$16))+SUM($F$5:F6)</f>
        <v>68.58</v>
      </c>
      <c r="P6" s="193">
        <f>K6+(IF(SUMPRODUCT((data_raw_slopes!$A$2:$A$41="0-9")*(data_raw_slopes!$B$2:$B$41="payer")*(data_raw_slopes!$C$2:$C$41=H6)*data_raw_slopes!$F$2:$F$41)&gt;0,SUMPRODUCT((data_raw_slopes!$A$2:$A$41="0-9")*(data_raw_slopes!$B$2:$B$41="payer")*(data_raw_slopes!$C$2:$C$41=H6)*data_raw_slopes!$F$2:$F$41),SUMPRODUCT((data_raw_slopes!$A$2:$A$41="0-9")*(data_raw_slopes!$B$2:$B$41="payer")*(data_raw_slopes!$C$2:$C$41=H6)*data_raw_slopes!$G$2:$G$41)))*I6*0.15</f>
        <v>64.376565</v>
      </c>
      <c r="Q6" s="207">
        <f t="shared" si="5"/>
        <v>4.203435</v>
      </c>
      <c r="R6" s="195">
        <f>M6*(saga_progression_new!$C$17/saga_progression_old!$C$16)</f>
        <v>2.7</v>
      </c>
      <c r="S6" s="208">
        <f t="shared" si="6"/>
        <v>2.343435</v>
      </c>
      <c r="T6" s="197">
        <f t="shared" si="7"/>
        <v>0.45</v>
      </c>
      <c r="U6" s="198">
        <f t="shared" si="8"/>
        <v>-4.86</v>
      </c>
      <c r="V6" s="198">
        <f t="shared" si="9"/>
        <v>7.796565</v>
      </c>
      <c r="W6" s="199"/>
      <c r="X6" s="200">
        <f>SUMPRODUCT((data_segment_HC_gains!$A$48:$A$67="0-9")*(data_segment_HC_gains!$B$48:$B$67=H6)*data_segment_HC_gains!$C$48:$C$67)</f>
        <v>3</v>
      </c>
      <c r="Y6" s="200">
        <f>SUMPRODUCT((data_segment_HC_gains!$A$48:$A$67="0-9")*(data_segment_HC_gains!$B$48:$B$67=H6)*data_segment_HC_gains!$E$48:$E$67)</f>
        <v>46.44</v>
      </c>
      <c r="Z6" s="200">
        <f>SUMPRODUCT((data_raw_slopes!$A$2:$A$41="0-9")*(data_raw_slopes!$B$2:$B$41="nonpayer")*(data_raw_slopes!$C$2:$C$41=H6)*data_raw_slopes!$E$2:$E$41)</f>
        <v>43.7</v>
      </c>
      <c r="AA6" s="200">
        <f t="shared" si="10"/>
        <v>2.74</v>
      </c>
      <c r="AB6" s="200">
        <f>SUMPRODUCT((data_segment_HC_gains!$A$48:$A$67="0-9")*(data_segment_HC_gains!$B$48:$B$67=H6)*data_segment_HC_gains!$G$48:$G$67)</f>
        <v>8.05</v>
      </c>
      <c r="AC6" s="192">
        <f t="shared" si="11"/>
        <v>3.45</v>
      </c>
      <c r="AD6" s="192">
        <f>Y6-AB6*(1-(saga_progression_new!$C$17/saga_progression_old!$C$16))+SUM($F$5:F6)</f>
        <v>56.265</v>
      </c>
      <c r="AE6" s="192">
        <f>Z6+(IF(SUMPRODUCT((data_raw_slopes!$A$2:$A$41="0-9")*(data_raw_slopes!$B$2:$B$41="nonpayer")*(data_raw_slopes!$C$2:$C$41=H6)*data_raw_slopes!$F$2:$F$41)&gt;0,SUMPRODUCT((data_raw_slopes!$A$2:$A$41="0-9")*(data_raw_slopes!$B$2:$B$41="nonpayer")*(data_raw_slopes!$C$2:$C$41=H6)*data_raw_slopes!$F$2:$F$41),SUMPRODUCT((data_raw_slopes!$A$2:$A$41="0-9")*(data_raw_slopes!$B$2:$B$41="nonpayer")*(data_raw_slopes!$C$2:$C$41=H6)*data_raw_slopes!$G$2:$G$41)))*X6*0.15</f>
        <v>47.582735</v>
      </c>
      <c r="AF6" s="192">
        <f t="shared" si="12"/>
        <v>8.682265</v>
      </c>
      <c r="AG6" s="192">
        <f>AB6*(saga_progression_new!$C$17/saga_progression_old!$C$16)</f>
        <v>2.875</v>
      </c>
      <c r="AH6" s="198">
        <f t="shared" si="13"/>
        <v>5.942265</v>
      </c>
      <c r="AI6" s="198">
        <f t="shared" si="14"/>
        <v>0.45</v>
      </c>
      <c r="AJ6" s="198">
        <f t="shared" si="15"/>
        <v>-5.175</v>
      </c>
      <c r="AK6" s="198">
        <f t="shared" si="16"/>
        <v>3.882735</v>
      </c>
      <c r="AL6" s="165"/>
      <c r="AM6" s="201">
        <v>0.0</v>
      </c>
      <c r="AN6" s="202">
        <v>1.0</v>
      </c>
      <c r="AO6" s="202">
        <v>0.0</v>
      </c>
      <c r="AP6" s="202">
        <v>0.0</v>
      </c>
      <c r="AQ6" s="202">
        <v>0.0</v>
      </c>
      <c r="AR6" s="202">
        <v>0.0</v>
      </c>
      <c r="AS6" s="202">
        <v>0.0</v>
      </c>
      <c r="AT6" s="202">
        <v>0.0</v>
      </c>
      <c r="AU6" s="202">
        <v>0.0</v>
      </c>
      <c r="AV6" s="202">
        <v>0.0</v>
      </c>
      <c r="AW6" s="203">
        <v>0.0</v>
      </c>
      <c r="AX6" s="209">
        <f t="shared" si="17"/>
        <v>33</v>
      </c>
    </row>
    <row r="7" ht="15.0" customHeight="1">
      <c r="A7" s="163">
        <v>3.0</v>
      </c>
      <c r="B7" s="163">
        <v>1.0</v>
      </c>
      <c r="C7" s="163" t="s">
        <v>148</v>
      </c>
      <c r="D7" s="184">
        <f t="shared" si="18"/>
        <v>4</v>
      </c>
      <c r="E7" s="185">
        <v>10.0</v>
      </c>
      <c r="F7" s="184">
        <v>20.0</v>
      </c>
      <c r="G7" s="186">
        <f t="shared" si="1"/>
        <v>2</v>
      </c>
      <c r="H7" s="187" t="str">
        <f t="shared" si="2"/>
        <v>p90</v>
      </c>
      <c r="I7" s="210">
        <f>SUMPRODUCT((data_segment_HC_gains!$A$25:$A$44="0-9")*(data_segment_HC_gains!$B$25:$B$44=H7)*data_segment_HC_gains!$C$25:$C$44)</f>
        <v>6</v>
      </c>
      <c r="J7" s="189">
        <f>SUMPRODUCT((data_segment_HC_gains!$A$25:$A$44="0-9")*(data_segment_HC_gains!$B$25:$B$44=H7)*data_segment_HC_gains!$E$25:$E$44)</f>
        <v>110.87</v>
      </c>
      <c r="K7" s="190">
        <f>SUMPRODUCT((data_raw_slopes!$A$2:$A$41="0-9")*(data_raw_slopes!$B$2:$B$41="payer")*(data_raw_slopes!$C$2:$C$41=H7)*data_raw_slopes!$E$2:$E$41)</f>
        <v>121.33</v>
      </c>
      <c r="L7" s="211">
        <f t="shared" si="3"/>
        <v>-10.46</v>
      </c>
      <c r="M7" s="189">
        <f>SUMPRODUCT((data_segment_HC_gains!$A$25:$A$44="0-9")*(data_segment_HC_gains!$B$25:$B$44=H7)*data_segment_HC_gains!$G$25:$G$44)</f>
        <v>16.94</v>
      </c>
      <c r="N7" s="192">
        <f t="shared" si="4"/>
        <v>6.9</v>
      </c>
      <c r="O7" s="192">
        <f>J7-M7*(1-(saga_progression_new!$C$17/saga_progression_old!$C$16))+SUM($F$5:F7)</f>
        <v>134.98</v>
      </c>
      <c r="P7" s="193">
        <f>K7+(IF(SUMPRODUCT((data_raw_slopes!$A$2:$A$41="0-9")*(data_raw_slopes!$B$2:$B$41="payer")*(data_raw_slopes!$C$2:$C$41=H7)*data_raw_slopes!$F$2:$F$41)&gt;0,SUMPRODUCT((data_raw_slopes!$A$2:$A$41="0-9")*(data_raw_slopes!$B$2:$B$41="payer")*(data_raw_slopes!$C$2:$C$41=H7)*data_raw_slopes!$F$2:$F$41),SUMPRODUCT((data_raw_slopes!$A$2:$A$41="0-9")*(data_raw_slopes!$B$2:$B$41="payer")*(data_raw_slopes!$C$2:$C$41=H7)*data_raw_slopes!$G$2:$G$41)))*I7*0.15</f>
        <v>134.71012</v>
      </c>
      <c r="Q7" s="212">
        <f t="shared" si="5"/>
        <v>0.26988</v>
      </c>
      <c r="R7" s="195">
        <f>M7*(saga_progression_new!$C$17/saga_progression_old!$C$16)</f>
        <v>6.05</v>
      </c>
      <c r="S7" s="213">
        <f t="shared" si="6"/>
        <v>10.72988</v>
      </c>
      <c r="T7" s="197">
        <f t="shared" si="7"/>
        <v>0.9</v>
      </c>
      <c r="U7" s="198">
        <f t="shared" si="8"/>
        <v>-10.89</v>
      </c>
      <c r="V7" s="198">
        <f t="shared" si="9"/>
        <v>13.38012</v>
      </c>
      <c r="W7" s="199"/>
      <c r="X7" s="200">
        <f>SUMPRODUCT((data_segment_HC_gains!$A$48:$A$67="0-9")*(data_segment_HC_gains!$B$48:$B$67=H7)*data_segment_HC_gains!$C$48:$C$67)</f>
        <v>7</v>
      </c>
      <c r="Y7" s="200">
        <f>SUMPRODUCT((data_segment_HC_gains!$A$48:$A$67="0-9")*(data_segment_HC_gains!$B$48:$B$67=H7)*data_segment_HC_gains!$E$48:$E$67)</f>
        <v>64.94</v>
      </c>
      <c r="Z7" s="200">
        <f>SUMPRODUCT((data_raw_slopes!$A$2:$A$41="0-9")*(data_raw_slopes!$B$2:$B$41="nonpayer")*(data_raw_slopes!$C$2:$C$41=H7)*data_raw_slopes!$E$2:$E$41)</f>
        <v>79.1</v>
      </c>
      <c r="AA7" s="200">
        <f t="shared" si="10"/>
        <v>-14.16</v>
      </c>
      <c r="AB7" s="200">
        <f>SUMPRODUCT((data_segment_HC_gains!$A$48:$A$67="0-9")*(data_segment_HC_gains!$B$48:$B$67=H7)*data_segment_HC_gains!$G$48:$G$67)</f>
        <v>15.63</v>
      </c>
      <c r="AC7" s="192">
        <f t="shared" si="11"/>
        <v>8.05</v>
      </c>
      <c r="AD7" s="192">
        <f>Y7-AB7*(1-(saga_progression_new!$C$17/saga_progression_old!$C$16))+SUM($F$5:F7)</f>
        <v>89.89214286</v>
      </c>
      <c r="AE7" s="192">
        <f>Z7+(IF(SUMPRODUCT((data_raw_slopes!$A$2:$A$41="0-9")*(data_raw_slopes!$B$2:$B$41="nonpayer")*(data_raw_slopes!$C$2:$C$41=H7)*data_raw_slopes!$F$2:$F$41)&gt;0,SUMPRODUCT((data_raw_slopes!$A$2:$A$41="0-9")*(data_raw_slopes!$B$2:$B$41="nonpayer")*(data_raw_slopes!$C$2:$C$41=H7)*data_raw_slopes!$F$2:$F$41),SUMPRODUCT((data_raw_slopes!$A$2:$A$41="0-9")*(data_raw_slopes!$B$2:$B$41="nonpayer")*(data_raw_slopes!$C$2:$C$41=H7)*data_raw_slopes!$G$2:$G$41)))*X7*0.15</f>
        <v>86.442125</v>
      </c>
      <c r="AF7" s="192">
        <f t="shared" si="12"/>
        <v>3.450017857</v>
      </c>
      <c r="AG7" s="192">
        <f>AB7*(saga_progression_new!$C$17/saga_progression_old!$C$16)</f>
        <v>5.582142857</v>
      </c>
      <c r="AH7" s="198">
        <f t="shared" si="13"/>
        <v>17.61001786</v>
      </c>
      <c r="AI7" s="198">
        <f t="shared" si="14"/>
        <v>1.05</v>
      </c>
      <c r="AJ7" s="198">
        <f t="shared" si="15"/>
        <v>-10.04785714</v>
      </c>
      <c r="AK7" s="198">
        <f t="shared" si="16"/>
        <v>7.342125</v>
      </c>
      <c r="AL7" s="165"/>
      <c r="AM7" s="201">
        <v>0.0</v>
      </c>
      <c r="AN7" s="202">
        <v>0.0</v>
      </c>
      <c r="AO7" s="202">
        <v>1.0</v>
      </c>
      <c r="AP7" s="202">
        <v>0.0</v>
      </c>
      <c r="AQ7" s="202">
        <v>1.0</v>
      </c>
      <c r="AR7" s="202">
        <v>0.0</v>
      </c>
      <c r="AS7" s="202">
        <v>0.0</v>
      </c>
      <c r="AT7" s="202">
        <v>0.0</v>
      </c>
      <c r="AU7" s="202">
        <v>0.0</v>
      </c>
      <c r="AV7" s="202">
        <v>0.0</v>
      </c>
      <c r="AW7" s="203">
        <v>0.0</v>
      </c>
      <c r="AX7" s="214">
        <f t="shared" si="17"/>
        <v>217</v>
      </c>
    </row>
    <row r="8" ht="15.0" customHeight="1">
      <c r="A8" s="165"/>
      <c r="B8" s="165"/>
      <c r="C8" s="165"/>
      <c r="D8" s="165"/>
      <c r="E8" s="165"/>
      <c r="F8" s="165"/>
      <c r="G8" s="215"/>
      <c r="H8" s="165"/>
      <c r="I8" s="165"/>
      <c r="J8" s="165"/>
      <c r="K8" s="165"/>
      <c r="L8" s="165"/>
      <c r="M8" s="165"/>
      <c r="N8" s="215"/>
      <c r="O8" s="215"/>
      <c r="P8" s="215"/>
      <c r="Q8" s="215"/>
      <c r="R8" s="21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215"/>
      <c r="AD8" s="215"/>
      <c r="AE8" s="215"/>
      <c r="AF8" s="215"/>
      <c r="AG8" s="21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</row>
    <row r="9" ht="15.0" customHeight="1">
      <c r="A9" s="170" t="s">
        <v>44</v>
      </c>
      <c r="B9" s="165"/>
      <c r="C9" s="165"/>
      <c r="D9" s="165"/>
      <c r="E9" s="165"/>
      <c r="F9" s="165"/>
      <c r="G9" s="215"/>
      <c r="H9" s="165"/>
      <c r="I9" s="165"/>
      <c r="J9" s="165"/>
      <c r="K9" s="165"/>
      <c r="L9" s="165"/>
      <c r="M9" s="165"/>
      <c r="N9" s="215"/>
      <c r="O9" s="215"/>
      <c r="P9" s="215"/>
      <c r="Q9" s="215"/>
      <c r="R9" s="21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215"/>
      <c r="AD9" s="215"/>
      <c r="AE9" s="215"/>
      <c r="AF9" s="215"/>
      <c r="AG9" s="21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</row>
    <row r="10" ht="15.0" customHeight="1">
      <c r="A10" s="172" t="s">
        <v>112</v>
      </c>
      <c r="B10" s="172" t="s">
        <v>113</v>
      </c>
      <c r="C10" s="172" t="s">
        <v>114</v>
      </c>
      <c r="D10" s="172" t="s">
        <v>115</v>
      </c>
      <c r="E10" s="172" t="s">
        <v>116</v>
      </c>
      <c r="F10" s="172" t="s">
        <v>73</v>
      </c>
      <c r="G10" s="216" t="s">
        <v>117</v>
      </c>
      <c r="H10" s="174" t="s">
        <v>118</v>
      </c>
      <c r="I10" s="175" t="s">
        <v>119</v>
      </c>
      <c r="J10" s="176" t="s">
        <v>120</v>
      </c>
      <c r="K10" s="176" t="s">
        <v>121</v>
      </c>
      <c r="L10" s="175" t="s">
        <v>122</v>
      </c>
      <c r="M10" s="176" t="s">
        <v>123</v>
      </c>
      <c r="N10" s="217" t="s">
        <v>124</v>
      </c>
      <c r="O10" s="217" t="s">
        <v>125</v>
      </c>
      <c r="P10" s="217" t="s">
        <v>126</v>
      </c>
      <c r="Q10" s="218" t="s">
        <v>127</v>
      </c>
      <c r="R10" s="217" t="s">
        <v>128</v>
      </c>
      <c r="S10" s="179" t="s">
        <v>129</v>
      </c>
      <c r="T10" s="180" t="s">
        <v>130</v>
      </c>
      <c r="U10" s="180" t="s">
        <v>131</v>
      </c>
      <c r="V10" s="180" t="s">
        <v>132</v>
      </c>
      <c r="W10" s="181"/>
      <c r="X10" s="176" t="s">
        <v>133</v>
      </c>
      <c r="Y10" s="176" t="s">
        <v>134</v>
      </c>
      <c r="Z10" s="176" t="s">
        <v>135</v>
      </c>
      <c r="AA10" s="176" t="s">
        <v>136</v>
      </c>
      <c r="AB10" s="176" t="s">
        <v>137</v>
      </c>
      <c r="AC10" s="217" t="s">
        <v>138</v>
      </c>
      <c r="AD10" s="217" t="s">
        <v>139</v>
      </c>
      <c r="AE10" s="217" t="s">
        <v>140</v>
      </c>
      <c r="AF10" s="217" t="s">
        <v>141</v>
      </c>
      <c r="AG10" s="217" t="s">
        <v>142</v>
      </c>
      <c r="AH10" s="180" t="s">
        <v>143</v>
      </c>
      <c r="AI10" s="180" t="s">
        <v>144</v>
      </c>
      <c r="AJ10" s="180" t="s">
        <v>145</v>
      </c>
      <c r="AK10" s="180" t="s">
        <v>146</v>
      </c>
      <c r="AL10" s="165"/>
      <c r="AM10" s="182" t="s">
        <v>79</v>
      </c>
      <c r="AN10" s="182" t="s">
        <v>80</v>
      </c>
      <c r="AO10" s="182" t="s">
        <v>81</v>
      </c>
      <c r="AP10" s="182" t="s">
        <v>82</v>
      </c>
      <c r="AQ10" s="182" t="s">
        <v>83</v>
      </c>
      <c r="AR10" s="182" t="s">
        <v>84</v>
      </c>
      <c r="AS10" s="182" t="s">
        <v>85</v>
      </c>
      <c r="AT10" s="182" t="s">
        <v>86</v>
      </c>
      <c r="AU10" s="182" t="s">
        <v>87</v>
      </c>
      <c r="AV10" s="182" t="s">
        <v>88</v>
      </c>
      <c r="AW10" s="182" t="s">
        <v>89</v>
      </c>
      <c r="AX10" s="183" t="s">
        <v>147</v>
      </c>
    </row>
    <row r="11" ht="15.0" customHeight="1">
      <c r="A11" s="163">
        <v>1.0</v>
      </c>
      <c r="B11" s="163">
        <v>1.0</v>
      </c>
      <c r="C11" s="163" t="s">
        <v>148</v>
      </c>
      <c r="D11" s="184">
        <f>E11</f>
        <v>5</v>
      </c>
      <c r="E11" s="185">
        <v>5.0</v>
      </c>
      <c r="F11" s="184">
        <v>5.0</v>
      </c>
      <c r="G11" s="186">
        <f t="shared" ref="G11:G13" si="19">F11/E11</f>
        <v>1</v>
      </c>
      <c r="H11" s="187" t="str">
        <f t="shared" ref="H11:H13" si="20">IF(A11=1,"p50",IF(A11=2,"p75","p90"))</f>
        <v>p50</v>
      </c>
      <c r="I11" s="188">
        <f>SUMPRODUCT((data_segment_HC_gains!$A$25:$A$44="10-19")*(data_segment_HC_gains!$B$25:$B$44=H11)*data_segment_HC_gains!$C$25:$C$44)</f>
        <v>6</v>
      </c>
      <c r="J11" s="189">
        <f>SUMPRODUCT((data_segment_HC_gains!$A$25:$A$44="10-19")*(data_segment_HC_gains!$B$25:$B$44=H11)*data_segment_HC_gains!$E$25:$E$44)</f>
        <v>148.23</v>
      </c>
      <c r="K11" s="190">
        <f>SUMPRODUCT((data_raw_slopes!$A$2:$A$41="10-19")*(data_raw_slopes!$B$2:$B$41="payer")*(data_raw_slopes!$C$2:$C$41=H11)*data_raw_slopes!$E$2:$E$41)</f>
        <v>151.27</v>
      </c>
      <c r="L11" s="191">
        <f t="shared" ref="L11:L13" si="21">J11-K11</f>
        <v>-3.04</v>
      </c>
      <c r="M11" s="189">
        <f>SUMPRODUCT((data_segment_HC_gains!$A$25:$A$44="10-19")*(data_segment_HC_gains!$B$25:$B$44=H11)*data_segment_HC_gains!$G$25:$G$44)</f>
        <v>25.07</v>
      </c>
      <c r="N11" s="192">
        <f t="shared" ref="N11:N13" si="22">I11*1.15</f>
        <v>6.9</v>
      </c>
      <c r="O11" s="192">
        <f>J11-M11*(1-(saga_progression_new!$E$17/saga_progression_old!$C$16))+SUM($F$11:F11)</f>
        <v>137.1135714</v>
      </c>
      <c r="P11" s="193">
        <f>K11+(IF(SUMPRODUCT((data_raw_slopes!$A$2:$A$41="10-19")*(data_raw_slopes!$B$2:$B$41="payer")*(data_raw_slopes!$C$2:$C$41=H11)*data_raw_slopes!$F$2:$F$41)&gt;0,SUMPRODUCT((data_raw_slopes!$A$2:$A$41="10-19")*(data_raw_slopes!$B$2:$B$41="payer")*(data_raw_slopes!$C$2:$C$41=H11)*data_raw_slopes!$F$2:$F$41),SUMPRODUCT((data_raw_slopes!$A$2:$A$41="10-19")*(data_raw_slopes!$B$2:$B$41="payer")*(data_raw_slopes!$C$2:$C$41=H11)*data_raw_slopes!$G$2:$G$41)))*I11*0.15</f>
        <v>163.29202</v>
      </c>
      <c r="Q11" s="194">
        <f t="shared" ref="Q11:Q13" si="23">O11-P11</f>
        <v>-26.17844857</v>
      </c>
      <c r="R11" s="195">
        <f>M11*(saga_progression_new!$E$17/saga_progression_old!$C$16)</f>
        <v>8.953571429</v>
      </c>
      <c r="S11" s="196">
        <f t="shared" ref="S11:S13" si="24">Q11-L11</f>
        <v>-23.13844857</v>
      </c>
      <c r="T11" s="197">
        <f t="shared" ref="T11:T13" si="25">N11-I11</f>
        <v>0.9</v>
      </c>
      <c r="U11" s="198">
        <f t="shared" ref="U11:U13" si="26">R11-M11</f>
        <v>-16.11642857</v>
      </c>
      <c r="V11" s="198">
        <f t="shared" ref="V11:V13" si="27">P11-K11</f>
        <v>12.02202</v>
      </c>
      <c r="W11" s="199"/>
      <c r="X11" s="200">
        <f>SUMPRODUCT((data_segment_HC_gains!$A$48:$A$67="10-19")*(data_segment_HC_gains!$B$48:$B$67=H11)*data_segment_HC_gains!$C$48:$C$67)</f>
        <v>7</v>
      </c>
      <c r="Y11" s="200">
        <f>SUMPRODUCT((data_segment_HC_gains!$A$48:$A$67="10-19")*(data_segment_HC_gains!$B$48:$B$67=H11)*data_segment_HC_gains!$E$48:$E$67)</f>
        <v>92.78</v>
      </c>
      <c r="Z11" s="200">
        <f>SUMPRODUCT((data_raw_slopes!$A$2:$A$41="10-19")*(data_raw_slopes!$B$2:$B$41="nonpayer")*(data_raw_slopes!$C$2:$C$41=H11)*data_raw_slopes!$E$2:$E$41)</f>
        <v>91.46</v>
      </c>
      <c r="AA11" s="200">
        <f t="shared" ref="AA11:AA13" si="28">Y11-Z11</f>
        <v>1.32</v>
      </c>
      <c r="AB11" s="200">
        <f>SUMPRODUCT((data_segment_HC_gains!$A$48:$A$67="10-19")*(data_segment_HC_gains!$B$48:$B$67=H11)*data_segment_HC_gains!$G$48:$G$67)</f>
        <v>24.86</v>
      </c>
      <c r="AC11" s="192">
        <f t="shared" ref="AC11:AC13" si="29">X11*1.15</f>
        <v>8.05</v>
      </c>
      <c r="AD11" s="192">
        <f>Y11-AB11*(1-(saga_progression_new!$E$17/saga_progression_old!$C$16))+SUM($F$11:F11)</f>
        <v>81.79857143</v>
      </c>
      <c r="AE11" s="192">
        <f>Z11+(IF(SUMPRODUCT((data_raw_slopes!$A$2:$A$41="10-19")*(data_raw_slopes!$B$2:$B$41="nonpayer")*(data_raw_slopes!$C$2:$C$41=H11)*data_raw_slopes!$F$2:$F$41)&gt;0,SUMPRODUCT((data_raw_slopes!$A$2:$A$41="10-19")*(data_raw_slopes!$B$2:$B$41="nonpayer")*(data_raw_slopes!$C$2:$C$41=H11)*data_raw_slopes!$F$2:$F$41),SUMPRODUCT((data_raw_slopes!$A$2:$A$41="10-19")*(data_raw_slopes!$B$2:$B$41="nonpayer")*(data_raw_slopes!$C$2:$C$41=H11)*data_raw_slopes!$G$2:$G$41)))*X11*0.15</f>
        <v>97.093775</v>
      </c>
      <c r="AF11" s="192">
        <f t="shared" ref="AF11:AF13" si="30">AD11-AE11</f>
        <v>-15.29520357</v>
      </c>
      <c r="AG11" s="192">
        <f>AB11*(saga_progression_new!$E$17/saga_progression_old!$C$16)</f>
        <v>8.878571429</v>
      </c>
      <c r="AH11" s="198">
        <f t="shared" ref="AH11:AH13" si="31">AF11-AA11</f>
        <v>-16.61520357</v>
      </c>
      <c r="AI11" s="198">
        <f t="shared" ref="AI11:AI13" si="32">AC11-X11</f>
        <v>1.05</v>
      </c>
      <c r="AJ11" s="198">
        <f t="shared" ref="AJ11:AJ13" si="33">AG11-AB11</f>
        <v>-15.98142857</v>
      </c>
      <c r="AK11" s="198">
        <f t="shared" ref="AK11:AK13" si="34">AE11-Z11</f>
        <v>5.633775</v>
      </c>
      <c r="AL11" s="165"/>
      <c r="AM11" s="201">
        <v>0.0</v>
      </c>
      <c r="AN11" s="202">
        <v>0.0</v>
      </c>
      <c r="AO11" s="202">
        <v>0.0</v>
      </c>
      <c r="AP11" s="202">
        <v>0.0</v>
      </c>
      <c r="AQ11" s="202">
        <v>0.0</v>
      </c>
      <c r="AR11" s="202">
        <v>0.0</v>
      </c>
      <c r="AS11" s="202">
        <v>0.0</v>
      </c>
      <c r="AT11" s="202">
        <v>20.0</v>
      </c>
      <c r="AU11" s="202">
        <v>0.0</v>
      </c>
      <c r="AV11" s="202">
        <v>0.0</v>
      </c>
      <c r="AW11" s="203">
        <v>0.0</v>
      </c>
      <c r="AX11" s="204">
        <f t="shared" ref="AX11:AX13" si="35">SUMPRODUCT(AM11:AW11, {0,33,50,67,167,67,50,4.17,7.56,12.17,16.22})</f>
        <v>83.4</v>
      </c>
    </row>
    <row r="12" ht="15.0" customHeight="1">
      <c r="A12" s="163">
        <v>2.0</v>
      </c>
      <c r="B12" s="163">
        <v>1.0</v>
      </c>
      <c r="C12" s="163" t="s">
        <v>148</v>
      </c>
      <c r="D12" s="184">
        <f t="shared" ref="D12:D13" si="36">E12-E11</f>
        <v>5</v>
      </c>
      <c r="E12" s="185">
        <v>10.0</v>
      </c>
      <c r="F12" s="184">
        <v>20.0</v>
      </c>
      <c r="G12" s="186">
        <f t="shared" si="19"/>
        <v>2</v>
      </c>
      <c r="H12" s="187" t="str">
        <f t="shared" si="20"/>
        <v>p75</v>
      </c>
      <c r="I12" s="205">
        <f>SUMPRODUCT((data_segment_HC_gains!$A$25:$A$44="10-19")*(data_segment_HC_gains!$B$25:$B$44=H12)*data_segment_HC_gains!$C$25:$C$44)</f>
        <v>12</v>
      </c>
      <c r="J12" s="189">
        <f>SUMPRODUCT((data_segment_HC_gains!$A$25:$A$44="10-19")*(data_segment_HC_gains!$B$25:$B$44=H12)*data_segment_HC_gains!$E$25:$E$44)</f>
        <v>200.4</v>
      </c>
      <c r="K12" s="190">
        <f>SUMPRODUCT((data_raw_slopes!$A$2:$A$41="10-19")*(data_raw_slopes!$B$2:$B$41="payer")*(data_raw_slopes!$C$2:$C$41=H12)*data_raw_slopes!$E$2:$E$41)</f>
        <v>210.6</v>
      </c>
      <c r="L12" s="206">
        <f t="shared" si="21"/>
        <v>-10.2</v>
      </c>
      <c r="M12" s="189">
        <f>SUMPRODUCT((data_segment_HC_gains!$A$25:$A$44="10-19")*(data_segment_HC_gains!$B$25:$B$44=H12)*data_segment_HC_gains!$G$25:$G$44)</f>
        <v>32.05</v>
      </c>
      <c r="N12" s="192">
        <f t="shared" si="22"/>
        <v>13.8</v>
      </c>
      <c r="O12" s="192">
        <f>J12-M12*(1-(saga_progression_new!$E$17/saga_progression_old!$C$16))+SUM($F$11:F12)</f>
        <v>204.7964286</v>
      </c>
      <c r="P12" s="193">
        <f>K12+(IF(SUMPRODUCT((data_raw_slopes!$A$2:$A$41="10-19")*(data_raw_slopes!$B$2:$B$41="payer")*(data_raw_slopes!$C$2:$C$41=H12)*data_raw_slopes!$F$2:$F$41)&gt;0,SUMPRODUCT((data_raw_slopes!$A$2:$A$41="10-19")*(data_raw_slopes!$B$2:$B$41="payer")*(data_raw_slopes!$C$2:$C$41=H12)*data_raw_slopes!$F$2:$F$41),SUMPRODUCT((data_raw_slopes!$A$2:$A$41="10-19")*(data_raw_slopes!$B$2:$B$41="payer")*(data_raw_slopes!$C$2:$C$41=H12)*data_raw_slopes!$G$2:$G$41)))*I12*0.15</f>
        <v>232.49736</v>
      </c>
      <c r="Q12" s="207">
        <f t="shared" si="23"/>
        <v>-27.70093143</v>
      </c>
      <c r="R12" s="195">
        <f>M12*(saga_progression_new!$E$17/saga_progression_old!$C$16)</f>
        <v>11.44642857</v>
      </c>
      <c r="S12" s="208">
        <f t="shared" si="24"/>
        <v>-17.50093143</v>
      </c>
      <c r="T12" s="197">
        <f t="shared" si="25"/>
        <v>1.8</v>
      </c>
      <c r="U12" s="198">
        <f t="shared" si="26"/>
        <v>-20.60357143</v>
      </c>
      <c r="V12" s="198">
        <f t="shared" si="27"/>
        <v>21.89736</v>
      </c>
      <c r="W12" s="199"/>
      <c r="X12" s="200">
        <f>SUMPRODUCT((data_segment_HC_gains!$A$48:$A$67="10-19")*(data_segment_HC_gains!$B$48:$B$67=H12)*data_segment_HC_gains!$C$48:$C$67)</f>
        <v>13</v>
      </c>
      <c r="Y12" s="200">
        <f>SUMPRODUCT((data_segment_HC_gains!$A$48:$A$67="10-19")*(data_segment_HC_gains!$B$48:$B$67=H12)*data_segment_HC_gains!$E$48:$E$67)</f>
        <v>104.9</v>
      </c>
      <c r="Z12" s="200">
        <f>SUMPRODUCT((data_raw_slopes!$A$2:$A$41="10-19")*(data_raw_slopes!$B$2:$B$41="nonpayer")*(data_raw_slopes!$C$2:$C$41=H12)*data_raw_slopes!$E$2:$E$41)</f>
        <v>115.5</v>
      </c>
      <c r="AA12" s="200">
        <f t="shared" si="28"/>
        <v>-10.6</v>
      </c>
      <c r="AB12" s="200">
        <f>SUMPRODUCT((data_segment_HC_gains!$A$48:$A$67="10-19")*(data_segment_HC_gains!$B$48:$B$67=H12)*data_segment_HC_gains!$G$48:$G$67)</f>
        <v>31.52</v>
      </c>
      <c r="AC12" s="192">
        <f t="shared" si="29"/>
        <v>14.95</v>
      </c>
      <c r="AD12" s="192">
        <f>Y12-AB12*(1-(saga_progression_new!$E$17/saga_progression_old!$C$16))+SUM($F$11:F12)</f>
        <v>109.6371429</v>
      </c>
      <c r="AE12" s="192">
        <f>Z12+(IF(SUMPRODUCT((data_raw_slopes!$A$2:$A$41="10-19")*(data_raw_slopes!$B$2:$B$41="nonpayer")*(data_raw_slopes!$C$2:$C$41=H12)*data_raw_slopes!$F$2:$F$41)&gt;0,SUMPRODUCT((data_raw_slopes!$A$2:$A$41="10-19")*(data_raw_slopes!$B$2:$B$41="nonpayer")*(data_raw_slopes!$C$2:$C$41=H12)*data_raw_slopes!$F$2:$F$41),SUMPRODUCT((data_raw_slopes!$A$2:$A$41="10-19")*(data_raw_slopes!$B$2:$B$41="nonpayer")*(data_raw_slopes!$C$2:$C$41=H12)*data_raw_slopes!$G$2:$G$41)))*X12*0.15</f>
        <v>127.115565</v>
      </c>
      <c r="AF12" s="192">
        <f t="shared" si="30"/>
        <v>-17.47842214</v>
      </c>
      <c r="AG12" s="192">
        <f>AB12*(saga_progression_new!$E$17/saga_progression_old!$C$16)</f>
        <v>11.25714286</v>
      </c>
      <c r="AH12" s="198">
        <f t="shared" si="31"/>
        <v>-6.878422143</v>
      </c>
      <c r="AI12" s="198">
        <f t="shared" si="32"/>
        <v>1.95</v>
      </c>
      <c r="AJ12" s="198">
        <f t="shared" si="33"/>
        <v>-20.26285714</v>
      </c>
      <c r="AK12" s="198">
        <f t="shared" si="34"/>
        <v>11.615565</v>
      </c>
      <c r="AL12" s="165"/>
      <c r="AM12" s="201">
        <v>0.0</v>
      </c>
      <c r="AN12" s="202">
        <v>1.0</v>
      </c>
      <c r="AO12" s="202">
        <v>0.0</v>
      </c>
      <c r="AP12" s="202">
        <v>0.0</v>
      </c>
      <c r="AQ12" s="202">
        <v>0.0</v>
      </c>
      <c r="AR12" s="202">
        <v>0.0</v>
      </c>
      <c r="AS12" s="202">
        <v>0.0</v>
      </c>
      <c r="AT12" s="202">
        <v>0.0</v>
      </c>
      <c r="AU12" s="202">
        <v>0.0</v>
      </c>
      <c r="AV12" s="202">
        <v>0.0</v>
      </c>
      <c r="AW12" s="203">
        <v>0.0</v>
      </c>
      <c r="AX12" s="209">
        <f t="shared" si="35"/>
        <v>33</v>
      </c>
    </row>
    <row r="13" ht="15.0" customHeight="1">
      <c r="A13" s="163">
        <v>3.0</v>
      </c>
      <c r="B13" s="163">
        <v>1.0</v>
      </c>
      <c r="C13" s="163" t="s">
        <v>148</v>
      </c>
      <c r="D13" s="184">
        <f t="shared" si="36"/>
        <v>10</v>
      </c>
      <c r="E13" s="185">
        <v>20.0</v>
      </c>
      <c r="F13" s="184">
        <v>50.0</v>
      </c>
      <c r="G13" s="186">
        <f t="shared" si="19"/>
        <v>2.5</v>
      </c>
      <c r="H13" s="187" t="str">
        <f t="shared" si="20"/>
        <v>p90</v>
      </c>
      <c r="I13" s="210">
        <f>SUMPRODUCT((data_segment_HC_gains!$A$25:$A$44="10-19")*(data_segment_HC_gains!$B$25:$B$44=H13)*data_segment_HC_gains!$C$25:$C$44)</f>
        <v>20</v>
      </c>
      <c r="J13" s="189">
        <f>SUMPRODUCT((data_segment_HC_gains!$A$25:$A$44="10-19")*(data_segment_HC_gains!$B$25:$B$44=H13)*data_segment_HC_gains!$E$25:$E$44)</f>
        <v>315.99</v>
      </c>
      <c r="K13" s="190">
        <f>SUMPRODUCT((data_raw_slopes!$A$2:$A$41="10-19")*(data_raw_slopes!$B$2:$B$41="payer")*(data_raw_slopes!$C$2:$C$41=H13)*data_raw_slopes!$E$2:$E$41)</f>
        <v>343.63</v>
      </c>
      <c r="L13" s="211">
        <f t="shared" si="21"/>
        <v>-27.64</v>
      </c>
      <c r="M13" s="189">
        <f>SUMPRODUCT((data_segment_HC_gains!$A$25:$A$44="10-19")*(data_segment_HC_gains!$B$25:$B$44=H13)*data_segment_HC_gains!$G$25:$G$44)</f>
        <v>46.02</v>
      </c>
      <c r="N13" s="192">
        <f t="shared" si="22"/>
        <v>23</v>
      </c>
      <c r="O13" s="192">
        <f>J13-M13*(1-(saga_progression_new!$E$17/saga_progression_old!$C$16))+SUM($F$11:F13)</f>
        <v>361.4057143</v>
      </c>
      <c r="P13" s="193">
        <f>K13+(IF(SUMPRODUCT((data_raw_slopes!$A$2:$A$41="10-19")*(data_raw_slopes!$B$2:$B$41="payer")*(data_raw_slopes!$C$2:$C$41=H13)*data_raw_slopes!$F$2:$F$41)&gt;0,SUMPRODUCT((data_raw_slopes!$A$2:$A$41="10-19")*(data_raw_slopes!$B$2:$B$41="payer")*(data_raw_slopes!$C$2:$C$41=H13)*data_raw_slopes!$F$2:$F$41),SUMPRODUCT((data_raw_slopes!$A$2:$A$41="10-19")*(data_raw_slopes!$B$2:$B$41="payer")*(data_raw_slopes!$C$2:$C$41=H13)*data_raw_slopes!$G$2:$G$41)))*I13*0.15</f>
        <v>394.3387</v>
      </c>
      <c r="Q13" s="212">
        <f t="shared" si="23"/>
        <v>-32.93298571</v>
      </c>
      <c r="R13" s="195">
        <f>M13*(saga_progression_new!$E$17/saga_progression_old!$C$16)</f>
        <v>16.43571429</v>
      </c>
      <c r="S13" s="213">
        <f t="shared" si="24"/>
        <v>-5.292985714</v>
      </c>
      <c r="T13" s="197">
        <f t="shared" si="25"/>
        <v>3</v>
      </c>
      <c r="U13" s="198">
        <f t="shared" si="26"/>
        <v>-29.58428571</v>
      </c>
      <c r="V13" s="198">
        <f t="shared" si="27"/>
        <v>50.7087</v>
      </c>
      <c r="W13" s="199"/>
      <c r="X13" s="200">
        <f>SUMPRODUCT((data_segment_HC_gains!$A$48:$A$67="10-19")*(data_segment_HC_gains!$B$48:$B$67=H13)*data_segment_HC_gains!$C$48:$C$67)</f>
        <v>19</v>
      </c>
      <c r="Y13" s="200">
        <f>SUMPRODUCT((data_segment_HC_gains!$A$48:$A$67="10-19")*(data_segment_HC_gains!$B$48:$B$67=H13)*data_segment_HC_gains!$E$48:$E$67)</f>
        <v>142.33</v>
      </c>
      <c r="Z13" s="200">
        <f>SUMPRODUCT((data_raw_slopes!$A$2:$A$41="10-19")*(data_raw_slopes!$B$2:$B$41="nonpayer")*(data_raw_slopes!$C$2:$C$41=H13)*data_raw_slopes!$E$2:$E$41)</f>
        <v>170.28</v>
      </c>
      <c r="AA13" s="200">
        <f t="shared" si="28"/>
        <v>-27.95</v>
      </c>
      <c r="AB13" s="200">
        <f>SUMPRODUCT((data_segment_HC_gains!$A$48:$A$67="10-19")*(data_segment_HC_gains!$B$48:$B$67=H13)*data_segment_HC_gains!$G$48:$G$67)</f>
        <v>45.45</v>
      </c>
      <c r="AC13" s="192">
        <f t="shared" si="29"/>
        <v>21.85</v>
      </c>
      <c r="AD13" s="192">
        <f>Y13-AB13*(1-(saga_progression_new!$E$17/saga_progression_old!$C$16))+SUM($F$11:F13)</f>
        <v>188.1121429</v>
      </c>
      <c r="AE13" s="192">
        <f>Z13+(IF(SUMPRODUCT((data_raw_slopes!$A$2:$A$41="10-19")*(data_raw_slopes!$B$2:$B$41="nonpayer")*(data_raw_slopes!$C$2:$C$41=H13)*data_raw_slopes!$F$2:$F$41)&gt;0,SUMPRODUCT((data_raw_slopes!$A$2:$A$41="10-19")*(data_raw_slopes!$B$2:$B$41="nonpayer")*(data_raw_slopes!$C$2:$C$41=H13)*data_raw_slopes!$F$2:$F$41),SUMPRODUCT((data_raw_slopes!$A$2:$A$41="10-19")*(data_raw_slopes!$B$2:$B$41="nonpayer")*(data_raw_slopes!$C$2:$C$41=H13)*data_raw_slopes!$G$2:$G$41)))*X13*0.15</f>
        <v>188.741445</v>
      </c>
      <c r="AF13" s="192">
        <f t="shared" si="30"/>
        <v>-0.6293021429</v>
      </c>
      <c r="AG13" s="192">
        <f>AB13*(saga_progression_new!$E$17/saga_progression_old!$C$16)</f>
        <v>16.23214286</v>
      </c>
      <c r="AH13" s="198">
        <f t="shared" si="31"/>
        <v>27.32069786</v>
      </c>
      <c r="AI13" s="198">
        <f t="shared" si="32"/>
        <v>2.85</v>
      </c>
      <c r="AJ13" s="198">
        <f t="shared" si="33"/>
        <v>-29.21785714</v>
      </c>
      <c r="AK13" s="198">
        <f t="shared" si="34"/>
        <v>18.461445</v>
      </c>
      <c r="AL13" s="165"/>
      <c r="AM13" s="201">
        <v>0.0</v>
      </c>
      <c r="AN13" s="202">
        <v>0.0</v>
      </c>
      <c r="AO13" s="202">
        <v>1.0</v>
      </c>
      <c r="AP13" s="202">
        <v>0.0</v>
      </c>
      <c r="AQ13" s="202">
        <v>1.0</v>
      </c>
      <c r="AR13" s="202">
        <v>0.0</v>
      </c>
      <c r="AS13" s="202">
        <v>0.0</v>
      </c>
      <c r="AT13" s="202">
        <v>0.0</v>
      </c>
      <c r="AU13" s="202">
        <v>0.0</v>
      </c>
      <c r="AV13" s="202">
        <v>0.0</v>
      </c>
      <c r="AW13" s="203">
        <v>0.0</v>
      </c>
      <c r="AX13" s="214">
        <f t="shared" si="35"/>
        <v>217</v>
      </c>
    </row>
    <row r="14" ht="15.0" customHeight="1">
      <c r="A14" s="165"/>
      <c r="B14" s="165"/>
      <c r="C14" s="165"/>
      <c r="D14" s="165"/>
      <c r="E14" s="165"/>
      <c r="F14" s="165"/>
      <c r="G14" s="215"/>
      <c r="H14" s="165"/>
      <c r="I14" s="165"/>
      <c r="J14" s="165"/>
      <c r="K14" s="165"/>
      <c r="L14" s="165"/>
      <c r="M14" s="165"/>
      <c r="N14" s="215"/>
      <c r="O14" s="215"/>
      <c r="P14" s="215"/>
      <c r="Q14" s="215"/>
      <c r="R14" s="21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215"/>
      <c r="AD14" s="215"/>
      <c r="AE14" s="215"/>
      <c r="AF14" s="215"/>
      <c r="AG14" s="21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</row>
    <row r="15" ht="15.0" customHeight="1">
      <c r="A15" s="170" t="s">
        <v>45</v>
      </c>
      <c r="B15" s="165"/>
      <c r="C15" s="165"/>
      <c r="D15" s="165"/>
      <c r="E15" s="165"/>
      <c r="F15" s="165"/>
      <c r="G15" s="215"/>
      <c r="H15" s="165"/>
      <c r="I15" s="165"/>
      <c r="J15" s="165"/>
      <c r="K15" s="165"/>
      <c r="L15" s="165"/>
      <c r="M15" s="165"/>
      <c r="N15" s="215"/>
      <c r="O15" s="215"/>
      <c r="P15" s="215"/>
      <c r="Q15" s="215"/>
      <c r="R15" s="21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215"/>
      <c r="AD15" s="215"/>
      <c r="AE15" s="215"/>
      <c r="AF15" s="215"/>
      <c r="AG15" s="21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</row>
    <row r="16" ht="15.0" customHeight="1">
      <c r="A16" s="172" t="s">
        <v>112</v>
      </c>
      <c r="B16" s="172" t="s">
        <v>113</v>
      </c>
      <c r="C16" s="172" t="s">
        <v>114</v>
      </c>
      <c r="D16" s="172" t="s">
        <v>115</v>
      </c>
      <c r="E16" s="172" t="s">
        <v>116</v>
      </c>
      <c r="F16" s="172" t="s">
        <v>73</v>
      </c>
      <c r="G16" s="216" t="s">
        <v>117</v>
      </c>
      <c r="H16" s="174" t="s">
        <v>118</v>
      </c>
      <c r="I16" s="175" t="s">
        <v>119</v>
      </c>
      <c r="J16" s="176" t="s">
        <v>120</v>
      </c>
      <c r="K16" s="176" t="s">
        <v>121</v>
      </c>
      <c r="L16" s="175" t="s">
        <v>122</v>
      </c>
      <c r="M16" s="176" t="s">
        <v>123</v>
      </c>
      <c r="N16" s="217" t="s">
        <v>124</v>
      </c>
      <c r="O16" s="217" t="s">
        <v>125</v>
      </c>
      <c r="P16" s="217" t="s">
        <v>126</v>
      </c>
      <c r="Q16" s="218" t="s">
        <v>127</v>
      </c>
      <c r="R16" s="217" t="s">
        <v>128</v>
      </c>
      <c r="S16" s="179" t="s">
        <v>129</v>
      </c>
      <c r="T16" s="180" t="s">
        <v>130</v>
      </c>
      <c r="U16" s="180" t="s">
        <v>131</v>
      </c>
      <c r="V16" s="180" t="s">
        <v>132</v>
      </c>
      <c r="W16" s="181"/>
      <c r="X16" s="176" t="s">
        <v>133</v>
      </c>
      <c r="Y16" s="176" t="s">
        <v>134</v>
      </c>
      <c r="Z16" s="176" t="s">
        <v>135</v>
      </c>
      <c r="AA16" s="176" t="s">
        <v>136</v>
      </c>
      <c r="AB16" s="176" t="s">
        <v>137</v>
      </c>
      <c r="AC16" s="217" t="s">
        <v>138</v>
      </c>
      <c r="AD16" s="217" t="s">
        <v>139</v>
      </c>
      <c r="AE16" s="217" t="s">
        <v>140</v>
      </c>
      <c r="AF16" s="217" t="s">
        <v>141</v>
      </c>
      <c r="AG16" s="217" t="s">
        <v>142</v>
      </c>
      <c r="AH16" s="180" t="s">
        <v>143</v>
      </c>
      <c r="AI16" s="180" t="s">
        <v>144</v>
      </c>
      <c r="AJ16" s="180" t="s">
        <v>145</v>
      </c>
      <c r="AK16" s="180" t="s">
        <v>146</v>
      </c>
      <c r="AL16" s="165"/>
      <c r="AM16" s="182" t="s">
        <v>79</v>
      </c>
      <c r="AN16" s="182" t="s">
        <v>80</v>
      </c>
      <c r="AO16" s="182" t="s">
        <v>81</v>
      </c>
      <c r="AP16" s="182" t="s">
        <v>82</v>
      </c>
      <c r="AQ16" s="182" t="s">
        <v>83</v>
      </c>
      <c r="AR16" s="182" t="s">
        <v>84</v>
      </c>
      <c r="AS16" s="182" t="s">
        <v>85</v>
      </c>
      <c r="AT16" s="182" t="s">
        <v>86</v>
      </c>
      <c r="AU16" s="182" t="s">
        <v>87</v>
      </c>
      <c r="AV16" s="182" t="s">
        <v>88</v>
      </c>
      <c r="AW16" s="182" t="s">
        <v>89</v>
      </c>
      <c r="AX16" s="183" t="s">
        <v>147</v>
      </c>
    </row>
    <row r="17" ht="15.0" customHeight="1">
      <c r="A17" s="163">
        <v>1.0</v>
      </c>
      <c r="B17" s="163">
        <v>1.0</v>
      </c>
      <c r="C17" s="163" t="s">
        <v>148</v>
      </c>
      <c r="D17" s="184">
        <f>E17</f>
        <v>10</v>
      </c>
      <c r="E17" s="185">
        <v>10.0</v>
      </c>
      <c r="F17" s="184">
        <v>15.0</v>
      </c>
      <c r="G17" s="186">
        <f t="shared" ref="G17:G19" si="37">F17/E17</f>
        <v>1.5</v>
      </c>
      <c r="H17" s="187" t="str">
        <f t="shared" ref="H17:H19" si="38">IF(A17=1,"p50",IF(A17=2,"p75","p90"))</f>
        <v>p50</v>
      </c>
      <c r="I17" s="188">
        <f>SUMPRODUCT((data_segment_HC_gains!$A$25:$A$44="20-39")*(data_segment_HC_gains!$B$25:$B$44=H17)*data_segment_HC_gains!$C$25:$C$44)</f>
        <v>13</v>
      </c>
      <c r="J17" s="189">
        <f>SUMPRODUCT((data_segment_HC_gains!$A$25:$A$44="20-39")*(data_segment_HC_gains!$B$25:$B$44=H17)*data_segment_HC_gains!$E$25:$E$44)</f>
        <v>292.33</v>
      </c>
      <c r="K17" s="190">
        <f>SUMPRODUCT((data_raw_slopes!$A$2:$A$41="20-39")*(data_raw_slopes!$B$2:$B$41="payer")*(data_raw_slopes!$C$2:$C$41=H17)*data_raw_slopes!$E$2:$E$41)</f>
        <v>301.15</v>
      </c>
      <c r="L17" s="191">
        <f t="shared" ref="L17:L19" si="39">J17-K17</f>
        <v>-8.82</v>
      </c>
      <c r="M17" s="189">
        <f>SUMPRODUCT((data_segment_HC_gains!$A$25:$A$44="20-39")*(data_segment_HC_gains!$B$25:$B$44=H17)*data_segment_HC_gains!$G$25:$G$44)</f>
        <v>50.36</v>
      </c>
      <c r="N17" s="192">
        <f t="shared" ref="N17:N19" si="40">I17*1.15</f>
        <v>14.95</v>
      </c>
      <c r="O17" s="192">
        <f>J17-M17*(1-(saga_progression_new!$G$17/saga_progression_old!$C$16))+SUM($F$17:F17)</f>
        <v>274.9557143</v>
      </c>
      <c r="P17" s="193">
        <f>K17+(IF(SUMPRODUCT((data_raw_slopes!$A$2:$A$41="20-39")*(data_raw_slopes!$B$2:$B$41="payer")*(data_raw_slopes!$C$2:$C$41=H17)*data_raw_slopes!$F$2:$F$41)&gt;0,SUMPRODUCT((data_raw_slopes!$A$2:$A$41="20-39")*(data_raw_slopes!$B$2:$B$41="payer")*(data_raw_slopes!$C$2:$C$41=H17)*data_raw_slopes!$F$2:$F$41),SUMPRODUCT((data_raw_slopes!$A$2:$A$41="20-39")*(data_raw_slopes!$B$2:$B$41="payer")*(data_raw_slopes!$C$2:$C$41=H17)*data_raw_slopes!$G$2:$G$41)))*I17*0.15</f>
        <v>326.00392</v>
      </c>
      <c r="Q17" s="194">
        <f t="shared" ref="Q17:Q19" si="41">O17-P17</f>
        <v>-51.04820571</v>
      </c>
      <c r="R17" s="195">
        <f>M17*(saga_progression_new!$G$17/saga_progression_old!$C$16)</f>
        <v>17.98571429</v>
      </c>
      <c r="S17" s="196">
        <f t="shared" ref="S17:S19" si="42">Q17-L17</f>
        <v>-42.22820571</v>
      </c>
      <c r="T17" s="197">
        <f t="shared" ref="T17:T19" si="43">N17-I17</f>
        <v>1.95</v>
      </c>
      <c r="U17" s="198">
        <f t="shared" ref="U17:U19" si="44">R17-M17</f>
        <v>-32.37428571</v>
      </c>
      <c r="V17" s="198">
        <f t="shared" ref="V17:V19" si="45">P17-K17</f>
        <v>24.85392</v>
      </c>
      <c r="W17" s="199"/>
      <c r="X17" s="200">
        <f>SUMPRODUCT((data_segment_HC_gains!$A$48:$A$67="20-39")*(data_segment_HC_gains!$B$48:$B$67=H17)*data_segment_HC_gains!$C$48:$C$67)</f>
        <v>14</v>
      </c>
      <c r="Y17" s="200">
        <f>SUMPRODUCT((data_segment_HC_gains!$A$48:$A$67="20-39")*(data_segment_HC_gains!$B$48:$B$67=H17)*data_segment_HC_gains!$E$48:$E$67)</f>
        <v>163.46</v>
      </c>
      <c r="Z17" s="200">
        <f>SUMPRODUCT((data_raw_slopes!$A$2:$A$41="20-39")*(data_raw_slopes!$B$2:$B$41="nonpayer")*(data_raw_slopes!$C$2:$C$41=H17)*data_raw_slopes!$E$2:$E$41)</f>
        <v>158.17</v>
      </c>
      <c r="AA17" s="200">
        <f t="shared" ref="AA17:AA19" si="46">Y17-Z17</f>
        <v>5.29</v>
      </c>
      <c r="AB17" s="200">
        <f>SUMPRODUCT((data_segment_HC_gains!$A$48:$A$67="20-39")*(data_segment_HC_gains!$B$48:$B$67=H17)*data_segment_HC_gains!$G$48:$G$67)</f>
        <v>51.4</v>
      </c>
      <c r="AC17" s="192">
        <f t="shared" ref="AC17:AC19" si="47">X17*1.15</f>
        <v>16.1</v>
      </c>
      <c r="AD17" s="192">
        <f>Y17-AB17*(1-(saga_progression_new!$G$17/saga_progression_old!$C$16))+SUM($F$17:F17)</f>
        <v>145.4171429</v>
      </c>
      <c r="AE17" s="192">
        <f>Z17+(IF(SUMPRODUCT((data_raw_slopes!$A$2:$A$41="20-39")*(data_raw_slopes!$B$2:$B$41="nonpayer")*(data_raw_slopes!$C$2:$C$41=H17)*data_raw_slopes!$F$2:$F$41)&gt;0,SUMPRODUCT((data_raw_slopes!$A$2:$A$41="20-39")*(data_raw_slopes!$B$2:$B$41="nonpayer")*(data_raw_slopes!$C$2:$C$41=H17)*data_raw_slopes!$F$2:$F$41),SUMPRODUCT((data_raw_slopes!$A$2:$A$41="20-39")*(data_raw_slopes!$B$2:$B$41="nonpayer")*(data_raw_slopes!$C$2:$C$41=H17)*data_raw_slopes!$G$2:$G$41)))*X17*0.15</f>
        <v>169.98733</v>
      </c>
      <c r="AF17" s="192">
        <f t="shared" ref="AF17:AF19" si="48">AD17-AE17</f>
        <v>-24.57018714</v>
      </c>
      <c r="AG17" s="192">
        <f>AB17*(saga_progression_new!$G$17/saga_progression_old!$C$16)</f>
        <v>18.35714286</v>
      </c>
      <c r="AH17" s="198">
        <f t="shared" ref="AH17:AH19" si="49">AF17-AA17</f>
        <v>-29.86018714</v>
      </c>
      <c r="AI17" s="198">
        <f t="shared" ref="AI17:AI19" si="50">AC17-X17</f>
        <v>2.1</v>
      </c>
      <c r="AJ17" s="198">
        <f t="shared" ref="AJ17:AJ19" si="51">AG17-AB17</f>
        <v>-33.04285714</v>
      </c>
      <c r="AK17" s="198">
        <f t="shared" ref="AK17:AK19" si="52">AE17-Z17</f>
        <v>11.81733</v>
      </c>
      <c r="AL17" s="165"/>
      <c r="AM17" s="201">
        <v>0.0</v>
      </c>
      <c r="AN17" s="202">
        <v>0.0</v>
      </c>
      <c r="AO17" s="202">
        <v>0.0</v>
      </c>
      <c r="AP17" s="202">
        <v>0.0</v>
      </c>
      <c r="AQ17" s="202">
        <v>0.0</v>
      </c>
      <c r="AR17" s="202">
        <v>0.0</v>
      </c>
      <c r="AS17" s="202">
        <v>0.0</v>
      </c>
      <c r="AT17" s="202">
        <v>20.0</v>
      </c>
      <c r="AU17" s="202">
        <v>0.0</v>
      </c>
      <c r="AV17" s="202">
        <v>0.0</v>
      </c>
      <c r="AW17" s="203">
        <v>0.0</v>
      </c>
      <c r="AX17" s="204">
        <f t="shared" ref="AX17:AX19" si="53">SUMPRODUCT(AM17:AW17, {0,33,50,67,167,67,50,4.17,7.56,12.17,16.22})</f>
        <v>83.4</v>
      </c>
    </row>
    <row r="18" ht="15.0" customHeight="1">
      <c r="A18" s="163">
        <v>2.0</v>
      </c>
      <c r="B18" s="163">
        <v>1.0</v>
      </c>
      <c r="C18" s="163" t="s">
        <v>148</v>
      </c>
      <c r="D18" s="184">
        <f t="shared" ref="D18:D19" si="54">E18-E17</f>
        <v>15</v>
      </c>
      <c r="E18" s="185">
        <v>25.0</v>
      </c>
      <c r="F18" s="184">
        <v>50.0</v>
      </c>
      <c r="G18" s="186">
        <f t="shared" si="37"/>
        <v>2</v>
      </c>
      <c r="H18" s="187" t="str">
        <f t="shared" si="38"/>
        <v>p75</v>
      </c>
      <c r="I18" s="205">
        <f>SUMPRODUCT((data_segment_HC_gains!$A$25:$A$44="20-39")*(data_segment_HC_gains!$B$25:$B$44=H18)*data_segment_HC_gains!$C$25:$C$44)</f>
        <v>24</v>
      </c>
      <c r="J18" s="189">
        <f>SUMPRODUCT((data_segment_HC_gains!$A$25:$A$44="20-39")*(data_segment_HC_gains!$B$25:$B$44=H18)*data_segment_HC_gains!$E$25:$E$44)</f>
        <v>400.43</v>
      </c>
      <c r="K18" s="190">
        <f>SUMPRODUCT((data_raw_slopes!$A$2:$A$41="20-39")*(data_raw_slopes!$B$2:$B$41="payer")*(data_raw_slopes!$C$2:$C$41=H18)*data_raw_slopes!$E$2:$E$41)</f>
        <v>425.4</v>
      </c>
      <c r="L18" s="206">
        <f t="shared" si="39"/>
        <v>-24.97</v>
      </c>
      <c r="M18" s="189">
        <f>SUMPRODUCT((data_segment_HC_gains!$A$25:$A$44="20-39")*(data_segment_HC_gains!$B$25:$B$44=H18)*data_segment_HC_gains!$G$25:$G$44)</f>
        <v>61.53</v>
      </c>
      <c r="N18" s="192">
        <f t="shared" si="40"/>
        <v>27.6</v>
      </c>
      <c r="O18" s="192">
        <f>J18-M18*(1-(saga_progression_new!$G$17/saga_progression_old!$C$16))+SUM($F$17:F18)</f>
        <v>425.875</v>
      </c>
      <c r="P18" s="193">
        <f>K18+(IF(SUMPRODUCT((data_raw_slopes!$A$2:$A$41="20-39")*(data_raw_slopes!$B$2:$B$41="payer")*(data_raw_slopes!$C$2:$C$41=H18)*data_raw_slopes!$F$2:$F$41)&gt;0,SUMPRODUCT((data_raw_slopes!$A$2:$A$41="20-39")*(data_raw_slopes!$B$2:$B$41="payer")*(data_raw_slopes!$C$2:$C$41=H18)*data_raw_slopes!$F$2:$F$41),SUMPRODUCT((data_raw_slopes!$A$2:$A$41="20-39")*(data_raw_slopes!$B$2:$B$41="payer")*(data_raw_slopes!$C$2:$C$41=H18)*data_raw_slopes!$G$2:$G$41)))*I18*0.15</f>
        <v>473.19792</v>
      </c>
      <c r="Q18" s="207">
        <f t="shared" si="41"/>
        <v>-47.32292</v>
      </c>
      <c r="R18" s="195">
        <f>M18*(saga_progression_new!$G$17/saga_progression_old!$C$16)</f>
        <v>21.975</v>
      </c>
      <c r="S18" s="208">
        <f t="shared" si="42"/>
        <v>-22.35292</v>
      </c>
      <c r="T18" s="197">
        <f t="shared" si="43"/>
        <v>3.6</v>
      </c>
      <c r="U18" s="198">
        <f t="shared" si="44"/>
        <v>-39.555</v>
      </c>
      <c r="V18" s="198">
        <f t="shared" si="45"/>
        <v>47.79792</v>
      </c>
      <c r="W18" s="199"/>
      <c r="X18" s="200">
        <f>SUMPRODUCT((data_segment_HC_gains!$A$48:$A$67="20-39")*(data_segment_HC_gains!$B$48:$B$67=H18)*data_segment_HC_gains!$C$48:$C$67)</f>
        <v>25</v>
      </c>
      <c r="Y18" s="200">
        <f>SUMPRODUCT((data_segment_HC_gains!$A$48:$A$67="20-39")*(data_segment_HC_gains!$B$48:$B$67=H18)*data_segment_HC_gains!$E$48:$E$67)</f>
        <v>184.96</v>
      </c>
      <c r="Z18" s="200">
        <f>SUMPRODUCT((data_raw_slopes!$A$2:$A$41="20-39")*(data_raw_slopes!$B$2:$B$41="nonpayer")*(data_raw_slopes!$C$2:$C$41=H18)*data_raw_slopes!$E$2:$E$41)</f>
        <v>205.98</v>
      </c>
      <c r="AA18" s="200">
        <f t="shared" si="46"/>
        <v>-21.02</v>
      </c>
      <c r="AB18" s="200">
        <f>SUMPRODUCT((data_segment_HC_gains!$A$48:$A$67="20-39")*(data_segment_HC_gains!$B$48:$B$67=H18)*data_segment_HC_gains!$G$48:$G$67)</f>
        <v>60.44</v>
      </c>
      <c r="AC18" s="192">
        <f t="shared" si="47"/>
        <v>28.75</v>
      </c>
      <c r="AD18" s="192">
        <f>Y18-AB18*(1-(saga_progression_new!$G$17/saga_progression_old!$C$16))+SUM($F$17:F18)</f>
        <v>211.1057143</v>
      </c>
      <c r="AE18" s="192">
        <f>Z18+(IF(SUMPRODUCT((data_raw_slopes!$A$2:$A$41="20-39")*(data_raw_slopes!$B$2:$B$41="nonpayer")*(data_raw_slopes!$C$2:$C$41=H18)*data_raw_slopes!$F$2:$F$41)&gt;0,SUMPRODUCT((data_raw_slopes!$A$2:$A$41="20-39")*(data_raw_slopes!$B$2:$B$41="nonpayer")*(data_raw_slopes!$C$2:$C$41=H18)*data_raw_slopes!$F$2:$F$41),SUMPRODUCT((data_raw_slopes!$A$2:$A$41="20-39")*(data_raw_slopes!$B$2:$B$41="nonpayer")*(data_raw_slopes!$C$2:$C$41=H18)*data_raw_slopes!$G$2:$G$41)))*X18*0.15</f>
        <v>226.403625</v>
      </c>
      <c r="AF18" s="192">
        <f t="shared" si="48"/>
        <v>-15.29791071</v>
      </c>
      <c r="AG18" s="192">
        <f>AB18*(saga_progression_new!$G$17/saga_progression_old!$C$16)</f>
        <v>21.58571429</v>
      </c>
      <c r="AH18" s="198">
        <f t="shared" si="49"/>
        <v>5.722089286</v>
      </c>
      <c r="AI18" s="198">
        <f t="shared" si="50"/>
        <v>3.75</v>
      </c>
      <c r="AJ18" s="198">
        <f t="shared" si="51"/>
        <v>-38.85428571</v>
      </c>
      <c r="AK18" s="198">
        <f t="shared" si="52"/>
        <v>20.423625</v>
      </c>
      <c r="AL18" s="165"/>
      <c r="AM18" s="201">
        <v>0.0</v>
      </c>
      <c r="AN18" s="202">
        <v>1.0</v>
      </c>
      <c r="AO18" s="202">
        <v>0.0</v>
      </c>
      <c r="AP18" s="202">
        <v>0.0</v>
      </c>
      <c r="AQ18" s="202">
        <v>0.0</v>
      </c>
      <c r="AR18" s="202">
        <v>0.0</v>
      </c>
      <c r="AS18" s="202">
        <v>0.0</v>
      </c>
      <c r="AT18" s="202">
        <v>0.0</v>
      </c>
      <c r="AU18" s="202">
        <v>0.0</v>
      </c>
      <c r="AV18" s="202">
        <v>0.0</v>
      </c>
      <c r="AW18" s="203">
        <v>0.0</v>
      </c>
      <c r="AX18" s="209">
        <f t="shared" si="53"/>
        <v>33</v>
      </c>
    </row>
    <row r="19" ht="15.0" customHeight="1">
      <c r="A19" s="163">
        <v>3.0</v>
      </c>
      <c r="B19" s="163">
        <v>1.0</v>
      </c>
      <c r="C19" s="163" t="s">
        <v>148</v>
      </c>
      <c r="D19" s="184">
        <f t="shared" si="54"/>
        <v>15</v>
      </c>
      <c r="E19" s="185">
        <v>40.0</v>
      </c>
      <c r="F19" s="184">
        <v>100.0</v>
      </c>
      <c r="G19" s="186">
        <f t="shared" si="37"/>
        <v>2.5</v>
      </c>
      <c r="H19" s="187" t="str">
        <f t="shared" si="38"/>
        <v>p90</v>
      </c>
      <c r="I19" s="210">
        <f>SUMPRODUCT((data_segment_HC_gains!$A$25:$A$44="20-39")*(data_segment_HC_gains!$B$25:$B$44=H19)*data_segment_HC_gains!$C$25:$C$44)</f>
        <v>37</v>
      </c>
      <c r="J19" s="189">
        <f>SUMPRODUCT((data_segment_HC_gains!$A$25:$A$44="20-39")*(data_segment_HC_gains!$B$25:$B$44=H19)*data_segment_HC_gains!$E$25:$E$44)</f>
        <v>625.07</v>
      </c>
      <c r="K19" s="190">
        <f>SUMPRODUCT((data_raw_slopes!$A$2:$A$41="20-39")*(data_raw_slopes!$B$2:$B$41="payer")*(data_raw_slopes!$C$2:$C$41=H19)*data_raw_slopes!$E$2:$E$41)</f>
        <v>677.95</v>
      </c>
      <c r="L19" s="211">
        <f t="shared" si="39"/>
        <v>-52.88</v>
      </c>
      <c r="M19" s="189">
        <f>SUMPRODUCT((data_segment_HC_gains!$A$25:$A$44="20-39")*(data_segment_HC_gains!$B$25:$B$44=H19)*data_segment_HC_gains!$G$25:$G$44)</f>
        <v>85.68</v>
      </c>
      <c r="N19" s="192">
        <f t="shared" si="40"/>
        <v>42.55</v>
      </c>
      <c r="O19" s="192">
        <f>J19-M19*(1-(saga_progression_new!$G$17/saga_progression_old!$C$16))+SUM($F$17:F19)</f>
        <v>734.99</v>
      </c>
      <c r="P19" s="193">
        <f>K19+(IF(SUMPRODUCT((data_raw_slopes!$A$2:$A$41="20-39")*(data_raw_slopes!$B$2:$B$41="payer")*(data_raw_slopes!$C$2:$C$41=H19)*data_raw_slopes!$F$2:$F$41)&gt;0,SUMPRODUCT((data_raw_slopes!$A$2:$A$41="20-39")*(data_raw_slopes!$B$2:$B$41="payer")*(data_raw_slopes!$C$2:$C$41=H19)*data_raw_slopes!$F$2:$F$41),SUMPRODUCT((data_raw_slopes!$A$2:$A$41="20-39")*(data_raw_slopes!$B$2:$B$41="payer")*(data_raw_slopes!$C$2:$C$41=H19)*data_raw_slopes!$G$2:$G$41)))*I19*0.15</f>
        <v>773.897845</v>
      </c>
      <c r="Q19" s="212">
        <f t="shared" si="41"/>
        <v>-38.907845</v>
      </c>
      <c r="R19" s="195">
        <f>M19*(saga_progression_new!$G$17/saga_progression_old!$C$16)</f>
        <v>30.6</v>
      </c>
      <c r="S19" s="213">
        <f t="shared" si="42"/>
        <v>13.972155</v>
      </c>
      <c r="T19" s="197">
        <f t="shared" si="43"/>
        <v>5.55</v>
      </c>
      <c r="U19" s="198">
        <f t="shared" si="44"/>
        <v>-55.08</v>
      </c>
      <c r="V19" s="198">
        <f t="shared" si="45"/>
        <v>95.947845</v>
      </c>
      <c r="W19" s="199"/>
      <c r="X19" s="200">
        <f>SUMPRODUCT((data_segment_HC_gains!$A$48:$A$67="20-39")*(data_segment_HC_gains!$B$48:$B$67=H19)*data_segment_HC_gains!$C$48:$C$67)</f>
        <v>36</v>
      </c>
      <c r="Y19" s="200">
        <f>SUMPRODUCT((data_segment_HC_gains!$A$48:$A$67="20-39")*(data_segment_HC_gains!$B$48:$B$67=H19)*data_segment_HC_gains!$E$48:$E$67)</f>
        <v>247.92</v>
      </c>
      <c r="Z19" s="200">
        <f>SUMPRODUCT((data_raw_slopes!$A$2:$A$41="20-39")*(data_raw_slopes!$B$2:$B$41="nonpayer")*(data_raw_slopes!$C$2:$C$41=H19)*data_raw_slopes!$E$2:$E$41)</f>
        <v>295.42</v>
      </c>
      <c r="AA19" s="200">
        <f t="shared" si="46"/>
        <v>-47.5</v>
      </c>
      <c r="AB19" s="200">
        <f>SUMPRODUCT((data_segment_HC_gains!$A$48:$A$67="20-39")*(data_segment_HC_gains!$B$48:$B$67=H19)*data_segment_HC_gains!$G$48:$G$67)</f>
        <v>84.07</v>
      </c>
      <c r="AC19" s="192">
        <f t="shared" si="47"/>
        <v>41.4</v>
      </c>
      <c r="AD19" s="192">
        <f>Y19-AB19*(1-(saga_progression_new!$G$17/saga_progression_old!$C$16))+SUM($F$17:F19)</f>
        <v>358.875</v>
      </c>
      <c r="AE19" s="192">
        <f>Z19+(IF(SUMPRODUCT((data_raw_slopes!$A$2:$A$41="20-39")*(data_raw_slopes!$B$2:$B$41="nonpayer")*(data_raw_slopes!$C$2:$C$41=H19)*data_raw_slopes!$F$2:$F$41)&gt;0,SUMPRODUCT((data_raw_slopes!$A$2:$A$41="20-39")*(data_raw_slopes!$B$2:$B$41="nonpayer")*(data_raw_slopes!$C$2:$C$41=H19)*data_raw_slopes!$F$2:$F$41),SUMPRODUCT((data_raw_slopes!$A$2:$A$41="20-39")*(data_raw_slopes!$B$2:$B$41="nonpayer")*(data_raw_slopes!$C$2:$C$41=H19)*data_raw_slopes!$G$2:$G$41)))*X19*0.15</f>
        <v>325.59898</v>
      </c>
      <c r="AF19" s="192">
        <f t="shared" si="48"/>
        <v>33.27602</v>
      </c>
      <c r="AG19" s="192">
        <f>AB19*(saga_progression_new!$G$17/saga_progression_old!$C$16)</f>
        <v>30.025</v>
      </c>
      <c r="AH19" s="198">
        <f t="shared" si="49"/>
        <v>80.77602</v>
      </c>
      <c r="AI19" s="198">
        <f t="shared" si="50"/>
        <v>5.4</v>
      </c>
      <c r="AJ19" s="198">
        <f t="shared" si="51"/>
        <v>-54.045</v>
      </c>
      <c r="AK19" s="198">
        <f t="shared" si="52"/>
        <v>30.17898</v>
      </c>
      <c r="AL19" s="165"/>
      <c r="AM19" s="201">
        <v>0.0</v>
      </c>
      <c r="AN19" s="202">
        <v>0.0</v>
      </c>
      <c r="AO19" s="202">
        <v>1.0</v>
      </c>
      <c r="AP19" s="202">
        <v>0.0</v>
      </c>
      <c r="AQ19" s="202">
        <v>1.0</v>
      </c>
      <c r="AR19" s="202">
        <v>0.0</v>
      </c>
      <c r="AS19" s="202">
        <v>0.0</v>
      </c>
      <c r="AT19" s="202">
        <v>0.0</v>
      </c>
      <c r="AU19" s="202">
        <v>0.0</v>
      </c>
      <c r="AV19" s="202">
        <v>0.0</v>
      </c>
      <c r="AW19" s="203">
        <v>0.0</v>
      </c>
      <c r="AX19" s="214">
        <f t="shared" si="53"/>
        <v>217</v>
      </c>
    </row>
    <row r="20" ht="15.0" customHeight="1">
      <c r="A20" s="165"/>
      <c r="B20" s="165"/>
      <c r="C20" s="165"/>
      <c r="D20" s="165"/>
      <c r="E20" s="165"/>
      <c r="F20" s="165"/>
      <c r="G20" s="215"/>
      <c r="H20" s="165"/>
      <c r="I20" s="165"/>
      <c r="J20" s="165"/>
      <c r="K20" s="165"/>
      <c r="L20" s="165"/>
      <c r="M20" s="165"/>
      <c r="N20" s="215"/>
      <c r="O20" s="215"/>
      <c r="P20" s="215"/>
      <c r="Q20" s="215"/>
      <c r="R20" s="21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215"/>
      <c r="AD20" s="215"/>
      <c r="AE20" s="215"/>
      <c r="AF20" s="215"/>
      <c r="AG20" s="21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</row>
    <row r="21" ht="15.75" customHeight="1">
      <c r="A21" s="170" t="s">
        <v>46</v>
      </c>
      <c r="B21" s="165"/>
      <c r="C21" s="165"/>
      <c r="D21" s="165"/>
      <c r="E21" s="165"/>
      <c r="F21" s="165"/>
      <c r="G21" s="215"/>
      <c r="H21" s="165"/>
      <c r="I21" s="165"/>
      <c r="J21" s="165"/>
      <c r="K21" s="165"/>
      <c r="L21" s="165"/>
      <c r="M21" s="165"/>
      <c r="N21" s="215"/>
      <c r="O21" s="215"/>
      <c r="P21" s="215"/>
      <c r="Q21" s="215"/>
      <c r="R21" s="21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215"/>
      <c r="AD21" s="215"/>
      <c r="AE21" s="215"/>
      <c r="AF21" s="215"/>
      <c r="AG21" s="21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</row>
    <row r="22" ht="15.75" customHeight="1">
      <c r="A22" s="172" t="s">
        <v>112</v>
      </c>
      <c r="B22" s="172" t="s">
        <v>113</v>
      </c>
      <c r="C22" s="172" t="s">
        <v>114</v>
      </c>
      <c r="D22" s="172" t="s">
        <v>115</v>
      </c>
      <c r="E22" s="172" t="s">
        <v>116</v>
      </c>
      <c r="F22" s="172" t="s">
        <v>73</v>
      </c>
      <c r="G22" s="216" t="s">
        <v>117</v>
      </c>
      <c r="H22" s="174" t="s">
        <v>118</v>
      </c>
      <c r="I22" s="175" t="s">
        <v>119</v>
      </c>
      <c r="J22" s="176" t="s">
        <v>120</v>
      </c>
      <c r="K22" s="176" t="s">
        <v>121</v>
      </c>
      <c r="L22" s="175" t="s">
        <v>122</v>
      </c>
      <c r="M22" s="176" t="s">
        <v>123</v>
      </c>
      <c r="N22" s="217" t="s">
        <v>124</v>
      </c>
      <c r="O22" s="217" t="s">
        <v>125</v>
      </c>
      <c r="P22" s="217" t="s">
        <v>126</v>
      </c>
      <c r="Q22" s="218" t="s">
        <v>127</v>
      </c>
      <c r="R22" s="217" t="s">
        <v>128</v>
      </c>
      <c r="S22" s="179" t="s">
        <v>129</v>
      </c>
      <c r="T22" s="180" t="s">
        <v>130</v>
      </c>
      <c r="U22" s="180" t="s">
        <v>131</v>
      </c>
      <c r="V22" s="180" t="s">
        <v>132</v>
      </c>
      <c r="W22" s="181"/>
      <c r="X22" s="176" t="s">
        <v>133</v>
      </c>
      <c r="Y22" s="176" t="s">
        <v>134</v>
      </c>
      <c r="Z22" s="176" t="s">
        <v>135</v>
      </c>
      <c r="AA22" s="176" t="s">
        <v>136</v>
      </c>
      <c r="AB22" s="176" t="s">
        <v>137</v>
      </c>
      <c r="AC22" s="217" t="s">
        <v>138</v>
      </c>
      <c r="AD22" s="217" t="s">
        <v>139</v>
      </c>
      <c r="AE22" s="217" t="s">
        <v>140</v>
      </c>
      <c r="AF22" s="217" t="s">
        <v>141</v>
      </c>
      <c r="AG22" s="217" t="s">
        <v>142</v>
      </c>
      <c r="AH22" s="180" t="s">
        <v>143</v>
      </c>
      <c r="AI22" s="180" t="s">
        <v>144</v>
      </c>
      <c r="AJ22" s="180" t="s">
        <v>145</v>
      </c>
      <c r="AK22" s="180" t="s">
        <v>146</v>
      </c>
      <c r="AL22" s="165"/>
      <c r="AM22" s="182" t="s">
        <v>79</v>
      </c>
      <c r="AN22" s="182" t="s">
        <v>80</v>
      </c>
      <c r="AO22" s="182" t="s">
        <v>81</v>
      </c>
      <c r="AP22" s="182" t="s">
        <v>82</v>
      </c>
      <c r="AQ22" s="182" t="s">
        <v>83</v>
      </c>
      <c r="AR22" s="182" t="s">
        <v>84</v>
      </c>
      <c r="AS22" s="182" t="s">
        <v>85</v>
      </c>
      <c r="AT22" s="182" t="s">
        <v>86</v>
      </c>
      <c r="AU22" s="182" t="s">
        <v>87</v>
      </c>
      <c r="AV22" s="182" t="s">
        <v>88</v>
      </c>
      <c r="AW22" s="182" t="s">
        <v>89</v>
      </c>
      <c r="AX22" s="183" t="s">
        <v>147</v>
      </c>
    </row>
    <row r="23" ht="15.75" customHeight="1">
      <c r="A23" s="163">
        <v>1.0</v>
      </c>
      <c r="B23" s="163">
        <v>1.0</v>
      </c>
      <c r="C23" s="163" t="s">
        <v>148</v>
      </c>
      <c r="D23" s="184">
        <f>E23</f>
        <v>25</v>
      </c>
      <c r="E23" s="185">
        <v>25.0</v>
      </c>
      <c r="F23" s="184">
        <v>50.0</v>
      </c>
      <c r="G23" s="186">
        <f t="shared" ref="G23:G25" si="55">F23/E23</f>
        <v>2</v>
      </c>
      <c r="H23" s="187" t="str">
        <f t="shared" ref="H23:H25" si="56">IF(A23=1,"p50",IF(A23=2,"p75","p90"))</f>
        <v>p50</v>
      </c>
      <c r="I23" s="188">
        <f>SUMPRODUCT((data_segment_HC_gains!$A$25:$A$44="40-99")*(data_segment_HC_gains!$B$25:$B$44=H23)*data_segment_HC_gains!$C$25:$C$44)</f>
        <v>27</v>
      </c>
      <c r="J23" s="189">
        <f>SUMPRODUCT((data_segment_HC_gains!$A$25:$A$44="40-99")*(data_segment_HC_gains!$B$25:$B$44=H23)*data_segment_HC_gains!$E$25:$E$44)</f>
        <v>607.99</v>
      </c>
      <c r="K23" s="190">
        <f>SUMPRODUCT((data_raw_slopes!$A$2:$A$41="40-99")*(data_raw_slopes!$B$2:$B$41="payer")*(data_raw_slopes!$C$2:$C$41=H23)*data_raw_slopes!$E$2:$E$41)</f>
        <v>641.78</v>
      </c>
      <c r="L23" s="191">
        <f t="shared" ref="L23:L25" si="57">J23-K23</f>
        <v>-33.79</v>
      </c>
      <c r="M23" s="189">
        <f>SUMPRODUCT((data_segment_HC_gains!$A$25:$A$44="40-99")*(data_segment_HC_gains!$B$25:$B$44=H23)*data_segment_HC_gains!$G$25:$G$44)</f>
        <v>100.23</v>
      </c>
      <c r="N23" s="192">
        <f t="shared" ref="N23:N25" si="58">I23*1.15</f>
        <v>31.05</v>
      </c>
      <c r="O23" s="192">
        <f>J23-M23*(1-(saga_progression_new!$I$17/saga_progression_old!$C$16))+SUM($F$23:F23)</f>
        <v>593.5564286</v>
      </c>
      <c r="P23" s="193">
        <f>K23+(IF(SUMPRODUCT((data_raw_slopes!$A$2:$A$41="40-99")*(data_raw_slopes!$B$2:$B$41="payer")*(data_raw_slopes!$C$2:$C$41=H23)*data_raw_slopes!$F$2:$F$41)&gt;0,SUMPRODUCT((data_raw_slopes!$A$2:$A$41="40-99")*(data_raw_slopes!$B$2:$B$41="payer")*(data_raw_slopes!$C$2:$C$41=H23)*data_raw_slopes!$F$2:$F$41),SUMPRODUCT((data_raw_slopes!$A$2:$A$41="40-99")*(data_raw_slopes!$B$2:$B$41="payer")*(data_raw_slopes!$C$2:$C$41=H23)*data_raw_slopes!$G$2:$G$41)))*I23*0.15</f>
        <v>704.429045</v>
      </c>
      <c r="Q23" s="194">
        <f t="shared" ref="Q23:Q25" si="59">O23-P23</f>
        <v>-110.8726164</v>
      </c>
      <c r="R23" s="195">
        <f>M23*(saga_progression_new!$I$17/saga_progression_old!$C$16)</f>
        <v>35.79642857</v>
      </c>
      <c r="S23" s="196">
        <f t="shared" ref="S23:S25" si="60">Q23-L23</f>
        <v>-77.08261643</v>
      </c>
      <c r="T23" s="197">
        <f t="shared" ref="T23:T25" si="61">N23-I23</f>
        <v>4.05</v>
      </c>
      <c r="U23" s="198">
        <f t="shared" ref="U23:U25" si="62">R23-M23</f>
        <v>-64.43357143</v>
      </c>
      <c r="V23" s="198">
        <f t="shared" ref="V23:V25" si="63">P23-K23</f>
        <v>62.649045</v>
      </c>
      <c r="W23" s="199"/>
      <c r="X23" s="200">
        <f>SUMPRODUCT((data_segment_HC_gains!$A$48:$A$67="40-99")*(data_segment_HC_gains!$B$48:$B$67=H23)*data_segment_HC_gains!$C$48:$C$67)</f>
        <v>29</v>
      </c>
      <c r="Y23" s="200">
        <f>SUMPRODUCT((data_segment_HC_gains!$A$48:$A$67="40-99")*(data_segment_HC_gains!$B$48:$B$67=H23)*data_segment_HC_gains!$E$48:$E$67)</f>
        <v>303.92</v>
      </c>
      <c r="Z23" s="200">
        <f>SUMPRODUCT((data_raw_slopes!$A$2:$A$41="40-99")*(data_raw_slopes!$B$2:$B$41="nonpayer")*(data_raw_slopes!$C$2:$C$41=H23)*data_raw_slopes!$E$2:$E$41)</f>
        <v>307.03</v>
      </c>
      <c r="AA23" s="200">
        <f t="shared" ref="AA23:AA25" si="64">Y23-Z23</f>
        <v>-3.11</v>
      </c>
      <c r="AB23" s="200">
        <f>SUMPRODUCT((data_segment_HC_gains!$A$48:$A$67="40-99")*(data_segment_HC_gains!$B$48:$B$67=H23)*data_segment_HC_gains!$G$48:$G$67)</f>
        <v>102.38</v>
      </c>
      <c r="AC23" s="192">
        <f t="shared" ref="AC23:AC25" si="65">X23*1.15</f>
        <v>33.35</v>
      </c>
      <c r="AD23" s="192">
        <f>Y23-AB23*(1-(saga_progression_new!$I$17/saga_progression_old!$C$16))+SUM($F$23:F23)</f>
        <v>288.1042857</v>
      </c>
      <c r="AE23" s="192">
        <f>Z23+(IF(SUMPRODUCT((data_raw_slopes!$A$2:$A$41="40-99")*(data_raw_slopes!$B$2:$B$41="nonpayer")*(data_raw_slopes!$C$2:$C$41=H23)*data_raw_slopes!$F$2:$F$41)&gt;0,SUMPRODUCT((data_raw_slopes!$A$2:$A$41="40-99")*(data_raw_slopes!$B$2:$B$41="nonpayer")*(data_raw_slopes!$C$2:$C$41=H23)*data_raw_slopes!$F$2:$F$41),SUMPRODUCT((data_raw_slopes!$A$2:$A$41="40-99")*(data_raw_slopes!$B$2:$B$41="nonpayer")*(data_raw_slopes!$C$2:$C$41=H23)*data_raw_slopes!$G$2:$G$41)))*X23*0.15</f>
        <v>329.052745</v>
      </c>
      <c r="AF23" s="192">
        <f t="shared" ref="AF23:AF25" si="66">AD23-AE23</f>
        <v>-40.94845929</v>
      </c>
      <c r="AG23" s="192">
        <f>AB23*(saga_progression_new!$I$17/saga_progression_old!$C$16)</f>
        <v>36.56428571</v>
      </c>
      <c r="AH23" s="198">
        <f t="shared" ref="AH23:AH25" si="67">AF23-AA23</f>
        <v>-37.83845929</v>
      </c>
      <c r="AI23" s="198">
        <f t="shared" ref="AI23:AI25" si="68">AC23-X23</f>
        <v>4.35</v>
      </c>
      <c r="AJ23" s="198">
        <f t="shared" ref="AJ23:AJ25" si="69">AG23-AB23</f>
        <v>-65.81571429</v>
      </c>
      <c r="AK23" s="198">
        <f t="shared" ref="AK23:AK25" si="70">AE23-Z23</f>
        <v>22.022745</v>
      </c>
      <c r="AL23" s="165"/>
      <c r="AM23" s="201">
        <v>0.0</v>
      </c>
      <c r="AN23" s="202">
        <v>0.0</v>
      </c>
      <c r="AO23" s="202">
        <v>0.0</v>
      </c>
      <c r="AP23" s="202">
        <v>0.0</v>
      </c>
      <c r="AQ23" s="202">
        <v>0.0</v>
      </c>
      <c r="AR23" s="202">
        <v>0.0</v>
      </c>
      <c r="AS23" s="202">
        <v>0.0</v>
      </c>
      <c r="AT23" s="202">
        <v>20.0</v>
      </c>
      <c r="AU23" s="202">
        <v>0.0</v>
      </c>
      <c r="AV23" s="202">
        <v>0.0</v>
      </c>
      <c r="AW23" s="203">
        <v>0.0</v>
      </c>
      <c r="AX23" s="204">
        <f t="shared" ref="AX23:AX25" si="71">SUMPRODUCT(AM23:AW23, {0,33,50,67,167,67,50,4.17,7.56,12.17,16.22})</f>
        <v>83.4</v>
      </c>
    </row>
    <row r="24" ht="15.75" customHeight="1">
      <c r="A24" s="163">
        <v>2.0</v>
      </c>
      <c r="B24" s="163">
        <v>1.0</v>
      </c>
      <c r="C24" s="163" t="s">
        <v>148</v>
      </c>
      <c r="D24" s="184">
        <f t="shared" ref="D24:D25" si="72">E24-E23</f>
        <v>25</v>
      </c>
      <c r="E24" s="185">
        <v>50.0</v>
      </c>
      <c r="F24" s="184">
        <v>100.0</v>
      </c>
      <c r="G24" s="186">
        <f t="shared" si="55"/>
        <v>2</v>
      </c>
      <c r="H24" s="187" t="str">
        <f t="shared" si="56"/>
        <v>p75</v>
      </c>
      <c r="I24" s="205">
        <f>SUMPRODUCT((data_segment_HC_gains!$A$25:$A$44="40-99")*(data_segment_HC_gains!$B$25:$B$44=H24)*data_segment_HC_gains!$C$25:$C$44)</f>
        <v>50</v>
      </c>
      <c r="J24" s="189">
        <f>SUMPRODUCT((data_segment_HC_gains!$A$25:$A$44="40-99")*(data_segment_HC_gains!$B$25:$B$44=H24)*data_segment_HC_gains!$E$25:$E$44)</f>
        <v>828.58</v>
      </c>
      <c r="K24" s="190">
        <f>SUMPRODUCT((data_raw_slopes!$A$2:$A$41="40-99")*(data_raw_slopes!$B$2:$B$41="payer")*(data_raw_slopes!$C$2:$C$41=H24)*data_raw_slopes!$E$2:$E$41)</f>
        <v>893.71</v>
      </c>
      <c r="L24" s="206">
        <f t="shared" si="57"/>
        <v>-65.13</v>
      </c>
      <c r="M24" s="189">
        <f>SUMPRODUCT((data_segment_HC_gains!$A$25:$A$44="40-99")*(data_segment_HC_gains!$B$25:$B$44=H24)*data_segment_HC_gains!$G$25:$G$44)</f>
        <v>120.7</v>
      </c>
      <c r="N24" s="192">
        <f t="shared" si="58"/>
        <v>57.5</v>
      </c>
      <c r="O24" s="192">
        <f>J24-M24*(1-(saga_progression_new!$I$17/saga_progression_old!$C$16))+SUM($F$23:F24)</f>
        <v>900.9871429</v>
      </c>
      <c r="P24" s="193">
        <f>K24+(IF(SUMPRODUCT((data_raw_slopes!$A$2:$A$41="40-99")*(data_raw_slopes!$B$2:$B$41="payer")*(data_raw_slopes!$C$2:$C$41=H24)*data_raw_slopes!$F$2:$F$41)&gt;0,SUMPRODUCT((data_raw_slopes!$A$2:$A$41="40-99")*(data_raw_slopes!$B$2:$B$41="payer")*(data_raw_slopes!$C$2:$C$41=H24)*data_raw_slopes!$F$2:$F$41),SUMPRODUCT((data_raw_slopes!$A$2:$A$41="40-99")*(data_raw_slopes!$B$2:$B$41="payer")*(data_raw_slopes!$C$2:$C$41=H24)*data_raw_slopes!$G$2:$G$41)))*I24*0.15</f>
        <v>982.2235</v>
      </c>
      <c r="Q24" s="207">
        <f t="shared" si="59"/>
        <v>-81.23635714</v>
      </c>
      <c r="R24" s="195">
        <f>M24*(saga_progression_new!$I$17/saga_progression_old!$C$16)</f>
        <v>43.10714286</v>
      </c>
      <c r="S24" s="208">
        <f t="shared" si="60"/>
        <v>-16.10635714</v>
      </c>
      <c r="T24" s="197">
        <f t="shared" si="61"/>
        <v>7.5</v>
      </c>
      <c r="U24" s="198">
        <f t="shared" si="62"/>
        <v>-77.59285714</v>
      </c>
      <c r="V24" s="198">
        <f t="shared" si="63"/>
        <v>88.5135</v>
      </c>
      <c r="W24" s="199"/>
      <c r="X24" s="200">
        <f>SUMPRODUCT((data_segment_HC_gains!$A$48:$A$67="40-99")*(data_segment_HC_gains!$B$48:$B$67=H24)*data_segment_HC_gains!$C$48:$C$67)</f>
        <v>50</v>
      </c>
      <c r="Y24" s="200">
        <f>SUMPRODUCT((data_segment_HC_gains!$A$48:$A$67="40-99")*(data_segment_HC_gains!$B$48:$B$67=H24)*data_segment_HC_gains!$E$48:$E$67)</f>
        <v>352.42</v>
      </c>
      <c r="Z24" s="200">
        <f>SUMPRODUCT((data_raw_slopes!$A$2:$A$41="40-99")*(data_raw_slopes!$B$2:$B$41="nonpayer")*(data_raw_slopes!$C$2:$C$41=H24)*data_raw_slopes!$E$2:$E$41)</f>
        <v>390.26</v>
      </c>
      <c r="AA24" s="200">
        <f t="shared" si="64"/>
        <v>-37.84</v>
      </c>
      <c r="AB24" s="200">
        <f>SUMPRODUCT((data_segment_HC_gains!$A$48:$A$67="40-99")*(data_segment_HC_gains!$B$48:$B$67=H24)*data_segment_HC_gains!$G$48:$G$67)</f>
        <v>120.97</v>
      </c>
      <c r="AC24" s="192">
        <f t="shared" si="65"/>
        <v>57.5</v>
      </c>
      <c r="AD24" s="192">
        <f>Y24-AB24*(1-(saga_progression_new!$I$17/saga_progression_old!$C$16))+SUM($F$23:F24)</f>
        <v>424.6535714</v>
      </c>
      <c r="AE24" s="192">
        <f>Z24+(IF(SUMPRODUCT((data_raw_slopes!$A$2:$A$41="40-99")*(data_raw_slopes!$B$2:$B$41="nonpayer")*(data_raw_slopes!$C$2:$C$41=H24)*data_raw_slopes!$F$2:$F$41)&gt;0,SUMPRODUCT((data_raw_slopes!$A$2:$A$41="40-99")*(data_raw_slopes!$B$2:$B$41="nonpayer")*(data_raw_slopes!$C$2:$C$41=H24)*data_raw_slopes!$F$2:$F$41),SUMPRODUCT((data_raw_slopes!$A$2:$A$41="40-99")*(data_raw_slopes!$B$2:$B$41="nonpayer")*(data_raw_slopes!$C$2:$C$41=H24)*data_raw_slopes!$G$2:$G$41)))*X24*0.15</f>
        <v>421.76825</v>
      </c>
      <c r="AF24" s="192">
        <f t="shared" si="66"/>
        <v>2.885321429</v>
      </c>
      <c r="AG24" s="192">
        <f>AB24*(saga_progression_new!$I$17/saga_progression_old!$C$16)</f>
        <v>43.20357143</v>
      </c>
      <c r="AH24" s="198">
        <f t="shared" si="67"/>
        <v>40.72532143</v>
      </c>
      <c r="AI24" s="198">
        <f t="shared" si="68"/>
        <v>7.5</v>
      </c>
      <c r="AJ24" s="198">
        <f t="shared" si="69"/>
        <v>-77.76642857</v>
      </c>
      <c r="AK24" s="198">
        <f t="shared" si="70"/>
        <v>31.50825</v>
      </c>
      <c r="AL24" s="165"/>
      <c r="AM24" s="201">
        <v>0.0</v>
      </c>
      <c r="AN24" s="202">
        <v>1.0</v>
      </c>
      <c r="AO24" s="202">
        <v>0.0</v>
      </c>
      <c r="AP24" s="202">
        <v>0.0</v>
      </c>
      <c r="AQ24" s="202">
        <v>0.0</v>
      </c>
      <c r="AR24" s="202">
        <v>0.0</v>
      </c>
      <c r="AS24" s="202">
        <v>0.0</v>
      </c>
      <c r="AT24" s="202">
        <v>0.0</v>
      </c>
      <c r="AU24" s="202">
        <v>0.0</v>
      </c>
      <c r="AV24" s="202">
        <v>0.0</v>
      </c>
      <c r="AW24" s="203">
        <v>0.0</v>
      </c>
      <c r="AX24" s="209">
        <f t="shared" si="71"/>
        <v>33</v>
      </c>
    </row>
    <row r="25" ht="15.75" customHeight="1">
      <c r="A25" s="163">
        <v>3.0</v>
      </c>
      <c r="B25" s="163">
        <v>1.0</v>
      </c>
      <c r="C25" s="163" t="s">
        <v>148</v>
      </c>
      <c r="D25" s="184">
        <f t="shared" si="72"/>
        <v>35</v>
      </c>
      <c r="E25" s="185">
        <v>85.0</v>
      </c>
      <c r="F25" s="184">
        <v>200.0</v>
      </c>
      <c r="G25" s="186">
        <f t="shared" si="55"/>
        <v>2.352941176</v>
      </c>
      <c r="H25" s="187" t="str">
        <f t="shared" si="56"/>
        <v>p90</v>
      </c>
      <c r="I25" s="210">
        <f>SUMPRODUCT((data_segment_HC_gains!$A$25:$A$44="40-99")*(data_segment_HC_gains!$B$25:$B$44=H25)*data_segment_HC_gains!$C$25:$C$44)</f>
        <v>77</v>
      </c>
      <c r="J25" s="189">
        <f>SUMPRODUCT((data_segment_HC_gains!$A$25:$A$44="40-99")*(data_segment_HC_gains!$B$25:$B$44=H25)*data_segment_HC_gains!$E$25:$E$44)</f>
        <v>1242.63</v>
      </c>
      <c r="K25" s="190">
        <f>SUMPRODUCT((data_raw_slopes!$A$2:$A$41="40-99")*(data_raw_slopes!$B$2:$B$41="payer")*(data_raw_slopes!$C$2:$C$41=H25)*data_raw_slopes!$E$2:$E$41)</f>
        <v>1354.72</v>
      </c>
      <c r="L25" s="211">
        <f t="shared" si="57"/>
        <v>-112.09</v>
      </c>
      <c r="M25" s="189">
        <f>SUMPRODUCT((data_segment_HC_gains!$A$25:$A$44="40-99")*(data_segment_HC_gains!$B$25:$B$44=H25)*data_segment_HC_gains!$G$25:$G$44)</f>
        <v>176.22</v>
      </c>
      <c r="N25" s="192">
        <f t="shared" si="58"/>
        <v>88.55</v>
      </c>
      <c r="O25" s="192">
        <f>J25-M25*(1-(saga_progression_new!$I$17/saga_progression_old!$C$16))+SUM($F$23:F25)</f>
        <v>1479.345714</v>
      </c>
      <c r="P25" s="193">
        <f>K25+(IF(SUMPRODUCT((data_raw_slopes!$A$2:$A$41="40-99")*(data_raw_slopes!$B$2:$B$41="payer")*(data_raw_slopes!$C$2:$C$41=H25)*data_raw_slopes!$F$2:$F$41)&gt;0,SUMPRODUCT((data_raw_slopes!$A$2:$A$41="40-99")*(data_raw_slopes!$B$2:$B$41="payer")*(data_raw_slopes!$C$2:$C$41=H25)*data_raw_slopes!$F$2:$F$41),SUMPRODUCT((data_raw_slopes!$A$2:$A$41="40-99")*(data_raw_slopes!$B$2:$B$41="payer")*(data_raw_slopes!$C$2:$C$41=H25)*data_raw_slopes!$G$2:$G$41)))*I25*0.15</f>
        <v>1534.002565</v>
      </c>
      <c r="Q25" s="212">
        <f t="shared" si="59"/>
        <v>-54.65685071</v>
      </c>
      <c r="R25" s="195">
        <f>M25*(saga_progression_new!$I$17/saga_progression_old!$C$16)</f>
        <v>62.93571429</v>
      </c>
      <c r="S25" s="213">
        <f t="shared" si="60"/>
        <v>57.43314929</v>
      </c>
      <c r="T25" s="197">
        <f t="shared" si="61"/>
        <v>11.55</v>
      </c>
      <c r="U25" s="198">
        <f t="shared" si="62"/>
        <v>-113.2842857</v>
      </c>
      <c r="V25" s="198">
        <f t="shared" si="63"/>
        <v>179.282565</v>
      </c>
      <c r="W25" s="199"/>
      <c r="X25" s="200">
        <f>SUMPRODUCT((data_segment_HC_gains!$A$48:$A$67="40-99")*(data_segment_HC_gains!$B$48:$B$67=H25)*data_segment_HC_gains!$C$48:$C$67)</f>
        <v>76</v>
      </c>
      <c r="Y25" s="200">
        <f>SUMPRODUCT((data_segment_HC_gains!$A$48:$A$67="40-99")*(data_segment_HC_gains!$B$48:$B$67=H25)*data_segment_HC_gains!$E$48:$E$67)</f>
        <v>466.06</v>
      </c>
      <c r="Z25" s="200">
        <f>SUMPRODUCT((data_raw_slopes!$A$2:$A$41="40-99")*(data_raw_slopes!$B$2:$B$41="nonpayer")*(data_raw_slopes!$C$2:$C$41=H25)*data_raw_slopes!$E$2:$E$41)</f>
        <v>547.26</v>
      </c>
      <c r="AA25" s="200">
        <f t="shared" si="64"/>
        <v>-81.2</v>
      </c>
      <c r="AB25" s="200">
        <f>SUMPRODUCT((data_segment_HC_gains!$A$48:$A$67="40-99")*(data_segment_HC_gains!$B$48:$B$67=H25)*data_segment_HC_gains!$G$48:$G$67)</f>
        <v>170.37</v>
      </c>
      <c r="AC25" s="192">
        <f t="shared" si="65"/>
        <v>87.4</v>
      </c>
      <c r="AD25" s="192">
        <f>Y25-AB25*(1-(saga_progression_new!$I$17/saga_progression_old!$C$16))+SUM($F$23:F25)</f>
        <v>706.5364286</v>
      </c>
      <c r="AE25" s="192">
        <f>Z25+(IF(SUMPRODUCT((data_raw_slopes!$A$2:$A$41="40-99")*(data_raw_slopes!$B$2:$B$41="nonpayer")*(data_raw_slopes!$C$2:$C$41=H25)*data_raw_slopes!$F$2:$F$41)&gt;0,SUMPRODUCT((data_raw_slopes!$A$2:$A$41="40-99")*(data_raw_slopes!$B$2:$B$41="nonpayer")*(data_raw_slopes!$C$2:$C$41=H25)*data_raw_slopes!$F$2:$F$41),SUMPRODUCT((data_raw_slopes!$A$2:$A$41="40-99")*(data_raw_slopes!$B$2:$B$41="nonpayer")*(data_raw_slopes!$C$2:$C$41=H25)*data_raw_slopes!$G$2:$G$41)))*X25*0.15</f>
        <v>610.12758</v>
      </c>
      <c r="AF25" s="192">
        <f t="shared" si="66"/>
        <v>96.40884857</v>
      </c>
      <c r="AG25" s="192">
        <f>AB25*(saga_progression_new!$I$17/saga_progression_old!$C$16)</f>
        <v>60.84642857</v>
      </c>
      <c r="AH25" s="198">
        <f t="shared" si="67"/>
        <v>177.6088486</v>
      </c>
      <c r="AI25" s="198">
        <f t="shared" si="68"/>
        <v>11.4</v>
      </c>
      <c r="AJ25" s="198">
        <f t="shared" si="69"/>
        <v>-109.5235714</v>
      </c>
      <c r="AK25" s="198">
        <f t="shared" si="70"/>
        <v>62.86758</v>
      </c>
      <c r="AL25" s="165"/>
      <c r="AM25" s="201">
        <v>0.0</v>
      </c>
      <c r="AN25" s="202">
        <v>0.0</v>
      </c>
      <c r="AO25" s="202">
        <v>1.0</v>
      </c>
      <c r="AP25" s="202">
        <v>0.0</v>
      </c>
      <c r="AQ25" s="202">
        <v>1.0</v>
      </c>
      <c r="AR25" s="202">
        <v>0.0</v>
      </c>
      <c r="AS25" s="202">
        <v>0.0</v>
      </c>
      <c r="AT25" s="202">
        <v>0.0</v>
      </c>
      <c r="AU25" s="202">
        <v>0.0</v>
      </c>
      <c r="AV25" s="202">
        <v>0.0</v>
      </c>
      <c r="AW25" s="203">
        <v>0.0</v>
      </c>
      <c r="AX25" s="214">
        <f t="shared" si="71"/>
        <v>217</v>
      </c>
    </row>
    <row r="26" ht="15.75" customHeight="1">
      <c r="A26" s="165"/>
      <c r="B26" s="165"/>
      <c r="C26" s="165"/>
      <c r="D26" s="165"/>
      <c r="E26" s="165"/>
      <c r="F26" s="165"/>
      <c r="G26" s="215"/>
      <c r="H26" s="165"/>
      <c r="I26" s="165"/>
      <c r="J26" s="165"/>
      <c r="K26" s="165"/>
      <c r="L26" s="165"/>
      <c r="M26" s="165"/>
      <c r="N26" s="215"/>
      <c r="O26" s="215"/>
      <c r="P26" s="215"/>
      <c r="Q26" s="215"/>
      <c r="R26" s="21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215"/>
      <c r="AD26" s="215"/>
      <c r="AE26" s="215"/>
      <c r="AF26" s="215"/>
      <c r="AG26" s="21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</row>
    <row r="27" ht="15.75" customHeight="1">
      <c r="A27" s="170" t="s">
        <v>47</v>
      </c>
      <c r="B27" s="165"/>
      <c r="C27" s="165"/>
      <c r="D27" s="165"/>
      <c r="E27" s="165"/>
      <c r="F27" s="165"/>
      <c r="G27" s="215"/>
      <c r="H27" s="165"/>
      <c r="I27" s="165"/>
      <c r="J27" s="165"/>
      <c r="K27" s="165"/>
      <c r="L27" s="165"/>
      <c r="M27" s="165"/>
      <c r="N27" s="215"/>
      <c r="O27" s="215"/>
      <c r="P27" s="215"/>
      <c r="Q27" s="215"/>
      <c r="R27" s="21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215"/>
      <c r="AD27" s="215"/>
      <c r="AE27" s="215"/>
      <c r="AF27" s="215"/>
      <c r="AG27" s="21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</row>
    <row r="28" ht="15.75" customHeight="1">
      <c r="A28" s="172" t="s">
        <v>112</v>
      </c>
      <c r="B28" s="172" t="s">
        <v>113</v>
      </c>
      <c r="C28" s="172" t="s">
        <v>114</v>
      </c>
      <c r="D28" s="172" t="s">
        <v>115</v>
      </c>
      <c r="E28" s="172" t="s">
        <v>116</v>
      </c>
      <c r="F28" s="172" t="s">
        <v>73</v>
      </c>
      <c r="G28" s="216" t="s">
        <v>117</v>
      </c>
      <c r="H28" s="174" t="s">
        <v>118</v>
      </c>
      <c r="I28" s="175" t="s">
        <v>119</v>
      </c>
      <c r="J28" s="176" t="s">
        <v>120</v>
      </c>
      <c r="K28" s="176" t="s">
        <v>121</v>
      </c>
      <c r="L28" s="175" t="s">
        <v>122</v>
      </c>
      <c r="M28" s="176" t="s">
        <v>123</v>
      </c>
      <c r="N28" s="217" t="s">
        <v>124</v>
      </c>
      <c r="O28" s="217" t="s">
        <v>125</v>
      </c>
      <c r="P28" s="217" t="s">
        <v>126</v>
      </c>
      <c r="Q28" s="218" t="s">
        <v>127</v>
      </c>
      <c r="R28" s="217" t="s">
        <v>128</v>
      </c>
      <c r="S28" s="179" t="s">
        <v>129</v>
      </c>
      <c r="T28" s="180" t="s">
        <v>130</v>
      </c>
      <c r="U28" s="180" t="s">
        <v>131</v>
      </c>
      <c r="V28" s="180" t="s">
        <v>132</v>
      </c>
      <c r="W28" s="181"/>
      <c r="X28" s="176" t="s">
        <v>133</v>
      </c>
      <c r="Y28" s="176" t="s">
        <v>134</v>
      </c>
      <c r="Z28" s="176" t="s">
        <v>135</v>
      </c>
      <c r="AA28" s="176" t="s">
        <v>136</v>
      </c>
      <c r="AB28" s="176" t="s">
        <v>137</v>
      </c>
      <c r="AC28" s="217" t="s">
        <v>138</v>
      </c>
      <c r="AD28" s="217" t="s">
        <v>139</v>
      </c>
      <c r="AE28" s="217" t="s">
        <v>140</v>
      </c>
      <c r="AF28" s="217" t="s">
        <v>141</v>
      </c>
      <c r="AG28" s="217" t="s">
        <v>142</v>
      </c>
      <c r="AH28" s="180" t="s">
        <v>143</v>
      </c>
      <c r="AI28" s="180" t="s">
        <v>144</v>
      </c>
      <c r="AJ28" s="180" t="s">
        <v>145</v>
      </c>
      <c r="AK28" s="180" t="s">
        <v>146</v>
      </c>
      <c r="AL28" s="165"/>
      <c r="AM28" s="182" t="s">
        <v>79</v>
      </c>
      <c r="AN28" s="182" t="s">
        <v>80</v>
      </c>
      <c r="AO28" s="182" t="s">
        <v>81</v>
      </c>
      <c r="AP28" s="182" t="s">
        <v>82</v>
      </c>
      <c r="AQ28" s="182" t="s">
        <v>83</v>
      </c>
      <c r="AR28" s="182" t="s">
        <v>84</v>
      </c>
      <c r="AS28" s="182" t="s">
        <v>85</v>
      </c>
      <c r="AT28" s="182" t="s">
        <v>86</v>
      </c>
      <c r="AU28" s="182" t="s">
        <v>87</v>
      </c>
      <c r="AV28" s="182" t="s">
        <v>88</v>
      </c>
      <c r="AW28" s="182" t="s">
        <v>89</v>
      </c>
      <c r="AX28" s="183" t="s">
        <v>147</v>
      </c>
    </row>
    <row r="29" ht="15.75" customHeight="1">
      <c r="A29" s="163">
        <v>1.0</v>
      </c>
      <c r="B29" s="163">
        <v>1.0</v>
      </c>
      <c r="C29" s="163" t="s">
        <v>148</v>
      </c>
      <c r="D29" s="184">
        <f>E29</f>
        <v>75</v>
      </c>
      <c r="E29" s="185">
        <v>75.0</v>
      </c>
      <c r="F29" s="184">
        <v>100.0</v>
      </c>
      <c r="G29" s="186">
        <f t="shared" ref="G29:G31" si="73">F29/E29</f>
        <v>1.333333333</v>
      </c>
      <c r="H29" s="187" t="str">
        <f t="shared" ref="H29:H31" si="74">IF(A29=1,"p50",IF(A29=2,"p75","p90"))</f>
        <v>p50</v>
      </c>
      <c r="I29" s="188">
        <f>SUMPRODUCT((data_segment_HC_gains!$A$25:$A$44="100+")*(data_segment_HC_gains!$B$25:$B$44=H29)*data_segment_HC_gains!$C$25:$C$44)</f>
        <v>67</v>
      </c>
      <c r="J29" s="189">
        <f>SUMPRODUCT((data_segment_HC_gains!$A$25:$A$44="100+")*(data_segment_HC_gains!$B$25:$B$44=H29)*data_segment_HC_gains!$E$25:$E$44)</f>
        <v>1213.14</v>
      </c>
      <c r="K29" s="190">
        <f>SUMPRODUCT((data_raw_slopes!$A$2:$A$41="100+")*(data_raw_slopes!$B$2:$B$41="payer")*(data_raw_slopes!$C$2:$C$41=H29)*data_raw_slopes!$E$2:$E$41)</f>
        <v>1312.35</v>
      </c>
      <c r="L29" s="191">
        <f t="shared" ref="L29:L31" si="75">J29-K29</f>
        <v>-99.21</v>
      </c>
      <c r="M29" s="189">
        <f>SUMPRODUCT((data_segment_HC_gains!$A$25:$A$44="100+")*(data_segment_HC_gains!$B$25:$B$44=H29)*data_segment_HC_gains!$G$25:$G$44)</f>
        <v>233.68</v>
      </c>
      <c r="N29" s="192">
        <f t="shared" ref="N29:N31" si="76">I29*1.15</f>
        <v>77.05</v>
      </c>
      <c r="O29" s="192">
        <f>J29-M29*(1-(saga_progression_new!$K$17/saga_progression_old!$C$16))+SUM($F$29:F29)</f>
        <v>1162.917143</v>
      </c>
      <c r="P29" s="193">
        <f>K29+(IF(SUMPRODUCT((data_raw_slopes!$A$2:$A$41="100+")*(data_raw_slopes!$B$2:$B$41="payer")*(data_raw_slopes!$C$2:$C$41=H29)*data_raw_slopes!$F$2:$F$41)&gt;0,SUMPRODUCT((data_raw_slopes!$A$2:$A$41="100+")*(data_raw_slopes!$B$2:$B$41="payer")*(data_raw_slopes!$C$2:$C$41=H29)*data_raw_slopes!$F$2:$F$41),SUMPRODUCT((data_raw_slopes!$A$2:$A$41="100+")*(data_raw_slopes!$B$2:$B$41="payer")*(data_raw_slopes!$C$2:$C$41=H29)*data_raw_slopes!$G$2:$G$41)))*I29*0.15</f>
        <v>1421.57943</v>
      </c>
      <c r="Q29" s="194">
        <f t="shared" ref="Q29:Q31" si="77">O29-P29</f>
        <v>-258.6622871</v>
      </c>
      <c r="R29" s="195">
        <f>M29*(saga_progression_new!$K$17/saga_progression_old!$C$16)</f>
        <v>83.45714286</v>
      </c>
      <c r="S29" s="196">
        <f t="shared" ref="S29:S31" si="78">Q29-L29</f>
        <v>-159.4522871</v>
      </c>
      <c r="T29" s="197">
        <f t="shared" ref="T29:T31" si="79">N29-I29</f>
        <v>10.05</v>
      </c>
      <c r="U29" s="198">
        <f t="shared" ref="U29:U31" si="80">R29-M29</f>
        <v>-150.2228571</v>
      </c>
      <c r="V29" s="198">
        <f t="shared" ref="V29:V31" si="81">P29-K29</f>
        <v>109.22943</v>
      </c>
      <c r="W29" s="199"/>
      <c r="X29" s="200">
        <f>SUMPRODUCT((data_segment_HC_gains!$A$48:$A$67="100+")*(data_segment_HC_gains!$B$48:$B$67=H29)*data_segment_HC_gains!$C$48:$C$67)</f>
        <v>68</v>
      </c>
      <c r="Y29" s="200">
        <f>SUMPRODUCT((data_segment_HC_gains!$A$48:$A$67="100+")*(data_segment_HC_gains!$B$48:$B$67=H29)*data_segment_HC_gains!$E$48:$E$67)</f>
        <v>624.31</v>
      </c>
      <c r="Z29" s="200">
        <f>SUMPRODUCT((data_raw_slopes!$A$2:$A$41="100+")*(data_raw_slopes!$B$2:$B$41="nonpayer")*(data_raw_slopes!$C$2:$C$41=H29)*data_raw_slopes!$E$2:$E$41)</f>
        <v>634.17</v>
      </c>
      <c r="AA29" s="200">
        <f t="shared" ref="AA29:AA31" si="82">Y29-Z29</f>
        <v>-9.86</v>
      </c>
      <c r="AB29" s="200">
        <f>SUMPRODUCT((data_segment_HC_gains!$A$48:$A$67="100+")*(data_segment_HC_gains!$B$48:$B$67=H29)*data_segment_HC_gains!$G$48:$G$67)</f>
        <v>247.18</v>
      </c>
      <c r="AC29" s="192">
        <f t="shared" ref="AC29:AC31" si="83">X29*1.15</f>
        <v>78.2</v>
      </c>
      <c r="AD29" s="192">
        <f>Y29-AB29*(1-(saga_progression_new!$K$17/saga_progression_old!$C$16))+SUM($F$29:F29)</f>
        <v>565.4085714</v>
      </c>
      <c r="AE29" s="192">
        <f>Z29+(IF(SUMPRODUCT((data_raw_slopes!$A$2:$A$41="100+")*(data_raw_slopes!$B$2:$B$41="nonpayer")*(data_raw_slopes!$C$2:$C$41=H29)*data_raw_slopes!$F$2:$F$41)&gt;0,SUMPRODUCT((data_raw_slopes!$A$2:$A$41="100+")*(data_raw_slopes!$B$2:$B$41="nonpayer")*(data_raw_slopes!$C$2:$C$41=H29)*data_raw_slopes!$F$2:$F$41),SUMPRODUCT((data_raw_slopes!$A$2:$A$41="100+")*(data_raw_slopes!$B$2:$B$41="nonpayer")*(data_raw_slopes!$C$2:$C$41=H29)*data_raw_slopes!$G$2:$G$41)))*X29*0.15</f>
        <v>674.00304</v>
      </c>
      <c r="AF29" s="192">
        <f t="shared" ref="AF29:AF31" si="84">AD29-AE29</f>
        <v>-108.5944686</v>
      </c>
      <c r="AG29" s="192">
        <f>AB29*(saga_progression_new!$K$17/saga_progression_old!$C$16)</f>
        <v>88.27857143</v>
      </c>
      <c r="AH29" s="198">
        <f t="shared" ref="AH29:AH31" si="85">AF29-AA29</f>
        <v>-98.73446857</v>
      </c>
      <c r="AI29" s="198">
        <f t="shared" ref="AI29:AI31" si="86">AC29-X29</f>
        <v>10.2</v>
      </c>
      <c r="AJ29" s="198">
        <f t="shared" ref="AJ29:AJ31" si="87">AG29-AB29</f>
        <v>-158.9014286</v>
      </c>
      <c r="AK29" s="198">
        <f t="shared" ref="AK29:AK31" si="88">AE29-Z29</f>
        <v>39.83304</v>
      </c>
      <c r="AL29" s="165"/>
      <c r="AM29" s="201">
        <v>0.0</v>
      </c>
      <c r="AN29" s="202">
        <v>0.0</v>
      </c>
      <c r="AO29" s="202">
        <v>0.0</v>
      </c>
      <c r="AP29" s="202">
        <v>0.0</v>
      </c>
      <c r="AQ29" s="202">
        <v>0.0</v>
      </c>
      <c r="AR29" s="202">
        <v>0.0</v>
      </c>
      <c r="AS29" s="202">
        <v>0.0</v>
      </c>
      <c r="AT29" s="202">
        <v>20.0</v>
      </c>
      <c r="AU29" s="202">
        <v>0.0</v>
      </c>
      <c r="AV29" s="202">
        <v>0.0</v>
      </c>
      <c r="AW29" s="203">
        <v>0.0</v>
      </c>
      <c r="AX29" s="204">
        <f t="shared" ref="AX29:AX31" si="89">SUMPRODUCT(AM29:AW29, {0,33,50,67,167,67,50,4.17,7.56,12.17,16.22})</f>
        <v>83.4</v>
      </c>
    </row>
    <row r="30" ht="15.75" customHeight="1">
      <c r="A30" s="163">
        <v>2.0</v>
      </c>
      <c r="B30" s="163">
        <v>1.0</v>
      </c>
      <c r="C30" s="163" t="s">
        <v>148</v>
      </c>
      <c r="D30" s="184">
        <f t="shared" ref="D30:D31" si="90">E30-E29</f>
        <v>75</v>
      </c>
      <c r="E30" s="185">
        <v>150.0</v>
      </c>
      <c r="F30" s="184">
        <v>250.0</v>
      </c>
      <c r="G30" s="186">
        <f t="shared" si="73"/>
        <v>1.666666667</v>
      </c>
      <c r="H30" s="187" t="str">
        <f t="shared" si="74"/>
        <v>p75</v>
      </c>
      <c r="I30" s="205">
        <f>SUMPRODUCT((data_segment_HC_gains!$A$25:$A$44="100+")*(data_segment_HC_gains!$B$25:$B$44=H30)*data_segment_HC_gains!$C$25:$C$44)</f>
        <v>121</v>
      </c>
      <c r="J30" s="189">
        <f>SUMPRODUCT((data_segment_HC_gains!$A$25:$A$44="100+")*(data_segment_HC_gains!$B$25:$B$44=H30)*data_segment_HC_gains!$E$25:$E$44)</f>
        <v>1602.6</v>
      </c>
      <c r="K30" s="190">
        <f>SUMPRODUCT((data_raw_slopes!$A$2:$A$41="100+")*(data_raw_slopes!$B$2:$B$41="payer")*(data_raw_slopes!$C$2:$C$41=H30)*data_raw_slopes!$E$2:$E$41)</f>
        <v>1782.22</v>
      </c>
      <c r="L30" s="206">
        <f t="shared" si="75"/>
        <v>-179.62</v>
      </c>
      <c r="M30" s="189">
        <f>SUMPRODUCT((data_segment_HC_gains!$A$25:$A$44="100+")*(data_segment_HC_gains!$B$25:$B$44=H30)*data_segment_HC_gains!$G$25:$G$44)</f>
        <v>280.49</v>
      </c>
      <c r="N30" s="192">
        <f t="shared" si="76"/>
        <v>139.15</v>
      </c>
      <c r="O30" s="192">
        <f>J30-M30*(1-(saga_progression_new!$K$17/saga_progression_old!$C$16))+SUM($F$29:F30)</f>
        <v>1772.285</v>
      </c>
      <c r="P30" s="193">
        <f>K30+(IF(SUMPRODUCT((data_raw_slopes!$A$2:$A$41="100+")*(data_raw_slopes!$B$2:$B$41="payer")*(data_raw_slopes!$C$2:$C$41=H30)*data_raw_slopes!$F$2:$F$41)&gt;0,SUMPRODUCT((data_raw_slopes!$A$2:$A$41="100+")*(data_raw_slopes!$B$2:$B$41="payer")*(data_raw_slopes!$C$2:$C$41=H30)*data_raw_slopes!$F$2:$F$41),SUMPRODUCT((data_raw_slopes!$A$2:$A$41="100+")*(data_raw_slopes!$B$2:$B$41="payer")*(data_raw_slopes!$C$2:$C$41=H30)*data_raw_slopes!$G$2:$G$41)))*I30*0.15</f>
        <v>1953.32731</v>
      </c>
      <c r="Q30" s="207">
        <f t="shared" si="77"/>
        <v>-181.04231</v>
      </c>
      <c r="R30" s="195">
        <f>M30*(saga_progression_new!$K$17/saga_progression_old!$C$16)</f>
        <v>100.175</v>
      </c>
      <c r="S30" s="208">
        <f t="shared" si="78"/>
        <v>-1.42231</v>
      </c>
      <c r="T30" s="197">
        <f t="shared" si="79"/>
        <v>18.15</v>
      </c>
      <c r="U30" s="198">
        <f t="shared" si="80"/>
        <v>-180.315</v>
      </c>
      <c r="V30" s="198">
        <f t="shared" si="81"/>
        <v>171.10731</v>
      </c>
      <c r="W30" s="199"/>
      <c r="X30" s="200">
        <f>SUMPRODUCT((data_segment_HC_gains!$A$48:$A$67="100+")*(data_segment_HC_gains!$B$48:$B$67=H30)*data_segment_HC_gains!$C$48:$C$67)</f>
        <v>118</v>
      </c>
      <c r="Y30" s="200">
        <f>SUMPRODUCT((data_segment_HC_gains!$A$48:$A$67="100+")*(data_segment_HC_gains!$B$48:$B$67=H30)*data_segment_HC_gains!$E$48:$E$67)</f>
        <v>687.28</v>
      </c>
      <c r="Z30" s="200">
        <f>SUMPRODUCT((data_raw_slopes!$A$2:$A$41="100+")*(data_raw_slopes!$B$2:$B$41="nonpayer")*(data_raw_slopes!$C$2:$C$41=H30)*data_raw_slopes!$E$2:$E$41)</f>
        <v>792.43</v>
      </c>
      <c r="AA30" s="200">
        <f t="shared" si="82"/>
        <v>-105.15</v>
      </c>
      <c r="AB30" s="200">
        <f>SUMPRODUCT((data_segment_HC_gains!$A$48:$A$67="100+")*(data_segment_HC_gains!$B$48:$B$67=H30)*data_segment_HC_gains!$G$48:$G$67)</f>
        <v>279.6</v>
      </c>
      <c r="AC30" s="192">
        <f t="shared" si="83"/>
        <v>135.7</v>
      </c>
      <c r="AD30" s="192">
        <f>Y30-AB30*(1-(saga_progression_new!$K$17/saga_progression_old!$C$16))+SUM($F$29:F30)</f>
        <v>857.5371429</v>
      </c>
      <c r="AE30" s="192">
        <f>Z30+(IF(SUMPRODUCT((data_raw_slopes!$A$2:$A$41="100+")*(data_raw_slopes!$B$2:$B$41="nonpayer")*(data_raw_slopes!$C$2:$C$41=H30)*data_raw_slopes!$F$2:$F$41)&gt;0,SUMPRODUCT((data_raw_slopes!$A$2:$A$41="100+")*(data_raw_slopes!$B$2:$B$41="nonpayer")*(data_raw_slopes!$C$2:$C$41=H30)*data_raw_slopes!$F$2:$F$41),SUMPRODUCT((data_raw_slopes!$A$2:$A$41="100+")*(data_raw_slopes!$B$2:$B$41="nonpayer")*(data_raw_slopes!$C$2:$C$41=H30)*data_raw_slopes!$G$2:$G$41)))*X30*0.15</f>
        <v>864.98053</v>
      </c>
      <c r="AF30" s="192">
        <f t="shared" si="84"/>
        <v>-7.443387143</v>
      </c>
      <c r="AG30" s="192">
        <f>AB30*(saga_progression_new!$K$17/saga_progression_old!$C$16)</f>
        <v>99.85714286</v>
      </c>
      <c r="AH30" s="198">
        <f t="shared" si="85"/>
        <v>97.70661286</v>
      </c>
      <c r="AI30" s="198">
        <f t="shared" si="86"/>
        <v>17.7</v>
      </c>
      <c r="AJ30" s="198">
        <f t="shared" si="87"/>
        <v>-179.7428571</v>
      </c>
      <c r="AK30" s="198">
        <f t="shared" si="88"/>
        <v>72.55053</v>
      </c>
      <c r="AL30" s="165"/>
      <c r="AM30" s="201">
        <v>0.0</v>
      </c>
      <c r="AN30" s="202">
        <v>1.0</v>
      </c>
      <c r="AO30" s="202">
        <v>0.0</v>
      </c>
      <c r="AP30" s="202">
        <v>0.0</v>
      </c>
      <c r="AQ30" s="202">
        <v>0.0</v>
      </c>
      <c r="AR30" s="202">
        <v>0.0</v>
      </c>
      <c r="AS30" s="202">
        <v>0.0</v>
      </c>
      <c r="AT30" s="202">
        <v>0.0</v>
      </c>
      <c r="AU30" s="202">
        <v>0.0</v>
      </c>
      <c r="AV30" s="202">
        <v>0.0</v>
      </c>
      <c r="AW30" s="203">
        <v>0.0</v>
      </c>
      <c r="AX30" s="209">
        <f t="shared" si="89"/>
        <v>33</v>
      </c>
    </row>
    <row r="31" ht="15.75" customHeight="1">
      <c r="A31" s="163">
        <v>3.0</v>
      </c>
      <c r="B31" s="163">
        <v>1.0</v>
      </c>
      <c r="C31" s="163" t="s">
        <v>148</v>
      </c>
      <c r="D31" s="184">
        <f t="shared" si="90"/>
        <v>75</v>
      </c>
      <c r="E31" s="185">
        <v>225.0</v>
      </c>
      <c r="F31" s="184">
        <v>300.0</v>
      </c>
      <c r="G31" s="186">
        <f t="shared" si="73"/>
        <v>1.333333333</v>
      </c>
      <c r="H31" s="219" t="str">
        <f t="shared" si="74"/>
        <v>p90</v>
      </c>
      <c r="I31" s="210">
        <f>SUMPRODUCT((data_segment_HC_gains!$A$25:$A$44="100+")*(data_segment_HC_gains!$B$25:$B$44=H31)*data_segment_HC_gains!$C$25:$C$44)</f>
        <v>179</v>
      </c>
      <c r="J31" s="189">
        <f>SUMPRODUCT((data_segment_HC_gains!$A$25:$A$44="100+")*(data_segment_HC_gains!$B$25:$B$44=H31)*data_segment_HC_gains!$E$25:$E$44)</f>
        <v>2269.96</v>
      </c>
      <c r="K31" s="190">
        <f>SUMPRODUCT((data_raw_slopes!$A$2:$A$41="100+")*(data_raw_slopes!$B$2:$B$41="payer")*(data_raw_slopes!$C$2:$C$41=H31)*data_raw_slopes!$E$2:$E$41)</f>
        <v>2566.89</v>
      </c>
      <c r="L31" s="211">
        <f t="shared" si="75"/>
        <v>-296.93</v>
      </c>
      <c r="M31" s="189">
        <f>SUMPRODUCT((data_segment_HC_gains!$A$25:$A$44="100+")*(data_segment_HC_gains!$B$25:$B$44=H31)*data_segment_HC_gains!$G$25:$G$44)</f>
        <v>400.43</v>
      </c>
      <c r="N31" s="192">
        <f t="shared" si="76"/>
        <v>205.85</v>
      </c>
      <c r="O31" s="192">
        <f>J31-M31*(1-(saga_progression_new!$K$17/saga_progression_old!$C$16))+SUM($F$29:F31)</f>
        <v>2662.540714</v>
      </c>
      <c r="P31" s="193">
        <f>K31+(IF(SUMPRODUCT((data_raw_slopes!$A$2:$A$41="100+")*(data_raw_slopes!$B$2:$B$41="payer")*(data_raw_slopes!$C$2:$C$41=H31)*data_raw_slopes!$F$2:$F$41)&gt;0,SUMPRODUCT((data_raw_slopes!$A$2:$A$41="100+")*(data_raw_slopes!$B$2:$B$41="payer")*(data_raw_slopes!$C$2:$C$41=H31)*data_raw_slopes!$F$2:$F$41),SUMPRODUCT((data_raw_slopes!$A$2:$A$41="100+")*(data_raw_slopes!$B$2:$B$41="payer")*(data_raw_slopes!$C$2:$C$41=H31)*data_raw_slopes!$G$2:$G$41)))*I31*0.15</f>
        <v>2819.54313</v>
      </c>
      <c r="Q31" s="212">
        <f t="shared" si="77"/>
        <v>-157.0024157</v>
      </c>
      <c r="R31" s="195">
        <f>M31*(saga_progression_new!$K$17/saga_progression_old!$C$16)</f>
        <v>143.0107143</v>
      </c>
      <c r="S31" s="213">
        <f t="shared" si="78"/>
        <v>139.9275843</v>
      </c>
      <c r="T31" s="197">
        <f t="shared" si="79"/>
        <v>26.85</v>
      </c>
      <c r="U31" s="198">
        <f t="shared" si="80"/>
        <v>-257.4192857</v>
      </c>
      <c r="V31" s="198">
        <f t="shared" si="81"/>
        <v>252.65313</v>
      </c>
      <c r="W31" s="199"/>
      <c r="X31" s="200">
        <f>SUMPRODUCT((data_segment_HC_gains!$A$48:$A$67="100+")*(data_segment_HC_gains!$B$48:$B$67=H31)*data_segment_HC_gains!$C$48:$C$67)</f>
        <v>172</v>
      </c>
      <c r="Y31" s="200">
        <f>SUMPRODUCT((data_segment_HC_gains!$A$48:$A$67="100+")*(data_segment_HC_gains!$B$48:$B$67=H31)*data_segment_HC_gains!$E$48:$E$67)</f>
        <v>912.86</v>
      </c>
      <c r="Z31" s="200">
        <f>SUMPRODUCT((data_raw_slopes!$A$2:$A$41="100+")*(data_raw_slopes!$B$2:$B$41="nonpayer")*(data_raw_slopes!$C$2:$C$41=H31)*data_raw_slopes!$E$2:$E$41)</f>
        <v>1103.44</v>
      </c>
      <c r="AA31" s="200">
        <f t="shared" si="82"/>
        <v>-190.58</v>
      </c>
      <c r="AB31" s="200">
        <f>SUMPRODUCT((data_segment_HC_gains!$A$48:$A$67="100+")*(data_segment_HC_gains!$B$48:$B$67=H31)*data_segment_HC_gains!$G$48:$G$67)</f>
        <v>381.8</v>
      </c>
      <c r="AC31" s="192">
        <f t="shared" si="83"/>
        <v>197.8</v>
      </c>
      <c r="AD31" s="192">
        <f>Y31-AB31*(1-(saga_progression_new!$K$17/saga_progression_old!$C$16))+SUM($F$29:F31)</f>
        <v>1317.417143</v>
      </c>
      <c r="AE31" s="192">
        <f>Z31+(IF(SUMPRODUCT((data_raw_slopes!$A$2:$A$41="100+")*(data_raw_slopes!$B$2:$B$41="nonpayer")*(data_raw_slopes!$C$2:$C$41=H31)*data_raw_slopes!$F$2:$F$41)&gt;0,SUMPRODUCT((data_raw_slopes!$A$2:$A$41="100+")*(data_raw_slopes!$B$2:$B$41="nonpayer")*(data_raw_slopes!$C$2:$C$41=H31)*data_raw_slopes!$F$2:$F$41),SUMPRODUCT((data_raw_slopes!$A$2:$A$41="100+")*(data_raw_slopes!$B$2:$B$41="nonpayer")*(data_raw_slopes!$C$2:$C$41=H31)*data_raw_slopes!$G$2:$G$41)))*X31*0.15</f>
        <v>1219.65352</v>
      </c>
      <c r="AF31" s="192">
        <f t="shared" si="84"/>
        <v>97.76362286</v>
      </c>
      <c r="AG31" s="192">
        <f>AB31*(saga_progression_new!$K$17/saga_progression_old!$C$16)</f>
        <v>136.3571429</v>
      </c>
      <c r="AH31" s="198">
        <f t="shared" si="85"/>
        <v>288.3436229</v>
      </c>
      <c r="AI31" s="198">
        <f t="shared" si="86"/>
        <v>25.8</v>
      </c>
      <c r="AJ31" s="198">
        <f t="shared" si="87"/>
        <v>-245.4428571</v>
      </c>
      <c r="AK31" s="198">
        <f t="shared" si="88"/>
        <v>116.21352</v>
      </c>
      <c r="AL31" s="165"/>
      <c r="AM31" s="201">
        <v>0.0</v>
      </c>
      <c r="AN31" s="202">
        <v>0.0</v>
      </c>
      <c r="AO31" s="202">
        <v>1.0</v>
      </c>
      <c r="AP31" s="202">
        <v>0.0</v>
      </c>
      <c r="AQ31" s="202">
        <v>1.0</v>
      </c>
      <c r="AR31" s="202">
        <v>0.0</v>
      </c>
      <c r="AS31" s="202">
        <v>0.0</v>
      </c>
      <c r="AT31" s="202">
        <v>0.0</v>
      </c>
      <c r="AU31" s="202">
        <v>0.0</v>
      </c>
      <c r="AV31" s="202">
        <v>0.0</v>
      </c>
      <c r="AW31" s="203">
        <v>0.0</v>
      </c>
      <c r="AX31" s="214">
        <f t="shared" si="89"/>
        <v>217</v>
      </c>
    </row>
    <row r="32" ht="15.75" customHeight="1">
      <c r="A32" s="165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</row>
    <row r="33" ht="15.75" customHeight="1">
      <c r="A33" s="165"/>
      <c r="B33" s="165"/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</row>
    <row r="34" ht="15.75" customHeight="1">
      <c r="A34" s="165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</row>
    <row r="35" ht="15.75" customHeight="1">
      <c r="A35" s="165"/>
      <c r="B35" s="165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5"/>
      <c r="AX35" s="165"/>
    </row>
    <row r="36" ht="15.75" customHeight="1">
      <c r="A36" s="165"/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</row>
    <row r="37" ht="15.75" customHeight="1">
      <c r="A37" s="165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</row>
    <row r="38" ht="15.75" customHeight="1">
      <c r="A38" s="165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5"/>
      <c r="AX38" s="165"/>
    </row>
    <row r="39" ht="15.75" customHeight="1">
      <c r="A39" s="165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65"/>
      <c r="AV39" s="165"/>
      <c r="AW39" s="165"/>
      <c r="AX39" s="165"/>
    </row>
    <row r="40" ht="15.75" customHeight="1">
      <c r="A40" s="165"/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  <c r="AK40" s="165"/>
      <c r="AL40" s="165"/>
      <c r="AM40" s="165"/>
      <c r="AN40" s="165"/>
      <c r="AO40" s="165"/>
      <c r="AP40" s="165"/>
      <c r="AQ40" s="165"/>
      <c r="AR40" s="165"/>
      <c r="AS40" s="165"/>
      <c r="AT40" s="165"/>
      <c r="AU40" s="165"/>
      <c r="AV40" s="165"/>
      <c r="AW40" s="165"/>
      <c r="AX40" s="165"/>
    </row>
    <row r="41" ht="15.75" customHeight="1">
      <c r="A41" s="165"/>
      <c r="B41" s="165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5"/>
      <c r="AX41" s="165"/>
    </row>
    <row r="42" ht="15.75" customHeight="1">
      <c r="A42" s="165"/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</row>
    <row r="43" ht="15.75" customHeight="1">
      <c r="A43" s="165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5"/>
      <c r="AV43" s="165"/>
      <c r="AW43" s="165"/>
      <c r="AX43" s="165"/>
    </row>
    <row r="44" ht="15.75" customHeight="1">
      <c r="A44" s="165"/>
      <c r="B44" s="165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5"/>
      <c r="AQ44" s="165"/>
      <c r="AR44" s="165"/>
      <c r="AS44" s="165"/>
      <c r="AT44" s="165"/>
      <c r="AU44" s="165"/>
      <c r="AV44" s="165"/>
      <c r="AW44" s="165"/>
      <c r="AX44" s="165"/>
    </row>
    <row r="45" ht="15.75" customHeight="1">
      <c r="A45" s="165"/>
      <c r="B45" s="165"/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  <c r="AQ45" s="165"/>
      <c r="AR45" s="165"/>
      <c r="AS45" s="165"/>
      <c r="AT45" s="165"/>
      <c r="AU45" s="165"/>
      <c r="AV45" s="165"/>
      <c r="AW45" s="165"/>
      <c r="AX45" s="165"/>
    </row>
    <row r="46" ht="15.75" customHeight="1">
      <c r="A46" s="165"/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  <c r="AK46" s="165"/>
      <c r="AL46" s="165"/>
      <c r="AM46" s="165"/>
      <c r="AN46" s="165"/>
      <c r="AO46" s="165"/>
      <c r="AP46" s="165"/>
      <c r="AQ46" s="165"/>
      <c r="AR46" s="165"/>
      <c r="AS46" s="165"/>
      <c r="AT46" s="165"/>
      <c r="AU46" s="165"/>
      <c r="AV46" s="165"/>
      <c r="AW46" s="165"/>
      <c r="AX46" s="165"/>
    </row>
    <row r="47" ht="15.75" customHeight="1">
      <c r="A47" s="165"/>
      <c r="B47" s="165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  <c r="AK47" s="165"/>
      <c r="AL47" s="165"/>
      <c r="AM47" s="165"/>
      <c r="AN47" s="165"/>
      <c r="AO47" s="165"/>
      <c r="AP47" s="165"/>
      <c r="AQ47" s="165"/>
      <c r="AR47" s="165"/>
      <c r="AS47" s="165"/>
      <c r="AT47" s="165"/>
      <c r="AU47" s="165"/>
      <c r="AV47" s="165"/>
      <c r="AW47" s="165"/>
      <c r="AX47" s="165"/>
    </row>
    <row r="48" ht="15.75" customHeight="1">
      <c r="A48" s="165"/>
      <c r="B48" s="165"/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  <c r="AK48" s="165"/>
      <c r="AL48" s="165"/>
      <c r="AM48" s="165"/>
      <c r="AN48" s="165"/>
      <c r="AO48" s="165"/>
      <c r="AP48" s="165"/>
      <c r="AQ48" s="165"/>
      <c r="AR48" s="165"/>
      <c r="AS48" s="165"/>
      <c r="AT48" s="165"/>
      <c r="AU48" s="165"/>
      <c r="AV48" s="165"/>
      <c r="AW48" s="165"/>
      <c r="AX48" s="165"/>
    </row>
    <row r="49" ht="15.75" customHeight="1">
      <c r="A49" s="165"/>
      <c r="B49" s="165"/>
      <c r="C49" s="165"/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  <c r="AK49" s="165"/>
      <c r="AL49" s="165"/>
      <c r="AM49" s="165"/>
      <c r="AN49" s="165"/>
      <c r="AO49" s="165"/>
      <c r="AP49" s="165"/>
      <c r="AQ49" s="165"/>
      <c r="AR49" s="165"/>
      <c r="AS49" s="165"/>
      <c r="AT49" s="165"/>
      <c r="AU49" s="165"/>
      <c r="AV49" s="165"/>
      <c r="AW49" s="165"/>
      <c r="AX49" s="165"/>
    </row>
    <row r="50" ht="15.75" customHeight="1">
      <c r="A50" s="165"/>
      <c r="B50" s="165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5"/>
      <c r="AO50" s="165"/>
      <c r="AP50" s="165"/>
      <c r="AQ50" s="165"/>
      <c r="AR50" s="165"/>
      <c r="AS50" s="165"/>
      <c r="AT50" s="165"/>
      <c r="AU50" s="165"/>
      <c r="AV50" s="165"/>
      <c r="AW50" s="165"/>
      <c r="AX50" s="165"/>
    </row>
    <row r="51" ht="15.75" customHeight="1">
      <c r="A51" s="165"/>
      <c r="B51" s="165"/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  <c r="AE51" s="165"/>
      <c r="AF51" s="165"/>
      <c r="AG51" s="165"/>
      <c r="AH51" s="165"/>
      <c r="AI51" s="165"/>
      <c r="AJ51" s="165"/>
      <c r="AK51" s="165"/>
      <c r="AL51" s="165"/>
      <c r="AM51" s="165"/>
      <c r="AN51" s="165"/>
      <c r="AO51" s="165"/>
      <c r="AP51" s="165"/>
      <c r="AQ51" s="165"/>
      <c r="AR51" s="165"/>
      <c r="AS51" s="165"/>
      <c r="AT51" s="165"/>
      <c r="AU51" s="165"/>
      <c r="AV51" s="165"/>
      <c r="AW51" s="165"/>
      <c r="AX51" s="165"/>
    </row>
    <row r="52" ht="15.75" customHeight="1">
      <c r="A52" s="165"/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5"/>
      <c r="AP52" s="165"/>
      <c r="AQ52" s="165"/>
      <c r="AR52" s="165"/>
      <c r="AS52" s="165"/>
      <c r="AT52" s="165"/>
      <c r="AU52" s="165"/>
      <c r="AV52" s="165"/>
      <c r="AW52" s="165"/>
      <c r="AX52" s="165"/>
    </row>
    <row r="53" ht="15.75" customHeight="1">
      <c r="A53" s="165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5"/>
      <c r="AO53" s="165"/>
      <c r="AP53" s="165"/>
      <c r="AQ53" s="165"/>
      <c r="AR53" s="165"/>
      <c r="AS53" s="165"/>
      <c r="AT53" s="165"/>
      <c r="AU53" s="165"/>
      <c r="AV53" s="165"/>
      <c r="AW53" s="165"/>
      <c r="AX53" s="165"/>
    </row>
    <row r="54" ht="15.75" customHeight="1">
      <c r="A54" s="165"/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  <c r="AD54" s="165"/>
      <c r="AE54" s="165"/>
      <c r="AF54" s="165"/>
      <c r="AG54" s="165"/>
      <c r="AH54" s="165"/>
      <c r="AI54" s="165"/>
      <c r="AJ54" s="165"/>
      <c r="AK54" s="165"/>
      <c r="AL54" s="165"/>
      <c r="AM54" s="165"/>
      <c r="AN54" s="165"/>
      <c r="AO54" s="165"/>
      <c r="AP54" s="165"/>
      <c r="AQ54" s="165"/>
      <c r="AR54" s="165"/>
      <c r="AS54" s="165"/>
      <c r="AT54" s="165"/>
      <c r="AU54" s="165"/>
      <c r="AV54" s="165"/>
      <c r="AW54" s="165"/>
      <c r="AX54" s="165"/>
    </row>
    <row r="55" ht="15.75" customHeight="1">
      <c r="A55" s="165"/>
      <c r="B55" s="165"/>
      <c r="C55" s="165"/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  <c r="AF55" s="165"/>
      <c r="AG55" s="165"/>
      <c r="AH55" s="165"/>
      <c r="AI55" s="165"/>
      <c r="AJ55" s="165"/>
      <c r="AK55" s="165"/>
      <c r="AL55" s="165"/>
      <c r="AM55" s="165"/>
      <c r="AN55" s="165"/>
      <c r="AO55" s="165"/>
      <c r="AP55" s="165"/>
      <c r="AQ55" s="165"/>
      <c r="AR55" s="165"/>
      <c r="AS55" s="165"/>
      <c r="AT55" s="165"/>
      <c r="AU55" s="165"/>
      <c r="AV55" s="165"/>
      <c r="AW55" s="165"/>
      <c r="AX55" s="165"/>
    </row>
    <row r="56" ht="15.75" customHeight="1">
      <c r="A56" s="165"/>
      <c r="B56" s="165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5"/>
      <c r="AO56" s="165"/>
      <c r="AP56" s="165"/>
      <c r="AQ56" s="165"/>
      <c r="AR56" s="165"/>
      <c r="AS56" s="165"/>
      <c r="AT56" s="165"/>
      <c r="AU56" s="165"/>
      <c r="AV56" s="165"/>
      <c r="AW56" s="165"/>
      <c r="AX56" s="165"/>
    </row>
    <row r="57" ht="15.75" customHeight="1">
      <c r="A57" s="165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  <c r="AI57" s="165"/>
      <c r="AJ57" s="165"/>
      <c r="AK57" s="165"/>
      <c r="AL57" s="165"/>
      <c r="AM57" s="165"/>
      <c r="AN57" s="165"/>
      <c r="AO57" s="165"/>
      <c r="AP57" s="165"/>
      <c r="AQ57" s="165"/>
      <c r="AR57" s="165"/>
      <c r="AS57" s="165"/>
      <c r="AT57" s="165"/>
      <c r="AU57" s="165"/>
      <c r="AV57" s="165"/>
      <c r="AW57" s="165"/>
      <c r="AX57" s="165"/>
    </row>
    <row r="58" ht="15.75" customHeight="1">
      <c r="A58" s="165"/>
      <c r="B58" s="165"/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  <c r="AI58" s="165"/>
      <c r="AJ58" s="165"/>
      <c r="AK58" s="165"/>
      <c r="AL58" s="165"/>
      <c r="AM58" s="165"/>
      <c r="AN58" s="165"/>
      <c r="AO58" s="165"/>
      <c r="AP58" s="165"/>
      <c r="AQ58" s="165"/>
      <c r="AR58" s="165"/>
      <c r="AS58" s="165"/>
      <c r="AT58" s="165"/>
      <c r="AU58" s="165"/>
      <c r="AV58" s="165"/>
      <c r="AW58" s="165"/>
      <c r="AX58" s="165"/>
    </row>
    <row r="59" ht="15.75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</row>
    <row r="60" ht="15.75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</row>
    <row r="61" ht="15.75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</row>
    <row r="62" ht="15.75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</row>
    <row r="63" ht="15.75" customHeight="1">
      <c r="A63" s="165"/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5"/>
      <c r="AW63" s="165"/>
      <c r="AX63" s="165"/>
    </row>
    <row r="64" ht="15.75" customHeight="1">
      <c r="A64" s="165"/>
      <c r="B64" s="165"/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5"/>
      <c r="AX64" s="165"/>
    </row>
    <row r="65" ht="15.75" customHeight="1">
      <c r="A65" s="165"/>
      <c r="B65" s="165"/>
      <c r="C65" s="165"/>
      <c r="D65" s="165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  <c r="AK65" s="165"/>
      <c r="AL65" s="165"/>
      <c r="AM65" s="165"/>
      <c r="AN65" s="165"/>
      <c r="AO65" s="165"/>
      <c r="AP65" s="165"/>
      <c r="AQ65" s="165"/>
      <c r="AR65" s="165"/>
      <c r="AS65" s="165"/>
      <c r="AT65" s="165"/>
      <c r="AU65" s="165"/>
      <c r="AV65" s="165"/>
      <c r="AW65" s="165"/>
      <c r="AX65" s="165"/>
    </row>
    <row r="66" ht="15.75" customHeight="1">
      <c r="A66" s="165"/>
      <c r="B66" s="165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  <c r="AK66" s="165"/>
      <c r="AL66" s="165"/>
      <c r="AM66" s="165"/>
      <c r="AN66" s="165"/>
      <c r="AO66" s="165"/>
      <c r="AP66" s="165"/>
      <c r="AQ66" s="165"/>
      <c r="AR66" s="165"/>
      <c r="AS66" s="165"/>
      <c r="AT66" s="165"/>
      <c r="AU66" s="165"/>
      <c r="AV66" s="165"/>
      <c r="AW66" s="165"/>
      <c r="AX66" s="165"/>
    </row>
    <row r="67" ht="15.75" customHeight="1">
      <c r="A67" s="165"/>
      <c r="B67" s="165"/>
      <c r="C67" s="165"/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5"/>
      <c r="AG67" s="165"/>
      <c r="AH67" s="165"/>
      <c r="AI67" s="165"/>
      <c r="AJ67" s="165"/>
      <c r="AK67" s="165"/>
      <c r="AL67" s="165"/>
      <c r="AM67" s="165"/>
      <c r="AN67" s="165"/>
      <c r="AO67" s="165"/>
      <c r="AP67" s="165"/>
      <c r="AQ67" s="165"/>
      <c r="AR67" s="165"/>
      <c r="AS67" s="165"/>
      <c r="AT67" s="165"/>
      <c r="AU67" s="165"/>
      <c r="AV67" s="165"/>
      <c r="AW67" s="165"/>
      <c r="AX67" s="165"/>
    </row>
    <row r="68" ht="15.75" customHeight="1">
      <c r="A68" s="165"/>
      <c r="B68" s="165"/>
      <c r="C68" s="165"/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  <c r="AK68" s="165"/>
      <c r="AL68" s="165"/>
      <c r="AM68" s="165"/>
      <c r="AN68" s="165"/>
      <c r="AO68" s="165"/>
      <c r="AP68" s="165"/>
      <c r="AQ68" s="165"/>
      <c r="AR68" s="165"/>
      <c r="AS68" s="165"/>
      <c r="AT68" s="165"/>
      <c r="AU68" s="165"/>
      <c r="AV68" s="165"/>
      <c r="AW68" s="165"/>
      <c r="AX68" s="165"/>
    </row>
    <row r="69" ht="15.75" customHeight="1">
      <c r="A69" s="165"/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  <c r="AK69" s="165"/>
      <c r="AL69" s="165"/>
      <c r="AM69" s="165"/>
      <c r="AN69" s="165"/>
      <c r="AO69" s="165"/>
      <c r="AP69" s="165"/>
      <c r="AQ69" s="165"/>
      <c r="AR69" s="165"/>
      <c r="AS69" s="165"/>
      <c r="AT69" s="165"/>
      <c r="AU69" s="165"/>
      <c r="AV69" s="165"/>
      <c r="AW69" s="165"/>
      <c r="AX69" s="165"/>
    </row>
    <row r="70" ht="15.75" customHeight="1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5"/>
      <c r="AV70" s="165"/>
      <c r="AW70" s="165"/>
      <c r="AX70" s="165"/>
    </row>
    <row r="71" ht="15.75" customHeight="1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  <c r="AM71" s="165"/>
      <c r="AN71" s="165"/>
      <c r="AO71" s="165"/>
      <c r="AP71" s="165"/>
      <c r="AQ71" s="165"/>
      <c r="AR71" s="165"/>
      <c r="AS71" s="165"/>
      <c r="AT71" s="165"/>
      <c r="AU71" s="165"/>
      <c r="AV71" s="165"/>
      <c r="AW71" s="165"/>
      <c r="AX71" s="165"/>
    </row>
    <row r="72" ht="15.75" customHeight="1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/>
      <c r="AH72" s="165"/>
      <c r="AI72" s="165"/>
      <c r="AJ72" s="165"/>
      <c r="AK72" s="165"/>
      <c r="AL72" s="165"/>
      <c r="AM72" s="165"/>
      <c r="AN72" s="165"/>
      <c r="AO72" s="165"/>
      <c r="AP72" s="165"/>
      <c r="AQ72" s="165"/>
      <c r="AR72" s="165"/>
      <c r="AS72" s="165"/>
      <c r="AT72" s="165"/>
      <c r="AU72" s="165"/>
      <c r="AV72" s="165"/>
      <c r="AW72" s="165"/>
      <c r="AX72" s="165"/>
    </row>
    <row r="73" ht="15.75" customHeight="1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5"/>
      <c r="AE73" s="165"/>
      <c r="AF73" s="165"/>
      <c r="AG73" s="165"/>
      <c r="AH73" s="165"/>
      <c r="AI73" s="165"/>
      <c r="AJ73" s="165"/>
      <c r="AK73" s="165"/>
      <c r="AL73" s="165"/>
      <c r="AM73" s="165"/>
      <c r="AN73" s="165"/>
      <c r="AO73" s="165"/>
      <c r="AP73" s="165"/>
      <c r="AQ73" s="165"/>
      <c r="AR73" s="165"/>
      <c r="AS73" s="165"/>
      <c r="AT73" s="165"/>
      <c r="AU73" s="165"/>
      <c r="AV73" s="165"/>
      <c r="AW73" s="165"/>
      <c r="AX73" s="165"/>
    </row>
    <row r="74" ht="15.75" customHeight="1">
      <c r="A74" s="165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  <c r="AK74" s="165"/>
      <c r="AL74" s="165"/>
      <c r="AM74" s="165"/>
      <c r="AN74" s="165"/>
      <c r="AO74" s="165"/>
      <c r="AP74" s="165"/>
      <c r="AQ74" s="165"/>
      <c r="AR74" s="165"/>
      <c r="AS74" s="165"/>
      <c r="AT74" s="165"/>
      <c r="AU74" s="165"/>
      <c r="AV74" s="165"/>
      <c r="AW74" s="165"/>
      <c r="AX74" s="165"/>
    </row>
    <row r="75" ht="15.75" customHeight="1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  <c r="AD75" s="165"/>
      <c r="AE75" s="165"/>
      <c r="AF75" s="165"/>
      <c r="AG75" s="165"/>
      <c r="AH75" s="165"/>
      <c r="AI75" s="165"/>
      <c r="AJ75" s="165"/>
      <c r="AK75" s="165"/>
      <c r="AL75" s="165"/>
      <c r="AM75" s="165"/>
      <c r="AN75" s="165"/>
      <c r="AO75" s="165"/>
      <c r="AP75" s="165"/>
      <c r="AQ75" s="165"/>
      <c r="AR75" s="165"/>
      <c r="AS75" s="165"/>
      <c r="AT75" s="165"/>
      <c r="AU75" s="165"/>
      <c r="AV75" s="165"/>
      <c r="AW75" s="165"/>
      <c r="AX75" s="165"/>
    </row>
    <row r="76" ht="15.75" customHeight="1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  <c r="AL76" s="165"/>
      <c r="AM76" s="165"/>
      <c r="AN76" s="165"/>
      <c r="AO76" s="165"/>
      <c r="AP76" s="165"/>
      <c r="AQ76" s="165"/>
      <c r="AR76" s="165"/>
      <c r="AS76" s="165"/>
      <c r="AT76" s="165"/>
      <c r="AU76" s="165"/>
      <c r="AV76" s="165"/>
      <c r="AW76" s="165"/>
      <c r="AX76" s="165"/>
    </row>
    <row r="77" ht="15.75" customHeight="1">
      <c r="A77" s="165"/>
      <c r="B77" s="165"/>
      <c r="C77" s="165"/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  <c r="AI77" s="165"/>
      <c r="AJ77" s="165"/>
      <c r="AK77" s="165"/>
      <c r="AL77" s="165"/>
      <c r="AM77" s="165"/>
      <c r="AN77" s="165"/>
      <c r="AO77" s="165"/>
      <c r="AP77" s="165"/>
      <c r="AQ77" s="165"/>
      <c r="AR77" s="165"/>
      <c r="AS77" s="165"/>
      <c r="AT77" s="165"/>
      <c r="AU77" s="165"/>
      <c r="AV77" s="165"/>
      <c r="AW77" s="165"/>
      <c r="AX77" s="165"/>
    </row>
    <row r="78" ht="15.75" customHeight="1">
      <c r="A78" s="165"/>
      <c r="B78" s="165"/>
      <c r="C78" s="165"/>
      <c r="D78" s="165"/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/>
      <c r="AK78" s="165"/>
      <c r="AL78" s="165"/>
      <c r="AM78" s="165"/>
      <c r="AN78" s="165"/>
      <c r="AO78" s="165"/>
      <c r="AP78" s="165"/>
      <c r="AQ78" s="165"/>
      <c r="AR78" s="165"/>
      <c r="AS78" s="165"/>
      <c r="AT78" s="165"/>
      <c r="AU78" s="165"/>
      <c r="AV78" s="165"/>
      <c r="AW78" s="165"/>
      <c r="AX78" s="165"/>
    </row>
    <row r="79" ht="15.75" customHeight="1">
      <c r="A79" s="165"/>
      <c r="B79" s="165"/>
      <c r="C79" s="165"/>
      <c r="D79" s="165"/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  <c r="AD79" s="165"/>
      <c r="AE79" s="165"/>
      <c r="AF79" s="165"/>
      <c r="AG79" s="165"/>
      <c r="AH79" s="165"/>
      <c r="AI79" s="165"/>
      <c r="AJ79" s="165"/>
      <c r="AK79" s="165"/>
      <c r="AL79" s="165"/>
      <c r="AM79" s="165"/>
      <c r="AN79" s="165"/>
      <c r="AO79" s="165"/>
      <c r="AP79" s="165"/>
      <c r="AQ79" s="165"/>
      <c r="AR79" s="165"/>
      <c r="AS79" s="165"/>
      <c r="AT79" s="165"/>
      <c r="AU79" s="165"/>
      <c r="AV79" s="165"/>
      <c r="AW79" s="165"/>
      <c r="AX79" s="165"/>
    </row>
    <row r="80" ht="15.75" customHeight="1">
      <c r="A80" s="165"/>
      <c r="B80" s="165"/>
      <c r="C80" s="165"/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/>
      <c r="AK80" s="165"/>
      <c r="AL80" s="165"/>
      <c r="AM80" s="165"/>
      <c r="AN80" s="165"/>
      <c r="AO80" s="165"/>
      <c r="AP80" s="165"/>
      <c r="AQ80" s="165"/>
      <c r="AR80" s="165"/>
      <c r="AS80" s="165"/>
      <c r="AT80" s="165"/>
      <c r="AU80" s="165"/>
      <c r="AV80" s="165"/>
      <c r="AW80" s="165"/>
      <c r="AX80" s="165"/>
    </row>
    <row r="81" ht="15.75" customHeight="1">
      <c r="A81" s="165"/>
      <c r="B81" s="165"/>
      <c r="C81" s="165"/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  <c r="AK81" s="165"/>
      <c r="AL81" s="165"/>
      <c r="AM81" s="165"/>
      <c r="AN81" s="165"/>
      <c r="AO81" s="165"/>
      <c r="AP81" s="165"/>
      <c r="AQ81" s="165"/>
      <c r="AR81" s="165"/>
      <c r="AS81" s="165"/>
      <c r="AT81" s="165"/>
      <c r="AU81" s="165"/>
      <c r="AV81" s="165"/>
      <c r="AW81" s="165"/>
      <c r="AX81" s="165"/>
    </row>
    <row r="82" ht="15.75" customHeight="1">
      <c r="A82" s="165"/>
      <c r="B82" s="165"/>
      <c r="C82" s="165"/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  <c r="AK82" s="165"/>
      <c r="AL82" s="165"/>
      <c r="AM82" s="165"/>
      <c r="AN82" s="165"/>
      <c r="AO82" s="165"/>
      <c r="AP82" s="165"/>
      <c r="AQ82" s="165"/>
      <c r="AR82" s="165"/>
      <c r="AS82" s="165"/>
      <c r="AT82" s="165"/>
      <c r="AU82" s="165"/>
      <c r="AV82" s="165"/>
      <c r="AW82" s="165"/>
      <c r="AX82" s="165"/>
    </row>
    <row r="83" ht="15.75" customHeight="1">
      <c r="A83" s="165"/>
      <c r="B83" s="165"/>
      <c r="C83" s="165"/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  <c r="AK83" s="165"/>
      <c r="AL83" s="165"/>
      <c r="AM83" s="165"/>
      <c r="AN83" s="165"/>
      <c r="AO83" s="165"/>
      <c r="AP83" s="165"/>
      <c r="AQ83" s="165"/>
      <c r="AR83" s="165"/>
      <c r="AS83" s="165"/>
      <c r="AT83" s="165"/>
      <c r="AU83" s="165"/>
      <c r="AV83" s="165"/>
      <c r="AW83" s="165"/>
      <c r="AX83" s="165"/>
    </row>
    <row r="84" ht="15.75" customHeight="1">
      <c r="A84" s="165"/>
      <c r="B84" s="165"/>
      <c r="C84" s="165"/>
      <c r="D84" s="165"/>
      <c r="E84" s="165"/>
      <c r="F84" s="165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  <c r="AK84" s="165"/>
      <c r="AL84" s="165"/>
      <c r="AM84" s="165"/>
      <c r="AN84" s="165"/>
      <c r="AO84" s="165"/>
      <c r="AP84" s="165"/>
      <c r="AQ84" s="165"/>
      <c r="AR84" s="165"/>
      <c r="AS84" s="165"/>
      <c r="AT84" s="165"/>
      <c r="AU84" s="165"/>
      <c r="AV84" s="165"/>
      <c r="AW84" s="165"/>
      <c r="AX84" s="165"/>
    </row>
    <row r="85" ht="15.75" customHeight="1">
      <c r="A85" s="165"/>
      <c r="B85" s="165"/>
      <c r="C85" s="165"/>
      <c r="D85" s="165"/>
      <c r="E85" s="165"/>
      <c r="F85" s="165"/>
      <c r="G85" s="165"/>
      <c r="H85" s="165"/>
      <c r="I85" s="165"/>
      <c r="J85" s="165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  <c r="AK85" s="165"/>
      <c r="AL85" s="165"/>
      <c r="AM85" s="165"/>
      <c r="AN85" s="165"/>
      <c r="AO85" s="165"/>
      <c r="AP85" s="165"/>
      <c r="AQ85" s="165"/>
      <c r="AR85" s="165"/>
      <c r="AS85" s="165"/>
      <c r="AT85" s="165"/>
      <c r="AU85" s="165"/>
      <c r="AV85" s="165"/>
      <c r="AW85" s="165"/>
      <c r="AX85" s="165"/>
    </row>
    <row r="86" ht="15.75" customHeight="1">
      <c r="A86" s="165"/>
      <c r="B86" s="165"/>
      <c r="C86" s="165"/>
      <c r="D86" s="165"/>
      <c r="E86" s="165"/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  <c r="AK86" s="165"/>
      <c r="AL86" s="165"/>
      <c r="AM86" s="165"/>
      <c r="AN86" s="165"/>
      <c r="AO86" s="165"/>
      <c r="AP86" s="165"/>
      <c r="AQ86" s="165"/>
      <c r="AR86" s="165"/>
      <c r="AS86" s="165"/>
      <c r="AT86" s="165"/>
      <c r="AU86" s="165"/>
      <c r="AV86" s="165"/>
      <c r="AW86" s="165"/>
      <c r="AX86" s="165"/>
    </row>
    <row r="87" ht="15.75" customHeight="1">
      <c r="A87" s="165"/>
      <c r="B87" s="165"/>
      <c r="C87" s="165"/>
      <c r="D87" s="165"/>
      <c r="E87" s="165"/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  <c r="AK87" s="165"/>
      <c r="AL87" s="165"/>
      <c r="AM87" s="165"/>
      <c r="AN87" s="165"/>
      <c r="AO87" s="165"/>
      <c r="AP87" s="165"/>
      <c r="AQ87" s="165"/>
      <c r="AR87" s="165"/>
      <c r="AS87" s="165"/>
      <c r="AT87" s="165"/>
      <c r="AU87" s="165"/>
      <c r="AV87" s="165"/>
      <c r="AW87" s="165"/>
      <c r="AX87" s="165"/>
    </row>
    <row r="88" ht="15.75" customHeight="1">
      <c r="A88" s="165"/>
      <c r="B88" s="165"/>
      <c r="C88" s="165"/>
      <c r="D88" s="165"/>
      <c r="E88" s="165"/>
      <c r="F88" s="165"/>
      <c r="G88" s="165"/>
      <c r="H88" s="165"/>
      <c r="I88" s="165"/>
      <c r="J88" s="165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  <c r="AK88" s="165"/>
      <c r="AL88" s="165"/>
      <c r="AM88" s="165"/>
      <c r="AN88" s="165"/>
      <c r="AO88" s="165"/>
      <c r="AP88" s="165"/>
      <c r="AQ88" s="165"/>
      <c r="AR88" s="165"/>
      <c r="AS88" s="165"/>
      <c r="AT88" s="165"/>
      <c r="AU88" s="165"/>
      <c r="AV88" s="165"/>
      <c r="AW88" s="165"/>
      <c r="AX88" s="165"/>
    </row>
    <row r="89" ht="15.75" customHeight="1">
      <c r="A89" s="165"/>
      <c r="B89" s="165"/>
      <c r="C89" s="165"/>
      <c r="D89" s="165"/>
      <c r="E89" s="165"/>
      <c r="F89" s="165"/>
      <c r="G89" s="165"/>
      <c r="H89" s="165"/>
      <c r="I89" s="165"/>
      <c r="J89" s="165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  <c r="AK89" s="165"/>
      <c r="AL89" s="165"/>
      <c r="AM89" s="165"/>
      <c r="AN89" s="165"/>
      <c r="AO89" s="165"/>
      <c r="AP89" s="165"/>
      <c r="AQ89" s="165"/>
      <c r="AR89" s="165"/>
      <c r="AS89" s="165"/>
      <c r="AT89" s="165"/>
      <c r="AU89" s="165"/>
      <c r="AV89" s="165"/>
      <c r="AW89" s="165"/>
      <c r="AX89" s="165"/>
    </row>
    <row r="90" ht="15.75" customHeight="1">
      <c r="A90" s="165"/>
      <c r="B90" s="165"/>
      <c r="C90" s="165"/>
      <c r="D90" s="165"/>
      <c r="E90" s="165"/>
      <c r="F90" s="165"/>
      <c r="G90" s="165"/>
      <c r="H90" s="165"/>
      <c r="I90" s="165"/>
      <c r="J90" s="165"/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5"/>
      <c r="AG90" s="165"/>
      <c r="AH90" s="165"/>
      <c r="AI90" s="165"/>
      <c r="AJ90" s="165"/>
      <c r="AK90" s="165"/>
      <c r="AL90" s="165"/>
      <c r="AM90" s="165"/>
      <c r="AN90" s="165"/>
      <c r="AO90" s="165"/>
      <c r="AP90" s="165"/>
      <c r="AQ90" s="165"/>
      <c r="AR90" s="165"/>
      <c r="AS90" s="165"/>
      <c r="AT90" s="165"/>
      <c r="AU90" s="165"/>
      <c r="AV90" s="165"/>
      <c r="AW90" s="165"/>
      <c r="AX90" s="165"/>
    </row>
    <row r="91" ht="15.75" customHeight="1">
      <c r="A91" s="165"/>
      <c r="B91" s="165"/>
      <c r="C91" s="165"/>
      <c r="D91" s="165"/>
      <c r="E91" s="165"/>
      <c r="F91" s="165"/>
      <c r="G91" s="165"/>
      <c r="H91" s="165"/>
      <c r="I91" s="165"/>
      <c r="J91" s="165"/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  <c r="AA91" s="165"/>
      <c r="AB91" s="165"/>
      <c r="AC91" s="165"/>
      <c r="AD91" s="165"/>
      <c r="AE91" s="165"/>
      <c r="AF91" s="165"/>
      <c r="AG91" s="165"/>
      <c r="AH91" s="165"/>
      <c r="AI91" s="165"/>
      <c r="AJ91" s="165"/>
      <c r="AK91" s="165"/>
      <c r="AL91" s="165"/>
      <c r="AM91" s="165"/>
      <c r="AN91" s="165"/>
      <c r="AO91" s="165"/>
      <c r="AP91" s="165"/>
      <c r="AQ91" s="165"/>
      <c r="AR91" s="165"/>
      <c r="AS91" s="165"/>
      <c r="AT91" s="165"/>
      <c r="AU91" s="165"/>
      <c r="AV91" s="165"/>
      <c r="AW91" s="165"/>
      <c r="AX91" s="165"/>
    </row>
    <row r="92" ht="15.75" customHeight="1">
      <c r="A92" s="165"/>
      <c r="B92" s="165"/>
      <c r="C92" s="165"/>
      <c r="D92" s="165"/>
      <c r="E92" s="165"/>
      <c r="F92" s="165"/>
      <c r="G92" s="165"/>
      <c r="H92" s="165"/>
      <c r="I92" s="165"/>
      <c r="J92" s="165"/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  <c r="AD92" s="165"/>
      <c r="AE92" s="165"/>
      <c r="AF92" s="165"/>
      <c r="AG92" s="165"/>
      <c r="AH92" s="165"/>
      <c r="AI92" s="165"/>
      <c r="AJ92" s="165"/>
      <c r="AK92" s="165"/>
      <c r="AL92" s="165"/>
      <c r="AM92" s="165"/>
      <c r="AN92" s="165"/>
      <c r="AO92" s="165"/>
      <c r="AP92" s="165"/>
      <c r="AQ92" s="165"/>
      <c r="AR92" s="165"/>
      <c r="AS92" s="165"/>
      <c r="AT92" s="165"/>
      <c r="AU92" s="165"/>
      <c r="AV92" s="165"/>
      <c r="AW92" s="165"/>
      <c r="AX92" s="165"/>
    </row>
    <row r="93" ht="15.75" customHeight="1">
      <c r="A93" s="165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165"/>
      <c r="AJ93" s="165"/>
      <c r="AK93" s="165"/>
      <c r="AL93" s="165"/>
      <c r="AM93" s="165"/>
      <c r="AN93" s="165"/>
      <c r="AO93" s="165"/>
      <c r="AP93" s="165"/>
      <c r="AQ93" s="165"/>
      <c r="AR93" s="165"/>
      <c r="AS93" s="165"/>
      <c r="AT93" s="165"/>
      <c r="AU93" s="165"/>
      <c r="AV93" s="165"/>
      <c r="AW93" s="165"/>
      <c r="AX93" s="165"/>
    </row>
    <row r="94" ht="15.75" customHeight="1">
      <c r="A94" s="165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  <c r="AK94" s="165"/>
      <c r="AL94" s="165"/>
      <c r="AM94" s="165"/>
      <c r="AN94" s="165"/>
      <c r="AO94" s="165"/>
      <c r="AP94" s="165"/>
      <c r="AQ94" s="165"/>
      <c r="AR94" s="165"/>
      <c r="AS94" s="165"/>
      <c r="AT94" s="165"/>
      <c r="AU94" s="165"/>
      <c r="AV94" s="165"/>
      <c r="AW94" s="165"/>
      <c r="AX94" s="165"/>
    </row>
    <row r="95" ht="15.75" customHeight="1">
      <c r="A95" s="165"/>
      <c r="B95" s="165"/>
      <c r="C95" s="165"/>
      <c r="D95" s="165"/>
      <c r="E95" s="165"/>
      <c r="F95" s="165"/>
      <c r="G95" s="165"/>
      <c r="H95" s="165"/>
      <c r="I95" s="165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  <c r="AK95" s="165"/>
      <c r="AL95" s="165"/>
      <c r="AM95" s="165"/>
      <c r="AN95" s="165"/>
      <c r="AO95" s="165"/>
      <c r="AP95" s="165"/>
      <c r="AQ95" s="165"/>
      <c r="AR95" s="165"/>
      <c r="AS95" s="165"/>
      <c r="AT95" s="165"/>
      <c r="AU95" s="165"/>
      <c r="AV95" s="165"/>
      <c r="AW95" s="165"/>
      <c r="AX95" s="165"/>
    </row>
    <row r="96" ht="15.75" customHeight="1">
      <c r="A96" s="165"/>
      <c r="B96" s="165"/>
      <c r="C96" s="165"/>
      <c r="D96" s="165"/>
      <c r="E96" s="165"/>
      <c r="F96" s="165"/>
      <c r="G96" s="165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5"/>
      <c r="AI96" s="165"/>
      <c r="AJ96" s="165"/>
      <c r="AK96" s="165"/>
      <c r="AL96" s="165"/>
      <c r="AM96" s="165"/>
      <c r="AN96" s="165"/>
      <c r="AO96" s="165"/>
      <c r="AP96" s="165"/>
      <c r="AQ96" s="165"/>
      <c r="AR96" s="165"/>
      <c r="AS96" s="165"/>
      <c r="AT96" s="165"/>
      <c r="AU96" s="165"/>
      <c r="AV96" s="165"/>
      <c r="AW96" s="165"/>
      <c r="AX96" s="165"/>
    </row>
    <row r="97" ht="15.75" customHeight="1">
      <c r="A97" s="165"/>
      <c r="B97" s="165"/>
      <c r="C97" s="165"/>
      <c r="D97" s="16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5"/>
      <c r="AD97" s="165"/>
      <c r="AE97" s="165"/>
      <c r="AF97" s="165"/>
      <c r="AG97" s="165"/>
      <c r="AH97" s="165"/>
      <c r="AI97" s="165"/>
      <c r="AJ97" s="165"/>
      <c r="AK97" s="165"/>
      <c r="AL97" s="165"/>
      <c r="AM97" s="165"/>
      <c r="AN97" s="165"/>
      <c r="AO97" s="165"/>
      <c r="AP97" s="165"/>
      <c r="AQ97" s="165"/>
      <c r="AR97" s="165"/>
      <c r="AS97" s="165"/>
      <c r="AT97" s="165"/>
      <c r="AU97" s="165"/>
      <c r="AV97" s="165"/>
      <c r="AW97" s="165"/>
      <c r="AX97" s="165"/>
    </row>
    <row r="98" ht="15.75" customHeight="1">
      <c r="A98" s="165"/>
      <c r="B98" s="165"/>
      <c r="C98" s="165"/>
      <c r="D98" s="165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165"/>
      <c r="AF98" s="165"/>
      <c r="AG98" s="165"/>
      <c r="AH98" s="165"/>
      <c r="AI98" s="165"/>
      <c r="AJ98" s="165"/>
      <c r="AK98" s="165"/>
      <c r="AL98" s="165"/>
      <c r="AM98" s="165"/>
      <c r="AN98" s="165"/>
      <c r="AO98" s="165"/>
      <c r="AP98" s="165"/>
      <c r="AQ98" s="165"/>
      <c r="AR98" s="165"/>
      <c r="AS98" s="165"/>
      <c r="AT98" s="165"/>
      <c r="AU98" s="165"/>
      <c r="AV98" s="165"/>
      <c r="AW98" s="165"/>
      <c r="AX98" s="165"/>
    </row>
    <row r="99" ht="15.75" customHeight="1">
      <c r="A99" s="165"/>
      <c r="B99" s="165"/>
      <c r="C99" s="165"/>
      <c r="D99" s="165"/>
      <c r="E99" s="165"/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  <c r="AA99" s="165"/>
      <c r="AB99" s="165"/>
      <c r="AC99" s="165"/>
      <c r="AD99" s="165"/>
      <c r="AE99" s="165"/>
      <c r="AF99" s="165"/>
      <c r="AG99" s="165"/>
      <c r="AH99" s="165"/>
      <c r="AI99" s="165"/>
      <c r="AJ99" s="165"/>
      <c r="AK99" s="165"/>
      <c r="AL99" s="165"/>
      <c r="AM99" s="165"/>
      <c r="AN99" s="165"/>
      <c r="AO99" s="165"/>
      <c r="AP99" s="165"/>
      <c r="AQ99" s="165"/>
      <c r="AR99" s="165"/>
      <c r="AS99" s="165"/>
      <c r="AT99" s="165"/>
      <c r="AU99" s="165"/>
      <c r="AV99" s="165"/>
      <c r="AW99" s="165"/>
      <c r="AX99" s="165"/>
    </row>
    <row r="100" ht="15.75" customHeight="1">
      <c r="A100" s="165"/>
      <c r="B100" s="165"/>
      <c r="C100" s="165"/>
      <c r="D100" s="165"/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5"/>
      <c r="AK100" s="165"/>
      <c r="AL100" s="165"/>
      <c r="AM100" s="165"/>
      <c r="AN100" s="165"/>
      <c r="AO100" s="165"/>
      <c r="AP100" s="165"/>
      <c r="AQ100" s="165"/>
      <c r="AR100" s="165"/>
      <c r="AS100" s="165"/>
      <c r="AT100" s="165"/>
      <c r="AU100" s="165"/>
      <c r="AV100" s="165"/>
      <c r="AW100" s="165"/>
      <c r="AX100" s="165"/>
    </row>
    <row r="101" ht="15.75" customHeight="1">
      <c r="A101" s="165"/>
      <c r="B101" s="165"/>
      <c r="C101" s="165"/>
      <c r="D101" s="165"/>
      <c r="E101" s="165"/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5"/>
      <c r="AD101" s="165"/>
      <c r="AE101" s="165"/>
      <c r="AF101" s="165"/>
      <c r="AG101" s="165"/>
      <c r="AH101" s="165"/>
      <c r="AI101" s="165"/>
      <c r="AJ101" s="165"/>
      <c r="AK101" s="165"/>
      <c r="AL101" s="165"/>
      <c r="AM101" s="165"/>
      <c r="AN101" s="165"/>
      <c r="AO101" s="165"/>
      <c r="AP101" s="165"/>
      <c r="AQ101" s="165"/>
      <c r="AR101" s="165"/>
      <c r="AS101" s="165"/>
      <c r="AT101" s="165"/>
      <c r="AU101" s="165"/>
      <c r="AV101" s="165"/>
      <c r="AW101" s="165"/>
      <c r="AX101" s="165"/>
    </row>
    <row r="102" ht="15.75" customHeight="1">
      <c r="A102" s="165"/>
      <c r="B102" s="165"/>
      <c r="C102" s="165"/>
      <c r="D102" s="165"/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165"/>
      <c r="AF102" s="165"/>
      <c r="AG102" s="165"/>
      <c r="AH102" s="165"/>
      <c r="AI102" s="165"/>
      <c r="AJ102" s="165"/>
      <c r="AK102" s="165"/>
      <c r="AL102" s="165"/>
      <c r="AM102" s="165"/>
      <c r="AN102" s="165"/>
      <c r="AO102" s="165"/>
      <c r="AP102" s="165"/>
      <c r="AQ102" s="165"/>
      <c r="AR102" s="165"/>
      <c r="AS102" s="165"/>
      <c r="AT102" s="165"/>
      <c r="AU102" s="165"/>
      <c r="AV102" s="165"/>
      <c r="AW102" s="165"/>
      <c r="AX102" s="165"/>
    </row>
    <row r="103" ht="15.75" customHeight="1">
      <c r="A103" s="165"/>
      <c r="B103" s="165"/>
      <c r="C103" s="165"/>
      <c r="D103" s="165"/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  <c r="AC103" s="165"/>
      <c r="AD103" s="165"/>
      <c r="AE103" s="165"/>
      <c r="AF103" s="165"/>
      <c r="AG103" s="165"/>
      <c r="AH103" s="165"/>
      <c r="AI103" s="165"/>
      <c r="AJ103" s="165"/>
      <c r="AK103" s="165"/>
      <c r="AL103" s="165"/>
      <c r="AM103" s="165"/>
      <c r="AN103" s="165"/>
      <c r="AO103" s="165"/>
      <c r="AP103" s="165"/>
      <c r="AQ103" s="165"/>
      <c r="AR103" s="165"/>
      <c r="AS103" s="165"/>
      <c r="AT103" s="165"/>
      <c r="AU103" s="165"/>
      <c r="AV103" s="165"/>
      <c r="AW103" s="165"/>
      <c r="AX103" s="165"/>
    </row>
    <row r="104" ht="15.75" customHeight="1">
      <c r="A104" s="165"/>
      <c r="B104" s="165"/>
      <c r="C104" s="165"/>
      <c r="D104" s="165"/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  <c r="AE104" s="165"/>
      <c r="AF104" s="165"/>
      <c r="AG104" s="165"/>
      <c r="AH104" s="165"/>
      <c r="AI104" s="165"/>
      <c r="AJ104" s="165"/>
      <c r="AK104" s="165"/>
      <c r="AL104" s="165"/>
      <c r="AM104" s="165"/>
      <c r="AN104" s="165"/>
      <c r="AO104" s="165"/>
      <c r="AP104" s="165"/>
      <c r="AQ104" s="165"/>
      <c r="AR104" s="165"/>
      <c r="AS104" s="165"/>
      <c r="AT104" s="165"/>
      <c r="AU104" s="165"/>
      <c r="AV104" s="165"/>
      <c r="AW104" s="165"/>
      <c r="AX104" s="165"/>
    </row>
    <row r="105" ht="15.75" customHeight="1">
      <c r="A105" s="165"/>
      <c r="B105" s="165"/>
      <c r="C105" s="165"/>
      <c r="D105" s="165"/>
      <c r="E105" s="165"/>
      <c r="F105" s="165"/>
      <c r="G105" s="165"/>
      <c r="H105" s="165"/>
      <c r="I105" s="165"/>
      <c r="J105" s="165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  <c r="AC105" s="165"/>
      <c r="AD105" s="165"/>
      <c r="AE105" s="165"/>
      <c r="AF105" s="165"/>
      <c r="AG105" s="165"/>
      <c r="AH105" s="165"/>
      <c r="AI105" s="165"/>
      <c r="AJ105" s="165"/>
      <c r="AK105" s="165"/>
      <c r="AL105" s="165"/>
      <c r="AM105" s="165"/>
      <c r="AN105" s="165"/>
      <c r="AO105" s="165"/>
      <c r="AP105" s="165"/>
      <c r="AQ105" s="165"/>
      <c r="AR105" s="165"/>
      <c r="AS105" s="165"/>
      <c r="AT105" s="165"/>
      <c r="AU105" s="165"/>
      <c r="AV105" s="165"/>
      <c r="AW105" s="165"/>
      <c r="AX105" s="165"/>
    </row>
    <row r="106" ht="15.75" customHeight="1">
      <c r="A106" s="165"/>
      <c r="B106" s="165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  <c r="AI106" s="165"/>
      <c r="AJ106" s="165"/>
      <c r="AK106" s="165"/>
      <c r="AL106" s="165"/>
      <c r="AM106" s="165"/>
      <c r="AN106" s="165"/>
      <c r="AO106" s="165"/>
      <c r="AP106" s="165"/>
      <c r="AQ106" s="165"/>
      <c r="AR106" s="165"/>
      <c r="AS106" s="165"/>
      <c r="AT106" s="165"/>
      <c r="AU106" s="165"/>
      <c r="AV106" s="165"/>
      <c r="AW106" s="165"/>
      <c r="AX106" s="165"/>
    </row>
    <row r="107" ht="15.75" customHeight="1">
      <c r="A107" s="165"/>
      <c r="B107" s="165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5"/>
      <c r="AJ107" s="165"/>
      <c r="AK107" s="165"/>
      <c r="AL107" s="165"/>
      <c r="AM107" s="165"/>
      <c r="AN107" s="165"/>
      <c r="AO107" s="165"/>
      <c r="AP107" s="165"/>
      <c r="AQ107" s="165"/>
      <c r="AR107" s="165"/>
      <c r="AS107" s="165"/>
      <c r="AT107" s="165"/>
      <c r="AU107" s="165"/>
      <c r="AV107" s="165"/>
      <c r="AW107" s="165"/>
      <c r="AX107" s="165"/>
    </row>
    <row r="108" ht="15.75" customHeight="1">
      <c r="A108" s="165"/>
      <c r="B108" s="165"/>
      <c r="C108" s="165"/>
      <c r="D108" s="165"/>
      <c r="E108" s="165"/>
      <c r="F108" s="165"/>
      <c r="G108" s="165"/>
      <c r="H108" s="165"/>
      <c r="I108" s="165"/>
      <c r="J108" s="165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165"/>
      <c r="AL108" s="165"/>
      <c r="AM108" s="165"/>
      <c r="AN108" s="165"/>
      <c r="AO108" s="165"/>
      <c r="AP108" s="165"/>
      <c r="AQ108" s="165"/>
      <c r="AR108" s="165"/>
      <c r="AS108" s="165"/>
      <c r="AT108" s="165"/>
      <c r="AU108" s="165"/>
      <c r="AV108" s="165"/>
      <c r="AW108" s="165"/>
      <c r="AX108" s="165"/>
    </row>
    <row r="109" ht="15.75" customHeight="1">
      <c r="A109" s="165"/>
      <c r="B109" s="165"/>
      <c r="C109" s="165"/>
      <c r="D109" s="165"/>
      <c r="E109" s="165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  <c r="AD109" s="165"/>
      <c r="AE109" s="165"/>
      <c r="AF109" s="165"/>
      <c r="AG109" s="165"/>
      <c r="AH109" s="165"/>
      <c r="AI109" s="165"/>
      <c r="AJ109" s="165"/>
      <c r="AK109" s="165"/>
      <c r="AL109" s="165"/>
      <c r="AM109" s="165"/>
      <c r="AN109" s="165"/>
      <c r="AO109" s="165"/>
      <c r="AP109" s="165"/>
      <c r="AQ109" s="165"/>
      <c r="AR109" s="165"/>
      <c r="AS109" s="165"/>
      <c r="AT109" s="165"/>
      <c r="AU109" s="165"/>
      <c r="AV109" s="165"/>
      <c r="AW109" s="165"/>
      <c r="AX109" s="165"/>
    </row>
    <row r="110" ht="15.75" customHeight="1">
      <c r="A110" s="165"/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65"/>
      <c r="AI110" s="165"/>
      <c r="AJ110" s="165"/>
      <c r="AK110" s="165"/>
      <c r="AL110" s="165"/>
      <c r="AM110" s="165"/>
      <c r="AN110" s="165"/>
      <c r="AO110" s="165"/>
      <c r="AP110" s="165"/>
      <c r="AQ110" s="165"/>
      <c r="AR110" s="165"/>
      <c r="AS110" s="165"/>
      <c r="AT110" s="165"/>
      <c r="AU110" s="165"/>
      <c r="AV110" s="165"/>
      <c r="AW110" s="165"/>
      <c r="AX110" s="165"/>
    </row>
    <row r="111" ht="15.75" customHeight="1">
      <c r="A111" s="165"/>
      <c r="B111" s="165"/>
      <c r="C111" s="165"/>
      <c r="D111" s="16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  <c r="AE111" s="165"/>
      <c r="AF111" s="165"/>
      <c r="AG111" s="165"/>
      <c r="AH111" s="165"/>
      <c r="AI111" s="165"/>
      <c r="AJ111" s="165"/>
      <c r="AK111" s="165"/>
      <c r="AL111" s="165"/>
      <c r="AM111" s="165"/>
      <c r="AN111" s="165"/>
      <c r="AO111" s="165"/>
      <c r="AP111" s="165"/>
      <c r="AQ111" s="165"/>
      <c r="AR111" s="165"/>
      <c r="AS111" s="165"/>
      <c r="AT111" s="165"/>
      <c r="AU111" s="165"/>
      <c r="AV111" s="165"/>
      <c r="AW111" s="165"/>
      <c r="AX111" s="165"/>
    </row>
    <row r="112" ht="15.75" customHeight="1">
      <c r="A112" s="165"/>
      <c r="B112" s="165"/>
      <c r="C112" s="165"/>
      <c r="D112" s="16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  <c r="AD112" s="165"/>
      <c r="AE112" s="165"/>
      <c r="AF112" s="165"/>
      <c r="AG112" s="165"/>
      <c r="AH112" s="165"/>
      <c r="AI112" s="165"/>
      <c r="AJ112" s="165"/>
      <c r="AK112" s="165"/>
      <c r="AL112" s="165"/>
      <c r="AM112" s="165"/>
      <c r="AN112" s="165"/>
      <c r="AO112" s="165"/>
      <c r="AP112" s="165"/>
      <c r="AQ112" s="165"/>
      <c r="AR112" s="165"/>
      <c r="AS112" s="165"/>
      <c r="AT112" s="165"/>
      <c r="AU112" s="165"/>
      <c r="AV112" s="165"/>
      <c r="AW112" s="165"/>
      <c r="AX112" s="165"/>
    </row>
    <row r="113" ht="15.75" customHeight="1">
      <c r="A113" s="165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5"/>
      <c r="AO113" s="165"/>
      <c r="AP113" s="165"/>
      <c r="AQ113" s="165"/>
      <c r="AR113" s="165"/>
      <c r="AS113" s="165"/>
      <c r="AT113" s="165"/>
      <c r="AU113" s="165"/>
      <c r="AV113" s="165"/>
      <c r="AW113" s="165"/>
      <c r="AX113" s="165"/>
    </row>
    <row r="114" ht="15.75" customHeight="1">
      <c r="A114" s="165"/>
      <c r="B114" s="165"/>
      <c r="C114" s="165"/>
      <c r="D114" s="165"/>
      <c r="E114" s="165"/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5"/>
      <c r="AD114" s="165"/>
      <c r="AE114" s="165"/>
      <c r="AF114" s="165"/>
      <c r="AG114" s="165"/>
      <c r="AH114" s="165"/>
      <c r="AI114" s="165"/>
      <c r="AJ114" s="165"/>
      <c r="AK114" s="165"/>
      <c r="AL114" s="165"/>
      <c r="AM114" s="165"/>
      <c r="AN114" s="165"/>
      <c r="AO114" s="165"/>
      <c r="AP114" s="165"/>
      <c r="AQ114" s="165"/>
      <c r="AR114" s="165"/>
      <c r="AS114" s="165"/>
      <c r="AT114" s="165"/>
      <c r="AU114" s="165"/>
      <c r="AV114" s="165"/>
      <c r="AW114" s="165"/>
      <c r="AX114" s="165"/>
    </row>
    <row r="115" ht="15.75" customHeight="1">
      <c r="A115" s="165"/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5"/>
      <c r="AD115" s="165"/>
      <c r="AE115" s="165"/>
      <c r="AF115" s="165"/>
      <c r="AG115" s="165"/>
      <c r="AH115" s="165"/>
      <c r="AI115" s="165"/>
      <c r="AJ115" s="165"/>
      <c r="AK115" s="165"/>
      <c r="AL115" s="165"/>
      <c r="AM115" s="165"/>
      <c r="AN115" s="165"/>
      <c r="AO115" s="165"/>
      <c r="AP115" s="165"/>
      <c r="AQ115" s="165"/>
      <c r="AR115" s="165"/>
      <c r="AS115" s="165"/>
      <c r="AT115" s="165"/>
      <c r="AU115" s="165"/>
      <c r="AV115" s="165"/>
      <c r="AW115" s="165"/>
      <c r="AX115" s="165"/>
    </row>
    <row r="116" ht="15.75" customHeight="1">
      <c r="A116" s="165"/>
      <c r="B116" s="165"/>
      <c r="C116" s="165"/>
      <c r="D116" s="165"/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/>
      <c r="AE116" s="165"/>
      <c r="AF116" s="165"/>
      <c r="AG116" s="165"/>
      <c r="AH116" s="165"/>
      <c r="AI116" s="165"/>
      <c r="AJ116" s="165"/>
      <c r="AK116" s="165"/>
      <c r="AL116" s="165"/>
      <c r="AM116" s="165"/>
      <c r="AN116" s="165"/>
      <c r="AO116" s="165"/>
      <c r="AP116" s="165"/>
      <c r="AQ116" s="165"/>
      <c r="AR116" s="165"/>
      <c r="AS116" s="165"/>
      <c r="AT116" s="165"/>
      <c r="AU116" s="165"/>
      <c r="AV116" s="165"/>
      <c r="AW116" s="165"/>
      <c r="AX116" s="165"/>
    </row>
    <row r="117" ht="15.75" customHeight="1">
      <c r="A117" s="165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5"/>
      <c r="AD117" s="165"/>
      <c r="AE117" s="165"/>
      <c r="AF117" s="165"/>
      <c r="AG117" s="165"/>
      <c r="AH117" s="165"/>
      <c r="AI117" s="165"/>
      <c r="AJ117" s="165"/>
      <c r="AK117" s="165"/>
      <c r="AL117" s="165"/>
      <c r="AM117" s="165"/>
      <c r="AN117" s="165"/>
      <c r="AO117" s="165"/>
      <c r="AP117" s="165"/>
      <c r="AQ117" s="165"/>
      <c r="AR117" s="165"/>
      <c r="AS117" s="165"/>
      <c r="AT117" s="165"/>
      <c r="AU117" s="165"/>
      <c r="AV117" s="165"/>
      <c r="AW117" s="165"/>
      <c r="AX117" s="165"/>
    </row>
    <row r="118" ht="15.75" customHeight="1">
      <c r="A118" s="165"/>
      <c r="B118" s="165"/>
      <c r="C118" s="165"/>
      <c r="D118" s="165"/>
      <c r="E118" s="165"/>
      <c r="F118" s="165"/>
      <c r="G118" s="165"/>
      <c r="H118" s="165"/>
      <c r="I118" s="165"/>
      <c r="J118" s="165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5"/>
      <c r="AD118" s="165"/>
      <c r="AE118" s="165"/>
      <c r="AF118" s="165"/>
      <c r="AG118" s="165"/>
      <c r="AH118" s="165"/>
      <c r="AI118" s="165"/>
      <c r="AJ118" s="165"/>
      <c r="AK118" s="165"/>
      <c r="AL118" s="165"/>
      <c r="AM118" s="165"/>
      <c r="AN118" s="165"/>
      <c r="AO118" s="165"/>
      <c r="AP118" s="165"/>
      <c r="AQ118" s="165"/>
      <c r="AR118" s="165"/>
      <c r="AS118" s="165"/>
      <c r="AT118" s="165"/>
      <c r="AU118" s="165"/>
      <c r="AV118" s="165"/>
      <c r="AW118" s="165"/>
      <c r="AX118" s="165"/>
    </row>
    <row r="119" ht="15.75" customHeight="1">
      <c r="A119" s="165"/>
      <c r="B119" s="165"/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  <c r="AD119" s="165"/>
      <c r="AE119" s="165"/>
      <c r="AF119" s="165"/>
      <c r="AG119" s="165"/>
      <c r="AH119" s="165"/>
      <c r="AI119" s="165"/>
      <c r="AJ119" s="165"/>
      <c r="AK119" s="165"/>
      <c r="AL119" s="165"/>
      <c r="AM119" s="165"/>
      <c r="AN119" s="165"/>
      <c r="AO119" s="165"/>
      <c r="AP119" s="165"/>
      <c r="AQ119" s="165"/>
      <c r="AR119" s="165"/>
      <c r="AS119" s="165"/>
      <c r="AT119" s="165"/>
      <c r="AU119" s="165"/>
      <c r="AV119" s="165"/>
      <c r="AW119" s="165"/>
      <c r="AX119" s="165"/>
    </row>
    <row r="120" ht="15.75" customHeight="1">
      <c r="A120" s="165"/>
      <c r="B120" s="165"/>
      <c r="C120" s="165"/>
      <c r="D120" s="165"/>
      <c r="E120" s="165"/>
      <c r="F120" s="165"/>
      <c r="G120" s="165"/>
      <c r="H120" s="165"/>
      <c r="I120" s="165"/>
      <c r="J120" s="165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  <c r="AC120" s="165"/>
      <c r="AD120" s="165"/>
      <c r="AE120" s="165"/>
      <c r="AF120" s="165"/>
      <c r="AG120" s="165"/>
      <c r="AH120" s="165"/>
      <c r="AI120" s="165"/>
      <c r="AJ120" s="165"/>
      <c r="AK120" s="165"/>
      <c r="AL120" s="165"/>
      <c r="AM120" s="165"/>
      <c r="AN120" s="165"/>
      <c r="AO120" s="165"/>
      <c r="AP120" s="165"/>
      <c r="AQ120" s="165"/>
      <c r="AR120" s="165"/>
      <c r="AS120" s="165"/>
      <c r="AT120" s="165"/>
      <c r="AU120" s="165"/>
      <c r="AV120" s="165"/>
      <c r="AW120" s="165"/>
      <c r="AX120" s="165"/>
    </row>
    <row r="121" ht="15.75" customHeight="1">
      <c r="A121" s="165"/>
      <c r="B121" s="165"/>
      <c r="C121" s="165"/>
      <c r="D121" s="165"/>
      <c r="E121" s="165"/>
      <c r="F121" s="165"/>
      <c r="G121" s="165"/>
      <c r="H121" s="165"/>
      <c r="I121" s="165"/>
      <c r="J121" s="165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  <c r="AC121" s="165"/>
      <c r="AD121" s="165"/>
      <c r="AE121" s="165"/>
      <c r="AF121" s="165"/>
      <c r="AG121" s="165"/>
      <c r="AH121" s="165"/>
      <c r="AI121" s="165"/>
      <c r="AJ121" s="165"/>
      <c r="AK121" s="165"/>
      <c r="AL121" s="165"/>
      <c r="AM121" s="165"/>
      <c r="AN121" s="165"/>
      <c r="AO121" s="165"/>
      <c r="AP121" s="165"/>
      <c r="AQ121" s="165"/>
      <c r="AR121" s="165"/>
      <c r="AS121" s="165"/>
      <c r="AT121" s="165"/>
      <c r="AU121" s="165"/>
      <c r="AV121" s="165"/>
      <c r="AW121" s="165"/>
      <c r="AX121" s="165"/>
    </row>
    <row r="122" ht="15.75" customHeight="1">
      <c r="A122" s="165"/>
      <c r="B122" s="165"/>
      <c r="C122" s="165"/>
      <c r="D122" s="165"/>
      <c r="E122" s="165"/>
      <c r="F122" s="165"/>
      <c r="G122" s="165"/>
      <c r="H122" s="165"/>
      <c r="I122" s="165"/>
      <c r="J122" s="165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  <c r="AA122" s="165"/>
      <c r="AB122" s="165"/>
      <c r="AC122" s="165"/>
      <c r="AD122" s="165"/>
      <c r="AE122" s="165"/>
      <c r="AF122" s="165"/>
      <c r="AG122" s="165"/>
      <c r="AH122" s="165"/>
      <c r="AI122" s="165"/>
      <c r="AJ122" s="165"/>
      <c r="AK122" s="165"/>
      <c r="AL122" s="165"/>
      <c r="AM122" s="165"/>
      <c r="AN122" s="165"/>
      <c r="AO122" s="165"/>
      <c r="AP122" s="165"/>
      <c r="AQ122" s="165"/>
      <c r="AR122" s="165"/>
      <c r="AS122" s="165"/>
      <c r="AT122" s="165"/>
      <c r="AU122" s="165"/>
      <c r="AV122" s="165"/>
      <c r="AW122" s="165"/>
      <c r="AX122" s="165"/>
    </row>
    <row r="123" ht="15.75" customHeight="1">
      <c r="A123" s="165"/>
      <c r="B123" s="165"/>
      <c r="C123" s="165"/>
      <c r="D123" s="165"/>
      <c r="E123" s="165"/>
      <c r="F123" s="165"/>
      <c r="G123" s="165"/>
      <c r="H123" s="165"/>
      <c r="I123" s="165"/>
      <c r="J123" s="165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  <c r="AA123" s="165"/>
      <c r="AB123" s="165"/>
      <c r="AC123" s="165"/>
      <c r="AD123" s="165"/>
      <c r="AE123" s="165"/>
      <c r="AF123" s="165"/>
      <c r="AG123" s="165"/>
      <c r="AH123" s="165"/>
      <c r="AI123" s="165"/>
      <c r="AJ123" s="165"/>
      <c r="AK123" s="165"/>
      <c r="AL123" s="165"/>
      <c r="AM123" s="165"/>
      <c r="AN123" s="165"/>
      <c r="AO123" s="165"/>
      <c r="AP123" s="165"/>
      <c r="AQ123" s="165"/>
      <c r="AR123" s="165"/>
      <c r="AS123" s="165"/>
      <c r="AT123" s="165"/>
      <c r="AU123" s="165"/>
      <c r="AV123" s="165"/>
      <c r="AW123" s="165"/>
      <c r="AX123" s="165"/>
    </row>
    <row r="124" ht="15.75" customHeight="1">
      <c r="A124" s="165"/>
      <c r="B124" s="165"/>
      <c r="C124" s="165"/>
      <c r="D124" s="165"/>
      <c r="E124" s="165"/>
      <c r="F124" s="165"/>
      <c r="G124" s="165"/>
      <c r="H124" s="165"/>
      <c r="I124" s="165"/>
      <c r="J124" s="165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  <c r="AA124" s="165"/>
      <c r="AB124" s="165"/>
      <c r="AC124" s="165"/>
      <c r="AD124" s="165"/>
      <c r="AE124" s="165"/>
      <c r="AF124" s="165"/>
      <c r="AG124" s="165"/>
      <c r="AH124" s="165"/>
      <c r="AI124" s="165"/>
      <c r="AJ124" s="165"/>
      <c r="AK124" s="165"/>
      <c r="AL124" s="165"/>
      <c r="AM124" s="165"/>
      <c r="AN124" s="165"/>
      <c r="AO124" s="165"/>
      <c r="AP124" s="165"/>
      <c r="AQ124" s="165"/>
      <c r="AR124" s="165"/>
      <c r="AS124" s="165"/>
      <c r="AT124" s="165"/>
      <c r="AU124" s="165"/>
      <c r="AV124" s="165"/>
      <c r="AW124" s="165"/>
      <c r="AX124" s="165"/>
    </row>
    <row r="125" ht="15.75" customHeight="1">
      <c r="A125" s="165"/>
      <c r="B125" s="165"/>
      <c r="C125" s="165"/>
      <c r="D125" s="165"/>
      <c r="E125" s="165"/>
      <c r="F125" s="165"/>
      <c r="G125" s="165"/>
      <c r="H125" s="165"/>
      <c r="I125" s="165"/>
      <c r="J125" s="165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  <c r="AE125" s="165"/>
      <c r="AF125" s="165"/>
      <c r="AG125" s="165"/>
      <c r="AH125" s="165"/>
      <c r="AI125" s="165"/>
      <c r="AJ125" s="165"/>
      <c r="AK125" s="165"/>
      <c r="AL125" s="165"/>
      <c r="AM125" s="165"/>
      <c r="AN125" s="165"/>
      <c r="AO125" s="165"/>
      <c r="AP125" s="165"/>
      <c r="AQ125" s="165"/>
      <c r="AR125" s="165"/>
      <c r="AS125" s="165"/>
      <c r="AT125" s="165"/>
      <c r="AU125" s="165"/>
      <c r="AV125" s="165"/>
      <c r="AW125" s="165"/>
      <c r="AX125" s="165"/>
    </row>
    <row r="126" ht="15.75" customHeight="1">
      <c r="A126" s="165"/>
      <c r="B126" s="165"/>
      <c r="C126" s="165"/>
      <c r="D126" s="165"/>
      <c r="E126" s="165"/>
      <c r="F126" s="165"/>
      <c r="G126" s="165"/>
      <c r="H126" s="165"/>
      <c r="I126" s="165"/>
      <c r="J126" s="165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  <c r="AA126" s="165"/>
      <c r="AB126" s="165"/>
      <c r="AC126" s="165"/>
      <c r="AD126" s="165"/>
      <c r="AE126" s="165"/>
      <c r="AF126" s="165"/>
      <c r="AG126" s="165"/>
      <c r="AH126" s="165"/>
      <c r="AI126" s="165"/>
      <c r="AJ126" s="165"/>
      <c r="AK126" s="165"/>
      <c r="AL126" s="165"/>
      <c r="AM126" s="165"/>
      <c r="AN126" s="165"/>
      <c r="AO126" s="165"/>
      <c r="AP126" s="165"/>
      <c r="AQ126" s="165"/>
      <c r="AR126" s="165"/>
      <c r="AS126" s="165"/>
      <c r="AT126" s="165"/>
      <c r="AU126" s="165"/>
      <c r="AV126" s="165"/>
      <c r="AW126" s="165"/>
      <c r="AX126" s="165"/>
    </row>
    <row r="127" ht="15.75" customHeight="1">
      <c r="A127" s="165"/>
      <c r="B127" s="165"/>
      <c r="C127" s="165"/>
      <c r="D127" s="165"/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  <c r="AA127" s="165"/>
      <c r="AB127" s="165"/>
      <c r="AC127" s="165"/>
      <c r="AD127" s="165"/>
      <c r="AE127" s="165"/>
      <c r="AF127" s="165"/>
      <c r="AG127" s="165"/>
      <c r="AH127" s="165"/>
      <c r="AI127" s="165"/>
      <c r="AJ127" s="165"/>
      <c r="AK127" s="165"/>
      <c r="AL127" s="165"/>
      <c r="AM127" s="165"/>
      <c r="AN127" s="165"/>
      <c r="AO127" s="165"/>
      <c r="AP127" s="165"/>
      <c r="AQ127" s="165"/>
      <c r="AR127" s="165"/>
      <c r="AS127" s="165"/>
      <c r="AT127" s="165"/>
      <c r="AU127" s="165"/>
      <c r="AV127" s="165"/>
      <c r="AW127" s="165"/>
      <c r="AX127" s="165"/>
    </row>
    <row r="128" ht="15.75" customHeight="1">
      <c r="A128" s="165"/>
      <c r="B128" s="165"/>
      <c r="C128" s="165"/>
      <c r="D128" s="165"/>
      <c r="E128" s="165"/>
      <c r="F128" s="165"/>
      <c r="G128" s="165"/>
      <c r="H128" s="165"/>
      <c r="I128" s="165"/>
      <c r="J128" s="165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  <c r="AA128" s="165"/>
      <c r="AB128" s="165"/>
      <c r="AC128" s="165"/>
      <c r="AD128" s="165"/>
      <c r="AE128" s="165"/>
      <c r="AF128" s="165"/>
      <c r="AG128" s="165"/>
      <c r="AH128" s="165"/>
      <c r="AI128" s="165"/>
      <c r="AJ128" s="165"/>
      <c r="AK128" s="165"/>
      <c r="AL128" s="165"/>
      <c r="AM128" s="165"/>
      <c r="AN128" s="165"/>
      <c r="AO128" s="165"/>
      <c r="AP128" s="165"/>
      <c r="AQ128" s="165"/>
      <c r="AR128" s="165"/>
      <c r="AS128" s="165"/>
      <c r="AT128" s="165"/>
      <c r="AU128" s="165"/>
      <c r="AV128" s="165"/>
      <c r="AW128" s="165"/>
      <c r="AX128" s="165"/>
    </row>
    <row r="129" ht="15.75" customHeight="1">
      <c r="A129" s="165"/>
      <c r="B129" s="165"/>
      <c r="C129" s="165"/>
      <c r="D129" s="165"/>
      <c r="E129" s="165"/>
      <c r="F129" s="165"/>
      <c r="G129" s="165"/>
      <c r="H129" s="165"/>
      <c r="I129" s="165"/>
      <c r="J129" s="165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  <c r="AA129" s="165"/>
      <c r="AB129" s="165"/>
      <c r="AC129" s="165"/>
      <c r="AD129" s="165"/>
      <c r="AE129" s="165"/>
      <c r="AF129" s="165"/>
      <c r="AG129" s="165"/>
      <c r="AH129" s="165"/>
      <c r="AI129" s="165"/>
      <c r="AJ129" s="165"/>
      <c r="AK129" s="165"/>
      <c r="AL129" s="165"/>
      <c r="AM129" s="165"/>
      <c r="AN129" s="165"/>
      <c r="AO129" s="165"/>
      <c r="AP129" s="165"/>
      <c r="AQ129" s="165"/>
      <c r="AR129" s="165"/>
      <c r="AS129" s="165"/>
      <c r="AT129" s="165"/>
      <c r="AU129" s="165"/>
      <c r="AV129" s="165"/>
      <c r="AW129" s="165"/>
      <c r="AX129" s="165"/>
    </row>
    <row r="130" ht="15.75" customHeight="1">
      <c r="A130" s="165"/>
      <c r="B130" s="165"/>
      <c r="C130" s="165"/>
      <c r="D130" s="165"/>
      <c r="E130" s="165"/>
      <c r="F130" s="165"/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  <c r="AA130" s="165"/>
      <c r="AB130" s="165"/>
      <c r="AC130" s="165"/>
      <c r="AD130" s="165"/>
      <c r="AE130" s="165"/>
      <c r="AF130" s="165"/>
      <c r="AG130" s="165"/>
      <c r="AH130" s="165"/>
      <c r="AI130" s="165"/>
      <c r="AJ130" s="165"/>
      <c r="AK130" s="165"/>
      <c r="AL130" s="165"/>
      <c r="AM130" s="165"/>
      <c r="AN130" s="165"/>
      <c r="AO130" s="165"/>
      <c r="AP130" s="165"/>
      <c r="AQ130" s="165"/>
      <c r="AR130" s="165"/>
      <c r="AS130" s="165"/>
      <c r="AT130" s="165"/>
      <c r="AU130" s="165"/>
      <c r="AV130" s="165"/>
      <c r="AW130" s="165"/>
      <c r="AX130" s="165"/>
    </row>
    <row r="131" ht="15.75" customHeight="1">
      <c r="A131" s="165"/>
      <c r="B131" s="165"/>
      <c r="C131" s="165"/>
      <c r="D131" s="165"/>
      <c r="E131" s="165"/>
      <c r="F131" s="165"/>
      <c r="G131" s="165"/>
      <c r="H131" s="165"/>
      <c r="I131" s="165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  <c r="AA131" s="165"/>
      <c r="AB131" s="165"/>
      <c r="AC131" s="165"/>
      <c r="AD131" s="165"/>
      <c r="AE131" s="165"/>
      <c r="AF131" s="165"/>
      <c r="AG131" s="165"/>
      <c r="AH131" s="165"/>
      <c r="AI131" s="165"/>
      <c r="AJ131" s="165"/>
      <c r="AK131" s="165"/>
      <c r="AL131" s="165"/>
      <c r="AM131" s="165"/>
      <c r="AN131" s="165"/>
      <c r="AO131" s="165"/>
      <c r="AP131" s="165"/>
      <c r="AQ131" s="165"/>
      <c r="AR131" s="165"/>
      <c r="AS131" s="165"/>
      <c r="AT131" s="165"/>
      <c r="AU131" s="165"/>
      <c r="AV131" s="165"/>
      <c r="AW131" s="165"/>
      <c r="AX131" s="165"/>
    </row>
    <row r="132" ht="15.75" customHeight="1">
      <c r="A132" s="165"/>
      <c r="B132" s="165"/>
      <c r="C132" s="165"/>
      <c r="D132" s="165"/>
      <c r="E132" s="165"/>
      <c r="F132" s="165"/>
      <c r="G132" s="165"/>
      <c r="H132" s="165"/>
      <c r="I132" s="165"/>
      <c r="J132" s="165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  <c r="AA132" s="165"/>
      <c r="AB132" s="165"/>
      <c r="AC132" s="165"/>
      <c r="AD132" s="165"/>
      <c r="AE132" s="165"/>
      <c r="AF132" s="165"/>
      <c r="AG132" s="165"/>
      <c r="AH132" s="165"/>
      <c r="AI132" s="165"/>
      <c r="AJ132" s="165"/>
      <c r="AK132" s="165"/>
      <c r="AL132" s="165"/>
      <c r="AM132" s="165"/>
      <c r="AN132" s="165"/>
      <c r="AO132" s="165"/>
      <c r="AP132" s="165"/>
      <c r="AQ132" s="165"/>
      <c r="AR132" s="165"/>
      <c r="AS132" s="165"/>
      <c r="AT132" s="165"/>
      <c r="AU132" s="165"/>
      <c r="AV132" s="165"/>
      <c r="AW132" s="165"/>
      <c r="AX132" s="165"/>
    </row>
    <row r="133" ht="15.75" customHeight="1">
      <c r="A133" s="165"/>
      <c r="B133" s="165"/>
      <c r="C133" s="165"/>
      <c r="D133" s="165"/>
      <c r="E133" s="165"/>
      <c r="F133" s="165"/>
      <c r="G133" s="165"/>
      <c r="H133" s="165"/>
      <c r="I133" s="165"/>
      <c r="J133" s="165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  <c r="AA133" s="165"/>
      <c r="AB133" s="165"/>
      <c r="AC133" s="165"/>
      <c r="AD133" s="165"/>
      <c r="AE133" s="165"/>
      <c r="AF133" s="165"/>
      <c r="AG133" s="165"/>
      <c r="AH133" s="165"/>
      <c r="AI133" s="165"/>
      <c r="AJ133" s="165"/>
      <c r="AK133" s="165"/>
      <c r="AL133" s="165"/>
      <c r="AM133" s="165"/>
      <c r="AN133" s="165"/>
      <c r="AO133" s="165"/>
      <c r="AP133" s="165"/>
      <c r="AQ133" s="165"/>
      <c r="AR133" s="165"/>
      <c r="AS133" s="165"/>
      <c r="AT133" s="165"/>
      <c r="AU133" s="165"/>
      <c r="AV133" s="165"/>
      <c r="AW133" s="165"/>
      <c r="AX133" s="165"/>
    </row>
    <row r="134" ht="15.75" customHeight="1">
      <c r="A134" s="165"/>
      <c r="B134" s="165"/>
      <c r="C134" s="165"/>
      <c r="D134" s="165"/>
      <c r="E134" s="165"/>
      <c r="F134" s="165"/>
      <c r="G134" s="165"/>
      <c r="H134" s="165"/>
      <c r="I134" s="165"/>
      <c r="J134" s="165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  <c r="AA134" s="165"/>
      <c r="AB134" s="165"/>
      <c r="AC134" s="165"/>
      <c r="AD134" s="165"/>
      <c r="AE134" s="165"/>
      <c r="AF134" s="165"/>
      <c r="AG134" s="165"/>
      <c r="AH134" s="165"/>
      <c r="AI134" s="165"/>
      <c r="AJ134" s="165"/>
      <c r="AK134" s="165"/>
      <c r="AL134" s="165"/>
      <c r="AM134" s="165"/>
      <c r="AN134" s="165"/>
      <c r="AO134" s="165"/>
      <c r="AP134" s="165"/>
      <c r="AQ134" s="165"/>
      <c r="AR134" s="165"/>
      <c r="AS134" s="165"/>
      <c r="AT134" s="165"/>
      <c r="AU134" s="165"/>
      <c r="AV134" s="165"/>
      <c r="AW134" s="165"/>
      <c r="AX134" s="165"/>
    </row>
    <row r="135" ht="15.75" customHeight="1">
      <c r="A135" s="165"/>
      <c r="B135" s="165"/>
      <c r="C135" s="165"/>
      <c r="D135" s="165"/>
      <c r="E135" s="165"/>
      <c r="F135" s="165"/>
      <c r="G135" s="165"/>
      <c r="H135" s="165"/>
      <c r="I135" s="165"/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  <c r="AA135" s="165"/>
      <c r="AB135" s="165"/>
      <c r="AC135" s="165"/>
      <c r="AD135" s="165"/>
      <c r="AE135" s="165"/>
      <c r="AF135" s="165"/>
      <c r="AG135" s="165"/>
      <c r="AH135" s="165"/>
      <c r="AI135" s="165"/>
      <c r="AJ135" s="165"/>
      <c r="AK135" s="165"/>
      <c r="AL135" s="165"/>
      <c r="AM135" s="165"/>
      <c r="AN135" s="165"/>
      <c r="AO135" s="165"/>
      <c r="AP135" s="165"/>
      <c r="AQ135" s="165"/>
      <c r="AR135" s="165"/>
      <c r="AS135" s="165"/>
      <c r="AT135" s="165"/>
      <c r="AU135" s="165"/>
      <c r="AV135" s="165"/>
      <c r="AW135" s="165"/>
      <c r="AX135" s="165"/>
    </row>
    <row r="136" ht="15.75" customHeight="1">
      <c r="A136" s="165"/>
      <c r="B136" s="165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  <c r="AD136" s="165"/>
      <c r="AE136" s="165"/>
      <c r="AF136" s="165"/>
      <c r="AG136" s="165"/>
      <c r="AH136" s="165"/>
      <c r="AI136" s="165"/>
      <c r="AJ136" s="165"/>
      <c r="AK136" s="165"/>
      <c r="AL136" s="165"/>
      <c r="AM136" s="165"/>
      <c r="AN136" s="165"/>
      <c r="AO136" s="165"/>
      <c r="AP136" s="165"/>
      <c r="AQ136" s="165"/>
      <c r="AR136" s="165"/>
      <c r="AS136" s="165"/>
      <c r="AT136" s="165"/>
      <c r="AU136" s="165"/>
      <c r="AV136" s="165"/>
      <c r="AW136" s="165"/>
      <c r="AX136" s="165"/>
    </row>
    <row r="137" ht="15.75" customHeight="1">
      <c r="A137" s="165"/>
      <c r="B137" s="165"/>
      <c r="C137" s="165"/>
      <c r="D137" s="165"/>
      <c r="E137" s="165"/>
      <c r="F137" s="165"/>
      <c r="G137" s="165"/>
      <c r="H137" s="165"/>
      <c r="I137" s="165"/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  <c r="AA137" s="165"/>
      <c r="AB137" s="165"/>
      <c r="AC137" s="165"/>
      <c r="AD137" s="165"/>
      <c r="AE137" s="165"/>
      <c r="AF137" s="165"/>
      <c r="AG137" s="165"/>
      <c r="AH137" s="165"/>
      <c r="AI137" s="165"/>
      <c r="AJ137" s="165"/>
      <c r="AK137" s="165"/>
      <c r="AL137" s="165"/>
      <c r="AM137" s="165"/>
      <c r="AN137" s="165"/>
      <c r="AO137" s="165"/>
      <c r="AP137" s="165"/>
      <c r="AQ137" s="165"/>
      <c r="AR137" s="165"/>
      <c r="AS137" s="165"/>
      <c r="AT137" s="165"/>
      <c r="AU137" s="165"/>
      <c r="AV137" s="165"/>
      <c r="AW137" s="165"/>
      <c r="AX137" s="165"/>
    </row>
    <row r="138" ht="15.75" customHeight="1">
      <c r="A138" s="165"/>
      <c r="B138" s="165"/>
      <c r="C138" s="165"/>
      <c r="D138" s="165"/>
      <c r="E138" s="165"/>
      <c r="F138" s="165"/>
      <c r="G138" s="165"/>
      <c r="H138" s="165"/>
      <c r="I138" s="165"/>
      <c r="J138" s="165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  <c r="AA138" s="165"/>
      <c r="AB138" s="165"/>
      <c r="AC138" s="165"/>
      <c r="AD138" s="165"/>
      <c r="AE138" s="165"/>
      <c r="AF138" s="165"/>
      <c r="AG138" s="165"/>
      <c r="AH138" s="165"/>
      <c r="AI138" s="165"/>
      <c r="AJ138" s="165"/>
      <c r="AK138" s="165"/>
      <c r="AL138" s="165"/>
      <c r="AM138" s="165"/>
      <c r="AN138" s="165"/>
      <c r="AO138" s="165"/>
      <c r="AP138" s="165"/>
      <c r="AQ138" s="165"/>
      <c r="AR138" s="165"/>
      <c r="AS138" s="165"/>
      <c r="AT138" s="165"/>
      <c r="AU138" s="165"/>
      <c r="AV138" s="165"/>
      <c r="AW138" s="165"/>
      <c r="AX138" s="165"/>
    </row>
    <row r="139" ht="15.75" customHeight="1">
      <c r="A139" s="165"/>
      <c r="B139" s="165"/>
      <c r="C139" s="165"/>
      <c r="D139" s="165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  <c r="AA139" s="165"/>
      <c r="AB139" s="165"/>
      <c r="AC139" s="165"/>
      <c r="AD139" s="165"/>
      <c r="AE139" s="165"/>
      <c r="AF139" s="165"/>
      <c r="AG139" s="165"/>
      <c r="AH139" s="165"/>
      <c r="AI139" s="165"/>
      <c r="AJ139" s="165"/>
      <c r="AK139" s="165"/>
      <c r="AL139" s="165"/>
      <c r="AM139" s="165"/>
      <c r="AN139" s="165"/>
      <c r="AO139" s="165"/>
      <c r="AP139" s="165"/>
      <c r="AQ139" s="165"/>
      <c r="AR139" s="165"/>
      <c r="AS139" s="165"/>
      <c r="AT139" s="165"/>
      <c r="AU139" s="165"/>
      <c r="AV139" s="165"/>
      <c r="AW139" s="165"/>
      <c r="AX139" s="165"/>
    </row>
    <row r="140" ht="15.75" customHeight="1">
      <c r="A140" s="165"/>
      <c r="B140" s="165"/>
      <c r="C140" s="165"/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  <c r="AC140" s="165"/>
      <c r="AD140" s="165"/>
      <c r="AE140" s="165"/>
      <c r="AF140" s="165"/>
      <c r="AG140" s="165"/>
      <c r="AH140" s="165"/>
      <c r="AI140" s="165"/>
      <c r="AJ140" s="165"/>
      <c r="AK140" s="165"/>
      <c r="AL140" s="165"/>
      <c r="AM140" s="165"/>
      <c r="AN140" s="165"/>
      <c r="AO140" s="165"/>
      <c r="AP140" s="165"/>
      <c r="AQ140" s="165"/>
      <c r="AR140" s="165"/>
      <c r="AS140" s="165"/>
      <c r="AT140" s="165"/>
      <c r="AU140" s="165"/>
      <c r="AV140" s="165"/>
      <c r="AW140" s="165"/>
      <c r="AX140" s="165"/>
    </row>
    <row r="141" ht="15.75" customHeight="1">
      <c r="A141" s="165"/>
      <c r="B141" s="165"/>
      <c r="C141" s="165"/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  <c r="AA141" s="165"/>
      <c r="AB141" s="165"/>
      <c r="AC141" s="165"/>
      <c r="AD141" s="165"/>
      <c r="AE141" s="165"/>
      <c r="AF141" s="165"/>
      <c r="AG141" s="165"/>
      <c r="AH141" s="165"/>
      <c r="AI141" s="165"/>
      <c r="AJ141" s="165"/>
      <c r="AK141" s="165"/>
      <c r="AL141" s="165"/>
      <c r="AM141" s="165"/>
      <c r="AN141" s="165"/>
      <c r="AO141" s="165"/>
      <c r="AP141" s="165"/>
      <c r="AQ141" s="165"/>
      <c r="AR141" s="165"/>
      <c r="AS141" s="165"/>
      <c r="AT141" s="165"/>
      <c r="AU141" s="165"/>
      <c r="AV141" s="165"/>
      <c r="AW141" s="165"/>
      <c r="AX141" s="165"/>
    </row>
    <row r="142" ht="15.75" customHeight="1">
      <c r="A142" s="165"/>
      <c r="B142" s="165"/>
      <c r="C142" s="165"/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  <c r="AA142" s="165"/>
      <c r="AB142" s="165"/>
      <c r="AC142" s="165"/>
      <c r="AD142" s="165"/>
      <c r="AE142" s="165"/>
      <c r="AF142" s="165"/>
      <c r="AG142" s="165"/>
      <c r="AH142" s="165"/>
      <c r="AI142" s="165"/>
      <c r="AJ142" s="165"/>
      <c r="AK142" s="165"/>
      <c r="AL142" s="165"/>
      <c r="AM142" s="165"/>
      <c r="AN142" s="165"/>
      <c r="AO142" s="165"/>
      <c r="AP142" s="165"/>
      <c r="AQ142" s="165"/>
      <c r="AR142" s="165"/>
      <c r="AS142" s="165"/>
      <c r="AT142" s="165"/>
      <c r="AU142" s="165"/>
      <c r="AV142" s="165"/>
      <c r="AW142" s="165"/>
      <c r="AX142" s="165"/>
    </row>
    <row r="143" ht="15.75" customHeight="1">
      <c r="A143" s="165"/>
      <c r="B143" s="165"/>
      <c r="C143" s="165"/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  <c r="AA143" s="165"/>
      <c r="AB143" s="165"/>
      <c r="AC143" s="165"/>
      <c r="AD143" s="165"/>
      <c r="AE143" s="165"/>
      <c r="AF143" s="165"/>
      <c r="AG143" s="165"/>
      <c r="AH143" s="165"/>
      <c r="AI143" s="165"/>
      <c r="AJ143" s="165"/>
      <c r="AK143" s="165"/>
      <c r="AL143" s="165"/>
      <c r="AM143" s="165"/>
      <c r="AN143" s="165"/>
      <c r="AO143" s="165"/>
      <c r="AP143" s="165"/>
      <c r="AQ143" s="165"/>
      <c r="AR143" s="165"/>
      <c r="AS143" s="165"/>
      <c r="AT143" s="165"/>
      <c r="AU143" s="165"/>
      <c r="AV143" s="165"/>
      <c r="AW143" s="165"/>
      <c r="AX143" s="165"/>
    </row>
    <row r="144" ht="15.75" customHeight="1">
      <c r="A144" s="165"/>
      <c r="B144" s="165"/>
      <c r="C144" s="165"/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  <c r="AA144" s="165"/>
      <c r="AB144" s="165"/>
      <c r="AC144" s="165"/>
      <c r="AD144" s="165"/>
      <c r="AE144" s="165"/>
      <c r="AF144" s="165"/>
      <c r="AG144" s="165"/>
      <c r="AH144" s="165"/>
      <c r="AI144" s="165"/>
      <c r="AJ144" s="165"/>
      <c r="AK144" s="165"/>
      <c r="AL144" s="165"/>
      <c r="AM144" s="165"/>
      <c r="AN144" s="165"/>
      <c r="AO144" s="165"/>
      <c r="AP144" s="165"/>
      <c r="AQ144" s="165"/>
      <c r="AR144" s="165"/>
      <c r="AS144" s="165"/>
      <c r="AT144" s="165"/>
      <c r="AU144" s="165"/>
      <c r="AV144" s="165"/>
      <c r="AW144" s="165"/>
      <c r="AX144" s="165"/>
    </row>
    <row r="145" ht="15.75" customHeight="1">
      <c r="A145" s="165"/>
      <c r="B145" s="165"/>
      <c r="C145" s="165"/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  <c r="AA145" s="165"/>
      <c r="AB145" s="165"/>
      <c r="AC145" s="165"/>
      <c r="AD145" s="165"/>
      <c r="AE145" s="165"/>
      <c r="AF145" s="165"/>
      <c r="AG145" s="165"/>
      <c r="AH145" s="165"/>
      <c r="AI145" s="165"/>
      <c r="AJ145" s="165"/>
      <c r="AK145" s="165"/>
      <c r="AL145" s="165"/>
      <c r="AM145" s="165"/>
      <c r="AN145" s="165"/>
      <c r="AO145" s="165"/>
      <c r="AP145" s="165"/>
      <c r="AQ145" s="165"/>
      <c r="AR145" s="165"/>
      <c r="AS145" s="165"/>
      <c r="AT145" s="165"/>
      <c r="AU145" s="165"/>
      <c r="AV145" s="165"/>
      <c r="AW145" s="165"/>
      <c r="AX145" s="165"/>
    </row>
    <row r="146" ht="15.75" customHeight="1">
      <c r="A146" s="165"/>
      <c r="B146" s="165"/>
      <c r="C146" s="165"/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  <c r="AC146" s="165"/>
      <c r="AD146" s="165"/>
      <c r="AE146" s="165"/>
      <c r="AF146" s="165"/>
      <c r="AG146" s="165"/>
      <c r="AH146" s="165"/>
      <c r="AI146" s="165"/>
      <c r="AJ146" s="165"/>
      <c r="AK146" s="165"/>
      <c r="AL146" s="165"/>
      <c r="AM146" s="165"/>
      <c r="AN146" s="165"/>
      <c r="AO146" s="165"/>
      <c r="AP146" s="165"/>
      <c r="AQ146" s="165"/>
      <c r="AR146" s="165"/>
      <c r="AS146" s="165"/>
      <c r="AT146" s="165"/>
      <c r="AU146" s="165"/>
      <c r="AV146" s="165"/>
      <c r="AW146" s="165"/>
      <c r="AX146" s="165"/>
    </row>
    <row r="147" ht="15.75" customHeight="1">
      <c r="A147" s="165"/>
      <c r="B147" s="165"/>
      <c r="C147" s="165"/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  <c r="AC147" s="165"/>
      <c r="AD147" s="165"/>
      <c r="AE147" s="165"/>
      <c r="AF147" s="165"/>
      <c r="AG147" s="165"/>
      <c r="AH147" s="165"/>
      <c r="AI147" s="165"/>
      <c r="AJ147" s="165"/>
      <c r="AK147" s="165"/>
      <c r="AL147" s="165"/>
      <c r="AM147" s="165"/>
      <c r="AN147" s="165"/>
      <c r="AO147" s="165"/>
      <c r="AP147" s="165"/>
      <c r="AQ147" s="165"/>
      <c r="AR147" s="165"/>
      <c r="AS147" s="165"/>
      <c r="AT147" s="165"/>
      <c r="AU147" s="165"/>
      <c r="AV147" s="165"/>
      <c r="AW147" s="165"/>
      <c r="AX147" s="165"/>
    </row>
    <row r="148" ht="15.75" customHeight="1">
      <c r="A148" s="165"/>
      <c r="B148" s="165"/>
      <c r="C148" s="165"/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  <c r="AC148" s="165"/>
      <c r="AD148" s="165"/>
      <c r="AE148" s="165"/>
      <c r="AF148" s="165"/>
      <c r="AG148" s="165"/>
      <c r="AH148" s="165"/>
      <c r="AI148" s="165"/>
      <c r="AJ148" s="165"/>
      <c r="AK148" s="165"/>
      <c r="AL148" s="165"/>
      <c r="AM148" s="165"/>
      <c r="AN148" s="165"/>
      <c r="AO148" s="165"/>
      <c r="AP148" s="165"/>
      <c r="AQ148" s="165"/>
      <c r="AR148" s="165"/>
      <c r="AS148" s="165"/>
      <c r="AT148" s="165"/>
      <c r="AU148" s="165"/>
      <c r="AV148" s="165"/>
      <c r="AW148" s="165"/>
      <c r="AX148" s="165"/>
    </row>
    <row r="149" ht="15.75" customHeight="1">
      <c r="A149" s="165"/>
      <c r="B149" s="165"/>
      <c r="C149" s="165"/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  <c r="AC149" s="165"/>
      <c r="AD149" s="165"/>
      <c r="AE149" s="165"/>
      <c r="AF149" s="165"/>
      <c r="AG149" s="165"/>
      <c r="AH149" s="165"/>
      <c r="AI149" s="165"/>
      <c r="AJ149" s="165"/>
      <c r="AK149" s="165"/>
      <c r="AL149" s="165"/>
      <c r="AM149" s="165"/>
      <c r="AN149" s="165"/>
      <c r="AO149" s="165"/>
      <c r="AP149" s="165"/>
      <c r="AQ149" s="165"/>
      <c r="AR149" s="165"/>
      <c r="AS149" s="165"/>
      <c r="AT149" s="165"/>
      <c r="AU149" s="165"/>
      <c r="AV149" s="165"/>
      <c r="AW149" s="165"/>
      <c r="AX149" s="165"/>
    </row>
    <row r="150" ht="15.75" customHeight="1">
      <c r="A150" s="165"/>
      <c r="B150" s="165"/>
      <c r="C150" s="165"/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  <c r="AC150" s="165"/>
      <c r="AD150" s="165"/>
      <c r="AE150" s="165"/>
      <c r="AF150" s="165"/>
      <c r="AG150" s="165"/>
      <c r="AH150" s="165"/>
      <c r="AI150" s="165"/>
      <c r="AJ150" s="165"/>
      <c r="AK150" s="165"/>
      <c r="AL150" s="165"/>
      <c r="AM150" s="165"/>
      <c r="AN150" s="165"/>
      <c r="AO150" s="165"/>
      <c r="AP150" s="165"/>
      <c r="AQ150" s="165"/>
      <c r="AR150" s="165"/>
      <c r="AS150" s="165"/>
      <c r="AT150" s="165"/>
      <c r="AU150" s="165"/>
      <c r="AV150" s="165"/>
      <c r="AW150" s="165"/>
      <c r="AX150" s="165"/>
    </row>
    <row r="151" ht="15.75" customHeight="1">
      <c r="A151" s="165"/>
      <c r="B151" s="165"/>
      <c r="C151" s="165"/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  <c r="AC151" s="165"/>
      <c r="AD151" s="165"/>
      <c r="AE151" s="165"/>
      <c r="AF151" s="165"/>
      <c r="AG151" s="165"/>
      <c r="AH151" s="165"/>
      <c r="AI151" s="165"/>
      <c r="AJ151" s="165"/>
      <c r="AK151" s="165"/>
      <c r="AL151" s="165"/>
      <c r="AM151" s="165"/>
      <c r="AN151" s="165"/>
      <c r="AO151" s="165"/>
      <c r="AP151" s="165"/>
      <c r="AQ151" s="165"/>
      <c r="AR151" s="165"/>
      <c r="AS151" s="165"/>
      <c r="AT151" s="165"/>
      <c r="AU151" s="165"/>
      <c r="AV151" s="165"/>
      <c r="AW151" s="165"/>
      <c r="AX151" s="165"/>
    </row>
    <row r="152" ht="15.75" customHeight="1">
      <c r="A152" s="165"/>
      <c r="B152" s="165"/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  <c r="AC152" s="165"/>
      <c r="AD152" s="165"/>
      <c r="AE152" s="165"/>
      <c r="AF152" s="165"/>
      <c r="AG152" s="165"/>
      <c r="AH152" s="165"/>
      <c r="AI152" s="165"/>
      <c r="AJ152" s="165"/>
      <c r="AK152" s="165"/>
      <c r="AL152" s="165"/>
      <c r="AM152" s="165"/>
      <c r="AN152" s="165"/>
      <c r="AO152" s="165"/>
      <c r="AP152" s="165"/>
      <c r="AQ152" s="165"/>
      <c r="AR152" s="165"/>
      <c r="AS152" s="165"/>
      <c r="AT152" s="165"/>
      <c r="AU152" s="165"/>
      <c r="AV152" s="165"/>
      <c r="AW152" s="165"/>
      <c r="AX152" s="165"/>
    </row>
    <row r="153" ht="15.75" customHeight="1">
      <c r="A153" s="165"/>
      <c r="B153" s="165"/>
      <c r="C153" s="165"/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  <c r="AC153" s="165"/>
      <c r="AD153" s="165"/>
      <c r="AE153" s="165"/>
      <c r="AF153" s="165"/>
      <c r="AG153" s="165"/>
      <c r="AH153" s="165"/>
      <c r="AI153" s="165"/>
      <c r="AJ153" s="165"/>
      <c r="AK153" s="165"/>
      <c r="AL153" s="165"/>
      <c r="AM153" s="165"/>
      <c r="AN153" s="165"/>
      <c r="AO153" s="165"/>
      <c r="AP153" s="165"/>
      <c r="AQ153" s="165"/>
      <c r="AR153" s="165"/>
      <c r="AS153" s="165"/>
      <c r="AT153" s="165"/>
      <c r="AU153" s="165"/>
      <c r="AV153" s="165"/>
      <c r="AW153" s="165"/>
      <c r="AX153" s="165"/>
    </row>
    <row r="154" ht="15.75" customHeight="1">
      <c r="A154" s="165"/>
      <c r="B154" s="165"/>
      <c r="C154" s="165"/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  <c r="AC154" s="165"/>
      <c r="AD154" s="165"/>
      <c r="AE154" s="165"/>
      <c r="AF154" s="165"/>
      <c r="AG154" s="165"/>
      <c r="AH154" s="165"/>
      <c r="AI154" s="165"/>
      <c r="AJ154" s="165"/>
      <c r="AK154" s="165"/>
      <c r="AL154" s="165"/>
      <c r="AM154" s="165"/>
      <c r="AN154" s="165"/>
      <c r="AO154" s="165"/>
      <c r="AP154" s="165"/>
      <c r="AQ154" s="165"/>
      <c r="AR154" s="165"/>
      <c r="AS154" s="165"/>
      <c r="AT154" s="165"/>
      <c r="AU154" s="165"/>
      <c r="AV154" s="165"/>
      <c r="AW154" s="165"/>
      <c r="AX154" s="165"/>
    </row>
    <row r="155" ht="15.75" customHeight="1">
      <c r="A155" s="165"/>
      <c r="B155" s="165"/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  <c r="AC155" s="165"/>
      <c r="AD155" s="165"/>
      <c r="AE155" s="165"/>
      <c r="AF155" s="165"/>
      <c r="AG155" s="165"/>
      <c r="AH155" s="165"/>
      <c r="AI155" s="165"/>
      <c r="AJ155" s="165"/>
      <c r="AK155" s="165"/>
      <c r="AL155" s="165"/>
      <c r="AM155" s="165"/>
      <c r="AN155" s="165"/>
      <c r="AO155" s="165"/>
      <c r="AP155" s="165"/>
      <c r="AQ155" s="165"/>
      <c r="AR155" s="165"/>
      <c r="AS155" s="165"/>
      <c r="AT155" s="165"/>
      <c r="AU155" s="165"/>
      <c r="AV155" s="165"/>
      <c r="AW155" s="165"/>
      <c r="AX155" s="165"/>
    </row>
    <row r="156" ht="15.75" customHeight="1">
      <c r="A156" s="165"/>
      <c r="B156" s="165"/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  <c r="AC156" s="165"/>
      <c r="AD156" s="165"/>
      <c r="AE156" s="165"/>
      <c r="AF156" s="165"/>
      <c r="AG156" s="165"/>
      <c r="AH156" s="165"/>
      <c r="AI156" s="165"/>
      <c r="AJ156" s="165"/>
      <c r="AK156" s="165"/>
      <c r="AL156" s="165"/>
      <c r="AM156" s="165"/>
      <c r="AN156" s="165"/>
      <c r="AO156" s="165"/>
      <c r="AP156" s="165"/>
      <c r="AQ156" s="165"/>
      <c r="AR156" s="165"/>
      <c r="AS156" s="165"/>
      <c r="AT156" s="165"/>
      <c r="AU156" s="165"/>
      <c r="AV156" s="165"/>
      <c r="AW156" s="165"/>
      <c r="AX156" s="165"/>
    </row>
    <row r="157" ht="15.75" customHeight="1">
      <c r="A157" s="165"/>
      <c r="B157" s="165"/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  <c r="AC157" s="165"/>
      <c r="AD157" s="165"/>
      <c r="AE157" s="165"/>
      <c r="AF157" s="165"/>
      <c r="AG157" s="165"/>
      <c r="AH157" s="165"/>
      <c r="AI157" s="165"/>
      <c r="AJ157" s="165"/>
      <c r="AK157" s="165"/>
      <c r="AL157" s="165"/>
      <c r="AM157" s="165"/>
      <c r="AN157" s="165"/>
      <c r="AO157" s="165"/>
      <c r="AP157" s="165"/>
      <c r="AQ157" s="165"/>
      <c r="AR157" s="165"/>
      <c r="AS157" s="165"/>
      <c r="AT157" s="165"/>
      <c r="AU157" s="165"/>
      <c r="AV157" s="165"/>
      <c r="AW157" s="165"/>
      <c r="AX157" s="165"/>
    </row>
    <row r="158" ht="15.75" customHeight="1">
      <c r="A158" s="165"/>
      <c r="B158" s="165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  <c r="AI158" s="165"/>
      <c r="AJ158" s="165"/>
      <c r="AK158" s="165"/>
      <c r="AL158" s="165"/>
      <c r="AM158" s="165"/>
      <c r="AN158" s="165"/>
      <c r="AO158" s="165"/>
      <c r="AP158" s="165"/>
      <c r="AQ158" s="165"/>
      <c r="AR158" s="165"/>
      <c r="AS158" s="165"/>
      <c r="AT158" s="165"/>
      <c r="AU158" s="165"/>
      <c r="AV158" s="165"/>
      <c r="AW158" s="165"/>
      <c r="AX158" s="165"/>
    </row>
    <row r="159" ht="15.75" customHeight="1">
      <c r="A159" s="165"/>
      <c r="B159" s="165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  <c r="AI159" s="165"/>
      <c r="AJ159" s="165"/>
      <c r="AK159" s="165"/>
      <c r="AL159" s="165"/>
      <c r="AM159" s="165"/>
      <c r="AN159" s="165"/>
      <c r="AO159" s="165"/>
      <c r="AP159" s="165"/>
      <c r="AQ159" s="165"/>
      <c r="AR159" s="165"/>
      <c r="AS159" s="165"/>
      <c r="AT159" s="165"/>
      <c r="AU159" s="165"/>
      <c r="AV159" s="165"/>
      <c r="AW159" s="165"/>
      <c r="AX159" s="165"/>
    </row>
    <row r="160" ht="15.75" customHeight="1">
      <c r="A160" s="165"/>
      <c r="B160" s="165"/>
      <c r="C160" s="165"/>
      <c r="D160" s="165"/>
      <c r="E160" s="165"/>
      <c r="F160" s="165"/>
      <c r="G160" s="165"/>
      <c r="H160" s="165"/>
      <c r="I160" s="165"/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  <c r="AA160" s="165"/>
      <c r="AB160" s="165"/>
      <c r="AC160" s="165"/>
      <c r="AD160" s="165"/>
      <c r="AE160" s="165"/>
      <c r="AF160" s="165"/>
      <c r="AG160" s="165"/>
      <c r="AH160" s="165"/>
      <c r="AI160" s="165"/>
      <c r="AJ160" s="165"/>
      <c r="AK160" s="165"/>
      <c r="AL160" s="165"/>
      <c r="AM160" s="165"/>
      <c r="AN160" s="165"/>
      <c r="AO160" s="165"/>
      <c r="AP160" s="165"/>
      <c r="AQ160" s="165"/>
      <c r="AR160" s="165"/>
      <c r="AS160" s="165"/>
      <c r="AT160" s="165"/>
      <c r="AU160" s="165"/>
      <c r="AV160" s="165"/>
      <c r="AW160" s="165"/>
      <c r="AX160" s="165"/>
    </row>
    <row r="161" ht="15.75" customHeight="1">
      <c r="A161" s="165"/>
      <c r="B161" s="165"/>
      <c r="C161" s="165"/>
      <c r="D161" s="165"/>
      <c r="E161" s="165"/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  <c r="AA161" s="165"/>
      <c r="AB161" s="165"/>
      <c r="AC161" s="165"/>
      <c r="AD161" s="165"/>
      <c r="AE161" s="165"/>
      <c r="AF161" s="165"/>
      <c r="AG161" s="165"/>
      <c r="AH161" s="165"/>
      <c r="AI161" s="165"/>
      <c r="AJ161" s="165"/>
      <c r="AK161" s="165"/>
      <c r="AL161" s="165"/>
      <c r="AM161" s="165"/>
      <c r="AN161" s="165"/>
      <c r="AO161" s="165"/>
      <c r="AP161" s="165"/>
      <c r="AQ161" s="165"/>
      <c r="AR161" s="165"/>
      <c r="AS161" s="165"/>
      <c r="AT161" s="165"/>
      <c r="AU161" s="165"/>
      <c r="AV161" s="165"/>
      <c r="AW161" s="165"/>
      <c r="AX161" s="165"/>
    </row>
    <row r="162" ht="15.75" customHeight="1">
      <c r="A162" s="165"/>
      <c r="B162" s="165"/>
      <c r="C162" s="165"/>
      <c r="D162" s="165"/>
      <c r="E162" s="165"/>
      <c r="F162" s="165"/>
      <c r="G162" s="165"/>
      <c r="H162" s="165"/>
      <c r="I162" s="165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E162" s="165"/>
      <c r="AF162" s="165"/>
      <c r="AG162" s="165"/>
      <c r="AH162" s="165"/>
      <c r="AI162" s="165"/>
      <c r="AJ162" s="165"/>
      <c r="AK162" s="165"/>
      <c r="AL162" s="165"/>
      <c r="AM162" s="165"/>
      <c r="AN162" s="165"/>
      <c r="AO162" s="165"/>
      <c r="AP162" s="165"/>
      <c r="AQ162" s="165"/>
      <c r="AR162" s="165"/>
      <c r="AS162" s="165"/>
      <c r="AT162" s="165"/>
      <c r="AU162" s="165"/>
      <c r="AV162" s="165"/>
      <c r="AW162" s="165"/>
      <c r="AX162" s="165"/>
    </row>
    <row r="163" ht="15.75" customHeight="1">
      <c r="A163" s="165"/>
      <c r="B163" s="165"/>
      <c r="C163" s="165"/>
      <c r="D163" s="165"/>
      <c r="E163" s="165"/>
      <c r="F163" s="165"/>
      <c r="G163" s="165"/>
      <c r="H163" s="165"/>
      <c r="I163" s="165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  <c r="AA163" s="165"/>
      <c r="AB163" s="165"/>
      <c r="AC163" s="165"/>
      <c r="AD163" s="165"/>
      <c r="AE163" s="165"/>
      <c r="AF163" s="165"/>
      <c r="AG163" s="165"/>
      <c r="AH163" s="165"/>
      <c r="AI163" s="165"/>
      <c r="AJ163" s="165"/>
      <c r="AK163" s="165"/>
      <c r="AL163" s="165"/>
      <c r="AM163" s="165"/>
      <c r="AN163" s="165"/>
      <c r="AO163" s="165"/>
      <c r="AP163" s="165"/>
      <c r="AQ163" s="165"/>
      <c r="AR163" s="165"/>
      <c r="AS163" s="165"/>
      <c r="AT163" s="165"/>
      <c r="AU163" s="165"/>
      <c r="AV163" s="165"/>
      <c r="AW163" s="165"/>
      <c r="AX163" s="165"/>
    </row>
    <row r="164" ht="15.75" customHeight="1">
      <c r="A164" s="165"/>
      <c r="B164" s="165"/>
      <c r="C164" s="165"/>
      <c r="D164" s="165"/>
      <c r="E164" s="165"/>
      <c r="F164" s="165"/>
      <c r="G164" s="165"/>
      <c r="H164" s="165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  <c r="AA164" s="165"/>
      <c r="AB164" s="165"/>
      <c r="AC164" s="165"/>
      <c r="AD164" s="165"/>
      <c r="AE164" s="165"/>
      <c r="AF164" s="165"/>
      <c r="AG164" s="165"/>
      <c r="AH164" s="165"/>
      <c r="AI164" s="165"/>
      <c r="AJ164" s="165"/>
      <c r="AK164" s="165"/>
      <c r="AL164" s="165"/>
      <c r="AM164" s="165"/>
      <c r="AN164" s="165"/>
      <c r="AO164" s="165"/>
      <c r="AP164" s="165"/>
      <c r="AQ164" s="165"/>
      <c r="AR164" s="165"/>
      <c r="AS164" s="165"/>
      <c r="AT164" s="165"/>
      <c r="AU164" s="165"/>
      <c r="AV164" s="165"/>
      <c r="AW164" s="165"/>
      <c r="AX164" s="165"/>
    </row>
    <row r="165" ht="15.75" customHeight="1">
      <c r="A165" s="165"/>
      <c r="B165" s="165"/>
      <c r="C165" s="165"/>
      <c r="D165" s="165"/>
      <c r="E165" s="165"/>
      <c r="F165" s="165"/>
      <c r="G165" s="165"/>
      <c r="H165" s="165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  <c r="AA165" s="165"/>
      <c r="AB165" s="165"/>
      <c r="AC165" s="165"/>
      <c r="AD165" s="165"/>
      <c r="AE165" s="165"/>
      <c r="AF165" s="165"/>
      <c r="AG165" s="165"/>
      <c r="AH165" s="165"/>
      <c r="AI165" s="165"/>
      <c r="AJ165" s="165"/>
      <c r="AK165" s="165"/>
      <c r="AL165" s="165"/>
      <c r="AM165" s="165"/>
      <c r="AN165" s="165"/>
      <c r="AO165" s="165"/>
      <c r="AP165" s="165"/>
      <c r="AQ165" s="165"/>
      <c r="AR165" s="165"/>
      <c r="AS165" s="165"/>
      <c r="AT165" s="165"/>
      <c r="AU165" s="165"/>
      <c r="AV165" s="165"/>
      <c r="AW165" s="165"/>
      <c r="AX165" s="165"/>
    </row>
    <row r="166" ht="15.75" customHeight="1">
      <c r="A166" s="165"/>
      <c r="B166" s="165"/>
      <c r="C166" s="165"/>
      <c r="D166" s="165"/>
      <c r="E166" s="165"/>
      <c r="F166" s="165"/>
      <c r="G166" s="165"/>
      <c r="H166" s="165"/>
      <c r="I166" s="165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  <c r="AA166" s="165"/>
      <c r="AB166" s="165"/>
      <c r="AC166" s="165"/>
      <c r="AD166" s="165"/>
      <c r="AE166" s="165"/>
      <c r="AF166" s="165"/>
      <c r="AG166" s="165"/>
      <c r="AH166" s="165"/>
      <c r="AI166" s="165"/>
      <c r="AJ166" s="165"/>
      <c r="AK166" s="165"/>
      <c r="AL166" s="165"/>
      <c r="AM166" s="165"/>
      <c r="AN166" s="165"/>
      <c r="AO166" s="165"/>
      <c r="AP166" s="165"/>
      <c r="AQ166" s="165"/>
      <c r="AR166" s="165"/>
      <c r="AS166" s="165"/>
      <c r="AT166" s="165"/>
      <c r="AU166" s="165"/>
      <c r="AV166" s="165"/>
      <c r="AW166" s="165"/>
      <c r="AX166" s="165"/>
    </row>
    <row r="167" ht="15.75" customHeight="1">
      <c r="A167" s="165"/>
      <c r="B167" s="165"/>
      <c r="C167" s="165"/>
      <c r="D167" s="165"/>
      <c r="E167" s="165"/>
      <c r="F167" s="165"/>
      <c r="G167" s="165"/>
      <c r="H167" s="165"/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  <c r="AA167" s="165"/>
      <c r="AB167" s="165"/>
      <c r="AC167" s="165"/>
      <c r="AD167" s="165"/>
      <c r="AE167" s="165"/>
      <c r="AF167" s="165"/>
      <c r="AG167" s="165"/>
      <c r="AH167" s="165"/>
      <c r="AI167" s="165"/>
      <c r="AJ167" s="165"/>
      <c r="AK167" s="165"/>
      <c r="AL167" s="165"/>
      <c r="AM167" s="165"/>
      <c r="AN167" s="165"/>
      <c r="AO167" s="165"/>
      <c r="AP167" s="165"/>
      <c r="AQ167" s="165"/>
      <c r="AR167" s="165"/>
      <c r="AS167" s="165"/>
      <c r="AT167" s="165"/>
      <c r="AU167" s="165"/>
      <c r="AV167" s="165"/>
      <c r="AW167" s="165"/>
      <c r="AX167" s="165"/>
    </row>
    <row r="168" ht="15.75" customHeight="1">
      <c r="A168" s="165"/>
      <c r="B168" s="165"/>
      <c r="C168" s="165"/>
      <c r="D168" s="165"/>
      <c r="E168" s="165"/>
      <c r="F168" s="165"/>
      <c r="G168" s="165"/>
      <c r="H168" s="165"/>
      <c r="I168" s="165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  <c r="AA168" s="165"/>
      <c r="AB168" s="165"/>
      <c r="AC168" s="165"/>
      <c r="AD168" s="165"/>
      <c r="AE168" s="165"/>
      <c r="AF168" s="165"/>
      <c r="AG168" s="165"/>
      <c r="AH168" s="165"/>
      <c r="AI168" s="165"/>
      <c r="AJ168" s="165"/>
      <c r="AK168" s="165"/>
      <c r="AL168" s="165"/>
      <c r="AM168" s="165"/>
      <c r="AN168" s="165"/>
      <c r="AO168" s="165"/>
      <c r="AP168" s="165"/>
      <c r="AQ168" s="165"/>
      <c r="AR168" s="165"/>
      <c r="AS168" s="165"/>
      <c r="AT168" s="165"/>
      <c r="AU168" s="165"/>
      <c r="AV168" s="165"/>
      <c r="AW168" s="165"/>
      <c r="AX168" s="165"/>
    </row>
    <row r="169" ht="15.75" customHeight="1">
      <c r="A169" s="165"/>
      <c r="B169" s="165"/>
      <c r="C169" s="165"/>
      <c r="D169" s="165"/>
      <c r="E169" s="165"/>
      <c r="F169" s="165"/>
      <c r="G169" s="165"/>
      <c r="H169" s="165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  <c r="AA169" s="165"/>
      <c r="AB169" s="165"/>
      <c r="AC169" s="165"/>
      <c r="AD169" s="165"/>
      <c r="AE169" s="165"/>
      <c r="AF169" s="165"/>
      <c r="AG169" s="165"/>
      <c r="AH169" s="165"/>
      <c r="AI169" s="165"/>
      <c r="AJ169" s="165"/>
      <c r="AK169" s="165"/>
      <c r="AL169" s="165"/>
      <c r="AM169" s="165"/>
      <c r="AN169" s="165"/>
      <c r="AO169" s="165"/>
      <c r="AP169" s="165"/>
      <c r="AQ169" s="165"/>
      <c r="AR169" s="165"/>
      <c r="AS169" s="165"/>
      <c r="AT169" s="165"/>
      <c r="AU169" s="165"/>
      <c r="AV169" s="165"/>
      <c r="AW169" s="165"/>
      <c r="AX169" s="165"/>
    </row>
    <row r="170" ht="15.75" customHeight="1">
      <c r="A170" s="165"/>
      <c r="B170" s="165"/>
      <c r="C170" s="165"/>
      <c r="D170" s="165"/>
      <c r="E170" s="165"/>
      <c r="F170" s="165"/>
      <c r="G170" s="165"/>
      <c r="H170" s="165"/>
      <c r="I170" s="165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  <c r="AA170" s="165"/>
      <c r="AB170" s="165"/>
      <c r="AC170" s="165"/>
      <c r="AD170" s="165"/>
      <c r="AE170" s="165"/>
      <c r="AF170" s="165"/>
      <c r="AG170" s="165"/>
      <c r="AH170" s="165"/>
      <c r="AI170" s="165"/>
      <c r="AJ170" s="165"/>
      <c r="AK170" s="165"/>
      <c r="AL170" s="165"/>
      <c r="AM170" s="165"/>
      <c r="AN170" s="165"/>
      <c r="AO170" s="165"/>
      <c r="AP170" s="165"/>
      <c r="AQ170" s="165"/>
      <c r="AR170" s="165"/>
      <c r="AS170" s="165"/>
      <c r="AT170" s="165"/>
      <c r="AU170" s="165"/>
      <c r="AV170" s="165"/>
      <c r="AW170" s="165"/>
      <c r="AX170" s="165"/>
    </row>
    <row r="171" ht="15.75" customHeight="1">
      <c r="A171" s="165"/>
      <c r="B171" s="165"/>
      <c r="C171" s="165"/>
      <c r="D171" s="165"/>
      <c r="E171" s="165"/>
      <c r="F171" s="165"/>
      <c r="G171" s="165"/>
      <c r="H171" s="165"/>
      <c r="I171" s="165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  <c r="AA171" s="165"/>
      <c r="AB171" s="165"/>
      <c r="AC171" s="165"/>
      <c r="AD171" s="165"/>
      <c r="AE171" s="165"/>
      <c r="AF171" s="165"/>
      <c r="AG171" s="165"/>
      <c r="AH171" s="165"/>
      <c r="AI171" s="165"/>
      <c r="AJ171" s="165"/>
      <c r="AK171" s="165"/>
      <c r="AL171" s="165"/>
      <c r="AM171" s="165"/>
      <c r="AN171" s="165"/>
      <c r="AO171" s="165"/>
      <c r="AP171" s="165"/>
      <c r="AQ171" s="165"/>
      <c r="AR171" s="165"/>
      <c r="AS171" s="165"/>
      <c r="AT171" s="165"/>
      <c r="AU171" s="165"/>
      <c r="AV171" s="165"/>
      <c r="AW171" s="165"/>
      <c r="AX171" s="165"/>
    </row>
    <row r="172" ht="15.75" customHeight="1">
      <c r="A172" s="165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5"/>
      <c r="AH172" s="165"/>
      <c r="AI172" s="165"/>
      <c r="AJ172" s="165"/>
      <c r="AK172" s="165"/>
      <c r="AL172" s="165"/>
      <c r="AM172" s="165"/>
      <c r="AN172" s="165"/>
      <c r="AO172" s="165"/>
      <c r="AP172" s="165"/>
      <c r="AQ172" s="165"/>
      <c r="AR172" s="165"/>
      <c r="AS172" s="165"/>
      <c r="AT172" s="165"/>
      <c r="AU172" s="165"/>
      <c r="AV172" s="165"/>
      <c r="AW172" s="165"/>
      <c r="AX172" s="165"/>
    </row>
    <row r="173" ht="15.75" customHeight="1">
      <c r="A173" s="165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5"/>
      <c r="AH173" s="165"/>
      <c r="AI173" s="165"/>
      <c r="AJ173" s="165"/>
      <c r="AK173" s="165"/>
      <c r="AL173" s="165"/>
      <c r="AM173" s="165"/>
      <c r="AN173" s="165"/>
      <c r="AO173" s="165"/>
      <c r="AP173" s="165"/>
      <c r="AQ173" s="165"/>
      <c r="AR173" s="165"/>
      <c r="AS173" s="165"/>
      <c r="AT173" s="165"/>
      <c r="AU173" s="165"/>
      <c r="AV173" s="165"/>
      <c r="AW173" s="165"/>
      <c r="AX173" s="165"/>
    </row>
    <row r="174" ht="15.75" customHeight="1">
      <c r="A174" s="165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5"/>
      <c r="AH174" s="165"/>
      <c r="AI174" s="165"/>
      <c r="AJ174" s="165"/>
      <c r="AK174" s="165"/>
      <c r="AL174" s="165"/>
      <c r="AM174" s="165"/>
      <c r="AN174" s="165"/>
      <c r="AO174" s="165"/>
      <c r="AP174" s="165"/>
      <c r="AQ174" s="165"/>
      <c r="AR174" s="165"/>
      <c r="AS174" s="165"/>
      <c r="AT174" s="165"/>
      <c r="AU174" s="165"/>
      <c r="AV174" s="165"/>
      <c r="AW174" s="165"/>
      <c r="AX174" s="165"/>
    </row>
    <row r="175" ht="15.75" customHeight="1">
      <c r="A175" s="165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5"/>
      <c r="AH175" s="165"/>
      <c r="AI175" s="165"/>
      <c r="AJ175" s="165"/>
      <c r="AK175" s="165"/>
      <c r="AL175" s="165"/>
      <c r="AM175" s="165"/>
      <c r="AN175" s="165"/>
      <c r="AO175" s="165"/>
      <c r="AP175" s="165"/>
      <c r="AQ175" s="165"/>
      <c r="AR175" s="165"/>
      <c r="AS175" s="165"/>
      <c r="AT175" s="165"/>
      <c r="AU175" s="165"/>
      <c r="AV175" s="165"/>
      <c r="AW175" s="165"/>
      <c r="AX175" s="165"/>
    </row>
    <row r="176" ht="15.75" customHeight="1">
      <c r="A176" s="165"/>
      <c r="B176" s="165"/>
      <c r="C176" s="165"/>
      <c r="D176" s="165"/>
      <c r="E176" s="165"/>
      <c r="F176" s="165"/>
      <c r="G176" s="165"/>
      <c r="H176" s="165"/>
      <c r="I176" s="165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5"/>
      <c r="AH176" s="165"/>
      <c r="AI176" s="165"/>
      <c r="AJ176" s="165"/>
      <c r="AK176" s="165"/>
      <c r="AL176" s="165"/>
      <c r="AM176" s="165"/>
      <c r="AN176" s="165"/>
      <c r="AO176" s="165"/>
      <c r="AP176" s="165"/>
      <c r="AQ176" s="165"/>
      <c r="AR176" s="165"/>
      <c r="AS176" s="165"/>
      <c r="AT176" s="165"/>
      <c r="AU176" s="165"/>
      <c r="AV176" s="165"/>
      <c r="AW176" s="165"/>
      <c r="AX176" s="165"/>
    </row>
    <row r="177" ht="15.75" customHeight="1">
      <c r="A177" s="165"/>
      <c r="B177" s="165"/>
      <c r="C177" s="165"/>
      <c r="D177" s="165"/>
      <c r="E177" s="165"/>
      <c r="F177" s="165"/>
      <c r="G177" s="165"/>
      <c r="H177" s="165"/>
      <c r="I177" s="165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5"/>
      <c r="AH177" s="165"/>
      <c r="AI177" s="165"/>
      <c r="AJ177" s="165"/>
      <c r="AK177" s="165"/>
      <c r="AL177" s="165"/>
      <c r="AM177" s="165"/>
      <c r="AN177" s="165"/>
      <c r="AO177" s="165"/>
      <c r="AP177" s="165"/>
      <c r="AQ177" s="165"/>
      <c r="AR177" s="165"/>
      <c r="AS177" s="165"/>
      <c r="AT177" s="165"/>
      <c r="AU177" s="165"/>
      <c r="AV177" s="165"/>
      <c r="AW177" s="165"/>
      <c r="AX177" s="165"/>
    </row>
    <row r="178" ht="15.75" customHeight="1">
      <c r="A178" s="165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5"/>
      <c r="AH178" s="165"/>
      <c r="AI178" s="165"/>
      <c r="AJ178" s="165"/>
      <c r="AK178" s="165"/>
      <c r="AL178" s="165"/>
      <c r="AM178" s="165"/>
      <c r="AN178" s="165"/>
      <c r="AO178" s="165"/>
      <c r="AP178" s="165"/>
      <c r="AQ178" s="165"/>
      <c r="AR178" s="165"/>
      <c r="AS178" s="165"/>
      <c r="AT178" s="165"/>
      <c r="AU178" s="165"/>
      <c r="AV178" s="165"/>
      <c r="AW178" s="165"/>
      <c r="AX178" s="165"/>
    </row>
    <row r="179" ht="15.75" customHeight="1">
      <c r="A179" s="165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5"/>
      <c r="AH179" s="165"/>
      <c r="AI179" s="165"/>
      <c r="AJ179" s="165"/>
      <c r="AK179" s="165"/>
      <c r="AL179" s="165"/>
      <c r="AM179" s="165"/>
      <c r="AN179" s="165"/>
      <c r="AO179" s="165"/>
      <c r="AP179" s="165"/>
      <c r="AQ179" s="165"/>
      <c r="AR179" s="165"/>
      <c r="AS179" s="165"/>
      <c r="AT179" s="165"/>
      <c r="AU179" s="165"/>
      <c r="AV179" s="165"/>
      <c r="AW179" s="165"/>
      <c r="AX179" s="165"/>
    </row>
    <row r="180" ht="15.75" customHeight="1">
      <c r="A180" s="165"/>
      <c r="B180" s="165"/>
      <c r="C180" s="165"/>
      <c r="D180" s="165"/>
      <c r="E180" s="165"/>
      <c r="F180" s="165"/>
      <c r="G180" s="165"/>
      <c r="H180" s="165"/>
      <c r="I180" s="165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  <c r="AA180" s="165"/>
      <c r="AB180" s="165"/>
      <c r="AC180" s="165"/>
      <c r="AD180" s="165"/>
      <c r="AE180" s="165"/>
      <c r="AF180" s="165"/>
      <c r="AG180" s="165"/>
      <c r="AH180" s="165"/>
      <c r="AI180" s="165"/>
      <c r="AJ180" s="165"/>
      <c r="AK180" s="165"/>
      <c r="AL180" s="165"/>
      <c r="AM180" s="165"/>
      <c r="AN180" s="165"/>
      <c r="AO180" s="165"/>
      <c r="AP180" s="165"/>
      <c r="AQ180" s="165"/>
      <c r="AR180" s="165"/>
      <c r="AS180" s="165"/>
      <c r="AT180" s="165"/>
      <c r="AU180" s="165"/>
      <c r="AV180" s="165"/>
      <c r="AW180" s="165"/>
      <c r="AX180" s="165"/>
    </row>
    <row r="181" ht="15.75" customHeight="1">
      <c r="A181" s="165"/>
      <c r="B181" s="165"/>
      <c r="C181" s="165"/>
      <c r="D181" s="165"/>
      <c r="E181" s="165"/>
      <c r="F181" s="165"/>
      <c r="G181" s="165"/>
      <c r="H181" s="165"/>
      <c r="I181" s="165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  <c r="AA181" s="165"/>
      <c r="AB181" s="165"/>
      <c r="AC181" s="165"/>
      <c r="AD181" s="165"/>
      <c r="AE181" s="165"/>
      <c r="AF181" s="165"/>
      <c r="AG181" s="165"/>
      <c r="AH181" s="165"/>
      <c r="AI181" s="165"/>
      <c r="AJ181" s="165"/>
      <c r="AK181" s="165"/>
      <c r="AL181" s="165"/>
      <c r="AM181" s="165"/>
      <c r="AN181" s="165"/>
      <c r="AO181" s="165"/>
      <c r="AP181" s="165"/>
      <c r="AQ181" s="165"/>
      <c r="AR181" s="165"/>
      <c r="AS181" s="165"/>
      <c r="AT181" s="165"/>
      <c r="AU181" s="165"/>
      <c r="AV181" s="165"/>
      <c r="AW181" s="165"/>
      <c r="AX181" s="165"/>
    </row>
    <row r="182" ht="15.75" customHeight="1">
      <c r="A182" s="165"/>
      <c r="B182" s="165"/>
      <c r="C182" s="165"/>
      <c r="D182" s="165"/>
      <c r="E182" s="165"/>
      <c r="F182" s="165"/>
      <c r="G182" s="165"/>
      <c r="H182" s="165"/>
      <c r="I182" s="165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  <c r="AC182" s="165"/>
      <c r="AD182" s="165"/>
      <c r="AE182" s="165"/>
      <c r="AF182" s="165"/>
      <c r="AG182" s="165"/>
      <c r="AH182" s="165"/>
      <c r="AI182" s="165"/>
      <c r="AJ182" s="165"/>
      <c r="AK182" s="165"/>
      <c r="AL182" s="165"/>
      <c r="AM182" s="165"/>
      <c r="AN182" s="165"/>
      <c r="AO182" s="165"/>
      <c r="AP182" s="165"/>
      <c r="AQ182" s="165"/>
      <c r="AR182" s="165"/>
      <c r="AS182" s="165"/>
      <c r="AT182" s="165"/>
      <c r="AU182" s="165"/>
      <c r="AV182" s="165"/>
      <c r="AW182" s="165"/>
      <c r="AX182" s="165"/>
    </row>
    <row r="183" ht="15.75" customHeight="1">
      <c r="A183" s="165"/>
      <c r="B183" s="165"/>
      <c r="C183" s="165"/>
      <c r="D183" s="165"/>
      <c r="E183" s="165"/>
      <c r="F183" s="165"/>
      <c r="G183" s="165"/>
      <c r="H183" s="165"/>
      <c r="I183" s="165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  <c r="AA183" s="165"/>
      <c r="AB183" s="165"/>
      <c r="AC183" s="165"/>
      <c r="AD183" s="165"/>
      <c r="AE183" s="165"/>
      <c r="AF183" s="165"/>
      <c r="AG183" s="165"/>
      <c r="AH183" s="165"/>
      <c r="AI183" s="165"/>
      <c r="AJ183" s="165"/>
      <c r="AK183" s="165"/>
      <c r="AL183" s="165"/>
      <c r="AM183" s="165"/>
      <c r="AN183" s="165"/>
      <c r="AO183" s="165"/>
      <c r="AP183" s="165"/>
      <c r="AQ183" s="165"/>
      <c r="AR183" s="165"/>
      <c r="AS183" s="165"/>
      <c r="AT183" s="165"/>
      <c r="AU183" s="165"/>
      <c r="AV183" s="165"/>
      <c r="AW183" s="165"/>
      <c r="AX183" s="165"/>
    </row>
    <row r="184" ht="15.75" customHeight="1">
      <c r="A184" s="165"/>
      <c r="B184" s="165"/>
      <c r="C184" s="165"/>
      <c r="D184" s="165"/>
      <c r="E184" s="165"/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  <c r="AA184" s="165"/>
      <c r="AB184" s="165"/>
      <c r="AC184" s="165"/>
      <c r="AD184" s="165"/>
      <c r="AE184" s="165"/>
      <c r="AF184" s="165"/>
      <c r="AG184" s="165"/>
      <c r="AH184" s="165"/>
      <c r="AI184" s="165"/>
      <c r="AJ184" s="165"/>
      <c r="AK184" s="165"/>
      <c r="AL184" s="165"/>
      <c r="AM184" s="165"/>
      <c r="AN184" s="165"/>
      <c r="AO184" s="165"/>
      <c r="AP184" s="165"/>
      <c r="AQ184" s="165"/>
      <c r="AR184" s="165"/>
      <c r="AS184" s="165"/>
      <c r="AT184" s="165"/>
      <c r="AU184" s="165"/>
      <c r="AV184" s="165"/>
      <c r="AW184" s="165"/>
      <c r="AX184" s="165"/>
    </row>
    <row r="185" ht="15.75" customHeight="1">
      <c r="A185" s="165"/>
      <c r="B185" s="165"/>
      <c r="C185" s="165"/>
      <c r="D185" s="165"/>
      <c r="E185" s="165"/>
      <c r="F185" s="165"/>
      <c r="G185" s="165"/>
      <c r="H185" s="165"/>
      <c r="I185" s="165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  <c r="AA185" s="165"/>
      <c r="AB185" s="165"/>
      <c r="AC185" s="165"/>
      <c r="AD185" s="165"/>
      <c r="AE185" s="165"/>
      <c r="AF185" s="165"/>
      <c r="AG185" s="165"/>
      <c r="AH185" s="165"/>
      <c r="AI185" s="165"/>
      <c r="AJ185" s="165"/>
      <c r="AK185" s="165"/>
      <c r="AL185" s="165"/>
      <c r="AM185" s="165"/>
      <c r="AN185" s="165"/>
      <c r="AO185" s="165"/>
      <c r="AP185" s="165"/>
      <c r="AQ185" s="165"/>
      <c r="AR185" s="165"/>
      <c r="AS185" s="165"/>
      <c r="AT185" s="165"/>
      <c r="AU185" s="165"/>
      <c r="AV185" s="165"/>
      <c r="AW185" s="165"/>
      <c r="AX185" s="165"/>
    </row>
    <row r="186" ht="15.75" customHeight="1">
      <c r="A186" s="165"/>
      <c r="B186" s="165"/>
      <c r="C186" s="165"/>
      <c r="D186" s="165"/>
      <c r="E186" s="165"/>
      <c r="F186" s="165"/>
      <c r="G186" s="165"/>
      <c r="H186" s="165"/>
      <c r="I186" s="165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  <c r="AA186" s="165"/>
      <c r="AB186" s="165"/>
      <c r="AC186" s="165"/>
      <c r="AD186" s="165"/>
      <c r="AE186" s="165"/>
      <c r="AF186" s="165"/>
      <c r="AG186" s="165"/>
      <c r="AH186" s="165"/>
      <c r="AI186" s="165"/>
      <c r="AJ186" s="165"/>
      <c r="AK186" s="165"/>
      <c r="AL186" s="165"/>
      <c r="AM186" s="165"/>
      <c r="AN186" s="165"/>
      <c r="AO186" s="165"/>
      <c r="AP186" s="165"/>
      <c r="AQ186" s="165"/>
      <c r="AR186" s="165"/>
      <c r="AS186" s="165"/>
      <c r="AT186" s="165"/>
      <c r="AU186" s="165"/>
      <c r="AV186" s="165"/>
      <c r="AW186" s="165"/>
      <c r="AX186" s="165"/>
    </row>
    <row r="187" ht="15.75" customHeight="1">
      <c r="A187" s="165"/>
      <c r="B187" s="165"/>
      <c r="C187" s="165"/>
      <c r="D187" s="165"/>
      <c r="E187" s="165"/>
      <c r="F187" s="165"/>
      <c r="G187" s="165"/>
      <c r="H187" s="165"/>
      <c r="I187" s="165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  <c r="AC187" s="165"/>
      <c r="AD187" s="165"/>
      <c r="AE187" s="165"/>
      <c r="AF187" s="165"/>
      <c r="AG187" s="165"/>
      <c r="AH187" s="165"/>
      <c r="AI187" s="165"/>
      <c r="AJ187" s="165"/>
      <c r="AK187" s="165"/>
      <c r="AL187" s="165"/>
      <c r="AM187" s="165"/>
      <c r="AN187" s="165"/>
      <c r="AO187" s="165"/>
      <c r="AP187" s="165"/>
      <c r="AQ187" s="165"/>
      <c r="AR187" s="165"/>
      <c r="AS187" s="165"/>
      <c r="AT187" s="165"/>
      <c r="AU187" s="165"/>
      <c r="AV187" s="165"/>
      <c r="AW187" s="165"/>
      <c r="AX187" s="165"/>
    </row>
    <row r="188" ht="15.75" customHeight="1">
      <c r="A188" s="165"/>
      <c r="B188" s="165"/>
      <c r="C188" s="165"/>
      <c r="D188" s="165"/>
      <c r="E188" s="165"/>
      <c r="F188" s="165"/>
      <c r="G188" s="165"/>
      <c r="H188" s="165"/>
      <c r="I188" s="165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65"/>
      <c r="AB188" s="165"/>
      <c r="AC188" s="165"/>
      <c r="AD188" s="165"/>
      <c r="AE188" s="165"/>
      <c r="AF188" s="165"/>
      <c r="AG188" s="165"/>
      <c r="AH188" s="165"/>
      <c r="AI188" s="165"/>
      <c r="AJ188" s="165"/>
      <c r="AK188" s="165"/>
      <c r="AL188" s="165"/>
      <c r="AM188" s="165"/>
      <c r="AN188" s="165"/>
      <c r="AO188" s="165"/>
      <c r="AP188" s="165"/>
      <c r="AQ188" s="165"/>
      <c r="AR188" s="165"/>
      <c r="AS188" s="165"/>
      <c r="AT188" s="165"/>
      <c r="AU188" s="165"/>
      <c r="AV188" s="165"/>
      <c r="AW188" s="165"/>
      <c r="AX188" s="165"/>
    </row>
    <row r="189" ht="15.75" customHeight="1">
      <c r="A189" s="165"/>
      <c r="B189" s="165"/>
      <c r="C189" s="165"/>
      <c r="D189" s="165"/>
      <c r="E189" s="165"/>
      <c r="F189" s="165"/>
      <c r="G189" s="165"/>
      <c r="H189" s="165"/>
      <c r="I189" s="165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65"/>
      <c r="AB189" s="165"/>
      <c r="AC189" s="165"/>
      <c r="AD189" s="165"/>
      <c r="AE189" s="165"/>
      <c r="AF189" s="165"/>
      <c r="AG189" s="165"/>
      <c r="AH189" s="165"/>
      <c r="AI189" s="165"/>
      <c r="AJ189" s="165"/>
      <c r="AK189" s="165"/>
      <c r="AL189" s="165"/>
      <c r="AM189" s="165"/>
      <c r="AN189" s="165"/>
      <c r="AO189" s="165"/>
      <c r="AP189" s="165"/>
      <c r="AQ189" s="165"/>
      <c r="AR189" s="165"/>
      <c r="AS189" s="165"/>
      <c r="AT189" s="165"/>
      <c r="AU189" s="165"/>
      <c r="AV189" s="165"/>
      <c r="AW189" s="165"/>
      <c r="AX189" s="165"/>
    </row>
    <row r="190" ht="15.75" customHeight="1">
      <c r="A190" s="165"/>
      <c r="B190" s="165"/>
      <c r="C190" s="165"/>
      <c r="D190" s="165"/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  <c r="AA190" s="165"/>
      <c r="AB190" s="165"/>
      <c r="AC190" s="165"/>
      <c r="AD190" s="165"/>
      <c r="AE190" s="165"/>
      <c r="AF190" s="165"/>
      <c r="AG190" s="165"/>
      <c r="AH190" s="165"/>
      <c r="AI190" s="165"/>
      <c r="AJ190" s="165"/>
      <c r="AK190" s="165"/>
      <c r="AL190" s="165"/>
      <c r="AM190" s="165"/>
      <c r="AN190" s="165"/>
      <c r="AO190" s="165"/>
      <c r="AP190" s="165"/>
      <c r="AQ190" s="165"/>
      <c r="AR190" s="165"/>
      <c r="AS190" s="165"/>
      <c r="AT190" s="165"/>
      <c r="AU190" s="165"/>
      <c r="AV190" s="165"/>
      <c r="AW190" s="165"/>
      <c r="AX190" s="165"/>
    </row>
    <row r="191" ht="15.75" customHeight="1">
      <c r="A191" s="165"/>
      <c r="B191" s="165"/>
      <c r="C191" s="165"/>
      <c r="D191" s="165"/>
      <c r="E191" s="165"/>
      <c r="F191" s="165"/>
      <c r="G191" s="165"/>
      <c r="H191" s="165"/>
      <c r="I191" s="165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  <c r="AA191" s="165"/>
      <c r="AB191" s="165"/>
      <c r="AC191" s="165"/>
      <c r="AD191" s="165"/>
      <c r="AE191" s="165"/>
      <c r="AF191" s="165"/>
      <c r="AG191" s="165"/>
      <c r="AH191" s="165"/>
      <c r="AI191" s="165"/>
      <c r="AJ191" s="165"/>
      <c r="AK191" s="165"/>
      <c r="AL191" s="165"/>
      <c r="AM191" s="165"/>
      <c r="AN191" s="165"/>
      <c r="AO191" s="165"/>
      <c r="AP191" s="165"/>
      <c r="AQ191" s="165"/>
      <c r="AR191" s="165"/>
      <c r="AS191" s="165"/>
      <c r="AT191" s="165"/>
      <c r="AU191" s="165"/>
      <c r="AV191" s="165"/>
      <c r="AW191" s="165"/>
      <c r="AX191" s="165"/>
    </row>
    <row r="192" ht="15.75" customHeight="1">
      <c r="A192" s="165"/>
      <c r="B192" s="165"/>
      <c r="C192" s="165"/>
      <c r="D192" s="165"/>
      <c r="E192" s="165"/>
      <c r="F192" s="165"/>
      <c r="G192" s="165"/>
      <c r="H192" s="165"/>
      <c r="I192" s="165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  <c r="AA192" s="165"/>
      <c r="AB192" s="165"/>
      <c r="AC192" s="165"/>
      <c r="AD192" s="165"/>
      <c r="AE192" s="165"/>
      <c r="AF192" s="165"/>
      <c r="AG192" s="165"/>
      <c r="AH192" s="165"/>
      <c r="AI192" s="165"/>
      <c r="AJ192" s="165"/>
      <c r="AK192" s="165"/>
      <c r="AL192" s="165"/>
      <c r="AM192" s="165"/>
      <c r="AN192" s="165"/>
      <c r="AO192" s="165"/>
      <c r="AP192" s="165"/>
      <c r="AQ192" s="165"/>
      <c r="AR192" s="165"/>
      <c r="AS192" s="165"/>
      <c r="AT192" s="165"/>
      <c r="AU192" s="165"/>
      <c r="AV192" s="165"/>
      <c r="AW192" s="165"/>
      <c r="AX192" s="165"/>
    </row>
    <row r="193" ht="15.75" customHeight="1">
      <c r="A193" s="165"/>
      <c r="B193" s="165"/>
      <c r="C193" s="165"/>
      <c r="D193" s="165"/>
      <c r="E193" s="165"/>
      <c r="F193" s="165"/>
      <c r="G193" s="165"/>
      <c r="H193" s="165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  <c r="AA193" s="165"/>
      <c r="AB193" s="165"/>
      <c r="AC193" s="165"/>
      <c r="AD193" s="165"/>
      <c r="AE193" s="165"/>
      <c r="AF193" s="165"/>
      <c r="AG193" s="165"/>
      <c r="AH193" s="165"/>
      <c r="AI193" s="165"/>
      <c r="AJ193" s="165"/>
      <c r="AK193" s="165"/>
      <c r="AL193" s="165"/>
      <c r="AM193" s="165"/>
      <c r="AN193" s="165"/>
      <c r="AO193" s="165"/>
      <c r="AP193" s="165"/>
      <c r="AQ193" s="165"/>
      <c r="AR193" s="165"/>
      <c r="AS193" s="165"/>
      <c r="AT193" s="165"/>
      <c r="AU193" s="165"/>
      <c r="AV193" s="165"/>
      <c r="AW193" s="165"/>
      <c r="AX193" s="165"/>
    </row>
    <row r="194" ht="15.75" customHeight="1">
      <c r="A194" s="165"/>
      <c r="B194" s="165"/>
      <c r="C194" s="165"/>
      <c r="D194" s="165"/>
      <c r="E194" s="165"/>
      <c r="F194" s="165"/>
      <c r="G194" s="165"/>
      <c r="H194" s="165"/>
      <c r="I194" s="16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  <c r="AA194" s="165"/>
      <c r="AB194" s="165"/>
      <c r="AC194" s="165"/>
      <c r="AD194" s="165"/>
      <c r="AE194" s="165"/>
      <c r="AF194" s="165"/>
      <c r="AG194" s="165"/>
      <c r="AH194" s="165"/>
      <c r="AI194" s="165"/>
      <c r="AJ194" s="165"/>
      <c r="AK194" s="165"/>
      <c r="AL194" s="165"/>
      <c r="AM194" s="165"/>
      <c r="AN194" s="165"/>
      <c r="AO194" s="165"/>
      <c r="AP194" s="165"/>
      <c r="AQ194" s="165"/>
      <c r="AR194" s="165"/>
      <c r="AS194" s="165"/>
      <c r="AT194" s="165"/>
      <c r="AU194" s="165"/>
      <c r="AV194" s="165"/>
      <c r="AW194" s="165"/>
      <c r="AX194" s="165"/>
    </row>
    <row r="195" ht="15.75" customHeight="1">
      <c r="A195" s="165"/>
      <c r="B195" s="165"/>
      <c r="C195" s="165"/>
      <c r="D195" s="165"/>
      <c r="E195" s="165"/>
      <c r="F195" s="165"/>
      <c r="G195" s="165"/>
      <c r="H195" s="165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  <c r="AA195" s="165"/>
      <c r="AB195" s="165"/>
      <c r="AC195" s="165"/>
      <c r="AD195" s="165"/>
      <c r="AE195" s="165"/>
      <c r="AF195" s="165"/>
      <c r="AG195" s="165"/>
      <c r="AH195" s="165"/>
      <c r="AI195" s="165"/>
      <c r="AJ195" s="165"/>
      <c r="AK195" s="165"/>
      <c r="AL195" s="165"/>
      <c r="AM195" s="165"/>
      <c r="AN195" s="165"/>
      <c r="AO195" s="165"/>
      <c r="AP195" s="165"/>
      <c r="AQ195" s="165"/>
      <c r="AR195" s="165"/>
      <c r="AS195" s="165"/>
      <c r="AT195" s="165"/>
      <c r="AU195" s="165"/>
      <c r="AV195" s="165"/>
      <c r="AW195" s="165"/>
      <c r="AX195" s="165"/>
    </row>
    <row r="196" ht="15.75" customHeight="1">
      <c r="A196" s="165"/>
      <c r="B196" s="165"/>
      <c r="C196" s="165"/>
      <c r="D196" s="165"/>
      <c r="E196" s="165"/>
      <c r="F196" s="165"/>
      <c r="G196" s="165"/>
      <c r="H196" s="165"/>
      <c r="I196" s="165"/>
      <c r="J196" s="165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  <c r="AA196" s="165"/>
      <c r="AB196" s="165"/>
      <c r="AC196" s="165"/>
      <c r="AD196" s="165"/>
      <c r="AE196" s="165"/>
      <c r="AF196" s="165"/>
      <c r="AG196" s="165"/>
      <c r="AH196" s="165"/>
      <c r="AI196" s="165"/>
      <c r="AJ196" s="165"/>
      <c r="AK196" s="165"/>
      <c r="AL196" s="165"/>
      <c r="AM196" s="165"/>
      <c r="AN196" s="165"/>
      <c r="AO196" s="165"/>
      <c r="AP196" s="165"/>
      <c r="AQ196" s="165"/>
      <c r="AR196" s="165"/>
      <c r="AS196" s="165"/>
      <c r="AT196" s="165"/>
      <c r="AU196" s="165"/>
      <c r="AV196" s="165"/>
      <c r="AW196" s="165"/>
      <c r="AX196" s="165"/>
    </row>
    <row r="197" ht="15.75" customHeight="1">
      <c r="A197" s="165"/>
      <c r="B197" s="165"/>
      <c r="C197" s="165"/>
      <c r="D197" s="165"/>
      <c r="E197" s="165"/>
      <c r="F197" s="165"/>
      <c r="G197" s="165"/>
      <c r="H197" s="165"/>
      <c r="I197" s="165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  <c r="AA197" s="165"/>
      <c r="AB197" s="165"/>
      <c r="AC197" s="165"/>
      <c r="AD197" s="165"/>
      <c r="AE197" s="165"/>
      <c r="AF197" s="165"/>
      <c r="AG197" s="165"/>
      <c r="AH197" s="165"/>
      <c r="AI197" s="165"/>
      <c r="AJ197" s="165"/>
      <c r="AK197" s="165"/>
      <c r="AL197" s="165"/>
      <c r="AM197" s="165"/>
      <c r="AN197" s="165"/>
      <c r="AO197" s="165"/>
      <c r="AP197" s="165"/>
      <c r="AQ197" s="165"/>
      <c r="AR197" s="165"/>
      <c r="AS197" s="165"/>
      <c r="AT197" s="165"/>
      <c r="AU197" s="165"/>
      <c r="AV197" s="165"/>
      <c r="AW197" s="165"/>
      <c r="AX197" s="165"/>
    </row>
    <row r="198" ht="15.75" customHeight="1">
      <c r="A198" s="165"/>
      <c r="B198" s="165"/>
      <c r="C198" s="165"/>
      <c r="D198" s="165"/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  <c r="AA198" s="165"/>
      <c r="AB198" s="165"/>
      <c r="AC198" s="165"/>
      <c r="AD198" s="165"/>
      <c r="AE198" s="165"/>
      <c r="AF198" s="165"/>
      <c r="AG198" s="165"/>
      <c r="AH198" s="165"/>
      <c r="AI198" s="165"/>
      <c r="AJ198" s="165"/>
      <c r="AK198" s="165"/>
      <c r="AL198" s="165"/>
      <c r="AM198" s="165"/>
      <c r="AN198" s="165"/>
      <c r="AO198" s="165"/>
      <c r="AP198" s="165"/>
      <c r="AQ198" s="165"/>
      <c r="AR198" s="165"/>
      <c r="AS198" s="165"/>
      <c r="AT198" s="165"/>
      <c r="AU198" s="165"/>
      <c r="AV198" s="165"/>
      <c r="AW198" s="165"/>
      <c r="AX198" s="165"/>
    </row>
    <row r="199" ht="15.75" customHeight="1">
      <c r="A199" s="165"/>
      <c r="B199" s="165"/>
      <c r="C199" s="165"/>
      <c r="D199" s="165"/>
      <c r="E199" s="165"/>
      <c r="F199" s="165"/>
      <c r="G199" s="165"/>
      <c r="H199" s="165"/>
      <c r="I199" s="165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  <c r="AA199" s="165"/>
      <c r="AB199" s="165"/>
      <c r="AC199" s="165"/>
      <c r="AD199" s="165"/>
      <c r="AE199" s="165"/>
      <c r="AF199" s="165"/>
      <c r="AG199" s="165"/>
      <c r="AH199" s="165"/>
      <c r="AI199" s="165"/>
      <c r="AJ199" s="165"/>
      <c r="AK199" s="165"/>
      <c r="AL199" s="165"/>
      <c r="AM199" s="165"/>
      <c r="AN199" s="165"/>
      <c r="AO199" s="165"/>
      <c r="AP199" s="165"/>
      <c r="AQ199" s="165"/>
      <c r="AR199" s="165"/>
      <c r="AS199" s="165"/>
      <c r="AT199" s="165"/>
      <c r="AU199" s="165"/>
      <c r="AV199" s="165"/>
      <c r="AW199" s="165"/>
      <c r="AX199" s="165"/>
    </row>
    <row r="200" ht="15.75" customHeight="1">
      <c r="A200" s="165"/>
      <c r="B200" s="165"/>
      <c r="C200" s="165"/>
      <c r="D200" s="165"/>
      <c r="E200" s="165"/>
      <c r="F200" s="165"/>
      <c r="G200" s="165"/>
      <c r="H200" s="165"/>
      <c r="I200" s="16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165"/>
      <c r="AB200" s="165"/>
      <c r="AC200" s="165"/>
      <c r="AD200" s="165"/>
      <c r="AE200" s="165"/>
      <c r="AF200" s="165"/>
      <c r="AG200" s="165"/>
      <c r="AH200" s="165"/>
      <c r="AI200" s="165"/>
      <c r="AJ200" s="165"/>
      <c r="AK200" s="165"/>
      <c r="AL200" s="165"/>
      <c r="AM200" s="165"/>
      <c r="AN200" s="165"/>
      <c r="AO200" s="165"/>
      <c r="AP200" s="165"/>
      <c r="AQ200" s="165"/>
      <c r="AR200" s="165"/>
      <c r="AS200" s="165"/>
      <c r="AT200" s="165"/>
      <c r="AU200" s="165"/>
      <c r="AV200" s="165"/>
      <c r="AW200" s="165"/>
      <c r="AX200" s="165"/>
    </row>
    <row r="201" ht="15.75" customHeight="1">
      <c r="A201" s="165"/>
      <c r="B201" s="165"/>
      <c r="C201" s="165"/>
      <c r="D201" s="165"/>
      <c r="E201" s="165"/>
      <c r="F201" s="165"/>
      <c r="G201" s="165"/>
      <c r="H201" s="165"/>
      <c r="I201" s="165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  <c r="AA201" s="165"/>
      <c r="AB201" s="165"/>
      <c r="AC201" s="165"/>
      <c r="AD201" s="165"/>
      <c r="AE201" s="165"/>
      <c r="AF201" s="165"/>
      <c r="AG201" s="165"/>
      <c r="AH201" s="165"/>
      <c r="AI201" s="165"/>
      <c r="AJ201" s="165"/>
      <c r="AK201" s="165"/>
      <c r="AL201" s="165"/>
      <c r="AM201" s="165"/>
      <c r="AN201" s="165"/>
      <c r="AO201" s="165"/>
      <c r="AP201" s="165"/>
      <c r="AQ201" s="165"/>
      <c r="AR201" s="165"/>
      <c r="AS201" s="165"/>
      <c r="AT201" s="165"/>
      <c r="AU201" s="165"/>
      <c r="AV201" s="165"/>
      <c r="AW201" s="165"/>
      <c r="AX201" s="165"/>
    </row>
    <row r="202" ht="15.75" customHeight="1">
      <c r="A202" s="165"/>
      <c r="B202" s="165"/>
      <c r="C202" s="165"/>
      <c r="D202" s="165"/>
      <c r="E202" s="165"/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  <c r="AA202" s="165"/>
      <c r="AB202" s="165"/>
      <c r="AC202" s="165"/>
      <c r="AD202" s="165"/>
      <c r="AE202" s="165"/>
      <c r="AF202" s="165"/>
      <c r="AG202" s="165"/>
      <c r="AH202" s="165"/>
      <c r="AI202" s="165"/>
      <c r="AJ202" s="165"/>
      <c r="AK202" s="165"/>
      <c r="AL202" s="165"/>
      <c r="AM202" s="165"/>
      <c r="AN202" s="165"/>
      <c r="AO202" s="165"/>
      <c r="AP202" s="165"/>
      <c r="AQ202" s="165"/>
      <c r="AR202" s="165"/>
      <c r="AS202" s="165"/>
      <c r="AT202" s="165"/>
      <c r="AU202" s="165"/>
      <c r="AV202" s="165"/>
      <c r="AW202" s="165"/>
      <c r="AX202" s="165"/>
    </row>
    <row r="203" ht="15.75" customHeight="1">
      <c r="A203" s="165"/>
      <c r="B203" s="165"/>
      <c r="C203" s="165"/>
      <c r="D203" s="165"/>
      <c r="E203" s="165"/>
      <c r="F203" s="165"/>
      <c r="G203" s="165"/>
      <c r="H203" s="165"/>
      <c r="I203" s="16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  <c r="AA203" s="165"/>
      <c r="AB203" s="165"/>
      <c r="AC203" s="165"/>
      <c r="AD203" s="165"/>
      <c r="AE203" s="165"/>
      <c r="AF203" s="165"/>
      <c r="AG203" s="165"/>
      <c r="AH203" s="165"/>
      <c r="AI203" s="165"/>
      <c r="AJ203" s="165"/>
      <c r="AK203" s="165"/>
      <c r="AL203" s="165"/>
      <c r="AM203" s="165"/>
      <c r="AN203" s="165"/>
      <c r="AO203" s="165"/>
      <c r="AP203" s="165"/>
      <c r="AQ203" s="165"/>
      <c r="AR203" s="165"/>
      <c r="AS203" s="165"/>
      <c r="AT203" s="165"/>
      <c r="AU203" s="165"/>
      <c r="AV203" s="165"/>
      <c r="AW203" s="165"/>
      <c r="AX203" s="165"/>
    </row>
    <row r="204" ht="15.75" customHeight="1">
      <c r="A204" s="165"/>
      <c r="B204" s="165"/>
      <c r="C204" s="165"/>
      <c r="D204" s="165"/>
      <c r="E204" s="165"/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  <c r="AC204" s="165"/>
      <c r="AD204" s="165"/>
      <c r="AE204" s="165"/>
      <c r="AF204" s="165"/>
      <c r="AG204" s="165"/>
      <c r="AH204" s="165"/>
      <c r="AI204" s="165"/>
      <c r="AJ204" s="165"/>
      <c r="AK204" s="165"/>
      <c r="AL204" s="165"/>
      <c r="AM204" s="165"/>
      <c r="AN204" s="165"/>
      <c r="AO204" s="165"/>
      <c r="AP204" s="165"/>
      <c r="AQ204" s="165"/>
      <c r="AR204" s="165"/>
      <c r="AS204" s="165"/>
      <c r="AT204" s="165"/>
      <c r="AU204" s="165"/>
      <c r="AV204" s="165"/>
      <c r="AW204" s="165"/>
      <c r="AX204" s="165"/>
    </row>
    <row r="205" ht="15.75" customHeight="1">
      <c r="A205" s="165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  <c r="AI205" s="165"/>
      <c r="AJ205" s="165"/>
      <c r="AK205" s="165"/>
      <c r="AL205" s="165"/>
      <c r="AM205" s="165"/>
      <c r="AN205" s="165"/>
      <c r="AO205" s="165"/>
      <c r="AP205" s="165"/>
      <c r="AQ205" s="165"/>
      <c r="AR205" s="165"/>
      <c r="AS205" s="165"/>
      <c r="AT205" s="165"/>
      <c r="AU205" s="165"/>
      <c r="AV205" s="165"/>
      <c r="AW205" s="165"/>
      <c r="AX205" s="165"/>
    </row>
    <row r="206" ht="15.75" customHeight="1">
      <c r="A206" s="165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  <c r="AA206" s="165"/>
      <c r="AB206" s="165"/>
      <c r="AC206" s="165"/>
      <c r="AD206" s="165"/>
      <c r="AE206" s="165"/>
      <c r="AF206" s="165"/>
      <c r="AG206" s="165"/>
      <c r="AH206" s="165"/>
      <c r="AI206" s="165"/>
      <c r="AJ206" s="165"/>
      <c r="AK206" s="165"/>
      <c r="AL206" s="165"/>
      <c r="AM206" s="165"/>
      <c r="AN206" s="165"/>
      <c r="AO206" s="165"/>
      <c r="AP206" s="165"/>
      <c r="AQ206" s="165"/>
      <c r="AR206" s="165"/>
      <c r="AS206" s="165"/>
      <c r="AT206" s="165"/>
      <c r="AU206" s="165"/>
      <c r="AV206" s="165"/>
      <c r="AW206" s="165"/>
      <c r="AX206" s="165"/>
    </row>
    <row r="207" ht="15.75" customHeight="1">
      <c r="A207" s="165"/>
      <c r="B207" s="165"/>
      <c r="C207" s="165"/>
      <c r="D207" s="165"/>
      <c r="E207" s="165"/>
      <c r="F207" s="165"/>
      <c r="G207" s="165"/>
      <c r="H207" s="165"/>
      <c r="I207" s="16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  <c r="AA207" s="165"/>
      <c r="AB207" s="165"/>
      <c r="AC207" s="165"/>
      <c r="AD207" s="165"/>
      <c r="AE207" s="165"/>
      <c r="AF207" s="165"/>
      <c r="AG207" s="165"/>
      <c r="AH207" s="165"/>
      <c r="AI207" s="165"/>
      <c r="AJ207" s="165"/>
      <c r="AK207" s="165"/>
      <c r="AL207" s="165"/>
      <c r="AM207" s="165"/>
      <c r="AN207" s="165"/>
      <c r="AO207" s="165"/>
      <c r="AP207" s="165"/>
      <c r="AQ207" s="165"/>
      <c r="AR207" s="165"/>
      <c r="AS207" s="165"/>
      <c r="AT207" s="165"/>
      <c r="AU207" s="165"/>
      <c r="AV207" s="165"/>
      <c r="AW207" s="165"/>
      <c r="AX207" s="165"/>
    </row>
    <row r="208" ht="15.75" customHeight="1">
      <c r="A208" s="165"/>
      <c r="B208" s="165"/>
      <c r="C208" s="165"/>
      <c r="D208" s="165"/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  <c r="AA208" s="165"/>
      <c r="AB208" s="165"/>
      <c r="AC208" s="165"/>
      <c r="AD208" s="165"/>
      <c r="AE208" s="165"/>
      <c r="AF208" s="165"/>
      <c r="AG208" s="165"/>
      <c r="AH208" s="165"/>
      <c r="AI208" s="165"/>
      <c r="AJ208" s="165"/>
      <c r="AK208" s="165"/>
      <c r="AL208" s="165"/>
      <c r="AM208" s="165"/>
      <c r="AN208" s="165"/>
      <c r="AO208" s="165"/>
      <c r="AP208" s="165"/>
      <c r="AQ208" s="165"/>
      <c r="AR208" s="165"/>
      <c r="AS208" s="165"/>
      <c r="AT208" s="165"/>
      <c r="AU208" s="165"/>
      <c r="AV208" s="165"/>
      <c r="AW208" s="165"/>
      <c r="AX208" s="165"/>
    </row>
    <row r="209" ht="15.75" customHeight="1">
      <c r="A209" s="165"/>
      <c r="B209" s="165"/>
      <c r="C209" s="165"/>
      <c r="D209" s="165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  <c r="AA209" s="165"/>
      <c r="AB209" s="165"/>
      <c r="AC209" s="165"/>
      <c r="AD209" s="165"/>
      <c r="AE209" s="165"/>
      <c r="AF209" s="165"/>
      <c r="AG209" s="165"/>
      <c r="AH209" s="165"/>
      <c r="AI209" s="165"/>
      <c r="AJ209" s="165"/>
      <c r="AK209" s="165"/>
      <c r="AL209" s="165"/>
      <c r="AM209" s="165"/>
      <c r="AN209" s="165"/>
      <c r="AO209" s="165"/>
      <c r="AP209" s="165"/>
      <c r="AQ209" s="165"/>
      <c r="AR209" s="165"/>
      <c r="AS209" s="165"/>
      <c r="AT209" s="165"/>
      <c r="AU209" s="165"/>
      <c r="AV209" s="165"/>
      <c r="AW209" s="165"/>
      <c r="AX209" s="165"/>
    </row>
    <row r="210" ht="15.75" customHeight="1">
      <c r="A210" s="165"/>
      <c r="B210" s="165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5"/>
      <c r="AJ210" s="165"/>
      <c r="AK210" s="165"/>
      <c r="AL210" s="165"/>
      <c r="AM210" s="165"/>
      <c r="AN210" s="165"/>
      <c r="AO210" s="165"/>
      <c r="AP210" s="165"/>
      <c r="AQ210" s="165"/>
      <c r="AR210" s="165"/>
      <c r="AS210" s="165"/>
      <c r="AT210" s="165"/>
      <c r="AU210" s="165"/>
      <c r="AV210" s="165"/>
      <c r="AW210" s="165"/>
      <c r="AX210" s="165"/>
    </row>
    <row r="211" ht="15.75" customHeight="1">
      <c r="A211" s="165"/>
      <c r="B211" s="165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  <c r="AI211" s="165"/>
      <c r="AJ211" s="165"/>
      <c r="AK211" s="165"/>
      <c r="AL211" s="165"/>
      <c r="AM211" s="165"/>
      <c r="AN211" s="165"/>
      <c r="AO211" s="165"/>
      <c r="AP211" s="165"/>
      <c r="AQ211" s="165"/>
      <c r="AR211" s="165"/>
      <c r="AS211" s="165"/>
      <c r="AT211" s="165"/>
      <c r="AU211" s="165"/>
      <c r="AV211" s="165"/>
      <c r="AW211" s="165"/>
      <c r="AX211" s="165"/>
    </row>
    <row r="212" ht="15.75" customHeight="1">
      <c r="A212" s="165"/>
      <c r="B212" s="165"/>
      <c r="C212" s="165"/>
      <c r="D212" s="165"/>
      <c r="E212" s="165"/>
      <c r="F212" s="165"/>
      <c r="G212" s="165"/>
      <c r="H212" s="165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  <c r="AC212" s="165"/>
      <c r="AD212" s="165"/>
      <c r="AE212" s="165"/>
      <c r="AF212" s="165"/>
      <c r="AG212" s="165"/>
      <c r="AH212" s="165"/>
      <c r="AI212" s="165"/>
      <c r="AJ212" s="165"/>
      <c r="AK212" s="165"/>
      <c r="AL212" s="165"/>
      <c r="AM212" s="165"/>
      <c r="AN212" s="165"/>
      <c r="AO212" s="165"/>
      <c r="AP212" s="165"/>
      <c r="AQ212" s="165"/>
      <c r="AR212" s="165"/>
      <c r="AS212" s="165"/>
      <c r="AT212" s="165"/>
      <c r="AU212" s="165"/>
      <c r="AV212" s="165"/>
      <c r="AW212" s="165"/>
      <c r="AX212" s="165"/>
    </row>
    <row r="213" ht="15.75" customHeight="1">
      <c r="A213" s="165"/>
      <c r="B213" s="165"/>
      <c r="C213" s="165"/>
      <c r="D213" s="165"/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  <c r="AA213" s="165"/>
      <c r="AB213" s="165"/>
      <c r="AC213" s="165"/>
      <c r="AD213" s="165"/>
      <c r="AE213" s="165"/>
      <c r="AF213" s="165"/>
      <c r="AG213" s="165"/>
      <c r="AH213" s="165"/>
      <c r="AI213" s="165"/>
      <c r="AJ213" s="165"/>
      <c r="AK213" s="165"/>
      <c r="AL213" s="165"/>
      <c r="AM213" s="165"/>
      <c r="AN213" s="165"/>
      <c r="AO213" s="165"/>
      <c r="AP213" s="165"/>
      <c r="AQ213" s="165"/>
      <c r="AR213" s="165"/>
      <c r="AS213" s="165"/>
      <c r="AT213" s="165"/>
      <c r="AU213" s="165"/>
      <c r="AV213" s="165"/>
      <c r="AW213" s="165"/>
      <c r="AX213" s="165"/>
    </row>
    <row r="214" ht="15.75" customHeight="1">
      <c r="A214" s="165"/>
      <c r="B214" s="165"/>
      <c r="C214" s="165"/>
      <c r="D214" s="165"/>
      <c r="E214" s="165"/>
      <c r="F214" s="165"/>
      <c r="G214" s="165"/>
      <c r="H214" s="165"/>
      <c r="I214" s="165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  <c r="AA214" s="165"/>
      <c r="AB214" s="165"/>
      <c r="AC214" s="165"/>
      <c r="AD214" s="165"/>
      <c r="AE214" s="165"/>
      <c r="AF214" s="165"/>
      <c r="AG214" s="165"/>
      <c r="AH214" s="165"/>
      <c r="AI214" s="165"/>
      <c r="AJ214" s="165"/>
      <c r="AK214" s="165"/>
      <c r="AL214" s="165"/>
      <c r="AM214" s="165"/>
      <c r="AN214" s="165"/>
      <c r="AO214" s="165"/>
      <c r="AP214" s="165"/>
      <c r="AQ214" s="165"/>
      <c r="AR214" s="165"/>
      <c r="AS214" s="165"/>
      <c r="AT214" s="165"/>
      <c r="AU214" s="165"/>
      <c r="AV214" s="165"/>
      <c r="AW214" s="165"/>
      <c r="AX214" s="165"/>
    </row>
    <row r="215" ht="15.75" customHeight="1">
      <c r="A215" s="165"/>
      <c r="B215" s="165"/>
      <c r="C215" s="165"/>
      <c r="D215" s="165"/>
      <c r="E215" s="165"/>
      <c r="F215" s="165"/>
      <c r="G215" s="165"/>
      <c r="H215" s="165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  <c r="AA215" s="165"/>
      <c r="AB215" s="165"/>
      <c r="AC215" s="165"/>
      <c r="AD215" s="165"/>
      <c r="AE215" s="165"/>
      <c r="AF215" s="165"/>
      <c r="AG215" s="165"/>
      <c r="AH215" s="165"/>
      <c r="AI215" s="165"/>
      <c r="AJ215" s="165"/>
      <c r="AK215" s="165"/>
      <c r="AL215" s="165"/>
      <c r="AM215" s="165"/>
      <c r="AN215" s="165"/>
      <c r="AO215" s="165"/>
      <c r="AP215" s="165"/>
      <c r="AQ215" s="165"/>
      <c r="AR215" s="165"/>
      <c r="AS215" s="165"/>
      <c r="AT215" s="165"/>
      <c r="AU215" s="165"/>
      <c r="AV215" s="165"/>
      <c r="AW215" s="165"/>
      <c r="AX215" s="165"/>
    </row>
    <row r="216" ht="15.75" customHeight="1">
      <c r="A216" s="165"/>
      <c r="B216" s="165"/>
      <c r="C216" s="165"/>
      <c r="D216" s="165"/>
      <c r="E216" s="165"/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  <c r="AA216" s="165"/>
      <c r="AB216" s="165"/>
      <c r="AC216" s="165"/>
      <c r="AD216" s="165"/>
      <c r="AE216" s="165"/>
      <c r="AF216" s="165"/>
      <c r="AG216" s="165"/>
      <c r="AH216" s="165"/>
      <c r="AI216" s="165"/>
      <c r="AJ216" s="165"/>
      <c r="AK216" s="165"/>
      <c r="AL216" s="165"/>
      <c r="AM216" s="165"/>
      <c r="AN216" s="165"/>
      <c r="AO216" s="165"/>
      <c r="AP216" s="165"/>
      <c r="AQ216" s="165"/>
      <c r="AR216" s="165"/>
      <c r="AS216" s="165"/>
      <c r="AT216" s="165"/>
      <c r="AU216" s="165"/>
      <c r="AV216" s="165"/>
      <c r="AW216" s="165"/>
      <c r="AX216" s="165"/>
    </row>
    <row r="217" ht="15.75" customHeight="1">
      <c r="A217" s="165"/>
      <c r="B217" s="165"/>
      <c r="C217" s="165"/>
      <c r="D217" s="165"/>
      <c r="E217" s="165"/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  <c r="AA217" s="165"/>
      <c r="AB217" s="165"/>
      <c r="AC217" s="165"/>
      <c r="AD217" s="165"/>
      <c r="AE217" s="165"/>
      <c r="AF217" s="165"/>
      <c r="AG217" s="165"/>
      <c r="AH217" s="165"/>
      <c r="AI217" s="165"/>
      <c r="AJ217" s="165"/>
      <c r="AK217" s="165"/>
      <c r="AL217" s="165"/>
      <c r="AM217" s="165"/>
      <c r="AN217" s="165"/>
      <c r="AO217" s="165"/>
      <c r="AP217" s="165"/>
      <c r="AQ217" s="165"/>
      <c r="AR217" s="165"/>
      <c r="AS217" s="165"/>
      <c r="AT217" s="165"/>
      <c r="AU217" s="165"/>
      <c r="AV217" s="165"/>
      <c r="AW217" s="165"/>
      <c r="AX217" s="165"/>
    </row>
    <row r="218" ht="15.75" customHeight="1">
      <c r="A218" s="165"/>
      <c r="B218" s="165"/>
      <c r="C218" s="165"/>
      <c r="D218" s="165"/>
      <c r="E218" s="165"/>
      <c r="F218" s="165"/>
      <c r="G218" s="165"/>
      <c r="H218" s="165"/>
      <c r="I218" s="165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  <c r="AA218" s="165"/>
      <c r="AB218" s="165"/>
      <c r="AC218" s="165"/>
      <c r="AD218" s="165"/>
      <c r="AE218" s="165"/>
      <c r="AF218" s="165"/>
      <c r="AG218" s="165"/>
      <c r="AH218" s="165"/>
      <c r="AI218" s="165"/>
      <c r="AJ218" s="165"/>
      <c r="AK218" s="165"/>
      <c r="AL218" s="165"/>
      <c r="AM218" s="165"/>
      <c r="AN218" s="165"/>
      <c r="AO218" s="165"/>
      <c r="AP218" s="165"/>
      <c r="AQ218" s="165"/>
      <c r="AR218" s="165"/>
      <c r="AS218" s="165"/>
      <c r="AT218" s="165"/>
      <c r="AU218" s="165"/>
      <c r="AV218" s="165"/>
      <c r="AW218" s="165"/>
      <c r="AX218" s="165"/>
    </row>
    <row r="219" ht="15.75" customHeight="1">
      <c r="A219" s="165"/>
      <c r="B219" s="165"/>
      <c r="C219" s="165"/>
      <c r="D219" s="165"/>
      <c r="E219" s="165"/>
      <c r="F219" s="165"/>
      <c r="G219" s="165"/>
      <c r="H219" s="165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  <c r="AA219" s="165"/>
      <c r="AB219" s="165"/>
      <c r="AC219" s="165"/>
      <c r="AD219" s="165"/>
      <c r="AE219" s="165"/>
      <c r="AF219" s="165"/>
      <c r="AG219" s="165"/>
      <c r="AH219" s="165"/>
      <c r="AI219" s="165"/>
      <c r="AJ219" s="165"/>
      <c r="AK219" s="165"/>
      <c r="AL219" s="165"/>
      <c r="AM219" s="165"/>
      <c r="AN219" s="165"/>
      <c r="AO219" s="165"/>
      <c r="AP219" s="165"/>
      <c r="AQ219" s="165"/>
      <c r="AR219" s="165"/>
      <c r="AS219" s="165"/>
      <c r="AT219" s="165"/>
      <c r="AU219" s="165"/>
      <c r="AV219" s="165"/>
      <c r="AW219" s="165"/>
      <c r="AX219" s="165"/>
    </row>
    <row r="220" ht="15.75" customHeight="1">
      <c r="A220" s="165"/>
      <c r="B220" s="165"/>
      <c r="C220" s="165"/>
      <c r="D220" s="165"/>
      <c r="E220" s="165"/>
      <c r="F220" s="165"/>
      <c r="G220" s="165"/>
      <c r="H220" s="165"/>
      <c r="I220" s="16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  <c r="AA220" s="165"/>
      <c r="AB220" s="165"/>
      <c r="AC220" s="165"/>
      <c r="AD220" s="165"/>
      <c r="AE220" s="165"/>
      <c r="AF220" s="165"/>
      <c r="AG220" s="165"/>
      <c r="AH220" s="165"/>
      <c r="AI220" s="165"/>
      <c r="AJ220" s="165"/>
      <c r="AK220" s="165"/>
      <c r="AL220" s="165"/>
      <c r="AM220" s="165"/>
      <c r="AN220" s="165"/>
      <c r="AO220" s="165"/>
      <c r="AP220" s="165"/>
      <c r="AQ220" s="165"/>
      <c r="AR220" s="165"/>
      <c r="AS220" s="165"/>
      <c r="AT220" s="165"/>
      <c r="AU220" s="165"/>
      <c r="AV220" s="165"/>
      <c r="AW220" s="165"/>
      <c r="AX220" s="165"/>
    </row>
    <row r="221" ht="15.75" customHeight="1">
      <c r="A221" s="165"/>
      <c r="B221" s="165"/>
      <c r="C221" s="165"/>
      <c r="D221" s="165"/>
      <c r="E221" s="165"/>
      <c r="F221" s="165"/>
      <c r="G221" s="165"/>
      <c r="H221" s="165"/>
      <c r="I221" s="16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  <c r="AA221" s="165"/>
      <c r="AB221" s="165"/>
      <c r="AC221" s="165"/>
      <c r="AD221" s="165"/>
      <c r="AE221" s="165"/>
      <c r="AF221" s="165"/>
      <c r="AG221" s="165"/>
      <c r="AH221" s="165"/>
      <c r="AI221" s="165"/>
      <c r="AJ221" s="165"/>
      <c r="AK221" s="165"/>
      <c r="AL221" s="165"/>
      <c r="AM221" s="165"/>
      <c r="AN221" s="165"/>
      <c r="AO221" s="165"/>
      <c r="AP221" s="165"/>
      <c r="AQ221" s="165"/>
      <c r="AR221" s="165"/>
      <c r="AS221" s="165"/>
      <c r="AT221" s="165"/>
      <c r="AU221" s="165"/>
      <c r="AV221" s="165"/>
      <c r="AW221" s="165"/>
      <c r="AX221" s="165"/>
    </row>
    <row r="222" ht="15.75" customHeight="1">
      <c r="A222" s="165"/>
      <c r="B222" s="165"/>
      <c r="C222" s="165"/>
      <c r="D222" s="165"/>
      <c r="E222" s="165"/>
      <c r="F222" s="165"/>
      <c r="G222" s="165"/>
      <c r="H222" s="165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  <c r="AC222" s="165"/>
      <c r="AD222" s="165"/>
      <c r="AE222" s="165"/>
      <c r="AF222" s="165"/>
      <c r="AG222" s="165"/>
      <c r="AH222" s="165"/>
      <c r="AI222" s="165"/>
      <c r="AJ222" s="165"/>
      <c r="AK222" s="165"/>
      <c r="AL222" s="165"/>
      <c r="AM222" s="165"/>
      <c r="AN222" s="165"/>
      <c r="AO222" s="165"/>
      <c r="AP222" s="165"/>
      <c r="AQ222" s="165"/>
      <c r="AR222" s="165"/>
      <c r="AS222" s="165"/>
      <c r="AT222" s="165"/>
      <c r="AU222" s="165"/>
      <c r="AV222" s="165"/>
      <c r="AW222" s="165"/>
      <c r="AX222" s="165"/>
    </row>
    <row r="223" ht="15.75" customHeight="1">
      <c r="A223" s="165"/>
      <c r="B223" s="165"/>
      <c r="C223" s="165"/>
      <c r="D223" s="165"/>
      <c r="E223" s="165"/>
      <c r="F223" s="165"/>
      <c r="G223" s="165"/>
      <c r="H223" s="165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  <c r="AA223" s="165"/>
      <c r="AB223" s="165"/>
      <c r="AC223" s="165"/>
      <c r="AD223" s="165"/>
      <c r="AE223" s="165"/>
      <c r="AF223" s="165"/>
      <c r="AG223" s="165"/>
      <c r="AH223" s="165"/>
      <c r="AI223" s="165"/>
      <c r="AJ223" s="165"/>
      <c r="AK223" s="165"/>
      <c r="AL223" s="165"/>
      <c r="AM223" s="165"/>
      <c r="AN223" s="165"/>
      <c r="AO223" s="165"/>
      <c r="AP223" s="165"/>
      <c r="AQ223" s="165"/>
      <c r="AR223" s="165"/>
      <c r="AS223" s="165"/>
      <c r="AT223" s="165"/>
      <c r="AU223" s="165"/>
      <c r="AV223" s="165"/>
      <c r="AW223" s="165"/>
      <c r="AX223" s="165"/>
    </row>
    <row r="224" ht="15.75" customHeight="1">
      <c r="A224" s="165"/>
      <c r="B224" s="165"/>
      <c r="C224" s="165"/>
      <c r="D224" s="165"/>
      <c r="E224" s="165"/>
      <c r="F224" s="165"/>
      <c r="G224" s="165"/>
      <c r="H224" s="165"/>
      <c r="I224" s="165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  <c r="AA224" s="165"/>
      <c r="AB224" s="165"/>
      <c r="AC224" s="165"/>
      <c r="AD224" s="165"/>
      <c r="AE224" s="165"/>
      <c r="AF224" s="165"/>
      <c r="AG224" s="165"/>
      <c r="AH224" s="165"/>
      <c r="AI224" s="165"/>
      <c r="AJ224" s="165"/>
      <c r="AK224" s="165"/>
      <c r="AL224" s="165"/>
      <c r="AM224" s="165"/>
      <c r="AN224" s="165"/>
      <c r="AO224" s="165"/>
      <c r="AP224" s="165"/>
      <c r="AQ224" s="165"/>
      <c r="AR224" s="165"/>
      <c r="AS224" s="165"/>
      <c r="AT224" s="165"/>
      <c r="AU224" s="165"/>
      <c r="AV224" s="165"/>
      <c r="AW224" s="165"/>
      <c r="AX224" s="165"/>
    </row>
    <row r="225" ht="15.75" customHeight="1">
      <c r="A225" s="165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5"/>
      <c r="AH225" s="165"/>
      <c r="AI225" s="165"/>
      <c r="AJ225" s="165"/>
      <c r="AK225" s="165"/>
      <c r="AL225" s="165"/>
      <c r="AM225" s="165"/>
      <c r="AN225" s="165"/>
      <c r="AO225" s="165"/>
      <c r="AP225" s="165"/>
      <c r="AQ225" s="165"/>
      <c r="AR225" s="165"/>
      <c r="AS225" s="165"/>
      <c r="AT225" s="165"/>
      <c r="AU225" s="165"/>
      <c r="AV225" s="165"/>
      <c r="AW225" s="165"/>
      <c r="AX225" s="165"/>
    </row>
    <row r="226" ht="15.75" customHeight="1">
      <c r="A226" s="165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5"/>
      <c r="AH226" s="165"/>
      <c r="AI226" s="165"/>
      <c r="AJ226" s="165"/>
      <c r="AK226" s="165"/>
      <c r="AL226" s="165"/>
      <c r="AM226" s="165"/>
      <c r="AN226" s="165"/>
      <c r="AO226" s="165"/>
      <c r="AP226" s="165"/>
      <c r="AQ226" s="165"/>
      <c r="AR226" s="165"/>
      <c r="AS226" s="165"/>
      <c r="AT226" s="165"/>
      <c r="AU226" s="165"/>
      <c r="AV226" s="165"/>
      <c r="AW226" s="165"/>
      <c r="AX226" s="165"/>
    </row>
    <row r="227" ht="15.75" customHeight="1">
      <c r="A227" s="165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5"/>
      <c r="AH227" s="165"/>
      <c r="AI227" s="165"/>
      <c r="AJ227" s="165"/>
      <c r="AK227" s="165"/>
      <c r="AL227" s="165"/>
      <c r="AM227" s="165"/>
      <c r="AN227" s="165"/>
      <c r="AO227" s="165"/>
      <c r="AP227" s="165"/>
      <c r="AQ227" s="165"/>
      <c r="AR227" s="165"/>
      <c r="AS227" s="165"/>
      <c r="AT227" s="165"/>
      <c r="AU227" s="165"/>
      <c r="AV227" s="165"/>
      <c r="AW227" s="165"/>
      <c r="AX227" s="165"/>
    </row>
    <row r="228" ht="15.75" customHeight="1">
      <c r="A228" s="165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5"/>
      <c r="AH228" s="165"/>
      <c r="AI228" s="165"/>
      <c r="AJ228" s="165"/>
      <c r="AK228" s="165"/>
      <c r="AL228" s="165"/>
      <c r="AM228" s="165"/>
      <c r="AN228" s="165"/>
      <c r="AO228" s="165"/>
      <c r="AP228" s="165"/>
      <c r="AQ228" s="165"/>
      <c r="AR228" s="165"/>
      <c r="AS228" s="165"/>
      <c r="AT228" s="165"/>
      <c r="AU228" s="165"/>
      <c r="AV228" s="165"/>
      <c r="AW228" s="165"/>
      <c r="AX228" s="165"/>
    </row>
    <row r="229" ht="15.75" customHeight="1">
      <c r="A229" s="165"/>
      <c r="B229" s="165"/>
      <c r="C229" s="165"/>
      <c r="D229" s="165"/>
      <c r="E229" s="165"/>
      <c r="F229" s="165"/>
      <c r="G229" s="165"/>
      <c r="H229" s="165"/>
      <c r="I229" s="165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5"/>
      <c r="AH229" s="165"/>
      <c r="AI229" s="165"/>
      <c r="AJ229" s="165"/>
      <c r="AK229" s="165"/>
      <c r="AL229" s="165"/>
      <c r="AM229" s="165"/>
      <c r="AN229" s="165"/>
      <c r="AO229" s="165"/>
      <c r="AP229" s="165"/>
      <c r="AQ229" s="165"/>
      <c r="AR229" s="165"/>
      <c r="AS229" s="165"/>
      <c r="AT229" s="165"/>
      <c r="AU229" s="165"/>
      <c r="AV229" s="165"/>
      <c r="AW229" s="165"/>
      <c r="AX229" s="165"/>
    </row>
    <row r="230" ht="15.75" customHeight="1">
      <c r="A230" s="165"/>
      <c r="B230" s="165"/>
      <c r="C230" s="165"/>
      <c r="D230" s="165"/>
      <c r="E230" s="165"/>
      <c r="F230" s="165"/>
      <c r="G230" s="165"/>
      <c r="H230" s="165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5"/>
      <c r="AH230" s="165"/>
      <c r="AI230" s="165"/>
      <c r="AJ230" s="165"/>
      <c r="AK230" s="165"/>
      <c r="AL230" s="165"/>
      <c r="AM230" s="165"/>
      <c r="AN230" s="165"/>
      <c r="AO230" s="165"/>
      <c r="AP230" s="165"/>
      <c r="AQ230" s="165"/>
      <c r="AR230" s="165"/>
      <c r="AS230" s="165"/>
      <c r="AT230" s="165"/>
      <c r="AU230" s="165"/>
      <c r="AV230" s="165"/>
      <c r="AW230" s="165"/>
      <c r="AX230" s="165"/>
    </row>
    <row r="231" ht="15.75" customHeight="1">
      <c r="A231" s="165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5"/>
      <c r="AH231" s="165"/>
      <c r="AI231" s="165"/>
      <c r="AJ231" s="165"/>
      <c r="AK231" s="165"/>
      <c r="AL231" s="165"/>
      <c r="AM231" s="165"/>
      <c r="AN231" s="165"/>
      <c r="AO231" s="165"/>
      <c r="AP231" s="165"/>
      <c r="AQ231" s="165"/>
      <c r="AR231" s="165"/>
      <c r="AS231" s="165"/>
      <c r="AT231" s="165"/>
      <c r="AU231" s="165"/>
      <c r="AV231" s="165"/>
      <c r="AW231" s="165"/>
      <c r="AX231" s="165"/>
    </row>
    <row r="232" ht="15.75" customHeight="1">
      <c r="A232" s="165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5"/>
      <c r="AH232" s="165"/>
      <c r="AI232" s="165"/>
      <c r="AJ232" s="165"/>
      <c r="AK232" s="165"/>
      <c r="AL232" s="165"/>
      <c r="AM232" s="165"/>
      <c r="AN232" s="165"/>
      <c r="AO232" s="165"/>
      <c r="AP232" s="165"/>
      <c r="AQ232" s="165"/>
      <c r="AR232" s="165"/>
      <c r="AS232" s="165"/>
      <c r="AT232" s="165"/>
      <c r="AU232" s="165"/>
      <c r="AV232" s="165"/>
      <c r="AW232" s="165"/>
      <c r="AX232" s="165"/>
    </row>
    <row r="233" ht="15.75" customHeight="1">
      <c r="A233" s="165"/>
      <c r="B233" s="165"/>
      <c r="C233" s="165"/>
      <c r="D233" s="165"/>
      <c r="E233" s="165"/>
      <c r="F233" s="165"/>
      <c r="G233" s="165"/>
      <c r="H233" s="165"/>
      <c r="I233" s="165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  <c r="AA233" s="165"/>
      <c r="AB233" s="165"/>
      <c r="AC233" s="165"/>
      <c r="AD233" s="165"/>
      <c r="AE233" s="165"/>
      <c r="AF233" s="165"/>
      <c r="AG233" s="165"/>
      <c r="AH233" s="165"/>
      <c r="AI233" s="165"/>
      <c r="AJ233" s="165"/>
      <c r="AK233" s="165"/>
      <c r="AL233" s="165"/>
      <c r="AM233" s="165"/>
      <c r="AN233" s="165"/>
      <c r="AO233" s="165"/>
      <c r="AP233" s="165"/>
      <c r="AQ233" s="165"/>
      <c r="AR233" s="165"/>
      <c r="AS233" s="165"/>
      <c r="AT233" s="165"/>
      <c r="AU233" s="165"/>
      <c r="AV233" s="165"/>
      <c r="AW233" s="165"/>
      <c r="AX233" s="165"/>
    </row>
    <row r="234" ht="15.75" customHeight="1">
      <c r="A234" s="165"/>
      <c r="B234" s="165"/>
      <c r="C234" s="165"/>
      <c r="D234" s="165"/>
      <c r="E234" s="165"/>
      <c r="F234" s="165"/>
      <c r="G234" s="165"/>
      <c r="H234" s="165"/>
      <c r="I234" s="165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  <c r="AA234" s="165"/>
      <c r="AB234" s="165"/>
      <c r="AC234" s="165"/>
      <c r="AD234" s="165"/>
      <c r="AE234" s="165"/>
      <c r="AF234" s="165"/>
      <c r="AG234" s="165"/>
      <c r="AH234" s="165"/>
      <c r="AI234" s="165"/>
      <c r="AJ234" s="165"/>
      <c r="AK234" s="165"/>
      <c r="AL234" s="165"/>
      <c r="AM234" s="165"/>
      <c r="AN234" s="165"/>
      <c r="AO234" s="165"/>
      <c r="AP234" s="165"/>
      <c r="AQ234" s="165"/>
      <c r="AR234" s="165"/>
      <c r="AS234" s="165"/>
      <c r="AT234" s="165"/>
      <c r="AU234" s="165"/>
      <c r="AV234" s="165"/>
      <c r="AW234" s="165"/>
      <c r="AX234" s="165"/>
    </row>
    <row r="235" ht="15.75" customHeight="1">
      <c r="A235" s="165"/>
      <c r="B235" s="165"/>
      <c r="C235" s="165"/>
      <c r="D235" s="165"/>
      <c r="E235" s="165"/>
      <c r="F235" s="165"/>
      <c r="G235" s="165"/>
      <c r="H235" s="165"/>
      <c r="I235" s="165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  <c r="AA235" s="165"/>
      <c r="AB235" s="165"/>
      <c r="AC235" s="165"/>
      <c r="AD235" s="165"/>
      <c r="AE235" s="165"/>
      <c r="AF235" s="165"/>
      <c r="AG235" s="165"/>
      <c r="AH235" s="165"/>
      <c r="AI235" s="165"/>
      <c r="AJ235" s="165"/>
      <c r="AK235" s="165"/>
      <c r="AL235" s="165"/>
      <c r="AM235" s="165"/>
      <c r="AN235" s="165"/>
      <c r="AO235" s="165"/>
      <c r="AP235" s="165"/>
      <c r="AQ235" s="165"/>
      <c r="AR235" s="165"/>
      <c r="AS235" s="165"/>
      <c r="AT235" s="165"/>
      <c r="AU235" s="165"/>
      <c r="AV235" s="165"/>
      <c r="AW235" s="165"/>
      <c r="AX235" s="165"/>
    </row>
    <row r="236" ht="15.75" customHeight="1">
      <c r="A236" s="165"/>
      <c r="B236" s="165"/>
      <c r="C236" s="165"/>
      <c r="D236" s="165"/>
      <c r="E236" s="165"/>
      <c r="F236" s="165"/>
      <c r="G236" s="165"/>
      <c r="H236" s="165"/>
      <c r="I236" s="165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  <c r="AA236" s="165"/>
      <c r="AB236" s="165"/>
      <c r="AC236" s="165"/>
      <c r="AD236" s="165"/>
      <c r="AE236" s="165"/>
      <c r="AF236" s="165"/>
      <c r="AG236" s="165"/>
      <c r="AH236" s="165"/>
      <c r="AI236" s="165"/>
      <c r="AJ236" s="165"/>
      <c r="AK236" s="165"/>
      <c r="AL236" s="165"/>
      <c r="AM236" s="165"/>
      <c r="AN236" s="165"/>
      <c r="AO236" s="165"/>
      <c r="AP236" s="165"/>
      <c r="AQ236" s="165"/>
      <c r="AR236" s="165"/>
      <c r="AS236" s="165"/>
      <c r="AT236" s="165"/>
      <c r="AU236" s="165"/>
      <c r="AV236" s="165"/>
      <c r="AW236" s="165"/>
      <c r="AX236" s="165"/>
    </row>
    <row r="237" ht="15.75" customHeight="1">
      <c r="A237" s="165"/>
      <c r="B237" s="165"/>
      <c r="C237" s="165"/>
      <c r="D237" s="165"/>
      <c r="E237" s="165"/>
      <c r="F237" s="165"/>
      <c r="G237" s="165"/>
      <c r="H237" s="165"/>
      <c r="I237" s="165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  <c r="AA237" s="165"/>
      <c r="AB237" s="165"/>
      <c r="AC237" s="165"/>
      <c r="AD237" s="165"/>
      <c r="AE237" s="165"/>
      <c r="AF237" s="165"/>
      <c r="AG237" s="165"/>
      <c r="AH237" s="165"/>
      <c r="AI237" s="165"/>
      <c r="AJ237" s="165"/>
      <c r="AK237" s="165"/>
      <c r="AL237" s="165"/>
      <c r="AM237" s="165"/>
      <c r="AN237" s="165"/>
      <c r="AO237" s="165"/>
      <c r="AP237" s="165"/>
      <c r="AQ237" s="165"/>
      <c r="AR237" s="165"/>
      <c r="AS237" s="165"/>
      <c r="AT237" s="165"/>
      <c r="AU237" s="165"/>
      <c r="AV237" s="165"/>
      <c r="AW237" s="165"/>
      <c r="AX237" s="165"/>
    </row>
    <row r="238" ht="15.75" customHeight="1">
      <c r="A238" s="165"/>
      <c r="B238" s="165"/>
      <c r="C238" s="165"/>
      <c r="D238" s="165"/>
      <c r="E238" s="165"/>
      <c r="F238" s="165"/>
      <c r="G238" s="165"/>
      <c r="H238" s="165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  <c r="AA238" s="165"/>
      <c r="AB238" s="165"/>
      <c r="AC238" s="165"/>
      <c r="AD238" s="165"/>
      <c r="AE238" s="165"/>
      <c r="AF238" s="165"/>
      <c r="AG238" s="165"/>
      <c r="AH238" s="165"/>
      <c r="AI238" s="165"/>
      <c r="AJ238" s="165"/>
      <c r="AK238" s="165"/>
      <c r="AL238" s="165"/>
      <c r="AM238" s="165"/>
      <c r="AN238" s="165"/>
      <c r="AO238" s="165"/>
      <c r="AP238" s="165"/>
      <c r="AQ238" s="165"/>
      <c r="AR238" s="165"/>
      <c r="AS238" s="165"/>
      <c r="AT238" s="165"/>
      <c r="AU238" s="165"/>
      <c r="AV238" s="165"/>
      <c r="AW238" s="165"/>
      <c r="AX238" s="165"/>
    </row>
    <row r="239" ht="15.75" customHeight="1">
      <c r="A239" s="165"/>
      <c r="B239" s="165"/>
      <c r="C239" s="165"/>
      <c r="D239" s="165"/>
      <c r="E239" s="165"/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  <c r="AA239" s="165"/>
      <c r="AB239" s="165"/>
      <c r="AC239" s="165"/>
      <c r="AD239" s="165"/>
      <c r="AE239" s="165"/>
      <c r="AF239" s="165"/>
      <c r="AG239" s="165"/>
      <c r="AH239" s="165"/>
      <c r="AI239" s="165"/>
      <c r="AJ239" s="165"/>
      <c r="AK239" s="165"/>
      <c r="AL239" s="165"/>
      <c r="AM239" s="165"/>
      <c r="AN239" s="165"/>
      <c r="AO239" s="165"/>
      <c r="AP239" s="165"/>
      <c r="AQ239" s="165"/>
      <c r="AR239" s="165"/>
      <c r="AS239" s="165"/>
      <c r="AT239" s="165"/>
      <c r="AU239" s="165"/>
      <c r="AV239" s="165"/>
      <c r="AW239" s="165"/>
      <c r="AX239" s="165"/>
    </row>
    <row r="240" ht="15.75" customHeight="1">
      <c r="A240" s="165"/>
      <c r="B240" s="165"/>
      <c r="C240" s="165"/>
      <c r="D240" s="165"/>
      <c r="E240" s="165"/>
      <c r="F240" s="165"/>
      <c r="G240" s="165"/>
      <c r="H240" s="165"/>
      <c r="I240" s="165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  <c r="AA240" s="165"/>
      <c r="AB240" s="165"/>
      <c r="AC240" s="165"/>
      <c r="AD240" s="165"/>
      <c r="AE240" s="165"/>
      <c r="AF240" s="165"/>
      <c r="AG240" s="165"/>
      <c r="AH240" s="165"/>
      <c r="AI240" s="165"/>
      <c r="AJ240" s="165"/>
      <c r="AK240" s="165"/>
      <c r="AL240" s="165"/>
      <c r="AM240" s="165"/>
      <c r="AN240" s="165"/>
      <c r="AO240" s="165"/>
      <c r="AP240" s="165"/>
      <c r="AQ240" s="165"/>
      <c r="AR240" s="165"/>
      <c r="AS240" s="165"/>
      <c r="AT240" s="165"/>
      <c r="AU240" s="165"/>
      <c r="AV240" s="165"/>
      <c r="AW240" s="165"/>
      <c r="AX240" s="165"/>
    </row>
    <row r="241" ht="15.75" customHeight="1">
      <c r="A241" s="165"/>
      <c r="B241" s="165"/>
      <c r="C241" s="165"/>
      <c r="D241" s="165"/>
      <c r="E241" s="165"/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  <c r="AA241" s="165"/>
      <c r="AB241" s="165"/>
      <c r="AC241" s="165"/>
      <c r="AD241" s="165"/>
      <c r="AE241" s="165"/>
      <c r="AF241" s="165"/>
      <c r="AG241" s="165"/>
      <c r="AH241" s="165"/>
      <c r="AI241" s="165"/>
      <c r="AJ241" s="165"/>
      <c r="AK241" s="165"/>
      <c r="AL241" s="165"/>
      <c r="AM241" s="165"/>
      <c r="AN241" s="165"/>
      <c r="AO241" s="165"/>
      <c r="AP241" s="165"/>
      <c r="AQ241" s="165"/>
      <c r="AR241" s="165"/>
      <c r="AS241" s="165"/>
      <c r="AT241" s="165"/>
      <c r="AU241" s="165"/>
      <c r="AV241" s="165"/>
      <c r="AW241" s="165"/>
      <c r="AX241" s="165"/>
    </row>
    <row r="242" ht="15.75" customHeight="1">
      <c r="A242" s="165"/>
      <c r="B242" s="165"/>
      <c r="C242" s="165"/>
      <c r="D242" s="165"/>
      <c r="E242" s="165"/>
      <c r="F242" s="165"/>
      <c r="G242" s="165"/>
      <c r="H242" s="165"/>
      <c r="I242" s="165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  <c r="AA242" s="165"/>
      <c r="AB242" s="165"/>
      <c r="AC242" s="165"/>
      <c r="AD242" s="165"/>
      <c r="AE242" s="165"/>
      <c r="AF242" s="165"/>
      <c r="AG242" s="165"/>
      <c r="AH242" s="165"/>
      <c r="AI242" s="165"/>
      <c r="AJ242" s="165"/>
      <c r="AK242" s="165"/>
      <c r="AL242" s="165"/>
      <c r="AM242" s="165"/>
      <c r="AN242" s="165"/>
      <c r="AO242" s="165"/>
      <c r="AP242" s="165"/>
      <c r="AQ242" s="165"/>
      <c r="AR242" s="165"/>
      <c r="AS242" s="165"/>
      <c r="AT242" s="165"/>
      <c r="AU242" s="165"/>
      <c r="AV242" s="165"/>
      <c r="AW242" s="165"/>
      <c r="AX242" s="165"/>
    </row>
    <row r="243" ht="15.75" customHeight="1">
      <c r="A243" s="165"/>
      <c r="B243" s="165"/>
      <c r="C243" s="165"/>
      <c r="D243" s="165"/>
      <c r="E243" s="165"/>
      <c r="F243" s="165"/>
      <c r="G243" s="165"/>
      <c r="H243" s="165"/>
      <c r="I243" s="165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  <c r="AA243" s="165"/>
      <c r="AB243" s="165"/>
      <c r="AC243" s="165"/>
      <c r="AD243" s="165"/>
      <c r="AE243" s="165"/>
      <c r="AF243" s="165"/>
      <c r="AG243" s="165"/>
      <c r="AH243" s="165"/>
      <c r="AI243" s="165"/>
      <c r="AJ243" s="165"/>
      <c r="AK243" s="165"/>
      <c r="AL243" s="165"/>
      <c r="AM243" s="165"/>
      <c r="AN243" s="165"/>
      <c r="AO243" s="165"/>
      <c r="AP243" s="165"/>
      <c r="AQ243" s="165"/>
      <c r="AR243" s="165"/>
      <c r="AS243" s="165"/>
      <c r="AT243" s="165"/>
      <c r="AU243" s="165"/>
      <c r="AV243" s="165"/>
      <c r="AW243" s="165"/>
      <c r="AX243" s="165"/>
    </row>
    <row r="244" ht="15.75" customHeight="1">
      <c r="A244" s="165"/>
      <c r="B244" s="165"/>
      <c r="C244" s="165"/>
      <c r="D244" s="165"/>
      <c r="E244" s="165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  <c r="AA244" s="165"/>
      <c r="AB244" s="165"/>
      <c r="AC244" s="165"/>
      <c r="AD244" s="165"/>
      <c r="AE244" s="165"/>
      <c r="AF244" s="165"/>
      <c r="AG244" s="165"/>
      <c r="AH244" s="165"/>
      <c r="AI244" s="165"/>
      <c r="AJ244" s="165"/>
      <c r="AK244" s="165"/>
      <c r="AL244" s="165"/>
      <c r="AM244" s="165"/>
      <c r="AN244" s="165"/>
      <c r="AO244" s="165"/>
      <c r="AP244" s="165"/>
      <c r="AQ244" s="165"/>
      <c r="AR244" s="165"/>
      <c r="AS244" s="165"/>
      <c r="AT244" s="165"/>
      <c r="AU244" s="165"/>
      <c r="AV244" s="165"/>
      <c r="AW244" s="165"/>
      <c r="AX244" s="165"/>
    </row>
    <row r="245" ht="15.75" customHeight="1">
      <c r="A245" s="165"/>
      <c r="B245" s="165"/>
      <c r="C245" s="165"/>
      <c r="D245" s="165"/>
      <c r="E245" s="165"/>
      <c r="F245" s="165"/>
      <c r="G245" s="165"/>
      <c r="H245" s="165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  <c r="AA245" s="165"/>
      <c r="AB245" s="165"/>
      <c r="AC245" s="165"/>
      <c r="AD245" s="165"/>
      <c r="AE245" s="165"/>
      <c r="AF245" s="165"/>
      <c r="AG245" s="165"/>
      <c r="AH245" s="165"/>
      <c r="AI245" s="165"/>
      <c r="AJ245" s="165"/>
      <c r="AK245" s="165"/>
      <c r="AL245" s="165"/>
      <c r="AM245" s="165"/>
      <c r="AN245" s="165"/>
      <c r="AO245" s="165"/>
      <c r="AP245" s="165"/>
      <c r="AQ245" s="165"/>
      <c r="AR245" s="165"/>
      <c r="AS245" s="165"/>
      <c r="AT245" s="165"/>
      <c r="AU245" s="165"/>
      <c r="AV245" s="165"/>
      <c r="AW245" s="165"/>
      <c r="AX245" s="165"/>
    </row>
    <row r="246" ht="15.75" customHeight="1">
      <c r="A246" s="165"/>
      <c r="B246" s="165"/>
      <c r="C246" s="165"/>
      <c r="D246" s="165"/>
      <c r="E246" s="165"/>
      <c r="F246" s="165"/>
      <c r="G246" s="165"/>
      <c r="H246" s="165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  <c r="AA246" s="165"/>
      <c r="AB246" s="165"/>
      <c r="AC246" s="165"/>
      <c r="AD246" s="165"/>
      <c r="AE246" s="165"/>
      <c r="AF246" s="165"/>
      <c r="AG246" s="165"/>
      <c r="AH246" s="165"/>
      <c r="AI246" s="165"/>
      <c r="AJ246" s="165"/>
      <c r="AK246" s="165"/>
      <c r="AL246" s="165"/>
      <c r="AM246" s="165"/>
      <c r="AN246" s="165"/>
      <c r="AO246" s="165"/>
      <c r="AP246" s="165"/>
      <c r="AQ246" s="165"/>
      <c r="AR246" s="165"/>
      <c r="AS246" s="165"/>
      <c r="AT246" s="165"/>
      <c r="AU246" s="165"/>
      <c r="AV246" s="165"/>
      <c r="AW246" s="165"/>
      <c r="AX246" s="165"/>
    </row>
    <row r="247" ht="15.75" customHeight="1">
      <c r="A247" s="165"/>
      <c r="B247" s="165"/>
      <c r="C247" s="165"/>
      <c r="D247" s="165"/>
      <c r="E247" s="165"/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  <c r="AA247" s="165"/>
      <c r="AB247" s="165"/>
      <c r="AC247" s="165"/>
      <c r="AD247" s="165"/>
      <c r="AE247" s="165"/>
      <c r="AF247" s="165"/>
      <c r="AG247" s="165"/>
      <c r="AH247" s="165"/>
      <c r="AI247" s="165"/>
      <c r="AJ247" s="165"/>
      <c r="AK247" s="165"/>
      <c r="AL247" s="165"/>
      <c r="AM247" s="165"/>
      <c r="AN247" s="165"/>
      <c r="AO247" s="165"/>
      <c r="AP247" s="165"/>
      <c r="AQ247" s="165"/>
      <c r="AR247" s="165"/>
      <c r="AS247" s="165"/>
      <c r="AT247" s="165"/>
      <c r="AU247" s="165"/>
      <c r="AV247" s="165"/>
      <c r="AW247" s="165"/>
      <c r="AX247" s="165"/>
    </row>
    <row r="248" ht="15.75" customHeight="1">
      <c r="A248" s="165"/>
      <c r="B248" s="165"/>
      <c r="C248" s="165"/>
      <c r="D248" s="165"/>
      <c r="E248" s="165"/>
      <c r="F248" s="165"/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  <c r="AA248" s="165"/>
      <c r="AB248" s="165"/>
      <c r="AC248" s="165"/>
      <c r="AD248" s="165"/>
      <c r="AE248" s="165"/>
      <c r="AF248" s="165"/>
      <c r="AG248" s="165"/>
      <c r="AH248" s="165"/>
      <c r="AI248" s="165"/>
      <c r="AJ248" s="165"/>
      <c r="AK248" s="165"/>
      <c r="AL248" s="165"/>
      <c r="AM248" s="165"/>
      <c r="AN248" s="165"/>
      <c r="AO248" s="165"/>
      <c r="AP248" s="165"/>
      <c r="AQ248" s="165"/>
      <c r="AR248" s="165"/>
      <c r="AS248" s="165"/>
      <c r="AT248" s="165"/>
      <c r="AU248" s="165"/>
      <c r="AV248" s="165"/>
      <c r="AW248" s="165"/>
      <c r="AX248" s="165"/>
    </row>
    <row r="249" ht="15.75" customHeight="1">
      <c r="A249" s="165"/>
      <c r="B249" s="165"/>
      <c r="C249" s="165"/>
      <c r="D249" s="165"/>
      <c r="E249" s="165"/>
      <c r="F249" s="165"/>
      <c r="G249" s="165"/>
      <c r="H249" s="165"/>
      <c r="I249" s="165"/>
      <c r="J249" s="165"/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  <c r="AA249" s="165"/>
      <c r="AB249" s="165"/>
      <c r="AC249" s="165"/>
      <c r="AD249" s="165"/>
      <c r="AE249" s="165"/>
      <c r="AF249" s="165"/>
      <c r="AG249" s="165"/>
      <c r="AH249" s="165"/>
      <c r="AI249" s="165"/>
      <c r="AJ249" s="165"/>
      <c r="AK249" s="165"/>
      <c r="AL249" s="165"/>
      <c r="AM249" s="165"/>
      <c r="AN249" s="165"/>
      <c r="AO249" s="165"/>
      <c r="AP249" s="165"/>
      <c r="AQ249" s="165"/>
      <c r="AR249" s="165"/>
      <c r="AS249" s="165"/>
      <c r="AT249" s="165"/>
      <c r="AU249" s="165"/>
      <c r="AV249" s="165"/>
      <c r="AW249" s="165"/>
      <c r="AX249" s="165"/>
    </row>
    <row r="250" ht="15.75" customHeight="1">
      <c r="A250" s="165"/>
      <c r="B250" s="165"/>
      <c r="C250" s="165"/>
      <c r="D250" s="165"/>
      <c r="E250" s="165"/>
      <c r="F250" s="165"/>
      <c r="G250" s="165"/>
      <c r="H250" s="165"/>
      <c r="I250" s="165"/>
      <c r="J250" s="165"/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  <c r="AA250" s="165"/>
      <c r="AB250" s="165"/>
      <c r="AC250" s="165"/>
      <c r="AD250" s="165"/>
      <c r="AE250" s="165"/>
      <c r="AF250" s="165"/>
      <c r="AG250" s="165"/>
      <c r="AH250" s="165"/>
      <c r="AI250" s="165"/>
      <c r="AJ250" s="165"/>
      <c r="AK250" s="165"/>
      <c r="AL250" s="165"/>
      <c r="AM250" s="165"/>
      <c r="AN250" s="165"/>
      <c r="AO250" s="165"/>
      <c r="AP250" s="165"/>
      <c r="AQ250" s="165"/>
      <c r="AR250" s="165"/>
      <c r="AS250" s="165"/>
      <c r="AT250" s="165"/>
      <c r="AU250" s="165"/>
      <c r="AV250" s="165"/>
      <c r="AW250" s="165"/>
      <c r="AX250" s="165"/>
    </row>
    <row r="251" ht="15.75" customHeight="1">
      <c r="A251" s="165"/>
      <c r="B251" s="165"/>
      <c r="C251" s="165"/>
      <c r="D251" s="165"/>
      <c r="E251" s="165"/>
      <c r="F251" s="165"/>
      <c r="G251" s="165"/>
      <c r="H251" s="165"/>
      <c r="I251" s="165"/>
      <c r="J251" s="165"/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  <c r="AA251" s="165"/>
      <c r="AB251" s="165"/>
      <c r="AC251" s="165"/>
      <c r="AD251" s="165"/>
      <c r="AE251" s="165"/>
      <c r="AF251" s="165"/>
      <c r="AG251" s="165"/>
      <c r="AH251" s="165"/>
      <c r="AI251" s="165"/>
      <c r="AJ251" s="165"/>
      <c r="AK251" s="165"/>
      <c r="AL251" s="165"/>
      <c r="AM251" s="165"/>
      <c r="AN251" s="165"/>
      <c r="AO251" s="165"/>
      <c r="AP251" s="165"/>
      <c r="AQ251" s="165"/>
      <c r="AR251" s="165"/>
      <c r="AS251" s="165"/>
      <c r="AT251" s="165"/>
      <c r="AU251" s="165"/>
      <c r="AV251" s="165"/>
      <c r="AW251" s="165"/>
      <c r="AX251" s="165"/>
    </row>
    <row r="252" ht="15.75" customHeight="1">
      <c r="A252" s="165"/>
      <c r="B252" s="165"/>
      <c r="C252" s="165"/>
      <c r="D252" s="165"/>
      <c r="E252" s="165"/>
      <c r="F252" s="165"/>
      <c r="G252" s="165"/>
      <c r="H252" s="165"/>
      <c r="I252" s="165"/>
      <c r="J252" s="165"/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  <c r="AA252" s="165"/>
      <c r="AB252" s="165"/>
      <c r="AC252" s="165"/>
      <c r="AD252" s="165"/>
      <c r="AE252" s="165"/>
      <c r="AF252" s="165"/>
      <c r="AG252" s="165"/>
      <c r="AH252" s="165"/>
      <c r="AI252" s="165"/>
      <c r="AJ252" s="165"/>
      <c r="AK252" s="165"/>
      <c r="AL252" s="165"/>
      <c r="AM252" s="165"/>
      <c r="AN252" s="165"/>
      <c r="AO252" s="165"/>
      <c r="AP252" s="165"/>
      <c r="AQ252" s="165"/>
      <c r="AR252" s="165"/>
      <c r="AS252" s="165"/>
      <c r="AT252" s="165"/>
      <c r="AU252" s="165"/>
      <c r="AV252" s="165"/>
      <c r="AW252" s="165"/>
      <c r="AX252" s="165"/>
    </row>
    <row r="253" ht="15.75" customHeight="1">
      <c r="A253" s="165"/>
      <c r="B253" s="165"/>
      <c r="C253" s="165"/>
      <c r="D253" s="165"/>
      <c r="E253" s="165"/>
      <c r="F253" s="165"/>
      <c r="G253" s="165"/>
      <c r="H253" s="165"/>
      <c r="I253" s="165"/>
      <c r="J253" s="165"/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  <c r="AA253" s="165"/>
      <c r="AB253" s="165"/>
      <c r="AC253" s="165"/>
      <c r="AD253" s="165"/>
      <c r="AE253" s="165"/>
      <c r="AF253" s="165"/>
      <c r="AG253" s="165"/>
      <c r="AH253" s="165"/>
      <c r="AI253" s="165"/>
      <c r="AJ253" s="165"/>
      <c r="AK253" s="165"/>
      <c r="AL253" s="165"/>
      <c r="AM253" s="165"/>
      <c r="AN253" s="165"/>
      <c r="AO253" s="165"/>
      <c r="AP253" s="165"/>
      <c r="AQ253" s="165"/>
      <c r="AR253" s="165"/>
      <c r="AS253" s="165"/>
      <c r="AT253" s="165"/>
      <c r="AU253" s="165"/>
      <c r="AV253" s="165"/>
      <c r="AW253" s="165"/>
      <c r="AX253" s="165"/>
    </row>
    <row r="254" ht="15.75" customHeight="1">
      <c r="A254" s="165"/>
      <c r="B254" s="165"/>
      <c r="C254" s="165"/>
      <c r="D254" s="165"/>
      <c r="E254" s="165"/>
      <c r="F254" s="165"/>
      <c r="G254" s="165"/>
      <c r="H254" s="165"/>
      <c r="I254" s="165"/>
      <c r="J254" s="165"/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  <c r="AA254" s="165"/>
      <c r="AB254" s="165"/>
      <c r="AC254" s="165"/>
      <c r="AD254" s="165"/>
      <c r="AE254" s="165"/>
      <c r="AF254" s="165"/>
      <c r="AG254" s="165"/>
      <c r="AH254" s="165"/>
      <c r="AI254" s="165"/>
      <c r="AJ254" s="165"/>
      <c r="AK254" s="165"/>
      <c r="AL254" s="165"/>
      <c r="AM254" s="165"/>
      <c r="AN254" s="165"/>
      <c r="AO254" s="165"/>
      <c r="AP254" s="165"/>
      <c r="AQ254" s="165"/>
      <c r="AR254" s="165"/>
      <c r="AS254" s="165"/>
      <c r="AT254" s="165"/>
      <c r="AU254" s="165"/>
      <c r="AV254" s="165"/>
      <c r="AW254" s="165"/>
      <c r="AX254" s="165"/>
    </row>
    <row r="255" ht="15.75" customHeight="1">
      <c r="A255" s="165"/>
      <c r="B255" s="165"/>
      <c r="C255" s="165"/>
      <c r="D255" s="165"/>
      <c r="E255" s="165"/>
      <c r="F255" s="165"/>
      <c r="G255" s="165"/>
      <c r="H255" s="165"/>
      <c r="I255" s="165"/>
      <c r="J255" s="165"/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  <c r="AA255" s="165"/>
      <c r="AB255" s="165"/>
      <c r="AC255" s="165"/>
      <c r="AD255" s="165"/>
      <c r="AE255" s="165"/>
      <c r="AF255" s="165"/>
      <c r="AG255" s="165"/>
      <c r="AH255" s="165"/>
      <c r="AI255" s="165"/>
      <c r="AJ255" s="165"/>
      <c r="AK255" s="165"/>
      <c r="AL255" s="165"/>
      <c r="AM255" s="165"/>
      <c r="AN255" s="165"/>
      <c r="AO255" s="165"/>
      <c r="AP255" s="165"/>
      <c r="AQ255" s="165"/>
      <c r="AR255" s="165"/>
      <c r="AS255" s="165"/>
      <c r="AT255" s="165"/>
      <c r="AU255" s="165"/>
      <c r="AV255" s="165"/>
      <c r="AW255" s="165"/>
      <c r="AX255" s="165"/>
    </row>
    <row r="256" ht="15.75" customHeight="1">
      <c r="A256" s="165"/>
      <c r="B256" s="165"/>
      <c r="C256" s="165"/>
      <c r="D256" s="165"/>
      <c r="E256" s="165"/>
      <c r="F256" s="165"/>
      <c r="G256" s="165"/>
      <c r="H256" s="165"/>
      <c r="I256" s="165"/>
      <c r="J256" s="165"/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  <c r="AA256" s="165"/>
      <c r="AB256" s="165"/>
      <c r="AC256" s="165"/>
      <c r="AD256" s="165"/>
      <c r="AE256" s="165"/>
      <c r="AF256" s="165"/>
      <c r="AG256" s="165"/>
      <c r="AH256" s="165"/>
      <c r="AI256" s="165"/>
      <c r="AJ256" s="165"/>
      <c r="AK256" s="165"/>
      <c r="AL256" s="165"/>
      <c r="AM256" s="165"/>
      <c r="AN256" s="165"/>
      <c r="AO256" s="165"/>
      <c r="AP256" s="165"/>
      <c r="AQ256" s="165"/>
      <c r="AR256" s="165"/>
      <c r="AS256" s="165"/>
      <c r="AT256" s="165"/>
      <c r="AU256" s="165"/>
      <c r="AV256" s="165"/>
      <c r="AW256" s="165"/>
      <c r="AX256" s="165"/>
    </row>
    <row r="257" ht="15.75" customHeight="1">
      <c r="A257" s="165"/>
      <c r="B257" s="165"/>
      <c r="C257" s="165"/>
      <c r="D257" s="165"/>
      <c r="E257" s="165"/>
      <c r="F257" s="165"/>
      <c r="G257" s="165"/>
      <c r="H257" s="165"/>
      <c r="I257" s="165"/>
      <c r="J257" s="165"/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  <c r="AA257" s="165"/>
      <c r="AB257" s="165"/>
      <c r="AC257" s="165"/>
      <c r="AD257" s="165"/>
      <c r="AE257" s="165"/>
      <c r="AF257" s="165"/>
      <c r="AG257" s="165"/>
      <c r="AH257" s="165"/>
      <c r="AI257" s="165"/>
      <c r="AJ257" s="165"/>
      <c r="AK257" s="165"/>
      <c r="AL257" s="165"/>
      <c r="AM257" s="165"/>
      <c r="AN257" s="165"/>
      <c r="AO257" s="165"/>
      <c r="AP257" s="165"/>
      <c r="AQ257" s="165"/>
      <c r="AR257" s="165"/>
      <c r="AS257" s="165"/>
      <c r="AT257" s="165"/>
      <c r="AU257" s="165"/>
      <c r="AV257" s="165"/>
      <c r="AW257" s="165"/>
      <c r="AX257" s="165"/>
    </row>
    <row r="258" ht="15.75" customHeight="1">
      <c r="A258" s="165"/>
      <c r="B258" s="165"/>
      <c r="C258" s="165"/>
      <c r="D258" s="165"/>
      <c r="E258" s="165"/>
      <c r="F258" s="165"/>
      <c r="G258" s="165"/>
      <c r="H258" s="165"/>
      <c r="I258" s="165"/>
      <c r="J258" s="165"/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  <c r="AA258" s="165"/>
      <c r="AB258" s="165"/>
      <c r="AC258" s="165"/>
      <c r="AD258" s="165"/>
      <c r="AE258" s="165"/>
      <c r="AF258" s="165"/>
      <c r="AG258" s="165"/>
      <c r="AH258" s="165"/>
      <c r="AI258" s="165"/>
      <c r="AJ258" s="165"/>
      <c r="AK258" s="165"/>
      <c r="AL258" s="165"/>
      <c r="AM258" s="165"/>
      <c r="AN258" s="165"/>
      <c r="AO258" s="165"/>
      <c r="AP258" s="165"/>
      <c r="AQ258" s="165"/>
      <c r="AR258" s="165"/>
      <c r="AS258" s="165"/>
      <c r="AT258" s="165"/>
      <c r="AU258" s="165"/>
      <c r="AV258" s="165"/>
      <c r="AW258" s="165"/>
      <c r="AX258" s="165"/>
    </row>
    <row r="259" ht="15.75" customHeight="1">
      <c r="A259" s="165"/>
      <c r="B259" s="165"/>
      <c r="C259" s="165"/>
      <c r="D259" s="165"/>
      <c r="E259" s="165"/>
      <c r="F259" s="165"/>
      <c r="G259" s="165"/>
      <c r="H259" s="165"/>
      <c r="I259" s="165"/>
      <c r="J259" s="165"/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  <c r="AA259" s="165"/>
      <c r="AB259" s="165"/>
      <c r="AC259" s="165"/>
      <c r="AD259" s="165"/>
      <c r="AE259" s="165"/>
      <c r="AF259" s="165"/>
      <c r="AG259" s="165"/>
      <c r="AH259" s="165"/>
      <c r="AI259" s="165"/>
      <c r="AJ259" s="165"/>
      <c r="AK259" s="165"/>
      <c r="AL259" s="165"/>
      <c r="AM259" s="165"/>
      <c r="AN259" s="165"/>
      <c r="AO259" s="165"/>
      <c r="AP259" s="165"/>
      <c r="AQ259" s="165"/>
      <c r="AR259" s="165"/>
      <c r="AS259" s="165"/>
      <c r="AT259" s="165"/>
      <c r="AU259" s="165"/>
      <c r="AV259" s="165"/>
      <c r="AW259" s="165"/>
      <c r="AX259" s="165"/>
    </row>
    <row r="260" ht="15.75" customHeight="1">
      <c r="A260" s="165"/>
      <c r="B260" s="165"/>
      <c r="C260" s="165"/>
      <c r="D260" s="165"/>
      <c r="E260" s="165"/>
      <c r="F260" s="165"/>
      <c r="G260" s="165"/>
      <c r="H260" s="165"/>
      <c r="I260" s="165"/>
      <c r="J260" s="165"/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  <c r="AA260" s="165"/>
      <c r="AB260" s="165"/>
      <c r="AC260" s="165"/>
      <c r="AD260" s="165"/>
      <c r="AE260" s="165"/>
      <c r="AF260" s="165"/>
      <c r="AG260" s="165"/>
      <c r="AH260" s="165"/>
      <c r="AI260" s="165"/>
      <c r="AJ260" s="165"/>
      <c r="AK260" s="165"/>
      <c r="AL260" s="165"/>
      <c r="AM260" s="165"/>
      <c r="AN260" s="165"/>
      <c r="AO260" s="165"/>
      <c r="AP260" s="165"/>
      <c r="AQ260" s="165"/>
      <c r="AR260" s="165"/>
      <c r="AS260" s="165"/>
      <c r="AT260" s="165"/>
      <c r="AU260" s="165"/>
      <c r="AV260" s="165"/>
      <c r="AW260" s="165"/>
      <c r="AX260" s="165"/>
    </row>
    <row r="261" ht="15.75" customHeight="1">
      <c r="A261" s="165"/>
      <c r="B261" s="165"/>
      <c r="C261" s="165"/>
      <c r="D261" s="165"/>
      <c r="E261" s="165"/>
      <c r="F261" s="165"/>
      <c r="G261" s="165"/>
      <c r="H261" s="165"/>
      <c r="I261" s="165"/>
      <c r="J261" s="165"/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  <c r="AA261" s="165"/>
      <c r="AB261" s="165"/>
      <c r="AC261" s="165"/>
      <c r="AD261" s="165"/>
      <c r="AE261" s="165"/>
      <c r="AF261" s="165"/>
      <c r="AG261" s="165"/>
      <c r="AH261" s="165"/>
      <c r="AI261" s="165"/>
      <c r="AJ261" s="165"/>
      <c r="AK261" s="165"/>
      <c r="AL261" s="165"/>
      <c r="AM261" s="165"/>
      <c r="AN261" s="165"/>
      <c r="AO261" s="165"/>
      <c r="AP261" s="165"/>
      <c r="AQ261" s="165"/>
      <c r="AR261" s="165"/>
      <c r="AS261" s="165"/>
      <c r="AT261" s="165"/>
      <c r="AU261" s="165"/>
      <c r="AV261" s="165"/>
      <c r="AW261" s="165"/>
      <c r="AX261" s="165"/>
    </row>
    <row r="262" ht="15.75" customHeight="1">
      <c r="A262" s="165"/>
      <c r="B262" s="165"/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5"/>
      <c r="AJ262" s="165"/>
      <c r="AK262" s="165"/>
      <c r="AL262" s="165"/>
      <c r="AM262" s="165"/>
      <c r="AN262" s="165"/>
      <c r="AO262" s="165"/>
      <c r="AP262" s="165"/>
      <c r="AQ262" s="165"/>
      <c r="AR262" s="165"/>
      <c r="AS262" s="165"/>
      <c r="AT262" s="165"/>
      <c r="AU262" s="165"/>
      <c r="AV262" s="165"/>
      <c r="AW262" s="165"/>
      <c r="AX262" s="165"/>
    </row>
    <row r="263" ht="15.75" customHeight="1">
      <c r="A263" s="165"/>
      <c r="B263" s="165"/>
      <c r="C263" s="165"/>
      <c r="D263" s="165"/>
      <c r="E263" s="165"/>
      <c r="F263" s="165"/>
      <c r="G263" s="165"/>
      <c r="H263" s="165"/>
      <c r="I263" s="165"/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  <c r="AI263" s="165"/>
      <c r="AJ263" s="165"/>
      <c r="AK263" s="165"/>
      <c r="AL263" s="165"/>
      <c r="AM263" s="165"/>
      <c r="AN263" s="165"/>
      <c r="AO263" s="165"/>
      <c r="AP263" s="165"/>
      <c r="AQ263" s="165"/>
      <c r="AR263" s="165"/>
      <c r="AS263" s="165"/>
      <c r="AT263" s="165"/>
      <c r="AU263" s="165"/>
      <c r="AV263" s="165"/>
      <c r="AW263" s="165"/>
      <c r="AX263" s="165"/>
    </row>
    <row r="264" ht="15.75" customHeight="1">
      <c r="A264" s="165"/>
      <c r="B264" s="165"/>
      <c r="C264" s="165"/>
      <c r="D264" s="165"/>
      <c r="E264" s="165"/>
      <c r="F264" s="165"/>
      <c r="G264" s="165"/>
      <c r="H264" s="165"/>
      <c r="I264" s="165"/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  <c r="AA264" s="165"/>
      <c r="AB264" s="165"/>
      <c r="AC264" s="165"/>
      <c r="AD264" s="165"/>
      <c r="AE264" s="165"/>
      <c r="AF264" s="165"/>
      <c r="AG264" s="165"/>
      <c r="AH264" s="165"/>
      <c r="AI264" s="165"/>
      <c r="AJ264" s="165"/>
      <c r="AK264" s="165"/>
      <c r="AL264" s="165"/>
      <c r="AM264" s="165"/>
      <c r="AN264" s="165"/>
      <c r="AO264" s="165"/>
      <c r="AP264" s="165"/>
      <c r="AQ264" s="165"/>
      <c r="AR264" s="165"/>
      <c r="AS264" s="165"/>
      <c r="AT264" s="165"/>
      <c r="AU264" s="165"/>
      <c r="AV264" s="165"/>
      <c r="AW264" s="165"/>
      <c r="AX264" s="165"/>
    </row>
    <row r="265" ht="15.75" customHeight="1">
      <c r="A265" s="165"/>
      <c r="B265" s="165"/>
      <c r="C265" s="165"/>
      <c r="D265" s="165"/>
      <c r="E265" s="165"/>
      <c r="F265" s="165"/>
      <c r="G265" s="165"/>
      <c r="H265" s="165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  <c r="AA265" s="165"/>
      <c r="AB265" s="165"/>
      <c r="AC265" s="165"/>
      <c r="AD265" s="165"/>
      <c r="AE265" s="165"/>
      <c r="AF265" s="165"/>
      <c r="AG265" s="165"/>
      <c r="AH265" s="165"/>
      <c r="AI265" s="165"/>
      <c r="AJ265" s="165"/>
      <c r="AK265" s="165"/>
      <c r="AL265" s="165"/>
      <c r="AM265" s="165"/>
      <c r="AN265" s="165"/>
      <c r="AO265" s="165"/>
      <c r="AP265" s="165"/>
      <c r="AQ265" s="165"/>
      <c r="AR265" s="165"/>
      <c r="AS265" s="165"/>
      <c r="AT265" s="165"/>
      <c r="AU265" s="165"/>
      <c r="AV265" s="165"/>
      <c r="AW265" s="165"/>
      <c r="AX265" s="165"/>
    </row>
    <row r="266" ht="15.75" customHeight="1">
      <c r="A266" s="165"/>
      <c r="B266" s="165"/>
      <c r="C266" s="165"/>
      <c r="D266" s="165"/>
      <c r="E266" s="165"/>
      <c r="F266" s="165"/>
      <c r="G266" s="165"/>
      <c r="H266" s="165"/>
      <c r="I266" s="165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  <c r="AA266" s="165"/>
      <c r="AB266" s="165"/>
      <c r="AC266" s="165"/>
      <c r="AD266" s="165"/>
      <c r="AE266" s="165"/>
      <c r="AF266" s="165"/>
      <c r="AG266" s="165"/>
      <c r="AH266" s="165"/>
      <c r="AI266" s="165"/>
      <c r="AJ266" s="165"/>
      <c r="AK266" s="165"/>
      <c r="AL266" s="165"/>
      <c r="AM266" s="165"/>
      <c r="AN266" s="165"/>
      <c r="AO266" s="165"/>
      <c r="AP266" s="165"/>
      <c r="AQ266" s="165"/>
      <c r="AR266" s="165"/>
      <c r="AS266" s="165"/>
      <c r="AT266" s="165"/>
      <c r="AU266" s="165"/>
      <c r="AV266" s="165"/>
      <c r="AW266" s="165"/>
      <c r="AX266" s="165"/>
    </row>
    <row r="267" ht="15.75" customHeight="1">
      <c r="A267" s="165"/>
      <c r="B267" s="165"/>
      <c r="C267" s="165"/>
      <c r="D267" s="165"/>
      <c r="E267" s="165"/>
      <c r="F267" s="165"/>
      <c r="G267" s="165"/>
      <c r="H267" s="165"/>
      <c r="I267" s="165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  <c r="AA267" s="165"/>
      <c r="AB267" s="165"/>
      <c r="AC267" s="165"/>
      <c r="AD267" s="165"/>
      <c r="AE267" s="165"/>
      <c r="AF267" s="165"/>
      <c r="AG267" s="165"/>
      <c r="AH267" s="165"/>
      <c r="AI267" s="165"/>
      <c r="AJ267" s="165"/>
      <c r="AK267" s="165"/>
      <c r="AL267" s="165"/>
      <c r="AM267" s="165"/>
      <c r="AN267" s="165"/>
      <c r="AO267" s="165"/>
      <c r="AP267" s="165"/>
      <c r="AQ267" s="165"/>
      <c r="AR267" s="165"/>
      <c r="AS267" s="165"/>
      <c r="AT267" s="165"/>
      <c r="AU267" s="165"/>
      <c r="AV267" s="165"/>
      <c r="AW267" s="165"/>
      <c r="AX267" s="165"/>
    </row>
    <row r="268" ht="15.75" customHeight="1">
      <c r="A268" s="165"/>
      <c r="B268" s="165"/>
      <c r="C268" s="165"/>
      <c r="D268" s="165"/>
      <c r="E268" s="165"/>
      <c r="F268" s="165"/>
      <c r="G268" s="165"/>
      <c r="H268" s="165"/>
      <c r="I268" s="165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  <c r="AA268" s="165"/>
      <c r="AB268" s="165"/>
      <c r="AC268" s="165"/>
      <c r="AD268" s="165"/>
      <c r="AE268" s="165"/>
      <c r="AF268" s="165"/>
      <c r="AG268" s="165"/>
      <c r="AH268" s="165"/>
      <c r="AI268" s="165"/>
      <c r="AJ268" s="165"/>
      <c r="AK268" s="165"/>
      <c r="AL268" s="165"/>
      <c r="AM268" s="165"/>
      <c r="AN268" s="165"/>
      <c r="AO268" s="165"/>
      <c r="AP268" s="165"/>
      <c r="AQ268" s="165"/>
      <c r="AR268" s="165"/>
      <c r="AS268" s="165"/>
      <c r="AT268" s="165"/>
      <c r="AU268" s="165"/>
      <c r="AV268" s="165"/>
      <c r="AW268" s="165"/>
      <c r="AX268" s="165"/>
    </row>
    <row r="269" ht="15.75" customHeight="1">
      <c r="A269" s="165"/>
      <c r="B269" s="165"/>
      <c r="C269" s="165"/>
      <c r="D269" s="165"/>
      <c r="E269" s="165"/>
      <c r="F269" s="165"/>
      <c r="G269" s="165"/>
      <c r="H269" s="165"/>
      <c r="I269" s="165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  <c r="AA269" s="165"/>
      <c r="AB269" s="165"/>
      <c r="AC269" s="165"/>
      <c r="AD269" s="165"/>
      <c r="AE269" s="165"/>
      <c r="AF269" s="165"/>
      <c r="AG269" s="165"/>
      <c r="AH269" s="165"/>
      <c r="AI269" s="165"/>
      <c r="AJ269" s="165"/>
      <c r="AK269" s="165"/>
      <c r="AL269" s="165"/>
      <c r="AM269" s="165"/>
      <c r="AN269" s="165"/>
      <c r="AO269" s="165"/>
      <c r="AP269" s="165"/>
      <c r="AQ269" s="165"/>
      <c r="AR269" s="165"/>
      <c r="AS269" s="165"/>
      <c r="AT269" s="165"/>
      <c r="AU269" s="165"/>
      <c r="AV269" s="165"/>
      <c r="AW269" s="165"/>
      <c r="AX269" s="165"/>
    </row>
    <row r="270" ht="15.75" customHeight="1">
      <c r="A270" s="165"/>
      <c r="B270" s="165"/>
      <c r="C270" s="165"/>
      <c r="D270" s="165"/>
      <c r="E270" s="165"/>
      <c r="F270" s="165"/>
      <c r="G270" s="165"/>
      <c r="H270" s="165"/>
      <c r="I270" s="165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  <c r="AA270" s="165"/>
      <c r="AB270" s="165"/>
      <c r="AC270" s="165"/>
      <c r="AD270" s="165"/>
      <c r="AE270" s="165"/>
      <c r="AF270" s="165"/>
      <c r="AG270" s="165"/>
      <c r="AH270" s="165"/>
      <c r="AI270" s="165"/>
      <c r="AJ270" s="165"/>
      <c r="AK270" s="165"/>
      <c r="AL270" s="165"/>
      <c r="AM270" s="165"/>
      <c r="AN270" s="165"/>
      <c r="AO270" s="165"/>
      <c r="AP270" s="165"/>
      <c r="AQ270" s="165"/>
      <c r="AR270" s="165"/>
      <c r="AS270" s="165"/>
      <c r="AT270" s="165"/>
      <c r="AU270" s="165"/>
      <c r="AV270" s="165"/>
      <c r="AW270" s="165"/>
      <c r="AX270" s="165"/>
    </row>
    <row r="271" ht="15.75" customHeight="1">
      <c r="A271" s="165"/>
      <c r="B271" s="165"/>
      <c r="C271" s="165"/>
      <c r="D271" s="165"/>
      <c r="E271" s="165"/>
      <c r="F271" s="165"/>
      <c r="G271" s="165"/>
      <c r="H271" s="165"/>
      <c r="I271" s="165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  <c r="AA271" s="165"/>
      <c r="AB271" s="165"/>
      <c r="AC271" s="165"/>
      <c r="AD271" s="165"/>
      <c r="AE271" s="165"/>
      <c r="AF271" s="165"/>
      <c r="AG271" s="165"/>
      <c r="AH271" s="165"/>
      <c r="AI271" s="165"/>
      <c r="AJ271" s="165"/>
      <c r="AK271" s="165"/>
      <c r="AL271" s="165"/>
      <c r="AM271" s="165"/>
      <c r="AN271" s="165"/>
      <c r="AO271" s="165"/>
      <c r="AP271" s="165"/>
      <c r="AQ271" s="165"/>
      <c r="AR271" s="165"/>
      <c r="AS271" s="165"/>
      <c r="AT271" s="165"/>
      <c r="AU271" s="165"/>
      <c r="AV271" s="165"/>
      <c r="AW271" s="165"/>
      <c r="AX271" s="165"/>
    </row>
    <row r="272" ht="15.75" customHeight="1">
      <c r="A272" s="165"/>
      <c r="B272" s="165"/>
      <c r="C272" s="165"/>
      <c r="D272" s="165"/>
      <c r="E272" s="165"/>
      <c r="F272" s="165"/>
      <c r="G272" s="165"/>
      <c r="H272" s="165"/>
      <c r="I272" s="165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  <c r="AA272" s="165"/>
      <c r="AB272" s="165"/>
      <c r="AC272" s="165"/>
      <c r="AD272" s="165"/>
      <c r="AE272" s="165"/>
      <c r="AF272" s="165"/>
      <c r="AG272" s="165"/>
      <c r="AH272" s="165"/>
      <c r="AI272" s="165"/>
      <c r="AJ272" s="165"/>
      <c r="AK272" s="165"/>
      <c r="AL272" s="165"/>
      <c r="AM272" s="165"/>
      <c r="AN272" s="165"/>
      <c r="AO272" s="165"/>
      <c r="AP272" s="165"/>
      <c r="AQ272" s="165"/>
      <c r="AR272" s="165"/>
      <c r="AS272" s="165"/>
      <c r="AT272" s="165"/>
      <c r="AU272" s="165"/>
      <c r="AV272" s="165"/>
      <c r="AW272" s="165"/>
      <c r="AX272" s="165"/>
    </row>
    <row r="273" ht="15.75" customHeight="1">
      <c r="A273" s="165"/>
      <c r="B273" s="165"/>
      <c r="C273" s="165"/>
      <c r="D273" s="165"/>
      <c r="E273" s="165"/>
      <c r="F273" s="165"/>
      <c r="G273" s="165"/>
      <c r="H273" s="165"/>
      <c r="I273" s="165"/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  <c r="AA273" s="165"/>
      <c r="AB273" s="165"/>
      <c r="AC273" s="165"/>
      <c r="AD273" s="165"/>
      <c r="AE273" s="165"/>
      <c r="AF273" s="165"/>
      <c r="AG273" s="165"/>
      <c r="AH273" s="165"/>
      <c r="AI273" s="165"/>
      <c r="AJ273" s="165"/>
      <c r="AK273" s="165"/>
      <c r="AL273" s="165"/>
      <c r="AM273" s="165"/>
      <c r="AN273" s="165"/>
      <c r="AO273" s="165"/>
      <c r="AP273" s="165"/>
      <c r="AQ273" s="165"/>
      <c r="AR273" s="165"/>
      <c r="AS273" s="165"/>
      <c r="AT273" s="165"/>
      <c r="AU273" s="165"/>
      <c r="AV273" s="165"/>
      <c r="AW273" s="165"/>
      <c r="AX273" s="165"/>
    </row>
    <row r="274" ht="15.75" customHeight="1">
      <c r="A274" s="165"/>
      <c r="B274" s="165"/>
      <c r="C274" s="165"/>
      <c r="D274" s="165"/>
      <c r="E274" s="165"/>
      <c r="F274" s="165"/>
      <c r="G274" s="165"/>
      <c r="H274" s="165"/>
      <c r="I274" s="165"/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  <c r="AA274" s="165"/>
      <c r="AB274" s="165"/>
      <c r="AC274" s="165"/>
      <c r="AD274" s="165"/>
      <c r="AE274" s="165"/>
      <c r="AF274" s="165"/>
      <c r="AG274" s="165"/>
      <c r="AH274" s="165"/>
      <c r="AI274" s="165"/>
      <c r="AJ274" s="165"/>
      <c r="AK274" s="165"/>
      <c r="AL274" s="165"/>
      <c r="AM274" s="165"/>
      <c r="AN274" s="165"/>
      <c r="AO274" s="165"/>
      <c r="AP274" s="165"/>
      <c r="AQ274" s="165"/>
      <c r="AR274" s="165"/>
      <c r="AS274" s="165"/>
      <c r="AT274" s="165"/>
      <c r="AU274" s="165"/>
      <c r="AV274" s="165"/>
      <c r="AW274" s="165"/>
      <c r="AX274" s="165"/>
    </row>
    <row r="275" ht="15.75" customHeight="1">
      <c r="A275" s="165"/>
      <c r="B275" s="165"/>
      <c r="C275" s="165"/>
      <c r="D275" s="165"/>
      <c r="E275" s="165"/>
      <c r="F275" s="165"/>
      <c r="G275" s="165"/>
      <c r="H275" s="165"/>
      <c r="I275" s="165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  <c r="AA275" s="165"/>
      <c r="AB275" s="165"/>
      <c r="AC275" s="165"/>
      <c r="AD275" s="165"/>
      <c r="AE275" s="165"/>
      <c r="AF275" s="165"/>
      <c r="AG275" s="165"/>
      <c r="AH275" s="165"/>
      <c r="AI275" s="165"/>
      <c r="AJ275" s="165"/>
      <c r="AK275" s="165"/>
      <c r="AL275" s="165"/>
      <c r="AM275" s="165"/>
      <c r="AN275" s="165"/>
      <c r="AO275" s="165"/>
      <c r="AP275" s="165"/>
      <c r="AQ275" s="165"/>
      <c r="AR275" s="165"/>
      <c r="AS275" s="165"/>
      <c r="AT275" s="165"/>
      <c r="AU275" s="165"/>
      <c r="AV275" s="165"/>
      <c r="AW275" s="165"/>
      <c r="AX275" s="165"/>
    </row>
    <row r="276" ht="15.75" customHeight="1">
      <c r="A276" s="165"/>
      <c r="B276" s="165"/>
      <c r="C276" s="165"/>
      <c r="D276" s="165"/>
      <c r="E276" s="165"/>
      <c r="F276" s="165"/>
      <c r="G276" s="165"/>
      <c r="H276" s="165"/>
      <c r="I276" s="165"/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  <c r="AA276" s="165"/>
      <c r="AB276" s="165"/>
      <c r="AC276" s="165"/>
      <c r="AD276" s="165"/>
      <c r="AE276" s="165"/>
      <c r="AF276" s="165"/>
      <c r="AG276" s="165"/>
      <c r="AH276" s="165"/>
      <c r="AI276" s="165"/>
      <c r="AJ276" s="165"/>
      <c r="AK276" s="165"/>
      <c r="AL276" s="165"/>
      <c r="AM276" s="165"/>
      <c r="AN276" s="165"/>
      <c r="AO276" s="165"/>
      <c r="AP276" s="165"/>
      <c r="AQ276" s="165"/>
      <c r="AR276" s="165"/>
      <c r="AS276" s="165"/>
      <c r="AT276" s="165"/>
      <c r="AU276" s="165"/>
      <c r="AV276" s="165"/>
      <c r="AW276" s="165"/>
      <c r="AX276" s="165"/>
    </row>
    <row r="277" ht="15.75" customHeight="1">
      <c r="A277" s="165"/>
      <c r="B277" s="165"/>
      <c r="C277" s="165"/>
      <c r="D277" s="165"/>
      <c r="E277" s="165"/>
      <c r="F277" s="165"/>
      <c r="G277" s="165"/>
      <c r="H277" s="165"/>
      <c r="I277" s="165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  <c r="AA277" s="165"/>
      <c r="AB277" s="165"/>
      <c r="AC277" s="165"/>
      <c r="AD277" s="165"/>
      <c r="AE277" s="165"/>
      <c r="AF277" s="165"/>
      <c r="AG277" s="165"/>
      <c r="AH277" s="165"/>
      <c r="AI277" s="165"/>
      <c r="AJ277" s="165"/>
      <c r="AK277" s="165"/>
      <c r="AL277" s="165"/>
      <c r="AM277" s="165"/>
      <c r="AN277" s="165"/>
      <c r="AO277" s="165"/>
      <c r="AP277" s="165"/>
      <c r="AQ277" s="165"/>
      <c r="AR277" s="165"/>
      <c r="AS277" s="165"/>
      <c r="AT277" s="165"/>
      <c r="AU277" s="165"/>
      <c r="AV277" s="165"/>
      <c r="AW277" s="165"/>
      <c r="AX277" s="165"/>
    </row>
    <row r="278" ht="15.75" customHeight="1">
      <c r="A278" s="165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5"/>
      <c r="AH278" s="165"/>
      <c r="AI278" s="165"/>
      <c r="AJ278" s="165"/>
      <c r="AK278" s="165"/>
      <c r="AL278" s="165"/>
      <c r="AM278" s="165"/>
      <c r="AN278" s="165"/>
      <c r="AO278" s="165"/>
      <c r="AP278" s="165"/>
      <c r="AQ278" s="165"/>
      <c r="AR278" s="165"/>
      <c r="AS278" s="165"/>
      <c r="AT278" s="165"/>
      <c r="AU278" s="165"/>
      <c r="AV278" s="165"/>
      <c r="AW278" s="165"/>
      <c r="AX278" s="165"/>
    </row>
    <row r="279" ht="15.75" customHeight="1">
      <c r="A279" s="165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5"/>
      <c r="AH279" s="165"/>
      <c r="AI279" s="165"/>
      <c r="AJ279" s="165"/>
      <c r="AK279" s="165"/>
      <c r="AL279" s="165"/>
      <c r="AM279" s="165"/>
      <c r="AN279" s="165"/>
      <c r="AO279" s="165"/>
      <c r="AP279" s="165"/>
      <c r="AQ279" s="165"/>
      <c r="AR279" s="165"/>
      <c r="AS279" s="165"/>
      <c r="AT279" s="165"/>
      <c r="AU279" s="165"/>
      <c r="AV279" s="165"/>
      <c r="AW279" s="165"/>
      <c r="AX279" s="165"/>
    </row>
    <row r="280" ht="15.75" customHeight="1">
      <c r="A280" s="165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5"/>
      <c r="AH280" s="165"/>
      <c r="AI280" s="165"/>
      <c r="AJ280" s="165"/>
      <c r="AK280" s="165"/>
      <c r="AL280" s="165"/>
      <c r="AM280" s="165"/>
      <c r="AN280" s="165"/>
      <c r="AO280" s="165"/>
      <c r="AP280" s="165"/>
      <c r="AQ280" s="165"/>
      <c r="AR280" s="165"/>
      <c r="AS280" s="165"/>
      <c r="AT280" s="165"/>
      <c r="AU280" s="165"/>
      <c r="AV280" s="165"/>
      <c r="AW280" s="165"/>
      <c r="AX280" s="165"/>
    </row>
    <row r="281" ht="15.75" customHeight="1">
      <c r="A281" s="165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5"/>
      <c r="AH281" s="165"/>
      <c r="AI281" s="165"/>
      <c r="AJ281" s="165"/>
      <c r="AK281" s="165"/>
      <c r="AL281" s="165"/>
      <c r="AM281" s="165"/>
      <c r="AN281" s="165"/>
      <c r="AO281" s="165"/>
      <c r="AP281" s="165"/>
      <c r="AQ281" s="165"/>
      <c r="AR281" s="165"/>
      <c r="AS281" s="165"/>
      <c r="AT281" s="165"/>
      <c r="AU281" s="165"/>
      <c r="AV281" s="165"/>
      <c r="AW281" s="165"/>
      <c r="AX281" s="165"/>
    </row>
    <row r="282" ht="15.75" customHeight="1">
      <c r="A282" s="165"/>
      <c r="B282" s="165"/>
      <c r="C282" s="165"/>
      <c r="D282" s="165"/>
      <c r="E282" s="165"/>
      <c r="F282" s="165"/>
      <c r="G282" s="165"/>
      <c r="H282" s="165"/>
      <c r="I282" s="165"/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5"/>
      <c r="AH282" s="165"/>
      <c r="AI282" s="165"/>
      <c r="AJ282" s="165"/>
      <c r="AK282" s="165"/>
      <c r="AL282" s="165"/>
      <c r="AM282" s="165"/>
      <c r="AN282" s="165"/>
      <c r="AO282" s="165"/>
      <c r="AP282" s="165"/>
      <c r="AQ282" s="165"/>
      <c r="AR282" s="165"/>
      <c r="AS282" s="165"/>
      <c r="AT282" s="165"/>
      <c r="AU282" s="165"/>
      <c r="AV282" s="165"/>
      <c r="AW282" s="165"/>
      <c r="AX282" s="165"/>
    </row>
    <row r="283" ht="15.75" customHeight="1">
      <c r="A283" s="165"/>
      <c r="B283" s="165"/>
      <c r="C283" s="165"/>
      <c r="D283" s="165"/>
      <c r="E283" s="165"/>
      <c r="F283" s="165"/>
      <c r="G283" s="165"/>
      <c r="H283" s="165"/>
      <c r="I283" s="165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5"/>
      <c r="AH283" s="165"/>
      <c r="AI283" s="165"/>
      <c r="AJ283" s="165"/>
      <c r="AK283" s="165"/>
      <c r="AL283" s="165"/>
      <c r="AM283" s="165"/>
      <c r="AN283" s="165"/>
      <c r="AO283" s="165"/>
      <c r="AP283" s="165"/>
      <c r="AQ283" s="165"/>
      <c r="AR283" s="165"/>
      <c r="AS283" s="165"/>
      <c r="AT283" s="165"/>
      <c r="AU283" s="165"/>
      <c r="AV283" s="165"/>
      <c r="AW283" s="165"/>
      <c r="AX283" s="165"/>
    </row>
    <row r="284" ht="15.75" customHeight="1">
      <c r="A284" s="165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5"/>
      <c r="AH284" s="165"/>
      <c r="AI284" s="165"/>
      <c r="AJ284" s="165"/>
      <c r="AK284" s="165"/>
      <c r="AL284" s="165"/>
      <c r="AM284" s="165"/>
      <c r="AN284" s="165"/>
      <c r="AO284" s="165"/>
      <c r="AP284" s="165"/>
      <c r="AQ284" s="165"/>
      <c r="AR284" s="165"/>
      <c r="AS284" s="165"/>
      <c r="AT284" s="165"/>
      <c r="AU284" s="165"/>
      <c r="AV284" s="165"/>
      <c r="AW284" s="165"/>
      <c r="AX284" s="165"/>
    </row>
    <row r="285" ht="15.75" customHeight="1">
      <c r="A285" s="165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5"/>
      <c r="AH285" s="165"/>
      <c r="AI285" s="165"/>
      <c r="AJ285" s="165"/>
      <c r="AK285" s="165"/>
      <c r="AL285" s="165"/>
      <c r="AM285" s="165"/>
      <c r="AN285" s="165"/>
      <c r="AO285" s="165"/>
      <c r="AP285" s="165"/>
      <c r="AQ285" s="165"/>
      <c r="AR285" s="165"/>
      <c r="AS285" s="165"/>
      <c r="AT285" s="165"/>
      <c r="AU285" s="165"/>
      <c r="AV285" s="165"/>
      <c r="AW285" s="165"/>
      <c r="AX285" s="165"/>
    </row>
    <row r="286" ht="15.75" customHeight="1">
      <c r="A286" s="165"/>
      <c r="B286" s="165"/>
      <c r="C286" s="165"/>
      <c r="D286" s="165"/>
      <c r="E286" s="165"/>
      <c r="F286" s="165"/>
      <c r="G286" s="165"/>
      <c r="H286" s="165"/>
      <c r="I286" s="165"/>
      <c r="J286" s="165"/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  <c r="AA286" s="165"/>
      <c r="AB286" s="165"/>
      <c r="AC286" s="165"/>
      <c r="AD286" s="165"/>
      <c r="AE286" s="165"/>
      <c r="AF286" s="165"/>
      <c r="AG286" s="165"/>
      <c r="AH286" s="165"/>
      <c r="AI286" s="165"/>
      <c r="AJ286" s="165"/>
      <c r="AK286" s="165"/>
      <c r="AL286" s="165"/>
      <c r="AM286" s="165"/>
      <c r="AN286" s="165"/>
      <c r="AO286" s="165"/>
      <c r="AP286" s="165"/>
      <c r="AQ286" s="165"/>
      <c r="AR286" s="165"/>
      <c r="AS286" s="165"/>
      <c r="AT286" s="165"/>
      <c r="AU286" s="165"/>
      <c r="AV286" s="165"/>
      <c r="AW286" s="165"/>
      <c r="AX286" s="165"/>
    </row>
    <row r="287" ht="15.75" customHeight="1">
      <c r="A287" s="165"/>
      <c r="B287" s="165"/>
      <c r="C287" s="165"/>
      <c r="D287" s="165"/>
      <c r="E287" s="165"/>
      <c r="F287" s="165"/>
      <c r="G287" s="165"/>
      <c r="H287" s="165"/>
      <c r="I287" s="165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  <c r="AA287" s="165"/>
      <c r="AB287" s="165"/>
      <c r="AC287" s="165"/>
      <c r="AD287" s="165"/>
      <c r="AE287" s="165"/>
      <c r="AF287" s="165"/>
      <c r="AG287" s="165"/>
      <c r="AH287" s="165"/>
      <c r="AI287" s="165"/>
      <c r="AJ287" s="165"/>
      <c r="AK287" s="165"/>
      <c r="AL287" s="165"/>
      <c r="AM287" s="165"/>
      <c r="AN287" s="165"/>
      <c r="AO287" s="165"/>
      <c r="AP287" s="165"/>
      <c r="AQ287" s="165"/>
      <c r="AR287" s="165"/>
      <c r="AS287" s="165"/>
      <c r="AT287" s="165"/>
      <c r="AU287" s="165"/>
      <c r="AV287" s="165"/>
      <c r="AW287" s="165"/>
      <c r="AX287" s="165"/>
    </row>
    <row r="288" ht="15.75" customHeight="1">
      <c r="A288" s="165"/>
      <c r="B288" s="165"/>
      <c r="C288" s="165"/>
      <c r="D288" s="165"/>
      <c r="E288" s="165"/>
      <c r="F288" s="165"/>
      <c r="G288" s="165"/>
      <c r="H288" s="165"/>
      <c r="I288" s="165"/>
      <c r="J288" s="165"/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  <c r="AA288" s="165"/>
      <c r="AB288" s="165"/>
      <c r="AC288" s="165"/>
      <c r="AD288" s="165"/>
      <c r="AE288" s="165"/>
      <c r="AF288" s="165"/>
      <c r="AG288" s="165"/>
      <c r="AH288" s="165"/>
      <c r="AI288" s="165"/>
      <c r="AJ288" s="165"/>
      <c r="AK288" s="165"/>
      <c r="AL288" s="165"/>
      <c r="AM288" s="165"/>
      <c r="AN288" s="165"/>
      <c r="AO288" s="165"/>
      <c r="AP288" s="165"/>
      <c r="AQ288" s="165"/>
      <c r="AR288" s="165"/>
      <c r="AS288" s="165"/>
      <c r="AT288" s="165"/>
      <c r="AU288" s="165"/>
      <c r="AV288" s="165"/>
      <c r="AW288" s="165"/>
      <c r="AX288" s="165"/>
    </row>
    <row r="289" ht="15.75" customHeight="1">
      <c r="A289" s="165"/>
      <c r="B289" s="165"/>
      <c r="C289" s="165"/>
      <c r="D289" s="165"/>
      <c r="E289" s="165"/>
      <c r="F289" s="165"/>
      <c r="G289" s="165"/>
      <c r="H289" s="165"/>
      <c r="I289" s="165"/>
      <c r="J289" s="165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  <c r="AA289" s="165"/>
      <c r="AB289" s="165"/>
      <c r="AC289" s="165"/>
      <c r="AD289" s="165"/>
      <c r="AE289" s="165"/>
      <c r="AF289" s="165"/>
      <c r="AG289" s="165"/>
      <c r="AH289" s="165"/>
      <c r="AI289" s="165"/>
      <c r="AJ289" s="165"/>
      <c r="AK289" s="165"/>
      <c r="AL289" s="165"/>
      <c r="AM289" s="165"/>
      <c r="AN289" s="165"/>
      <c r="AO289" s="165"/>
      <c r="AP289" s="165"/>
      <c r="AQ289" s="165"/>
      <c r="AR289" s="165"/>
      <c r="AS289" s="165"/>
      <c r="AT289" s="165"/>
      <c r="AU289" s="165"/>
      <c r="AV289" s="165"/>
      <c r="AW289" s="165"/>
      <c r="AX289" s="165"/>
    </row>
    <row r="290" ht="15.75" customHeight="1">
      <c r="A290" s="165"/>
      <c r="B290" s="165"/>
      <c r="C290" s="165"/>
      <c r="D290" s="165"/>
      <c r="E290" s="165"/>
      <c r="F290" s="165"/>
      <c r="G290" s="165"/>
      <c r="H290" s="165"/>
      <c r="I290" s="165"/>
      <c r="J290" s="165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  <c r="AA290" s="165"/>
      <c r="AB290" s="165"/>
      <c r="AC290" s="165"/>
      <c r="AD290" s="165"/>
      <c r="AE290" s="165"/>
      <c r="AF290" s="165"/>
      <c r="AG290" s="165"/>
      <c r="AH290" s="165"/>
      <c r="AI290" s="165"/>
      <c r="AJ290" s="165"/>
      <c r="AK290" s="165"/>
      <c r="AL290" s="165"/>
      <c r="AM290" s="165"/>
      <c r="AN290" s="165"/>
      <c r="AO290" s="165"/>
      <c r="AP290" s="165"/>
      <c r="AQ290" s="165"/>
      <c r="AR290" s="165"/>
      <c r="AS290" s="165"/>
      <c r="AT290" s="165"/>
      <c r="AU290" s="165"/>
      <c r="AV290" s="165"/>
      <c r="AW290" s="165"/>
      <c r="AX290" s="165"/>
    </row>
    <row r="291" ht="15.75" customHeight="1">
      <c r="A291" s="165"/>
      <c r="B291" s="165"/>
      <c r="C291" s="165"/>
      <c r="D291" s="165"/>
      <c r="E291" s="165"/>
      <c r="F291" s="165"/>
      <c r="G291" s="165"/>
      <c r="H291" s="165"/>
      <c r="I291" s="165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  <c r="AA291" s="165"/>
      <c r="AB291" s="165"/>
      <c r="AC291" s="165"/>
      <c r="AD291" s="165"/>
      <c r="AE291" s="165"/>
      <c r="AF291" s="165"/>
      <c r="AG291" s="165"/>
      <c r="AH291" s="165"/>
      <c r="AI291" s="165"/>
      <c r="AJ291" s="165"/>
      <c r="AK291" s="165"/>
      <c r="AL291" s="165"/>
      <c r="AM291" s="165"/>
      <c r="AN291" s="165"/>
      <c r="AO291" s="165"/>
      <c r="AP291" s="165"/>
      <c r="AQ291" s="165"/>
      <c r="AR291" s="165"/>
      <c r="AS291" s="165"/>
      <c r="AT291" s="165"/>
      <c r="AU291" s="165"/>
      <c r="AV291" s="165"/>
      <c r="AW291" s="165"/>
      <c r="AX291" s="165"/>
    </row>
    <row r="292" ht="15.75" customHeight="1">
      <c r="A292" s="165"/>
      <c r="B292" s="165"/>
      <c r="C292" s="165"/>
      <c r="D292" s="165"/>
      <c r="E292" s="165"/>
      <c r="F292" s="165"/>
      <c r="G292" s="165"/>
      <c r="H292" s="165"/>
      <c r="I292" s="165"/>
      <c r="J292" s="165"/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  <c r="AA292" s="165"/>
      <c r="AB292" s="165"/>
      <c r="AC292" s="165"/>
      <c r="AD292" s="165"/>
      <c r="AE292" s="165"/>
      <c r="AF292" s="165"/>
      <c r="AG292" s="165"/>
      <c r="AH292" s="165"/>
      <c r="AI292" s="165"/>
      <c r="AJ292" s="165"/>
      <c r="AK292" s="165"/>
      <c r="AL292" s="165"/>
      <c r="AM292" s="165"/>
      <c r="AN292" s="165"/>
      <c r="AO292" s="165"/>
      <c r="AP292" s="165"/>
      <c r="AQ292" s="165"/>
      <c r="AR292" s="165"/>
      <c r="AS292" s="165"/>
      <c r="AT292" s="165"/>
      <c r="AU292" s="165"/>
      <c r="AV292" s="165"/>
      <c r="AW292" s="165"/>
      <c r="AX292" s="165"/>
    </row>
    <row r="293" ht="15.75" customHeight="1">
      <c r="A293" s="165"/>
      <c r="B293" s="165"/>
      <c r="C293" s="165"/>
      <c r="D293" s="165"/>
      <c r="E293" s="165"/>
      <c r="F293" s="165"/>
      <c r="G293" s="165"/>
      <c r="H293" s="165"/>
      <c r="I293" s="165"/>
      <c r="J293" s="165"/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  <c r="AA293" s="165"/>
      <c r="AB293" s="165"/>
      <c r="AC293" s="165"/>
      <c r="AD293" s="165"/>
      <c r="AE293" s="165"/>
      <c r="AF293" s="165"/>
      <c r="AG293" s="165"/>
      <c r="AH293" s="165"/>
      <c r="AI293" s="165"/>
      <c r="AJ293" s="165"/>
      <c r="AK293" s="165"/>
      <c r="AL293" s="165"/>
      <c r="AM293" s="165"/>
      <c r="AN293" s="165"/>
      <c r="AO293" s="165"/>
      <c r="AP293" s="165"/>
      <c r="AQ293" s="165"/>
      <c r="AR293" s="165"/>
      <c r="AS293" s="165"/>
      <c r="AT293" s="165"/>
      <c r="AU293" s="165"/>
      <c r="AV293" s="165"/>
      <c r="AW293" s="165"/>
      <c r="AX293" s="165"/>
    </row>
    <row r="294" ht="15.75" customHeight="1">
      <c r="A294" s="165"/>
      <c r="B294" s="165"/>
      <c r="C294" s="165"/>
      <c r="D294" s="165"/>
      <c r="E294" s="165"/>
      <c r="F294" s="165"/>
      <c r="G294" s="165"/>
      <c r="H294" s="165"/>
      <c r="I294" s="165"/>
      <c r="J294" s="165"/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  <c r="AA294" s="165"/>
      <c r="AB294" s="165"/>
      <c r="AC294" s="165"/>
      <c r="AD294" s="165"/>
      <c r="AE294" s="165"/>
      <c r="AF294" s="165"/>
      <c r="AG294" s="165"/>
      <c r="AH294" s="165"/>
      <c r="AI294" s="165"/>
      <c r="AJ294" s="165"/>
      <c r="AK294" s="165"/>
      <c r="AL294" s="165"/>
      <c r="AM294" s="165"/>
      <c r="AN294" s="165"/>
      <c r="AO294" s="165"/>
      <c r="AP294" s="165"/>
      <c r="AQ294" s="165"/>
      <c r="AR294" s="165"/>
      <c r="AS294" s="165"/>
      <c r="AT294" s="165"/>
      <c r="AU294" s="165"/>
      <c r="AV294" s="165"/>
      <c r="AW294" s="165"/>
      <c r="AX294" s="165"/>
    </row>
    <row r="295" ht="15.75" customHeight="1">
      <c r="A295" s="165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  <c r="AA295" s="165"/>
      <c r="AB295" s="165"/>
      <c r="AC295" s="165"/>
      <c r="AD295" s="165"/>
      <c r="AE295" s="165"/>
      <c r="AF295" s="165"/>
      <c r="AG295" s="165"/>
      <c r="AH295" s="165"/>
      <c r="AI295" s="165"/>
      <c r="AJ295" s="165"/>
      <c r="AK295" s="165"/>
      <c r="AL295" s="165"/>
      <c r="AM295" s="165"/>
      <c r="AN295" s="165"/>
      <c r="AO295" s="165"/>
      <c r="AP295" s="165"/>
      <c r="AQ295" s="165"/>
      <c r="AR295" s="165"/>
      <c r="AS295" s="165"/>
      <c r="AT295" s="165"/>
      <c r="AU295" s="165"/>
      <c r="AV295" s="165"/>
      <c r="AW295" s="165"/>
      <c r="AX295" s="165"/>
    </row>
    <row r="296" ht="15.75" customHeight="1">
      <c r="A296" s="165"/>
      <c r="B296" s="165"/>
      <c r="C296" s="165"/>
      <c r="D296" s="165"/>
      <c r="E296" s="165"/>
      <c r="F296" s="165"/>
      <c r="G296" s="165"/>
      <c r="H296" s="165"/>
      <c r="I296" s="165"/>
      <c r="J296" s="165"/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  <c r="AA296" s="165"/>
      <c r="AB296" s="165"/>
      <c r="AC296" s="165"/>
      <c r="AD296" s="165"/>
      <c r="AE296" s="165"/>
      <c r="AF296" s="165"/>
      <c r="AG296" s="165"/>
      <c r="AH296" s="165"/>
      <c r="AI296" s="165"/>
      <c r="AJ296" s="165"/>
      <c r="AK296" s="165"/>
      <c r="AL296" s="165"/>
      <c r="AM296" s="165"/>
      <c r="AN296" s="165"/>
      <c r="AO296" s="165"/>
      <c r="AP296" s="165"/>
      <c r="AQ296" s="165"/>
      <c r="AR296" s="165"/>
      <c r="AS296" s="165"/>
      <c r="AT296" s="165"/>
      <c r="AU296" s="165"/>
      <c r="AV296" s="165"/>
      <c r="AW296" s="165"/>
      <c r="AX296" s="165"/>
    </row>
    <row r="297" ht="15.75" customHeight="1">
      <c r="A297" s="165"/>
      <c r="B297" s="165"/>
      <c r="C297" s="165"/>
      <c r="D297" s="165"/>
      <c r="E297" s="165"/>
      <c r="F297" s="165"/>
      <c r="G297" s="165"/>
      <c r="H297" s="165"/>
      <c r="I297" s="165"/>
      <c r="J297" s="165"/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  <c r="AA297" s="165"/>
      <c r="AB297" s="165"/>
      <c r="AC297" s="165"/>
      <c r="AD297" s="165"/>
      <c r="AE297" s="165"/>
      <c r="AF297" s="165"/>
      <c r="AG297" s="165"/>
      <c r="AH297" s="165"/>
      <c r="AI297" s="165"/>
      <c r="AJ297" s="165"/>
      <c r="AK297" s="165"/>
      <c r="AL297" s="165"/>
      <c r="AM297" s="165"/>
      <c r="AN297" s="165"/>
      <c r="AO297" s="165"/>
      <c r="AP297" s="165"/>
      <c r="AQ297" s="165"/>
      <c r="AR297" s="165"/>
      <c r="AS297" s="165"/>
      <c r="AT297" s="165"/>
      <c r="AU297" s="165"/>
      <c r="AV297" s="165"/>
      <c r="AW297" s="165"/>
      <c r="AX297" s="165"/>
    </row>
    <row r="298" ht="15.75" customHeight="1">
      <c r="A298" s="165"/>
      <c r="B298" s="165"/>
      <c r="C298" s="165"/>
      <c r="D298" s="165"/>
      <c r="E298" s="165"/>
      <c r="F298" s="165"/>
      <c r="G298" s="165"/>
      <c r="H298" s="165"/>
      <c r="I298" s="165"/>
      <c r="J298" s="165"/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  <c r="AA298" s="165"/>
      <c r="AB298" s="165"/>
      <c r="AC298" s="165"/>
      <c r="AD298" s="165"/>
      <c r="AE298" s="165"/>
      <c r="AF298" s="165"/>
      <c r="AG298" s="165"/>
      <c r="AH298" s="165"/>
      <c r="AI298" s="165"/>
      <c r="AJ298" s="165"/>
      <c r="AK298" s="165"/>
      <c r="AL298" s="165"/>
      <c r="AM298" s="165"/>
      <c r="AN298" s="165"/>
      <c r="AO298" s="165"/>
      <c r="AP298" s="165"/>
      <c r="AQ298" s="165"/>
      <c r="AR298" s="165"/>
      <c r="AS298" s="165"/>
      <c r="AT298" s="165"/>
      <c r="AU298" s="165"/>
      <c r="AV298" s="165"/>
      <c r="AW298" s="165"/>
      <c r="AX298" s="165"/>
    </row>
    <row r="299" ht="15.75" customHeight="1">
      <c r="A299" s="165"/>
      <c r="B299" s="165"/>
      <c r="C299" s="165"/>
      <c r="D299" s="165"/>
      <c r="E299" s="165"/>
      <c r="F299" s="165"/>
      <c r="G299" s="165"/>
      <c r="H299" s="165"/>
      <c r="I299" s="165"/>
      <c r="J299" s="165"/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  <c r="AA299" s="165"/>
      <c r="AB299" s="165"/>
      <c r="AC299" s="165"/>
      <c r="AD299" s="165"/>
      <c r="AE299" s="165"/>
      <c r="AF299" s="165"/>
      <c r="AG299" s="165"/>
      <c r="AH299" s="165"/>
      <c r="AI299" s="165"/>
      <c r="AJ299" s="165"/>
      <c r="AK299" s="165"/>
      <c r="AL299" s="165"/>
      <c r="AM299" s="165"/>
      <c r="AN299" s="165"/>
      <c r="AO299" s="165"/>
      <c r="AP299" s="165"/>
      <c r="AQ299" s="165"/>
      <c r="AR299" s="165"/>
      <c r="AS299" s="165"/>
      <c r="AT299" s="165"/>
      <c r="AU299" s="165"/>
      <c r="AV299" s="165"/>
      <c r="AW299" s="165"/>
      <c r="AX299" s="165"/>
    </row>
    <row r="300" ht="15.75" customHeight="1">
      <c r="A300" s="165"/>
      <c r="B300" s="165"/>
      <c r="C300" s="165"/>
      <c r="D300" s="165"/>
      <c r="E300" s="165"/>
      <c r="F300" s="165"/>
      <c r="G300" s="165"/>
      <c r="H300" s="165"/>
      <c r="I300" s="165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  <c r="AA300" s="165"/>
      <c r="AB300" s="165"/>
      <c r="AC300" s="165"/>
      <c r="AD300" s="165"/>
      <c r="AE300" s="165"/>
      <c r="AF300" s="165"/>
      <c r="AG300" s="165"/>
      <c r="AH300" s="165"/>
      <c r="AI300" s="165"/>
      <c r="AJ300" s="165"/>
      <c r="AK300" s="165"/>
      <c r="AL300" s="165"/>
      <c r="AM300" s="165"/>
      <c r="AN300" s="165"/>
      <c r="AO300" s="165"/>
      <c r="AP300" s="165"/>
      <c r="AQ300" s="165"/>
      <c r="AR300" s="165"/>
      <c r="AS300" s="165"/>
      <c r="AT300" s="165"/>
      <c r="AU300" s="165"/>
      <c r="AV300" s="165"/>
      <c r="AW300" s="165"/>
      <c r="AX300" s="165"/>
    </row>
    <row r="301" ht="15.75" customHeight="1">
      <c r="A301" s="165"/>
      <c r="B301" s="165"/>
      <c r="C301" s="165"/>
      <c r="D301" s="165"/>
      <c r="E301" s="165"/>
      <c r="F301" s="165"/>
      <c r="G301" s="165"/>
      <c r="H301" s="165"/>
      <c r="I301" s="165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  <c r="AA301" s="165"/>
      <c r="AB301" s="165"/>
      <c r="AC301" s="165"/>
      <c r="AD301" s="165"/>
      <c r="AE301" s="165"/>
      <c r="AF301" s="165"/>
      <c r="AG301" s="165"/>
      <c r="AH301" s="165"/>
      <c r="AI301" s="165"/>
      <c r="AJ301" s="165"/>
      <c r="AK301" s="165"/>
      <c r="AL301" s="165"/>
      <c r="AM301" s="165"/>
      <c r="AN301" s="165"/>
      <c r="AO301" s="165"/>
      <c r="AP301" s="165"/>
      <c r="AQ301" s="165"/>
      <c r="AR301" s="165"/>
      <c r="AS301" s="165"/>
      <c r="AT301" s="165"/>
      <c r="AU301" s="165"/>
      <c r="AV301" s="165"/>
      <c r="AW301" s="165"/>
      <c r="AX301" s="165"/>
    </row>
    <row r="302" ht="15.75" customHeight="1">
      <c r="A302" s="165"/>
      <c r="B302" s="165"/>
      <c r="C302" s="165"/>
      <c r="D302" s="165"/>
      <c r="E302" s="165"/>
      <c r="F302" s="165"/>
      <c r="G302" s="165"/>
      <c r="H302" s="165"/>
      <c r="I302" s="165"/>
      <c r="J302" s="165"/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  <c r="AA302" s="165"/>
      <c r="AB302" s="165"/>
      <c r="AC302" s="165"/>
      <c r="AD302" s="165"/>
      <c r="AE302" s="165"/>
      <c r="AF302" s="165"/>
      <c r="AG302" s="165"/>
      <c r="AH302" s="165"/>
      <c r="AI302" s="165"/>
      <c r="AJ302" s="165"/>
      <c r="AK302" s="165"/>
      <c r="AL302" s="165"/>
      <c r="AM302" s="165"/>
      <c r="AN302" s="165"/>
      <c r="AO302" s="165"/>
      <c r="AP302" s="165"/>
      <c r="AQ302" s="165"/>
      <c r="AR302" s="165"/>
      <c r="AS302" s="165"/>
      <c r="AT302" s="165"/>
      <c r="AU302" s="165"/>
      <c r="AV302" s="165"/>
      <c r="AW302" s="165"/>
      <c r="AX302" s="165"/>
    </row>
    <row r="303" ht="15.75" customHeight="1">
      <c r="A303" s="165"/>
      <c r="B303" s="165"/>
      <c r="C303" s="165"/>
      <c r="D303" s="165"/>
      <c r="E303" s="165"/>
      <c r="F303" s="165"/>
      <c r="G303" s="165"/>
      <c r="H303" s="165"/>
      <c r="I303" s="165"/>
      <c r="J303" s="165"/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  <c r="AA303" s="165"/>
      <c r="AB303" s="165"/>
      <c r="AC303" s="165"/>
      <c r="AD303" s="165"/>
      <c r="AE303" s="165"/>
      <c r="AF303" s="165"/>
      <c r="AG303" s="165"/>
      <c r="AH303" s="165"/>
      <c r="AI303" s="165"/>
      <c r="AJ303" s="165"/>
      <c r="AK303" s="165"/>
      <c r="AL303" s="165"/>
      <c r="AM303" s="165"/>
      <c r="AN303" s="165"/>
      <c r="AO303" s="165"/>
      <c r="AP303" s="165"/>
      <c r="AQ303" s="165"/>
      <c r="AR303" s="165"/>
      <c r="AS303" s="165"/>
      <c r="AT303" s="165"/>
      <c r="AU303" s="165"/>
      <c r="AV303" s="165"/>
      <c r="AW303" s="165"/>
      <c r="AX303" s="165"/>
    </row>
    <row r="304" ht="15.75" customHeight="1">
      <c r="A304" s="165"/>
      <c r="B304" s="165"/>
      <c r="C304" s="165"/>
      <c r="D304" s="165"/>
      <c r="E304" s="165"/>
      <c r="F304" s="165"/>
      <c r="G304" s="165"/>
      <c r="H304" s="165"/>
      <c r="I304" s="165"/>
      <c r="J304" s="165"/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  <c r="AA304" s="165"/>
      <c r="AB304" s="165"/>
      <c r="AC304" s="165"/>
      <c r="AD304" s="165"/>
      <c r="AE304" s="165"/>
      <c r="AF304" s="165"/>
      <c r="AG304" s="165"/>
      <c r="AH304" s="165"/>
      <c r="AI304" s="165"/>
      <c r="AJ304" s="165"/>
      <c r="AK304" s="165"/>
      <c r="AL304" s="165"/>
      <c r="AM304" s="165"/>
      <c r="AN304" s="165"/>
      <c r="AO304" s="165"/>
      <c r="AP304" s="165"/>
      <c r="AQ304" s="165"/>
      <c r="AR304" s="165"/>
      <c r="AS304" s="165"/>
      <c r="AT304" s="165"/>
      <c r="AU304" s="165"/>
      <c r="AV304" s="165"/>
      <c r="AW304" s="165"/>
      <c r="AX304" s="165"/>
    </row>
    <row r="305" ht="15.75" customHeight="1">
      <c r="A305" s="165"/>
      <c r="B305" s="165"/>
      <c r="C305" s="165"/>
      <c r="D305" s="165"/>
      <c r="E305" s="165"/>
      <c r="F305" s="165"/>
      <c r="G305" s="165"/>
      <c r="H305" s="165"/>
      <c r="I305" s="165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  <c r="AA305" s="165"/>
      <c r="AB305" s="165"/>
      <c r="AC305" s="165"/>
      <c r="AD305" s="165"/>
      <c r="AE305" s="165"/>
      <c r="AF305" s="165"/>
      <c r="AG305" s="165"/>
      <c r="AH305" s="165"/>
      <c r="AI305" s="165"/>
      <c r="AJ305" s="165"/>
      <c r="AK305" s="165"/>
      <c r="AL305" s="165"/>
      <c r="AM305" s="165"/>
      <c r="AN305" s="165"/>
      <c r="AO305" s="165"/>
      <c r="AP305" s="165"/>
      <c r="AQ305" s="165"/>
      <c r="AR305" s="165"/>
      <c r="AS305" s="165"/>
      <c r="AT305" s="165"/>
      <c r="AU305" s="165"/>
      <c r="AV305" s="165"/>
      <c r="AW305" s="165"/>
      <c r="AX305" s="165"/>
    </row>
    <row r="306" ht="15.75" customHeight="1">
      <c r="A306" s="165"/>
      <c r="B306" s="165"/>
      <c r="C306" s="165"/>
      <c r="D306" s="165"/>
      <c r="E306" s="165"/>
      <c r="F306" s="165"/>
      <c r="G306" s="165"/>
      <c r="H306" s="165"/>
      <c r="I306" s="165"/>
      <c r="J306" s="165"/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  <c r="AA306" s="165"/>
      <c r="AB306" s="165"/>
      <c r="AC306" s="165"/>
      <c r="AD306" s="165"/>
      <c r="AE306" s="165"/>
      <c r="AF306" s="165"/>
      <c r="AG306" s="165"/>
      <c r="AH306" s="165"/>
      <c r="AI306" s="165"/>
      <c r="AJ306" s="165"/>
      <c r="AK306" s="165"/>
      <c r="AL306" s="165"/>
      <c r="AM306" s="165"/>
      <c r="AN306" s="165"/>
      <c r="AO306" s="165"/>
      <c r="AP306" s="165"/>
      <c r="AQ306" s="165"/>
      <c r="AR306" s="165"/>
      <c r="AS306" s="165"/>
      <c r="AT306" s="165"/>
      <c r="AU306" s="165"/>
      <c r="AV306" s="165"/>
      <c r="AW306" s="165"/>
      <c r="AX306" s="165"/>
    </row>
    <row r="307" ht="15.75" customHeight="1">
      <c r="A307" s="165"/>
      <c r="B307" s="165"/>
      <c r="C307" s="165"/>
      <c r="D307" s="165"/>
      <c r="E307" s="165"/>
      <c r="F307" s="165"/>
      <c r="G307" s="165"/>
      <c r="H307" s="165"/>
      <c r="I307" s="165"/>
      <c r="J307" s="165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  <c r="AA307" s="165"/>
      <c r="AB307" s="165"/>
      <c r="AC307" s="165"/>
      <c r="AD307" s="165"/>
      <c r="AE307" s="165"/>
      <c r="AF307" s="165"/>
      <c r="AG307" s="165"/>
      <c r="AH307" s="165"/>
      <c r="AI307" s="165"/>
      <c r="AJ307" s="165"/>
      <c r="AK307" s="165"/>
      <c r="AL307" s="165"/>
      <c r="AM307" s="165"/>
      <c r="AN307" s="165"/>
      <c r="AO307" s="165"/>
      <c r="AP307" s="165"/>
      <c r="AQ307" s="165"/>
      <c r="AR307" s="165"/>
      <c r="AS307" s="165"/>
      <c r="AT307" s="165"/>
      <c r="AU307" s="165"/>
      <c r="AV307" s="165"/>
      <c r="AW307" s="165"/>
      <c r="AX307" s="165"/>
    </row>
    <row r="308" ht="15.75" customHeight="1">
      <c r="A308" s="165"/>
      <c r="B308" s="165"/>
      <c r="C308" s="165"/>
      <c r="D308" s="165"/>
      <c r="E308" s="165"/>
      <c r="F308" s="165"/>
      <c r="G308" s="165"/>
      <c r="H308" s="165"/>
      <c r="I308" s="165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  <c r="AA308" s="165"/>
      <c r="AB308" s="165"/>
      <c r="AC308" s="165"/>
      <c r="AD308" s="165"/>
      <c r="AE308" s="165"/>
      <c r="AF308" s="165"/>
      <c r="AG308" s="165"/>
      <c r="AH308" s="165"/>
      <c r="AI308" s="165"/>
      <c r="AJ308" s="165"/>
      <c r="AK308" s="165"/>
      <c r="AL308" s="165"/>
      <c r="AM308" s="165"/>
      <c r="AN308" s="165"/>
      <c r="AO308" s="165"/>
      <c r="AP308" s="165"/>
      <c r="AQ308" s="165"/>
      <c r="AR308" s="165"/>
      <c r="AS308" s="165"/>
      <c r="AT308" s="165"/>
      <c r="AU308" s="165"/>
      <c r="AV308" s="165"/>
      <c r="AW308" s="165"/>
      <c r="AX308" s="165"/>
    </row>
    <row r="309" ht="15.75" customHeight="1">
      <c r="A309" s="165"/>
      <c r="B309" s="165"/>
      <c r="C309" s="165"/>
      <c r="D309" s="165"/>
      <c r="E309" s="165"/>
      <c r="F309" s="165"/>
      <c r="G309" s="165"/>
      <c r="H309" s="165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  <c r="AA309" s="165"/>
      <c r="AB309" s="165"/>
      <c r="AC309" s="165"/>
      <c r="AD309" s="165"/>
      <c r="AE309" s="165"/>
      <c r="AF309" s="165"/>
      <c r="AG309" s="165"/>
      <c r="AH309" s="165"/>
      <c r="AI309" s="165"/>
      <c r="AJ309" s="165"/>
      <c r="AK309" s="165"/>
      <c r="AL309" s="165"/>
      <c r="AM309" s="165"/>
      <c r="AN309" s="165"/>
      <c r="AO309" s="165"/>
      <c r="AP309" s="165"/>
      <c r="AQ309" s="165"/>
      <c r="AR309" s="165"/>
      <c r="AS309" s="165"/>
      <c r="AT309" s="165"/>
      <c r="AU309" s="165"/>
      <c r="AV309" s="165"/>
      <c r="AW309" s="165"/>
      <c r="AX309" s="165"/>
    </row>
    <row r="310" ht="15.75" customHeight="1">
      <c r="A310" s="165"/>
      <c r="B310" s="165"/>
      <c r="C310" s="165"/>
      <c r="D310" s="165"/>
      <c r="E310" s="165"/>
      <c r="F310" s="165"/>
      <c r="G310" s="165"/>
      <c r="H310" s="165"/>
      <c r="I310" s="165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  <c r="AA310" s="165"/>
      <c r="AB310" s="165"/>
      <c r="AC310" s="165"/>
      <c r="AD310" s="165"/>
      <c r="AE310" s="165"/>
      <c r="AF310" s="165"/>
      <c r="AG310" s="165"/>
      <c r="AH310" s="165"/>
      <c r="AI310" s="165"/>
      <c r="AJ310" s="165"/>
      <c r="AK310" s="165"/>
      <c r="AL310" s="165"/>
      <c r="AM310" s="165"/>
      <c r="AN310" s="165"/>
      <c r="AO310" s="165"/>
      <c r="AP310" s="165"/>
      <c r="AQ310" s="165"/>
      <c r="AR310" s="165"/>
      <c r="AS310" s="165"/>
      <c r="AT310" s="165"/>
      <c r="AU310" s="165"/>
      <c r="AV310" s="165"/>
      <c r="AW310" s="165"/>
      <c r="AX310" s="165"/>
    </row>
    <row r="311" ht="15.75" customHeight="1">
      <c r="A311" s="165"/>
      <c r="B311" s="165"/>
      <c r="C311" s="165"/>
      <c r="D311" s="165"/>
      <c r="E311" s="165"/>
      <c r="F311" s="165"/>
      <c r="G311" s="165"/>
      <c r="H311" s="165"/>
      <c r="I311" s="165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  <c r="AA311" s="165"/>
      <c r="AB311" s="165"/>
      <c r="AC311" s="165"/>
      <c r="AD311" s="165"/>
      <c r="AE311" s="165"/>
      <c r="AF311" s="165"/>
      <c r="AG311" s="165"/>
      <c r="AH311" s="165"/>
      <c r="AI311" s="165"/>
      <c r="AJ311" s="165"/>
      <c r="AK311" s="165"/>
      <c r="AL311" s="165"/>
      <c r="AM311" s="165"/>
      <c r="AN311" s="165"/>
      <c r="AO311" s="165"/>
      <c r="AP311" s="165"/>
      <c r="AQ311" s="165"/>
      <c r="AR311" s="165"/>
      <c r="AS311" s="165"/>
      <c r="AT311" s="165"/>
      <c r="AU311" s="165"/>
      <c r="AV311" s="165"/>
      <c r="AW311" s="165"/>
      <c r="AX311" s="165"/>
    </row>
    <row r="312" ht="15.75" customHeight="1">
      <c r="A312" s="165"/>
      <c r="B312" s="165"/>
      <c r="C312" s="165"/>
      <c r="D312" s="165"/>
      <c r="E312" s="165"/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  <c r="AA312" s="165"/>
      <c r="AB312" s="165"/>
      <c r="AC312" s="165"/>
      <c r="AD312" s="165"/>
      <c r="AE312" s="165"/>
      <c r="AF312" s="165"/>
      <c r="AG312" s="165"/>
      <c r="AH312" s="165"/>
      <c r="AI312" s="165"/>
      <c r="AJ312" s="165"/>
      <c r="AK312" s="165"/>
      <c r="AL312" s="165"/>
      <c r="AM312" s="165"/>
      <c r="AN312" s="165"/>
      <c r="AO312" s="165"/>
      <c r="AP312" s="165"/>
      <c r="AQ312" s="165"/>
      <c r="AR312" s="165"/>
      <c r="AS312" s="165"/>
      <c r="AT312" s="165"/>
      <c r="AU312" s="165"/>
      <c r="AV312" s="165"/>
      <c r="AW312" s="165"/>
      <c r="AX312" s="165"/>
    </row>
    <row r="313" ht="15.75" customHeight="1">
      <c r="A313" s="165"/>
      <c r="B313" s="165"/>
      <c r="C313" s="165"/>
      <c r="D313" s="165"/>
      <c r="E313" s="165"/>
      <c r="F313" s="165"/>
      <c r="G313" s="165"/>
      <c r="H313" s="165"/>
      <c r="I313" s="165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  <c r="AA313" s="165"/>
      <c r="AB313" s="165"/>
      <c r="AC313" s="165"/>
      <c r="AD313" s="165"/>
      <c r="AE313" s="165"/>
      <c r="AF313" s="165"/>
      <c r="AG313" s="165"/>
      <c r="AH313" s="165"/>
      <c r="AI313" s="165"/>
      <c r="AJ313" s="165"/>
      <c r="AK313" s="165"/>
      <c r="AL313" s="165"/>
      <c r="AM313" s="165"/>
      <c r="AN313" s="165"/>
      <c r="AO313" s="165"/>
      <c r="AP313" s="165"/>
      <c r="AQ313" s="165"/>
      <c r="AR313" s="165"/>
      <c r="AS313" s="165"/>
      <c r="AT313" s="165"/>
      <c r="AU313" s="165"/>
      <c r="AV313" s="165"/>
      <c r="AW313" s="165"/>
      <c r="AX313" s="165"/>
    </row>
    <row r="314" ht="15.75" customHeight="1">
      <c r="A314" s="165"/>
      <c r="B314" s="165"/>
      <c r="C314" s="165"/>
      <c r="D314" s="165"/>
      <c r="E314" s="165"/>
      <c r="F314" s="165"/>
      <c r="G314" s="165"/>
      <c r="H314" s="165"/>
      <c r="I314" s="165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  <c r="AI314" s="165"/>
      <c r="AJ314" s="165"/>
      <c r="AK314" s="165"/>
      <c r="AL314" s="165"/>
      <c r="AM314" s="165"/>
      <c r="AN314" s="165"/>
      <c r="AO314" s="165"/>
      <c r="AP314" s="165"/>
      <c r="AQ314" s="165"/>
      <c r="AR314" s="165"/>
      <c r="AS314" s="165"/>
      <c r="AT314" s="165"/>
      <c r="AU314" s="165"/>
      <c r="AV314" s="165"/>
      <c r="AW314" s="165"/>
      <c r="AX314" s="165"/>
    </row>
    <row r="315" ht="15.75" customHeight="1">
      <c r="A315" s="165"/>
      <c r="B315" s="165"/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  <c r="AI315" s="165"/>
      <c r="AJ315" s="165"/>
      <c r="AK315" s="165"/>
      <c r="AL315" s="165"/>
      <c r="AM315" s="165"/>
      <c r="AN315" s="165"/>
      <c r="AO315" s="165"/>
      <c r="AP315" s="165"/>
      <c r="AQ315" s="165"/>
      <c r="AR315" s="165"/>
      <c r="AS315" s="165"/>
      <c r="AT315" s="165"/>
      <c r="AU315" s="165"/>
      <c r="AV315" s="165"/>
      <c r="AW315" s="165"/>
      <c r="AX315" s="165"/>
    </row>
    <row r="316" ht="15.75" customHeight="1">
      <c r="A316" s="165"/>
      <c r="B316" s="165"/>
      <c r="C316" s="165"/>
      <c r="D316" s="165"/>
      <c r="E316" s="165"/>
      <c r="F316" s="165"/>
      <c r="G316" s="165"/>
      <c r="H316" s="165"/>
      <c r="I316" s="165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  <c r="AA316" s="165"/>
      <c r="AB316" s="165"/>
      <c r="AC316" s="165"/>
      <c r="AD316" s="165"/>
      <c r="AE316" s="165"/>
      <c r="AF316" s="165"/>
      <c r="AG316" s="165"/>
      <c r="AH316" s="165"/>
      <c r="AI316" s="165"/>
      <c r="AJ316" s="165"/>
      <c r="AK316" s="165"/>
      <c r="AL316" s="165"/>
      <c r="AM316" s="165"/>
      <c r="AN316" s="165"/>
      <c r="AO316" s="165"/>
      <c r="AP316" s="165"/>
      <c r="AQ316" s="165"/>
      <c r="AR316" s="165"/>
      <c r="AS316" s="165"/>
      <c r="AT316" s="165"/>
      <c r="AU316" s="165"/>
      <c r="AV316" s="165"/>
      <c r="AW316" s="165"/>
      <c r="AX316" s="165"/>
    </row>
    <row r="317" ht="15.75" customHeight="1">
      <c r="A317" s="165"/>
      <c r="B317" s="165"/>
      <c r="C317" s="165"/>
      <c r="D317" s="165"/>
      <c r="E317" s="165"/>
      <c r="F317" s="165"/>
      <c r="G317" s="165"/>
      <c r="H317" s="165"/>
      <c r="I317" s="165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  <c r="AA317" s="165"/>
      <c r="AB317" s="165"/>
      <c r="AC317" s="165"/>
      <c r="AD317" s="165"/>
      <c r="AE317" s="165"/>
      <c r="AF317" s="165"/>
      <c r="AG317" s="165"/>
      <c r="AH317" s="165"/>
      <c r="AI317" s="165"/>
      <c r="AJ317" s="165"/>
      <c r="AK317" s="165"/>
      <c r="AL317" s="165"/>
      <c r="AM317" s="165"/>
      <c r="AN317" s="165"/>
      <c r="AO317" s="165"/>
      <c r="AP317" s="165"/>
      <c r="AQ317" s="165"/>
      <c r="AR317" s="165"/>
      <c r="AS317" s="165"/>
      <c r="AT317" s="165"/>
      <c r="AU317" s="165"/>
      <c r="AV317" s="165"/>
      <c r="AW317" s="165"/>
      <c r="AX317" s="165"/>
    </row>
    <row r="318" ht="15.75" customHeight="1">
      <c r="A318" s="165"/>
      <c r="B318" s="165"/>
      <c r="C318" s="165"/>
      <c r="D318" s="165"/>
      <c r="E318" s="165"/>
      <c r="F318" s="165"/>
      <c r="G318" s="165"/>
      <c r="H318" s="165"/>
      <c r="I318" s="165"/>
      <c r="J318" s="165"/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  <c r="AA318" s="165"/>
      <c r="AB318" s="165"/>
      <c r="AC318" s="165"/>
      <c r="AD318" s="165"/>
      <c r="AE318" s="165"/>
      <c r="AF318" s="165"/>
      <c r="AG318" s="165"/>
      <c r="AH318" s="165"/>
      <c r="AI318" s="165"/>
      <c r="AJ318" s="165"/>
      <c r="AK318" s="165"/>
      <c r="AL318" s="165"/>
      <c r="AM318" s="165"/>
      <c r="AN318" s="165"/>
      <c r="AO318" s="165"/>
      <c r="AP318" s="165"/>
      <c r="AQ318" s="165"/>
      <c r="AR318" s="165"/>
      <c r="AS318" s="165"/>
      <c r="AT318" s="165"/>
      <c r="AU318" s="165"/>
      <c r="AV318" s="165"/>
      <c r="AW318" s="165"/>
      <c r="AX318" s="165"/>
    </row>
    <row r="319" ht="15.75" customHeight="1">
      <c r="A319" s="165"/>
      <c r="B319" s="165"/>
      <c r="C319" s="165"/>
      <c r="D319" s="165"/>
      <c r="E319" s="165"/>
      <c r="F319" s="165"/>
      <c r="G319" s="165"/>
      <c r="H319" s="165"/>
      <c r="I319" s="165"/>
      <c r="J319" s="165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  <c r="AA319" s="165"/>
      <c r="AB319" s="165"/>
      <c r="AC319" s="165"/>
      <c r="AD319" s="165"/>
      <c r="AE319" s="165"/>
      <c r="AF319" s="165"/>
      <c r="AG319" s="165"/>
      <c r="AH319" s="165"/>
      <c r="AI319" s="165"/>
      <c r="AJ319" s="165"/>
      <c r="AK319" s="165"/>
      <c r="AL319" s="165"/>
      <c r="AM319" s="165"/>
      <c r="AN319" s="165"/>
      <c r="AO319" s="165"/>
      <c r="AP319" s="165"/>
      <c r="AQ319" s="165"/>
      <c r="AR319" s="165"/>
      <c r="AS319" s="165"/>
      <c r="AT319" s="165"/>
      <c r="AU319" s="165"/>
      <c r="AV319" s="165"/>
      <c r="AW319" s="165"/>
      <c r="AX319" s="165"/>
    </row>
    <row r="320" ht="15.75" customHeight="1">
      <c r="A320" s="165"/>
      <c r="B320" s="165"/>
      <c r="C320" s="165"/>
      <c r="D320" s="165"/>
      <c r="E320" s="165"/>
      <c r="F320" s="165"/>
      <c r="G320" s="165"/>
      <c r="H320" s="165"/>
      <c r="I320" s="165"/>
      <c r="J320" s="165"/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  <c r="AA320" s="165"/>
      <c r="AB320" s="165"/>
      <c r="AC320" s="165"/>
      <c r="AD320" s="165"/>
      <c r="AE320" s="165"/>
      <c r="AF320" s="165"/>
      <c r="AG320" s="165"/>
      <c r="AH320" s="165"/>
      <c r="AI320" s="165"/>
      <c r="AJ320" s="165"/>
      <c r="AK320" s="165"/>
      <c r="AL320" s="165"/>
      <c r="AM320" s="165"/>
      <c r="AN320" s="165"/>
      <c r="AO320" s="165"/>
      <c r="AP320" s="165"/>
      <c r="AQ320" s="165"/>
      <c r="AR320" s="165"/>
      <c r="AS320" s="165"/>
      <c r="AT320" s="165"/>
      <c r="AU320" s="165"/>
      <c r="AV320" s="165"/>
      <c r="AW320" s="165"/>
      <c r="AX320" s="165"/>
    </row>
    <row r="321" ht="15.75" customHeight="1">
      <c r="A321" s="165"/>
      <c r="B321" s="165"/>
      <c r="C321" s="165"/>
      <c r="D321" s="165"/>
      <c r="E321" s="165"/>
      <c r="F321" s="165"/>
      <c r="G321" s="165"/>
      <c r="H321" s="165"/>
      <c r="I321" s="165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  <c r="AA321" s="165"/>
      <c r="AB321" s="165"/>
      <c r="AC321" s="165"/>
      <c r="AD321" s="165"/>
      <c r="AE321" s="165"/>
      <c r="AF321" s="165"/>
      <c r="AG321" s="165"/>
      <c r="AH321" s="165"/>
      <c r="AI321" s="165"/>
      <c r="AJ321" s="165"/>
      <c r="AK321" s="165"/>
      <c r="AL321" s="165"/>
      <c r="AM321" s="165"/>
      <c r="AN321" s="165"/>
      <c r="AO321" s="165"/>
      <c r="AP321" s="165"/>
      <c r="AQ321" s="165"/>
      <c r="AR321" s="165"/>
      <c r="AS321" s="165"/>
      <c r="AT321" s="165"/>
      <c r="AU321" s="165"/>
      <c r="AV321" s="165"/>
      <c r="AW321" s="165"/>
      <c r="AX321" s="165"/>
    </row>
    <row r="322" ht="15.75" customHeight="1">
      <c r="A322" s="165"/>
      <c r="B322" s="165"/>
      <c r="C322" s="165"/>
      <c r="D322" s="165"/>
      <c r="E322" s="165"/>
      <c r="F322" s="165"/>
      <c r="G322" s="165"/>
      <c r="H322" s="165"/>
      <c r="I322" s="165"/>
      <c r="J322" s="165"/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  <c r="AA322" s="165"/>
      <c r="AB322" s="165"/>
      <c r="AC322" s="165"/>
      <c r="AD322" s="165"/>
      <c r="AE322" s="165"/>
      <c r="AF322" s="165"/>
      <c r="AG322" s="165"/>
      <c r="AH322" s="165"/>
      <c r="AI322" s="165"/>
      <c r="AJ322" s="165"/>
      <c r="AK322" s="165"/>
      <c r="AL322" s="165"/>
      <c r="AM322" s="165"/>
      <c r="AN322" s="165"/>
      <c r="AO322" s="165"/>
      <c r="AP322" s="165"/>
      <c r="AQ322" s="165"/>
      <c r="AR322" s="165"/>
      <c r="AS322" s="165"/>
      <c r="AT322" s="165"/>
      <c r="AU322" s="165"/>
      <c r="AV322" s="165"/>
      <c r="AW322" s="165"/>
      <c r="AX322" s="165"/>
    </row>
    <row r="323" ht="15.75" customHeight="1">
      <c r="A323" s="165"/>
      <c r="B323" s="165"/>
      <c r="C323" s="165"/>
      <c r="D323" s="165"/>
      <c r="E323" s="165"/>
      <c r="F323" s="165"/>
      <c r="G323" s="165"/>
      <c r="H323" s="165"/>
      <c r="I323" s="165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  <c r="AA323" s="165"/>
      <c r="AB323" s="165"/>
      <c r="AC323" s="165"/>
      <c r="AD323" s="165"/>
      <c r="AE323" s="165"/>
      <c r="AF323" s="165"/>
      <c r="AG323" s="165"/>
      <c r="AH323" s="165"/>
      <c r="AI323" s="165"/>
      <c r="AJ323" s="165"/>
      <c r="AK323" s="165"/>
      <c r="AL323" s="165"/>
      <c r="AM323" s="165"/>
      <c r="AN323" s="165"/>
      <c r="AO323" s="165"/>
      <c r="AP323" s="165"/>
      <c r="AQ323" s="165"/>
      <c r="AR323" s="165"/>
      <c r="AS323" s="165"/>
      <c r="AT323" s="165"/>
      <c r="AU323" s="165"/>
      <c r="AV323" s="165"/>
      <c r="AW323" s="165"/>
      <c r="AX323" s="165"/>
    </row>
    <row r="324" ht="15.75" customHeight="1">
      <c r="A324" s="165"/>
      <c r="B324" s="165"/>
      <c r="C324" s="165"/>
      <c r="D324" s="165"/>
      <c r="E324" s="165"/>
      <c r="F324" s="165"/>
      <c r="G324" s="165"/>
      <c r="H324" s="165"/>
      <c r="I324" s="165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  <c r="AA324" s="165"/>
      <c r="AB324" s="165"/>
      <c r="AC324" s="165"/>
      <c r="AD324" s="165"/>
      <c r="AE324" s="165"/>
      <c r="AF324" s="165"/>
      <c r="AG324" s="165"/>
      <c r="AH324" s="165"/>
      <c r="AI324" s="165"/>
      <c r="AJ324" s="165"/>
      <c r="AK324" s="165"/>
      <c r="AL324" s="165"/>
      <c r="AM324" s="165"/>
      <c r="AN324" s="165"/>
      <c r="AO324" s="165"/>
      <c r="AP324" s="165"/>
      <c r="AQ324" s="165"/>
      <c r="AR324" s="165"/>
      <c r="AS324" s="165"/>
      <c r="AT324" s="165"/>
      <c r="AU324" s="165"/>
      <c r="AV324" s="165"/>
      <c r="AW324" s="165"/>
      <c r="AX324" s="165"/>
    </row>
    <row r="325" ht="15.75" customHeight="1">
      <c r="A325" s="165"/>
      <c r="B325" s="165"/>
      <c r="C325" s="165"/>
      <c r="D325" s="165"/>
      <c r="E325" s="165"/>
      <c r="F325" s="165"/>
      <c r="G325" s="165"/>
      <c r="H325" s="165"/>
      <c r="I325" s="165"/>
      <c r="J325" s="165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  <c r="AA325" s="165"/>
      <c r="AB325" s="165"/>
      <c r="AC325" s="165"/>
      <c r="AD325" s="165"/>
      <c r="AE325" s="165"/>
      <c r="AF325" s="165"/>
      <c r="AG325" s="165"/>
      <c r="AH325" s="165"/>
      <c r="AI325" s="165"/>
      <c r="AJ325" s="165"/>
      <c r="AK325" s="165"/>
      <c r="AL325" s="165"/>
      <c r="AM325" s="165"/>
      <c r="AN325" s="165"/>
      <c r="AO325" s="165"/>
      <c r="AP325" s="165"/>
      <c r="AQ325" s="165"/>
      <c r="AR325" s="165"/>
      <c r="AS325" s="165"/>
      <c r="AT325" s="165"/>
      <c r="AU325" s="165"/>
      <c r="AV325" s="165"/>
      <c r="AW325" s="165"/>
      <c r="AX325" s="165"/>
    </row>
    <row r="326" ht="15.75" customHeight="1">
      <c r="A326" s="165"/>
      <c r="B326" s="165"/>
      <c r="C326" s="165"/>
      <c r="D326" s="165"/>
      <c r="E326" s="165"/>
      <c r="F326" s="165"/>
      <c r="G326" s="165"/>
      <c r="H326" s="165"/>
      <c r="I326" s="165"/>
      <c r="J326" s="165"/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  <c r="AA326" s="165"/>
      <c r="AB326" s="165"/>
      <c r="AC326" s="165"/>
      <c r="AD326" s="165"/>
      <c r="AE326" s="165"/>
      <c r="AF326" s="165"/>
      <c r="AG326" s="165"/>
      <c r="AH326" s="165"/>
      <c r="AI326" s="165"/>
      <c r="AJ326" s="165"/>
      <c r="AK326" s="165"/>
      <c r="AL326" s="165"/>
      <c r="AM326" s="165"/>
      <c r="AN326" s="165"/>
      <c r="AO326" s="165"/>
      <c r="AP326" s="165"/>
      <c r="AQ326" s="165"/>
      <c r="AR326" s="165"/>
      <c r="AS326" s="165"/>
      <c r="AT326" s="165"/>
      <c r="AU326" s="165"/>
      <c r="AV326" s="165"/>
      <c r="AW326" s="165"/>
      <c r="AX326" s="165"/>
    </row>
    <row r="327" ht="15.75" customHeight="1">
      <c r="A327" s="165"/>
      <c r="B327" s="165"/>
      <c r="C327" s="165"/>
      <c r="D327" s="165"/>
      <c r="E327" s="165"/>
      <c r="F327" s="165"/>
      <c r="G327" s="165"/>
      <c r="H327" s="165"/>
      <c r="I327" s="165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  <c r="AA327" s="165"/>
      <c r="AB327" s="165"/>
      <c r="AC327" s="165"/>
      <c r="AD327" s="165"/>
      <c r="AE327" s="165"/>
      <c r="AF327" s="165"/>
      <c r="AG327" s="165"/>
      <c r="AH327" s="165"/>
      <c r="AI327" s="165"/>
      <c r="AJ327" s="165"/>
      <c r="AK327" s="165"/>
      <c r="AL327" s="165"/>
      <c r="AM327" s="165"/>
      <c r="AN327" s="165"/>
      <c r="AO327" s="165"/>
      <c r="AP327" s="165"/>
      <c r="AQ327" s="165"/>
      <c r="AR327" s="165"/>
      <c r="AS327" s="165"/>
      <c r="AT327" s="165"/>
      <c r="AU327" s="165"/>
      <c r="AV327" s="165"/>
      <c r="AW327" s="165"/>
      <c r="AX327" s="165"/>
    </row>
    <row r="328" ht="15.75" customHeight="1">
      <c r="A328" s="165"/>
      <c r="B328" s="165"/>
      <c r="C328" s="165"/>
      <c r="D328" s="165"/>
      <c r="E328" s="165"/>
      <c r="F328" s="165"/>
      <c r="G328" s="165"/>
      <c r="H328" s="165"/>
      <c r="I328" s="165"/>
      <c r="J328" s="165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  <c r="AA328" s="165"/>
      <c r="AB328" s="165"/>
      <c r="AC328" s="165"/>
      <c r="AD328" s="165"/>
      <c r="AE328" s="165"/>
      <c r="AF328" s="165"/>
      <c r="AG328" s="165"/>
      <c r="AH328" s="165"/>
      <c r="AI328" s="165"/>
      <c r="AJ328" s="165"/>
      <c r="AK328" s="165"/>
      <c r="AL328" s="165"/>
      <c r="AM328" s="165"/>
      <c r="AN328" s="165"/>
      <c r="AO328" s="165"/>
      <c r="AP328" s="165"/>
      <c r="AQ328" s="165"/>
      <c r="AR328" s="165"/>
      <c r="AS328" s="165"/>
      <c r="AT328" s="165"/>
      <c r="AU328" s="165"/>
      <c r="AV328" s="165"/>
      <c r="AW328" s="165"/>
      <c r="AX328" s="165"/>
    </row>
    <row r="329" ht="15.75" customHeight="1">
      <c r="A329" s="165"/>
      <c r="B329" s="165"/>
      <c r="C329" s="165"/>
      <c r="D329" s="165"/>
      <c r="E329" s="165"/>
      <c r="F329" s="165"/>
      <c r="G329" s="165"/>
      <c r="H329" s="165"/>
      <c r="I329" s="165"/>
      <c r="J329" s="165"/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  <c r="AA329" s="165"/>
      <c r="AB329" s="165"/>
      <c r="AC329" s="165"/>
      <c r="AD329" s="165"/>
      <c r="AE329" s="165"/>
      <c r="AF329" s="165"/>
      <c r="AG329" s="165"/>
      <c r="AH329" s="165"/>
      <c r="AI329" s="165"/>
      <c r="AJ329" s="165"/>
      <c r="AK329" s="165"/>
      <c r="AL329" s="165"/>
      <c r="AM329" s="165"/>
      <c r="AN329" s="165"/>
      <c r="AO329" s="165"/>
      <c r="AP329" s="165"/>
      <c r="AQ329" s="165"/>
      <c r="AR329" s="165"/>
      <c r="AS329" s="165"/>
      <c r="AT329" s="165"/>
      <c r="AU329" s="165"/>
      <c r="AV329" s="165"/>
      <c r="AW329" s="165"/>
      <c r="AX329" s="165"/>
    </row>
    <row r="330" ht="15.75" customHeight="1">
      <c r="A330" s="165"/>
      <c r="B330" s="165"/>
      <c r="C330" s="165"/>
      <c r="D330" s="165"/>
      <c r="E330" s="165"/>
      <c r="F330" s="165"/>
      <c r="G330" s="165"/>
      <c r="H330" s="165"/>
      <c r="I330" s="165"/>
      <c r="J330" s="165"/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  <c r="AA330" s="165"/>
      <c r="AB330" s="165"/>
      <c r="AC330" s="165"/>
      <c r="AD330" s="165"/>
      <c r="AE330" s="165"/>
      <c r="AF330" s="165"/>
      <c r="AG330" s="165"/>
      <c r="AH330" s="165"/>
      <c r="AI330" s="165"/>
      <c r="AJ330" s="165"/>
      <c r="AK330" s="165"/>
      <c r="AL330" s="165"/>
      <c r="AM330" s="165"/>
      <c r="AN330" s="165"/>
      <c r="AO330" s="165"/>
      <c r="AP330" s="165"/>
      <c r="AQ330" s="165"/>
      <c r="AR330" s="165"/>
      <c r="AS330" s="165"/>
      <c r="AT330" s="165"/>
      <c r="AU330" s="165"/>
      <c r="AV330" s="165"/>
      <c r="AW330" s="165"/>
      <c r="AX330" s="165"/>
    </row>
    <row r="331" ht="15.75" customHeight="1">
      <c r="A331" s="165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5"/>
      <c r="AH331" s="165"/>
      <c r="AI331" s="165"/>
      <c r="AJ331" s="165"/>
      <c r="AK331" s="165"/>
      <c r="AL331" s="165"/>
      <c r="AM331" s="165"/>
      <c r="AN331" s="165"/>
      <c r="AO331" s="165"/>
      <c r="AP331" s="165"/>
      <c r="AQ331" s="165"/>
      <c r="AR331" s="165"/>
      <c r="AS331" s="165"/>
      <c r="AT331" s="165"/>
      <c r="AU331" s="165"/>
      <c r="AV331" s="165"/>
      <c r="AW331" s="165"/>
      <c r="AX331" s="165"/>
    </row>
    <row r="332" ht="15.75" customHeight="1">
      <c r="A332" s="165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5"/>
      <c r="AH332" s="165"/>
      <c r="AI332" s="165"/>
      <c r="AJ332" s="165"/>
      <c r="AK332" s="165"/>
      <c r="AL332" s="165"/>
      <c r="AM332" s="165"/>
      <c r="AN332" s="165"/>
      <c r="AO332" s="165"/>
      <c r="AP332" s="165"/>
      <c r="AQ332" s="165"/>
      <c r="AR332" s="165"/>
      <c r="AS332" s="165"/>
      <c r="AT332" s="165"/>
      <c r="AU332" s="165"/>
      <c r="AV332" s="165"/>
      <c r="AW332" s="165"/>
      <c r="AX332" s="165"/>
    </row>
    <row r="333" ht="15.75" customHeight="1">
      <c r="A333" s="165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5"/>
      <c r="AH333" s="165"/>
      <c r="AI333" s="165"/>
      <c r="AJ333" s="165"/>
      <c r="AK333" s="165"/>
      <c r="AL333" s="165"/>
      <c r="AM333" s="165"/>
      <c r="AN333" s="165"/>
      <c r="AO333" s="165"/>
      <c r="AP333" s="165"/>
      <c r="AQ333" s="165"/>
      <c r="AR333" s="165"/>
      <c r="AS333" s="165"/>
      <c r="AT333" s="165"/>
      <c r="AU333" s="165"/>
      <c r="AV333" s="165"/>
      <c r="AW333" s="165"/>
      <c r="AX333" s="165"/>
    </row>
    <row r="334" ht="15.75" customHeight="1">
      <c r="A334" s="165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5"/>
      <c r="AH334" s="165"/>
      <c r="AI334" s="165"/>
      <c r="AJ334" s="165"/>
      <c r="AK334" s="165"/>
      <c r="AL334" s="165"/>
      <c r="AM334" s="165"/>
      <c r="AN334" s="165"/>
      <c r="AO334" s="165"/>
      <c r="AP334" s="165"/>
      <c r="AQ334" s="165"/>
      <c r="AR334" s="165"/>
      <c r="AS334" s="165"/>
      <c r="AT334" s="165"/>
      <c r="AU334" s="165"/>
      <c r="AV334" s="165"/>
      <c r="AW334" s="165"/>
      <c r="AX334" s="165"/>
    </row>
    <row r="335" ht="15.75" customHeight="1">
      <c r="A335" s="165"/>
      <c r="B335" s="165"/>
      <c r="C335" s="165"/>
      <c r="D335" s="165"/>
      <c r="E335" s="165"/>
      <c r="F335" s="165"/>
      <c r="G335" s="165"/>
      <c r="H335" s="165"/>
      <c r="I335" s="165"/>
      <c r="J335" s="165"/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5"/>
      <c r="AH335" s="165"/>
      <c r="AI335" s="165"/>
      <c r="AJ335" s="165"/>
      <c r="AK335" s="165"/>
      <c r="AL335" s="165"/>
      <c r="AM335" s="165"/>
      <c r="AN335" s="165"/>
      <c r="AO335" s="165"/>
      <c r="AP335" s="165"/>
      <c r="AQ335" s="165"/>
      <c r="AR335" s="165"/>
      <c r="AS335" s="165"/>
      <c r="AT335" s="165"/>
      <c r="AU335" s="165"/>
      <c r="AV335" s="165"/>
      <c r="AW335" s="165"/>
      <c r="AX335" s="165"/>
    </row>
    <row r="336" ht="15.75" customHeight="1">
      <c r="A336" s="165"/>
      <c r="B336" s="165"/>
      <c r="C336" s="165"/>
      <c r="D336" s="165"/>
      <c r="E336" s="165"/>
      <c r="F336" s="165"/>
      <c r="G336" s="165"/>
      <c r="H336" s="165"/>
      <c r="I336" s="165"/>
      <c r="J336" s="165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5"/>
      <c r="AH336" s="165"/>
      <c r="AI336" s="165"/>
      <c r="AJ336" s="165"/>
      <c r="AK336" s="165"/>
      <c r="AL336" s="165"/>
      <c r="AM336" s="165"/>
      <c r="AN336" s="165"/>
      <c r="AO336" s="165"/>
      <c r="AP336" s="165"/>
      <c r="AQ336" s="165"/>
      <c r="AR336" s="165"/>
      <c r="AS336" s="165"/>
      <c r="AT336" s="165"/>
      <c r="AU336" s="165"/>
      <c r="AV336" s="165"/>
      <c r="AW336" s="165"/>
      <c r="AX336" s="165"/>
    </row>
    <row r="337" ht="15.75" customHeight="1">
      <c r="A337" s="165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5"/>
      <c r="AH337" s="165"/>
      <c r="AI337" s="165"/>
      <c r="AJ337" s="165"/>
      <c r="AK337" s="165"/>
      <c r="AL337" s="165"/>
      <c r="AM337" s="165"/>
      <c r="AN337" s="165"/>
      <c r="AO337" s="165"/>
      <c r="AP337" s="165"/>
      <c r="AQ337" s="165"/>
      <c r="AR337" s="165"/>
      <c r="AS337" s="165"/>
      <c r="AT337" s="165"/>
      <c r="AU337" s="165"/>
      <c r="AV337" s="165"/>
      <c r="AW337" s="165"/>
      <c r="AX337" s="165"/>
    </row>
    <row r="338" ht="15.75" customHeight="1">
      <c r="A338" s="165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5"/>
      <c r="AH338" s="165"/>
      <c r="AI338" s="165"/>
      <c r="AJ338" s="165"/>
      <c r="AK338" s="165"/>
      <c r="AL338" s="165"/>
      <c r="AM338" s="165"/>
      <c r="AN338" s="165"/>
      <c r="AO338" s="165"/>
      <c r="AP338" s="165"/>
      <c r="AQ338" s="165"/>
      <c r="AR338" s="165"/>
      <c r="AS338" s="165"/>
      <c r="AT338" s="165"/>
      <c r="AU338" s="165"/>
      <c r="AV338" s="165"/>
      <c r="AW338" s="165"/>
      <c r="AX338" s="165"/>
    </row>
    <row r="339" ht="15.75" customHeight="1">
      <c r="A339" s="165"/>
      <c r="B339" s="165"/>
      <c r="C339" s="165"/>
      <c r="D339" s="165"/>
      <c r="E339" s="165"/>
      <c r="F339" s="165"/>
      <c r="G339" s="165"/>
      <c r="H339" s="165"/>
      <c r="I339" s="165"/>
      <c r="J339" s="165"/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  <c r="AA339" s="165"/>
      <c r="AB339" s="165"/>
      <c r="AC339" s="165"/>
      <c r="AD339" s="165"/>
      <c r="AE339" s="165"/>
      <c r="AF339" s="165"/>
      <c r="AG339" s="165"/>
      <c r="AH339" s="165"/>
      <c r="AI339" s="165"/>
      <c r="AJ339" s="165"/>
      <c r="AK339" s="165"/>
      <c r="AL339" s="165"/>
      <c r="AM339" s="165"/>
      <c r="AN339" s="165"/>
      <c r="AO339" s="165"/>
      <c r="AP339" s="165"/>
      <c r="AQ339" s="165"/>
      <c r="AR339" s="165"/>
      <c r="AS339" s="165"/>
      <c r="AT339" s="165"/>
      <c r="AU339" s="165"/>
      <c r="AV339" s="165"/>
      <c r="AW339" s="165"/>
      <c r="AX339" s="165"/>
    </row>
    <row r="340" ht="15.75" customHeight="1">
      <c r="A340" s="165"/>
      <c r="B340" s="165"/>
      <c r="C340" s="165"/>
      <c r="D340" s="165"/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  <c r="AA340" s="165"/>
      <c r="AB340" s="165"/>
      <c r="AC340" s="165"/>
      <c r="AD340" s="165"/>
      <c r="AE340" s="165"/>
      <c r="AF340" s="165"/>
      <c r="AG340" s="165"/>
      <c r="AH340" s="165"/>
      <c r="AI340" s="165"/>
      <c r="AJ340" s="165"/>
      <c r="AK340" s="165"/>
      <c r="AL340" s="165"/>
      <c r="AM340" s="165"/>
      <c r="AN340" s="165"/>
      <c r="AO340" s="165"/>
      <c r="AP340" s="165"/>
      <c r="AQ340" s="165"/>
      <c r="AR340" s="165"/>
      <c r="AS340" s="165"/>
      <c r="AT340" s="165"/>
      <c r="AU340" s="165"/>
      <c r="AV340" s="165"/>
      <c r="AW340" s="165"/>
      <c r="AX340" s="165"/>
    </row>
    <row r="341" ht="15.75" customHeight="1">
      <c r="A341" s="165"/>
      <c r="B341" s="165"/>
      <c r="C341" s="165"/>
      <c r="D341" s="165"/>
      <c r="E341" s="165"/>
      <c r="F341" s="165"/>
      <c r="G341" s="165"/>
      <c r="H341" s="165"/>
      <c r="I341" s="165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  <c r="AA341" s="165"/>
      <c r="AB341" s="165"/>
      <c r="AC341" s="165"/>
      <c r="AD341" s="165"/>
      <c r="AE341" s="165"/>
      <c r="AF341" s="165"/>
      <c r="AG341" s="165"/>
      <c r="AH341" s="165"/>
      <c r="AI341" s="165"/>
      <c r="AJ341" s="165"/>
      <c r="AK341" s="165"/>
      <c r="AL341" s="165"/>
      <c r="AM341" s="165"/>
      <c r="AN341" s="165"/>
      <c r="AO341" s="165"/>
      <c r="AP341" s="165"/>
      <c r="AQ341" s="165"/>
      <c r="AR341" s="165"/>
      <c r="AS341" s="165"/>
      <c r="AT341" s="165"/>
      <c r="AU341" s="165"/>
      <c r="AV341" s="165"/>
      <c r="AW341" s="165"/>
      <c r="AX341" s="165"/>
    </row>
    <row r="342" ht="15.75" customHeight="1">
      <c r="A342" s="165"/>
      <c r="B342" s="165"/>
      <c r="C342" s="165"/>
      <c r="D342" s="165"/>
      <c r="E342" s="165"/>
      <c r="F342" s="165"/>
      <c r="G342" s="165"/>
      <c r="H342" s="165"/>
      <c r="I342" s="165"/>
      <c r="J342" s="165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  <c r="AA342" s="165"/>
      <c r="AB342" s="165"/>
      <c r="AC342" s="165"/>
      <c r="AD342" s="165"/>
      <c r="AE342" s="165"/>
      <c r="AF342" s="165"/>
      <c r="AG342" s="165"/>
      <c r="AH342" s="165"/>
      <c r="AI342" s="165"/>
      <c r="AJ342" s="165"/>
      <c r="AK342" s="165"/>
      <c r="AL342" s="165"/>
      <c r="AM342" s="165"/>
      <c r="AN342" s="165"/>
      <c r="AO342" s="165"/>
      <c r="AP342" s="165"/>
      <c r="AQ342" s="165"/>
      <c r="AR342" s="165"/>
      <c r="AS342" s="165"/>
      <c r="AT342" s="165"/>
      <c r="AU342" s="165"/>
      <c r="AV342" s="165"/>
      <c r="AW342" s="165"/>
      <c r="AX342" s="165"/>
    </row>
    <row r="343" ht="15.75" customHeight="1">
      <c r="A343" s="165"/>
      <c r="B343" s="165"/>
      <c r="C343" s="165"/>
      <c r="D343" s="165"/>
      <c r="E343" s="165"/>
      <c r="F343" s="165"/>
      <c r="G343" s="165"/>
      <c r="H343" s="165"/>
      <c r="I343" s="165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  <c r="AA343" s="165"/>
      <c r="AB343" s="165"/>
      <c r="AC343" s="165"/>
      <c r="AD343" s="165"/>
      <c r="AE343" s="165"/>
      <c r="AF343" s="165"/>
      <c r="AG343" s="165"/>
      <c r="AH343" s="165"/>
      <c r="AI343" s="165"/>
      <c r="AJ343" s="165"/>
      <c r="AK343" s="165"/>
      <c r="AL343" s="165"/>
      <c r="AM343" s="165"/>
      <c r="AN343" s="165"/>
      <c r="AO343" s="165"/>
      <c r="AP343" s="165"/>
      <c r="AQ343" s="165"/>
      <c r="AR343" s="165"/>
      <c r="AS343" s="165"/>
      <c r="AT343" s="165"/>
      <c r="AU343" s="165"/>
      <c r="AV343" s="165"/>
      <c r="AW343" s="165"/>
      <c r="AX343" s="165"/>
    </row>
    <row r="344" ht="15.75" customHeight="1">
      <c r="A344" s="165"/>
      <c r="B344" s="165"/>
      <c r="C344" s="165"/>
      <c r="D344" s="165"/>
      <c r="E344" s="165"/>
      <c r="F344" s="165"/>
      <c r="G344" s="165"/>
      <c r="H344" s="165"/>
      <c r="I344" s="165"/>
      <c r="J344" s="165"/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  <c r="AA344" s="165"/>
      <c r="AB344" s="165"/>
      <c r="AC344" s="165"/>
      <c r="AD344" s="165"/>
      <c r="AE344" s="165"/>
      <c r="AF344" s="165"/>
      <c r="AG344" s="165"/>
      <c r="AH344" s="165"/>
      <c r="AI344" s="165"/>
      <c r="AJ344" s="165"/>
      <c r="AK344" s="165"/>
      <c r="AL344" s="165"/>
      <c r="AM344" s="165"/>
      <c r="AN344" s="165"/>
      <c r="AO344" s="165"/>
      <c r="AP344" s="165"/>
      <c r="AQ344" s="165"/>
      <c r="AR344" s="165"/>
      <c r="AS344" s="165"/>
      <c r="AT344" s="165"/>
      <c r="AU344" s="165"/>
      <c r="AV344" s="165"/>
      <c r="AW344" s="165"/>
      <c r="AX344" s="165"/>
    </row>
    <row r="345" ht="15.75" customHeight="1">
      <c r="A345" s="165"/>
      <c r="B345" s="165"/>
      <c r="C345" s="165"/>
      <c r="D345" s="165"/>
      <c r="E345" s="165"/>
      <c r="F345" s="165"/>
      <c r="G345" s="165"/>
      <c r="H345" s="165"/>
      <c r="I345" s="165"/>
      <c r="J345" s="165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  <c r="AA345" s="165"/>
      <c r="AB345" s="165"/>
      <c r="AC345" s="165"/>
      <c r="AD345" s="165"/>
      <c r="AE345" s="165"/>
      <c r="AF345" s="165"/>
      <c r="AG345" s="165"/>
      <c r="AH345" s="165"/>
      <c r="AI345" s="165"/>
      <c r="AJ345" s="165"/>
      <c r="AK345" s="165"/>
      <c r="AL345" s="165"/>
      <c r="AM345" s="165"/>
      <c r="AN345" s="165"/>
      <c r="AO345" s="165"/>
      <c r="AP345" s="165"/>
      <c r="AQ345" s="165"/>
      <c r="AR345" s="165"/>
      <c r="AS345" s="165"/>
      <c r="AT345" s="165"/>
      <c r="AU345" s="165"/>
      <c r="AV345" s="165"/>
      <c r="AW345" s="165"/>
      <c r="AX345" s="165"/>
    </row>
    <row r="346" ht="15.75" customHeight="1">
      <c r="A346" s="165"/>
      <c r="B346" s="165"/>
      <c r="C346" s="165"/>
      <c r="D346" s="165"/>
      <c r="E346" s="165"/>
      <c r="F346" s="165"/>
      <c r="G346" s="165"/>
      <c r="H346" s="165"/>
      <c r="I346" s="165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  <c r="AA346" s="165"/>
      <c r="AB346" s="165"/>
      <c r="AC346" s="165"/>
      <c r="AD346" s="165"/>
      <c r="AE346" s="165"/>
      <c r="AF346" s="165"/>
      <c r="AG346" s="165"/>
      <c r="AH346" s="165"/>
      <c r="AI346" s="165"/>
      <c r="AJ346" s="165"/>
      <c r="AK346" s="165"/>
      <c r="AL346" s="165"/>
      <c r="AM346" s="165"/>
      <c r="AN346" s="165"/>
      <c r="AO346" s="165"/>
      <c r="AP346" s="165"/>
      <c r="AQ346" s="165"/>
      <c r="AR346" s="165"/>
      <c r="AS346" s="165"/>
      <c r="AT346" s="165"/>
      <c r="AU346" s="165"/>
      <c r="AV346" s="165"/>
      <c r="AW346" s="165"/>
      <c r="AX346" s="165"/>
    </row>
    <row r="347" ht="15.75" customHeight="1">
      <c r="A347" s="165"/>
      <c r="B347" s="165"/>
      <c r="C347" s="165"/>
      <c r="D347" s="165"/>
      <c r="E347" s="165"/>
      <c r="F347" s="165"/>
      <c r="G347" s="165"/>
      <c r="H347" s="165"/>
      <c r="I347" s="165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  <c r="AA347" s="165"/>
      <c r="AB347" s="165"/>
      <c r="AC347" s="165"/>
      <c r="AD347" s="165"/>
      <c r="AE347" s="165"/>
      <c r="AF347" s="165"/>
      <c r="AG347" s="165"/>
      <c r="AH347" s="165"/>
      <c r="AI347" s="165"/>
      <c r="AJ347" s="165"/>
      <c r="AK347" s="165"/>
      <c r="AL347" s="165"/>
      <c r="AM347" s="165"/>
      <c r="AN347" s="165"/>
      <c r="AO347" s="165"/>
      <c r="AP347" s="165"/>
      <c r="AQ347" s="165"/>
      <c r="AR347" s="165"/>
      <c r="AS347" s="165"/>
      <c r="AT347" s="165"/>
      <c r="AU347" s="165"/>
      <c r="AV347" s="165"/>
      <c r="AW347" s="165"/>
      <c r="AX347" s="165"/>
    </row>
    <row r="348" ht="15.75" customHeight="1">
      <c r="A348" s="165"/>
      <c r="B348" s="165"/>
      <c r="C348" s="165"/>
      <c r="D348" s="165"/>
      <c r="E348" s="165"/>
      <c r="F348" s="165"/>
      <c r="G348" s="165"/>
      <c r="H348" s="165"/>
      <c r="I348" s="165"/>
      <c r="J348" s="165"/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  <c r="AA348" s="165"/>
      <c r="AB348" s="165"/>
      <c r="AC348" s="165"/>
      <c r="AD348" s="165"/>
      <c r="AE348" s="165"/>
      <c r="AF348" s="165"/>
      <c r="AG348" s="165"/>
      <c r="AH348" s="165"/>
      <c r="AI348" s="165"/>
      <c r="AJ348" s="165"/>
      <c r="AK348" s="165"/>
      <c r="AL348" s="165"/>
      <c r="AM348" s="165"/>
      <c r="AN348" s="165"/>
      <c r="AO348" s="165"/>
      <c r="AP348" s="165"/>
      <c r="AQ348" s="165"/>
      <c r="AR348" s="165"/>
      <c r="AS348" s="165"/>
      <c r="AT348" s="165"/>
      <c r="AU348" s="165"/>
      <c r="AV348" s="165"/>
      <c r="AW348" s="165"/>
      <c r="AX348" s="165"/>
    </row>
    <row r="349" ht="15.75" customHeight="1">
      <c r="A349" s="165"/>
      <c r="B349" s="165"/>
      <c r="C349" s="165"/>
      <c r="D349" s="165"/>
      <c r="E349" s="165"/>
      <c r="F349" s="165"/>
      <c r="G349" s="165"/>
      <c r="H349" s="165"/>
      <c r="I349" s="165"/>
      <c r="J349" s="165"/>
      <c r="K349" s="165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  <c r="AA349" s="165"/>
      <c r="AB349" s="165"/>
      <c r="AC349" s="165"/>
      <c r="AD349" s="165"/>
      <c r="AE349" s="165"/>
      <c r="AF349" s="165"/>
      <c r="AG349" s="165"/>
      <c r="AH349" s="165"/>
      <c r="AI349" s="165"/>
      <c r="AJ349" s="165"/>
      <c r="AK349" s="165"/>
      <c r="AL349" s="165"/>
      <c r="AM349" s="165"/>
      <c r="AN349" s="165"/>
      <c r="AO349" s="165"/>
      <c r="AP349" s="165"/>
      <c r="AQ349" s="165"/>
      <c r="AR349" s="165"/>
      <c r="AS349" s="165"/>
      <c r="AT349" s="165"/>
      <c r="AU349" s="165"/>
      <c r="AV349" s="165"/>
      <c r="AW349" s="165"/>
      <c r="AX349" s="165"/>
    </row>
    <row r="350" ht="15.75" customHeight="1">
      <c r="A350" s="165"/>
      <c r="B350" s="165"/>
      <c r="C350" s="165"/>
      <c r="D350" s="165"/>
      <c r="E350" s="165"/>
      <c r="F350" s="165"/>
      <c r="G350" s="165"/>
      <c r="H350" s="165"/>
      <c r="I350" s="165"/>
      <c r="J350" s="165"/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  <c r="AA350" s="165"/>
      <c r="AB350" s="165"/>
      <c r="AC350" s="165"/>
      <c r="AD350" s="165"/>
      <c r="AE350" s="165"/>
      <c r="AF350" s="165"/>
      <c r="AG350" s="165"/>
      <c r="AH350" s="165"/>
      <c r="AI350" s="165"/>
      <c r="AJ350" s="165"/>
      <c r="AK350" s="165"/>
      <c r="AL350" s="165"/>
      <c r="AM350" s="165"/>
      <c r="AN350" s="165"/>
      <c r="AO350" s="165"/>
      <c r="AP350" s="165"/>
      <c r="AQ350" s="165"/>
      <c r="AR350" s="165"/>
      <c r="AS350" s="165"/>
      <c r="AT350" s="165"/>
      <c r="AU350" s="165"/>
      <c r="AV350" s="165"/>
      <c r="AW350" s="165"/>
      <c r="AX350" s="165"/>
    </row>
    <row r="351" ht="15.75" customHeight="1">
      <c r="A351" s="165"/>
      <c r="B351" s="165"/>
      <c r="C351" s="165"/>
      <c r="D351" s="165"/>
      <c r="E351" s="165"/>
      <c r="F351" s="165"/>
      <c r="G351" s="165"/>
      <c r="H351" s="165"/>
      <c r="I351" s="165"/>
      <c r="J351" s="165"/>
      <c r="K351" s="165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  <c r="AA351" s="165"/>
      <c r="AB351" s="165"/>
      <c r="AC351" s="165"/>
      <c r="AD351" s="165"/>
      <c r="AE351" s="165"/>
      <c r="AF351" s="165"/>
      <c r="AG351" s="165"/>
      <c r="AH351" s="165"/>
      <c r="AI351" s="165"/>
      <c r="AJ351" s="165"/>
      <c r="AK351" s="165"/>
      <c r="AL351" s="165"/>
      <c r="AM351" s="165"/>
      <c r="AN351" s="165"/>
      <c r="AO351" s="165"/>
      <c r="AP351" s="165"/>
      <c r="AQ351" s="165"/>
      <c r="AR351" s="165"/>
      <c r="AS351" s="165"/>
      <c r="AT351" s="165"/>
      <c r="AU351" s="165"/>
      <c r="AV351" s="165"/>
      <c r="AW351" s="165"/>
      <c r="AX351" s="165"/>
    </row>
    <row r="352" ht="15.75" customHeight="1">
      <c r="A352" s="165"/>
      <c r="B352" s="165"/>
      <c r="C352" s="165"/>
      <c r="D352" s="165"/>
      <c r="E352" s="165"/>
      <c r="F352" s="165"/>
      <c r="G352" s="165"/>
      <c r="H352" s="165"/>
      <c r="I352" s="165"/>
      <c r="J352" s="165"/>
      <c r="K352" s="165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  <c r="AA352" s="165"/>
      <c r="AB352" s="165"/>
      <c r="AC352" s="165"/>
      <c r="AD352" s="165"/>
      <c r="AE352" s="165"/>
      <c r="AF352" s="165"/>
      <c r="AG352" s="165"/>
      <c r="AH352" s="165"/>
      <c r="AI352" s="165"/>
      <c r="AJ352" s="165"/>
      <c r="AK352" s="165"/>
      <c r="AL352" s="165"/>
      <c r="AM352" s="165"/>
      <c r="AN352" s="165"/>
      <c r="AO352" s="165"/>
      <c r="AP352" s="165"/>
      <c r="AQ352" s="165"/>
      <c r="AR352" s="165"/>
      <c r="AS352" s="165"/>
      <c r="AT352" s="165"/>
      <c r="AU352" s="165"/>
      <c r="AV352" s="165"/>
      <c r="AW352" s="165"/>
      <c r="AX352" s="165"/>
    </row>
    <row r="353" ht="15.75" customHeight="1">
      <c r="A353" s="165"/>
      <c r="B353" s="165"/>
      <c r="C353" s="165"/>
      <c r="D353" s="165"/>
      <c r="E353" s="165"/>
      <c r="F353" s="165"/>
      <c r="G353" s="165"/>
      <c r="H353" s="165"/>
      <c r="I353" s="165"/>
      <c r="J353" s="165"/>
      <c r="K353" s="165"/>
      <c r="L353" s="165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  <c r="AA353" s="165"/>
      <c r="AB353" s="165"/>
      <c r="AC353" s="165"/>
      <c r="AD353" s="165"/>
      <c r="AE353" s="165"/>
      <c r="AF353" s="165"/>
      <c r="AG353" s="165"/>
      <c r="AH353" s="165"/>
      <c r="AI353" s="165"/>
      <c r="AJ353" s="165"/>
      <c r="AK353" s="165"/>
      <c r="AL353" s="165"/>
      <c r="AM353" s="165"/>
      <c r="AN353" s="165"/>
      <c r="AO353" s="165"/>
      <c r="AP353" s="165"/>
      <c r="AQ353" s="165"/>
      <c r="AR353" s="165"/>
      <c r="AS353" s="165"/>
      <c r="AT353" s="165"/>
      <c r="AU353" s="165"/>
      <c r="AV353" s="165"/>
      <c r="AW353" s="165"/>
      <c r="AX353" s="165"/>
    </row>
    <row r="354" ht="15.75" customHeight="1">
      <c r="A354" s="165"/>
      <c r="B354" s="165"/>
      <c r="C354" s="165"/>
      <c r="D354" s="165"/>
      <c r="E354" s="165"/>
      <c r="F354" s="165"/>
      <c r="G354" s="165"/>
      <c r="H354" s="165"/>
      <c r="I354" s="165"/>
      <c r="J354" s="165"/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  <c r="AA354" s="165"/>
      <c r="AB354" s="165"/>
      <c r="AC354" s="165"/>
      <c r="AD354" s="165"/>
      <c r="AE354" s="165"/>
      <c r="AF354" s="165"/>
      <c r="AG354" s="165"/>
      <c r="AH354" s="165"/>
      <c r="AI354" s="165"/>
      <c r="AJ354" s="165"/>
      <c r="AK354" s="165"/>
      <c r="AL354" s="165"/>
      <c r="AM354" s="165"/>
      <c r="AN354" s="165"/>
      <c r="AO354" s="165"/>
      <c r="AP354" s="165"/>
      <c r="AQ354" s="165"/>
      <c r="AR354" s="165"/>
      <c r="AS354" s="165"/>
      <c r="AT354" s="165"/>
      <c r="AU354" s="165"/>
      <c r="AV354" s="165"/>
      <c r="AW354" s="165"/>
      <c r="AX354" s="165"/>
    </row>
    <row r="355" ht="15.75" customHeight="1">
      <c r="A355" s="165"/>
      <c r="B355" s="165"/>
      <c r="C355" s="165"/>
      <c r="D355" s="165"/>
      <c r="E355" s="165"/>
      <c r="F355" s="165"/>
      <c r="G355" s="165"/>
      <c r="H355" s="165"/>
      <c r="I355" s="165"/>
      <c r="J355" s="165"/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  <c r="AA355" s="165"/>
      <c r="AB355" s="165"/>
      <c r="AC355" s="165"/>
      <c r="AD355" s="165"/>
      <c r="AE355" s="165"/>
      <c r="AF355" s="165"/>
      <c r="AG355" s="165"/>
      <c r="AH355" s="165"/>
      <c r="AI355" s="165"/>
      <c r="AJ355" s="165"/>
      <c r="AK355" s="165"/>
      <c r="AL355" s="165"/>
      <c r="AM355" s="165"/>
      <c r="AN355" s="165"/>
      <c r="AO355" s="165"/>
      <c r="AP355" s="165"/>
      <c r="AQ355" s="165"/>
      <c r="AR355" s="165"/>
      <c r="AS355" s="165"/>
      <c r="AT355" s="165"/>
      <c r="AU355" s="165"/>
      <c r="AV355" s="165"/>
      <c r="AW355" s="165"/>
      <c r="AX355" s="165"/>
    </row>
    <row r="356" ht="15.75" customHeight="1">
      <c r="A356" s="165"/>
      <c r="B356" s="165"/>
      <c r="C356" s="165"/>
      <c r="D356" s="165"/>
      <c r="E356" s="165"/>
      <c r="F356" s="165"/>
      <c r="G356" s="165"/>
      <c r="H356" s="165"/>
      <c r="I356" s="165"/>
      <c r="J356" s="165"/>
      <c r="K356" s="165"/>
      <c r="L356" s="165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  <c r="AA356" s="165"/>
      <c r="AB356" s="165"/>
      <c r="AC356" s="165"/>
      <c r="AD356" s="165"/>
      <c r="AE356" s="165"/>
      <c r="AF356" s="165"/>
      <c r="AG356" s="165"/>
      <c r="AH356" s="165"/>
      <c r="AI356" s="165"/>
      <c r="AJ356" s="165"/>
      <c r="AK356" s="165"/>
      <c r="AL356" s="165"/>
      <c r="AM356" s="165"/>
      <c r="AN356" s="165"/>
      <c r="AO356" s="165"/>
      <c r="AP356" s="165"/>
      <c r="AQ356" s="165"/>
      <c r="AR356" s="165"/>
      <c r="AS356" s="165"/>
      <c r="AT356" s="165"/>
      <c r="AU356" s="165"/>
      <c r="AV356" s="165"/>
      <c r="AW356" s="165"/>
      <c r="AX356" s="165"/>
    </row>
    <row r="357" ht="15.75" customHeight="1">
      <c r="A357" s="165"/>
      <c r="B357" s="165"/>
      <c r="C357" s="165"/>
      <c r="D357" s="165"/>
      <c r="E357" s="165"/>
      <c r="F357" s="165"/>
      <c r="G357" s="165"/>
      <c r="H357" s="165"/>
      <c r="I357" s="165"/>
      <c r="J357" s="165"/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  <c r="AA357" s="165"/>
      <c r="AB357" s="165"/>
      <c r="AC357" s="165"/>
      <c r="AD357" s="165"/>
      <c r="AE357" s="165"/>
      <c r="AF357" s="165"/>
      <c r="AG357" s="165"/>
      <c r="AH357" s="165"/>
      <c r="AI357" s="165"/>
      <c r="AJ357" s="165"/>
      <c r="AK357" s="165"/>
      <c r="AL357" s="165"/>
      <c r="AM357" s="165"/>
      <c r="AN357" s="165"/>
      <c r="AO357" s="165"/>
      <c r="AP357" s="165"/>
      <c r="AQ357" s="165"/>
      <c r="AR357" s="165"/>
      <c r="AS357" s="165"/>
      <c r="AT357" s="165"/>
      <c r="AU357" s="165"/>
      <c r="AV357" s="165"/>
      <c r="AW357" s="165"/>
      <c r="AX357" s="165"/>
    </row>
    <row r="358" ht="15.75" customHeight="1">
      <c r="A358" s="165"/>
      <c r="B358" s="165"/>
      <c r="C358" s="165"/>
      <c r="D358" s="165"/>
      <c r="E358" s="165"/>
      <c r="F358" s="165"/>
      <c r="G358" s="165"/>
      <c r="H358" s="165"/>
      <c r="I358" s="165"/>
      <c r="J358" s="165"/>
      <c r="K358" s="165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  <c r="AA358" s="165"/>
      <c r="AB358" s="165"/>
      <c r="AC358" s="165"/>
      <c r="AD358" s="165"/>
      <c r="AE358" s="165"/>
      <c r="AF358" s="165"/>
      <c r="AG358" s="165"/>
      <c r="AH358" s="165"/>
      <c r="AI358" s="165"/>
      <c r="AJ358" s="165"/>
      <c r="AK358" s="165"/>
      <c r="AL358" s="165"/>
      <c r="AM358" s="165"/>
      <c r="AN358" s="165"/>
      <c r="AO358" s="165"/>
      <c r="AP358" s="165"/>
      <c r="AQ358" s="165"/>
      <c r="AR358" s="165"/>
      <c r="AS358" s="165"/>
      <c r="AT358" s="165"/>
      <c r="AU358" s="165"/>
      <c r="AV358" s="165"/>
      <c r="AW358" s="165"/>
      <c r="AX358" s="165"/>
    </row>
    <row r="359" ht="15.75" customHeight="1">
      <c r="A359" s="165"/>
      <c r="B359" s="165"/>
      <c r="C359" s="165"/>
      <c r="D359" s="165"/>
      <c r="E359" s="165"/>
      <c r="F359" s="165"/>
      <c r="G359" s="165"/>
      <c r="H359" s="165"/>
      <c r="I359" s="165"/>
      <c r="J359" s="165"/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  <c r="AA359" s="165"/>
      <c r="AB359" s="165"/>
      <c r="AC359" s="165"/>
      <c r="AD359" s="165"/>
      <c r="AE359" s="165"/>
      <c r="AF359" s="165"/>
      <c r="AG359" s="165"/>
      <c r="AH359" s="165"/>
      <c r="AI359" s="165"/>
      <c r="AJ359" s="165"/>
      <c r="AK359" s="165"/>
      <c r="AL359" s="165"/>
      <c r="AM359" s="165"/>
      <c r="AN359" s="165"/>
      <c r="AO359" s="165"/>
      <c r="AP359" s="165"/>
      <c r="AQ359" s="165"/>
      <c r="AR359" s="165"/>
      <c r="AS359" s="165"/>
      <c r="AT359" s="165"/>
      <c r="AU359" s="165"/>
      <c r="AV359" s="165"/>
      <c r="AW359" s="165"/>
      <c r="AX359" s="165"/>
    </row>
    <row r="360" ht="15.75" customHeight="1">
      <c r="A360" s="165"/>
      <c r="B360" s="165"/>
      <c r="C360" s="165"/>
      <c r="D360" s="165"/>
      <c r="E360" s="165"/>
      <c r="F360" s="165"/>
      <c r="G360" s="165"/>
      <c r="H360" s="165"/>
      <c r="I360" s="165"/>
      <c r="J360" s="165"/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  <c r="AA360" s="165"/>
      <c r="AB360" s="165"/>
      <c r="AC360" s="165"/>
      <c r="AD360" s="165"/>
      <c r="AE360" s="165"/>
      <c r="AF360" s="165"/>
      <c r="AG360" s="165"/>
      <c r="AH360" s="165"/>
      <c r="AI360" s="165"/>
      <c r="AJ360" s="165"/>
      <c r="AK360" s="165"/>
      <c r="AL360" s="165"/>
      <c r="AM360" s="165"/>
      <c r="AN360" s="165"/>
      <c r="AO360" s="165"/>
      <c r="AP360" s="165"/>
      <c r="AQ360" s="165"/>
      <c r="AR360" s="165"/>
      <c r="AS360" s="165"/>
      <c r="AT360" s="165"/>
      <c r="AU360" s="165"/>
      <c r="AV360" s="165"/>
      <c r="AW360" s="165"/>
      <c r="AX360" s="165"/>
    </row>
    <row r="361" ht="15.75" customHeight="1">
      <c r="A361" s="165"/>
      <c r="B361" s="165"/>
      <c r="C361" s="165"/>
      <c r="D361" s="165"/>
      <c r="E361" s="165"/>
      <c r="F361" s="165"/>
      <c r="G361" s="165"/>
      <c r="H361" s="165"/>
      <c r="I361" s="165"/>
      <c r="J361" s="165"/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  <c r="AA361" s="165"/>
      <c r="AB361" s="165"/>
      <c r="AC361" s="165"/>
      <c r="AD361" s="165"/>
      <c r="AE361" s="165"/>
      <c r="AF361" s="165"/>
      <c r="AG361" s="165"/>
      <c r="AH361" s="165"/>
      <c r="AI361" s="165"/>
      <c r="AJ361" s="165"/>
      <c r="AK361" s="165"/>
      <c r="AL361" s="165"/>
      <c r="AM361" s="165"/>
      <c r="AN361" s="165"/>
      <c r="AO361" s="165"/>
      <c r="AP361" s="165"/>
      <c r="AQ361" s="165"/>
      <c r="AR361" s="165"/>
      <c r="AS361" s="165"/>
      <c r="AT361" s="165"/>
      <c r="AU361" s="165"/>
      <c r="AV361" s="165"/>
      <c r="AW361" s="165"/>
      <c r="AX361" s="165"/>
    </row>
    <row r="362" ht="15.75" customHeight="1">
      <c r="A362" s="165"/>
      <c r="B362" s="165"/>
      <c r="C362" s="165"/>
      <c r="D362" s="165"/>
      <c r="E362" s="165"/>
      <c r="F362" s="165"/>
      <c r="G362" s="165"/>
      <c r="H362" s="165"/>
      <c r="I362" s="165"/>
      <c r="J362" s="165"/>
      <c r="K362" s="165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  <c r="AA362" s="165"/>
      <c r="AB362" s="165"/>
      <c r="AC362" s="165"/>
      <c r="AD362" s="165"/>
      <c r="AE362" s="165"/>
      <c r="AF362" s="165"/>
      <c r="AG362" s="165"/>
      <c r="AH362" s="165"/>
      <c r="AI362" s="165"/>
      <c r="AJ362" s="165"/>
      <c r="AK362" s="165"/>
      <c r="AL362" s="165"/>
      <c r="AM362" s="165"/>
      <c r="AN362" s="165"/>
      <c r="AO362" s="165"/>
      <c r="AP362" s="165"/>
      <c r="AQ362" s="165"/>
      <c r="AR362" s="165"/>
      <c r="AS362" s="165"/>
      <c r="AT362" s="165"/>
      <c r="AU362" s="165"/>
      <c r="AV362" s="165"/>
      <c r="AW362" s="165"/>
      <c r="AX362" s="165"/>
    </row>
    <row r="363" ht="15.75" customHeight="1">
      <c r="A363" s="165"/>
      <c r="B363" s="165"/>
      <c r="C363" s="165"/>
      <c r="D363" s="165"/>
      <c r="E363" s="165"/>
      <c r="F363" s="165"/>
      <c r="G363" s="165"/>
      <c r="H363" s="165"/>
      <c r="I363" s="165"/>
      <c r="J363" s="165"/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  <c r="AA363" s="165"/>
      <c r="AB363" s="165"/>
      <c r="AC363" s="165"/>
      <c r="AD363" s="165"/>
      <c r="AE363" s="165"/>
      <c r="AF363" s="165"/>
      <c r="AG363" s="165"/>
      <c r="AH363" s="165"/>
      <c r="AI363" s="165"/>
      <c r="AJ363" s="165"/>
      <c r="AK363" s="165"/>
      <c r="AL363" s="165"/>
      <c r="AM363" s="165"/>
      <c r="AN363" s="165"/>
      <c r="AO363" s="165"/>
      <c r="AP363" s="165"/>
      <c r="AQ363" s="165"/>
      <c r="AR363" s="165"/>
      <c r="AS363" s="165"/>
      <c r="AT363" s="165"/>
      <c r="AU363" s="165"/>
      <c r="AV363" s="165"/>
      <c r="AW363" s="165"/>
      <c r="AX363" s="165"/>
    </row>
    <row r="364" ht="15.75" customHeight="1">
      <c r="A364" s="165"/>
      <c r="B364" s="165"/>
      <c r="C364" s="165"/>
      <c r="D364" s="165"/>
      <c r="E364" s="165"/>
      <c r="F364" s="165"/>
      <c r="G364" s="165"/>
      <c r="H364" s="165"/>
      <c r="I364" s="165"/>
      <c r="J364" s="165"/>
      <c r="K364" s="165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  <c r="AA364" s="165"/>
      <c r="AB364" s="165"/>
      <c r="AC364" s="165"/>
      <c r="AD364" s="165"/>
      <c r="AE364" s="165"/>
      <c r="AF364" s="165"/>
      <c r="AG364" s="165"/>
      <c r="AH364" s="165"/>
      <c r="AI364" s="165"/>
      <c r="AJ364" s="165"/>
      <c r="AK364" s="165"/>
      <c r="AL364" s="165"/>
      <c r="AM364" s="165"/>
      <c r="AN364" s="165"/>
      <c r="AO364" s="165"/>
      <c r="AP364" s="165"/>
      <c r="AQ364" s="165"/>
      <c r="AR364" s="165"/>
      <c r="AS364" s="165"/>
      <c r="AT364" s="165"/>
      <c r="AU364" s="165"/>
      <c r="AV364" s="165"/>
      <c r="AW364" s="165"/>
      <c r="AX364" s="165"/>
    </row>
    <row r="365" ht="15.75" customHeight="1">
      <c r="A365" s="165"/>
      <c r="B365" s="165"/>
      <c r="C365" s="165"/>
      <c r="D365" s="165"/>
      <c r="E365" s="165"/>
      <c r="F365" s="165"/>
      <c r="G365" s="165"/>
      <c r="H365" s="165"/>
      <c r="I365" s="165"/>
      <c r="J365" s="165"/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  <c r="AA365" s="165"/>
      <c r="AB365" s="165"/>
      <c r="AC365" s="165"/>
      <c r="AD365" s="165"/>
      <c r="AE365" s="165"/>
      <c r="AF365" s="165"/>
      <c r="AG365" s="165"/>
      <c r="AH365" s="165"/>
      <c r="AI365" s="165"/>
      <c r="AJ365" s="165"/>
      <c r="AK365" s="165"/>
      <c r="AL365" s="165"/>
      <c r="AM365" s="165"/>
      <c r="AN365" s="165"/>
      <c r="AO365" s="165"/>
      <c r="AP365" s="165"/>
      <c r="AQ365" s="165"/>
      <c r="AR365" s="165"/>
      <c r="AS365" s="165"/>
      <c r="AT365" s="165"/>
      <c r="AU365" s="165"/>
      <c r="AV365" s="165"/>
      <c r="AW365" s="165"/>
      <c r="AX365" s="165"/>
    </row>
    <row r="366" ht="15.75" customHeight="1">
      <c r="A366" s="165"/>
      <c r="B366" s="165"/>
      <c r="C366" s="165"/>
      <c r="D366" s="165"/>
      <c r="E366" s="165"/>
      <c r="F366" s="165"/>
      <c r="G366" s="165"/>
      <c r="H366" s="165"/>
      <c r="I366" s="165"/>
      <c r="J366" s="165"/>
      <c r="K366" s="165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  <c r="AI366" s="165"/>
      <c r="AJ366" s="165"/>
      <c r="AK366" s="165"/>
      <c r="AL366" s="165"/>
      <c r="AM366" s="165"/>
      <c r="AN366" s="165"/>
      <c r="AO366" s="165"/>
      <c r="AP366" s="165"/>
      <c r="AQ366" s="165"/>
      <c r="AR366" s="165"/>
      <c r="AS366" s="165"/>
      <c r="AT366" s="165"/>
      <c r="AU366" s="165"/>
      <c r="AV366" s="165"/>
      <c r="AW366" s="165"/>
      <c r="AX366" s="165"/>
    </row>
    <row r="367" ht="15.75" customHeight="1">
      <c r="A367" s="165"/>
      <c r="B367" s="165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  <c r="AI367" s="165"/>
      <c r="AJ367" s="165"/>
      <c r="AK367" s="165"/>
      <c r="AL367" s="165"/>
      <c r="AM367" s="165"/>
      <c r="AN367" s="165"/>
      <c r="AO367" s="165"/>
      <c r="AP367" s="165"/>
      <c r="AQ367" s="165"/>
      <c r="AR367" s="165"/>
      <c r="AS367" s="165"/>
      <c r="AT367" s="165"/>
      <c r="AU367" s="165"/>
      <c r="AV367" s="165"/>
      <c r="AW367" s="165"/>
      <c r="AX367" s="165"/>
    </row>
    <row r="368" ht="15.75" customHeight="1">
      <c r="A368" s="165"/>
      <c r="B368" s="165"/>
      <c r="C368" s="165"/>
      <c r="D368" s="165"/>
      <c r="E368" s="165"/>
      <c r="F368" s="165"/>
      <c r="G368" s="165"/>
      <c r="H368" s="165"/>
      <c r="I368" s="165"/>
      <c r="J368" s="165"/>
      <c r="K368" s="165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  <c r="AA368" s="165"/>
      <c r="AB368" s="165"/>
      <c r="AC368" s="165"/>
      <c r="AD368" s="165"/>
      <c r="AE368" s="165"/>
      <c r="AF368" s="165"/>
      <c r="AG368" s="165"/>
      <c r="AH368" s="165"/>
      <c r="AI368" s="165"/>
      <c r="AJ368" s="165"/>
      <c r="AK368" s="165"/>
      <c r="AL368" s="165"/>
      <c r="AM368" s="165"/>
      <c r="AN368" s="165"/>
      <c r="AO368" s="165"/>
      <c r="AP368" s="165"/>
      <c r="AQ368" s="165"/>
      <c r="AR368" s="165"/>
      <c r="AS368" s="165"/>
      <c r="AT368" s="165"/>
      <c r="AU368" s="165"/>
      <c r="AV368" s="165"/>
      <c r="AW368" s="165"/>
      <c r="AX368" s="165"/>
    </row>
    <row r="369" ht="15.75" customHeight="1">
      <c r="A369" s="165"/>
      <c r="B369" s="165"/>
      <c r="C369" s="165"/>
      <c r="D369" s="165"/>
      <c r="E369" s="165"/>
      <c r="F369" s="165"/>
      <c r="G369" s="165"/>
      <c r="H369" s="165"/>
      <c r="I369" s="165"/>
      <c r="J369" s="165"/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  <c r="AA369" s="165"/>
      <c r="AB369" s="165"/>
      <c r="AC369" s="165"/>
      <c r="AD369" s="165"/>
      <c r="AE369" s="165"/>
      <c r="AF369" s="165"/>
      <c r="AG369" s="165"/>
      <c r="AH369" s="165"/>
      <c r="AI369" s="165"/>
      <c r="AJ369" s="165"/>
      <c r="AK369" s="165"/>
      <c r="AL369" s="165"/>
      <c r="AM369" s="165"/>
      <c r="AN369" s="165"/>
      <c r="AO369" s="165"/>
      <c r="AP369" s="165"/>
      <c r="AQ369" s="165"/>
      <c r="AR369" s="165"/>
      <c r="AS369" s="165"/>
      <c r="AT369" s="165"/>
      <c r="AU369" s="165"/>
      <c r="AV369" s="165"/>
      <c r="AW369" s="165"/>
      <c r="AX369" s="165"/>
    </row>
    <row r="370" ht="15.75" customHeight="1">
      <c r="A370" s="165"/>
      <c r="B370" s="165"/>
      <c r="C370" s="165"/>
      <c r="D370" s="165"/>
      <c r="E370" s="165"/>
      <c r="F370" s="165"/>
      <c r="G370" s="165"/>
      <c r="H370" s="165"/>
      <c r="I370" s="165"/>
      <c r="J370" s="165"/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  <c r="AA370" s="165"/>
      <c r="AB370" s="165"/>
      <c r="AC370" s="165"/>
      <c r="AD370" s="165"/>
      <c r="AE370" s="165"/>
      <c r="AF370" s="165"/>
      <c r="AG370" s="165"/>
      <c r="AH370" s="165"/>
      <c r="AI370" s="165"/>
      <c r="AJ370" s="165"/>
      <c r="AK370" s="165"/>
      <c r="AL370" s="165"/>
      <c r="AM370" s="165"/>
      <c r="AN370" s="165"/>
      <c r="AO370" s="165"/>
      <c r="AP370" s="165"/>
      <c r="AQ370" s="165"/>
      <c r="AR370" s="165"/>
      <c r="AS370" s="165"/>
      <c r="AT370" s="165"/>
      <c r="AU370" s="165"/>
      <c r="AV370" s="165"/>
      <c r="AW370" s="165"/>
      <c r="AX370" s="165"/>
    </row>
    <row r="371" ht="15.75" customHeight="1">
      <c r="A371" s="165"/>
      <c r="B371" s="165"/>
      <c r="C371" s="165"/>
      <c r="D371" s="165"/>
      <c r="E371" s="165"/>
      <c r="F371" s="165"/>
      <c r="G371" s="165"/>
      <c r="H371" s="165"/>
      <c r="I371" s="165"/>
      <c r="J371" s="165"/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  <c r="AA371" s="165"/>
      <c r="AB371" s="165"/>
      <c r="AC371" s="165"/>
      <c r="AD371" s="165"/>
      <c r="AE371" s="165"/>
      <c r="AF371" s="165"/>
      <c r="AG371" s="165"/>
      <c r="AH371" s="165"/>
      <c r="AI371" s="165"/>
      <c r="AJ371" s="165"/>
      <c r="AK371" s="165"/>
      <c r="AL371" s="165"/>
      <c r="AM371" s="165"/>
      <c r="AN371" s="165"/>
      <c r="AO371" s="165"/>
      <c r="AP371" s="165"/>
      <c r="AQ371" s="165"/>
      <c r="AR371" s="165"/>
      <c r="AS371" s="165"/>
      <c r="AT371" s="165"/>
      <c r="AU371" s="165"/>
      <c r="AV371" s="165"/>
      <c r="AW371" s="165"/>
      <c r="AX371" s="165"/>
    </row>
    <row r="372" ht="15.75" customHeight="1">
      <c r="A372" s="165"/>
      <c r="B372" s="165"/>
      <c r="C372" s="165"/>
      <c r="D372" s="165"/>
      <c r="E372" s="165"/>
      <c r="F372" s="165"/>
      <c r="G372" s="165"/>
      <c r="H372" s="165"/>
      <c r="I372" s="165"/>
      <c r="J372" s="165"/>
      <c r="K372" s="165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  <c r="AA372" s="165"/>
      <c r="AB372" s="165"/>
      <c r="AC372" s="165"/>
      <c r="AD372" s="165"/>
      <c r="AE372" s="165"/>
      <c r="AF372" s="165"/>
      <c r="AG372" s="165"/>
      <c r="AH372" s="165"/>
      <c r="AI372" s="165"/>
      <c r="AJ372" s="165"/>
      <c r="AK372" s="165"/>
      <c r="AL372" s="165"/>
      <c r="AM372" s="165"/>
      <c r="AN372" s="165"/>
      <c r="AO372" s="165"/>
      <c r="AP372" s="165"/>
      <c r="AQ372" s="165"/>
      <c r="AR372" s="165"/>
      <c r="AS372" s="165"/>
      <c r="AT372" s="165"/>
      <c r="AU372" s="165"/>
      <c r="AV372" s="165"/>
      <c r="AW372" s="165"/>
      <c r="AX372" s="165"/>
    </row>
    <row r="373" ht="15.75" customHeight="1">
      <c r="A373" s="165"/>
      <c r="B373" s="165"/>
      <c r="C373" s="165"/>
      <c r="D373" s="165"/>
      <c r="E373" s="165"/>
      <c r="F373" s="165"/>
      <c r="G373" s="165"/>
      <c r="H373" s="165"/>
      <c r="I373" s="165"/>
      <c r="J373" s="165"/>
      <c r="K373" s="165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  <c r="AA373" s="165"/>
      <c r="AB373" s="165"/>
      <c r="AC373" s="165"/>
      <c r="AD373" s="165"/>
      <c r="AE373" s="165"/>
      <c r="AF373" s="165"/>
      <c r="AG373" s="165"/>
      <c r="AH373" s="165"/>
      <c r="AI373" s="165"/>
      <c r="AJ373" s="165"/>
      <c r="AK373" s="165"/>
      <c r="AL373" s="165"/>
      <c r="AM373" s="165"/>
      <c r="AN373" s="165"/>
      <c r="AO373" s="165"/>
      <c r="AP373" s="165"/>
      <c r="AQ373" s="165"/>
      <c r="AR373" s="165"/>
      <c r="AS373" s="165"/>
      <c r="AT373" s="165"/>
      <c r="AU373" s="165"/>
      <c r="AV373" s="165"/>
      <c r="AW373" s="165"/>
      <c r="AX373" s="165"/>
    </row>
    <row r="374" ht="15.75" customHeight="1">
      <c r="A374" s="165"/>
      <c r="B374" s="165"/>
      <c r="C374" s="165"/>
      <c r="D374" s="165"/>
      <c r="E374" s="165"/>
      <c r="F374" s="165"/>
      <c r="G374" s="165"/>
      <c r="H374" s="165"/>
      <c r="I374" s="165"/>
      <c r="J374" s="165"/>
      <c r="K374" s="165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  <c r="AA374" s="165"/>
      <c r="AB374" s="165"/>
      <c r="AC374" s="165"/>
      <c r="AD374" s="165"/>
      <c r="AE374" s="165"/>
      <c r="AF374" s="165"/>
      <c r="AG374" s="165"/>
      <c r="AH374" s="165"/>
      <c r="AI374" s="165"/>
      <c r="AJ374" s="165"/>
      <c r="AK374" s="165"/>
      <c r="AL374" s="165"/>
      <c r="AM374" s="165"/>
      <c r="AN374" s="165"/>
      <c r="AO374" s="165"/>
      <c r="AP374" s="165"/>
      <c r="AQ374" s="165"/>
      <c r="AR374" s="165"/>
      <c r="AS374" s="165"/>
      <c r="AT374" s="165"/>
      <c r="AU374" s="165"/>
      <c r="AV374" s="165"/>
      <c r="AW374" s="165"/>
      <c r="AX374" s="165"/>
    </row>
    <row r="375" ht="15.75" customHeight="1">
      <c r="A375" s="165"/>
      <c r="B375" s="165"/>
      <c r="C375" s="165"/>
      <c r="D375" s="165"/>
      <c r="E375" s="165"/>
      <c r="F375" s="165"/>
      <c r="G375" s="165"/>
      <c r="H375" s="165"/>
      <c r="I375" s="165"/>
      <c r="J375" s="165"/>
      <c r="K375" s="165"/>
      <c r="L375" s="165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  <c r="AA375" s="165"/>
      <c r="AB375" s="165"/>
      <c r="AC375" s="165"/>
      <c r="AD375" s="165"/>
      <c r="AE375" s="165"/>
      <c r="AF375" s="165"/>
      <c r="AG375" s="165"/>
      <c r="AH375" s="165"/>
      <c r="AI375" s="165"/>
      <c r="AJ375" s="165"/>
      <c r="AK375" s="165"/>
      <c r="AL375" s="165"/>
      <c r="AM375" s="165"/>
      <c r="AN375" s="165"/>
      <c r="AO375" s="165"/>
      <c r="AP375" s="165"/>
      <c r="AQ375" s="165"/>
      <c r="AR375" s="165"/>
      <c r="AS375" s="165"/>
      <c r="AT375" s="165"/>
      <c r="AU375" s="165"/>
      <c r="AV375" s="165"/>
      <c r="AW375" s="165"/>
      <c r="AX375" s="165"/>
    </row>
    <row r="376" ht="15.75" customHeight="1">
      <c r="A376" s="165"/>
      <c r="B376" s="165"/>
      <c r="C376" s="165"/>
      <c r="D376" s="165"/>
      <c r="E376" s="165"/>
      <c r="F376" s="165"/>
      <c r="G376" s="165"/>
      <c r="H376" s="165"/>
      <c r="I376" s="165"/>
      <c r="J376" s="165"/>
      <c r="K376" s="165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  <c r="AA376" s="165"/>
      <c r="AB376" s="165"/>
      <c r="AC376" s="165"/>
      <c r="AD376" s="165"/>
      <c r="AE376" s="165"/>
      <c r="AF376" s="165"/>
      <c r="AG376" s="165"/>
      <c r="AH376" s="165"/>
      <c r="AI376" s="165"/>
      <c r="AJ376" s="165"/>
      <c r="AK376" s="165"/>
      <c r="AL376" s="165"/>
      <c r="AM376" s="165"/>
      <c r="AN376" s="165"/>
      <c r="AO376" s="165"/>
      <c r="AP376" s="165"/>
      <c r="AQ376" s="165"/>
      <c r="AR376" s="165"/>
      <c r="AS376" s="165"/>
      <c r="AT376" s="165"/>
      <c r="AU376" s="165"/>
      <c r="AV376" s="165"/>
      <c r="AW376" s="165"/>
      <c r="AX376" s="165"/>
    </row>
    <row r="377" ht="15.75" customHeight="1">
      <c r="A377" s="165"/>
      <c r="B377" s="165"/>
      <c r="C377" s="165"/>
      <c r="D377" s="165"/>
      <c r="E377" s="165"/>
      <c r="F377" s="165"/>
      <c r="G377" s="165"/>
      <c r="H377" s="165"/>
      <c r="I377" s="165"/>
      <c r="J377" s="165"/>
      <c r="K377" s="165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  <c r="AA377" s="165"/>
      <c r="AB377" s="165"/>
      <c r="AC377" s="165"/>
      <c r="AD377" s="165"/>
      <c r="AE377" s="165"/>
      <c r="AF377" s="165"/>
      <c r="AG377" s="165"/>
      <c r="AH377" s="165"/>
      <c r="AI377" s="165"/>
      <c r="AJ377" s="165"/>
      <c r="AK377" s="165"/>
      <c r="AL377" s="165"/>
      <c r="AM377" s="165"/>
      <c r="AN377" s="165"/>
      <c r="AO377" s="165"/>
      <c r="AP377" s="165"/>
      <c r="AQ377" s="165"/>
      <c r="AR377" s="165"/>
      <c r="AS377" s="165"/>
      <c r="AT377" s="165"/>
      <c r="AU377" s="165"/>
      <c r="AV377" s="165"/>
      <c r="AW377" s="165"/>
      <c r="AX377" s="165"/>
    </row>
    <row r="378" ht="15.75" customHeight="1">
      <c r="A378" s="165"/>
      <c r="B378" s="165"/>
      <c r="C378" s="165"/>
      <c r="D378" s="165"/>
      <c r="E378" s="165"/>
      <c r="F378" s="165"/>
      <c r="G378" s="165"/>
      <c r="H378" s="165"/>
      <c r="I378" s="165"/>
      <c r="J378" s="165"/>
      <c r="K378" s="165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  <c r="AA378" s="165"/>
      <c r="AB378" s="165"/>
      <c r="AC378" s="165"/>
      <c r="AD378" s="165"/>
      <c r="AE378" s="165"/>
      <c r="AF378" s="165"/>
      <c r="AG378" s="165"/>
      <c r="AH378" s="165"/>
      <c r="AI378" s="165"/>
      <c r="AJ378" s="165"/>
      <c r="AK378" s="165"/>
      <c r="AL378" s="165"/>
      <c r="AM378" s="165"/>
      <c r="AN378" s="165"/>
      <c r="AO378" s="165"/>
      <c r="AP378" s="165"/>
      <c r="AQ378" s="165"/>
      <c r="AR378" s="165"/>
      <c r="AS378" s="165"/>
      <c r="AT378" s="165"/>
      <c r="AU378" s="165"/>
      <c r="AV378" s="165"/>
      <c r="AW378" s="165"/>
      <c r="AX378" s="165"/>
    </row>
    <row r="379" ht="15.75" customHeight="1">
      <c r="A379" s="165"/>
      <c r="B379" s="165"/>
      <c r="C379" s="165"/>
      <c r="D379" s="165"/>
      <c r="E379" s="165"/>
      <c r="F379" s="165"/>
      <c r="G379" s="165"/>
      <c r="H379" s="165"/>
      <c r="I379" s="165"/>
      <c r="J379" s="165"/>
      <c r="K379" s="165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  <c r="AA379" s="165"/>
      <c r="AB379" s="165"/>
      <c r="AC379" s="165"/>
      <c r="AD379" s="165"/>
      <c r="AE379" s="165"/>
      <c r="AF379" s="165"/>
      <c r="AG379" s="165"/>
      <c r="AH379" s="165"/>
      <c r="AI379" s="165"/>
      <c r="AJ379" s="165"/>
      <c r="AK379" s="165"/>
      <c r="AL379" s="165"/>
      <c r="AM379" s="165"/>
      <c r="AN379" s="165"/>
      <c r="AO379" s="165"/>
      <c r="AP379" s="165"/>
      <c r="AQ379" s="165"/>
      <c r="AR379" s="165"/>
      <c r="AS379" s="165"/>
      <c r="AT379" s="165"/>
      <c r="AU379" s="165"/>
      <c r="AV379" s="165"/>
      <c r="AW379" s="165"/>
      <c r="AX379" s="165"/>
    </row>
    <row r="380" ht="15.75" customHeight="1">
      <c r="A380" s="165"/>
      <c r="B380" s="165"/>
      <c r="C380" s="165"/>
      <c r="D380" s="165"/>
      <c r="E380" s="165"/>
      <c r="F380" s="165"/>
      <c r="G380" s="165"/>
      <c r="H380" s="165"/>
      <c r="I380" s="165"/>
      <c r="J380" s="165"/>
      <c r="K380" s="165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  <c r="AA380" s="165"/>
      <c r="AB380" s="165"/>
      <c r="AC380" s="165"/>
      <c r="AD380" s="165"/>
      <c r="AE380" s="165"/>
      <c r="AF380" s="165"/>
      <c r="AG380" s="165"/>
      <c r="AH380" s="165"/>
      <c r="AI380" s="165"/>
      <c r="AJ380" s="165"/>
      <c r="AK380" s="165"/>
      <c r="AL380" s="165"/>
      <c r="AM380" s="165"/>
      <c r="AN380" s="165"/>
      <c r="AO380" s="165"/>
      <c r="AP380" s="165"/>
      <c r="AQ380" s="165"/>
      <c r="AR380" s="165"/>
      <c r="AS380" s="165"/>
      <c r="AT380" s="165"/>
      <c r="AU380" s="165"/>
      <c r="AV380" s="165"/>
      <c r="AW380" s="165"/>
      <c r="AX380" s="165"/>
    </row>
    <row r="381" ht="15.75" customHeight="1">
      <c r="A381" s="165"/>
      <c r="B381" s="165"/>
      <c r="C381" s="165"/>
      <c r="D381" s="165"/>
      <c r="E381" s="165"/>
      <c r="F381" s="165"/>
      <c r="G381" s="165"/>
      <c r="H381" s="165"/>
      <c r="I381" s="165"/>
      <c r="J381" s="165"/>
      <c r="K381" s="165"/>
      <c r="L381" s="165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  <c r="AA381" s="165"/>
      <c r="AB381" s="165"/>
      <c r="AC381" s="165"/>
      <c r="AD381" s="165"/>
      <c r="AE381" s="165"/>
      <c r="AF381" s="165"/>
      <c r="AG381" s="165"/>
      <c r="AH381" s="165"/>
      <c r="AI381" s="165"/>
      <c r="AJ381" s="165"/>
      <c r="AK381" s="165"/>
      <c r="AL381" s="165"/>
      <c r="AM381" s="165"/>
      <c r="AN381" s="165"/>
      <c r="AO381" s="165"/>
      <c r="AP381" s="165"/>
      <c r="AQ381" s="165"/>
      <c r="AR381" s="165"/>
      <c r="AS381" s="165"/>
      <c r="AT381" s="165"/>
      <c r="AU381" s="165"/>
      <c r="AV381" s="165"/>
      <c r="AW381" s="165"/>
      <c r="AX381" s="165"/>
    </row>
    <row r="382" ht="15.75" customHeight="1">
      <c r="A382" s="165"/>
      <c r="B382" s="165"/>
      <c r="C382" s="165"/>
      <c r="D382" s="165"/>
      <c r="E382" s="165"/>
      <c r="F382" s="165"/>
      <c r="G382" s="165"/>
      <c r="H382" s="165"/>
      <c r="I382" s="165"/>
      <c r="J382" s="165"/>
      <c r="K382" s="165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  <c r="AA382" s="165"/>
      <c r="AB382" s="165"/>
      <c r="AC382" s="165"/>
      <c r="AD382" s="165"/>
      <c r="AE382" s="165"/>
      <c r="AF382" s="165"/>
      <c r="AG382" s="165"/>
      <c r="AH382" s="165"/>
      <c r="AI382" s="165"/>
      <c r="AJ382" s="165"/>
      <c r="AK382" s="165"/>
      <c r="AL382" s="165"/>
      <c r="AM382" s="165"/>
      <c r="AN382" s="165"/>
      <c r="AO382" s="165"/>
      <c r="AP382" s="165"/>
      <c r="AQ382" s="165"/>
      <c r="AR382" s="165"/>
      <c r="AS382" s="165"/>
      <c r="AT382" s="165"/>
      <c r="AU382" s="165"/>
      <c r="AV382" s="165"/>
      <c r="AW382" s="165"/>
      <c r="AX382" s="165"/>
    </row>
    <row r="383" ht="15.75" customHeight="1">
      <c r="A383" s="165"/>
      <c r="B383" s="165"/>
      <c r="C383" s="165"/>
      <c r="D383" s="165"/>
      <c r="E383" s="165"/>
      <c r="F383" s="165"/>
      <c r="G383" s="165"/>
      <c r="H383" s="165"/>
      <c r="I383" s="165"/>
      <c r="J383" s="165"/>
      <c r="K383" s="165"/>
      <c r="L383" s="165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  <c r="AA383" s="165"/>
      <c r="AB383" s="165"/>
      <c r="AC383" s="165"/>
      <c r="AD383" s="165"/>
      <c r="AE383" s="165"/>
      <c r="AF383" s="165"/>
      <c r="AG383" s="165"/>
      <c r="AH383" s="165"/>
      <c r="AI383" s="165"/>
      <c r="AJ383" s="165"/>
      <c r="AK383" s="165"/>
      <c r="AL383" s="165"/>
      <c r="AM383" s="165"/>
      <c r="AN383" s="165"/>
      <c r="AO383" s="165"/>
      <c r="AP383" s="165"/>
      <c r="AQ383" s="165"/>
      <c r="AR383" s="165"/>
      <c r="AS383" s="165"/>
      <c r="AT383" s="165"/>
      <c r="AU383" s="165"/>
      <c r="AV383" s="165"/>
      <c r="AW383" s="165"/>
      <c r="AX383" s="165"/>
    </row>
    <row r="384" ht="15.75" customHeight="1">
      <c r="A384" s="165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5"/>
      <c r="AH384" s="165"/>
      <c r="AI384" s="165"/>
      <c r="AJ384" s="165"/>
      <c r="AK384" s="165"/>
      <c r="AL384" s="165"/>
      <c r="AM384" s="165"/>
      <c r="AN384" s="165"/>
      <c r="AO384" s="165"/>
      <c r="AP384" s="165"/>
      <c r="AQ384" s="165"/>
      <c r="AR384" s="165"/>
      <c r="AS384" s="165"/>
      <c r="AT384" s="165"/>
      <c r="AU384" s="165"/>
      <c r="AV384" s="165"/>
      <c r="AW384" s="165"/>
      <c r="AX384" s="165"/>
    </row>
    <row r="385" ht="15.75" customHeight="1">
      <c r="A385" s="165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5"/>
      <c r="AH385" s="165"/>
      <c r="AI385" s="165"/>
      <c r="AJ385" s="165"/>
      <c r="AK385" s="165"/>
      <c r="AL385" s="165"/>
      <c r="AM385" s="165"/>
      <c r="AN385" s="165"/>
      <c r="AO385" s="165"/>
      <c r="AP385" s="165"/>
      <c r="AQ385" s="165"/>
      <c r="AR385" s="165"/>
      <c r="AS385" s="165"/>
      <c r="AT385" s="165"/>
      <c r="AU385" s="165"/>
      <c r="AV385" s="165"/>
      <c r="AW385" s="165"/>
      <c r="AX385" s="165"/>
    </row>
    <row r="386" ht="15.75" customHeight="1">
      <c r="A386" s="165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5"/>
      <c r="AH386" s="165"/>
      <c r="AI386" s="165"/>
      <c r="AJ386" s="165"/>
      <c r="AK386" s="165"/>
      <c r="AL386" s="165"/>
      <c r="AM386" s="165"/>
      <c r="AN386" s="165"/>
      <c r="AO386" s="165"/>
      <c r="AP386" s="165"/>
      <c r="AQ386" s="165"/>
      <c r="AR386" s="165"/>
      <c r="AS386" s="165"/>
      <c r="AT386" s="165"/>
      <c r="AU386" s="165"/>
      <c r="AV386" s="165"/>
      <c r="AW386" s="165"/>
      <c r="AX386" s="165"/>
    </row>
    <row r="387" ht="15.75" customHeight="1">
      <c r="A387" s="165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5"/>
      <c r="AH387" s="165"/>
      <c r="AI387" s="165"/>
      <c r="AJ387" s="165"/>
      <c r="AK387" s="165"/>
      <c r="AL387" s="165"/>
      <c r="AM387" s="165"/>
      <c r="AN387" s="165"/>
      <c r="AO387" s="165"/>
      <c r="AP387" s="165"/>
      <c r="AQ387" s="165"/>
      <c r="AR387" s="165"/>
      <c r="AS387" s="165"/>
      <c r="AT387" s="165"/>
      <c r="AU387" s="165"/>
      <c r="AV387" s="165"/>
      <c r="AW387" s="165"/>
      <c r="AX387" s="165"/>
    </row>
    <row r="388" ht="15.75" customHeight="1">
      <c r="A388" s="165"/>
      <c r="B388" s="165"/>
      <c r="C388" s="165"/>
      <c r="D388" s="165"/>
      <c r="E388" s="165"/>
      <c r="F388" s="165"/>
      <c r="G388" s="165"/>
      <c r="H388" s="165"/>
      <c r="I388" s="165"/>
      <c r="J388" s="165"/>
      <c r="K388" s="165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5"/>
      <c r="AH388" s="165"/>
      <c r="AI388" s="165"/>
      <c r="AJ388" s="165"/>
      <c r="AK388" s="165"/>
      <c r="AL388" s="165"/>
      <c r="AM388" s="165"/>
      <c r="AN388" s="165"/>
      <c r="AO388" s="165"/>
      <c r="AP388" s="165"/>
      <c r="AQ388" s="165"/>
      <c r="AR388" s="165"/>
      <c r="AS388" s="165"/>
      <c r="AT388" s="165"/>
      <c r="AU388" s="165"/>
      <c r="AV388" s="165"/>
      <c r="AW388" s="165"/>
      <c r="AX388" s="165"/>
    </row>
    <row r="389" ht="15.75" customHeight="1">
      <c r="A389" s="165"/>
      <c r="B389" s="165"/>
      <c r="C389" s="165"/>
      <c r="D389" s="165"/>
      <c r="E389" s="165"/>
      <c r="F389" s="165"/>
      <c r="G389" s="165"/>
      <c r="H389" s="165"/>
      <c r="I389" s="165"/>
      <c r="J389" s="165"/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5"/>
      <c r="AH389" s="165"/>
      <c r="AI389" s="165"/>
      <c r="AJ389" s="165"/>
      <c r="AK389" s="165"/>
      <c r="AL389" s="165"/>
      <c r="AM389" s="165"/>
      <c r="AN389" s="165"/>
      <c r="AO389" s="165"/>
      <c r="AP389" s="165"/>
      <c r="AQ389" s="165"/>
      <c r="AR389" s="165"/>
      <c r="AS389" s="165"/>
      <c r="AT389" s="165"/>
      <c r="AU389" s="165"/>
      <c r="AV389" s="165"/>
      <c r="AW389" s="165"/>
      <c r="AX389" s="165"/>
    </row>
    <row r="390" ht="15.75" customHeight="1">
      <c r="A390" s="165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5"/>
      <c r="AH390" s="165"/>
      <c r="AI390" s="165"/>
      <c r="AJ390" s="165"/>
      <c r="AK390" s="165"/>
      <c r="AL390" s="165"/>
      <c r="AM390" s="165"/>
      <c r="AN390" s="165"/>
      <c r="AO390" s="165"/>
      <c r="AP390" s="165"/>
      <c r="AQ390" s="165"/>
      <c r="AR390" s="165"/>
      <c r="AS390" s="165"/>
      <c r="AT390" s="165"/>
      <c r="AU390" s="165"/>
      <c r="AV390" s="165"/>
      <c r="AW390" s="165"/>
      <c r="AX390" s="165"/>
    </row>
    <row r="391" ht="15.75" customHeight="1">
      <c r="A391" s="165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5"/>
      <c r="AH391" s="165"/>
      <c r="AI391" s="165"/>
      <c r="AJ391" s="165"/>
      <c r="AK391" s="165"/>
      <c r="AL391" s="165"/>
      <c r="AM391" s="165"/>
      <c r="AN391" s="165"/>
      <c r="AO391" s="165"/>
      <c r="AP391" s="165"/>
      <c r="AQ391" s="165"/>
      <c r="AR391" s="165"/>
      <c r="AS391" s="165"/>
      <c r="AT391" s="165"/>
      <c r="AU391" s="165"/>
      <c r="AV391" s="165"/>
      <c r="AW391" s="165"/>
      <c r="AX391" s="165"/>
    </row>
    <row r="392" ht="15.75" customHeight="1">
      <c r="A392" s="165"/>
      <c r="B392" s="165"/>
      <c r="C392" s="165"/>
      <c r="D392" s="165"/>
      <c r="E392" s="165"/>
      <c r="F392" s="165"/>
      <c r="G392" s="165"/>
      <c r="H392" s="165"/>
      <c r="I392" s="165"/>
      <c r="J392" s="165"/>
      <c r="K392" s="165"/>
      <c r="L392" s="165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  <c r="AA392" s="165"/>
      <c r="AB392" s="165"/>
      <c r="AC392" s="165"/>
      <c r="AD392" s="165"/>
      <c r="AE392" s="165"/>
      <c r="AF392" s="165"/>
      <c r="AG392" s="165"/>
      <c r="AH392" s="165"/>
      <c r="AI392" s="165"/>
      <c r="AJ392" s="165"/>
      <c r="AK392" s="165"/>
      <c r="AL392" s="165"/>
      <c r="AM392" s="165"/>
      <c r="AN392" s="165"/>
      <c r="AO392" s="165"/>
      <c r="AP392" s="165"/>
      <c r="AQ392" s="165"/>
      <c r="AR392" s="165"/>
      <c r="AS392" s="165"/>
      <c r="AT392" s="165"/>
      <c r="AU392" s="165"/>
      <c r="AV392" s="165"/>
      <c r="AW392" s="165"/>
      <c r="AX392" s="165"/>
    </row>
    <row r="393" ht="15.75" customHeight="1">
      <c r="A393" s="165"/>
      <c r="B393" s="165"/>
      <c r="C393" s="165"/>
      <c r="D393" s="165"/>
      <c r="E393" s="165"/>
      <c r="F393" s="165"/>
      <c r="G393" s="165"/>
      <c r="H393" s="165"/>
      <c r="I393" s="165"/>
      <c r="J393" s="165"/>
      <c r="K393" s="165"/>
      <c r="L393" s="165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  <c r="AA393" s="165"/>
      <c r="AB393" s="165"/>
      <c r="AC393" s="165"/>
      <c r="AD393" s="165"/>
      <c r="AE393" s="165"/>
      <c r="AF393" s="165"/>
      <c r="AG393" s="165"/>
      <c r="AH393" s="165"/>
      <c r="AI393" s="165"/>
      <c r="AJ393" s="165"/>
      <c r="AK393" s="165"/>
      <c r="AL393" s="165"/>
      <c r="AM393" s="165"/>
      <c r="AN393" s="165"/>
      <c r="AO393" s="165"/>
      <c r="AP393" s="165"/>
      <c r="AQ393" s="165"/>
      <c r="AR393" s="165"/>
      <c r="AS393" s="165"/>
      <c r="AT393" s="165"/>
      <c r="AU393" s="165"/>
      <c r="AV393" s="165"/>
      <c r="AW393" s="165"/>
      <c r="AX393" s="165"/>
    </row>
    <row r="394" ht="15.75" customHeight="1">
      <c r="A394" s="165"/>
      <c r="B394" s="165"/>
      <c r="C394" s="165"/>
      <c r="D394" s="165"/>
      <c r="E394" s="165"/>
      <c r="F394" s="165"/>
      <c r="G394" s="165"/>
      <c r="H394" s="165"/>
      <c r="I394" s="165"/>
      <c r="J394" s="165"/>
      <c r="K394" s="165"/>
      <c r="L394" s="165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  <c r="AA394" s="165"/>
      <c r="AB394" s="165"/>
      <c r="AC394" s="165"/>
      <c r="AD394" s="165"/>
      <c r="AE394" s="165"/>
      <c r="AF394" s="165"/>
      <c r="AG394" s="165"/>
      <c r="AH394" s="165"/>
      <c r="AI394" s="165"/>
      <c r="AJ394" s="165"/>
      <c r="AK394" s="165"/>
      <c r="AL394" s="165"/>
      <c r="AM394" s="165"/>
      <c r="AN394" s="165"/>
      <c r="AO394" s="165"/>
      <c r="AP394" s="165"/>
      <c r="AQ394" s="165"/>
      <c r="AR394" s="165"/>
      <c r="AS394" s="165"/>
      <c r="AT394" s="165"/>
      <c r="AU394" s="165"/>
      <c r="AV394" s="165"/>
      <c r="AW394" s="165"/>
      <c r="AX394" s="165"/>
    </row>
    <row r="395" ht="15.75" customHeight="1">
      <c r="A395" s="165"/>
      <c r="B395" s="165"/>
      <c r="C395" s="165"/>
      <c r="D395" s="165"/>
      <c r="E395" s="165"/>
      <c r="F395" s="165"/>
      <c r="G395" s="165"/>
      <c r="H395" s="165"/>
      <c r="I395" s="165"/>
      <c r="J395" s="165"/>
      <c r="K395" s="165"/>
      <c r="L395" s="165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  <c r="AA395" s="165"/>
      <c r="AB395" s="165"/>
      <c r="AC395" s="165"/>
      <c r="AD395" s="165"/>
      <c r="AE395" s="165"/>
      <c r="AF395" s="165"/>
      <c r="AG395" s="165"/>
      <c r="AH395" s="165"/>
      <c r="AI395" s="165"/>
      <c r="AJ395" s="165"/>
      <c r="AK395" s="165"/>
      <c r="AL395" s="165"/>
      <c r="AM395" s="165"/>
      <c r="AN395" s="165"/>
      <c r="AO395" s="165"/>
      <c r="AP395" s="165"/>
      <c r="AQ395" s="165"/>
      <c r="AR395" s="165"/>
      <c r="AS395" s="165"/>
      <c r="AT395" s="165"/>
      <c r="AU395" s="165"/>
      <c r="AV395" s="165"/>
      <c r="AW395" s="165"/>
      <c r="AX395" s="165"/>
    </row>
    <row r="396" ht="15.75" customHeight="1">
      <c r="A396" s="165"/>
      <c r="B396" s="165"/>
      <c r="C396" s="165"/>
      <c r="D396" s="165"/>
      <c r="E396" s="165"/>
      <c r="F396" s="165"/>
      <c r="G396" s="165"/>
      <c r="H396" s="165"/>
      <c r="I396" s="165"/>
      <c r="J396" s="165"/>
      <c r="K396" s="165"/>
      <c r="L396" s="165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  <c r="AA396" s="165"/>
      <c r="AB396" s="165"/>
      <c r="AC396" s="165"/>
      <c r="AD396" s="165"/>
      <c r="AE396" s="165"/>
      <c r="AF396" s="165"/>
      <c r="AG396" s="165"/>
      <c r="AH396" s="165"/>
      <c r="AI396" s="165"/>
      <c r="AJ396" s="165"/>
      <c r="AK396" s="165"/>
      <c r="AL396" s="165"/>
      <c r="AM396" s="165"/>
      <c r="AN396" s="165"/>
      <c r="AO396" s="165"/>
      <c r="AP396" s="165"/>
      <c r="AQ396" s="165"/>
      <c r="AR396" s="165"/>
      <c r="AS396" s="165"/>
      <c r="AT396" s="165"/>
      <c r="AU396" s="165"/>
      <c r="AV396" s="165"/>
      <c r="AW396" s="165"/>
      <c r="AX396" s="165"/>
    </row>
    <row r="397" ht="15.75" customHeight="1">
      <c r="A397" s="165"/>
      <c r="B397" s="165"/>
      <c r="C397" s="165"/>
      <c r="D397" s="165"/>
      <c r="E397" s="165"/>
      <c r="F397" s="165"/>
      <c r="G397" s="165"/>
      <c r="H397" s="165"/>
      <c r="I397" s="165"/>
      <c r="J397" s="165"/>
      <c r="K397" s="165"/>
      <c r="L397" s="165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  <c r="AA397" s="165"/>
      <c r="AB397" s="165"/>
      <c r="AC397" s="165"/>
      <c r="AD397" s="165"/>
      <c r="AE397" s="165"/>
      <c r="AF397" s="165"/>
      <c r="AG397" s="165"/>
      <c r="AH397" s="165"/>
      <c r="AI397" s="165"/>
      <c r="AJ397" s="165"/>
      <c r="AK397" s="165"/>
      <c r="AL397" s="165"/>
      <c r="AM397" s="165"/>
      <c r="AN397" s="165"/>
      <c r="AO397" s="165"/>
      <c r="AP397" s="165"/>
      <c r="AQ397" s="165"/>
      <c r="AR397" s="165"/>
      <c r="AS397" s="165"/>
      <c r="AT397" s="165"/>
      <c r="AU397" s="165"/>
      <c r="AV397" s="165"/>
      <c r="AW397" s="165"/>
      <c r="AX397" s="165"/>
    </row>
    <row r="398" ht="15.75" customHeight="1">
      <c r="A398" s="165"/>
      <c r="B398" s="165"/>
      <c r="C398" s="165"/>
      <c r="D398" s="165"/>
      <c r="E398" s="165"/>
      <c r="F398" s="165"/>
      <c r="G398" s="165"/>
      <c r="H398" s="165"/>
      <c r="I398" s="165"/>
      <c r="J398" s="165"/>
      <c r="K398" s="165"/>
      <c r="L398" s="165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  <c r="AA398" s="165"/>
      <c r="AB398" s="165"/>
      <c r="AC398" s="165"/>
      <c r="AD398" s="165"/>
      <c r="AE398" s="165"/>
      <c r="AF398" s="165"/>
      <c r="AG398" s="165"/>
      <c r="AH398" s="165"/>
      <c r="AI398" s="165"/>
      <c r="AJ398" s="165"/>
      <c r="AK398" s="165"/>
      <c r="AL398" s="165"/>
      <c r="AM398" s="165"/>
      <c r="AN398" s="165"/>
      <c r="AO398" s="165"/>
      <c r="AP398" s="165"/>
      <c r="AQ398" s="165"/>
      <c r="AR398" s="165"/>
      <c r="AS398" s="165"/>
      <c r="AT398" s="165"/>
      <c r="AU398" s="165"/>
      <c r="AV398" s="165"/>
      <c r="AW398" s="165"/>
      <c r="AX398" s="165"/>
    </row>
    <row r="399" ht="15.75" customHeight="1">
      <c r="A399" s="165"/>
      <c r="B399" s="165"/>
      <c r="C399" s="165"/>
      <c r="D399" s="165"/>
      <c r="E399" s="165"/>
      <c r="F399" s="165"/>
      <c r="G399" s="165"/>
      <c r="H399" s="165"/>
      <c r="I399" s="165"/>
      <c r="J399" s="165"/>
      <c r="K399" s="165"/>
      <c r="L399" s="165"/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  <c r="AA399" s="165"/>
      <c r="AB399" s="165"/>
      <c r="AC399" s="165"/>
      <c r="AD399" s="165"/>
      <c r="AE399" s="165"/>
      <c r="AF399" s="165"/>
      <c r="AG399" s="165"/>
      <c r="AH399" s="165"/>
      <c r="AI399" s="165"/>
      <c r="AJ399" s="165"/>
      <c r="AK399" s="165"/>
      <c r="AL399" s="165"/>
      <c r="AM399" s="165"/>
      <c r="AN399" s="165"/>
      <c r="AO399" s="165"/>
      <c r="AP399" s="165"/>
      <c r="AQ399" s="165"/>
      <c r="AR399" s="165"/>
      <c r="AS399" s="165"/>
      <c r="AT399" s="165"/>
      <c r="AU399" s="165"/>
      <c r="AV399" s="165"/>
      <c r="AW399" s="165"/>
      <c r="AX399" s="165"/>
    </row>
    <row r="400" ht="15.75" customHeight="1">
      <c r="A400" s="165"/>
      <c r="B400" s="165"/>
      <c r="C400" s="165"/>
      <c r="D400" s="165"/>
      <c r="E400" s="165"/>
      <c r="F400" s="165"/>
      <c r="G400" s="165"/>
      <c r="H400" s="165"/>
      <c r="I400" s="165"/>
      <c r="J400" s="165"/>
      <c r="K400" s="165"/>
      <c r="L400" s="165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  <c r="AA400" s="165"/>
      <c r="AB400" s="165"/>
      <c r="AC400" s="165"/>
      <c r="AD400" s="165"/>
      <c r="AE400" s="165"/>
      <c r="AF400" s="165"/>
      <c r="AG400" s="165"/>
      <c r="AH400" s="165"/>
      <c r="AI400" s="165"/>
      <c r="AJ400" s="165"/>
      <c r="AK400" s="165"/>
      <c r="AL400" s="165"/>
      <c r="AM400" s="165"/>
      <c r="AN400" s="165"/>
      <c r="AO400" s="165"/>
      <c r="AP400" s="165"/>
      <c r="AQ400" s="165"/>
      <c r="AR400" s="165"/>
      <c r="AS400" s="165"/>
      <c r="AT400" s="165"/>
      <c r="AU400" s="165"/>
      <c r="AV400" s="165"/>
      <c r="AW400" s="165"/>
      <c r="AX400" s="165"/>
    </row>
    <row r="401" ht="15.75" customHeight="1">
      <c r="A401" s="165"/>
      <c r="B401" s="165"/>
      <c r="C401" s="165"/>
      <c r="D401" s="165"/>
      <c r="E401" s="165"/>
      <c r="F401" s="165"/>
      <c r="G401" s="165"/>
      <c r="H401" s="165"/>
      <c r="I401" s="165"/>
      <c r="J401" s="165"/>
      <c r="K401" s="165"/>
      <c r="L401" s="165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  <c r="AA401" s="165"/>
      <c r="AB401" s="165"/>
      <c r="AC401" s="165"/>
      <c r="AD401" s="165"/>
      <c r="AE401" s="165"/>
      <c r="AF401" s="165"/>
      <c r="AG401" s="165"/>
      <c r="AH401" s="165"/>
      <c r="AI401" s="165"/>
      <c r="AJ401" s="165"/>
      <c r="AK401" s="165"/>
      <c r="AL401" s="165"/>
      <c r="AM401" s="165"/>
      <c r="AN401" s="165"/>
      <c r="AO401" s="165"/>
      <c r="AP401" s="165"/>
      <c r="AQ401" s="165"/>
      <c r="AR401" s="165"/>
      <c r="AS401" s="165"/>
      <c r="AT401" s="165"/>
      <c r="AU401" s="165"/>
      <c r="AV401" s="165"/>
      <c r="AW401" s="165"/>
      <c r="AX401" s="165"/>
    </row>
    <row r="402" ht="15.75" customHeight="1">
      <c r="A402" s="165"/>
      <c r="B402" s="165"/>
      <c r="C402" s="165"/>
      <c r="D402" s="165"/>
      <c r="E402" s="165"/>
      <c r="F402" s="165"/>
      <c r="G402" s="165"/>
      <c r="H402" s="165"/>
      <c r="I402" s="165"/>
      <c r="J402" s="165"/>
      <c r="K402" s="165"/>
      <c r="L402" s="165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  <c r="AA402" s="165"/>
      <c r="AB402" s="165"/>
      <c r="AC402" s="165"/>
      <c r="AD402" s="165"/>
      <c r="AE402" s="165"/>
      <c r="AF402" s="165"/>
      <c r="AG402" s="165"/>
      <c r="AH402" s="165"/>
      <c r="AI402" s="165"/>
      <c r="AJ402" s="165"/>
      <c r="AK402" s="165"/>
      <c r="AL402" s="165"/>
      <c r="AM402" s="165"/>
      <c r="AN402" s="165"/>
      <c r="AO402" s="165"/>
      <c r="AP402" s="165"/>
      <c r="AQ402" s="165"/>
      <c r="AR402" s="165"/>
      <c r="AS402" s="165"/>
      <c r="AT402" s="165"/>
      <c r="AU402" s="165"/>
      <c r="AV402" s="165"/>
      <c r="AW402" s="165"/>
      <c r="AX402" s="165"/>
    </row>
    <row r="403" ht="15.75" customHeight="1">
      <c r="A403" s="165"/>
      <c r="B403" s="165"/>
      <c r="C403" s="165"/>
      <c r="D403" s="165"/>
      <c r="E403" s="165"/>
      <c r="F403" s="165"/>
      <c r="G403" s="165"/>
      <c r="H403" s="165"/>
      <c r="I403" s="165"/>
      <c r="J403" s="165"/>
      <c r="K403" s="165"/>
      <c r="L403" s="165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  <c r="AA403" s="165"/>
      <c r="AB403" s="165"/>
      <c r="AC403" s="165"/>
      <c r="AD403" s="165"/>
      <c r="AE403" s="165"/>
      <c r="AF403" s="165"/>
      <c r="AG403" s="165"/>
      <c r="AH403" s="165"/>
      <c r="AI403" s="165"/>
      <c r="AJ403" s="165"/>
      <c r="AK403" s="165"/>
      <c r="AL403" s="165"/>
      <c r="AM403" s="165"/>
      <c r="AN403" s="165"/>
      <c r="AO403" s="165"/>
      <c r="AP403" s="165"/>
      <c r="AQ403" s="165"/>
      <c r="AR403" s="165"/>
      <c r="AS403" s="165"/>
      <c r="AT403" s="165"/>
      <c r="AU403" s="165"/>
      <c r="AV403" s="165"/>
      <c r="AW403" s="165"/>
      <c r="AX403" s="165"/>
    </row>
    <row r="404" ht="15.75" customHeight="1">
      <c r="A404" s="165"/>
      <c r="B404" s="165"/>
      <c r="C404" s="165"/>
      <c r="D404" s="165"/>
      <c r="E404" s="165"/>
      <c r="F404" s="165"/>
      <c r="G404" s="165"/>
      <c r="H404" s="165"/>
      <c r="I404" s="165"/>
      <c r="J404" s="165"/>
      <c r="K404" s="165"/>
      <c r="L404" s="165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  <c r="AA404" s="165"/>
      <c r="AB404" s="165"/>
      <c r="AC404" s="165"/>
      <c r="AD404" s="165"/>
      <c r="AE404" s="165"/>
      <c r="AF404" s="165"/>
      <c r="AG404" s="165"/>
      <c r="AH404" s="165"/>
      <c r="AI404" s="165"/>
      <c r="AJ404" s="165"/>
      <c r="AK404" s="165"/>
      <c r="AL404" s="165"/>
      <c r="AM404" s="165"/>
      <c r="AN404" s="165"/>
      <c r="AO404" s="165"/>
      <c r="AP404" s="165"/>
      <c r="AQ404" s="165"/>
      <c r="AR404" s="165"/>
      <c r="AS404" s="165"/>
      <c r="AT404" s="165"/>
      <c r="AU404" s="165"/>
      <c r="AV404" s="165"/>
      <c r="AW404" s="165"/>
      <c r="AX404" s="165"/>
    </row>
    <row r="405" ht="15.75" customHeight="1">
      <c r="A405" s="165"/>
      <c r="B405" s="165"/>
      <c r="C405" s="165"/>
      <c r="D405" s="165"/>
      <c r="E405" s="165"/>
      <c r="F405" s="165"/>
      <c r="G405" s="165"/>
      <c r="H405" s="165"/>
      <c r="I405" s="165"/>
      <c r="J405" s="165"/>
      <c r="K405" s="165"/>
      <c r="L405" s="165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  <c r="AA405" s="165"/>
      <c r="AB405" s="165"/>
      <c r="AC405" s="165"/>
      <c r="AD405" s="165"/>
      <c r="AE405" s="165"/>
      <c r="AF405" s="165"/>
      <c r="AG405" s="165"/>
      <c r="AH405" s="165"/>
      <c r="AI405" s="165"/>
      <c r="AJ405" s="165"/>
      <c r="AK405" s="165"/>
      <c r="AL405" s="165"/>
      <c r="AM405" s="165"/>
      <c r="AN405" s="165"/>
      <c r="AO405" s="165"/>
      <c r="AP405" s="165"/>
      <c r="AQ405" s="165"/>
      <c r="AR405" s="165"/>
      <c r="AS405" s="165"/>
      <c r="AT405" s="165"/>
      <c r="AU405" s="165"/>
      <c r="AV405" s="165"/>
      <c r="AW405" s="165"/>
      <c r="AX405" s="165"/>
    </row>
    <row r="406" ht="15.75" customHeight="1">
      <c r="A406" s="165"/>
      <c r="B406" s="165"/>
      <c r="C406" s="165"/>
      <c r="D406" s="165"/>
      <c r="E406" s="165"/>
      <c r="F406" s="165"/>
      <c r="G406" s="165"/>
      <c r="H406" s="165"/>
      <c r="I406" s="165"/>
      <c r="J406" s="165"/>
      <c r="K406" s="165"/>
      <c r="L406" s="165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  <c r="AA406" s="165"/>
      <c r="AB406" s="165"/>
      <c r="AC406" s="165"/>
      <c r="AD406" s="165"/>
      <c r="AE406" s="165"/>
      <c r="AF406" s="165"/>
      <c r="AG406" s="165"/>
      <c r="AH406" s="165"/>
      <c r="AI406" s="165"/>
      <c r="AJ406" s="165"/>
      <c r="AK406" s="165"/>
      <c r="AL406" s="165"/>
      <c r="AM406" s="165"/>
      <c r="AN406" s="165"/>
      <c r="AO406" s="165"/>
      <c r="AP406" s="165"/>
      <c r="AQ406" s="165"/>
      <c r="AR406" s="165"/>
      <c r="AS406" s="165"/>
      <c r="AT406" s="165"/>
      <c r="AU406" s="165"/>
      <c r="AV406" s="165"/>
      <c r="AW406" s="165"/>
      <c r="AX406" s="165"/>
    </row>
    <row r="407" ht="15.75" customHeight="1">
      <c r="A407" s="165"/>
      <c r="B407" s="165"/>
      <c r="C407" s="165"/>
      <c r="D407" s="165"/>
      <c r="E407" s="165"/>
      <c r="F407" s="165"/>
      <c r="G407" s="165"/>
      <c r="H407" s="165"/>
      <c r="I407" s="165"/>
      <c r="J407" s="165"/>
      <c r="K407" s="165"/>
      <c r="L407" s="165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  <c r="AA407" s="165"/>
      <c r="AB407" s="165"/>
      <c r="AC407" s="165"/>
      <c r="AD407" s="165"/>
      <c r="AE407" s="165"/>
      <c r="AF407" s="165"/>
      <c r="AG407" s="165"/>
      <c r="AH407" s="165"/>
      <c r="AI407" s="165"/>
      <c r="AJ407" s="165"/>
      <c r="AK407" s="165"/>
      <c r="AL407" s="165"/>
      <c r="AM407" s="165"/>
      <c r="AN407" s="165"/>
      <c r="AO407" s="165"/>
      <c r="AP407" s="165"/>
      <c r="AQ407" s="165"/>
      <c r="AR407" s="165"/>
      <c r="AS407" s="165"/>
      <c r="AT407" s="165"/>
      <c r="AU407" s="165"/>
      <c r="AV407" s="165"/>
      <c r="AW407" s="165"/>
      <c r="AX407" s="165"/>
    </row>
    <row r="408" ht="15.75" customHeight="1">
      <c r="A408" s="165"/>
      <c r="B408" s="165"/>
      <c r="C408" s="165"/>
      <c r="D408" s="165"/>
      <c r="E408" s="165"/>
      <c r="F408" s="165"/>
      <c r="G408" s="165"/>
      <c r="H408" s="165"/>
      <c r="I408" s="165"/>
      <c r="J408" s="165"/>
      <c r="K408" s="165"/>
      <c r="L408" s="165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  <c r="AA408" s="165"/>
      <c r="AB408" s="165"/>
      <c r="AC408" s="165"/>
      <c r="AD408" s="165"/>
      <c r="AE408" s="165"/>
      <c r="AF408" s="165"/>
      <c r="AG408" s="165"/>
      <c r="AH408" s="165"/>
      <c r="AI408" s="165"/>
      <c r="AJ408" s="165"/>
      <c r="AK408" s="165"/>
      <c r="AL408" s="165"/>
      <c r="AM408" s="165"/>
      <c r="AN408" s="165"/>
      <c r="AO408" s="165"/>
      <c r="AP408" s="165"/>
      <c r="AQ408" s="165"/>
      <c r="AR408" s="165"/>
      <c r="AS408" s="165"/>
      <c r="AT408" s="165"/>
      <c r="AU408" s="165"/>
      <c r="AV408" s="165"/>
      <c r="AW408" s="165"/>
      <c r="AX408" s="165"/>
    </row>
    <row r="409" ht="15.75" customHeight="1">
      <c r="A409" s="165"/>
      <c r="B409" s="165"/>
      <c r="C409" s="165"/>
      <c r="D409" s="165"/>
      <c r="E409" s="165"/>
      <c r="F409" s="165"/>
      <c r="G409" s="165"/>
      <c r="H409" s="165"/>
      <c r="I409" s="165"/>
      <c r="J409" s="165"/>
      <c r="K409" s="165"/>
      <c r="L409" s="165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  <c r="AA409" s="165"/>
      <c r="AB409" s="165"/>
      <c r="AC409" s="165"/>
      <c r="AD409" s="165"/>
      <c r="AE409" s="165"/>
      <c r="AF409" s="165"/>
      <c r="AG409" s="165"/>
      <c r="AH409" s="165"/>
      <c r="AI409" s="165"/>
      <c r="AJ409" s="165"/>
      <c r="AK409" s="165"/>
      <c r="AL409" s="165"/>
      <c r="AM409" s="165"/>
      <c r="AN409" s="165"/>
      <c r="AO409" s="165"/>
      <c r="AP409" s="165"/>
      <c r="AQ409" s="165"/>
      <c r="AR409" s="165"/>
      <c r="AS409" s="165"/>
      <c r="AT409" s="165"/>
      <c r="AU409" s="165"/>
      <c r="AV409" s="165"/>
      <c r="AW409" s="165"/>
      <c r="AX409" s="165"/>
    </row>
    <row r="410" ht="15.75" customHeight="1">
      <c r="A410" s="165"/>
      <c r="B410" s="165"/>
      <c r="C410" s="165"/>
      <c r="D410" s="165"/>
      <c r="E410" s="165"/>
      <c r="F410" s="165"/>
      <c r="G410" s="165"/>
      <c r="H410" s="165"/>
      <c r="I410" s="165"/>
      <c r="J410" s="165"/>
      <c r="K410" s="165"/>
      <c r="L410" s="165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  <c r="AA410" s="165"/>
      <c r="AB410" s="165"/>
      <c r="AC410" s="165"/>
      <c r="AD410" s="165"/>
      <c r="AE410" s="165"/>
      <c r="AF410" s="165"/>
      <c r="AG410" s="165"/>
      <c r="AH410" s="165"/>
      <c r="AI410" s="165"/>
      <c r="AJ410" s="165"/>
      <c r="AK410" s="165"/>
      <c r="AL410" s="165"/>
      <c r="AM410" s="165"/>
      <c r="AN410" s="165"/>
      <c r="AO410" s="165"/>
      <c r="AP410" s="165"/>
      <c r="AQ410" s="165"/>
      <c r="AR410" s="165"/>
      <c r="AS410" s="165"/>
      <c r="AT410" s="165"/>
      <c r="AU410" s="165"/>
      <c r="AV410" s="165"/>
      <c r="AW410" s="165"/>
      <c r="AX410" s="165"/>
    </row>
    <row r="411" ht="15.75" customHeight="1">
      <c r="A411" s="165"/>
      <c r="B411" s="165"/>
      <c r="C411" s="165"/>
      <c r="D411" s="165"/>
      <c r="E411" s="165"/>
      <c r="F411" s="165"/>
      <c r="G411" s="165"/>
      <c r="H411" s="165"/>
      <c r="I411" s="165"/>
      <c r="J411" s="165"/>
      <c r="K411" s="165"/>
      <c r="L411" s="165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  <c r="AA411" s="165"/>
      <c r="AB411" s="165"/>
      <c r="AC411" s="165"/>
      <c r="AD411" s="165"/>
      <c r="AE411" s="165"/>
      <c r="AF411" s="165"/>
      <c r="AG411" s="165"/>
      <c r="AH411" s="165"/>
      <c r="AI411" s="165"/>
      <c r="AJ411" s="165"/>
      <c r="AK411" s="165"/>
      <c r="AL411" s="165"/>
      <c r="AM411" s="165"/>
      <c r="AN411" s="165"/>
      <c r="AO411" s="165"/>
      <c r="AP411" s="165"/>
      <c r="AQ411" s="165"/>
      <c r="AR411" s="165"/>
      <c r="AS411" s="165"/>
      <c r="AT411" s="165"/>
      <c r="AU411" s="165"/>
      <c r="AV411" s="165"/>
      <c r="AW411" s="165"/>
      <c r="AX411" s="165"/>
    </row>
    <row r="412" ht="15.75" customHeight="1">
      <c r="A412" s="165"/>
      <c r="B412" s="165"/>
      <c r="C412" s="165"/>
      <c r="D412" s="165"/>
      <c r="E412" s="165"/>
      <c r="F412" s="165"/>
      <c r="G412" s="165"/>
      <c r="H412" s="165"/>
      <c r="I412" s="165"/>
      <c r="J412" s="165"/>
      <c r="K412" s="165"/>
      <c r="L412" s="165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  <c r="AA412" s="165"/>
      <c r="AB412" s="165"/>
      <c r="AC412" s="165"/>
      <c r="AD412" s="165"/>
      <c r="AE412" s="165"/>
      <c r="AF412" s="165"/>
      <c r="AG412" s="165"/>
      <c r="AH412" s="165"/>
      <c r="AI412" s="165"/>
      <c r="AJ412" s="165"/>
      <c r="AK412" s="165"/>
      <c r="AL412" s="165"/>
      <c r="AM412" s="165"/>
      <c r="AN412" s="165"/>
      <c r="AO412" s="165"/>
      <c r="AP412" s="165"/>
      <c r="AQ412" s="165"/>
      <c r="AR412" s="165"/>
      <c r="AS412" s="165"/>
      <c r="AT412" s="165"/>
      <c r="AU412" s="165"/>
      <c r="AV412" s="165"/>
      <c r="AW412" s="165"/>
      <c r="AX412" s="165"/>
    </row>
    <row r="413" ht="15.75" customHeight="1">
      <c r="A413" s="165"/>
      <c r="B413" s="165"/>
      <c r="C413" s="165"/>
      <c r="D413" s="165"/>
      <c r="E413" s="165"/>
      <c r="F413" s="165"/>
      <c r="G413" s="165"/>
      <c r="H413" s="165"/>
      <c r="I413" s="165"/>
      <c r="J413" s="165"/>
      <c r="K413" s="165"/>
      <c r="L413" s="165"/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  <c r="AA413" s="165"/>
      <c r="AB413" s="165"/>
      <c r="AC413" s="165"/>
      <c r="AD413" s="165"/>
      <c r="AE413" s="165"/>
      <c r="AF413" s="165"/>
      <c r="AG413" s="165"/>
      <c r="AH413" s="165"/>
      <c r="AI413" s="165"/>
      <c r="AJ413" s="165"/>
      <c r="AK413" s="165"/>
      <c r="AL413" s="165"/>
      <c r="AM413" s="165"/>
      <c r="AN413" s="165"/>
      <c r="AO413" s="165"/>
      <c r="AP413" s="165"/>
      <c r="AQ413" s="165"/>
      <c r="AR413" s="165"/>
      <c r="AS413" s="165"/>
      <c r="AT413" s="165"/>
      <c r="AU413" s="165"/>
      <c r="AV413" s="165"/>
      <c r="AW413" s="165"/>
      <c r="AX413" s="165"/>
    </row>
    <row r="414" ht="15.75" customHeight="1">
      <c r="A414" s="165"/>
      <c r="B414" s="165"/>
      <c r="C414" s="165"/>
      <c r="D414" s="165"/>
      <c r="E414" s="165"/>
      <c r="F414" s="165"/>
      <c r="G414" s="165"/>
      <c r="H414" s="165"/>
      <c r="I414" s="165"/>
      <c r="J414" s="165"/>
      <c r="K414" s="165"/>
      <c r="L414" s="165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  <c r="AA414" s="165"/>
      <c r="AB414" s="165"/>
      <c r="AC414" s="165"/>
      <c r="AD414" s="165"/>
      <c r="AE414" s="165"/>
      <c r="AF414" s="165"/>
      <c r="AG414" s="165"/>
      <c r="AH414" s="165"/>
      <c r="AI414" s="165"/>
      <c r="AJ414" s="165"/>
      <c r="AK414" s="165"/>
      <c r="AL414" s="165"/>
      <c r="AM414" s="165"/>
      <c r="AN414" s="165"/>
      <c r="AO414" s="165"/>
      <c r="AP414" s="165"/>
      <c r="AQ414" s="165"/>
      <c r="AR414" s="165"/>
      <c r="AS414" s="165"/>
      <c r="AT414" s="165"/>
      <c r="AU414" s="165"/>
      <c r="AV414" s="165"/>
      <c r="AW414" s="165"/>
      <c r="AX414" s="165"/>
    </row>
    <row r="415" ht="15.75" customHeight="1">
      <c r="A415" s="165"/>
      <c r="B415" s="165"/>
      <c r="C415" s="165"/>
      <c r="D415" s="165"/>
      <c r="E415" s="165"/>
      <c r="F415" s="165"/>
      <c r="G415" s="165"/>
      <c r="H415" s="165"/>
      <c r="I415" s="165"/>
      <c r="J415" s="165"/>
      <c r="K415" s="165"/>
      <c r="L415" s="165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  <c r="AA415" s="165"/>
      <c r="AB415" s="165"/>
      <c r="AC415" s="165"/>
      <c r="AD415" s="165"/>
      <c r="AE415" s="165"/>
      <c r="AF415" s="165"/>
      <c r="AG415" s="165"/>
      <c r="AH415" s="165"/>
      <c r="AI415" s="165"/>
      <c r="AJ415" s="165"/>
      <c r="AK415" s="165"/>
      <c r="AL415" s="165"/>
      <c r="AM415" s="165"/>
      <c r="AN415" s="165"/>
      <c r="AO415" s="165"/>
      <c r="AP415" s="165"/>
      <c r="AQ415" s="165"/>
      <c r="AR415" s="165"/>
      <c r="AS415" s="165"/>
      <c r="AT415" s="165"/>
      <c r="AU415" s="165"/>
      <c r="AV415" s="165"/>
      <c r="AW415" s="165"/>
      <c r="AX415" s="165"/>
    </row>
    <row r="416" ht="15.75" customHeight="1">
      <c r="A416" s="165"/>
      <c r="B416" s="165"/>
      <c r="C416" s="165"/>
      <c r="D416" s="165"/>
      <c r="E416" s="165"/>
      <c r="F416" s="165"/>
      <c r="G416" s="165"/>
      <c r="H416" s="165"/>
      <c r="I416" s="165"/>
      <c r="J416" s="165"/>
      <c r="K416" s="165"/>
      <c r="L416" s="165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  <c r="AA416" s="165"/>
      <c r="AB416" s="165"/>
      <c r="AC416" s="165"/>
      <c r="AD416" s="165"/>
      <c r="AE416" s="165"/>
      <c r="AF416" s="165"/>
      <c r="AG416" s="165"/>
      <c r="AH416" s="165"/>
      <c r="AI416" s="165"/>
      <c r="AJ416" s="165"/>
      <c r="AK416" s="165"/>
      <c r="AL416" s="165"/>
      <c r="AM416" s="165"/>
      <c r="AN416" s="165"/>
      <c r="AO416" s="165"/>
      <c r="AP416" s="165"/>
      <c r="AQ416" s="165"/>
      <c r="AR416" s="165"/>
      <c r="AS416" s="165"/>
      <c r="AT416" s="165"/>
      <c r="AU416" s="165"/>
      <c r="AV416" s="165"/>
      <c r="AW416" s="165"/>
      <c r="AX416" s="165"/>
    </row>
    <row r="417" ht="15.75" customHeight="1">
      <c r="A417" s="165"/>
      <c r="B417" s="165"/>
      <c r="C417" s="165"/>
      <c r="D417" s="165"/>
      <c r="E417" s="165"/>
      <c r="F417" s="165"/>
      <c r="G417" s="165"/>
      <c r="H417" s="165"/>
      <c r="I417" s="165"/>
      <c r="J417" s="165"/>
      <c r="K417" s="165"/>
      <c r="L417" s="165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  <c r="AA417" s="165"/>
      <c r="AB417" s="165"/>
      <c r="AC417" s="165"/>
      <c r="AD417" s="165"/>
      <c r="AE417" s="165"/>
      <c r="AF417" s="165"/>
      <c r="AG417" s="165"/>
      <c r="AH417" s="165"/>
      <c r="AI417" s="165"/>
      <c r="AJ417" s="165"/>
      <c r="AK417" s="165"/>
      <c r="AL417" s="165"/>
      <c r="AM417" s="165"/>
      <c r="AN417" s="165"/>
      <c r="AO417" s="165"/>
      <c r="AP417" s="165"/>
      <c r="AQ417" s="165"/>
      <c r="AR417" s="165"/>
      <c r="AS417" s="165"/>
      <c r="AT417" s="165"/>
      <c r="AU417" s="165"/>
      <c r="AV417" s="165"/>
      <c r="AW417" s="165"/>
      <c r="AX417" s="165"/>
    </row>
    <row r="418" ht="15.75" customHeight="1">
      <c r="A418" s="165"/>
      <c r="B418" s="165"/>
      <c r="C418" s="165"/>
      <c r="D418" s="165"/>
      <c r="E418" s="165"/>
      <c r="F418" s="165"/>
      <c r="G418" s="165"/>
      <c r="H418" s="165"/>
      <c r="I418" s="165"/>
      <c r="J418" s="165"/>
      <c r="K418" s="165"/>
      <c r="L418" s="165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  <c r="AI418" s="165"/>
      <c r="AJ418" s="165"/>
      <c r="AK418" s="165"/>
      <c r="AL418" s="165"/>
      <c r="AM418" s="165"/>
      <c r="AN418" s="165"/>
      <c r="AO418" s="165"/>
      <c r="AP418" s="165"/>
      <c r="AQ418" s="165"/>
      <c r="AR418" s="165"/>
      <c r="AS418" s="165"/>
      <c r="AT418" s="165"/>
      <c r="AU418" s="165"/>
      <c r="AV418" s="165"/>
      <c r="AW418" s="165"/>
      <c r="AX418" s="165"/>
    </row>
    <row r="419" ht="15.75" customHeight="1">
      <c r="A419" s="165"/>
      <c r="B419" s="165"/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  <c r="AI419" s="165"/>
      <c r="AJ419" s="165"/>
      <c r="AK419" s="165"/>
      <c r="AL419" s="165"/>
      <c r="AM419" s="165"/>
      <c r="AN419" s="165"/>
      <c r="AO419" s="165"/>
      <c r="AP419" s="165"/>
      <c r="AQ419" s="165"/>
      <c r="AR419" s="165"/>
      <c r="AS419" s="165"/>
      <c r="AT419" s="165"/>
      <c r="AU419" s="165"/>
      <c r="AV419" s="165"/>
      <c r="AW419" s="165"/>
      <c r="AX419" s="165"/>
    </row>
    <row r="420" ht="15.75" customHeight="1">
      <c r="A420" s="165"/>
      <c r="B420" s="165"/>
      <c r="C420" s="165"/>
      <c r="D420" s="165"/>
      <c r="E420" s="165"/>
      <c r="F420" s="165"/>
      <c r="G420" s="165"/>
      <c r="H420" s="165"/>
      <c r="I420" s="165"/>
      <c r="J420" s="165"/>
      <c r="K420" s="165"/>
      <c r="L420" s="165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  <c r="AA420" s="165"/>
      <c r="AB420" s="165"/>
      <c r="AC420" s="165"/>
      <c r="AD420" s="165"/>
      <c r="AE420" s="165"/>
      <c r="AF420" s="165"/>
      <c r="AG420" s="165"/>
      <c r="AH420" s="165"/>
      <c r="AI420" s="165"/>
      <c r="AJ420" s="165"/>
      <c r="AK420" s="165"/>
      <c r="AL420" s="165"/>
      <c r="AM420" s="165"/>
      <c r="AN420" s="165"/>
      <c r="AO420" s="165"/>
      <c r="AP420" s="165"/>
      <c r="AQ420" s="165"/>
      <c r="AR420" s="165"/>
      <c r="AS420" s="165"/>
      <c r="AT420" s="165"/>
      <c r="AU420" s="165"/>
      <c r="AV420" s="165"/>
      <c r="AW420" s="165"/>
      <c r="AX420" s="165"/>
    </row>
    <row r="421" ht="15.75" customHeight="1">
      <c r="A421" s="165"/>
      <c r="B421" s="165"/>
      <c r="C421" s="165"/>
      <c r="D421" s="165"/>
      <c r="E421" s="165"/>
      <c r="F421" s="165"/>
      <c r="G421" s="165"/>
      <c r="H421" s="165"/>
      <c r="I421" s="165"/>
      <c r="J421" s="165"/>
      <c r="K421" s="165"/>
      <c r="L421" s="165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  <c r="AA421" s="165"/>
      <c r="AB421" s="165"/>
      <c r="AC421" s="165"/>
      <c r="AD421" s="165"/>
      <c r="AE421" s="165"/>
      <c r="AF421" s="165"/>
      <c r="AG421" s="165"/>
      <c r="AH421" s="165"/>
      <c r="AI421" s="165"/>
      <c r="AJ421" s="165"/>
      <c r="AK421" s="165"/>
      <c r="AL421" s="165"/>
      <c r="AM421" s="165"/>
      <c r="AN421" s="165"/>
      <c r="AO421" s="165"/>
      <c r="AP421" s="165"/>
      <c r="AQ421" s="165"/>
      <c r="AR421" s="165"/>
      <c r="AS421" s="165"/>
      <c r="AT421" s="165"/>
      <c r="AU421" s="165"/>
      <c r="AV421" s="165"/>
      <c r="AW421" s="165"/>
      <c r="AX421" s="165"/>
    </row>
    <row r="422" ht="15.75" customHeight="1">
      <c r="A422" s="165"/>
      <c r="B422" s="165"/>
      <c r="C422" s="165"/>
      <c r="D422" s="165"/>
      <c r="E422" s="165"/>
      <c r="F422" s="165"/>
      <c r="G422" s="165"/>
      <c r="H422" s="165"/>
      <c r="I422" s="165"/>
      <c r="J422" s="165"/>
      <c r="K422" s="165"/>
      <c r="L422" s="165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  <c r="AA422" s="165"/>
      <c r="AB422" s="165"/>
      <c r="AC422" s="165"/>
      <c r="AD422" s="165"/>
      <c r="AE422" s="165"/>
      <c r="AF422" s="165"/>
      <c r="AG422" s="165"/>
      <c r="AH422" s="165"/>
      <c r="AI422" s="165"/>
      <c r="AJ422" s="165"/>
      <c r="AK422" s="165"/>
      <c r="AL422" s="165"/>
      <c r="AM422" s="165"/>
      <c r="AN422" s="165"/>
      <c r="AO422" s="165"/>
      <c r="AP422" s="165"/>
      <c r="AQ422" s="165"/>
      <c r="AR422" s="165"/>
      <c r="AS422" s="165"/>
      <c r="AT422" s="165"/>
      <c r="AU422" s="165"/>
      <c r="AV422" s="165"/>
      <c r="AW422" s="165"/>
      <c r="AX422" s="165"/>
    </row>
    <row r="423" ht="15.75" customHeight="1">
      <c r="A423" s="165"/>
      <c r="B423" s="165"/>
      <c r="C423" s="165"/>
      <c r="D423" s="165"/>
      <c r="E423" s="165"/>
      <c r="F423" s="165"/>
      <c r="G423" s="165"/>
      <c r="H423" s="165"/>
      <c r="I423" s="165"/>
      <c r="J423" s="165"/>
      <c r="K423" s="165"/>
      <c r="L423" s="165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  <c r="AA423" s="165"/>
      <c r="AB423" s="165"/>
      <c r="AC423" s="165"/>
      <c r="AD423" s="165"/>
      <c r="AE423" s="165"/>
      <c r="AF423" s="165"/>
      <c r="AG423" s="165"/>
      <c r="AH423" s="165"/>
      <c r="AI423" s="165"/>
      <c r="AJ423" s="165"/>
      <c r="AK423" s="165"/>
      <c r="AL423" s="165"/>
      <c r="AM423" s="165"/>
      <c r="AN423" s="165"/>
      <c r="AO423" s="165"/>
      <c r="AP423" s="165"/>
      <c r="AQ423" s="165"/>
      <c r="AR423" s="165"/>
      <c r="AS423" s="165"/>
      <c r="AT423" s="165"/>
      <c r="AU423" s="165"/>
      <c r="AV423" s="165"/>
      <c r="AW423" s="165"/>
      <c r="AX423" s="165"/>
    </row>
    <row r="424" ht="15.75" customHeight="1">
      <c r="A424" s="165"/>
      <c r="B424" s="165"/>
      <c r="C424" s="165"/>
      <c r="D424" s="165"/>
      <c r="E424" s="165"/>
      <c r="F424" s="165"/>
      <c r="G424" s="165"/>
      <c r="H424" s="165"/>
      <c r="I424" s="165"/>
      <c r="J424" s="165"/>
      <c r="K424" s="165"/>
      <c r="L424" s="165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  <c r="AA424" s="165"/>
      <c r="AB424" s="165"/>
      <c r="AC424" s="165"/>
      <c r="AD424" s="165"/>
      <c r="AE424" s="165"/>
      <c r="AF424" s="165"/>
      <c r="AG424" s="165"/>
      <c r="AH424" s="165"/>
      <c r="AI424" s="165"/>
      <c r="AJ424" s="165"/>
      <c r="AK424" s="165"/>
      <c r="AL424" s="165"/>
      <c r="AM424" s="165"/>
      <c r="AN424" s="165"/>
      <c r="AO424" s="165"/>
      <c r="AP424" s="165"/>
      <c r="AQ424" s="165"/>
      <c r="AR424" s="165"/>
      <c r="AS424" s="165"/>
      <c r="AT424" s="165"/>
      <c r="AU424" s="165"/>
      <c r="AV424" s="165"/>
      <c r="AW424" s="165"/>
      <c r="AX424" s="165"/>
    </row>
    <row r="425" ht="15.75" customHeight="1">
      <c r="A425" s="165"/>
      <c r="B425" s="165"/>
      <c r="C425" s="165"/>
      <c r="D425" s="165"/>
      <c r="E425" s="165"/>
      <c r="F425" s="165"/>
      <c r="G425" s="165"/>
      <c r="H425" s="165"/>
      <c r="I425" s="165"/>
      <c r="J425" s="165"/>
      <c r="K425" s="165"/>
      <c r="L425" s="165"/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  <c r="AA425" s="165"/>
      <c r="AB425" s="165"/>
      <c r="AC425" s="165"/>
      <c r="AD425" s="165"/>
      <c r="AE425" s="165"/>
      <c r="AF425" s="165"/>
      <c r="AG425" s="165"/>
      <c r="AH425" s="165"/>
      <c r="AI425" s="165"/>
      <c r="AJ425" s="165"/>
      <c r="AK425" s="165"/>
      <c r="AL425" s="165"/>
      <c r="AM425" s="165"/>
      <c r="AN425" s="165"/>
      <c r="AO425" s="165"/>
      <c r="AP425" s="165"/>
      <c r="AQ425" s="165"/>
      <c r="AR425" s="165"/>
      <c r="AS425" s="165"/>
      <c r="AT425" s="165"/>
      <c r="AU425" s="165"/>
      <c r="AV425" s="165"/>
      <c r="AW425" s="165"/>
      <c r="AX425" s="165"/>
    </row>
    <row r="426" ht="15.75" customHeight="1">
      <c r="A426" s="165"/>
      <c r="B426" s="165"/>
      <c r="C426" s="165"/>
      <c r="D426" s="165"/>
      <c r="E426" s="165"/>
      <c r="F426" s="165"/>
      <c r="G426" s="165"/>
      <c r="H426" s="165"/>
      <c r="I426" s="165"/>
      <c r="J426" s="165"/>
      <c r="K426" s="165"/>
      <c r="L426" s="165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  <c r="AA426" s="165"/>
      <c r="AB426" s="165"/>
      <c r="AC426" s="165"/>
      <c r="AD426" s="165"/>
      <c r="AE426" s="165"/>
      <c r="AF426" s="165"/>
      <c r="AG426" s="165"/>
      <c r="AH426" s="165"/>
      <c r="AI426" s="165"/>
      <c r="AJ426" s="165"/>
      <c r="AK426" s="165"/>
      <c r="AL426" s="165"/>
      <c r="AM426" s="165"/>
      <c r="AN426" s="165"/>
      <c r="AO426" s="165"/>
      <c r="AP426" s="165"/>
      <c r="AQ426" s="165"/>
      <c r="AR426" s="165"/>
      <c r="AS426" s="165"/>
      <c r="AT426" s="165"/>
      <c r="AU426" s="165"/>
      <c r="AV426" s="165"/>
      <c r="AW426" s="165"/>
      <c r="AX426" s="165"/>
    </row>
    <row r="427" ht="15.75" customHeight="1">
      <c r="A427" s="165"/>
      <c r="B427" s="165"/>
      <c r="C427" s="165"/>
      <c r="D427" s="165"/>
      <c r="E427" s="165"/>
      <c r="F427" s="165"/>
      <c r="G427" s="165"/>
      <c r="H427" s="165"/>
      <c r="I427" s="165"/>
      <c r="J427" s="165"/>
      <c r="K427" s="165"/>
      <c r="L427" s="165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  <c r="AA427" s="165"/>
      <c r="AB427" s="165"/>
      <c r="AC427" s="165"/>
      <c r="AD427" s="165"/>
      <c r="AE427" s="165"/>
      <c r="AF427" s="165"/>
      <c r="AG427" s="165"/>
      <c r="AH427" s="165"/>
      <c r="AI427" s="165"/>
      <c r="AJ427" s="165"/>
      <c r="AK427" s="165"/>
      <c r="AL427" s="165"/>
      <c r="AM427" s="165"/>
      <c r="AN427" s="165"/>
      <c r="AO427" s="165"/>
      <c r="AP427" s="165"/>
      <c r="AQ427" s="165"/>
      <c r="AR427" s="165"/>
      <c r="AS427" s="165"/>
      <c r="AT427" s="165"/>
      <c r="AU427" s="165"/>
      <c r="AV427" s="165"/>
      <c r="AW427" s="165"/>
      <c r="AX427" s="165"/>
    </row>
    <row r="428" ht="15.75" customHeight="1">
      <c r="A428" s="165"/>
      <c r="B428" s="165"/>
      <c r="C428" s="165"/>
      <c r="D428" s="165"/>
      <c r="E428" s="165"/>
      <c r="F428" s="165"/>
      <c r="G428" s="165"/>
      <c r="H428" s="165"/>
      <c r="I428" s="165"/>
      <c r="J428" s="165"/>
      <c r="K428" s="165"/>
      <c r="L428" s="165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  <c r="AA428" s="165"/>
      <c r="AB428" s="165"/>
      <c r="AC428" s="165"/>
      <c r="AD428" s="165"/>
      <c r="AE428" s="165"/>
      <c r="AF428" s="165"/>
      <c r="AG428" s="165"/>
      <c r="AH428" s="165"/>
      <c r="AI428" s="165"/>
      <c r="AJ428" s="165"/>
      <c r="AK428" s="165"/>
      <c r="AL428" s="165"/>
      <c r="AM428" s="165"/>
      <c r="AN428" s="165"/>
      <c r="AO428" s="165"/>
      <c r="AP428" s="165"/>
      <c r="AQ428" s="165"/>
      <c r="AR428" s="165"/>
      <c r="AS428" s="165"/>
      <c r="AT428" s="165"/>
      <c r="AU428" s="165"/>
      <c r="AV428" s="165"/>
      <c r="AW428" s="165"/>
      <c r="AX428" s="165"/>
    </row>
    <row r="429" ht="15.75" customHeight="1">
      <c r="A429" s="165"/>
      <c r="B429" s="165"/>
      <c r="C429" s="165"/>
      <c r="D429" s="165"/>
      <c r="E429" s="165"/>
      <c r="F429" s="165"/>
      <c r="G429" s="165"/>
      <c r="H429" s="165"/>
      <c r="I429" s="165"/>
      <c r="J429" s="165"/>
      <c r="K429" s="165"/>
      <c r="L429" s="165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  <c r="AA429" s="165"/>
      <c r="AB429" s="165"/>
      <c r="AC429" s="165"/>
      <c r="AD429" s="165"/>
      <c r="AE429" s="165"/>
      <c r="AF429" s="165"/>
      <c r="AG429" s="165"/>
      <c r="AH429" s="165"/>
      <c r="AI429" s="165"/>
      <c r="AJ429" s="165"/>
      <c r="AK429" s="165"/>
      <c r="AL429" s="165"/>
      <c r="AM429" s="165"/>
      <c r="AN429" s="165"/>
      <c r="AO429" s="165"/>
      <c r="AP429" s="165"/>
      <c r="AQ429" s="165"/>
      <c r="AR429" s="165"/>
      <c r="AS429" s="165"/>
      <c r="AT429" s="165"/>
      <c r="AU429" s="165"/>
      <c r="AV429" s="165"/>
      <c r="AW429" s="165"/>
      <c r="AX429" s="165"/>
    </row>
    <row r="430" ht="15.75" customHeight="1">
      <c r="A430" s="165"/>
      <c r="B430" s="165"/>
      <c r="C430" s="165"/>
      <c r="D430" s="165"/>
      <c r="E430" s="165"/>
      <c r="F430" s="165"/>
      <c r="G430" s="165"/>
      <c r="H430" s="165"/>
      <c r="I430" s="165"/>
      <c r="J430" s="165"/>
      <c r="K430" s="165"/>
      <c r="L430" s="165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  <c r="AA430" s="165"/>
      <c r="AB430" s="165"/>
      <c r="AC430" s="165"/>
      <c r="AD430" s="165"/>
      <c r="AE430" s="165"/>
      <c r="AF430" s="165"/>
      <c r="AG430" s="165"/>
      <c r="AH430" s="165"/>
      <c r="AI430" s="165"/>
      <c r="AJ430" s="165"/>
      <c r="AK430" s="165"/>
      <c r="AL430" s="165"/>
      <c r="AM430" s="165"/>
      <c r="AN430" s="165"/>
      <c r="AO430" s="165"/>
      <c r="AP430" s="165"/>
      <c r="AQ430" s="165"/>
      <c r="AR430" s="165"/>
      <c r="AS430" s="165"/>
      <c r="AT430" s="165"/>
      <c r="AU430" s="165"/>
      <c r="AV430" s="165"/>
      <c r="AW430" s="165"/>
      <c r="AX430" s="165"/>
    </row>
    <row r="431" ht="15.75" customHeight="1">
      <c r="A431" s="165"/>
      <c r="B431" s="165"/>
      <c r="C431" s="165"/>
      <c r="D431" s="165"/>
      <c r="E431" s="165"/>
      <c r="F431" s="165"/>
      <c r="G431" s="165"/>
      <c r="H431" s="165"/>
      <c r="I431" s="165"/>
      <c r="J431" s="165"/>
      <c r="K431" s="165"/>
      <c r="L431" s="165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  <c r="AA431" s="165"/>
      <c r="AB431" s="165"/>
      <c r="AC431" s="165"/>
      <c r="AD431" s="165"/>
      <c r="AE431" s="165"/>
      <c r="AF431" s="165"/>
      <c r="AG431" s="165"/>
      <c r="AH431" s="165"/>
      <c r="AI431" s="165"/>
      <c r="AJ431" s="165"/>
      <c r="AK431" s="165"/>
      <c r="AL431" s="165"/>
      <c r="AM431" s="165"/>
      <c r="AN431" s="165"/>
      <c r="AO431" s="165"/>
      <c r="AP431" s="165"/>
      <c r="AQ431" s="165"/>
      <c r="AR431" s="165"/>
      <c r="AS431" s="165"/>
      <c r="AT431" s="165"/>
      <c r="AU431" s="165"/>
      <c r="AV431" s="165"/>
      <c r="AW431" s="165"/>
      <c r="AX431" s="165"/>
    </row>
    <row r="432" ht="15.75" customHeight="1">
      <c r="A432" s="165"/>
      <c r="B432" s="165"/>
      <c r="C432" s="165"/>
      <c r="D432" s="165"/>
      <c r="E432" s="165"/>
      <c r="F432" s="165"/>
      <c r="G432" s="165"/>
      <c r="H432" s="165"/>
      <c r="I432" s="165"/>
      <c r="J432" s="165"/>
      <c r="K432" s="165"/>
      <c r="L432" s="165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  <c r="AA432" s="165"/>
      <c r="AB432" s="165"/>
      <c r="AC432" s="165"/>
      <c r="AD432" s="165"/>
      <c r="AE432" s="165"/>
      <c r="AF432" s="165"/>
      <c r="AG432" s="165"/>
      <c r="AH432" s="165"/>
      <c r="AI432" s="165"/>
      <c r="AJ432" s="165"/>
      <c r="AK432" s="165"/>
      <c r="AL432" s="165"/>
      <c r="AM432" s="165"/>
      <c r="AN432" s="165"/>
      <c r="AO432" s="165"/>
      <c r="AP432" s="165"/>
      <c r="AQ432" s="165"/>
      <c r="AR432" s="165"/>
      <c r="AS432" s="165"/>
      <c r="AT432" s="165"/>
      <c r="AU432" s="165"/>
      <c r="AV432" s="165"/>
      <c r="AW432" s="165"/>
      <c r="AX432" s="165"/>
    </row>
    <row r="433" ht="15.75" customHeight="1">
      <c r="A433" s="165"/>
      <c r="B433" s="165"/>
      <c r="C433" s="165"/>
      <c r="D433" s="165"/>
      <c r="E433" s="165"/>
      <c r="F433" s="165"/>
      <c r="G433" s="165"/>
      <c r="H433" s="165"/>
      <c r="I433" s="165"/>
      <c r="J433" s="165"/>
      <c r="K433" s="165"/>
      <c r="L433" s="165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  <c r="AA433" s="165"/>
      <c r="AB433" s="165"/>
      <c r="AC433" s="165"/>
      <c r="AD433" s="165"/>
      <c r="AE433" s="165"/>
      <c r="AF433" s="165"/>
      <c r="AG433" s="165"/>
      <c r="AH433" s="165"/>
      <c r="AI433" s="165"/>
      <c r="AJ433" s="165"/>
      <c r="AK433" s="165"/>
      <c r="AL433" s="165"/>
      <c r="AM433" s="165"/>
      <c r="AN433" s="165"/>
      <c r="AO433" s="165"/>
      <c r="AP433" s="165"/>
      <c r="AQ433" s="165"/>
      <c r="AR433" s="165"/>
      <c r="AS433" s="165"/>
      <c r="AT433" s="165"/>
      <c r="AU433" s="165"/>
      <c r="AV433" s="165"/>
      <c r="AW433" s="165"/>
      <c r="AX433" s="165"/>
    </row>
    <row r="434" ht="15.75" customHeight="1">
      <c r="A434" s="165"/>
      <c r="B434" s="165"/>
      <c r="C434" s="165"/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  <c r="AA434" s="165"/>
      <c r="AB434" s="165"/>
      <c r="AC434" s="165"/>
      <c r="AD434" s="165"/>
      <c r="AE434" s="165"/>
      <c r="AF434" s="165"/>
      <c r="AG434" s="165"/>
      <c r="AH434" s="165"/>
      <c r="AI434" s="165"/>
      <c r="AJ434" s="165"/>
      <c r="AK434" s="165"/>
      <c r="AL434" s="165"/>
      <c r="AM434" s="165"/>
      <c r="AN434" s="165"/>
      <c r="AO434" s="165"/>
      <c r="AP434" s="165"/>
      <c r="AQ434" s="165"/>
      <c r="AR434" s="165"/>
      <c r="AS434" s="165"/>
      <c r="AT434" s="165"/>
      <c r="AU434" s="165"/>
      <c r="AV434" s="165"/>
      <c r="AW434" s="165"/>
      <c r="AX434" s="165"/>
    </row>
    <row r="435" ht="15.75" customHeight="1">
      <c r="A435" s="165"/>
      <c r="B435" s="165"/>
      <c r="C435" s="165"/>
      <c r="D435" s="165"/>
      <c r="E435" s="165"/>
      <c r="F435" s="165"/>
      <c r="G435" s="165"/>
      <c r="H435" s="165"/>
      <c r="I435" s="165"/>
      <c r="J435" s="165"/>
      <c r="K435" s="165"/>
      <c r="L435" s="165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  <c r="AA435" s="165"/>
      <c r="AB435" s="165"/>
      <c r="AC435" s="165"/>
      <c r="AD435" s="165"/>
      <c r="AE435" s="165"/>
      <c r="AF435" s="165"/>
      <c r="AG435" s="165"/>
      <c r="AH435" s="165"/>
      <c r="AI435" s="165"/>
      <c r="AJ435" s="165"/>
      <c r="AK435" s="165"/>
      <c r="AL435" s="165"/>
      <c r="AM435" s="165"/>
      <c r="AN435" s="165"/>
      <c r="AO435" s="165"/>
      <c r="AP435" s="165"/>
      <c r="AQ435" s="165"/>
      <c r="AR435" s="165"/>
      <c r="AS435" s="165"/>
      <c r="AT435" s="165"/>
      <c r="AU435" s="165"/>
      <c r="AV435" s="165"/>
      <c r="AW435" s="165"/>
      <c r="AX435" s="165"/>
    </row>
    <row r="436" ht="15.75" customHeight="1">
      <c r="A436" s="165"/>
      <c r="B436" s="165"/>
      <c r="C436" s="165"/>
      <c r="D436" s="165"/>
      <c r="E436" s="165"/>
      <c r="F436" s="165"/>
      <c r="G436" s="165"/>
      <c r="H436" s="165"/>
      <c r="I436" s="165"/>
      <c r="J436" s="165"/>
      <c r="K436" s="165"/>
      <c r="L436" s="165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  <c r="AA436" s="165"/>
      <c r="AB436" s="165"/>
      <c r="AC436" s="165"/>
      <c r="AD436" s="165"/>
      <c r="AE436" s="165"/>
      <c r="AF436" s="165"/>
      <c r="AG436" s="165"/>
      <c r="AH436" s="165"/>
      <c r="AI436" s="165"/>
      <c r="AJ436" s="165"/>
      <c r="AK436" s="165"/>
      <c r="AL436" s="165"/>
      <c r="AM436" s="165"/>
      <c r="AN436" s="165"/>
      <c r="AO436" s="165"/>
      <c r="AP436" s="165"/>
      <c r="AQ436" s="165"/>
      <c r="AR436" s="165"/>
      <c r="AS436" s="165"/>
      <c r="AT436" s="165"/>
      <c r="AU436" s="165"/>
      <c r="AV436" s="165"/>
      <c r="AW436" s="165"/>
      <c r="AX436" s="165"/>
    </row>
    <row r="437" ht="15.75" customHeight="1">
      <c r="A437" s="165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5"/>
      <c r="AH437" s="165"/>
      <c r="AI437" s="165"/>
      <c r="AJ437" s="165"/>
      <c r="AK437" s="165"/>
      <c r="AL437" s="165"/>
      <c r="AM437" s="165"/>
      <c r="AN437" s="165"/>
      <c r="AO437" s="165"/>
      <c r="AP437" s="165"/>
      <c r="AQ437" s="165"/>
      <c r="AR437" s="165"/>
      <c r="AS437" s="165"/>
      <c r="AT437" s="165"/>
      <c r="AU437" s="165"/>
      <c r="AV437" s="165"/>
      <c r="AW437" s="165"/>
      <c r="AX437" s="165"/>
    </row>
    <row r="438" ht="15.75" customHeight="1">
      <c r="A438" s="165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5"/>
      <c r="AH438" s="165"/>
      <c r="AI438" s="165"/>
      <c r="AJ438" s="165"/>
      <c r="AK438" s="165"/>
      <c r="AL438" s="165"/>
      <c r="AM438" s="165"/>
      <c r="AN438" s="165"/>
      <c r="AO438" s="165"/>
      <c r="AP438" s="165"/>
      <c r="AQ438" s="165"/>
      <c r="AR438" s="165"/>
      <c r="AS438" s="165"/>
      <c r="AT438" s="165"/>
      <c r="AU438" s="165"/>
      <c r="AV438" s="165"/>
      <c r="AW438" s="165"/>
      <c r="AX438" s="165"/>
    </row>
    <row r="439" ht="15.75" customHeight="1">
      <c r="A439" s="165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5"/>
      <c r="AH439" s="165"/>
      <c r="AI439" s="165"/>
      <c r="AJ439" s="165"/>
      <c r="AK439" s="165"/>
      <c r="AL439" s="165"/>
      <c r="AM439" s="165"/>
      <c r="AN439" s="165"/>
      <c r="AO439" s="165"/>
      <c r="AP439" s="165"/>
      <c r="AQ439" s="165"/>
      <c r="AR439" s="165"/>
      <c r="AS439" s="165"/>
      <c r="AT439" s="165"/>
      <c r="AU439" s="165"/>
      <c r="AV439" s="165"/>
      <c r="AW439" s="165"/>
      <c r="AX439" s="165"/>
    </row>
    <row r="440" ht="15.75" customHeight="1">
      <c r="A440" s="165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5"/>
      <c r="AH440" s="165"/>
      <c r="AI440" s="165"/>
      <c r="AJ440" s="165"/>
      <c r="AK440" s="165"/>
      <c r="AL440" s="165"/>
      <c r="AM440" s="165"/>
      <c r="AN440" s="165"/>
      <c r="AO440" s="165"/>
      <c r="AP440" s="165"/>
      <c r="AQ440" s="165"/>
      <c r="AR440" s="165"/>
      <c r="AS440" s="165"/>
      <c r="AT440" s="165"/>
      <c r="AU440" s="165"/>
      <c r="AV440" s="165"/>
      <c r="AW440" s="165"/>
      <c r="AX440" s="165"/>
    </row>
    <row r="441" ht="15.75" customHeight="1">
      <c r="A441" s="165"/>
      <c r="B441" s="165"/>
      <c r="C441" s="165"/>
      <c r="D441" s="165"/>
      <c r="E441" s="165"/>
      <c r="F441" s="165"/>
      <c r="G441" s="165"/>
      <c r="H441" s="165"/>
      <c r="I441" s="165"/>
      <c r="J441" s="165"/>
      <c r="K441" s="165"/>
      <c r="L441" s="165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5"/>
      <c r="AH441" s="165"/>
      <c r="AI441" s="165"/>
      <c r="AJ441" s="165"/>
      <c r="AK441" s="165"/>
      <c r="AL441" s="165"/>
      <c r="AM441" s="165"/>
      <c r="AN441" s="165"/>
      <c r="AO441" s="165"/>
      <c r="AP441" s="165"/>
      <c r="AQ441" s="165"/>
      <c r="AR441" s="165"/>
      <c r="AS441" s="165"/>
      <c r="AT441" s="165"/>
      <c r="AU441" s="165"/>
      <c r="AV441" s="165"/>
      <c r="AW441" s="165"/>
      <c r="AX441" s="165"/>
    </row>
    <row r="442" ht="15.75" customHeight="1">
      <c r="A442" s="165"/>
      <c r="B442" s="165"/>
      <c r="C442" s="165"/>
      <c r="D442" s="165"/>
      <c r="E442" s="165"/>
      <c r="F442" s="165"/>
      <c r="G442" s="165"/>
      <c r="H442" s="165"/>
      <c r="I442" s="165"/>
      <c r="J442" s="165"/>
      <c r="K442" s="165"/>
      <c r="L442" s="165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5"/>
      <c r="AH442" s="165"/>
      <c r="AI442" s="165"/>
      <c r="AJ442" s="165"/>
      <c r="AK442" s="165"/>
      <c r="AL442" s="165"/>
      <c r="AM442" s="165"/>
      <c r="AN442" s="165"/>
      <c r="AO442" s="165"/>
      <c r="AP442" s="165"/>
      <c r="AQ442" s="165"/>
      <c r="AR442" s="165"/>
      <c r="AS442" s="165"/>
      <c r="AT442" s="165"/>
      <c r="AU442" s="165"/>
      <c r="AV442" s="165"/>
      <c r="AW442" s="165"/>
      <c r="AX442" s="165"/>
    </row>
    <row r="443" ht="15.75" customHeight="1">
      <c r="A443" s="165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165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5"/>
      <c r="AH443" s="165"/>
      <c r="AI443" s="165"/>
      <c r="AJ443" s="165"/>
      <c r="AK443" s="165"/>
      <c r="AL443" s="165"/>
      <c r="AM443" s="165"/>
      <c r="AN443" s="165"/>
      <c r="AO443" s="165"/>
      <c r="AP443" s="165"/>
      <c r="AQ443" s="165"/>
      <c r="AR443" s="165"/>
      <c r="AS443" s="165"/>
      <c r="AT443" s="165"/>
      <c r="AU443" s="165"/>
      <c r="AV443" s="165"/>
      <c r="AW443" s="165"/>
      <c r="AX443" s="165"/>
    </row>
    <row r="444" ht="15.75" customHeight="1">
      <c r="A444" s="165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65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5"/>
      <c r="AH444" s="165"/>
      <c r="AI444" s="165"/>
      <c r="AJ444" s="165"/>
      <c r="AK444" s="165"/>
      <c r="AL444" s="165"/>
      <c r="AM444" s="165"/>
      <c r="AN444" s="165"/>
      <c r="AO444" s="165"/>
      <c r="AP444" s="165"/>
      <c r="AQ444" s="165"/>
      <c r="AR444" s="165"/>
      <c r="AS444" s="165"/>
      <c r="AT444" s="165"/>
      <c r="AU444" s="165"/>
      <c r="AV444" s="165"/>
      <c r="AW444" s="165"/>
      <c r="AX444" s="165"/>
    </row>
    <row r="445" ht="15.75" customHeight="1">
      <c r="A445" s="165"/>
      <c r="B445" s="165"/>
      <c r="C445" s="165"/>
      <c r="D445" s="165"/>
      <c r="E445" s="165"/>
      <c r="F445" s="165"/>
      <c r="G445" s="165"/>
      <c r="H445" s="165"/>
      <c r="I445" s="165"/>
      <c r="J445" s="165"/>
      <c r="K445" s="165"/>
      <c r="L445" s="165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  <c r="AA445" s="165"/>
      <c r="AB445" s="165"/>
      <c r="AC445" s="165"/>
      <c r="AD445" s="165"/>
      <c r="AE445" s="165"/>
      <c r="AF445" s="165"/>
      <c r="AG445" s="165"/>
      <c r="AH445" s="165"/>
      <c r="AI445" s="165"/>
      <c r="AJ445" s="165"/>
      <c r="AK445" s="165"/>
      <c r="AL445" s="165"/>
      <c r="AM445" s="165"/>
      <c r="AN445" s="165"/>
      <c r="AO445" s="165"/>
      <c r="AP445" s="165"/>
      <c r="AQ445" s="165"/>
      <c r="AR445" s="165"/>
      <c r="AS445" s="165"/>
      <c r="AT445" s="165"/>
      <c r="AU445" s="165"/>
      <c r="AV445" s="165"/>
      <c r="AW445" s="165"/>
      <c r="AX445" s="165"/>
    </row>
    <row r="446" ht="15.75" customHeight="1">
      <c r="A446" s="165"/>
      <c r="B446" s="165"/>
      <c r="C446" s="165"/>
      <c r="D446" s="165"/>
      <c r="E446" s="165"/>
      <c r="F446" s="165"/>
      <c r="G446" s="165"/>
      <c r="H446" s="165"/>
      <c r="I446" s="165"/>
      <c r="J446" s="165"/>
      <c r="K446" s="165"/>
      <c r="L446" s="165"/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  <c r="AA446" s="165"/>
      <c r="AB446" s="165"/>
      <c r="AC446" s="165"/>
      <c r="AD446" s="165"/>
      <c r="AE446" s="165"/>
      <c r="AF446" s="165"/>
      <c r="AG446" s="165"/>
      <c r="AH446" s="165"/>
      <c r="AI446" s="165"/>
      <c r="AJ446" s="165"/>
      <c r="AK446" s="165"/>
      <c r="AL446" s="165"/>
      <c r="AM446" s="165"/>
      <c r="AN446" s="165"/>
      <c r="AO446" s="165"/>
      <c r="AP446" s="165"/>
      <c r="AQ446" s="165"/>
      <c r="AR446" s="165"/>
      <c r="AS446" s="165"/>
      <c r="AT446" s="165"/>
      <c r="AU446" s="165"/>
      <c r="AV446" s="165"/>
      <c r="AW446" s="165"/>
      <c r="AX446" s="165"/>
    </row>
    <row r="447" ht="15.75" customHeight="1">
      <c r="A447" s="165"/>
      <c r="B447" s="165"/>
      <c r="C447" s="165"/>
      <c r="D447" s="165"/>
      <c r="E447" s="165"/>
      <c r="F447" s="165"/>
      <c r="G447" s="165"/>
      <c r="H447" s="165"/>
      <c r="I447" s="165"/>
      <c r="J447" s="165"/>
      <c r="K447" s="165"/>
      <c r="L447" s="165"/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  <c r="AA447" s="165"/>
      <c r="AB447" s="165"/>
      <c r="AC447" s="165"/>
      <c r="AD447" s="165"/>
      <c r="AE447" s="165"/>
      <c r="AF447" s="165"/>
      <c r="AG447" s="165"/>
      <c r="AH447" s="165"/>
      <c r="AI447" s="165"/>
      <c r="AJ447" s="165"/>
      <c r="AK447" s="165"/>
      <c r="AL447" s="165"/>
      <c r="AM447" s="165"/>
      <c r="AN447" s="165"/>
      <c r="AO447" s="165"/>
      <c r="AP447" s="165"/>
      <c r="AQ447" s="165"/>
      <c r="AR447" s="165"/>
      <c r="AS447" s="165"/>
      <c r="AT447" s="165"/>
      <c r="AU447" s="165"/>
      <c r="AV447" s="165"/>
      <c r="AW447" s="165"/>
      <c r="AX447" s="165"/>
    </row>
    <row r="448" ht="15.75" customHeight="1">
      <c r="A448" s="165"/>
      <c r="B448" s="165"/>
      <c r="C448" s="165"/>
      <c r="D448" s="165"/>
      <c r="E448" s="165"/>
      <c r="F448" s="165"/>
      <c r="G448" s="165"/>
      <c r="H448" s="165"/>
      <c r="I448" s="165"/>
      <c r="J448" s="165"/>
      <c r="K448" s="165"/>
      <c r="L448" s="165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  <c r="AA448" s="165"/>
      <c r="AB448" s="165"/>
      <c r="AC448" s="165"/>
      <c r="AD448" s="165"/>
      <c r="AE448" s="165"/>
      <c r="AF448" s="165"/>
      <c r="AG448" s="165"/>
      <c r="AH448" s="165"/>
      <c r="AI448" s="165"/>
      <c r="AJ448" s="165"/>
      <c r="AK448" s="165"/>
      <c r="AL448" s="165"/>
      <c r="AM448" s="165"/>
      <c r="AN448" s="165"/>
      <c r="AO448" s="165"/>
      <c r="AP448" s="165"/>
      <c r="AQ448" s="165"/>
      <c r="AR448" s="165"/>
      <c r="AS448" s="165"/>
      <c r="AT448" s="165"/>
      <c r="AU448" s="165"/>
      <c r="AV448" s="165"/>
      <c r="AW448" s="165"/>
      <c r="AX448" s="165"/>
    </row>
    <row r="449" ht="15.75" customHeight="1">
      <c r="A449" s="165"/>
      <c r="B449" s="165"/>
      <c r="C449" s="165"/>
      <c r="D449" s="165"/>
      <c r="E449" s="165"/>
      <c r="F449" s="165"/>
      <c r="G449" s="165"/>
      <c r="H449" s="165"/>
      <c r="I449" s="165"/>
      <c r="J449" s="165"/>
      <c r="K449" s="165"/>
      <c r="L449" s="165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  <c r="AA449" s="165"/>
      <c r="AB449" s="165"/>
      <c r="AC449" s="165"/>
      <c r="AD449" s="165"/>
      <c r="AE449" s="165"/>
      <c r="AF449" s="165"/>
      <c r="AG449" s="165"/>
      <c r="AH449" s="165"/>
      <c r="AI449" s="165"/>
      <c r="AJ449" s="165"/>
      <c r="AK449" s="165"/>
      <c r="AL449" s="165"/>
      <c r="AM449" s="165"/>
      <c r="AN449" s="165"/>
      <c r="AO449" s="165"/>
      <c r="AP449" s="165"/>
      <c r="AQ449" s="165"/>
      <c r="AR449" s="165"/>
      <c r="AS449" s="165"/>
      <c r="AT449" s="165"/>
      <c r="AU449" s="165"/>
      <c r="AV449" s="165"/>
      <c r="AW449" s="165"/>
      <c r="AX449" s="165"/>
    </row>
    <row r="450" ht="15.75" customHeight="1">
      <c r="A450" s="165"/>
      <c r="B450" s="165"/>
      <c r="C450" s="165"/>
      <c r="D450" s="165"/>
      <c r="E450" s="165"/>
      <c r="F450" s="165"/>
      <c r="G450" s="165"/>
      <c r="H450" s="165"/>
      <c r="I450" s="165"/>
      <c r="J450" s="165"/>
      <c r="K450" s="165"/>
      <c r="L450" s="165"/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  <c r="AA450" s="165"/>
      <c r="AB450" s="165"/>
      <c r="AC450" s="165"/>
      <c r="AD450" s="165"/>
      <c r="AE450" s="165"/>
      <c r="AF450" s="165"/>
      <c r="AG450" s="165"/>
      <c r="AH450" s="165"/>
      <c r="AI450" s="165"/>
      <c r="AJ450" s="165"/>
      <c r="AK450" s="165"/>
      <c r="AL450" s="165"/>
      <c r="AM450" s="165"/>
      <c r="AN450" s="165"/>
      <c r="AO450" s="165"/>
      <c r="AP450" s="165"/>
      <c r="AQ450" s="165"/>
      <c r="AR450" s="165"/>
      <c r="AS450" s="165"/>
      <c r="AT450" s="165"/>
      <c r="AU450" s="165"/>
      <c r="AV450" s="165"/>
      <c r="AW450" s="165"/>
      <c r="AX450" s="165"/>
    </row>
    <row r="451" ht="15.75" customHeight="1">
      <c r="A451" s="165"/>
      <c r="B451" s="165"/>
      <c r="C451" s="165"/>
      <c r="D451" s="165"/>
      <c r="E451" s="165"/>
      <c r="F451" s="165"/>
      <c r="G451" s="165"/>
      <c r="H451" s="165"/>
      <c r="I451" s="165"/>
      <c r="J451" s="165"/>
      <c r="K451" s="165"/>
      <c r="L451" s="165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  <c r="AA451" s="165"/>
      <c r="AB451" s="165"/>
      <c r="AC451" s="165"/>
      <c r="AD451" s="165"/>
      <c r="AE451" s="165"/>
      <c r="AF451" s="165"/>
      <c r="AG451" s="165"/>
      <c r="AH451" s="165"/>
      <c r="AI451" s="165"/>
      <c r="AJ451" s="165"/>
      <c r="AK451" s="165"/>
      <c r="AL451" s="165"/>
      <c r="AM451" s="165"/>
      <c r="AN451" s="165"/>
      <c r="AO451" s="165"/>
      <c r="AP451" s="165"/>
      <c r="AQ451" s="165"/>
      <c r="AR451" s="165"/>
      <c r="AS451" s="165"/>
      <c r="AT451" s="165"/>
      <c r="AU451" s="165"/>
      <c r="AV451" s="165"/>
      <c r="AW451" s="165"/>
      <c r="AX451" s="165"/>
    </row>
    <row r="452" ht="15.75" customHeight="1">
      <c r="A452" s="165"/>
      <c r="B452" s="165"/>
      <c r="C452" s="165"/>
      <c r="D452" s="165"/>
      <c r="E452" s="165"/>
      <c r="F452" s="165"/>
      <c r="G452" s="165"/>
      <c r="H452" s="165"/>
      <c r="I452" s="165"/>
      <c r="J452" s="165"/>
      <c r="K452" s="165"/>
      <c r="L452" s="165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  <c r="AA452" s="165"/>
      <c r="AB452" s="165"/>
      <c r="AC452" s="165"/>
      <c r="AD452" s="165"/>
      <c r="AE452" s="165"/>
      <c r="AF452" s="165"/>
      <c r="AG452" s="165"/>
      <c r="AH452" s="165"/>
      <c r="AI452" s="165"/>
      <c r="AJ452" s="165"/>
      <c r="AK452" s="165"/>
      <c r="AL452" s="165"/>
      <c r="AM452" s="165"/>
      <c r="AN452" s="165"/>
      <c r="AO452" s="165"/>
      <c r="AP452" s="165"/>
      <c r="AQ452" s="165"/>
      <c r="AR452" s="165"/>
      <c r="AS452" s="165"/>
      <c r="AT452" s="165"/>
      <c r="AU452" s="165"/>
      <c r="AV452" s="165"/>
      <c r="AW452" s="165"/>
      <c r="AX452" s="165"/>
    </row>
    <row r="453" ht="15.75" customHeight="1">
      <c r="A453" s="165"/>
      <c r="B453" s="165"/>
      <c r="C453" s="165"/>
      <c r="D453" s="165"/>
      <c r="E453" s="165"/>
      <c r="F453" s="165"/>
      <c r="G453" s="165"/>
      <c r="H453" s="165"/>
      <c r="I453" s="165"/>
      <c r="J453" s="165"/>
      <c r="K453" s="165"/>
      <c r="L453" s="165"/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  <c r="AA453" s="165"/>
      <c r="AB453" s="165"/>
      <c r="AC453" s="165"/>
      <c r="AD453" s="165"/>
      <c r="AE453" s="165"/>
      <c r="AF453" s="165"/>
      <c r="AG453" s="165"/>
      <c r="AH453" s="165"/>
      <c r="AI453" s="165"/>
      <c r="AJ453" s="165"/>
      <c r="AK453" s="165"/>
      <c r="AL453" s="165"/>
      <c r="AM453" s="165"/>
      <c r="AN453" s="165"/>
      <c r="AO453" s="165"/>
      <c r="AP453" s="165"/>
      <c r="AQ453" s="165"/>
      <c r="AR453" s="165"/>
      <c r="AS453" s="165"/>
      <c r="AT453" s="165"/>
      <c r="AU453" s="165"/>
      <c r="AV453" s="165"/>
      <c r="AW453" s="165"/>
      <c r="AX453" s="165"/>
    </row>
    <row r="454" ht="15.75" customHeight="1">
      <c r="A454" s="165"/>
      <c r="B454" s="165"/>
      <c r="C454" s="165"/>
      <c r="D454" s="165"/>
      <c r="E454" s="165"/>
      <c r="F454" s="165"/>
      <c r="G454" s="165"/>
      <c r="H454" s="165"/>
      <c r="I454" s="165"/>
      <c r="J454" s="165"/>
      <c r="K454" s="165"/>
      <c r="L454" s="165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  <c r="AA454" s="165"/>
      <c r="AB454" s="165"/>
      <c r="AC454" s="165"/>
      <c r="AD454" s="165"/>
      <c r="AE454" s="165"/>
      <c r="AF454" s="165"/>
      <c r="AG454" s="165"/>
      <c r="AH454" s="165"/>
      <c r="AI454" s="165"/>
      <c r="AJ454" s="165"/>
      <c r="AK454" s="165"/>
      <c r="AL454" s="165"/>
      <c r="AM454" s="165"/>
      <c r="AN454" s="165"/>
      <c r="AO454" s="165"/>
      <c r="AP454" s="165"/>
      <c r="AQ454" s="165"/>
      <c r="AR454" s="165"/>
      <c r="AS454" s="165"/>
      <c r="AT454" s="165"/>
      <c r="AU454" s="165"/>
      <c r="AV454" s="165"/>
      <c r="AW454" s="165"/>
      <c r="AX454" s="165"/>
    </row>
    <row r="455" ht="15.75" customHeight="1">
      <c r="A455" s="165"/>
      <c r="B455" s="165"/>
      <c r="C455" s="165"/>
      <c r="D455" s="165"/>
      <c r="E455" s="165"/>
      <c r="F455" s="165"/>
      <c r="G455" s="165"/>
      <c r="H455" s="165"/>
      <c r="I455" s="165"/>
      <c r="J455" s="165"/>
      <c r="K455" s="165"/>
      <c r="L455" s="165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  <c r="AA455" s="165"/>
      <c r="AB455" s="165"/>
      <c r="AC455" s="165"/>
      <c r="AD455" s="165"/>
      <c r="AE455" s="165"/>
      <c r="AF455" s="165"/>
      <c r="AG455" s="165"/>
      <c r="AH455" s="165"/>
      <c r="AI455" s="165"/>
      <c r="AJ455" s="165"/>
      <c r="AK455" s="165"/>
      <c r="AL455" s="165"/>
      <c r="AM455" s="165"/>
      <c r="AN455" s="165"/>
      <c r="AO455" s="165"/>
      <c r="AP455" s="165"/>
      <c r="AQ455" s="165"/>
      <c r="AR455" s="165"/>
      <c r="AS455" s="165"/>
      <c r="AT455" s="165"/>
      <c r="AU455" s="165"/>
      <c r="AV455" s="165"/>
      <c r="AW455" s="165"/>
      <c r="AX455" s="165"/>
    </row>
    <row r="456" ht="15.75" customHeight="1">
      <c r="A456" s="165"/>
      <c r="B456" s="165"/>
      <c r="C456" s="165"/>
      <c r="D456" s="165"/>
      <c r="E456" s="165"/>
      <c r="F456" s="165"/>
      <c r="G456" s="165"/>
      <c r="H456" s="165"/>
      <c r="I456" s="165"/>
      <c r="J456" s="165"/>
      <c r="K456" s="165"/>
      <c r="L456" s="165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  <c r="AA456" s="165"/>
      <c r="AB456" s="165"/>
      <c r="AC456" s="165"/>
      <c r="AD456" s="165"/>
      <c r="AE456" s="165"/>
      <c r="AF456" s="165"/>
      <c r="AG456" s="165"/>
      <c r="AH456" s="165"/>
      <c r="AI456" s="165"/>
      <c r="AJ456" s="165"/>
      <c r="AK456" s="165"/>
      <c r="AL456" s="165"/>
      <c r="AM456" s="165"/>
      <c r="AN456" s="165"/>
      <c r="AO456" s="165"/>
      <c r="AP456" s="165"/>
      <c r="AQ456" s="165"/>
      <c r="AR456" s="165"/>
      <c r="AS456" s="165"/>
      <c r="AT456" s="165"/>
      <c r="AU456" s="165"/>
      <c r="AV456" s="165"/>
      <c r="AW456" s="165"/>
      <c r="AX456" s="165"/>
    </row>
    <row r="457" ht="15.75" customHeight="1">
      <c r="A457" s="165"/>
      <c r="B457" s="165"/>
      <c r="C457" s="165"/>
      <c r="D457" s="165"/>
      <c r="E457" s="165"/>
      <c r="F457" s="165"/>
      <c r="G457" s="165"/>
      <c r="H457" s="165"/>
      <c r="I457" s="165"/>
      <c r="J457" s="165"/>
      <c r="K457" s="165"/>
      <c r="L457" s="165"/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  <c r="AA457" s="165"/>
      <c r="AB457" s="165"/>
      <c r="AC457" s="165"/>
      <c r="AD457" s="165"/>
      <c r="AE457" s="165"/>
      <c r="AF457" s="165"/>
      <c r="AG457" s="165"/>
      <c r="AH457" s="165"/>
      <c r="AI457" s="165"/>
      <c r="AJ457" s="165"/>
      <c r="AK457" s="165"/>
      <c r="AL457" s="165"/>
      <c r="AM457" s="165"/>
      <c r="AN457" s="165"/>
      <c r="AO457" s="165"/>
      <c r="AP457" s="165"/>
      <c r="AQ457" s="165"/>
      <c r="AR457" s="165"/>
      <c r="AS457" s="165"/>
      <c r="AT457" s="165"/>
      <c r="AU457" s="165"/>
      <c r="AV457" s="165"/>
      <c r="AW457" s="165"/>
      <c r="AX457" s="165"/>
    </row>
    <row r="458" ht="15.75" customHeight="1">
      <c r="A458" s="165"/>
      <c r="B458" s="165"/>
      <c r="C458" s="165"/>
      <c r="D458" s="165"/>
      <c r="E458" s="165"/>
      <c r="F458" s="165"/>
      <c r="G458" s="165"/>
      <c r="H458" s="165"/>
      <c r="I458" s="165"/>
      <c r="J458" s="165"/>
      <c r="K458" s="165"/>
      <c r="L458" s="165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  <c r="AA458" s="165"/>
      <c r="AB458" s="165"/>
      <c r="AC458" s="165"/>
      <c r="AD458" s="165"/>
      <c r="AE458" s="165"/>
      <c r="AF458" s="165"/>
      <c r="AG458" s="165"/>
      <c r="AH458" s="165"/>
      <c r="AI458" s="165"/>
      <c r="AJ458" s="165"/>
      <c r="AK458" s="165"/>
      <c r="AL458" s="165"/>
      <c r="AM458" s="165"/>
      <c r="AN458" s="165"/>
      <c r="AO458" s="165"/>
      <c r="AP458" s="165"/>
      <c r="AQ458" s="165"/>
      <c r="AR458" s="165"/>
      <c r="AS458" s="165"/>
      <c r="AT458" s="165"/>
      <c r="AU458" s="165"/>
      <c r="AV458" s="165"/>
      <c r="AW458" s="165"/>
      <c r="AX458" s="165"/>
    </row>
    <row r="459" ht="15.75" customHeight="1">
      <c r="A459" s="165"/>
      <c r="B459" s="165"/>
      <c r="C459" s="165"/>
      <c r="D459" s="165"/>
      <c r="E459" s="165"/>
      <c r="F459" s="165"/>
      <c r="G459" s="165"/>
      <c r="H459" s="165"/>
      <c r="I459" s="165"/>
      <c r="J459" s="165"/>
      <c r="K459" s="165"/>
      <c r="L459" s="165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  <c r="AA459" s="165"/>
      <c r="AB459" s="165"/>
      <c r="AC459" s="165"/>
      <c r="AD459" s="165"/>
      <c r="AE459" s="165"/>
      <c r="AF459" s="165"/>
      <c r="AG459" s="165"/>
      <c r="AH459" s="165"/>
      <c r="AI459" s="165"/>
      <c r="AJ459" s="165"/>
      <c r="AK459" s="165"/>
      <c r="AL459" s="165"/>
      <c r="AM459" s="165"/>
      <c r="AN459" s="165"/>
      <c r="AO459" s="165"/>
      <c r="AP459" s="165"/>
      <c r="AQ459" s="165"/>
      <c r="AR459" s="165"/>
      <c r="AS459" s="165"/>
      <c r="AT459" s="165"/>
      <c r="AU459" s="165"/>
      <c r="AV459" s="165"/>
      <c r="AW459" s="165"/>
      <c r="AX459" s="165"/>
    </row>
    <row r="460" ht="15.75" customHeight="1">
      <c r="A460" s="165"/>
      <c r="B460" s="165"/>
      <c r="C460" s="165"/>
      <c r="D460" s="165"/>
      <c r="E460" s="165"/>
      <c r="F460" s="165"/>
      <c r="G460" s="165"/>
      <c r="H460" s="165"/>
      <c r="I460" s="165"/>
      <c r="J460" s="165"/>
      <c r="K460" s="165"/>
      <c r="L460" s="165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  <c r="AA460" s="165"/>
      <c r="AB460" s="165"/>
      <c r="AC460" s="165"/>
      <c r="AD460" s="165"/>
      <c r="AE460" s="165"/>
      <c r="AF460" s="165"/>
      <c r="AG460" s="165"/>
      <c r="AH460" s="165"/>
      <c r="AI460" s="165"/>
      <c r="AJ460" s="165"/>
      <c r="AK460" s="165"/>
      <c r="AL460" s="165"/>
      <c r="AM460" s="165"/>
      <c r="AN460" s="165"/>
      <c r="AO460" s="165"/>
      <c r="AP460" s="165"/>
      <c r="AQ460" s="165"/>
      <c r="AR460" s="165"/>
      <c r="AS460" s="165"/>
      <c r="AT460" s="165"/>
      <c r="AU460" s="165"/>
      <c r="AV460" s="165"/>
      <c r="AW460" s="165"/>
      <c r="AX460" s="165"/>
    </row>
    <row r="461" ht="15.75" customHeight="1">
      <c r="A461" s="165"/>
      <c r="B461" s="165"/>
      <c r="C461" s="165"/>
      <c r="D461" s="165"/>
      <c r="E461" s="165"/>
      <c r="F461" s="165"/>
      <c r="G461" s="165"/>
      <c r="H461" s="165"/>
      <c r="I461" s="165"/>
      <c r="J461" s="165"/>
      <c r="K461" s="165"/>
      <c r="L461" s="165"/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  <c r="AA461" s="165"/>
      <c r="AB461" s="165"/>
      <c r="AC461" s="165"/>
      <c r="AD461" s="165"/>
      <c r="AE461" s="165"/>
      <c r="AF461" s="165"/>
      <c r="AG461" s="165"/>
      <c r="AH461" s="165"/>
      <c r="AI461" s="165"/>
      <c r="AJ461" s="165"/>
      <c r="AK461" s="165"/>
      <c r="AL461" s="165"/>
      <c r="AM461" s="165"/>
      <c r="AN461" s="165"/>
      <c r="AO461" s="165"/>
      <c r="AP461" s="165"/>
      <c r="AQ461" s="165"/>
      <c r="AR461" s="165"/>
      <c r="AS461" s="165"/>
      <c r="AT461" s="165"/>
      <c r="AU461" s="165"/>
      <c r="AV461" s="165"/>
      <c r="AW461" s="165"/>
      <c r="AX461" s="165"/>
    </row>
    <row r="462" ht="15.75" customHeight="1">
      <c r="A462" s="165"/>
      <c r="B462" s="165"/>
      <c r="C462" s="165"/>
      <c r="D462" s="165"/>
      <c r="E462" s="165"/>
      <c r="F462" s="165"/>
      <c r="G462" s="165"/>
      <c r="H462" s="165"/>
      <c r="I462" s="165"/>
      <c r="J462" s="165"/>
      <c r="K462" s="165"/>
      <c r="L462" s="165"/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  <c r="AA462" s="165"/>
      <c r="AB462" s="165"/>
      <c r="AC462" s="165"/>
      <c r="AD462" s="165"/>
      <c r="AE462" s="165"/>
      <c r="AF462" s="165"/>
      <c r="AG462" s="165"/>
      <c r="AH462" s="165"/>
      <c r="AI462" s="165"/>
      <c r="AJ462" s="165"/>
      <c r="AK462" s="165"/>
      <c r="AL462" s="165"/>
      <c r="AM462" s="165"/>
      <c r="AN462" s="165"/>
      <c r="AO462" s="165"/>
      <c r="AP462" s="165"/>
      <c r="AQ462" s="165"/>
      <c r="AR462" s="165"/>
      <c r="AS462" s="165"/>
      <c r="AT462" s="165"/>
      <c r="AU462" s="165"/>
      <c r="AV462" s="165"/>
      <c r="AW462" s="165"/>
      <c r="AX462" s="165"/>
    </row>
    <row r="463" ht="15.75" customHeight="1">
      <c r="A463" s="165"/>
      <c r="B463" s="165"/>
      <c r="C463" s="165"/>
      <c r="D463" s="165"/>
      <c r="E463" s="165"/>
      <c r="F463" s="165"/>
      <c r="G463" s="165"/>
      <c r="H463" s="165"/>
      <c r="I463" s="165"/>
      <c r="J463" s="165"/>
      <c r="K463" s="165"/>
      <c r="L463" s="165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  <c r="AA463" s="165"/>
      <c r="AB463" s="165"/>
      <c r="AC463" s="165"/>
      <c r="AD463" s="165"/>
      <c r="AE463" s="165"/>
      <c r="AF463" s="165"/>
      <c r="AG463" s="165"/>
      <c r="AH463" s="165"/>
      <c r="AI463" s="165"/>
      <c r="AJ463" s="165"/>
      <c r="AK463" s="165"/>
      <c r="AL463" s="165"/>
      <c r="AM463" s="165"/>
      <c r="AN463" s="165"/>
      <c r="AO463" s="165"/>
      <c r="AP463" s="165"/>
      <c r="AQ463" s="165"/>
      <c r="AR463" s="165"/>
      <c r="AS463" s="165"/>
      <c r="AT463" s="165"/>
      <c r="AU463" s="165"/>
      <c r="AV463" s="165"/>
      <c r="AW463" s="165"/>
      <c r="AX463" s="165"/>
    </row>
    <row r="464" ht="15.75" customHeight="1">
      <c r="A464" s="165"/>
      <c r="B464" s="165"/>
      <c r="C464" s="165"/>
      <c r="D464" s="165"/>
      <c r="E464" s="165"/>
      <c r="F464" s="165"/>
      <c r="G464" s="165"/>
      <c r="H464" s="165"/>
      <c r="I464" s="165"/>
      <c r="J464" s="165"/>
      <c r="K464" s="165"/>
      <c r="L464" s="165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  <c r="AA464" s="165"/>
      <c r="AB464" s="165"/>
      <c r="AC464" s="165"/>
      <c r="AD464" s="165"/>
      <c r="AE464" s="165"/>
      <c r="AF464" s="165"/>
      <c r="AG464" s="165"/>
      <c r="AH464" s="165"/>
      <c r="AI464" s="165"/>
      <c r="AJ464" s="165"/>
      <c r="AK464" s="165"/>
      <c r="AL464" s="165"/>
      <c r="AM464" s="165"/>
      <c r="AN464" s="165"/>
      <c r="AO464" s="165"/>
      <c r="AP464" s="165"/>
      <c r="AQ464" s="165"/>
      <c r="AR464" s="165"/>
      <c r="AS464" s="165"/>
      <c r="AT464" s="165"/>
      <c r="AU464" s="165"/>
      <c r="AV464" s="165"/>
      <c r="AW464" s="165"/>
      <c r="AX464" s="165"/>
    </row>
    <row r="465" ht="15.75" customHeight="1">
      <c r="A465" s="165"/>
      <c r="B465" s="165"/>
      <c r="C465" s="165"/>
      <c r="D465" s="165"/>
      <c r="E465" s="165"/>
      <c r="F465" s="165"/>
      <c r="G465" s="165"/>
      <c r="H465" s="165"/>
      <c r="I465" s="165"/>
      <c r="J465" s="165"/>
      <c r="K465" s="165"/>
      <c r="L465" s="165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  <c r="AA465" s="165"/>
      <c r="AB465" s="165"/>
      <c r="AC465" s="165"/>
      <c r="AD465" s="165"/>
      <c r="AE465" s="165"/>
      <c r="AF465" s="165"/>
      <c r="AG465" s="165"/>
      <c r="AH465" s="165"/>
      <c r="AI465" s="165"/>
      <c r="AJ465" s="165"/>
      <c r="AK465" s="165"/>
      <c r="AL465" s="165"/>
      <c r="AM465" s="165"/>
      <c r="AN465" s="165"/>
      <c r="AO465" s="165"/>
      <c r="AP465" s="165"/>
      <c r="AQ465" s="165"/>
      <c r="AR465" s="165"/>
      <c r="AS465" s="165"/>
      <c r="AT465" s="165"/>
      <c r="AU465" s="165"/>
      <c r="AV465" s="165"/>
      <c r="AW465" s="165"/>
      <c r="AX465" s="165"/>
    </row>
    <row r="466" ht="15.75" customHeight="1">
      <c r="A466" s="165"/>
      <c r="B466" s="165"/>
      <c r="C466" s="165"/>
      <c r="D466" s="165"/>
      <c r="E466" s="165"/>
      <c r="F466" s="165"/>
      <c r="G466" s="165"/>
      <c r="H466" s="165"/>
      <c r="I466" s="165"/>
      <c r="J466" s="165"/>
      <c r="K466" s="165"/>
      <c r="L466" s="165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  <c r="AA466" s="165"/>
      <c r="AB466" s="165"/>
      <c r="AC466" s="165"/>
      <c r="AD466" s="165"/>
      <c r="AE466" s="165"/>
      <c r="AF466" s="165"/>
      <c r="AG466" s="165"/>
      <c r="AH466" s="165"/>
      <c r="AI466" s="165"/>
      <c r="AJ466" s="165"/>
      <c r="AK466" s="165"/>
      <c r="AL466" s="165"/>
      <c r="AM466" s="165"/>
      <c r="AN466" s="165"/>
      <c r="AO466" s="165"/>
      <c r="AP466" s="165"/>
      <c r="AQ466" s="165"/>
      <c r="AR466" s="165"/>
      <c r="AS466" s="165"/>
      <c r="AT466" s="165"/>
      <c r="AU466" s="165"/>
      <c r="AV466" s="165"/>
      <c r="AW466" s="165"/>
      <c r="AX466" s="165"/>
    </row>
    <row r="467" ht="15.75" customHeight="1">
      <c r="A467" s="165"/>
      <c r="B467" s="165"/>
      <c r="C467" s="165"/>
      <c r="D467" s="165"/>
      <c r="E467" s="165"/>
      <c r="F467" s="165"/>
      <c r="G467" s="165"/>
      <c r="H467" s="165"/>
      <c r="I467" s="165"/>
      <c r="J467" s="165"/>
      <c r="K467" s="165"/>
      <c r="L467" s="165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  <c r="AA467" s="165"/>
      <c r="AB467" s="165"/>
      <c r="AC467" s="165"/>
      <c r="AD467" s="165"/>
      <c r="AE467" s="165"/>
      <c r="AF467" s="165"/>
      <c r="AG467" s="165"/>
      <c r="AH467" s="165"/>
      <c r="AI467" s="165"/>
      <c r="AJ467" s="165"/>
      <c r="AK467" s="165"/>
      <c r="AL467" s="165"/>
      <c r="AM467" s="165"/>
      <c r="AN467" s="165"/>
      <c r="AO467" s="165"/>
      <c r="AP467" s="165"/>
      <c r="AQ467" s="165"/>
      <c r="AR467" s="165"/>
      <c r="AS467" s="165"/>
      <c r="AT467" s="165"/>
      <c r="AU467" s="165"/>
      <c r="AV467" s="165"/>
      <c r="AW467" s="165"/>
      <c r="AX467" s="165"/>
    </row>
    <row r="468" ht="15.75" customHeight="1">
      <c r="A468" s="165"/>
      <c r="B468" s="165"/>
      <c r="C468" s="165"/>
      <c r="D468" s="165"/>
      <c r="E468" s="165"/>
      <c r="F468" s="165"/>
      <c r="G468" s="165"/>
      <c r="H468" s="165"/>
      <c r="I468" s="165"/>
      <c r="J468" s="165"/>
      <c r="K468" s="165"/>
      <c r="L468" s="165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  <c r="AA468" s="165"/>
      <c r="AB468" s="165"/>
      <c r="AC468" s="165"/>
      <c r="AD468" s="165"/>
      <c r="AE468" s="165"/>
      <c r="AF468" s="165"/>
      <c r="AG468" s="165"/>
      <c r="AH468" s="165"/>
      <c r="AI468" s="165"/>
      <c r="AJ468" s="165"/>
      <c r="AK468" s="165"/>
      <c r="AL468" s="165"/>
      <c r="AM468" s="165"/>
      <c r="AN468" s="165"/>
      <c r="AO468" s="165"/>
      <c r="AP468" s="165"/>
      <c r="AQ468" s="165"/>
      <c r="AR468" s="165"/>
      <c r="AS468" s="165"/>
      <c r="AT468" s="165"/>
      <c r="AU468" s="165"/>
      <c r="AV468" s="165"/>
      <c r="AW468" s="165"/>
      <c r="AX468" s="165"/>
    </row>
    <row r="469" ht="15.75" customHeight="1">
      <c r="A469" s="165"/>
      <c r="B469" s="165"/>
      <c r="C469" s="165"/>
      <c r="D469" s="165"/>
      <c r="E469" s="165"/>
      <c r="F469" s="165"/>
      <c r="G469" s="165"/>
      <c r="H469" s="165"/>
      <c r="I469" s="165"/>
      <c r="J469" s="165"/>
      <c r="K469" s="165"/>
      <c r="L469" s="165"/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  <c r="AA469" s="165"/>
      <c r="AB469" s="165"/>
      <c r="AC469" s="165"/>
      <c r="AD469" s="165"/>
      <c r="AE469" s="165"/>
      <c r="AF469" s="165"/>
      <c r="AG469" s="165"/>
      <c r="AH469" s="165"/>
      <c r="AI469" s="165"/>
      <c r="AJ469" s="165"/>
      <c r="AK469" s="165"/>
      <c r="AL469" s="165"/>
      <c r="AM469" s="165"/>
      <c r="AN469" s="165"/>
      <c r="AO469" s="165"/>
      <c r="AP469" s="165"/>
      <c r="AQ469" s="165"/>
      <c r="AR469" s="165"/>
      <c r="AS469" s="165"/>
      <c r="AT469" s="165"/>
      <c r="AU469" s="165"/>
      <c r="AV469" s="165"/>
      <c r="AW469" s="165"/>
      <c r="AX469" s="165"/>
    </row>
    <row r="470" ht="15.75" customHeight="1">
      <c r="A470" s="165"/>
      <c r="B470" s="165"/>
      <c r="C470" s="165"/>
      <c r="D470" s="165"/>
      <c r="E470" s="165"/>
      <c r="F470" s="165"/>
      <c r="G470" s="165"/>
      <c r="H470" s="165"/>
      <c r="I470" s="165"/>
      <c r="J470" s="165"/>
      <c r="K470" s="165"/>
      <c r="L470" s="165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  <c r="AI470" s="165"/>
      <c r="AJ470" s="165"/>
      <c r="AK470" s="165"/>
      <c r="AL470" s="165"/>
      <c r="AM470" s="165"/>
      <c r="AN470" s="165"/>
      <c r="AO470" s="165"/>
      <c r="AP470" s="165"/>
      <c r="AQ470" s="165"/>
      <c r="AR470" s="165"/>
      <c r="AS470" s="165"/>
      <c r="AT470" s="165"/>
      <c r="AU470" s="165"/>
      <c r="AV470" s="165"/>
      <c r="AW470" s="165"/>
      <c r="AX470" s="165"/>
    </row>
    <row r="471" ht="15.75" customHeight="1">
      <c r="A471" s="165"/>
      <c r="B471" s="165"/>
      <c r="C471" s="165"/>
      <c r="D471" s="165"/>
      <c r="E471" s="165"/>
      <c r="F471" s="165"/>
      <c r="G471" s="165"/>
      <c r="H471" s="165"/>
      <c r="I471" s="165"/>
      <c r="J471" s="165"/>
      <c r="K471" s="165"/>
      <c r="L471" s="165"/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  <c r="AI471" s="165"/>
      <c r="AJ471" s="165"/>
      <c r="AK471" s="165"/>
      <c r="AL471" s="165"/>
      <c r="AM471" s="165"/>
      <c r="AN471" s="165"/>
      <c r="AO471" s="165"/>
      <c r="AP471" s="165"/>
      <c r="AQ471" s="165"/>
      <c r="AR471" s="165"/>
      <c r="AS471" s="165"/>
      <c r="AT471" s="165"/>
      <c r="AU471" s="165"/>
      <c r="AV471" s="165"/>
      <c r="AW471" s="165"/>
      <c r="AX471" s="165"/>
    </row>
    <row r="472" ht="15.75" customHeight="1">
      <c r="A472" s="165"/>
      <c r="B472" s="165"/>
      <c r="C472" s="165"/>
      <c r="D472" s="165"/>
      <c r="E472" s="165"/>
      <c r="F472" s="165"/>
      <c r="G472" s="165"/>
      <c r="H472" s="165"/>
      <c r="I472" s="165"/>
      <c r="J472" s="165"/>
      <c r="K472" s="165"/>
      <c r="L472" s="165"/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  <c r="AA472" s="165"/>
      <c r="AB472" s="165"/>
      <c r="AC472" s="165"/>
      <c r="AD472" s="165"/>
      <c r="AE472" s="165"/>
      <c r="AF472" s="165"/>
      <c r="AG472" s="165"/>
      <c r="AH472" s="165"/>
      <c r="AI472" s="165"/>
      <c r="AJ472" s="165"/>
      <c r="AK472" s="165"/>
      <c r="AL472" s="165"/>
      <c r="AM472" s="165"/>
      <c r="AN472" s="165"/>
      <c r="AO472" s="165"/>
      <c r="AP472" s="165"/>
      <c r="AQ472" s="165"/>
      <c r="AR472" s="165"/>
      <c r="AS472" s="165"/>
      <c r="AT472" s="165"/>
      <c r="AU472" s="165"/>
      <c r="AV472" s="165"/>
      <c r="AW472" s="165"/>
      <c r="AX472" s="165"/>
    </row>
    <row r="473" ht="15.75" customHeight="1">
      <c r="A473" s="165"/>
      <c r="B473" s="165"/>
      <c r="C473" s="165"/>
      <c r="D473" s="165"/>
      <c r="E473" s="165"/>
      <c r="F473" s="165"/>
      <c r="G473" s="165"/>
      <c r="H473" s="165"/>
      <c r="I473" s="165"/>
      <c r="J473" s="165"/>
      <c r="K473" s="165"/>
      <c r="L473" s="165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  <c r="AA473" s="165"/>
      <c r="AB473" s="165"/>
      <c r="AC473" s="165"/>
      <c r="AD473" s="165"/>
      <c r="AE473" s="165"/>
      <c r="AF473" s="165"/>
      <c r="AG473" s="165"/>
      <c r="AH473" s="165"/>
      <c r="AI473" s="165"/>
      <c r="AJ473" s="165"/>
      <c r="AK473" s="165"/>
      <c r="AL473" s="165"/>
      <c r="AM473" s="165"/>
      <c r="AN473" s="165"/>
      <c r="AO473" s="165"/>
      <c r="AP473" s="165"/>
      <c r="AQ473" s="165"/>
      <c r="AR473" s="165"/>
      <c r="AS473" s="165"/>
      <c r="AT473" s="165"/>
      <c r="AU473" s="165"/>
      <c r="AV473" s="165"/>
      <c r="AW473" s="165"/>
      <c r="AX473" s="165"/>
    </row>
    <row r="474" ht="15.75" customHeight="1">
      <c r="A474" s="165"/>
      <c r="B474" s="165"/>
      <c r="C474" s="165"/>
      <c r="D474" s="165"/>
      <c r="E474" s="165"/>
      <c r="F474" s="165"/>
      <c r="G474" s="165"/>
      <c r="H474" s="165"/>
      <c r="I474" s="165"/>
      <c r="J474" s="165"/>
      <c r="K474" s="165"/>
      <c r="L474" s="165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  <c r="AA474" s="165"/>
      <c r="AB474" s="165"/>
      <c r="AC474" s="165"/>
      <c r="AD474" s="165"/>
      <c r="AE474" s="165"/>
      <c r="AF474" s="165"/>
      <c r="AG474" s="165"/>
      <c r="AH474" s="165"/>
      <c r="AI474" s="165"/>
      <c r="AJ474" s="165"/>
      <c r="AK474" s="165"/>
      <c r="AL474" s="165"/>
      <c r="AM474" s="165"/>
      <c r="AN474" s="165"/>
      <c r="AO474" s="165"/>
      <c r="AP474" s="165"/>
      <c r="AQ474" s="165"/>
      <c r="AR474" s="165"/>
      <c r="AS474" s="165"/>
      <c r="AT474" s="165"/>
      <c r="AU474" s="165"/>
      <c r="AV474" s="165"/>
      <c r="AW474" s="165"/>
      <c r="AX474" s="165"/>
    </row>
    <row r="475" ht="15.75" customHeight="1">
      <c r="A475" s="165"/>
      <c r="B475" s="165"/>
      <c r="C475" s="165"/>
      <c r="D475" s="165"/>
      <c r="E475" s="165"/>
      <c r="F475" s="165"/>
      <c r="G475" s="165"/>
      <c r="H475" s="165"/>
      <c r="I475" s="165"/>
      <c r="J475" s="165"/>
      <c r="K475" s="165"/>
      <c r="L475" s="165"/>
      <c r="M475" s="165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  <c r="AA475" s="165"/>
      <c r="AB475" s="165"/>
      <c r="AC475" s="165"/>
      <c r="AD475" s="165"/>
      <c r="AE475" s="165"/>
      <c r="AF475" s="165"/>
      <c r="AG475" s="165"/>
      <c r="AH475" s="165"/>
      <c r="AI475" s="165"/>
      <c r="AJ475" s="165"/>
      <c r="AK475" s="165"/>
      <c r="AL475" s="165"/>
      <c r="AM475" s="165"/>
      <c r="AN475" s="165"/>
      <c r="AO475" s="165"/>
      <c r="AP475" s="165"/>
      <c r="AQ475" s="165"/>
      <c r="AR475" s="165"/>
      <c r="AS475" s="165"/>
      <c r="AT475" s="165"/>
      <c r="AU475" s="165"/>
      <c r="AV475" s="165"/>
      <c r="AW475" s="165"/>
      <c r="AX475" s="165"/>
    </row>
    <row r="476" ht="15.75" customHeight="1">
      <c r="A476" s="165"/>
      <c r="B476" s="165"/>
      <c r="C476" s="165"/>
      <c r="D476" s="165"/>
      <c r="E476" s="165"/>
      <c r="F476" s="165"/>
      <c r="G476" s="165"/>
      <c r="H476" s="165"/>
      <c r="I476" s="165"/>
      <c r="J476" s="165"/>
      <c r="K476" s="165"/>
      <c r="L476" s="165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  <c r="AA476" s="165"/>
      <c r="AB476" s="165"/>
      <c r="AC476" s="165"/>
      <c r="AD476" s="165"/>
      <c r="AE476" s="165"/>
      <c r="AF476" s="165"/>
      <c r="AG476" s="165"/>
      <c r="AH476" s="165"/>
      <c r="AI476" s="165"/>
      <c r="AJ476" s="165"/>
      <c r="AK476" s="165"/>
      <c r="AL476" s="165"/>
      <c r="AM476" s="165"/>
      <c r="AN476" s="165"/>
      <c r="AO476" s="165"/>
      <c r="AP476" s="165"/>
      <c r="AQ476" s="165"/>
      <c r="AR476" s="165"/>
      <c r="AS476" s="165"/>
      <c r="AT476" s="165"/>
      <c r="AU476" s="165"/>
      <c r="AV476" s="165"/>
      <c r="AW476" s="165"/>
      <c r="AX476" s="165"/>
    </row>
    <row r="477" ht="15.75" customHeight="1">
      <c r="A477" s="165"/>
      <c r="B477" s="165"/>
      <c r="C477" s="165"/>
      <c r="D477" s="165"/>
      <c r="E477" s="165"/>
      <c r="F477" s="165"/>
      <c r="G477" s="165"/>
      <c r="H477" s="165"/>
      <c r="I477" s="165"/>
      <c r="J477" s="165"/>
      <c r="K477" s="165"/>
      <c r="L477" s="165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  <c r="AA477" s="165"/>
      <c r="AB477" s="165"/>
      <c r="AC477" s="165"/>
      <c r="AD477" s="165"/>
      <c r="AE477" s="165"/>
      <c r="AF477" s="165"/>
      <c r="AG477" s="165"/>
      <c r="AH477" s="165"/>
      <c r="AI477" s="165"/>
      <c r="AJ477" s="165"/>
      <c r="AK477" s="165"/>
      <c r="AL477" s="165"/>
      <c r="AM477" s="165"/>
      <c r="AN477" s="165"/>
      <c r="AO477" s="165"/>
      <c r="AP477" s="165"/>
      <c r="AQ477" s="165"/>
      <c r="AR477" s="165"/>
      <c r="AS477" s="165"/>
      <c r="AT477" s="165"/>
      <c r="AU477" s="165"/>
      <c r="AV477" s="165"/>
      <c r="AW477" s="165"/>
      <c r="AX477" s="165"/>
    </row>
    <row r="478" ht="15.75" customHeight="1">
      <c r="A478" s="165"/>
      <c r="B478" s="165"/>
      <c r="C478" s="165"/>
      <c r="D478" s="165"/>
      <c r="E478" s="165"/>
      <c r="F478" s="165"/>
      <c r="G478" s="165"/>
      <c r="H478" s="165"/>
      <c r="I478" s="165"/>
      <c r="J478" s="165"/>
      <c r="K478" s="165"/>
      <c r="L478" s="165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  <c r="AA478" s="165"/>
      <c r="AB478" s="165"/>
      <c r="AC478" s="165"/>
      <c r="AD478" s="165"/>
      <c r="AE478" s="165"/>
      <c r="AF478" s="165"/>
      <c r="AG478" s="165"/>
      <c r="AH478" s="165"/>
      <c r="AI478" s="165"/>
      <c r="AJ478" s="165"/>
      <c r="AK478" s="165"/>
      <c r="AL478" s="165"/>
      <c r="AM478" s="165"/>
      <c r="AN478" s="165"/>
      <c r="AO478" s="165"/>
      <c r="AP478" s="165"/>
      <c r="AQ478" s="165"/>
      <c r="AR478" s="165"/>
      <c r="AS478" s="165"/>
      <c r="AT478" s="165"/>
      <c r="AU478" s="165"/>
      <c r="AV478" s="165"/>
      <c r="AW478" s="165"/>
      <c r="AX478" s="165"/>
    </row>
    <row r="479" ht="15.75" customHeight="1">
      <c r="A479" s="165"/>
      <c r="B479" s="165"/>
      <c r="C479" s="165"/>
      <c r="D479" s="165"/>
      <c r="E479" s="165"/>
      <c r="F479" s="165"/>
      <c r="G479" s="165"/>
      <c r="H479" s="165"/>
      <c r="I479" s="165"/>
      <c r="J479" s="165"/>
      <c r="K479" s="165"/>
      <c r="L479" s="165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  <c r="AA479" s="165"/>
      <c r="AB479" s="165"/>
      <c r="AC479" s="165"/>
      <c r="AD479" s="165"/>
      <c r="AE479" s="165"/>
      <c r="AF479" s="165"/>
      <c r="AG479" s="165"/>
      <c r="AH479" s="165"/>
      <c r="AI479" s="165"/>
      <c r="AJ479" s="165"/>
      <c r="AK479" s="165"/>
      <c r="AL479" s="165"/>
      <c r="AM479" s="165"/>
      <c r="AN479" s="165"/>
      <c r="AO479" s="165"/>
      <c r="AP479" s="165"/>
      <c r="AQ479" s="165"/>
      <c r="AR479" s="165"/>
      <c r="AS479" s="165"/>
      <c r="AT479" s="165"/>
      <c r="AU479" s="165"/>
      <c r="AV479" s="165"/>
      <c r="AW479" s="165"/>
      <c r="AX479" s="165"/>
    </row>
    <row r="480" ht="15.75" customHeight="1">
      <c r="A480" s="165"/>
      <c r="B480" s="165"/>
      <c r="C480" s="165"/>
      <c r="D480" s="165"/>
      <c r="E480" s="165"/>
      <c r="F480" s="165"/>
      <c r="G480" s="165"/>
      <c r="H480" s="165"/>
      <c r="I480" s="165"/>
      <c r="J480" s="165"/>
      <c r="K480" s="165"/>
      <c r="L480" s="165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  <c r="AA480" s="165"/>
      <c r="AB480" s="165"/>
      <c r="AC480" s="165"/>
      <c r="AD480" s="165"/>
      <c r="AE480" s="165"/>
      <c r="AF480" s="165"/>
      <c r="AG480" s="165"/>
      <c r="AH480" s="165"/>
      <c r="AI480" s="165"/>
      <c r="AJ480" s="165"/>
      <c r="AK480" s="165"/>
      <c r="AL480" s="165"/>
      <c r="AM480" s="165"/>
      <c r="AN480" s="165"/>
      <c r="AO480" s="165"/>
      <c r="AP480" s="165"/>
      <c r="AQ480" s="165"/>
      <c r="AR480" s="165"/>
      <c r="AS480" s="165"/>
      <c r="AT480" s="165"/>
      <c r="AU480" s="165"/>
      <c r="AV480" s="165"/>
      <c r="AW480" s="165"/>
      <c r="AX480" s="165"/>
    </row>
    <row r="481" ht="15.75" customHeight="1">
      <c r="A481" s="165"/>
      <c r="B481" s="165"/>
      <c r="C481" s="165"/>
      <c r="D481" s="165"/>
      <c r="E481" s="165"/>
      <c r="F481" s="165"/>
      <c r="G481" s="165"/>
      <c r="H481" s="165"/>
      <c r="I481" s="165"/>
      <c r="J481" s="165"/>
      <c r="K481" s="165"/>
      <c r="L481" s="165"/>
      <c r="M481" s="165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  <c r="AA481" s="165"/>
      <c r="AB481" s="165"/>
      <c r="AC481" s="165"/>
      <c r="AD481" s="165"/>
      <c r="AE481" s="165"/>
      <c r="AF481" s="165"/>
      <c r="AG481" s="165"/>
      <c r="AH481" s="165"/>
      <c r="AI481" s="165"/>
      <c r="AJ481" s="165"/>
      <c r="AK481" s="165"/>
      <c r="AL481" s="165"/>
      <c r="AM481" s="165"/>
      <c r="AN481" s="165"/>
      <c r="AO481" s="165"/>
      <c r="AP481" s="165"/>
      <c r="AQ481" s="165"/>
      <c r="AR481" s="165"/>
      <c r="AS481" s="165"/>
      <c r="AT481" s="165"/>
      <c r="AU481" s="165"/>
      <c r="AV481" s="165"/>
      <c r="AW481" s="165"/>
      <c r="AX481" s="165"/>
    </row>
    <row r="482" ht="15.75" customHeight="1">
      <c r="A482" s="165"/>
      <c r="B482" s="165"/>
      <c r="C482" s="165"/>
      <c r="D482" s="165"/>
      <c r="E482" s="165"/>
      <c r="F482" s="165"/>
      <c r="G482" s="165"/>
      <c r="H482" s="165"/>
      <c r="I482" s="165"/>
      <c r="J482" s="165"/>
      <c r="K482" s="165"/>
      <c r="L482" s="165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  <c r="AA482" s="165"/>
      <c r="AB482" s="165"/>
      <c r="AC482" s="165"/>
      <c r="AD482" s="165"/>
      <c r="AE482" s="165"/>
      <c r="AF482" s="165"/>
      <c r="AG482" s="165"/>
      <c r="AH482" s="165"/>
      <c r="AI482" s="165"/>
      <c r="AJ482" s="165"/>
      <c r="AK482" s="165"/>
      <c r="AL482" s="165"/>
      <c r="AM482" s="165"/>
      <c r="AN482" s="165"/>
      <c r="AO482" s="165"/>
      <c r="AP482" s="165"/>
      <c r="AQ482" s="165"/>
      <c r="AR482" s="165"/>
      <c r="AS482" s="165"/>
      <c r="AT482" s="165"/>
      <c r="AU482" s="165"/>
      <c r="AV482" s="165"/>
      <c r="AW482" s="165"/>
      <c r="AX482" s="165"/>
    </row>
    <row r="483" ht="15.75" customHeight="1">
      <c r="A483" s="165"/>
      <c r="B483" s="165"/>
      <c r="C483" s="165"/>
      <c r="D483" s="165"/>
      <c r="E483" s="165"/>
      <c r="F483" s="165"/>
      <c r="G483" s="165"/>
      <c r="H483" s="165"/>
      <c r="I483" s="165"/>
      <c r="J483" s="165"/>
      <c r="K483" s="165"/>
      <c r="L483" s="165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  <c r="AA483" s="165"/>
      <c r="AB483" s="165"/>
      <c r="AC483" s="165"/>
      <c r="AD483" s="165"/>
      <c r="AE483" s="165"/>
      <c r="AF483" s="165"/>
      <c r="AG483" s="165"/>
      <c r="AH483" s="165"/>
      <c r="AI483" s="165"/>
      <c r="AJ483" s="165"/>
      <c r="AK483" s="165"/>
      <c r="AL483" s="165"/>
      <c r="AM483" s="165"/>
      <c r="AN483" s="165"/>
      <c r="AO483" s="165"/>
      <c r="AP483" s="165"/>
      <c r="AQ483" s="165"/>
      <c r="AR483" s="165"/>
      <c r="AS483" s="165"/>
      <c r="AT483" s="165"/>
      <c r="AU483" s="165"/>
      <c r="AV483" s="165"/>
      <c r="AW483" s="165"/>
      <c r="AX483" s="165"/>
    </row>
    <row r="484" ht="15.75" customHeight="1">
      <c r="A484" s="165"/>
      <c r="B484" s="165"/>
      <c r="C484" s="165"/>
      <c r="D484" s="165"/>
      <c r="E484" s="165"/>
      <c r="F484" s="165"/>
      <c r="G484" s="165"/>
      <c r="H484" s="165"/>
      <c r="I484" s="165"/>
      <c r="J484" s="165"/>
      <c r="K484" s="165"/>
      <c r="L484" s="165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  <c r="AA484" s="165"/>
      <c r="AB484" s="165"/>
      <c r="AC484" s="165"/>
      <c r="AD484" s="165"/>
      <c r="AE484" s="165"/>
      <c r="AF484" s="165"/>
      <c r="AG484" s="165"/>
      <c r="AH484" s="165"/>
      <c r="AI484" s="165"/>
      <c r="AJ484" s="165"/>
      <c r="AK484" s="165"/>
      <c r="AL484" s="165"/>
      <c r="AM484" s="165"/>
      <c r="AN484" s="165"/>
      <c r="AO484" s="165"/>
      <c r="AP484" s="165"/>
      <c r="AQ484" s="165"/>
      <c r="AR484" s="165"/>
      <c r="AS484" s="165"/>
      <c r="AT484" s="165"/>
      <c r="AU484" s="165"/>
      <c r="AV484" s="165"/>
      <c r="AW484" s="165"/>
      <c r="AX484" s="165"/>
    </row>
    <row r="485" ht="15.75" customHeight="1">
      <c r="A485" s="165"/>
      <c r="B485" s="165"/>
      <c r="C485" s="165"/>
      <c r="D485" s="165"/>
      <c r="E485" s="165"/>
      <c r="F485" s="165"/>
      <c r="G485" s="165"/>
      <c r="H485" s="165"/>
      <c r="I485" s="165"/>
      <c r="J485" s="165"/>
      <c r="K485" s="165"/>
      <c r="L485" s="165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  <c r="AA485" s="165"/>
      <c r="AB485" s="165"/>
      <c r="AC485" s="165"/>
      <c r="AD485" s="165"/>
      <c r="AE485" s="165"/>
      <c r="AF485" s="165"/>
      <c r="AG485" s="165"/>
      <c r="AH485" s="165"/>
      <c r="AI485" s="165"/>
      <c r="AJ485" s="165"/>
      <c r="AK485" s="165"/>
      <c r="AL485" s="165"/>
      <c r="AM485" s="165"/>
      <c r="AN485" s="165"/>
      <c r="AO485" s="165"/>
      <c r="AP485" s="165"/>
      <c r="AQ485" s="165"/>
      <c r="AR485" s="165"/>
      <c r="AS485" s="165"/>
      <c r="AT485" s="165"/>
      <c r="AU485" s="165"/>
      <c r="AV485" s="165"/>
      <c r="AW485" s="165"/>
      <c r="AX485" s="165"/>
    </row>
    <row r="486" ht="15.75" customHeight="1">
      <c r="A486" s="165"/>
      <c r="B486" s="165"/>
      <c r="C486" s="165"/>
      <c r="D486" s="165"/>
      <c r="E486" s="165"/>
      <c r="F486" s="165"/>
      <c r="G486" s="165"/>
      <c r="H486" s="165"/>
      <c r="I486" s="165"/>
      <c r="J486" s="165"/>
      <c r="K486" s="165"/>
      <c r="L486" s="165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  <c r="AA486" s="165"/>
      <c r="AB486" s="165"/>
      <c r="AC486" s="165"/>
      <c r="AD486" s="165"/>
      <c r="AE486" s="165"/>
      <c r="AF486" s="165"/>
      <c r="AG486" s="165"/>
      <c r="AH486" s="165"/>
      <c r="AI486" s="165"/>
      <c r="AJ486" s="165"/>
      <c r="AK486" s="165"/>
      <c r="AL486" s="165"/>
      <c r="AM486" s="165"/>
      <c r="AN486" s="165"/>
      <c r="AO486" s="165"/>
      <c r="AP486" s="165"/>
      <c r="AQ486" s="165"/>
      <c r="AR486" s="165"/>
      <c r="AS486" s="165"/>
      <c r="AT486" s="165"/>
      <c r="AU486" s="165"/>
      <c r="AV486" s="165"/>
      <c r="AW486" s="165"/>
      <c r="AX486" s="165"/>
    </row>
    <row r="487" ht="15.75" customHeight="1">
      <c r="A487" s="165"/>
      <c r="B487" s="165"/>
      <c r="C487" s="165"/>
      <c r="D487" s="165"/>
      <c r="E487" s="165"/>
      <c r="F487" s="165"/>
      <c r="G487" s="165"/>
      <c r="H487" s="165"/>
      <c r="I487" s="165"/>
      <c r="J487" s="165"/>
      <c r="K487" s="165"/>
      <c r="L487" s="165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  <c r="AA487" s="165"/>
      <c r="AB487" s="165"/>
      <c r="AC487" s="165"/>
      <c r="AD487" s="165"/>
      <c r="AE487" s="165"/>
      <c r="AF487" s="165"/>
      <c r="AG487" s="165"/>
      <c r="AH487" s="165"/>
      <c r="AI487" s="165"/>
      <c r="AJ487" s="165"/>
      <c r="AK487" s="165"/>
      <c r="AL487" s="165"/>
      <c r="AM487" s="165"/>
      <c r="AN487" s="165"/>
      <c r="AO487" s="165"/>
      <c r="AP487" s="165"/>
      <c r="AQ487" s="165"/>
      <c r="AR487" s="165"/>
      <c r="AS487" s="165"/>
      <c r="AT487" s="165"/>
      <c r="AU487" s="165"/>
      <c r="AV487" s="165"/>
      <c r="AW487" s="165"/>
      <c r="AX487" s="165"/>
    </row>
    <row r="488" ht="15.75" customHeight="1">
      <c r="A488" s="165"/>
      <c r="B488" s="165"/>
      <c r="C488" s="165"/>
      <c r="D488" s="165"/>
      <c r="E488" s="165"/>
      <c r="F488" s="165"/>
      <c r="G488" s="165"/>
      <c r="H488" s="165"/>
      <c r="I488" s="165"/>
      <c r="J488" s="165"/>
      <c r="K488" s="165"/>
      <c r="L488" s="165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  <c r="AA488" s="165"/>
      <c r="AB488" s="165"/>
      <c r="AC488" s="165"/>
      <c r="AD488" s="165"/>
      <c r="AE488" s="165"/>
      <c r="AF488" s="165"/>
      <c r="AG488" s="165"/>
      <c r="AH488" s="165"/>
      <c r="AI488" s="165"/>
      <c r="AJ488" s="165"/>
      <c r="AK488" s="165"/>
      <c r="AL488" s="165"/>
      <c r="AM488" s="165"/>
      <c r="AN488" s="165"/>
      <c r="AO488" s="165"/>
      <c r="AP488" s="165"/>
      <c r="AQ488" s="165"/>
      <c r="AR488" s="165"/>
      <c r="AS488" s="165"/>
      <c r="AT488" s="165"/>
      <c r="AU488" s="165"/>
      <c r="AV488" s="165"/>
      <c r="AW488" s="165"/>
      <c r="AX488" s="165"/>
    </row>
    <row r="489" ht="15.75" customHeight="1">
      <c r="A489" s="165"/>
      <c r="B489" s="165"/>
      <c r="C489" s="165"/>
      <c r="D489" s="165"/>
      <c r="E489" s="165"/>
      <c r="F489" s="165"/>
      <c r="G489" s="165"/>
      <c r="H489" s="165"/>
      <c r="I489" s="165"/>
      <c r="J489" s="165"/>
      <c r="K489" s="165"/>
      <c r="L489" s="165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  <c r="AA489" s="165"/>
      <c r="AB489" s="165"/>
      <c r="AC489" s="165"/>
      <c r="AD489" s="165"/>
      <c r="AE489" s="165"/>
      <c r="AF489" s="165"/>
      <c r="AG489" s="165"/>
      <c r="AH489" s="165"/>
      <c r="AI489" s="165"/>
      <c r="AJ489" s="165"/>
      <c r="AK489" s="165"/>
      <c r="AL489" s="165"/>
      <c r="AM489" s="165"/>
      <c r="AN489" s="165"/>
      <c r="AO489" s="165"/>
      <c r="AP489" s="165"/>
      <c r="AQ489" s="165"/>
      <c r="AR489" s="165"/>
      <c r="AS489" s="165"/>
      <c r="AT489" s="165"/>
      <c r="AU489" s="165"/>
      <c r="AV489" s="165"/>
      <c r="AW489" s="165"/>
      <c r="AX489" s="165"/>
    </row>
    <row r="490" ht="15.75" customHeight="1">
      <c r="A490" s="165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5"/>
      <c r="AH490" s="165"/>
      <c r="AI490" s="165"/>
      <c r="AJ490" s="165"/>
      <c r="AK490" s="165"/>
      <c r="AL490" s="165"/>
      <c r="AM490" s="165"/>
      <c r="AN490" s="165"/>
      <c r="AO490" s="165"/>
      <c r="AP490" s="165"/>
      <c r="AQ490" s="165"/>
      <c r="AR490" s="165"/>
      <c r="AS490" s="165"/>
      <c r="AT490" s="165"/>
      <c r="AU490" s="165"/>
      <c r="AV490" s="165"/>
      <c r="AW490" s="165"/>
      <c r="AX490" s="165"/>
    </row>
    <row r="491" ht="15.75" customHeight="1">
      <c r="A491" s="165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5"/>
      <c r="AH491" s="165"/>
      <c r="AI491" s="165"/>
      <c r="AJ491" s="165"/>
      <c r="AK491" s="165"/>
      <c r="AL491" s="165"/>
      <c r="AM491" s="165"/>
      <c r="AN491" s="165"/>
      <c r="AO491" s="165"/>
      <c r="AP491" s="165"/>
      <c r="AQ491" s="165"/>
      <c r="AR491" s="165"/>
      <c r="AS491" s="165"/>
      <c r="AT491" s="165"/>
      <c r="AU491" s="165"/>
      <c r="AV491" s="165"/>
      <c r="AW491" s="165"/>
      <c r="AX491" s="165"/>
    </row>
    <row r="492" ht="15.75" customHeight="1">
      <c r="A492" s="165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5"/>
      <c r="AH492" s="165"/>
      <c r="AI492" s="165"/>
      <c r="AJ492" s="165"/>
      <c r="AK492" s="165"/>
      <c r="AL492" s="165"/>
      <c r="AM492" s="165"/>
      <c r="AN492" s="165"/>
      <c r="AO492" s="165"/>
      <c r="AP492" s="165"/>
      <c r="AQ492" s="165"/>
      <c r="AR492" s="165"/>
      <c r="AS492" s="165"/>
      <c r="AT492" s="165"/>
      <c r="AU492" s="165"/>
      <c r="AV492" s="165"/>
      <c r="AW492" s="165"/>
      <c r="AX492" s="165"/>
    </row>
    <row r="493" ht="15.75" customHeight="1">
      <c r="A493" s="165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5"/>
      <c r="AH493" s="165"/>
      <c r="AI493" s="165"/>
      <c r="AJ493" s="165"/>
      <c r="AK493" s="165"/>
      <c r="AL493" s="165"/>
      <c r="AM493" s="165"/>
      <c r="AN493" s="165"/>
      <c r="AO493" s="165"/>
      <c r="AP493" s="165"/>
      <c r="AQ493" s="165"/>
      <c r="AR493" s="165"/>
      <c r="AS493" s="165"/>
      <c r="AT493" s="165"/>
      <c r="AU493" s="165"/>
      <c r="AV493" s="165"/>
      <c r="AW493" s="165"/>
      <c r="AX493" s="165"/>
    </row>
    <row r="494" ht="15.75" customHeight="1">
      <c r="A494" s="165"/>
      <c r="B494" s="165"/>
      <c r="C494" s="165"/>
      <c r="D494" s="165"/>
      <c r="E494" s="165"/>
      <c r="F494" s="165"/>
      <c r="G494" s="165"/>
      <c r="H494" s="165"/>
      <c r="I494" s="165"/>
      <c r="J494" s="165"/>
      <c r="K494" s="165"/>
      <c r="L494" s="165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5"/>
      <c r="AH494" s="165"/>
      <c r="AI494" s="165"/>
      <c r="AJ494" s="165"/>
      <c r="AK494" s="165"/>
      <c r="AL494" s="165"/>
      <c r="AM494" s="165"/>
      <c r="AN494" s="165"/>
      <c r="AO494" s="165"/>
      <c r="AP494" s="165"/>
      <c r="AQ494" s="165"/>
      <c r="AR494" s="165"/>
      <c r="AS494" s="165"/>
      <c r="AT494" s="165"/>
      <c r="AU494" s="165"/>
      <c r="AV494" s="165"/>
      <c r="AW494" s="165"/>
      <c r="AX494" s="165"/>
    </row>
    <row r="495" ht="15.75" customHeight="1">
      <c r="A495" s="165"/>
      <c r="B495" s="165"/>
      <c r="C495" s="165"/>
      <c r="D495" s="165"/>
      <c r="E495" s="165"/>
      <c r="F495" s="165"/>
      <c r="G495" s="165"/>
      <c r="H495" s="165"/>
      <c r="I495" s="165"/>
      <c r="J495" s="165"/>
      <c r="K495" s="165"/>
      <c r="L495" s="165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5"/>
      <c r="AH495" s="165"/>
      <c r="AI495" s="165"/>
      <c r="AJ495" s="165"/>
      <c r="AK495" s="165"/>
      <c r="AL495" s="165"/>
      <c r="AM495" s="165"/>
      <c r="AN495" s="165"/>
      <c r="AO495" s="165"/>
      <c r="AP495" s="165"/>
      <c r="AQ495" s="165"/>
      <c r="AR495" s="165"/>
      <c r="AS495" s="165"/>
      <c r="AT495" s="165"/>
      <c r="AU495" s="165"/>
      <c r="AV495" s="165"/>
      <c r="AW495" s="165"/>
      <c r="AX495" s="165"/>
    </row>
    <row r="496" ht="15.75" customHeight="1">
      <c r="A496" s="165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165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5"/>
      <c r="AH496" s="165"/>
      <c r="AI496" s="165"/>
      <c r="AJ496" s="165"/>
      <c r="AK496" s="165"/>
      <c r="AL496" s="165"/>
      <c r="AM496" s="165"/>
      <c r="AN496" s="165"/>
      <c r="AO496" s="165"/>
      <c r="AP496" s="165"/>
      <c r="AQ496" s="165"/>
      <c r="AR496" s="165"/>
      <c r="AS496" s="165"/>
      <c r="AT496" s="165"/>
      <c r="AU496" s="165"/>
      <c r="AV496" s="165"/>
      <c r="AW496" s="165"/>
      <c r="AX496" s="165"/>
    </row>
    <row r="497" ht="15.75" customHeight="1">
      <c r="A497" s="165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65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5"/>
      <c r="AH497" s="165"/>
      <c r="AI497" s="165"/>
      <c r="AJ497" s="165"/>
      <c r="AK497" s="165"/>
      <c r="AL497" s="165"/>
      <c r="AM497" s="165"/>
      <c r="AN497" s="165"/>
      <c r="AO497" s="165"/>
      <c r="AP497" s="165"/>
      <c r="AQ497" s="165"/>
      <c r="AR497" s="165"/>
      <c r="AS497" s="165"/>
      <c r="AT497" s="165"/>
      <c r="AU497" s="165"/>
      <c r="AV497" s="165"/>
      <c r="AW497" s="165"/>
      <c r="AX497" s="165"/>
    </row>
    <row r="498" ht="15.75" customHeight="1">
      <c r="A498" s="165"/>
      <c r="B498" s="165"/>
      <c r="C498" s="165"/>
      <c r="D498" s="165"/>
      <c r="E498" s="165"/>
      <c r="F498" s="165"/>
      <c r="G498" s="165"/>
      <c r="H498" s="165"/>
      <c r="I498" s="165"/>
      <c r="J498" s="165"/>
      <c r="K498" s="165"/>
      <c r="L498" s="165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  <c r="AA498" s="165"/>
      <c r="AB498" s="165"/>
      <c r="AC498" s="165"/>
      <c r="AD498" s="165"/>
      <c r="AE498" s="165"/>
      <c r="AF498" s="165"/>
      <c r="AG498" s="165"/>
      <c r="AH498" s="165"/>
      <c r="AI498" s="165"/>
      <c r="AJ498" s="165"/>
      <c r="AK498" s="165"/>
      <c r="AL498" s="165"/>
      <c r="AM498" s="165"/>
      <c r="AN498" s="165"/>
      <c r="AO498" s="165"/>
      <c r="AP498" s="165"/>
      <c r="AQ498" s="165"/>
      <c r="AR498" s="165"/>
      <c r="AS498" s="165"/>
      <c r="AT498" s="165"/>
      <c r="AU498" s="165"/>
      <c r="AV498" s="165"/>
      <c r="AW498" s="165"/>
      <c r="AX498" s="165"/>
    </row>
    <row r="499" ht="15.75" customHeight="1">
      <c r="A499" s="165"/>
      <c r="B499" s="165"/>
      <c r="C499" s="165"/>
      <c r="D499" s="165"/>
      <c r="E499" s="165"/>
      <c r="F499" s="165"/>
      <c r="G499" s="165"/>
      <c r="H499" s="165"/>
      <c r="I499" s="165"/>
      <c r="J499" s="165"/>
      <c r="K499" s="165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  <c r="AA499" s="165"/>
      <c r="AB499" s="165"/>
      <c r="AC499" s="165"/>
      <c r="AD499" s="165"/>
      <c r="AE499" s="165"/>
      <c r="AF499" s="165"/>
      <c r="AG499" s="165"/>
      <c r="AH499" s="165"/>
      <c r="AI499" s="165"/>
      <c r="AJ499" s="165"/>
      <c r="AK499" s="165"/>
      <c r="AL499" s="165"/>
      <c r="AM499" s="165"/>
      <c r="AN499" s="165"/>
      <c r="AO499" s="165"/>
      <c r="AP499" s="165"/>
      <c r="AQ499" s="165"/>
      <c r="AR499" s="165"/>
      <c r="AS499" s="165"/>
      <c r="AT499" s="165"/>
      <c r="AU499" s="165"/>
      <c r="AV499" s="165"/>
      <c r="AW499" s="165"/>
      <c r="AX499" s="165"/>
    </row>
    <row r="500" ht="15.75" customHeight="1">
      <c r="A500" s="165"/>
      <c r="B500" s="165"/>
      <c r="C500" s="165"/>
      <c r="D500" s="165"/>
      <c r="E500" s="165"/>
      <c r="F500" s="165"/>
      <c r="G500" s="165"/>
      <c r="H500" s="165"/>
      <c r="I500" s="165"/>
      <c r="J500" s="165"/>
      <c r="K500" s="165"/>
      <c r="L500" s="165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  <c r="AA500" s="165"/>
      <c r="AB500" s="165"/>
      <c r="AC500" s="165"/>
      <c r="AD500" s="165"/>
      <c r="AE500" s="165"/>
      <c r="AF500" s="165"/>
      <c r="AG500" s="165"/>
      <c r="AH500" s="165"/>
      <c r="AI500" s="165"/>
      <c r="AJ500" s="165"/>
      <c r="AK500" s="165"/>
      <c r="AL500" s="165"/>
      <c r="AM500" s="165"/>
      <c r="AN500" s="165"/>
      <c r="AO500" s="165"/>
      <c r="AP500" s="165"/>
      <c r="AQ500" s="165"/>
      <c r="AR500" s="165"/>
      <c r="AS500" s="165"/>
      <c r="AT500" s="165"/>
      <c r="AU500" s="165"/>
      <c r="AV500" s="165"/>
      <c r="AW500" s="165"/>
      <c r="AX500" s="165"/>
    </row>
    <row r="501" ht="15.75" customHeight="1">
      <c r="A501" s="165"/>
      <c r="B501" s="165"/>
      <c r="C501" s="165"/>
      <c r="D501" s="165"/>
      <c r="E501" s="165"/>
      <c r="F501" s="165"/>
      <c r="G501" s="165"/>
      <c r="H501" s="165"/>
      <c r="I501" s="165"/>
      <c r="J501" s="165"/>
      <c r="K501" s="165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  <c r="AA501" s="165"/>
      <c r="AB501" s="165"/>
      <c r="AC501" s="165"/>
      <c r="AD501" s="165"/>
      <c r="AE501" s="165"/>
      <c r="AF501" s="165"/>
      <c r="AG501" s="165"/>
      <c r="AH501" s="165"/>
      <c r="AI501" s="165"/>
      <c r="AJ501" s="165"/>
      <c r="AK501" s="165"/>
      <c r="AL501" s="165"/>
      <c r="AM501" s="165"/>
      <c r="AN501" s="165"/>
      <c r="AO501" s="165"/>
      <c r="AP501" s="165"/>
      <c r="AQ501" s="165"/>
      <c r="AR501" s="165"/>
      <c r="AS501" s="165"/>
      <c r="AT501" s="165"/>
      <c r="AU501" s="165"/>
      <c r="AV501" s="165"/>
      <c r="AW501" s="165"/>
      <c r="AX501" s="165"/>
    </row>
    <row r="502" ht="15.75" customHeight="1">
      <c r="A502" s="165"/>
      <c r="B502" s="165"/>
      <c r="C502" s="165"/>
      <c r="D502" s="165"/>
      <c r="E502" s="165"/>
      <c r="F502" s="165"/>
      <c r="G502" s="165"/>
      <c r="H502" s="165"/>
      <c r="I502" s="165"/>
      <c r="J502" s="165"/>
      <c r="K502" s="165"/>
      <c r="L502" s="165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  <c r="AA502" s="165"/>
      <c r="AB502" s="165"/>
      <c r="AC502" s="165"/>
      <c r="AD502" s="165"/>
      <c r="AE502" s="165"/>
      <c r="AF502" s="165"/>
      <c r="AG502" s="165"/>
      <c r="AH502" s="165"/>
      <c r="AI502" s="165"/>
      <c r="AJ502" s="165"/>
      <c r="AK502" s="165"/>
      <c r="AL502" s="165"/>
      <c r="AM502" s="165"/>
      <c r="AN502" s="165"/>
      <c r="AO502" s="165"/>
      <c r="AP502" s="165"/>
      <c r="AQ502" s="165"/>
      <c r="AR502" s="165"/>
      <c r="AS502" s="165"/>
      <c r="AT502" s="165"/>
      <c r="AU502" s="165"/>
      <c r="AV502" s="165"/>
      <c r="AW502" s="165"/>
      <c r="AX502" s="165"/>
    </row>
    <row r="503" ht="15.75" customHeight="1">
      <c r="A503" s="165"/>
      <c r="B503" s="165"/>
      <c r="C503" s="165"/>
      <c r="D503" s="165"/>
      <c r="E503" s="165"/>
      <c r="F503" s="165"/>
      <c r="G503" s="165"/>
      <c r="H503" s="165"/>
      <c r="I503" s="165"/>
      <c r="J503" s="165"/>
      <c r="K503" s="165"/>
      <c r="L503" s="165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  <c r="AA503" s="165"/>
      <c r="AB503" s="165"/>
      <c r="AC503" s="165"/>
      <c r="AD503" s="165"/>
      <c r="AE503" s="165"/>
      <c r="AF503" s="165"/>
      <c r="AG503" s="165"/>
      <c r="AH503" s="165"/>
      <c r="AI503" s="165"/>
      <c r="AJ503" s="165"/>
      <c r="AK503" s="165"/>
      <c r="AL503" s="165"/>
      <c r="AM503" s="165"/>
      <c r="AN503" s="165"/>
      <c r="AO503" s="165"/>
      <c r="AP503" s="165"/>
      <c r="AQ503" s="165"/>
      <c r="AR503" s="165"/>
      <c r="AS503" s="165"/>
      <c r="AT503" s="165"/>
      <c r="AU503" s="165"/>
      <c r="AV503" s="165"/>
      <c r="AW503" s="165"/>
      <c r="AX503" s="165"/>
    </row>
    <row r="504" ht="15.75" customHeight="1">
      <c r="A504" s="165"/>
      <c r="B504" s="165"/>
      <c r="C504" s="165"/>
      <c r="D504" s="165"/>
      <c r="E504" s="165"/>
      <c r="F504" s="165"/>
      <c r="G504" s="165"/>
      <c r="H504" s="165"/>
      <c r="I504" s="165"/>
      <c r="J504" s="165"/>
      <c r="K504" s="165"/>
      <c r="L504" s="165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  <c r="AA504" s="165"/>
      <c r="AB504" s="165"/>
      <c r="AC504" s="165"/>
      <c r="AD504" s="165"/>
      <c r="AE504" s="165"/>
      <c r="AF504" s="165"/>
      <c r="AG504" s="165"/>
      <c r="AH504" s="165"/>
      <c r="AI504" s="165"/>
      <c r="AJ504" s="165"/>
      <c r="AK504" s="165"/>
      <c r="AL504" s="165"/>
      <c r="AM504" s="165"/>
      <c r="AN504" s="165"/>
      <c r="AO504" s="165"/>
      <c r="AP504" s="165"/>
      <c r="AQ504" s="165"/>
      <c r="AR504" s="165"/>
      <c r="AS504" s="165"/>
      <c r="AT504" s="165"/>
      <c r="AU504" s="165"/>
      <c r="AV504" s="165"/>
      <c r="AW504" s="165"/>
      <c r="AX504" s="165"/>
    </row>
    <row r="505" ht="15.75" customHeight="1">
      <c r="A505" s="165"/>
      <c r="B505" s="165"/>
      <c r="C505" s="165"/>
      <c r="D505" s="165"/>
      <c r="E505" s="165"/>
      <c r="F505" s="165"/>
      <c r="G505" s="165"/>
      <c r="H505" s="165"/>
      <c r="I505" s="165"/>
      <c r="J505" s="165"/>
      <c r="K505" s="165"/>
      <c r="L505" s="165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  <c r="AA505" s="165"/>
      <c r="AB505" s="165"/>
      <c r="AC505" s="165"/>
      <c r="AD505" s="165"/>
      <c r="AE505" s="165"/>
      <c r="AF505" s="165"/>
      <c r="AG505" s="165"/>
      <c r="AH505" s="165"/>
      <c r="AI505" s="165"/>
      <c r="AJ505" s="165"/>
      <c r="AK505" s="165"/>
      <c r="AL505" s="165"/>
      <c r="AM505" s="165"/>
      <c r="AN505" s="165"/>
      <c r="AO505" s="165"/>
      <c r="AP505" s="165"/>
      <c r="AQ505" s="165"/>
      <c r="AR505" s="165"/>
      <c r="AS505" s="165"/>
      <c r="AT505" s="165"/>
      <c r="AU505" s="165"/>
      <c r="AV505" s="165"/>
      <c r="AW505" s="165"/>
      <c r="AX505" s="165"/>
    </row>
    <row r="506" ht="15.75" customHeight="1">
      <c r="A506" s="165"/>
      <c r="B506" s="165"/>
      <c r="C506" s="165"/>
      <c r="D506" s="165"/>
      <c r="E506" s="165"/>
      <c r="F506" s="165"/>
      <c r="G506" s="165"/>
      <c r="H506" s="165"/>
      <c r="I506" s="165"/>
      <c r="J506" s="165"/>
      <c r="K506" s="165"/>
      <c r="L506" s="165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  <c r="AA506" s="165"/>
      <c r="AB506" s="165"/>
      <c r="AC506" s="165"/>
      <c r="AD506" s="165"/>
      <c r="AE506" s="165"/>
      <c r="AF506" s="165"/>
      <c r="AG506" s="165"/>
      <c r="AH506" s="165"/>
      <c r="AI506" s="165"/>
      <c r="AJ506" s="165"/>
      <c r="AK506" s="165"/>
      <c r="AL506" s="165"/>
      <c r="AM506" s="165"/>
      <c r="AN506" s="165"/>
      <c r="AO506" s="165"/>
      <c r="AP506" s="165"/>
      <c r="AQ506" s="165"/>
      <c r="AR506" s="165"/>
      <c r="AS506" s="165"/>
      <c r="AT506" s="165"/>
      <c r="AU506" s="165"/>
      <c r="AV506" s="165"/>
      <c r="AW506" s="165"/>
      <c r="AX506" s="165"/>
    </row>
    <row r="507" ht="15.75" customHeight="1">
      <c r="A507" s="165"/>
      <c r="B507" s="165"/>
      <c r="C507" s="165"/>
      <c r="D507" s="165"/>
      <c r="E507" s="165"/>
      <c r="F507" s="165"/>
      <c r="G507" s="165"/>
      <c r="H507" s="165"/>
      <c r="I507" s="165"/>
      <c r="J507" s="165"/>
      <c r="K507" s="165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  <c r="AA507" s="165"/>
      <c r="AB507" s="165"/>
      <c r="AC507" s="165"/>
      <c r="AD507" s="165"/>
      <c r="AE507" s="165"/>
      <c r="AF507" s="165"/>
      <c r="AG507" s="165"/>
      <c r="AH507" s="165"/>
      <c r="AI507" s="165"/>
      <c r="AJ507" s="165"/>
      <c r="AK507" s="165"/>
      <c r="AL507" s="165"/>
      <c r="AM507" s="165"/>
      <c r="AN507" s="165"/>
      <c r="AO507" s="165"/>
      <c r="AP507" s="165"/>
      <c r="AQ507" s="165"/>
      <c r="AR507" s="165"/>
      <c r="AS507" s="165"/>
      <c r="AT507" s="165"/>
      <c r="AU507" s="165"/>
      <c r="AV507" s="165"/>
      <c r="AW507" s="165"/>
      <c r="AX507" s="165"/>
    </row>
    <row r="508" ht="15.75" customHeight="1">
      <c r="A508" s="165"/>
      <c r="B508" s="165"/>
      <c r="C508" s="165"/>
      <c r="D508" s="165"/>
      <c r="E508" s="165"/>
      <c r="F508" s="165"/>
      <c r="G508" s="165"/>
      <c r="H508" s="165"/>
      <c r="I508" s="165"/>
      <c r="J508" s="165"/>
      <c r="K508" s="165"/>
      <c r="L508" s="165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  <c r="AA508" s="165"/>
      <c r="AB508" s="165"/>
      <c r="AC508" s="165"/>
      <c r="AD508" s="165"/>
      <c r="AE508" s="165"/>
      <c r="AF508" s="165"/>
      <c r="AG508" s="165"/>
      <c r="AH508" s="165"/>
      <c r="AI508" s="165"/>
      <c r="AJ508" s="165"/>
      <c r="AK508" s="165"/>
      <c r="AL508" s="165"/>
      <c r="AM508" s="165"/>
      <c r="AN508" s="165"/>
      <c r="AO508" s="165"/>
      <c r="AP508" s="165"/>
      <c r="AQ508" s="165"/>
      <c r="AR508" s="165"/>
      <c r="AS508" s="165"/>
      <c r="AT508" s="165"/>
      <c r="AU508" s="165"/>
      <c r="AV508" s="165"/>
      <c r="AW508" s="165"/>
      <c r="AX508" s="165"/>
    </row>
    <row r="509" ht="15.75" customHeight="1">
      <c r="A509" s="165"/>
      <c r="B509" s="165"/>
      <c r="C509" s="165"/>
      <c r="D509" s="165"/>
      <c r="E509" s="165"/>
      <c r="F509" s="165"/>
      <c r="G509" s="165"/>
      <c r="H509" s="165"/>
      <c r="I509" s="165"/>
      <c r="J509" s="165"/>
      <c r="K509" s="165"/>
      <c r="L509" s="165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  <c r="AA509" s="165"/>
      <c r="AB509" s="165"/>
      <c r="AC509" s="165"/>
      <c r="AD509" s="165"/>
      <c r="AE509" s="165"/>
      <c r="AF509" s="165"/>
      <c r="AG509" s="165"/>
      <c r="AH509" s="165"/>
      <c r="AI509" s="165"/>
      <c r="AJ509" s="165"/>
      <c r="AK509" s="165"/>
      <c r="AL509" s="165"/>
      <c r="AM509" s="165"/>
      <c r="AN509" s="165"/>
      <c r="AO509" s="165"/>
      <c r="AP509" s="165"/>
      <c r="AQ509" s="165"/>
      <c r="AR509" s="165"/>
      <c r="AS509" s="165"/>
      <c r="AT509" s="165"/>
      <c r="AU509" s="165"/>
      <c r="AV509" s="165"/>
      <c r="AW509" s="165"/>
      <c r="AX509" s="165"/>
    </row>
    <row r="510" ht="15.75" customHeight="1">
      <c r="A510" s="165"/>
      <c r="B510" s="165"/>
      <c r="C510" s="165"/>
      <c r="D510" s="165"/>
      <c r="E510" s="165"/>
      <c r="F510" s="165"/>
      <c r="G510" s="165"/>
      <c r="H510" s="165"/>
      <c r="I510" s="165"/>
      <c r="J510" s="165"/>
      <c r="K510" s="165"/>
      <c r="L510" s="165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  <c r="AA510" s="165"/>
      <c r="AB510" s="165"/>
      <c r="AC510" s="165"/>
      <c r="AD510" s="165"/>
      <c r="AE510" s="165"/>
      <c r="AF510" s="165"/>
      <c r="AG510" s="165"/>
      <c r="AH510" s="165"/>
      <c r="AI510" s="165"/>
      <c r="AJ510" s="165"/>
      <c r="AK510" s="165"/>
      <c r="AL510" s="165"/>
      <c r="AM510" s="165"/>
      <c r="AN510" s="165"/>
      <c r="AO510" s="165"/>
      <c r="AP510" s="165"/>
      <c r="AQ510" s="165"/>
      <c r="AR510" s="165"/>
      <c r="AS510" s="165"/>
      <c r="AT510" s="165"/>
      <c r="AU510" s="165"/>
      <c r="AV510" s="165"/>
      <c r="AW510" s="165"/>
      <c r="AX510" s="165"/>
    </row>
    <row r="511" ht="15.75" customHeight="1">
      <c r="A511" s="165"/>
      <c r="B511" s="165"/>
      <c r="C511" s="165"/>
      <c r="D511" s="165"/>
      <c r="E511" s="165"/>
      <c r="F511" s="165"/>
      <c r="G511" s="165"/>
      <c r="H511" s="165"/>
      <c r="I511" s="165"/>
      <c r="J511" s="165"/>
      <c r="K511" s="165"/>
      <c r="L511" s="165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  <c r="AA511" s="165"/>
      <c r="AB511" s="165"/>
      <c r="AC511" s="165"/>
      <c r="AD511" s="165"/>
      <c r="AE511" s="165"/>
      <c r="AF511" s="165"/>
      <c r="AG511" s="165"/>
      <c r="AH511" s="165"/>
      <c r="AI511" s="165"/>
      <c r="AJ511" s="165"/>
      <c r="AK511" s="165"/>
      <c r="AL511" s="165"/>
      <c r="AM511" s="165"/>
      <c r="AN511" s="165"/>
      <c r="AO511" s="165"/>
      <c r="AP511" s="165"/>
      <c r="AQ511" s="165"/>
      <c r="AR511" s="165"/>
      <c r="AS511" s="165"/>
      <c r="AT511" s="165"/>
      <c r="AU511" s="165"/>
      <c r="AV511" s="165"/>
      <c r="AW511" s="165"/>
      <c r="AX511" s="165"/>
    </row>
    <row r="512" ht="15.75" customHeight="1">
      <c r="A512" s="165"/>
      <c r="B512" s="165"/>
      <c r="C512" s="165"/>
      <c r="D512" s="165"/>
      <c r="E512" s="165"/>
      <c r="F512" s="165"/>
      <c r="G512" s="165"/>
      <c r="H512" s="165"/>
      <c r="I512" s="165"/>
      <c r="J512" s="165"/>
      <c r="K512" s="165"/>
      <c r="L512" s="165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  <c r="AA512" s="165"/>
      <c r="AB512" s="165"/>
      <c r="AC512" s="165"/>
      <c r="AD512" s="165"/>
      <c r="AE512" s="165"/>
      <c r="AF512" s="165"/>
      <c r="AG512" s="165"/>
      <c r="AH512" s="165"/>
      <c r="AI512" s="165"/>
      <c r="AJ512" s="165"/>
      <c r="AK512" s="165"/>
      <c r="AL512" s="165"/>
      <c r="AM512" s="165"/>
      <c r="AN512" s="165"/>
      <c r="AO512" s="165"/>
      <c r="AP512" s="165"/>
      <c r="AQ512" s="165"/>
      <c r="AR512" s="165"/>
      <c r="AS512" s="165"/>
      <c r="AT512" s="165"/>
      <c r="AU512" s="165"/>
      <c r="AV512" s="165"/>
      <c r="AW512" s="165"/>
      <c r="AX512" s="165"/>
    </row>
    <row r="513" ht="15.75" customHeight="1">
      <c r="A513" s="165"/>
      <c r="B513" s="165"/>
      <c r="C513" s="165"/>
      <c r="D513" s="165"/>
      <c r="E513" s="165"/>
      <c r="F513" s="165"/>
      <c r="G513" s="165"/>
      <c r="H513" s="165"/>
      <c r="I513" s="165"/>
      <c r="J513" s="165"/>
      <c r="K513" s="165"/>
      <c r="L513" s="165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  <c r="AA513" s="165"/>
      <c r="AB513" s="165"/>
      <c r="AC513" s="165"/>
      <c r="AD513" s="165"/>
      <c r="AE513" s="165"/>
      <c r="AF513" s="165"/>
      <c r="AG513" s="165"/>
      <c r="AH513" s="165"/>
      <c r="AI513" s="165"/>
      <c r="AJ513" s="165"/>
      <c r="AK513" s="165"/>
      <c r="AL513" s="165"/>
      <c r="AM513" s="165"/>
      <c r="AN513" s="165"/>
      <c r="AO513" s="165"/>
      <c r="AP513" s="165"/>
      <c r="AQ513" s="165"/>
      <c r="AR513" s="165"/>
      <c r="AS513" s="165"/>
      <c r="AT513" s="165"/>
      <c r="AU513" s="165"/>
      <c r="AV513" s="165"/>
      <c r="AW513" s="165"/>
      <c r="AX513" s="165"/>
    </row>
    <row r="514" ht="15.75" customHeight="1">
      <c r="A514" s="165"/>
      <c r="B514" s="165"/>
      <c r="C514" s="165"/>
      <c r="D514" s="165"/>
      <c r="E514" s="165"/>
      <c r="F514" s="165"/>
      <c r="G514" s="165"/>
      <c r="H514" s="165"/>
      <c r="I514" s="165"/>
      <c r="J514" s="165"/>
      <c r="K514" s="165"/>
      <c r="L514" s="165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  <c r="AA514" s="165"/>
      <c r="AB514" s="165"/>
      <c r="AC514" s="165"/>
      <c r="AD514" s="165"/>
      <c r="AE514" s="165"/>
      <c r="AF514" s="165"/>
      <c r="AG514" s="165"/>
      <c r="AH514" s="165"/>
      <c r="AI514" s="165"/>
      <c r="AJ514" s="165"/>
      <c r="AK514" s="165"/>
      <c r="AL514" s="165"/>
      <c r="AM514" s="165"/>
      <c r="AN514" s="165"/>
      <c r="AO514" s="165"/>
      <c r="AP514" s="165"/>
      <c r="AQ514" s="165"/>
      <c r="AR514" s="165"/>
      <c r="AS514" s="165"/>
      <c r="AT514" s="165"/>
      <c r="AU514" s="165"/>
      <c r="AV514" s="165"/>
      <c r="AW514" s="165"/>
      <c r="AX514" s="165"/>
    </row>
    <row r="515" ht="15.75" customHeight="1">
      <c r="A515" s="165"/>
      <c r="B515" s="165"/>
      <c r="C515" s="165"/>
      <c r="D515" s="165"/>
      <c r="E515" s="165"/>
      <c r="F515" s="165"/>
      <c r="G515" s="165"/>
      <c r="H515" s="165"/>
      <c r="I515" s="165"/>
      <c r="J515" s="165"/>
      <c r="K515" s="165"/>
      <c r="L515" s="165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  <c r="AA515" s="165"/>
      <c r="AB515" s="165"/>
      <c r="AC515" s="165"/>
      <c r="AD515" s="165"/>
      <c r="AE515" s="165"/>
      <c r="AF515" s="165"/>
      <c r="AG515" s="165"/>
      <c r="AH515" s="165"/>
      <c r="AI515" s="165"/>
      <c r="AJ515" s="165"/>
      <c r="AK515" s="165"/>
      <c r="AL515" s="165"/>
      <c r="AM515" s="165"/>
      <c r="AN515" s="165"/>
      <c r="AO515" s="165"/>
      <c r="AP515" s="165"/>
      <c r="AQ515" s="165"/>
      <c r="AR515" s="165"/>
      <c r="AS515" s="165"/>
      <c r="AT515" s="165"/>
      <c r="AU515" s="165"/>
      <c r="AV515" s="165"/>
      <c r="AW515" s="165"/>
      <c r="AX515" s="165"/>
    </row>
    <row r="516" ht="15.75" customHeight="1">
      <c r="A516" s="165"/>
      <c r="B516" s="165"/>
      <c r="C516" s="165"/>
      <c r="D516" s="165"/>
      <c r="E516" s="165"/>
      <c r="F516" s="165"/>
      <c r="G516" s="165"/>
      <c r="H516" s="165"/>
      <c r="I516" s="165"/>
      <c r="J516" s="165"/>
      <c r="K516" s="165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  <c r="AA516" s="165"/>
      <c r="AB516" s="165"/>
      <c r="AC516" s="165"/>
      <c r="AD516" s="165"/>
      <c r="AE516" s="165"/>
      <c r="AF516" s="165"/>
      <c r="AG516" s="165"/>
      <c r="AH516" s="165"/>
      <c r="AI516" s="165"/>
      <c r="AJ516" s="165"/>
      <c r="AK516" s="165"/>
      <c r="AL516" s="165"/>
      <c r="AM516" s="165"/>
      <c r="AN516" s="165"/>
      <c r="AO516" s="165"/>
      <c r="AP516" s="165"/>
      <c r="AQ516" s="165"/>
      <c r="AR516" s="165"/>
      <c r="AS516" s="165"/>
      <c r="AT516" s="165"/>
      <c r="AU516" s="165"/>
      <c r="AV516" s="165"/>
      <c r="AW516" s="165"/>
      <c r="AX516" s="165"/>
    </row>
    <row r="517" ht="15.75" customHeight="1">
      <c r="A517" s="165"/>
      <c r="B517" s="165"/>
      <c r="C517" s="165"/>
      <c r="D517" s="165"/>
      <c r="E517" s="165"/>
      <c r="F517" s="165"/>
      <c r="G517" s="165"/>
      <c r="H517" s="165"/>
      <c r="I517" s="165"/>
      <c r="J517" s="165"/>
      <c r="K517" s="165"/>
      <c r="L517" s="165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  <c r="AA517" s="165"/>
      <c r="AB517" s="165"/>
      <c r="AC517" s="165"/>
      <c r="AD517" s="165"/>
      <c r="AE517" s="165"/>
      <c r="AF517" s="165"/>
      <c r="AG517" s="165"/>
      <c r="AH517" s="165"/>
      <c r="AI517" s="165"/>
      <c r="AJ517" s="165"/>
      <c r="AK517" s="165"/>
      <c r="AL517" s="165"/>
      <c r="AM517" s="165"/>
      <c r="AN517" s="165"/>
      <c r="AO517" s="165"/>
      <c r="AP517" s="165"/>
      <c r="AQ517" s="165"/>
      <c r="AR517" s="165"/>
      <c r="AS517" s="165"/>
      <c r="AT517" s="165"/>
      <c r="AU517" s="165"/>
      <c r="AV517" s="165"/>
      <c r="AW517" s="165"/>
      <c r="AX517" s="165"/>
    </row>
    <row r="518" ht="15.75" customHeight="1">
      <c r="A518" s="165"/>
      <c r="B518" s="165"/>
      <c r="C518" s="165"/>
      <c r="D518" s="165"/>
      <c r="E518" s="165"/>
      <c r="F518" s="165"/>
      <c r="G518" s="165"/>
      <c r="H518" s="165"/>
      <c r="I518" s="165"/>
      <c r="J518" s="165"/>
      <c r="K518" s="165"/>
      <c r="L518" s="165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  <c r="AA518" s="165"/>
      <c r="AB518" s="165"/>
      <c r="AC518" s="165"/>
      <c r="AD518" s="165"/>
      <c r="AE518" s="165"/>
      <c r="AF518" s="165"/>
      <c r="AG518" s="165"/>
      <c r="AH518" s="165"/>
      <c r="AI518" s="165"/>
      <c r="AJ518" s="165"/>
      <c r="AK518" s="165"/>
      <c r="AL518" s="165"/>
      <c r="AM518" s="165"/>
      <c r="AN518" s="165"/>
      <c r="AO518" s="165"/>
      <c r="AP518" s="165"/>
      <c r="AQ518" s="165"/>
      <c r="AR518" s="165"/>
      <c r="AS518" s="165"/>
      <c r="AT518" s="165"/>
      <c r="AU518" s="165"/>
      <c r="AV518" s="165"/>
      <c r="AW518" s="165"/>
      <c r="AX518" s="165"/>
    </row>
    <row r="519" ht="15.75" customHeight="1">
      <c r="A519" s="165"/>
      <c r="B519" s="165"/>
      <c r="C519" s="165"/>
      <c r="D519" s="165"/>
      <c r="E519" s="165"/>
      <c r="F519" s="165"/>
      <c r="G519" s="165"/>
      <c r="H519" s="165"/>
      <c r="I519" s="165"/>
      <c r="J519" s="165"/>
      <c r="K519" s="165"/>
      <c r="L519" s="165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  <c r="AA519" s="165"/>
      <c r="AB519" s="165"/>
      <c r="AC519" s="165"/>
      <c r="AD519" s="165"/>
      <c r="AE519" s="165"/>
      <c r="AF519" s="165"/>
      <c r="AG519" s="165"/>
      <c r="AH519" s="165"/>
      <c r="AI519" s="165"/>
      <c r="AJ519" s="165"/>
      <c r="AK519" s="165"/>
      <c r="AL519" s="165"/>
      <c r="AM519" s="165"/>
      <c r="AN519" s="165"/>
      <c r="AO519" s="165"/>
      <c r="AP519" s="165"/>
      <c r="AQ519" s="165"/>
      <c r="AR519" s="165"/>
      <c r="AS519" s="165"/>
      <c r="AT519" s="165"/>
      <c r="AU519" s="165"/>
      <c r="AV519" s="165"/>
      <c r="AW519" s="165"/>
      <c r="AX519" s="165"/>
    </row>
    <row r="520" ht="15.75" customHeight="1">
      <c r="A520" s="165"/>
      <c r="B520" s="165"/>
      <c r="C520" s="165"/>
      <c r="D520" s="165"/>
      <c r="E520" s="165"/>
      <c r="F520" s="165"/>
      <c r="G520" s="165"/>
      <c r="H520" s="165"/>
      <c r="I520" s="165"/>
      <c r="J520" s="165"/>
      <c r="K520" s="165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  <c r="AA520" s="165"/>
      <c r="AB520" s="165"/>
      <c r="AC520" s="165"/>
      <c r="AD520" s="165"/>
      <c r="AE520" s="165"/>
      <c r="AF520" s="165"/>
      <c r="AG520" s="165"/>
      <c r="AH520" s="165"/>
      <c r="AI520" s="165"/>
      <c r="AJ520" s="165"/>
      <c r="AK520" s="165"/>
      <c r="AL520" s="165"/>
      <c r="AM520" s="165"/>
      <c r="AN520" s="165"/>
      <c r="AO520" s="165"/>
      <c r="AP520" s="165"/>
      <c r="AQ520" s="165"/>
      <c r="AR520" s="165"/>
      <c r="AS520" s="165"/>
      <c r="AT520" s="165"/>
      <c r="AU520" s="165"/>
      <c r="AV520" s="165"/>
      <c r="AW520" s="165"/>
      <c r="AX520" s="165"/>
    </row>
    <row r="521" ht="15.75" customHeight="1">
      <c r="A521" s="165"/>
      <c r="B521" s="165"/>
      <c r="C521" s="165"/>
      <c r="D521" s="165"/>
      <c r="E521" s="165"/>
      <c r="F521" s="165"/>
      <c r="G521" s="165"/>
      <c r="H521" s="165"/>
      <c r="I521" s="165"/>
      <c r="J521" s="165"/>
      <c r="K521" s="165"/>
      <c r="L521" s="165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  <c r="AA521" s="165"/>
      <c r="AB521" s="165"/>
      <c r="AC521" s="165"/>
      <c r="AD521" s="165"/>
      <c r="AE521" s="165"/>
      <c r="AF521" s="165"/>
      <c r="AG521" s="165"/>
      <c r="AH521" s="165"/>
      <c r="AI521" s="165"/>
      <c r="AJ521" s="165"/>
      <c r="AK521" s="165"/>
      <c r="AL521" s="165"/>
      <c r="AM521" s="165"/>
      <c r="AN521" s="165"/>
      <c r="AO521" s="165"/>
      <c r="AP521" s="165"/>
      <c r="AQ521" s="165"/>
      <c r="AR521" s="165"/>
      <c r="AS521" s="165"/>
      <c r="AT521" s="165"/>
      <c r="AU521" s="165"/>
      <c r="AV521" s="165"/>
      <c r="AW521" s="165"/>
      <c r="AX521" s="165"/>
    </row>
    <row r="522" ht="15.75" customHeight="1">
      <c r="A522" s="165"/>
      <c r="B522" s="165"/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5"/>
      <c r="AJ522" s="165"/>
      <c r="AK522" s="165"/>
      <c r="AL522" s="165"/>
      <c r="AM522" s="165"/>
      <c r="AN522" s="165"/>
      <c r="AO522" s="165"/>
      <c r="AP522" s="165"/>
      <c r="AQ522" s="165"/>
      <c r="AR522" s="165"/>
      <c r="AS522" s="165"/>
      <c r="AT522" s="165"/>
      <c r="AU522" s="165"/>
      <c r="AV522" s="165"/>
      <c r="AW522" s="165"/>
      <c r="AX522" s="165"/>
    </row>
    <row r="523" ht="15.75" customHeight="1">
      <c r="A523" s="165"/>
      <c r="B523" s="165"/>
      <c r="C523" s="165"/>
      <c r="D523" s="165"/>
      <c r="E523" s="165"/>
      <c r="F523" s="165"/>
      <c r="G523" s="165"/>
      <c r="H523" s="165"/>
      <c r="I523" s="165"/>
      <c r="J523" s="165"/>
      <c r="K523" s="165"/>
      <c r="L523" s="165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  <c r="AI523" s="165"/>
      <c r="AJ523" s="165"/>
      <c r="AK523" s="165"/>
      <c r="AL523" s="165"/>
      <c r="AM523" s="165"/>
      <c r="AN523" s="165"/>
      <c r="AO523" s="165"/>
      <c r="AP523" s="165"/>
      <c r="AQ523" s="165"/>
      <c r="AR523" s="165"/>
      <c r="AS523" s="165"/>
      <c r="AT523" s="165"/>
      <c r="AU523" s="165"/>
      <c r="AV523" s="165"/>
      <c r="AW523" s="165"/>
      <c r="AX523" s="165"/>
    </row>
    <row r="524" ht="15.75" customHeight="1">
      <c r="A524" s="165"/>
      <c r="B524" s="165"/>
      <c r="C524" s="165"/>
      <c r="D524" s="165"/>
      <c r="E524" s="165"/>
      <c r="F524" s="165"/>
      <c r="G524" s="165"/>
      <c r="H524" s="165"/>
      <c r="I524" s="165"/>
      <c r="J524" s="165"/>
      <c r="K524" s="165"/>
      <c r="L524" s="165"/>
      <c r="M524" s="165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  <c r="AA524" s="165"/>
      <c r="AB524" s="165"/>
      <c r="AC524" s="165"/>
      <c r="AD524" s="165"/>
      <c r="AE524" s="165"/>
      <c r="AF524" s="165"/>
      <c r="AG524" s="165"/>
      <c r="AH524" s="165"/>
      <c r="AI524" s="165"/>
      <c r="AJ524" s="165"/>
      <c r="AK524" s="165"/>
      <c r="AL524" s="165"/>
      <c r="AM524" s="165"/>
      <c r="AN524" s="165"/>
      <c r="AO524" s="165"/>
      <c r="AP524" s="165"/>
      <c r="AQ524" s="165"/>
      <c r="AR524" s="165"/>
      <c r="AS524" s="165"/>
      <c r="AT524" s="165"/>
      <c r="AU524" s="165"/>
      <c r="AV524" s="165"/>
      <c r="AW524" s="165"/>
      <c r="AX524" s="165"/>
    </row>
    <row r="525" ht="15.75" customHeight="1">
      <c r="A525" s="165"/>
      <c r="B525" s="165"/>
      <c r="C525" s="165"/>
      <c r="D525" s="165"/>
      <c r="E525" s="165"/>
      <c r="F525" s="165"/>
      <c r="G525" s="165"/>
      <c r="H525" s="165"/>
      <c r="I525" s="165"/>
      <c r="J525" s="165"/>
      <c r="K525" s="165"/>
      <c r="L525" s="165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  <c r="AA525" s="165"/>
      <c r="AB525" s="165"/>
      <c r="AC525" s="165"/>
      <c r="AD525" s="165"/>
      <c r="AE525" s="165"/>
      <c r="AF525" s="165"/>
      <c r="AG525" s="165"/>
      <c r="AH525" s="165"/>
      <c r="AI525" s="165"/>
      <c r="AJ525" s="165"/>
      <c r="AK525" s="165"/>
      <c r="AL525" s="165"/>
      <c r="AM525" s="165"/>
      <c r="AN525" s="165"/>
      <c r="AO525" s="165"/>
      <c r="AP525" s="165"/>
      <c r="AQ525" s="165"/>
      <c r="AR525" s="165"/>
      <c r="AS525" s="165"/>
      <c r="AT525" s="165"/>
      <c r="AU525" s="165"/>
      <c r="AV525" s="165"/>
      <c r="AW525" s="165"/>
      <c r="AX525" s="165"/>
    </row>
    <row r="526" ht="15.75" customHeight="1">
      <c r="A526" s="165"/>
      <c r="B526" s="165"/>
      <c r="C526" s="165"/>
      <c r="D526" s="165"/>
      <c r="E526" s="165"/>
      <c r="F526" s="165"/>
      <c r="G526" s="165"/>
      <c r="H526" s="165"/>
      <c r="I526" s="165"/>
      <c r="J526" s="165"/>
      <c r="K526" s="165"/>
      <c r="L526" s="165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  <c r="AA526" s="165"/>
      <c r="AB526" s="165"/>
      <c r="AC526" s="165"/>
      <c r="AD526" s="165"/>
      <c r="AE526" s="165"/>
      <c r="AF526" s="165"/>
      <c r="AG526" s="165"/>
      <c r="AH526" s="165"/>
      <c r="AI526" s="165"/>
      <c r="AJ526" s="165"/>
      <c r="AK526" s="165"/>
      <c r="AL526" s="165"/>
      <c r="AM526" s="165"/>
      <c r="AN526" s="165"/>
      <c r="AO526" s="165"/>
      <c r="AP526" s="165"/>
      <c r="AQ526" s="165"/>
      <c r="AR526" s="165"/>
      <c r="AS526" s="165"/>
      <c r="AT526" s="165"/>
      <c r="AU526" s="165"/>
      <c r="AV526" s="165"/>
      <c r="AW526" s="165"/>
      <c r="AX526" s="165"/>
    </row>
    <row r="527" ht="15.75" customHeight="1">
      <c r="A527" s="165"/>
      <c r="B527" s="165"/>
      <c r="C527" s="165"/>
      <c r="D527" s="165"/>
      <c r="E527" s="165"/>
      <c r="F527" s="165"/>
      <c r="G527" s="165"/>
      <c r="H527" s="165"/>
      <c r="I527" s="165"/>
      <c r="J527" s="165"/>
      <c r="K527" s="165"/>
      <c r="L527" s="165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  <c r="AA527" s="165"/>
      <c r="AB527" s="165"/>
      <c r="AC527" s="165"/>
      <c r="AD527" s="165"/>
      <c r="AE527" s="165"/>
      <c r="AF527" s="165"/>
      <c r="AG527" s="165"/>
      <c r="AH527" s="165"/>
      <c r="AI527" s="165"/>
      <c r="AJ527" s="165"/>
      <c r="AK527" s="165"/>
      <c r="AL527" s="165"/>
      <c r="AM527" s="165"/>
      <c r="AN527" s="165"/>
      <c r="AO527" s="165"/>
      <c r="AP527" s="165"/>
      <c r="AQ527" s="165"/>
      <c r="AR527" s="165"/>
      <c r="AS527" s="165"/>
      <c r="AT527" s="165"/>
      <c r="AU527" s="165"/>
      <c r="AV527" s="165"/>
      <c r="AW527" s="165"/>
      <c r="AX527" s="165"/>
    </row>
    <row r="528" ht="15.75" customHeight="1">
      <c r="A528" s="165"/>
      <c r="B528" s="165"/>
      <c r="C528" s="165"/>
      <c r="D528" s="165"/>
      <c r="E528" s="165"/>
      <c r="F528" s="165"/>
      <c r="G528" s="165"/>
      <c r="H528" s="165"/>
      <c r="I528" s="165"/>
      <c r="J528" s="165"/>
      <c r="K528" s="165"/>
      <c r="L528" s="165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  <c r="AA528" s="165"/>
      <c r="AB528" s="165"/>
      <c r="AC528" s="165"/>
      <c r="AD528" s="165"/>
      <c r="AE528" s="165"/>
      <c r="AF528" s="165"/>
      <c r="AG528" s="165"/>
      <c r="AH528" s="165"/>
      <c r="AI528" s="165"/>
      <c r="AJ528" s="165"/>
      <c r="AK528" s="165"/>
      <c r="AL528" s="165"/>
      <c r="AM528" s="165"/>
      <c r="AN528" s="165"/>
      <c r="AO528" s="165"/>
      <c r="AP528" s="165"/>
      <c r="AQ528" s="165"/>
      <c r="AR528" s="165"/>
      <c r="AS528" s="165"/>
      <c r="AT528" s="165"/>
      <c r="AU528" s="165"/>
      <c r="AV528" s="165"/>
      <c r="AW528" s="165"/>
      <c r="AX528" s="165"/>
    </row>
    <row r="529" ht="15.75" customHeight="1">
      <c r="A529" s="165"/>
      <c r="B529" s="165"/>
      <c r="C529" s="165"/>
      <c r="D529" s="165"/>
      <c r="E529" s="165"/>
      <c r="F529" s="165"/>
      <c r="G529" s="165"/>
      <c r="H529" s="165"/>
      <c r="I529" s="165"/>
      <c r="J529" s="165"/>
      <c r="K529" s="165"/>
      <c r="L529" s="165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  <c r="AA529" s="165"/>
      <c r="AB529" s="165"/>
      <c r="AC529" s="165"/>
      <c r="AD529" s="165"/>
      <c r="AE529" s="165"/>
      <c r="AF529" s="165"/>
      <c r="AG529" s="165"/>
      <c r="AH529" s="165"/>
      <c r="AI529" s="165"/>
      <c r="AJ529" s="165"/>
      <c r="AK529" s="165"/>
      <c r="AL529" s="165"/>
      <c r="AM529" s="165"/>
      <c r="AN529" s="165"/>
      <c r="AO529" s="165"/>
      <c r="AP529" s="165"/>
      <c r="AQ529" s="165"/>
      <c r="AR529" s="165"/>
      <c r="AS529" s="165"/>
      <c r="AT529" s="165"/>
      <c r="AU529" s="165"/>
      <c r="AV529" s="165"/>
      <c r="AW529" s="165"/>
      <c r="AX529" s="165"/>
    </row>
    <row r="530" ht="15.75" customHeight="1">
      <c r="A530" s="165"/>
      <c r="B530" s="165"/>
      <c r="C530" s="165"/>
      <c r="D530" s="165"/>
      <c r="E530" s="165"/>
      <c r="F530" s="165"/>
      <c r="G530" s="165"/>
      <c r="H530" s="165"/>
      <c r="I530" s="165"/>
      <c r="J530" s="165"/>
      <c r="K530" s="165"/>
      <c r="L530" s="165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  <c r="AA530" s="165"/>
      <c r="AB530" s="165"/>
      <c r="AC530" s="165"/>
      <c r="AD530" s="165"/>
      <c r="AE530" s="165"/>
      <c r="AF530" s="165"/>
      <c r="AG530" s="165"/>
      <c r="AH530" s="165"/>
      <c r="AI530" s="165"/>
      <c r="AJ530" s="165"/>
      <c r="AK530" s="165"/>
      <c r="AL530" s="165"/>
      <c r="AM530" s="165"/>
      <c r="AN530" s="165"/>
      <c r="AO530" s="165"/>
      <c r="AP530" s="165"/>
      <c r="AQ530" s="165"/>
      <c r="AR530" s="165"/>
      <c r="AS530" s="165"/>
      <c r="AT530" s="165"/>
      <c r="AU530" s="165"/>
      <c r="AV530" s="165"/>
      <c r="AW530" s="165"/>
      <c r="AX530" s="165"/>
    </row>
    <row r="531" ht="15.75" customHeight="1">
      <c r="A531" s="165"/>
      <c r="B531" s="165"/>
      <c r="C531" s="165"/>
      <c r="D531" s="165"/>
      <c r="E531" s="165"/>
      <c r="F531" s="165"/>
      <c r="G531" s="165"/>
      <c r="H531" s="165"/>
      <c r="I531" s="165"/>
      <c r="J531" s="165"/>
      <c r="K531" s="165"/>
      <c r="L531" s="165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  <c r="AA531" s="165"/>
      <c r="AB531" s="165"/>
      <c r="AC531" s="165"/>
      <c r="AD531" s="165"/>
      <c r="AE531" s="165"/>
      <c r="AF531" s="165"/>
      <c r="AG531" s="165"/>
      <c r="AH531" s="165"/>
      <c r="AI531" s="165"/>
      <c r="AJ531" s="165"/>
      <c r="AK531" s="165"/>
      <c r="AL531" s="165"/>
      <c r="AM531" s="165"/>
      <c r="AN531" s="165"/>
      <c r="AO531" s="165"/>
      <c r="AP531" s="165"/>
      <c r="AQ531" s="165"/>
      <c r="AR531" s="165"/>
      <c r="AS531" s="165"/>
      <c r="AT531" s="165"/>
      <c r="AU531" s="165"/>
      <c r="AV531" s="165"/>
      <c r="AW531" s="165"/>
      <c r="AX531" s="165"/>
    </row>
    <row r="532" ht="15.75" customHeight="1">
      <c r="A532" s="165"/>
      <c r="B532" s="165"/>
      <c r="C532" s="165"/>
      <c r="D532" s="165"/>
      <c r="E532" s="165"/>
      <c r="F532" s="165"/>
      <c r="G532" s="165"/>
      <c r="H532" s="165"/>
      <c r="I532" s="165"/>
      <c r="J532" s="165"/>
      <c r="K532" s="165"/>
      <c r="L532" s="165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  <c r="AA532" s="165"/>
      <c r="AB532" s="165"/>
      <c r="AC532" s="165"/>
      <c r="AD532" s="165"/>
      <c r="AE532" s="165"/>
      <c r="AF532" s="165"/>
      <c r="AG532" s="165"/>
      <c r="AH532" s="165"/>
      <c r="AI532" s="165"/>
      <c r="AJ532" s="165"/>
      <c r="AK532" s="165"/>
      <c r="AL532" s="165"/>
      <c r="AM532" s="165"/>
      <c r="AN532" s="165"/>
      <c r="AO532" s="165"/>
      <c r="AP532" s="165"/>
      <c r="AQ532" s="165"/>
      <c r="AR532" s="165"/>
      <c r="AS532" s="165"/>
      <c r="AT532" s="165"/>
      <c r="AU532" s="165"/>
      <c r="AV532" s="165"/>
      <c r="AW532" s="165"/>
      <c r="AX532" s="165"/>
    </row>
    <row r="533" ht="15.75" customHeight="1">
      <c r="A533" s="165"/>
      <c r="B533" s="165"/>
      <c r="C533" s="165"/>
      <c r="D533" s="165"/>
      <c r="E533" s="165"/>
      <c r="F533" s="165"/>
      <c r="G533" s="165"/>
      <c r="H533" s="165"/>
      <c r="I533" s="165"/>
      <c r="J533" s="165"/>
      <c r="K533" s="165"/>
      <c r="L533" s="165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  <c r="AA533" s="165"/>
      <c r="AB533" s="165"/>
      <c r="AC533" s="165"/>
      <c r="AD533" s="165"/>
      <c r="AE533" s="165"/>
      <c r="AF533" s="165"/>
      <c r="AG533" s="165"/>
      <c r="AH533" s="165"/>
      <c r="AI533" s="165"/>
      <c r="AJ533" s="165"/>
      <c r="AK533" s="165"/>
      <c r="AL533" s="165"/>
      <c r="AM533" s="165"/>
      <c r="AN533" s="165"/>
      <c r="AO533" s="165"/>
      <c r="AP533" s="165"/>
      <c r="AQ533" s="165"/>
      <c r="AR533" s="165"/>
      <c r="AS533" s="165"/>
      <c r="AT533" s="165"/>
      <c r="AU533" s="165"/>
      <c r="AV533" s="165"/>
      <c r="AW533" s="165"/>
      <c r="AX533" s="165"/>
    </row>
    <row r="534" ht="15.75" customHeight="1">
      <c r="A534" s="165"/>
      <c r="B534" s="165"/>
      <c r="C534" s="165"/>
      <c r="D534" s="165"/>
      <c r="E534" s="165"/>
      <c r="F534" s="165"/>
      <c r="G534" s="165"/>
      <c r="H534" s="165"/>
      <c r="I534" s="165"/>
      <c r="J534" s="165"/>
      <c r="K534" s="165"/>
      <c r="L534" s="165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  <c r="AA534" s="165"/>
      <c r="AB534" s="165"/>
      <c r="AC534" s="165"/>
      <c r="AD534" s="165"/>
      <c r="AE534" s="165"/>
      <c r="AF534" s="165"/>
      <c r="AG534" s="165"/>
      <c r="AH534" s="165"/>
      <c r="AI534" s="165"/>
      <c r="AJ534" s="165"/>
      <c r="AK534" s="165"/>
      <c r="AL534" s="165"/>
      <c r="AM534" s="165"/>
      <c r="AN534" s="165"/>
      <c r="AO534" s="165"/>
      <c r="AP534" s="165"/>
      <c r="AQ534" s="165"/>
      <c r="AR534" s="165"/>
      <c r="AS534" s="165"/>
      <c r="AT534" s="165"/>
      <c r="AU534" s="165"/>
      <c r="AV534" s="165"/>
      <c r="AW534" s="165"/>
      <c r="AX534" s="165"/>
    </row>
    <row r="535" ht="15.75" customHeight="1">
      <c r="A535" s="165"/>
      <c r="B535" s="165"/>
      <c r="C535" s="165"/>
      <c r="D535" s="165"/>
      <c r="E535" s="165"/>
      <c r="F535" s="165"/>
      <c r="G535" s="165"/>
      <c r="H535" s="165"/>
      <c r="I535" s="165"/>
      <c r="J535" s="165"/>
      <c r="K535" s="165"/>
      <c r="L535" s="165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  <c r="AA535" s="165"/>
      <c r="AB535" s="165"/>
      <c r="AC535" s="165"/>
      <c r="AD535" s="165"/>
      <c r="AE535" s="165"/>
      <c r="AF535" s="165"/>
      <c r="AG535" s="165"/>
      <c r="AH535" s="165"/>
      <c r="AI535" s="165"/>
      <c r="AJ535" s="165"/>
      <c r="AK535" s="165"/>
      <c r="AL535" s="165"/>
      <c r="AM535" s="165"/>
      <c r="AN535" s="165"/>
      <c r="AO535" s="165"/>
      <c r="AP535" s="165"/>
      <c r="AQ535" s="165"/>
      <c r="AR535" s="165"/>
      <c r="AS535" s="165"/>
      <c r="AT535" s="165"/>
      <c r="AU535" s="165"/>
      <c r="AV535" s="165"/>
      <c r="AW535" s="165"/>
      <c r="AX535" s="165"/>
    </row>
    <row r="536" ht="15.75" customHeight="1">
      <c r="A536" s="165"/>
      <c r="B536" s="165"/>
      <c r="C536" s="165"/>
      <c r="D536" s="165"/>
      <c r="E536" s="165"/>
      <c r="F536" s="165"/>
      <c r="G536" s="165"/>
      <c r="H536" s="165"/>
      <c r="I536" s="165"/>
      <c r="J536" s="165"/>
      <c r="K536" s="165"/>
      <c r="L536" s="165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  <c r="AA536" s="165"/>
      <c r="AB536" s="165"/>
      <c r="AC536" s="165"/>
      <c r="AD536" s="165"/>
      <c r="AE536" s="165"/>
      <c r="AF536" s="165"/>
      <c r="AG536" s="165"/>
      <c r="AH536" s="165"/>
      <c r="AI536" s="165"/>
      <c r="AJ536" s="165"/>
      <c r="AK536" s="165"/>
      <c r="AL536" s="165"/>
      <c r="AM536" s="165"/>
      <c r="AN536" s="165"/>
      <c r="AO536" s="165"/>
      <c r="AP536" s="165"/>
      <c r="AQ536" s="165"/>
      <c r="AR536" s="165"/>
      <c r="AS536" s="165"/>
      <c r="AT536" s="165"/>
      <c r="AU536" s="165"/>
      <c r="AV536" s="165"/>
      <c r="AW536" s="165"/>
      <c r="AX536" s="165"/>
    </row>
    <row r="537" ht="15.75" customHeight="1">
      <c r="A537" s="165"/>
      <c r="B537" s="165"/>
      <c r="C537" s="165"/>
      <c r="D537" s="165"/>
      <c r="E537" s="165"/>
      <c r="F537" s="165"/>
      <c r="G537" s="165"/>
      <c r="H537" s="165"/>
      <c r="I537" s="165"/>
      <c r="J537" s="165"/>
      <c r="K537" s="165"/>
      <c r="L537" s="165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  <c r="AA537" s="165"/>
      <c r="AB537" s="165"/>
      <c r="AC537" s="165"/>
      <c r="AD537" s="165"/>
      <c r="AE537" s="165"/>
      <c r="AF537" s="165"/>
      <c r="AG537" s="165"/>
      <c r="AH537" s="165"/>
      <c r="AI537" s="165"/>
      <c r="AJ537" s="165"/>
      <c r="AK537" s="165"/>
      <c r="AL537" s="165"/>
      <c r="AM537" s="165"/>
      <c r="AN537" s="165"/>
      <c r="AO537" s="165"/>
      <c r="AP537" s="165"/>
      <c r="AQ537" s="165"/>
      <c r="AR537" s="165"/>
      <c r="AS537" s="165"/>
      <c r="AT537" s="165"/>
      <c r="AU537" s="165"/>
      <c r="AV537" s="165"/>
      <c r="AW537" s="165"/>
      <c r="AX537" s="165"/>
    </row>
    <row r="538" ht="15.75" customHeight="1">
      <c r="A538" s="165"/>
      <c r="B538" s="165"/>
      <c r="C538" s="165"/>
      <c r="D538" s="165"/>
      <c r="E538" s="165"/>
      <c r="F538" s="165"/>
      <c r="G538" s="165"/>
      <c r="H538" s="165"/>
      <c r="I538" s="165"/>
      <c r="J538" s="165"/>
      <c r="K538" s="165"/>
      <c r="L538" s="165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  <c r="AA538" s="165"/>
      <c r="AB538" s="165"/>
      <c r="AC538" s="165"/>
      <c r="AD538" s="165"/>
      <c r="AE538" s="165"/>
      <c r="AF538" s="165"/>
      <c r="AG538" s="165"/>
      <c r="AH538" s="165"/>
      <c r="AI538" s="165"/>
      <c r="AJ538" s="165"/>
      <c r="AK538" s="165"/>
      <c r="AL538" s="165"/>
      <c r="AM538" s="165"/>
      <c r="AN538" s="165"/>
      <c r="AO538" s="165"/>
      <c r="AP538" s="165"/>
      <c r="AQ538" s="165"/>
      <c r="AR538" s="165"/>
      <c r="AS538" s="165"/>
      <c r="AT538" s="165"/>
      <c r="AU538" s="165"/>
      <c r="AV538" s="165"/>
      <c r="AW538" s="165"/>
      <c r="AX538" s="165"/>
    </row>
    <row r="539" ht="15.75" customHeight="1">
      <c r="A539" s="165"/>
      <c r="B539" s="165"/>
      <c r="C539" s="165"/>
      <c r="D539" s="165"/>
      <c r="E539" s="165"/>
      <c r="F539" s="165"/>
      <c r="G539" s="165"/>
      <c r="H539" s="165"/>
      <c r="I539" s="165"/>
      <c r="J539" s="165"/>
      <c r="K539" s="165"/>
      <c r="L539" s="165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  <c r="AA539" s="165"/>
      <c r="AB539" s="165"/>
      <c r="AC539" s="165"/>
      <c r="AD539" s="165"/>
      <c r="AE539" s="165"/>
      <c r="AF539" s="165"/>
      <c r="AG539" s="165"/>
      <c r="AH539" s="165"/>
      <c r="AI539" s="165"/>
      <c r="AJ539" s="165"/>
      <c r="AK539" s="165"/>
      <c r="AL539" s="165"/>
      <c r="AM539" s="165"/>
      <c r="AN539" s="165"/>
      <c r="AO539" s="165"/>
      <c r="AP539" s="165"/>
      <c r="AQ539" s="165"/>
      <c r="AR539" s="165"/>
      <c r="AS539" s="165"/>
      <c r="AT539" s="165"/>
      <c r="AU539" s="165"/>
      <c r="AV539" s="165"/>
      <c r="AW539" s="165"/>
      <c r="AX539" s="165"/>
    </row>
    <row r="540" ht="15.75" customHeight="1">
      <c r="A540" s="165"/>
      <c r="B540" s="165"/>
      <c r="C540" s="165"/>
      <c r="D540" s="165"/>
      <c r="E540" s="165"/>
      <c r="F540" s="165"/>
      <c r="G540" s="165"/>
      <c r="H540" s="165"/>
      <c r="I540" s="165"/>
      <c r="J540" s="165"/>
      <c r="K540" s="165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  <c r="AA540" s="165"/>
      <c r="AB540" s="165"/>
      <c r="AC540" s="165"/>
      <c r="AD540" s="165"/>
      <c r="AE540" s="165"/>
      <c r="AF540" s="165"/>
      <c r="AG540" s="165"/>
      <c r="AH540" s="165"/>
      <c r="AI540" s="165"/>
      <c r="AJ540" s="165"/>
      <c r="AK540" s="165"/>
      <c r="AL540" s="165"/>
      <c r="AM540" s="165"/>
      <c r="AN540" s="165"/>
      <c r="AO540" s="165"/>
      <c r="AP540" s="165"/>
      <c r="AQ540" s="165"/>
      <c r="AR540" s="165"/>
      <c r="AS540" s="165"/>
      <c r="AT540" s="165"/>
      <c r="AU540" s="165"/>
      <c r="AV540" s="165"/>
      <c r="AW540" s="165"/>
      <c r="AX540" s="165"/>
    </row>
    <row r="541" ht="15.75" customHeight="1">
      <c r="A541" s="165"/>
      <c r="B541" s="165"/>
      <c r="C541" s="165"/>
      <c r="D541" s="165"/>
      <c r="E541" s="165"/>
      <c r="F541" s="165"/>
      <c r="G541" s="165"/>
      <c r="H541" s="165"/>
      <c r="I541" s="165"/>
      <c r="J541" s="165"/>
      <c r="K541" s="165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  <c r="AA541" s="165"/>
      <c r="AB541" s="165"/>
      <c r="AC541" s="165"/>
      <c r="AD541" s="165"/>
      <c r="AE541" s="165"/>
      <c r="AF541" s="165"/>
      <c r="AG541" s="165"/>
      <c r="AH541" s="165"/>
      <c r="AI541" s="165"/>
      <c r="AJ541" s="165"/>
      <c r="AK541" s="165"/>
      <c r="AL541" s="165"/>
      <c r="AM541" s="165"/>
      <c r="AN541" s="165"/>
      <c r="AO541" s="165"/>
      <c r="AP541" s="165"/>
      <c r="AQ541" s="165"/>
      <c r="AR541" s="165"/>
      <c r="AS541" s="165"/>
      <c r="AT541" s="165"/>
      <c r="AU541" s="165"/>
      <c r="AV541" s="165"/>
      <c r="AW541" s="165"/>
      <c r="AX541" s="165"/>
    </row>
    <row r="542" ht="15.75" customHeight="1">
      <c r="A542" s="165"/>
      <c r="B542" s="165"/>
      <c r="C542" s="165"/>
      <c r="D542" s="165"/>
      <c r="E542" s="165"/>
      <c r="F542" s="165"/>
      <c r="G542" s="165"/>
      <c r="H542" s="165"/>
      <c r="I542" s="165"/>
      <c r="J542" s="165"/>
      <c r="K542" s="165"/>
      <c r="L542" s="165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  <c r="AA542" s="165"/>
      <c r="AB542" s="165"/>
      <c r="AC542" s="165"/>
      <c r="AD542" s="165"/>
      <c r="AE542" s="165"/>
      <c r="AF542" s="165"/>
      <c r="AG542" s="165"/>
      <c r="AH542" s="165"/>
      <c r="AI542" s="165"/>
      <c r="AJ542" s="165"/>
      <c r="AK542" s="165"/>
      <c r="AL542" s="165"/>
      <c r="AM542" s="165"/>
      <c r="AN542" s="165"/>
      <c r="AO542" s="165"/>
      <c r="AP542" s="165"/>
      <c r="AQ542" s="165"/>
      <c r="AR542" s="165"/>
      <c r="AS542" s="165"/>
      <c r="AT542" s="165"/>
      <c r="AU542" s="165"/>
      <c r="AV542" s="165"/>
      <c r="AW542" s="165"/>
      <c r="AX542" s="165"/>
    </row>
    <row r="543" ht="15.75" customHeight="1">
      <c r="A543" s="165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5"/>
      <c r="AH543" s="165"/>
      <c r="AI543" s="165"/>
      <c r="AJ543" s="165"/>
      <c r="AK543" s="165"/>
      <c r="AL543" s="165"/>
      <c r="AM543" s="165"/>
      <c r="AN543" s="165"/>
      <c r="AO543" s="165"/>
      <c r="AP543" s="165"/>
      <c r="AQ543" s="165"/>
      <c r="AR543" s="165"/>
      <c r="AS543" s="165"/>
      <c r="AT543" s="165"/>
      <c r="AU543" s="165"/>
      <c r="AV543" s="165"/>
      <c r="AW543" s="165"/>
      <c r="AX543" s="165"/>
    </row>
    <row r="544" ht="15.75" customHeight="1">
      <c r="A544" s="165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5"/>
      <c r="AH544" s="165"/>
      <c r="AI544" s="165"/>
      <c r="AJ544" s="165"/>
      <c r="AK544" s="165"/>
      <c r="AL544" s="165"/>
      <c r="AM544" s="165"/>
      <c r="AN544" s="165"/>
      <c r="AO544" s="165"/>
      <c r="AP544" s="165"/>
      <c r="AQ544" s="165"/>
      <c r="AR544" s="165"/>
      <c r="AS544" s="165"/>
      <c r="AT544" s="165"/>
      <c r="AU544" s="165"/>
      <c r="AV544" s="165"/>
      <c r="AW544" s="165"/>
      <c r="AX544" s="165"/>
    </row>
    <row r="545" ht="15.75" customHeight="1">
      <c r="A545" s="165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5"/>
      <c r="AH545" s="165"/>
      <c r="AI545" s="165"/>
      <c r="AJ545" s="165"/>
      <c r="AK545" s="165"/>
      <c r="AL545" s="165"/>
      <c r="AM545" s="165"/>
      <c r="AN545" s="165"/>
      <c r="AO545" s="165"/>
      <c r="AP545" s="165"/>
      <c r="AQ545" s="165"/>
      <c r="AR545" s="165"/>
      <c r="AS545" s="165"/>
      <c r="AT545" s="165"/>
      <c r="AU545" s="165"/>
      <c r="AV545" s="165"/>
      <c r="AW545" s="165"/>
      <c r="AX545" s="165"/>
    </row>
    <row r="546" ht="15.75" customHeight="1">
      <c r="A546" s="165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5"/>
      <c r="AH546" s="165"/>
      <c r="AI546" s="165"/>
      <c r="AJ546" s="165"/>
      <c r="AK546" s="165"/>
      <c r="AL546" s="165"/>
      <c r="AM546" s="165"/>
      <c r="AN546" s="165"/>
      <c r="AO546" s="165"/>
      <c r="AP546" s="165"/>
      <c r="AQ546" s="165"/>
      <c r="AR546" s="165"/>
      <c r="AS546" s="165"/>
      <c r="AT546" s="165"/>
      <c r="AU546" s="165"/>
      <c r="AV546" s="165"/>
      <c r="AW546" s="165"/>
      <c r="AX546" s="165"/>
    </row>
    <row r="547" ht="15.75" customHeight="1">
      <c r="A547" s="165"/>
      <c r="B547" s="165"/>
      <c r="C547" s="165"/>
      <c r="D547" s="165"/>
      <c r="E547" s="165"/>
      <c r="F547" s="165"/>
      <c r="G547" s="165"/>
      <c r="H547" s="165"/>
      <c r="I547" s="165"/>
      <c r="J547" s="165"/>
      <c r="K547" s="165"/>
      <c r="L547" s="165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5"/>
      <c r="AH547" s="165"/>
      <c r="AI547" s="165"/>
      <c r="AJ547" s="165"/>
      <c r="AK547" s="165"/>
      <c r="AL547" s="165"/>
      <c r="AM547" s="165"/>
      <c r="AN547" s="165"/>
      <c r="AO547" s="165"/>
      <c r="AP547" s="165"/>
      <c r="AQ547" s="165"/>
      <c r="AR547" s="165"/>
      <c r="AS547" s="165"/>
      <c r="AT547" s="165"/>
      <c r="AU547" s="165"/>
      <c r="AV547" s="165"/>
      <c r="AW547" s="165"/>
      <c r="AX547" s="165"/>
    </row>
    <row r="548" ht="15.75" customHeight="1">
      <c r="A548" s="165"/>
      <c r="B548" s="165"/>
      <c r="C548" s="165"/>
      <c r="D548" s="165"/>
      <c r="E548" s="165"/>
      <c r="F548" s="165"/>
      <c r="G548" s="165"/>
      <c r="H548" s="165"/>
      <c r="I548" s="165"/>
      <c r="J548" s="165"/>
      <c r="K548" s="165"/>
      <c r="L548" s="165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5"/>
      <c r="AH548" s="165"/>
      <c r="AI548" s="165"/>
      <c r="AJ548" s="165"/>
      <c r="AK548" s="165"/>
      <c r="AL548" s="165"/>
      <c r="AM548" s="165"/>
      <c r="AN548" s="165"/>
      <c r="AO548" s="165"/>
      <c r="AP548" s="165"/>
      <c r="AQ548" s="165"/>
      <c r="AR548" s="165"/>
      <c r="AS548" s="165"/>
      <c r="AT548" s="165"/>
      <c r="AU548" s="165"/>
      <c r="AV548" s="165"/>
      <c r="AW548" s="165"/>
      <c r="AX548" s="165"/>
    </row>
    <row r="549" ht="15.75" customHeight="1">
      <c r="A549" s="165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165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5"/>
      <c r="AH549" s="165"/>
      <c r="AI549" s="165"/>
      <c r="AJ549" s="165"/>
      <c r="AK549" s="165"/>
      <c r="AL549" s="165"/>
      <c r="AM549" s="165"/>
      <c r="AN549" s="165"/>
      <c r="AO549" s="165"/>
      <c r="AP549" s="165"/>
      <c r="AQ549" s="165"/>
      <c r="AR549" s="165"/>
      <c r="AS549" s="165"/>
      <c r="AT549" s="165"/>
      <c r="AU549" s="165"/>
      <c r="AV549" s="165"/>
      <c r="AW549" s="165"/>
      <c r="AX549" s="165"/>
    </row>
    <row r="550" ht="15.75" customHeight="1">
      <c r="A550" s="165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5"/>
      <c r="AH550" s="165"/>
      <c r="AI550" s="165"/>
      <c r="AJ550" s="165"/>
      <c r="AK550" s="165"/>
      <c r="AL550" s="165"/>
      <c r="AM550" s="165"/>
      <c r="AN550" s="165"/>
      <c r="AO550" s="165"/>
      <c r="AP550" s="165"/>
      <c r="AQ550" s="165"/>
      <c r="AR550" s="165"/>
      <c r="AS550" s="165"/>
      <c r="AT550" s="165"/>
      <c r="AU550" s="165"/>
      <c r="AV550" s="165"/>
      <c r="AW550" s="165"/>
      <c r="AX550" s="165"/>
    </row>
    <row r="551" ht="15.75" customHeight="1">
      <c r="A551" s="165"/>
      <c r="B551" s="165"/>
      <c r="C551" s="165"/>
      <c r="D551" s="165"/>
      <c r="E551" s="165"/>
      <c r="F551" s="165"/>
      <c r="G551" s="165"/>
      <c r="H551" s="165"/>
      <c r="I551" s="165"/>
      <c r="J551" s="165"/>
      <c r="K551" s="165"/>
      <c r="L551" s="165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  <c r="AA551" s="165"/>
      <c r="AB551" s="165"/>
      <c r="AC551" s="165"/>
      <c r="AD551" s="165"/>
      <c r="AE551" s="165"/>
      <c r="AF551" s="165"/>
      <c r="AG551" s="165"/>
      <c r="AH551" s="165"/>
      <c r="AI551" s="165"/>
      <c r="AJ551" s="165"/>
      <c r="AK551" s="165"/>
      <c r="AL551" s="165"/>
      <c r="AM551" s="165"/>
      <c r="AN551" s="165"/>
      <c r="AO551" s="165"/>
      <c r="AP551" s="165"/>
      <c r="AQ551" s="165"/>
      <c r="AR551" s="165"/>
      <c r="AS551" s="165"/>
      <c r="AT551" s="165"/>
      <c r="AU551" s="165"/>
      <c r="AV551" s="165"/>
      <c r="AW551" s="165"/>
      <c r="AX551" s="165"/>
    </row>
    <row r="552" ht="15.75" customHeight="1">
      <c r="A552" s="165"/>
      <c r="B552" s="165"/>
      <c r="C552" s="165"/>
      <c r="D552" s="165"/>
      <c r="E552" s="165"/>
      <c r="F552" s="165"/>
      <c r="G552" s="165"/>
      <c r="H552" s="165"/>
      <c r="I552" s="165"/>
      <c r="J552" s="165"/>
      <c r="K552" s="165"/>
      <c r="L552" s="165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  <c r="AA552" s="165"/>
      <c r="AB552" s="165"/>
      <c r="AC552" s="165"/>
      <c r="AD552" s="165"/>
      <c r="AE552" s="165"/>
      <c r="AF552" s="165"/>
      <c r="AG552" s="165"/>
      <c r="AH552" s="165"/>
      <c r="AI552" s="165"/>
      <c r="AJ552" s="165"/>
      <c r="AK552" s="165"/>
      <c r="AL552" s="165"/>
      <c r="AM552" s="165"/>
      <c r="AN552" s="165"/>
      <c r="AO552" s="165"/>
      <c r="AP552" s="165"/>
      <c r="AQ552" s="165"/>
      <c r="AR552" s="165"/>
      <c r="AS552" s="165"/>
      <c r="AT552" s="165"/>
      <c r="AU552" s="165"/>
      <c r="AV552" s="165"/>
      <c r="AW552" s="165"/>
      <c r="AX552" s="165"/>
    </row>
    <row r="553" ht="15.75" customHeight="1">
      <c r="A553" s="165"/>
      <c r="B553" s="165"/>
      <c r="C553" s="165"/>
      <c r="D553" s="165"/>
      <c r="E553" s="165"/>
      <c r="F553" s="165"/>
      <c r="G553" s="165"/>
      <c r="H553" s="165"/>
      <c r="I553" s="165"/>
      <c r="J553" s="165"/>
      <c r="K553" s="165"/>
      <c r="L553" s="165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  <c r="AA553" s="165"/>
      <c r="AB553" s="165"/>
      <c r="AC553" s="165"/>
      <c r="AD553" s="165"/>
      <c r="AE553" s="165"/>
      <c r="AF553" s="165"/>
      <c r="AG553" s="165"/>
      <c r="AH553" s="165"/>
      <c r="AI553" s="165"/>
      <c r="AJ553" s="165"/>
      <c r="AK553" s="165"/>
      <c r="AL553" s="165"/>
      <c r="AM553" s="165"/>
      <c r="AN553" s="165"/>
      <c r="AO553" s="165"/>
      <c r="AP553" s="165"/>
      <c r="AQ553" s="165"/>
      <c r="AR553" s="165"/>
      <c r="AS553" s="165"/>
      <c r="AT553" s="165"/>
      <c r="AU553" s="165"/>
      <c r="AV553" s="165"/>
      <c r="AW553" s="165"/>
      <c r="AX553" s="165"/>
    </row>
    <row r="554" ht="15.75" customHeight="1">
      <c r="A554" s="165"/>
      <c r="B554" s="165"/>
      <c r="C554" s="165"/>
      <c r="D554" s="165"/>
      <c r="E554" s="165"/>
      <c r="F554" s="165"/>
      <c r="G554" s="165"/>
      <c r="H554" s="165"/>
      <c r="I554" s="165"/>
      <c r="J554" s="165"/>
      <c r="K554" s="165"/>
      <c r="L554" s="165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  <c r="AA554" s="165"/>
      <c r="AB554" s="165"/>
      <c r="AC554" s="165"/>
      <c r="AD554" s="165"/>
      <c r="AE554" s="165"/>
      <c r="AF554" s="165"/>
      <c r="AG554" s="165"/>
      <c r="AH554" s="165"/>
      <c r="AI554" s="165"/>
      <c r="AJ554" s="165"/>
      <c r="AK554" s="165"/>
      <c r="AL554" s="165"/>
      <c r="AM554" s="165"/>
      <c r="AN554" s="165"/>
      <c r="AO554" s="165"/>
      <c r="AP554" s="165"/>
      <c r="AQ554" s="165"/>
      <c r="AR554" s="165"/>
      <c r="AS554" s="165"/>
      <c r="AT554" s="165"/>
      <c r="AU554" s="165"/>
      <c r="AV554" s="165"/>
      <c r="AW554" s="165"/>
      <c r="AX554" s="165"/>
    </row>
    <row r="555" ht="15.75" customHeight="1">
      <c r="A555" s="165"/>
      <c r="B555" s="165"/>
      <c r="C555" s="165"/>
      <c r="D555" s="165"/>
      <c r="E555" s="165"/>
      <c r="F555" s="165"/>
      <c r="G555" s="165"/>
      <c r="H555" s="165"/>
      <c r="I555" s="165"/>
      <c r="J555" s="165"/>
      <c r="K555" s="165"/>
      <c r="L555" s="165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  <c r="AA555" s="165"/>
      <c r="AB555" s="165"/>
      <c r="AC555" s="165"/>
      <c r="AD555" s="165"/>
      <c r="AE555" s="165"/>
      <c r="AF555" s="165"/>
      <c r="AG555" s="165"/>
      <c r="AH555" s="165"/>
      <c r="AI555" s="165"/>
      <c r="AJ555" s="165"/>
      <c r="AK555" s="165"/>
      <c r="AL555" s="165"/>
      <c r="AM555" s="165"/>
      <c r="AN555" s="165"/>
      <c r="AO555" s="165"/>
      <c r="AP555" s="165"/>
      <c r="AQ555" s="165"/>
      <c r="AR555" s="165"/>
      <c r="AS555" s="165"/>
      <c r="AT555" s="165"/>
      <c r="AU555" s="165"/>
      <c r="AV555" s="165"/>
      <c r="AW555" s="165"/>
      <c r="AX555" s="165"/>
    </row>
    <row r="556" ht="15.75" customHeight="1">
      <c r="A556" s="165"/>
      <c r="B556" s="165"/>
      <c r="C556" s="165"/>
      <c r="D556" s="165"/>
      <c r="E556" s="165"/>
      <c r="F556" s="165"/>
      <c r="G556" s="165"/>
      <c r="H556" s="165"/>
      <c r="I556" s="165"/>
      <c r="J556" s="165"/>
      <c r="K556" s="165"/>
      <c r="L556" s="165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  <c r="AA556" s="165"/>
      <c r="AB556" s="165"/>
      <c r="AC556" s="165"/>
      <c r="AD556" s="165"/>
      <c r="AE556" s="165"/>
      <c r="AF556" s="165"/>
      <c r="AG556" s="165"/>
      <c r="AH556" s="165"/>
      <c r="AI556" s="165"/>
      <c r="AJ556" s="165"/>
      <c r="AK556" s="165"/>
      <c r="AL556" s="165"/>
      <c r="AM556" s="165"/>
      <c r="AN556" s="165"/>
      <c r="AO556" s="165"/>
      <c r="AP556" s="165"/>
      <c r="AQ556" s="165"/>
      <c r="AR556" s="165"/>
      <c r="AS556" s="165"/>
      <c r="AT556" s="165"/>
      <c r="AU556" s="165"/>
      <c r="AV556" s="165"/>
      <c r="AW556" s="165"/>
      <c r="AX556" s="165"/>
    </row>
    <row r="557" ht="15.75" customHeight="1">
      <c r="A557" s="165"/>
      <c r="B557" s="165"/>
      <c r="C557" s="165"/>
      <c r="D557" s="165"/>
      <c r="E557" s="165"/>
      <c r="F557" s="165"/>
      <c r="G557" s="165"/>
      <c r="H557" s="165"/>
      <c r="I557" s="165"/>
      <c r="J557" s="165"/>
      <c r="K557" s="165"/>
      <c r="L557" s="165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  <c r="AA557" s="165"/>
      <c r="AB557" s="165"/>
      <c r="AC557" s="165"/>
      <c r="AD557" s="165"/>
      <c r="AE557" s="165"/>
      <c r="AF557" s="165"/>
      <c r="AG557" s="165"/>
      <c r="AH557" s="165"/>
      <c r="AI557" s="165"/>
      <c r="AJ557" s="165"/>
      <c r="AK557" s="165"/>
      <c r="AL557" s="165"/>
      <c r="AM557" s="165"/>
      <c r="AN557" s="165"/>
      <c r="AO557" s="165"/>
      <c r="AP557" s="165"/>
      <c r="AQ557" s="165"/>
      <c r="AR557" s="165"/>
      <c r="AS557" s="165"/>
      <c r="AT557" s="165"/>
      <c r="AU557" s="165"/>
      <c r="AV557" s="165"/>
      <c r="AW557" s="165"/>
      <c r="AX557" s="165"/>
    </row>
    <row r="558" ht="15.75" customHeight="1">
      <c r="A558" s="165"/>
      <c r="B558" s="165"/>
      <c r="C558" s="165"/>
      <c r="D558" s="165"/>
      <c r="E558" s="165"/>
      <c r="F558" s="165"/>
      <c r="G558" s="165"/>
      <c r="H558" s="165"/>
      <c r="I558" s="165"/>
      <c r="J558" s="165"/>
      <c r="K558" s="165"/>
      <c r="L558" s="165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  <c r="AA558" s="165"/>
      <c r="AB558" s="165"/>
      <c r="AC558" s="165"/>
      <c r="AD558" s="165"/>
      <c r="AE558" s="165"/>
      <c r="AF558" s="165"/>
      <c r="AG558" s="165"/>
      <c r="AH558" s="165"/>
      <c r="AI558" s="165"/>
      <c r="AJ558" s="165"/>
      <c r="AK558" s="165"/>
      <c r="AL558" s="165"/>
      <c r="AM558" s="165"/>
      <c r="AN558" s="165"/>
      <c r="AO558" s="165"/>
      <c r="AP558" s="165"/>
      <c r="AQ558" s="165"/>
      <c r="AR558" s="165"/>
      <c r="AS558" s="165"/>
      <c r="AT558" s="165"/>
      <c r="AU558" s="165"/>
      <c r="AV558" s="165"/>
      <c r="AW558" s="165"/>
      <c r="AX558" s="165"/>
    </row>
    <row r="559" ht="15.75" customHeight="1">
      <c r="A559" s="165"/>
      <c r="B559" s="165"/>
      <c r="C559" s="165"/>
      <c r="D559" s="165"/>
      <c r="E559" s="165"/>
      <c r="F559" s="165"/>
      <c r="G559" s="165"/>
      <c r="H559" s="165"/>
      <c r="I559" s="165"/>
      <c r="J559" s="165"/>
      <c r="K559" s="165"/>
      <c r="L559" s="165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  <c r="AA559" s="165"/>
      <c r="AB559" s="165"/>
      <c r="AC559" s="165"/>
      <c r="AD559" s="165"/>
      <c r="AE559" s="165"/>
      <c r="AF559" s="165"/>
      <c r="AG559" s="165"/>
      <c r="AH559" s="165"/>
      <c r="AI559" s="165"/>
      <c r="AJ559" s="165"/>
      <c r="AK559" s="165"/>
      <c r="AL559" s="165"/>
      <c r="AM559" s="165"/>
      <c r="AN559" s="165"/>
      <c r="AO559" s="165"/>
      <c r="AP559" s="165"/>
      <c r="AQ559" s="165"/>
      <c r="AR559" s="165"/>
      <c r="AS559" s="165"/>
      <c r="AT559" s="165"/>
      <c r="AU559" s="165"/>
      <c r="AV559" s="165"/>
      <c r="AW559" s="165"/>
      <c r="AX559" s="165"/>
    </row>
    <row r="560" ht="15.75" customHeight="1">
      <c r="A560" s="165"/>
      <c r="B560" s="165"/>
      <c r="C560" s="165"/>
      <c r="D560" s="165"/>
      <c r="E560" s="165"/>
      <c r="F560" s="165"/>
      <c r="G560" s="165"/>
      <c r="H560" s="165"/>
      <c r="I560" s="165"/>
      <c r="J560" s="165"/>
      <c r="K560" s="165"/>
      <c r="L560" s="165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  <c r="AA560" s="165"/>
      <c r="AB560" s="165"/>
      <c r="AC560" s="165"/>
      <c r="AD560" s="165"/>
      <c r="AE560" s="165"/>
      <c r="AF560" s="165"/>
      <c r="AG560" s="165"/>
      <c r="AH560" s="165"/>
      <c r="AI560" s="165"/>
      <c r="AJ560" s="165"/>
      <c r="AK560" s="165"/>
      <c r="AL560" s="165"/>
      <c r="AM560" s="165"/>
      <c r="AN560" s="165"/>
      <c r="AO560" s="165"/>
      <c r="AP560" s="165"/>
      <c r="AQ560" s="165"/>
      <c r="AR560" s="165"/>
      <c r="AS560" s="165"/>
      <c r="AT560" s="165"/>
      <c r="AU560" s="165"/>
      <c r="AV560" s="165"/>
      <c r="AW560" s="165"/>
      <c r="AX560" s="165"/>
    </row>
    <row r="561" ht="15.75" customHeight="1">
      <c r="A561" s="165"/>
      <c r="B561" s="165"/>
      <c r="C561" s="165"/>
      <c r="D561" s="165"/>
      <c r="E561" s="165"/>
      <c r="F561" s="165"/>
      <c r="G561" s="165"/>
      <c r="H561" s="165"/>
      <c r="I561" s="165"/>
      <c r="J561" s="165"/>
      <c r="K561" s="165"/>
      <c r="L561" s="165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  <c r="AA561" s="165"/>
      <c r="AB561" s="165"/>
      <c r="AC561" s="165"/>
      <c r="AD561" s="165"/>
      <c r="AE561" s="165"/>
      <c r="AF561" s="165"/>
      <c r="AG561" s="165"/>
      <c r="AH561" s="165"/>
      <c r="AI561" s="165"/>
      <c r="AJ561" s="165"/>
      <c r="AK561" s="165"/>
      <c r="AL561" s="165"/>
      <c r="AM561" s="165"/>
      <c r="AN561" s="165"/>
      <c r="AO561" s="165"/>
      <c r="AP561" s="165"/>
      <c r="AQ561" s="165"/>
      <c r="AR561" s="165"/>
      <c r="AS561" s="165"/>
      <c r="AT561" s="165"/>
      <c r="AU561" s="165"/>
      <c r="AV561" s="165"/>
      <c r="AW561" s="165"/>
      <c r="AX561" s="165"/>
    </row>
    <row r="562" ht="15.75" customHeight="1">
      <c r="A562" s="165"/>
      <c r="B562" s="165"/>
      <c r="C562" s="165"/>
      <c r="D562" s="165"/>
      <c r="E562" s="165"/>
      <c r="F562" s="165"/>
      <c r="G562" s="165"/>
      <c r="H562" s="165"/>
      <c r="I562" s="165"/>
      <c r="J562" s="165"/>
      <c r="K562" s="165"/>
      <c r="L562" s="165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  <c r="AA562" s="165"/>
      <c r="AB562" s="165"/>
      <c r="AC562" s="165"/>
      <c r="AD562" s="165"/>
      <c r="AE562" s="165"/>
      <c r="AF562" s="165"/>
      <c r="AG562" s="165"/>
      <c r="AH562" s="165"/>
      <c r="AI562" s="165"/>
      <c r="AJ562" s="165"/>
      <c r="AK562" s="165"/>
      <c r="AL562" s="165"/>
      <c r="AM562" s="165"/>
      <c r="AN562" s="165"/>
      <c r="AO562" s="165"/>
      <c r="AP562" s="165"/>
      <c r="AQ562" s="165"/>
      <c r="AR562" s="165"/>
      <c r="AS562" s="165"/>
      <c r="AT562" s="165"/>
      <c r="AU562" s="165"/>
      <c r="AV562" s="165"/>
      <c r="AW562" s="165"/>
      <c r="AX562" s="165"/>
    </row>
    <row r="563" ht="15.75" customHeight="1">
      <c r="A563" s="165"/>
      <c r="B563" s="165"/>
      <c r="C563" s="165"/>
      <c r="D563" s="165"/>
      <c r="E563" s="165"/>
      <c r="F563" s="165"/>
      <c r="G563" s="165"/>
      <c r="H563" s="165"/>
      <c r="I563" s="165"/>
      <c r="J563" s="165"/>
      <c r="K563" s="165"/>
      <c r="L563" s="165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  <c r="AA563" s="165"/>
      <c r="AB563" s="165"/>
      <c r="AC563" s="165"/>
      <c r="AD563" s="165"/>
      <c r="AE563" s="165"/>
      <c r="AF563" s="165"/>
      <c r="AG563" s="165"/>
      <c r="AH563" s="165"/>
      <c r="AI563" s="165"/>
      <c r="AJ563" s="165"/>
      <c r="AK563" s="165"/>
      <c r="AL563" s="165"/>
      <c r="AM563" s="165"/>
      <c r="AN563" s="165"/>
      <c r="AO563" s="165"/>
      <c r="AP563" s="165"/>
      <c r="AQ563" s="165"/>
      <c r="AR563" s="165"/>
      <c r="AS563" s="165"/>
      <c r="AT563" s="165"/>
      <c r="AU563" s="165"/>
      <c r="AV563" s="165"/>
      <c r="AW563" s="165"/>
      <c r="AX563" s="165"/>
    </row>
    <row r="564" ht="15.75" customHeight="1">
      <c r="A564" s="165"/>
      <c r="B564" s="165"/>
      <c r="C564" s="165"/>
      <c r="D564" s="165"/>
      <c r="E564" s="165"/>
      <c r="F564" s="165"/>
      <c r="G564" s="165"/>
      <c r="H564" s="165"/>
      <c r="I564" s="165"/>
      <c r="J564" s="165"/>
      <c r="K564" s="165"/>
      <c r="L564" s="165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  <c r="AA564" s="165"/>
      <c r="AB564" s="165"/>
      <c r="AC564" s="165"/>
      <c r="AD564" s="165"/>
      <c r="AE564" s="165"/>
      <c r="AF564" s="165"/>
      <c r="AG564" s="165"/>
      <c r="AH564" s="165"/>
      <c r="AI564" s="165"/>
      <c r="AJ564" s="165"/>
      <c r="AK564" s="165"/>
      <c r="AL564" s="165"/>
      <c r="AM564" s="165"/>
      <c r="AN564" s="165"/>
      <c r="AO564" s="165"/>
      <c r="AP564" s="165"/>
      <c r="AQ564" s="165"/>
      <c r="AR564" s="165"/>
      <c r="AS564" s="165"/>
      <c r="AT564" s="165"/>
      <c r="AU564" s="165"/>
      <c r="AV564" s="165"/>
      <c r="AW564" s="165"/>
      <c r="AX564" s="165"/>
    </row>
    <row r="565" ht="15.75" customHeight="1">
      <c r="A565" s="165"/>
      <c r="B565" s="165"/>
      <c r="C565" s="165"/>
      <c r="D565" s="165"/>
      <c r="E565" s="165"/>
      <c r="F565" s="165"/>
      <c r="G565" s="165"/>
      <c r="H565" s="165"/>
      <c r="I565" s="165"/>
      <c r="J565" s="165"/>
      <c r="K565" s="165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  <c r="AA565" s="165"/>
      <c r="AB565" s="165"/>
      <c r="AC565" s="165"/>
      <c r="AD565" s="165"/>
      <c r="AE565" s="165"/>
      <c r="AF565" s="165"/>
      <c r="AG565" s="165"/>
      <c r="AH565" s="165"/>
      <c r="AI565" s="165"/>
      <c r="AJ565" s="165"/>
      <c r="AK565" s="165"/>
      <c r="AL565" s="165"/>
      <c r="AM565" s="165"/>
      <c r="AN565" s="165"/>
      <c r="AO565" s="165"/>
      <c r="AP565" s="165"/>
      <c r="AQ565" s="165"/>
      <c r="AR565" s="165"/>
      <c r="AS565" s="165"/>
      <c r="AT565" s="165"/>
      <c r="AU565" s="165"/>
      <c r="AV565" s="165"/>
      <c r="AW565" s="165"/>
      <c r="AX565" s="165"/>
    </row>
    <row r="566" ht="15.75" customHeight="1">
      <c r="A566" s="165"/>
      <c r="B566" s="165"/>
      <c r="C566" s="165"/>
      <c r="D566" s="165"/>
      <c r="E566" s="165"/>
      <c r="F566" s="165"/>
      <c r="G566" s="165"/>
      <c r="H566" s="165"/>
      <c r="I566" s="165"/>
      <c r="J566" s="165"/>
      <c r="K566" s="165"/>
      <c r="L566" s="165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  <c r="AA566" s="165"/>
      <c r="AB566" s="165"/>
      <c r="AC566" s="165"/>
      <c r="AD566" s="165"/>
      <c r="AE566" s="165"/>
      <c r="AF566" s="165"/>
      <c r="AG566" s="165"/>
      <c r="AH566" s="165"/>
      <c r="AI566" s="165"/>
      <c r="AJ566" s="165"/>
      <c r="AK566" s="165"/>
      <c r="AL566" s="165"/>
      <c r="AM566" s="165"/>
      <c r="AN566" s="165"/>
      <c r="AO566" s="165"/>
      <c r="AP566" s="165"/>
      <c r="AQ566" s="165"/>
      <c r="AR566" s="165"/>
      <c r="AS566" s="165"/>
      <c r="AT566" s="165"/>
      <c r="AU566" s="165"/>
      <c r="AV566" s="165"/>
      <c r="AW566" s="165"/>
      <c r="AX566" s="165"/>
    </row>
    <row r="567" ht="15.75" customHeight="1">
      <c r="A567" s="165"/>
      <c r="B567" s="165"/>
      <c r="C567" s="165"/>
      <c r="D567" s="165"/>
      <c r="E567" s="165"/>
      <c r="F567" s="165"/>
      <c r="G567" s="165"/>
      <c r="H567" s="165"/>
      <c r="I567" s="165"/>
      <c r="J567" s="165"/>
      <c r="K567" s="165"/>
      <c r="L567" s="165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  <c r="AA567" s="165"/>
      <c r="AB567" s="165"/>
      <c r="AC567" s="165"/>
      <c r="AD567" s="165"/>
      <c r="AE567" s="165"/>
      <c r="AF567" s="165"/>
      <c r="AG567" s="165"/>
      <c r="AH567" s="165"/>
      <c r="AI567" s="165"/>
      <c r="AJ567" s="165"/>
      <c r="AK567" s="165"/>
      <c r="AL567" s="165"/>
      <c r="AM567" s="165"/>
      <c r="AN567" s="165"/>
      <c r="AO567" s="165"/>
      <c r="AP567" s="165"/>
      <c r="AQ567" s="165"/>
      <c r="AR567" s="165"/>
      <c r="AS567" s="165"/>
      <c r="AT567" s="165"/>
      <c r="AU567" s="165"/>
      <c r="AV567" s="165"/>
      <c r="AW567" s="165"/>
      <c r="AX567" s="165"/>
    </row>
    <row r="568" ht="15.75" customHeight="1">
      <c r="A568" s="165"/>
      <c r="B568" s="165"/>
      <c r="C568" s="165"/>
      <c r="D568" s="165"/>
      <c r="E568" s="165"/>
      <c r="F568" s="165"/>
      <c r="G568" s="165"/>
      <c r="H568" s="165"/>
      <c r="I568" s="165"/>
      <c r="J568" s="165"/>
      <c r="K568" s="165"/>
      <c r="L568" s="165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  <c r="AA568" s="165"/>
      <c r="AB568" s="165"/>
      <c r="AC568" s="165"/>
      <c r="AD568" s="165"/>
      <c r="AE568" s="165"/>
      <c r="AF568" s="165"/>
      <c r="AG568" s="165"/>
      <c r="AH568" s="165"/>
      <c r="AI568" s="165"/>
      <c r="AJ568" s="165"/>
      <c r="AK568" s="165"/>
      <c r="AL568" s="165"/>
      <c r="AM568" s="165"/>
      <c r="AN568" s="165"/>
      <c r="AO568" s="165"/>
      <c r="AP568" s="165"/>
      <c r="AQ568" s="165"/>
      <c r="AR568" s="165"/>
      <c r="AS568" s="165"/>
      <c r="AT568" s="165"/>
      <c r="AU568" s="165"/>
      <c r="AV568" s="165"/>
      <c r="AW568" s="165"/>
      <c r="AX568" s="165"/>
    </row>
    <row r="569" ht="15.75" customHeight="1">
      <c r="A569" s="165"/>
      <c r="B569" s="165"/>
      <c r="C569" s="165"/>
      <c r="D569" s="165"/>
      <c r="E569" s="165"/>
      <c r="F569" s="165"/>
      <c r="G569" s="165"/>
      <c r="H569" s="165"/>
      <c r="I569" s="165"/>
      <c r="J569" s="165"/>
      <c r="K569" s="165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  <c r="AA569" s="165"/>
      <c r="AB569" s="165"/>
      <c r="AC569" s="165"/>
      <c r="AD569" s="165"/>
      <c r="AE569" s="165"/>
      <c r="AF569" s="165"/>
      <c r="AG569" s="165"/>
      <c r="AH569" s="165"/>
      <c r="AI569" s="165"/>
      <c r="AJ569" s="165"/>
      <c r="AK569" s="165"/>
      <c r="AL569" s="165"/>
      <c r="AM569" s="165"/>
      <c r="AN569" s="165"/>
      <c r="AO569" s="165"/>
      <c r="AP569" s="165"/>
      <c r="AQ569" s="165"/>
      <c r="AR569" s="165"/>
      <c r="AS569" s="165"/>
      <c r="AT569" s="165"/>
      <c r="AU569" s="165"/>
      <c r="AV569" s="165"/>
      <c r="AW569" s="165"/>
      <c r="AX569" s="165"/>
    </row>
    <row r="570" ht="15.75" customHeight="1">
      <c r="A570" s="165"/>
      <c r="B570" s="165"/>
      <c r="C570" s="165"/>
      <c r="D570" s="165"/>
      <c r="E570" s="165"/>
      <c r="F570" s="165"/>
      <c r="G570" s="165"/>
      <c r="H570" s="165"/>
      <c r="I570" s="165"/>
      <c r="J570" s="165"/>
      <c r="K570" s="165"/>
      <c r="L570" s="165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  <c r="AA570" s="165"/>
      <c r="AB570" s="165"/>
      <c r="AC570" s="165"/>
      <c r="AD570" s="165"/>
      <c r="AE570" s="165"/>
      <c r="AF570" s="165"/>
      <c r="AG570" s="165"/>
      <c r="AH570" s="165"/>
      <c r="AI570" s="165"/>
      <c r="AJ570" s="165"/>
      <c r="AK570" s="165"/>
      <c r="AL570" s="165"/>
      <c r="AM570" s="165"/>
      <c r="AN570" s="165"/>
      <c r="AO570" s="165"/>
      <c r="AP570" s="165"/>
      <c r="AQ570" s="165"/>
      <c r="AR570" s="165"/>
      <c r="AS570" s="165"/>
      <c r="AT570" s="165"/>
      <c r="AU570" s="165"/>
      <c r="AV570" s="165"/>
      <c r="AW570" s="165"/>
      <c r="AX570" s="165"/>
    </row>
    <row r="571" ht="15.75" customHeight="1">
      <c r="A571" s="165"/>
      <c r="B571" s="165"/>
      <c r="C571" s="165"/>
      <c r="D571" s="165"/>
      <c r="E571" s="165"/>
      <c r="F571" s="165"/>
      <c r="G571" s="165"/>
      <c r="H571" s="165"/>
      <c r="I571" s="165"/>
      <c r="J571" s="165"/>
      <c r="K571" s="165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  <c r="AA571" s="165"/>
      <c r="AB571" s="165"/>
      <c r="AC571" s="165"/>
      <c r="AD571" s="165"/>
      <c r="AE571" s="165"/>
      <c r="AF571" s="165"/>
      <c r="AG571" s="165"/>
      <c r="AH571" s="165"/>
      <c r="AI571" s="165"/>
      <c r="AJ571" s="165"/>
      <c r="AK571" s="165"/>
      <c r="AL571" s="165"/>
      <c r="AM571" s="165"/>
      <c r="AN571" s="165"/>
      <c r="AO571" s="165"/>
      <c r="AP571" s="165"/>
      <c r="AQ571" s="165"/>
      <c r="AR571" s="165"/>
      <c r="AS571" s="165"/>
      <c r="AT571" s="165"/>
      <c r="AU571" s="165"/>
      <c r="AV571" s="165"/>
      <c r="AW571" s="165"/>
      <c r="AX571" s="165"/>
    </row>
    <row r="572" ht="15.75" customHeight="1">
      <c r="A572" s="165"/>
      <c r="B572" s="165"/>
      <c r="C572" s="165"/>
      <c r="D572" s="165"/>
      <c r="E572" s="165"/>
      <c r="F572" s="165"/>
      <c r="G572" s="165"/>
      <c r="H572" s="165"/>
      <c r="I572" s="165"/>
      <c r="J572" s="165"/>
      <c r="K572" s="165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  <c r="AA572" s="165"/>
      <c r="AB572" s="165"/>
      <c r="AC572" s="165"/>
      <c r="AD572" s="165"/>
      <c r="AE572" s="165"/>
      <c r="AF572" s="165"/>
      <c r="AG572" s="165"/>
      <c r="AH572" s="165"/>
      <c r="AI572" s="165"/>
      <c r="AJ572" s="165"/>
      <c r="AK572" s="165"/>
      <c r="AL572" s="165"/>
      <c r="AM572" s="165"/>
      <c r="AN572" s="165"/>
      <c r="AO572" s="165"/>
      <c r="AP572" s="165"/>
      <c r="AQ572" s="165"/>
      <c r="AR572" s="165"/>
      <c r="AS572" s="165"/>
      <c r="AT572" s="165"/>
      <c r="AU572" s="165"/>
      <c r="AV572" s="165"/>
      <c r="AW572" s="165"/>
      <c r="AX572" s="165"/>
    </row>
    <row r="573" ht="15.75" customHeight="1">
      <c r="A573" s="165"/>
      <c r="B573" s="165"/>
      <c r="C573" s="165"/>
      <c r="D573" s="165"/>
      <c r="E573" s="165"/>
      <c r="F573" s="165"/>
      <c r="G573" s="165"/>
      <c r="H573" s="165"/>
      <c r="I573" s="165"/>
      <c r="J573" s="165"/>
      <c r="K573" s="165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  <c r="AA573" s="165"/>
      <c r="AB573" s="165"/>
      <c r="AC573" s="165"/>
      <c r="AD573" s="165"/>
      <c r="AE573" s="165"/>
      <c r="AF573" s="165"/>
      <c r="AG573" s="165"/>
      <c r="AH573" s="165"/>
      <c r="AI573" s="165"/>
      <c r="AJ573" s="165"/>
      <c r="AK573" s="165"/>
      <c r="AL573" s="165"/>
      <c r="AM573" s="165"/>
      <c r="AN573" s="165"/>
      <c r="AO573" s="165"/>
      <c r="AP573" s="165"/>
      <c r="AQ573" s="165"/>
      <c r="AR573" s="165"/>
      <c r="AS573" s="165"/>
      <c r="AT573" s="165"/>
      <c r="AU573" s="165"/>
      <c r="AV573" s="165"/>
      <c r="AW573" s="165"/>
      <c r="AX573" s="165"/>
    </row>
    <row r="574" ht="15.75" customHeight="1">
      <c r="A574" s="165"/>
      <c r="B574" s="165"/>
      <c r="C574" s="165"/>
      <c r="D574" s="165"/>
      <c r="E574" s="165"/>
      <c r="F574" s="165"/>
      <c r="G574" s="165"/>
      <c r="H574" s="165"/>
      <c r="I574" s="165"/>
      <c r="J574" s="165"/>
      <c r="K574" s="165"/>
      <c r="L574" s="165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  <c r="AA574" s="165"/>
      <c r="AB574" s="165"/>
      <c r="AC574" s="165"/>
      <c r="AD574" s="165"/>
      <c r="AE574" s="165"/>
      <c r="AF574" s="165"/>
      <c r="AG574" s="165"/>
      <c r="AH574" s="165"/>
      <c r="AI574" s="165"/>
      <c r="AJ574" s="165"/>
      <c r="AK574" s="165"/>
      <c r="AL574" s="165"/>
      <c r="AM574" s="165"/>
      <c r="AN574" s="165"/>
      <c r="AO574" s="165"/>
      <c r="AP574" s="165"/>
      <c r="AQ574" s="165"/>
      <c r="AR574" s="165"/>
      <c r="AS574" s="165"/>
      <c r="AT574" s="165"/>
      <c r="AU574" s="165"/>
      <c r="AV574" s="165"/>
      <c r="AW574" s="165"/>
      <c r="AX574" s="165"/>
    </row>
    <row r="575" ht="15.75" customHeight="1">
      <c r="A575" s="165"/>
      <c r="B575" s="165"/>
      <c r="C575" s="165"/>
      <c r="D575" s="165"/>
      <c r="E575" s="165"/>
      <c r="F575" s="165"/>
      <c r="G575" s="165"/>
      <c r="H575" s="165"/>
      <c r="I575" s="165"/>
      <c r="J575" s="165"/>
      <c r="K575" s="165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  <c r="AA575" s="165"/>
      <c r="AB575" s="165"/>
      <c r="AC575" s="165"/>
      <c r="AD575" s="165"/>
      <c r="AE575" s="165"/>
      <c r="AF575" s="165"/>
      <c r="AG575" s="165"/>
      <c r="AH575" s="165"/>
      <c r="AI575" s="165"/>
      <c r="AJ575" s="165"/>
      <c r="AK575" s="165"/>
      <c r="AL575" s="165"/>
      <c r="AM575" s="165"/>
      <c r="AN575" s="165"/>
      <c r="AO575" s="165"/>
      <c r="AP575" s="165"/>
      <c r="AQ575" s="165"/>
      <c r="AR575" s="165"/>
      <c r="AS575" s="165"/>
      <c r="AT575" s="165"/>
      <c r="AU575" s="165"/>
      <c r="AV575" s="165"/>
      <c r="AW575" s="165"/>
      <c r="AX575" s="165"/>
    </row>
    <row r="576" ht="15.75" customHeight="1">
      <c r="A576" s="165"/>
      <c r="B576" s="165"/>
      <c r="C576" s="165"/>
      <c r="D576" s="165"/>
      <c r="E576" s="165"/>
      <c r="F576" s="165"/>
      <c r="G576" s="165"/>
      <c r="H576" s="165"/>
      <c r="I576" s="165"/>
      <c r="J576" s="165"/>
      <c r="K576" s="165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  <c r="AA576" s="165"/>
      <c r="AB576" s="165"/>
      <c r="AC576" s="165"/>
      <c r="AD576" s="165"/>
      <c r="AE576" s="165"/>
      <c r="AF576" s="165"/>
      <c r="AG576" s="165"/>
      <c r="AH576" s="165"/>
      <c r="AI576" s="165"/>
      <c r="AJ576" s="165"/>
      <c r="AK576" s="165"/>
      <c r="AL576" s="165"/>
      <c r="AM576" s="165"/>
      <c r="AN576" s="165"/>
      <c r="AO576" s="165"/>
      <c r="AP576" s="165"/>
      <c r="AQ576" s="165"/>
      <c r="AR576" s="165"/>
      <c r="AS576" s="165"/>
      <c r="AT576" s="165"/>
      <c r="AU576" s="165"/>
      <c r="AV576" s="165"/>
      <c r="AW576" s="165"/>
      <c r="AX576" s="165"/>
    </row>
    <row r="577" ht="15.75" customHeight="1">
      <c r="A577" s="165"/>
      <c r="B577" s="165"/>
      <c r="C577" s="165"/>
      <c r="D577" s="165"/>
      <c r="E577" s="165"/>
      <c r="F577" s="165"/>
      <c r="G577" s="165"/>
      <c r="H577" s="165"/>
      <c r="I577" s="165"/>
      <c r="J577" s="165"/>
      <c r="K577" s="165"/>
      <c r="L577" s="165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  <c r="AA577" s="165"/>
      <c r="AB577" s="165"/>
      <c r="AC577" s="165"/>
      <c r="AD577" s="165"/>
      <c r="AE577" s="165"/>
      <c r="AF577" s="165"/>
      <c r="AG577" s="165"/>
      <c r="AH577" s="165"/>
      <c r="AI577" s="165"/>
      <c r="AJ577" s="165"/>
      <c r="AK577" s="165"/>
      <c r="AL577" s="165"/>
      <c r="AM577" s="165"/>
      <c r="AN577" s="165"/>
      <c r="AO577" s="165"/>
      <c r="AP577" s="165"/>
      <c r="AQ577" s="165"/>
      <c r="AR577" s="165"/>
      <c r="AS577" s="165"/>
      <c r="AT577" s="165"/>
      <c r="AU577" s="165"/>
      <c r="AV577" s="165"/>
      <c r="AW577" s="165"/>
      <c r="AX577" s="165"/>
    </row>
    <row r="578" ht="15.75" customHeight="1">
      <c r="A578" s="165"/>
      <c r="B578" s="165"/>
      <c r="C578" s="165"/>
      <c r="D578" s="165"/>
      <c r="E578" s="165"/>
      <c r="F578" s="165"/>
      <c r="G578" s="165"/>
      <c r="H578" s="165"/>
      <c r="I578" s="165"/>
      <c r="J578" s="165"/>
      <c r="K578" s="165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  <c r="AA578" s="165"/>
      <c r="AB578" s="165"/>
      <c r="AC578" s="165"/>
      <c r="AD578" s="165"/>
      <c r="AE578" s="165"/>
      <c r="AF578" s="165"/>
      <c r="AG578" s="165"/>
      <c r="AH578" s="165"/>
      <c r="AI578" s="165"/>
      <c r="AJ578" s="165"/>
      <c r="AK578" s="165"/>
      <c r="AL578" s="165"/>
      <c r="AM578" s="165"/>
      <c r="AN578" s="165"/>
      <c r="AO578" s="165"/>
      <c r="AP578" s="165"/>
      <c r="AQ578" s="165"/>
      <c r="AR578" s="165"/>
      <c r="AS578" s="165"/>
      <c r="AT578" s="165"/>
      <c r="AU578" s="165"/>
      <c r="AV578" s="165"/>
      <c r="AW578" s="165"/>
      <c r="AX578" s="165"/>
    </row>
    <row r="579" ht="15.75" customHeight="1">
      <c r="A579" s="165"/>
      <c r="B579" s="165"/>
      <c r="C579" s="165"/>
      <c r="D579" s="165"/>
      <c r="E579" s="165"/>
      <c r="F579" s="165"/>
      <c r="G579" s="165"/>
      <c r="H579" s="165"/>
      <c r="I579" s="165"/>
      <c r="J579" s="165"/>
      <c r="K579" s="165"/>
      <c r="L579" s="165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  <c r="AA579" s="165"/>
      <c r="AB579" s="165"/>
      <c r="AC579" s="165"/>
      <c r="AD579" s="165"/>
      <c r="AE579" s="165"/>
      <c r="AF579" s="165"/>
      <c r="AG579" s="165"/>
      <c r="AH579" s="165"/>
      <c r="AI579" s="165"/>
      <c r="AJ579" s="165"/>
      <c r="AK579" s="165"/>
      <c r="AL579" s="165"/>
      <c r="AM579" s="165"/>
      <c r="AN579" s="165"/>
      <c r="AO579" s="165"/>
      <c r="AP579" s="165"/>
      <c r="AQ579" s="165"/>
      <c r="AR579" s="165"/>
      <c r="AS579" s="165"/>
      <c r="AT579" s="165"/>
      <c r="AU579" s="165"/>
      <c r="AV579" s="165"/>
      <c r="AW579" s="165"/>
      <c r="AX579" s="165"/>
    </row>
    <row r="580" ht="15.75" customHeight="1">
      <c r="A580" s="165"/>
      <c r="B580" s="165"/>
      <c r="C580" s="165"/>
      <c r="D580" s="165"/>
      <c r="E580" s="165"/>
      <c r="F580" s="165"/>
      <c r="G580" s="165"/>
      <c r="H580" s="165"/>
      <c r="I580" s="165"/>
      <c r="J580" s="165"/>
      <c r="K580" s="165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  <c r="AA580" s="165"/>
      <c r="AB580" s="165"/>
      <c r="AC580" s="165"/>
      <c r="AD580" s="165"/>
      <c r="AE580" s="165"/>
      <c r="AF580" s="165"/>
      <c r="AG580" s="165"/>
      <c r="AH580" s="165"/>
      <c r="AI580" s="165"/>
      <c r="AJ580" s="165"/>
      <c r="AK580" s="165"/>
      <c r="AL580" s="165"/>
      <c r="AM580" s="165"/>
      <c r="AN580" s="165"/>
      <c r="AO580" s="165"/>
      <c r="AP580" s="165"/>
      <c r="AQ580" s="165"/>
      <c r="AR580" s="165"/>
      <c r="AS580" s="165"/>
      <c r="AT580" s="165"/>
      <c r="AU580" s="165"/>
      <c r="AV580" s="165"/>
      <c r="AW580" s="165"/>
      <c r="AX580" s="165"/>
    </row>
    <row r="581" ht="15.75" customHeight="1">
      <c r="A581" s="165"/>
      <c r="B581" s="165"/>
      <c r="C581" s="165"/>
      <c r="D581" s="165"/>
      <c r="E581" s="165"/>
      <c r="F581" s="165"/>
      <c r="G581" s="165"/>
      <c r="H581" s="165"/>
      <c r="I581" s="165"/>
      <c r="J581" s="165"/>
      <c r="K581" s="165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  <c r="AA581" s="165"/>
      <c r="AB581" s="165"/>
      <c r="AC581" s="165"/>
      <c r="AD581" s="165"/>
      <c r="AE581" s="165"/>
      <c r="AF581" s="165"/>
      <c r="AG581" s="165"/>
      <c r="AH581" s="165"/>
      <c r="AI581" s="165"/>
      <c r="AJ581" s="165"/>
      <c r="AK581" s="165"/>
      <c r="AL581" s="165"/>
      <c r="AM581" s="165"/>
      <c r="AN581" s="165"/>
      <c r="AO581" s="165"/>
      <c r="AP581" s="165"/>
      <c r="AQ581" s="165"/>
      <c r="AR581" s="165"/>
      <c r="AS581" s="165"/>
      <c r="AT581" s="165"/>
      <c r="AU581" s="165"/>
      <c r="AV581" s="165"/>
      <c r="AW581" s="165"/>
      <c r="AX581" s="165"/>
    </row>
    <row r="582" ht="15.75" customHeight="1">
      <c r="A582" s="165"/>
      <c r="B582" s="165"/>
      <c r="C582" s="165"/>
      <c r="D582" s="165"/>
      <c r="E582" s="165"/>
      <c r="F582" s="165"/>
      <c r="G582" s="165"/>
      <c r="H582" s="165"/>
      <c r="I582" s="165"/>
      <c r="J582" s="165"/>
      <c r="K582" s="165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  <c r="AA582" s="165"/>
      <c r="AB582" s="165"/>
      <c r="AC582" s="165"/>
      <c r="AD582" s="165"/>
      <c r="AE582" s="165"/>
      <c r="AF582" s="165"/>
      <c r="AG582" s="165"/>
      <c r="AH582" s="165"/>
      <c r="AI582" s="165"/>
      <c r="AJ582" s="165"/>
      <c r="AK582" s="165"/>
      <c r="AL582" s="165"/>
      <c r="AM582" s="165"/>
      <c r="AN582" s="165"/>
      <c r="AO582" s="165"/>
      <c r="AP582" s="165"/>
      <c r="AQ582" s="165"/>
      <c r="AR582" s="165"/>
      <c r="AS582" s="165"/>
      <c r="AT582" s="165"/>
      <c r="AU582" s="165"/>
      <c r="AV582" s="165"/>
      <c r="AW582" s="165"/>
      <c r="AX582" s="165"/>
    </row>
    <row r="583" ht="15.75" customHeight="1">
      <c r="A583" s="165"/>
      <c r="B583" s="165"/>
      <c r="C583" s="165"/>
      <c r="D583" s="165"/>
      <c r="E583" s="165"/>
      <c r="F583" s="165"/>
      <c r="G583" s="165"/>
      <c r="H583" s="165"/>
      <c r="I583" s="165"/>
      <c r="J583" s="165"/>
      <c r="K583" s="165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  <c r="AA583" s="165"/>
      <c r="AB583" s="165"/>
      <c r="AC583" s="165"/>
      <c r="AD583" s="165"/>
      <c r="AE583" s="165"/>
      <c r="AF583" s="165"/>
      <c r="AG583" s="165"/>
      <c r="AH583" s="165"/>
      <c r="AI583" s="165"/>
      <c r="AJ583" s="165"/>
      <c r="AK583" s="165"/>
      <c r="AL583" s="165"/>
      <c r="AM583" s="165"/>
      <c r="AN583" s="165"/>
      <c r="AO583" s="165"/>
      <c r="AP583" s="165"/>
      <c r="AQ583" s="165"/>
      <c r="AR583" s="165"/>
      <c r="AS583" s="165"/>
      <c r="AT583" s="165"/>
      <c r="AU583" s="165"/>
      <c r="AV583" s="165"/>
      <c r="AW583" s="165"/>
      <c r="AX583" s="165"/>
    </row>
    <row r="584" ht="15.75" customHeight="1">
      <c r="A584" s="165"/>
      <c r="B584" s="165"/>
      <c r="C584" s="165"/>
      <c r="D584" s="165"/>
      <c r="E584" s="165"/>
      <c r="F584" s="165"/>
      <c r="G584" s="165"/>
      <c r="H584" s="165"/>
      <c r="I584" s="165"/>
      <c r="J584" s="165"/>
      <c r="K584" s="165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  <c r="AA584" s="165"/>
      <c r="AB584" s="165"/>
      <c r="AC584" s="165"/>
      <c r="AD584" s="165"/>
      <c r="AE584" s="165"/>
      <c r="AF584" s="165"/>
      <c r="AG584" s="165"/>
      <c r="AH584" s="165"/>
      <c r="AI584" s="165"/>
      <c r="AJ584" s="165"/>
      <c r="AK584" s="165"/>
      <c r="AL584" s="165"/>
      <c r="AM584" s="165"/>
      <c r="AN584" s="165"/>
      <c r="AO584" s="165"/>
      <c r="AP584" s="165"/>
      <c r="AQ584" s="165"/>
      <c r="AR584" s="165"/>
      <c r="AS584" s="165"/>
      <c r="AT584" s="165"/>
      <c r="AU584" s="165"/>
      <c r="AV584" s="165"/>
      <c r="AW584" s="165"/>
      <c r="AX584" s="165"/>
    </row>
    <row r="585" ht="15.75" customHeight="1">
      <c r="A585" s="165"/>
      <c r="B585" s="165"/>
      <c r="C585" s="165"/>
      <c r="D585" s="165"/>
      <c r="E585" s="165"/>
      <c r="F585" s="165"/>
      <c r="G585" s="165"/>
      <c r="H585" s="165"/>
      <c r="I585" s="165"/>
      <c r="J585" s="165"/>
      <c r="K585" s="165"/>
      <c r="L585" s="165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  <c r="AA585" s="165"/>
      <c r="AB585" s="165"/>
      <c r="AC585" s="165"/>
      <c r="AD585" s="165"/>
      <c r="AE585" s="165"/>
      <c r="AF585" s="165"/>
      <c r="AG585" s="165"/>
      <c r="AH585" s="165"/>
      <c r="AI585" s="165"/>
      <c r="AJ585" s="165"/>
      <c r="AK585" s="165"/>
      <c r="AL585" s="165"/>
      <c r="AM585" s="165"/>
      <c r="AN585" s="165"/>
      <c r="AO585" s="165"/>
      <c r="AP585" s="165"/>
      <c r="AQ585" s="165"/>
      <c r="AR585" s="165"/>
      <c r="AS585" s="165"/>
      <c r="AT585" s="165"/>
      <c r="AU585" s="165"/>
      <c r="AV585" s="165"/>
      <c r="AW585" s="165"/>
      <c r="AX585" s="165"/>
    </row>
    <row r="586" ht="15.75" customHeight="1">
      <c r="A586" s="165"/>
      <c r="B586" s="165"/>
      <c r="C586" s="165"/>
      <c r="D586" s="165"/>
      <c r="E586" s="165"/>
      <c r="F586" s="165"/>
      <c r="G586" s="165"/>
      <c r="H586" s="165"/>
      <c r="I586" s="165"/>
      <c r="J586" s="165"/>
      <c r="K586" s="165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  <c r="AA586" s="165"/>
      <c r="AB586" s="165"/>
      <c r="AC586" s="165"/>
      <c r="AD586" s="165"/>
      <c r="AE586" s="165"/>
      <c r="AF586" s="165"/>
      <c r="AG586" s="165"/>
      <c r="AH586" s="165"/>
      <c r="AI586" s="165"/>
      <c r="AJ586" s="165"/>
      <c r="AK586" s="165"/>
      <c r="AL586" s="165"/>
      <c r="AM586" s="165"/>
      <c r="AN586" s="165"/>
      <c r="AO586" s="165"/>
      <c r="AP586" s="165"/>
      <c r="AQ586" s="165"/>
      <c r="AR586" s="165"/>
      <c r="AS586" s="165"/>
      <c r="AT586" s="165"/>
      <c r="AU586" s="165"/>
      <c r="AV586" s="165"/>
      <c r="AW586" s="165"/>
      <c r="AX586" s="165"/>
    </row>
    <row r="587" ht="15.75" customHeight="1">
      <c r="A587" s="165"/>
      <c r="B587" s="165"/>
      <c r="C587" s="165"/>
      <c r="D587" s="165"/>
      <c r="E587" s="165"/>
      <c r="F587" s="165"/>
      <c r="G587" s="165"/>
      <c r="H587" s="165"/>
      <c r="I587" s="165"/>
      <c r="J587" s="165"/>
      <c r="K587" s="165"/>
      <c r="L587" s="165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  <c r="AA587" s="165"/>
      <c r="AB587" s="165"/>
      <c r="AC587" s="165"/>
      <c r="AD587" s="165"/>
      <c r="AE587" s="165"/>
      <c r="AF587" s="165"/>
      <c r="AG587" s="165"/>
      <c r="AH587" s="165"/>
      <c r="AI587" s="165"/>
      <c r="AJ587" s="165"/>
      <c r="AK587" s="165"/>
      <c r="AL587" s="165"/>
      <c r="AM587" s="165"/>
      <c r="AN587" s="165"/>
      <c r="AO587" s="165"/>
      <c r="AP587" s="165"/>
      <c r="AQ587" s="165"/>
      <c r="AR587" s="165"/>
      <c r="AS587" s="165"/>
      <c r="AT587" s="165"/>
      <c r="AU587" s="165"/>
      <c r="AV587" s="165"/>
      <c r="AW587" s="165"/>
      <c r="AX587" s="165"/>
    </row>
    <row r="588" ht="15.75" customHeight="1">
      <c r="A588" s="165"/>
      <c r="B588" s="165"/>
      <c r="C588" s="165"/>
      <c r="D588" s="165"/>
      <c r="E588" s="165"/>
      <c r="F588" s="165"/>
      <c r="G588" s="165"/>
      <c r="H588" s="165"/>
      <c r="I588" s="165"/>
      <c r="J588" s="165"/>
      <c r="K588" s="165"/>
      <c r="L588" s="165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  <c r="AA588" s="165"/>
      <c r="AB588" s="165"/>
      <c r="AC588" s="165"/>
      <c r="AD588" s="165"/>
      <c r="AE588" s="165"/>
      <c r="AF588" s="165"/>
      <c r="AG588" s="165"/>
      <c r="AH588" s="165"/>
      <c r="AI588" s="165"/>
      <c r="AJ588" s="165"/>
      <c r="AK588" s="165"/>
      <c r="AL588" s="165"/>
      <c r="AM588" s="165"/>
      <c r="AN588" s="165"/>
      <c r="AO588" s="165"/>
      <c r="AP588" s="165"/>
      <c r="AQ588" s="165"/>
      <c r="AR588" s="165"/>
      <c r="AS588" s="165"/>
      <c r="AT588" s="165"/>
      <c r="AU588" s="165"/>
      <c r="AV588" s="165"/>
      <c r="AW588" s="165"/>
      <c r="AX588" s="165"/>
    </row>
    <row r="589" ht="15.75" customHeight="1">
      <c r="A589" s="165"/>
      <c r="B589" s="165"/>
      <c r="C589" s="165"/>
      <c r="D589" s="165"/>
      <c r="E589" s="165"/>
      <c r="F589" s="165"/>
      <c r="G589" s="165"/>
      <c r="H589" s="165"/>
      <c r="I589" s="165"/>
      <c r="J589" s="165"/>
      <c r="K589" s="165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  <c r="AA589" s="165"/>
      <c r="AB589" s="165"/>
      <c r="AC589" s="165"/>
      <c r="AD589" s="165"/>
      <c r="AE589" s="165"/>
      <c r="AF589" s="165"/>
      <c r="AG589" s="165"/>
      <c r="AH589" s="165"/>
      <c r="AI589" s="165"/>
      <c r="AJ589" s="165"/>
      <c r="AK589" s="165"/>
      <c r="AL589" s="165"/>
      <c r="AM589" s="165"/>
      <c r="AN589" s="165"/>
      <c r="AO589" s="165"/>
      <c r="AP589" s="165"/>
      <c r="AQ589" s="165"/>
      <c r="AR589" s="165"/>
      <c r="AS589" s="165"/>
      <c r="AT589" s="165"/>
      <c r="AU589" s="165"/>
      <c r="AV589" s="165"/>
      <c r="AW589" s="165"/>
      <c r="AX589" s="165"/>
    </row>
    <row r="590" ht="15.75" customHeight="1">
      <c r="A590" s="165"/>
      <c r="B590" s="165"/>
      <c r="C590" s="165"/>
      <c r="D590" s="165"/>
      <c r="E590" s="165"/>
      <c r="F590" s="165"/>
      <c r="G590" s="165"/>
      <c r="H590" s="165"/>
      <c r="I590" s="165"/>
      <c r="J590" s="165"/>
      <c r="K590" s="165"/>
      <c r="L590" s="165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  <c r="AA590" s="165"/>
      <c r="AB590" s="165"/>
      <c r="AC590" s="165"/>
      <c r="AD590" s="165"/>
      <c r="AE590" s="165"/>
      <c r="AF590" s="165"/>
      <c r="AG590" s="165"/>
      <c r="AH590" s="165"/>
      <c r="AI590" s="165"/>
      <c r="AJ590" s="165"/>
      <c r="AK590" s="165"/>
      <c r="AL590" s="165"/>
      <c r="AM590" s="165"/>
      <c r="AN590" s="165"/>
      <c r="AO590" s="165"/>
      <c r="AP590" s="165"/>
      <c r="AQ590" s="165"/>
      <c r="AR590" s="165"/>
      <c r="AS590" s="165"/>
      <c r="AT590" s="165"/>
      <c r="AU590" s="165"/>
      <c r="AV590" s="165"/>
      <c r="AW590" s="165"/>
      <c r="AX590" s="165"/>
    </row>
    <row r="591" ht="15.75" customHeight="1">
      <c r="A591" s="165"/>
      <c r="B591" s="165"/>
      <c r="C591" s="165"/>
      <c r="D591" s="165"/>
      <c r="E591" s="165"/>
      <c r="F591" s="165"/>
      <c r="G591" s="165"/>
      <c r="H591" s="165"/>
      <c r="I591" s="165"/>
      <c r="J591" s="165"/>
      <c r="K591" s="165"/>
      <c r="L591" s="165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  <c r="AA591" s="165"/>
      <c r="AB591" s="165"/>
      <c r="AC591" s="165"/>
      <c r="AD591" s="165"/>
      <c r="AE591" s="165"/>
      <c r="AF591" s="165"/>
      <c r="AG591" s="165"/>
      <c r="AH591" s="165"/>
      <c r="AI591" s="165"/>
      <c r="AJ591" s="165"/>
      <c r="AK591" s="165"/>
      <c r="AL591" s="165"/>
      <c r="AM591" s="165"/>
      <c r="AN591" s="165"/>
      <c r="AO591" s="165"/>
      <c r="AP591" s="165"/>
      <c r="AQ591" s="165"/>
      <c r="AR591" s="165"/>
      <c r="AS591" s="165"/>
      <c r="AT591" s="165"/>
      <c r="AU591" s="165"/>
      <c r="AV591" s="165"/>
      <c r="AW591" s="165"/>
      <c r="AX591" s="165"/>
    </row>
    <row r="592" ht="15.75" customHeight="1">
      <c r="A592" s="165"/>
      <c r="B592" s="165"/>
      <c r="C592" s="165"/>
      <c r="D592" s="165"/>
      <c r="E592" s="165"/>
      <c r="F592" s="165"/>
      <c r="G592" s="165"/>
      <c r="H592" s="165"/>
      <c r="I592" s="165"/>
      <c r="J592" s="165"/>
      <c r="K592" s="165"/>
      <c r="L592" s="165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  <c r="AA592" s="165"/>
      <c r="AB592" s="165"/>
      <c r="AC592" s="165"/>
      <c r="AD592" s="165"/>
      <c r="AE592" s="165"/>
      <c r="AF592" s="165"/>
      <c r="AG592" s="165"/>
      <c r="AH592" s="165"/>
      <c r="AI592" s="165"/>
      <c r="AJ592" s="165"/>
      <c r="AK592" s="165"/>
      <c r="AL592" s="165"/>
      <c r="AM592" s="165"/>
      <c r="AN592" s="165"/>
      <c r="AO592" s="165"/>
      <c r="AP592" s="165"/>
      <c r="AQ592" s="165"/>
      <c r="AR592" s="165"/>
      <c r="AS592" s="165"/>
      <c r="AT592" s="165"/>
      <c r="AU592" s="165"/>
      <c r="AV592" s="165"/>
      <c r="AW592" s="165"/>
      <c r="AX592" s="165"/>
    </row>
    <row r="593" ht="15.75" customHeight="1">
      <c r="A593" s="165"/>
      <c r="B593" s="165"/>
      <c r="C593" s="165"/>
      <c r="D593" s="165"/>
      <c r="E593" s="165"/>
      <c r="F593" s="165"/>
      <c r="G593" s="165"/>
      <c r="H593" s="165"/>
      <c r="I593" s="165"/>
      <c r="J593" s="165"/>
      <c r="K593" s="165"/>
      <c r="L593" s="165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  <c r="AA593" s="165"/>
      <c r="AB593" s="165"/>
      <c r="AC593" s="165"/>
      <c r="AD593" s="165"/>
      <c r="AE593" s="165"/>
      <c r="AF593" s="165"/>
      <c r="AG593" s="165"/>
      <c r="AH593" s="165"/>
      <c r="AI593" s="165"/>
      <c r="AJ593" s="165"/>
      <c r="AK593" s="165"/>
      <c r="AL593" s="165"/>
      <c r="AM593" s="165"/>
      <c r="AN593" s="165"/>
      <c r="AO593" s="165"/>
      <c r="AP593" s="165"/>
      <c r="AQ593" s="165"/>
      <c r="AR593" s="165"/>
      <c r="AS593" s="165"/>
      <c r="AT593" s="165"/>
      <c r="AU593" s="165"/>
      <c r="AV593" s="165"/>
      <c r="AW593" s="165"/>
      <c r="AX593" s="165"/>
    </row>
    <row r="594" ht="15.75" customHeight="1">
      <c r="A594" s="165"/>
      <c r="B594" s="165"/>
      <c r="C594" s="165"/>
      <c r="D594" s="165"/>
      <c r="E594" s="165"/>
      <c r="F594" s="165"/>
      <c r="G594" s="165"/>
      <c r="H594" s="165"/>
      <c r="I594" s="165"/>
      <c r="J594" s="165"/>
      <c r="K594" s="165"/>
      <c r="L594" s="165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  <c r="AA594" s="165"/>
      <c r="AB594" s="165"/>
      <c r="AC594" s="165"/>
      <c r="AD594" s="165"/>
      <c r="AE594" s="165"/>
      <c r="AF594" s="165"/>
      <c r="AG594" s="165"/>
      <c r="AH594" s="165"/>
      <c r="AI594" s="165"/>
      <c r="AJ594" s="165"/>
      <c r="AK594" s="165"/>
      <c r="AL594" s="165"/>
      <c r="AM594" s="165"/>
      <c r="AN594" s="165"/>
      <c r="AO594" s="165"/>
      <c r="AP594" s="165"/>
      <c r="AQ594" s="165"/>
      <c r="AR594" s="165"/>
      <c r="AS594" s="165"/>
      <c r="AT594" s="165"/>
      <c r="AU594" s="165"/>
      <c r="AV594" s="165"/>
      <c r="AW594" s="165"/>
      <c r="AX594" s="165"/>
    </row>
    <row r="595" ht="15.75" customHeight="1">
      <c r="A595" s="165"/>
      <c r="B595" s="165"/>
      <c r="C595" s="165"/>
      <c r="D595" s="165"/>
      <c r="E595" s="165"/>
      <c r="F595" s="165"/>
      <c r="G595" s="165"/>
      <c r="H595" s="165"/>
      <c r="I595" s="165"/>
      <c r="J595" s="165"/>
      <c r="K595" s="165"/>
      <c r="L595" s="165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  <c r="AA595" s="165"/>
      <c r="AB595" s="165"/>
      <c r="AC595" s="165"/>
      <c r="AD595" s="165"/>
      <c r="AE595" s="165"/>
      <c r="AF595" s="165"/>
      <c r="AG595" s="165"/>
      <c r="AH595" s="165"/>
      <c r="AI595" s="165"/>
      <c r="AJ595" s="165"/>
      <c r="AK595" s="165"/>
      <c r="AL595" s="165"/>
      <c r="AM595" s="165"/>
      <c r="AN595" s="165"/>
      <c r="AO595" s="165"/>
      <c r="AP595" s="165"/>
      <c r="AQ595" s="165"/>
      <c r="AR595" s="165"/>
      <c r="AS595" s="165"/>
      <c r="AT595" s="165"/>
      <c r="AU595" s="165"/>
      <c r="AV595" s="165"/>
      <c r="AW595" s="165"/>
      <c r="AX595" s="165"/>
    </row>
    <row r="596" ht="15.75" customHeight="1">
      <c r="A596" s="165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5"/>
      <c r="AH596" s="165"/>
      <c r="AI596" s="165"/>
      <c r="AJ596" s="165"/>
      <c r="AK596" s="165"/>
      <c r="AL596" s="165"/>
      <c r="AM596" s="165"/>
      <c r="AN596" s="165"/>
      <c r="AO596" s="165"/>
      <c r="AP596" s="165"/>
      <c r="AQ596" s="165"/>
      <c r="AR596" s="165"/>
      <c r="AS596" s="165"/>
      <c r="AT596" s="165"/>
      <c r="AU596" s="165"/>
      <c r="AV596" s="165"/>
      <c r="AW596" s="165"/>
      <c r="AX596" s="165"/>
    </row>
    <row r="597" ht="15.75" customHeight="1">
      <c r="A597" s="165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5"/>
      <c r="AH597" s="165"/>
      <c r="AI597" s="165"/>
      <c r="AJ597" s="165"/>
      <c r="AK597" s="165"/>
      <c r="AL597" s="165"/>
      <c r="AM597" s="165"/>
      <c r="AN597" s="165"/>
      <c r="AO597" s="165"/>
      <c r="AP597" s="165"/>
      <c r="AQ597" s="165"/>
      <c r="AR597" s="165"/>
      <c r="AS597" s="165"/>
      <c r="AT597" s="165"/>
      <c r="AU597" s="165"/>
      <c r="AV597" s="165"/>
      <c r="AW597" s="165"/>
      <c r="AX597" s="165"/>
    </row>
    <row r="598" ht="15.75" customHeight="1">
      <c r="A598" s="165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5"/>
      <c r="AH598" s="165"/>
      <c r="AI598" s="165"/>
      <c r="AJ598" s="165"/>
      <c r="AK598" s="165"/>
      <c r="AL598" s="165"/>
      <c r="AM598" s="165"/>
      <c r="AN598" s="165"/>
      <c r="AO598" s="165"/>
      <c r="AP598" s="165"/>
      <c r="AQ598" s="165"/>
      <c r="AR598" s="165"/>
      <c r="AS598" s="165"/>
      <c r="AT598" s="165"/>
      <c r="AU598" s="165"/>
      <c r="AV598" s="165"/>
      <c r="AW598" s="165"/>
      <c r="AX598" s="165"/>
    </row>
    <row r="599" ht="15.75" customHeight="1">
      <c r="A599" s="165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5"/>
      <c r="AH599" s="165"/>
      <c r="AI599" s="165"/>
      <c r="AJ599" s="165"/>
      <c r="AK599" s="165"/>
      <c r="AL599" s="165"/>
      <c r="AM599" s="165"/>
      <c r="AN599" s="165"/>
      <c r="AO599" s="165"/>
      <c r="AP599" s="165"/>
      <c r="AQ599" s="165"/>
      <c r="AR599" s="165"/>
      <c r="AS599" s="165"/>
      <c r="AT599" s="165"/>
      <c r="AU599" s="165"/>
      <c r="AV599" s="165"/>
      <c r="AW599" s="165"/>
      <c r="AX599" s="165"/>
    </row>
    <row r="600" ht="15.75" customHeight="1">
      <c r="A600" s="165"/>
      <c r="B600" s="165"/>
      <c r="C600" s="165"/>
      <c r="D600" s="165"/>
      <c r="E600" s="165"/>
      <c r="F600" s="165"/>
      <c r="G600" s="165"/>
      <c r="H600" s="165"/>
      <c r="I600" s="165"/>
      <c r="J600" s="165"/>
      <c r="K600" s="165"/>
      <c r="L600" s="165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5"/>
      <c r="AH600" s="165"/>
      <c r="AI600" s="165"/>
      <c r="AJ600" s="165"/>
      <c r="AK600" s="165"/>
      <c r="AL600" s="165"/>
      <c r="AM600" s="165"/>
      <c r="AN600" s="165"/>
      <c r="AO600" s="165"/>
      <c r="AP600" s="165"/>
      <c r="AQ600" s="165"/>
      <c r="AR600" s="165"/>
      <c r="AS600" s="165"/>
      <c r="AT600" s="165"/>
      <c r="AU600" s="165"/>
      <c r="AV600" s="165"/>
      <c r="AW600" s="165"/>
      <c r="AX600" s="165"/>
    </row>
    <row r="601" ht="15.75" customHeight="1">
      <c r="A601" s="165"/>
      <c r="B601" s="165"/>
      <c r="C601" s="165"/>
      <c r="D601" s="165"/>
      <c r="E601" s="165"/>
      <c r="F601" s="165"/>
      <c r="G601" s="165"/>
      <c r="H601" s="165"/>
      <c r="I601" s="165"/>
      <c r="J601" s="165"/>
      <c r="K601" s="165"/>
      <c r="L601" s="165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5"/>
      <c r="AH601" s="165"/>
      <c r="AI601" s="165"/>
      <c r="AJ601" s="165"/>
      <c r="AK601" s="165"/>
      <c r="AL601" s="165"/>
      <c r="AM601" s="165"/>
      <c r="AN601" s="165"/>
      <c r="AO601" s="165"/>
      <c r="AP601" s="165"/>
      <c r="AQ601" s="165"/>
      <c r="AR601" s="165"/>
      <c r="AS601" s="165"/>
      <c r="AT601" s="165"/>
      <c r="AU601" s="165"/>
      <c r="AV601" s="165"/>
      <c r="AW601" s="165"/>
      <c r="AX601" s="165"/>
    </row>
    <row r="602" ht="15.75" customHeight="1">
      <c r="A602" s="165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165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5"/>
      <c r="AH602" s="165"/>
      <c r="AI602" s="165"/>
      <c r="AJ602" s="165"/>
      <c r="AK602" s="165"/>
      <c r="AL602" s="165"/>
      <c r="AM602" s="165"/>
      <c r="AN602" s="165"/>
      <c r="AO602" s="165"/>
      <c r="AP602" s="165"/>
      <c r="AQ602" s="165"/>
      <c r="AR602" s="165"/>
      <c r="AS602" s="165"/>
      <c r="AT602" s="165"/>
      <c r="AU602" s="165"/>
      <c r="AV602" s="165"/>
      <c r="AW602" s="165"/>
      <c r="AX602" s="165"/>
    </row>
    <row r="603" ht="15.75" customHeight="1">
      <c r="A603" s="165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65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5"/>
      <c r="AH603" s="165"/>
      <c r="AI603" s="165"/>
      <c r="AJ603" s="165"/>
      <c r="AK603" s="165"/>
      <c r="AL603" s="165"/>
      <c r="AM603" s="165"/>
      <c r="AN603" s="165"/>
      <c r="AO603" s="165"/>
      <c r="AP603" s="165"/>
      <c r="AQ603" s="165"/>
      <c r="AR603" s="165"/>
      <c r="AS603" s="165"/>
      <c r="AT603" s="165"/>
      <c r="AU603" s="165"/>
      <c r="AV603" s="165"/>
      <c r="AW603" s="165"/>
      <c r="AX603" s="165"/>
    </row>
    <row r="604" ht="15.75" customHeight="1">
      <c r="A604" s="165"/>
      <c r="B604" s="165"/>
      <c r="C604" s="165"/>
      <c r="D604" s="165"/>
      <c r="E604" s="165"/>
      <c r="F604" s="165"/>
      <c r="G604" s="165"/>
      <c r="H604" s="165"/>
      <c r="I604" s="165"/>
      <c r="J604" s="165"/>
      <c r="K604" s="165"/>
      <c r="L604" s="165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  <c r="AA604" s="165"/>
      <c r="AB604" s="165"/>
      <c r="AC604" s="165"/>
      <c r="AD604" s="165"/>
      <c r="AE604" s="165"/>
      <c r="AF604" s="165"/>
      <c r="AG604" s="165"/>
      <c r="AH604" s="165"/>
      <c r="AI604" s="165"/>
      <c r="AJ604" s="165"/>
      <c r="AK604" s="165"/>
      <c r="AL604" s="165"/>
      <c r="AM604" s="165"/>
      <c r="AN604" s="165"/>
      <c r="AO604" s="165"/>
      <c r="AP604" s="165"/>
      <c r="AQ604" s="165"/>
      <c r="AR604" s="165"/>
      <c r="AS604" s="165"/>
      <c r="AT604" s="165"/>
      <c r="AU604" s="165"/>
      <c r="AV604" s="165"/>
      <c r="AW604" s="165"/>
      <c r="AX604" s="165"/>
    </row>
    <row r="605" ht="15.75" customHeight="1">
      <c r="A605" s="165"/>
      <c r="B605" s="165"/>
      <c r="C605" s="165"/>
      <c r="D605" s="165"/>
      <c r="E605" s="165"/>
      <c r="F605" s="165"/>
      <c r="G605" s="165"/>
      <c r="H605" s="165"/>
      <c r="I605" s="165"/>
      <c r="J605" s="165"/>
      <c r="K605" s="165"/>
      <c r="L605" s="165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  <c r="AA605" s="165"/>
      <c r="AB605" s="165"/>
      <c r="AC605" s="165"/>
      <c r="AD605" s="165"/>
      <c r="AE605" s="165"/>
      <c r="AF605" s="165"/>
      <c r="AG605" s="165"/>
      <c r="AH605" s="165"/>
      <c r="AI605" s="165"/>
      <c r="AJ605" s="165"/>
      <c r="AK605" s="165"/>
      <c r="AL605" s="165"/>
      <c r="AM605" s="165"/>
      <c r="AN605" s="165"/>
      <c r="AO605" s="165"/>
      <c r="AP605" s="165"/>
      <c r="AQ605" s="165"/>
      <c r="AR605" s="165"/>
      <c r="AS605" s="165"/>
      <c r="AT605" s="165"/>
      <c r="AU605" s="165"/>
      <c r="AV605" s="165"/>
      <c r="AW605" s="165"/>
      <c r="AX605" s="165"/>
    </row>
    <row r="606" ht="15.75" customHeight="1">
      <c r="A606" s="165"/>
      <c r="B606" s="165"/>
      <c r="C606" s="165"/>
      <c r="D606" s="165"/>
      <c r="E606" s="165"/>
      <c r="F606" s="165"/>
      <c r="G606" s="165"/>
      <c r="H606" s="165"/>
      <c r="I606" s="165"/>
      <c r="J606" s="165"/>
      <c r="K606" s="165"/>
      <c r="L606" s="165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  <c r="AA606" s="165"/>
      <c r="AB606" s="165"/>
      <c r="AC606" s="165"/>
      <c r="AD606" s="165"/>
      <c r="AE606" s="165"/>
      <c r="AF606" s="165"/>
      <c r="AG606" s="165"/>
      <c r="AH606" s="165"/>
      <c r="AI606" s="165"/>
      <c r="AJ606" s="165"/>
      <c r="AK606" s="165"/>
      <c r="AL606" s="165"/>
      <c r="AM606" s="165"/>
      <c r="AN606" s="165"/>
      <c r="AO606" s="165"/>
      <c r="AP606" s="165"/>
      <c r="AQ606" s="165"/>
      <c r="AR606" s="165"/>
      <c r="AS606" s="165"/>
      <c r="AT606" s="165"/>
      <c r="AU606" s="165"/>
      <c r="AV606" s="165"/>
      <c r="AW606" s="165"/>
      <c r="AX606" s="165"/>
    </row>
    <row r="607" ht="15.75" customHeight="1">
      <c r="A607" s="165"/>
      <c r="B607" s="165"/>
      <c r="C607" s="165"/>
      <c r="D607" s="165"/>
      <c r="E607" s="165"/>
      <c r="F607" s="165"/>
      <c r="G607" s="165"/>
      <c r="H607" s="165"/>
      <c r="I607" s="165"/>
      <c r="J607" s="165"/>
      <c r="K607" s="165"/>
      <c r="L607" s="165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  <c r="AA607" s="165"/>
      <c r="AB607" s="165"/>
      <c r="AC607" s="165"/>
      <c r="AD607" s="165"/>
      <c r="AE607" s="165"/>
      <c r="AF607" s="165"/>
      <c r="AG607" s="165"/>
      <c r="AH607" s="165"/>
      <c r="AI607" s="165"/>
      <c r="AJ607" s="165"/>
      <c r="AK607" s="165"/>
      <c r="AL607" s="165"/>
      <c r="AM607" s="165"/>
      <c r="AN607" s="165"/>
      <c r="AO607" s="165"/>
      <c r="AP607" s="165"/>
      <c r="AQ607" s="165"/>
      <c r="AR607" s="165"/>
      <c r="AS607" s="165"/>
      <c r="AT607" s="165"/>
      <c r="AU607" s="165"/>
      <c r="AV607" s="165"/>
      <c r="AW607" s="165"/>
      <c r="AX607" s="165"/>
    </row>
    <row r="608" ht="15.75" customHeight="1">
      <c r="A608" s="165"/>
      <c r="B608" s="165"/>
      <c r="C608" s="165"/>
      <c r="D608" s="165"/>
      <c r="E608" s="165"/>
      <c r="F608" s="165"/>
      <c r="G608" s="165"/>
      <c r="H608" s="165"/>
      <c r="I608" s="165"/>
      <c r="J608" s="165"/>
      <c r="K608" s="165"/>
      <c r="L608" s="165"/>
      <c r="M608" s="165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  <c r="AA608" s="165"/>
      <c r="AB608" s="165"/>
      <c r="AC608" s="165"/>
      <c r="AD608" s="165"/>
      <c r="AE608" s="165"/>
      <c r="AF608" s="165"/>
      <c r="AG608" s="165"/>
      <c r="AH608" s="165"/>
      <c r="AI608" s="165"/>
      <c r="AJ608" s="165"/>
      <c r="AK608" s="165"/>
      <c r="AL608" s="165"/>
      <c r="AM608" s="165"/>
      <c r="AN608" s="165"/>
      <c r="AO608" s="165"/>
      <c r="AP608" s="165"/>
      <c r="AQ608" s="165"/>
      <c r="AR608" s="165"/>
      <c r="AS608" s="165"/>
      <c r="AT608" s="165"/>
      <c r="AU608" s="165"/>
      <c r="AV608" s="165"/>
      <c r="AW608" s="165"/>
      <c r="AX608" s="165"/>
    </row>
    <row r="609" ht="15.75" customHeight="1">
      <c r="A609" s="165"/>
      <c r="B609" s="165"/>
      <c r="C609" s="165"/>
      <c r="D609" s="165"/>
      <c r="E609" s="165"/>
      <c r="F609" s="165"/>
      <c r="G609" s="165"/>
      <c r="H609" s="165"/>
      <c r="I609" s="165"/>
      <c r="J609" s="165"/>
      <c r="K609" s="165"/>
      <c r="L609" s="165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  <c r="AA609" s="165"/>
      <c r="AB609" s="165"/>
      <c r="AC609" s="165"/>
      <c r="AD609" s="165"/>
      <c r="AE609" s="165"/>
      <c r="AF609" s="165"/>
      <c r="AG609" s="165"/>
      <c r="AH609" s="165"/>
      <c r="AI609" s="165"/>
      <c r="AJ609" s="165"/>
      <c r="AK609" s="165"/>
      <c r="AL609" s="165"/>
      <c r="AM609" s="165"/>
      <c r="AN609" s="165"/>
      <c r="AO609" s="165"/>
      <c r="AP609" s="165"/>
      <c r="AQ609" s="165"/>
      <c r="AR609" s="165"/>
      <c r="AS609" s="165"/>
      <c r="AT609" s="165"/>
      <c r="AU609" s="165"/>
      <c r="AV609" s="165"/>
      <c r="AW609" s="165"/>
      <c r="AX609" s="165"/>
    </row>
    <row r="610" ht="15.75" customHeight="1">
      <c r="A610" s="165"/>
      <c r="B610" s="165"/>
      <c r="C610" s="165"/>
      <c r="D610" s="165"/>
      <c r="E610" s="165"/>
      <c r="F610" s="165"/>
      <c r="G610" s="165"/>
      <c r="H610" s="165"/>
      <c r="I610" s="165"/>
      <c r="J610" s="165"/>
      <c r="K610" s="165"/>
      <c r="L610" s="165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  <c r="AA610" s="165"/>
      <c r="AB610" s="165"/>
      <c r="AC610" s="165"/>
      <c r="AD610" s="165"/>
      <c r="AE610" s="165"/>
      <c r="AF610" s="165"/>
      <c r="AG610" s="165"/>
      <c r="AH610" s="165"/>
      <c r="AI610" s="165"/>
      <c r="AJ610" s="165"/>
      <c r="AK610" s="165"/>
      <c r="AL610" s="165"/>
      <c r="AM610" s="165"/>
      <c r="AN610" s="165"/>
      <c r="AO610" s="165"/>
      <c r="AP610" s="165"/>
      <c r="AQ610" s="165"/>
      <c r="AR610" s="165"/>
      <c r="AS610" s="165"/>
      <c r="AT610" s="165"/>
      <c r="AU610" s="165"/>
      <c r="AV610" s="165"/>
      <c r="AW610" s="165"/>
      <c r="AX610" s="165"/>
    </row>
    <row r="611" ht="15.75" customHeight="1">
      <c r="A611" s="165"/>
      <c r="B611" s="165"/>
      <c r="C611" s="165"/>
      <c r="D611" s="165"/>
      <c r="E611" s="165"/>
      <c r="F611" s="165"/>
      <c r="G611" s="165"/>
      <c r="H611" s="165"/>
      <c r="I611" s="165"/>
      <c r="J611" s="165"/>
      <c r="K611" s="165"/>
      <c r="L611" s="165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  <c r="AA611" s="165"/>
      <c r="AB611" s="165"/>
      <c r="AC611" s="165"/>
      <c r="AD611" s="165"/>
      <c r="AE611" s="165"/>
      <c r="AF611" s="165"/>
      <c r="AG611" s="165"/>
      <c r="AH611" s="165"/>
      <c r="AI611" s="165"/>
      <c r="AJ611" s="165"/>
      <c r="AK611" s="165"/>
      <c r="AL611" s="165"/>
      <c r="AM611" s="165"/>
      <c r="AN611" s="165"/>
      <c r="AO611" s="165"/>
      <c r="AP611" s="165"/>
      <c r="AQ611" s="165"/>
      <c r="AR611" s="165"/>
      <c r="AS611" s="165"/>
      <c r="AT611" s="165"/>
      <c r="AU611" s="165"/>
      <c r="AV611" s="165"/>
      <c r="AW611" s="165"/>
      <c r="AX611" s="165"/>
    </row>
    <row r="612" ht="15.75" customHeight="1">
      <c r="A612" s="165"/>
      <c r="B612" s="165"/>
      <c r="C612" s="165"/>
      <c r="D612" s="165"/>
      <c r="E612" s="165"/>
      <c r="F612" s="165"/>
      <c r="G612" s="165"/>
      <c r="H612" s="165"/>
      <c r="I612" s="165"/>
      <c r="J612" s="165"/>
      <c r="K612" s="165"/>
      <c r="L612" s="165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  <c r="AA612" s="165"/>
      <c r="AB612" s="165"/>
      <c r="AC612" s="165"/>
      <c r="AD612" s="165"/>
      <c r="AE612" s="165"/>
      <c r="AF612" s="165"/>
      <c r="AG612" s="165"/>
      <c r="AH612" s="165"/>
      <c r="AI612" s="165"/>
      <c r="AJ612" s="165"/>
      <c r="AK612" s="165"/>
      <c r="AL612" s="165"/>
      <c r="AM612" s="165"/>
      <c r="AN612" s="165"/>
      <c r="AO612" s="165"/>
      <c r="AP612" s="165"/>
      <c r="AQ612" s="165"/>
      <c r="AR612" s="165"/>
      <c r="AS612" s="165"/>
      <c r="AT612" s="165"/>
      <c r="AU612" s="165"/>
      <c r="AV612" s="165"/>
      <c r="AW612" s="165"/>
      <c r="AX612" s="165"/>
    </row>
    <row r="613" ht="15.75" customHeight="1">
      <c r="A613" s="165"/>
      <c r="B613" s="165"/>
      <c r="C613" s="165"/>
      <c r="D613" s="165"/>
      <c r="E613" s="165"/>
      <c r="F613" s="165"/>
      <c r="G613" s="165"/>
      <c r="H613" s="165"/>
      <c r="I613" s="165"/>
      <c r="J613" s="165"/>
      <c r="K613" s="165"/>
      <c r="L613" s="165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  <c r="AA613" s="165"/>
      <c r="AB613" s="165"/>
      <c r="AC613" s="165"/>
      <c r="AD613" s="165"/>
      <c r="AE613" s="165"/>
      <c r="AF613" s="165"/>
      <c r="AG613" s="165"/>
      <c r="AH613" s="165"/>
      <c r="AI613" s="165"/>
      <c r="AJ613" s="165"/>
      <c r="AK613" s="165"/>
      <c r="AL613" s="165"/>
      <c r="AM613" s="165"/>
      <c r="AN613" s="165"/>
      <c r="AO613" s="165"/>
      <c r="AP613" s="165"/>
      <c r="AQ613" s="165"/>
      <c r="AR613" s="165"/>
      <c r="AS613" s="165"/>
      <c r="AT613" s="165"/>
      <c r="AU613" s="165"/>
      <c r="AV613" s="165"/>
      <c r="AW613" s="165"/>
      <c r="AX613" s="165"/>
    </row>
    <row r="614" ht="15.75" customHeight="1">
      <c r="A614" s="165"/>
      <c r="B614" s="165"/>
      <c r="C614" s="165"/>
      <c r="D614" s="165"/>
      <c r="E614" s="165"/>
      <c r="F614" s="165"/>
      <c r="G614" s="165"/>
      <c r="H614" s="165"/>
      <c r="I614" s="165"/>
      <c r="J614" s="165"/>
      <c r="K614" s="165"/>
      <c r="L614" s="165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  <c r="AA614" s="165"/>
      <c r="AB614" s="165"/>
      <c r="AC614" s="165"/>
      <c r="AD614" s="165"/>
      <c r="AE614" s="165"/>
      <c r="AF614" s="165"/>
      <c r="AG614" s="165"/>
      <c r="AH614" s="165"/>
      <c r="AI614" s="165"/>
      <c r="AJ614" s="165"/>
      <c r="AK614" s="165"/>
      <c r="AL614" s="165"/>
      <c r="AM614" s="165"/>
      <c r="AN614" s="165"/>
      <c r="AO614" s="165"/>
      <c r="AP614" s="165"/>
      <c r="AQ614" s="165"/>
      <c r="AR614" s="165"/>
      <c r="AS614" s="165"/>
      <c r="AT614" s="165"/>
      <c r="AU614" s="165"/>
      <c r="AV614" s="165"/>
      <c r="AW614" s="165"/>
      <c r="AX614" s="165"/>
    </row>
    <row r="615" ht="15.75" customHeight="1">
      <c r="A615" s="165"/>
      <c r="B615" s="165"/>
      <c r="C615" s="165"/>
      <c r="D615" s="165"/>
      <c r="E615" s="165"/>
      <c r="F615" s="165"/>
      <c r="G615" s="165"/>
      <c r="H615" s="165"/>
      <c r="I615" s="165"/>
      <c r="J615" s="165"/>
      <c r="K615" s="165"/>
      <c r="L615" s="165"/>
      <c r="M615" s="165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  <c r="AA615" s="165"/>
      <c r="AB615" s="165"/>
      <c r="AC615" s="165"/>
      <c r="AD615" s="165"/>
      <c r="AE615" s="165"/>
      <c r="AF615" s="165"/>
      <c r="AG615" s="165"/>
      <c r="AH615" s="165"/>
      <c r="AI615" s="165"/>
      <c r="AJ615" s="165"/>
      <c r="AK615" s="165"/>
      <c r="AL615" s="165"/>
      <c r="AM615" s="165"/>
      <c r="AN615" s="165"/>
      <c r="AO615" s="165"/>
      <c r="AP615" s="165"/>
      <c r="AQ615" s="165"/>
      <c r="AR615" s="165"/>
      <c r="AS615" s="165"/>
      <c r="AT615" s="165"/>
      <c r="AU615" s="165"/>
      <c r="AV615" s="165"/>
      <c r="AW615" s="165"/>
      <c r="AX615" s="165"/>
    </row>
    <row r="616" ht="15.75" customHeight="1">
      <c r="A616" s="165"/>
      <c r="B616" s="165"/>
      <c r="C616" s="165"/>
      <c r="D616" s="165"/>
      <c r="E616" s="165"/>
      <c r="F616" s="165"/>
      <c r="G616" s="165"/>
      <c r="H616" s="165"/>
      <c r="I616" s="165"/>
      <c r="J616" s="165"/>
      <c r="K616" s="165"/>
      <c r="L616" s="165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  <c r="AA616" s="165"/>
      <c r="AB616" s="165"/>
      <c r="AC616" s="165"/>
      <c r="AD616" s="165"/>
      <c r="AE616" s="165"/>
      <c r="AF616" s="165"/>
      <c r="AG616" s="165"/>
      <c r="AH616" s="165"/>
      <c r="AI616" s="165"/>
      <c r="AJ616" s="165"/>
      <c r="AK616" s="165"/>
      <c r="AL616" s="165"/>
      <c r="AM616" s="165"/>
      <c r="AN616" s="165"/>
      <c r="AO616" s="165"/>
      <c r="AP616" s="165"/>
      <c r="AQ616" s="165"/>
      <c r="AR616" s="165"/>
      <c r="AS616" s="165"/>
      <c r="AT616" s="165"/>
      <c r="AU616" s="165"/>
      <c r="AV616" s="165"/>
      <c r="AW616" s="165"/>
      <c r="AX616" s="165"/>
    </row>
    <row r="617" ht="15.75" customHeight="1">
      <c r="A617" s="165"/>
      <c r="B617" s="165"/>
      <c r="C617" s="165"/>
      <c r="D617" s="165"/>
      <c r="E617" s="165"/>
      <c r="F617" s="165"/>
      <c r="G617" s="165"/>
      <c r="H617" s="165"/>
      <c r="I617" s="165"/>
      <c r="J617" s="165"/>
      <c r="K617" s="165"/>
      <c r="L617" s="165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  <c r="AA617" s="165"/>
      <c r="AB617" s="165"/>
      <c r="AC617" s="165"/>
      <c r="AD617" s="165"/>
      <c r="AE617" s="165"/>
      <c r="AF617" s="165"/>
      <c r="AG617" s="165"/>
      <c r="AH617" s="165"/>
      <c r="AI617" s="165"/>
      <c r="AJ617" s="165"/>
      <c r="AK617" s="165"/>
      <c r="AL617" s="165"/>
      <c r="AM617" s="165"/>
      <c r="AN617" s="165"/>
      <c r="AO617" s="165"/>
      <c r="AP617" s="165"/>
      <c r="AQ617" s="165"/>
      <c r="AR617" s="165"/>
      <c r="AS617" s="165"/>
      <c r="AT617" s="165"/>
      <c r="AU617" s="165"/>
      <c r="AV617" s="165"/>
      <c r="AW617" s="165"/>
      <c r="AX617" s="165"/>
    </row>
    <row r="618" ht="15.75" customHeight="1">
      <c r="A618" s="165"/>
      <c r="B618" s="165"/>
      <c r="C618" s="165"/>
      <c r="D618" s="165"/>
      <c r="E618" s="165"/>
      <c r="F618" s="165"/>
      <c r="G618" s="165"/>
      <c r="H618" s="165"/>
      <c r="I618" s="165"/>
      <c r="J618" s="165"/>
      <c r="K618" s="165"/>
      <c r="L618" s="165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  <c r="AA618" s="165"/>
      <c r="AB618" s="165"/>
      <c r="AC618" s="165"/>
      <c r="AD618" s="165"/>
      <c r="AE618" s="165"/>
      <c r="AF618" s="165"/>
      <c r="AG618" s="165"/>
      <c r="AH618" s="165"/>
      <c r="AI618" s="165"/>
      <c r="AJ618" s="165"/>
      <c r="AK618" s="165"/>
      <c r="AL618" s="165"/>
      <c r="AM618" s="165"/>
      <c r="AN618" s="165"/>
      <c r="AO618" s="165"/>
      <c r="AP618" s="165"/>
      <c r="AQ618" s="165"/>
      <c r="AR618" s="165"/>
      <c r="AS618" s="165"/>
      <c r="AT618" s="165"/>
      <c r="AU618" s="165"/>
      <c r="AV618" s="165"/>
      <c r="AW618" s="165"/>
      <c r="AX618" s="165"/>
    </row>
    <row r="619" ht="15.75" customHeight="1">
      <c r="A619" s="165"/>
      <c r="B619" s="165"/>
      <c r="C619" s="165"/>
      <c r="D619" s="165"/>
      <c r="E619" s="165"/>
      <c r="F619" s="165"/>
      <c r="G619" s="165"/>
      <c r="H619" s="165"/>
      <c r="I619" s="165"/>
      <c r="J619" s="165"/>
      <c r="K619" s="165"/>
      <c r="L619" s="165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  <c r="AA619" s="165"/>
      <c r="AB619" s="165"/>
      <c r="AC619" s="165"/>
      <c r="AD619" s="165"/>
      <c r="AE619" s="165"/>
      <c r="AF619" s="165"/>
      <c r="AG619" s="165"/>
      <c r="AH619" s="165"/>
      <c r="AI619" s="165"/>
      <c r="AJ619" s="165"/>
      <c r="AK619" s="165"/>
      <c r="AL619" s="165"/>
      <c r="AM619" s="165"/>
      <c r="AN619" s="165"/>
      <c r="AO619" s="165"/>
      <c r="AP619" s="165"/>
      <c r="AQ619" s="165"/>
      <c r="AR619" s="165"/>
      <c r="AS619" s="165"/>
      <c r="AT619" s="165"/>
      <c r="AU619" s="165"/>
      <c r="AV619" s="165"/>
      <c r="AW619" s="165"/>
      <c r="AX619" s="165"/>
    </row>
    <row r="620" ht="15.75" customHeight="1">
      <c r="A620" s="165"/>
      <c r="B620" s="165"/>
      <c r="C620" s="165"/>
      <c r="D620" s="165"/>
      <c r="E620" s="165"/>
      <c r="F620" s="165"/>
      <c r="G620" s="165"/>
      <c r="H620" s="165"/>
      <c r="I620" s="165"/>
      <c r="J620" s="165"/>
      <c r="K620" s="165"/>
      <c r="L620" s="165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  <c r="AA620" s="165"/>
      <c r="AB620" s="165"/>
      <c r="AC620" s="165"/>
      <c r="AD620" s="165"/>
      <c r="AE620" s="165"/>
      <c r="AF620" s="165"/>
      <c r="AG620" s="165"/>
      <c r="AH620" s="165"/>
      <c r="AI620" s="165"/>
      <c r="AJ620" s="165"/>
      <c r="AK620" s="165"/>
      <c r="AL620" s="165"/>
      <c r="AM620" s="165"/>
      <c r="AN620" s="165"/>
      <c r="AO620" s="165"/>
      <c r="AP620" s="165"/>
      <c r="AQ620" s="165"/>
      <c r="AR620" s="165"/>
      <c r="AS620" s="165"/>
      <c r="AT620" s="165"/>
      <c r="AU620" s="165"/>
      <c r="AV620" s="165"/>
      <c r="AW620" s="165"/>
      <c r="AX620" s="165"/>
    </row>
    <row r="621" ht="15.75" customHeight="1">
      <c r="A621" s="165"/>
      <c r="B621" s="165"/>
      <c r="C621" s="165"/>
      <c r="D621" s="165"/>
      <c r="E621" s="165"/>
      <c r="F621" s="165"/>
      <c r="G621" s="165"/>
      <c r="H621" s="165"/>
      <c r="I621" s="165"/>
      <c r="J621" s="165"/>
      <c r="K621" s="165"/>
      <c r="L621" s="165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  <c r="AA621" s="165"/>
      <c r="AB621" s="165"/>
      <c r="AC621" s="165"/>
      <c r="AD621" s="165"/>
      <c r="AE621" s="165"/>
      <c r="AF621" s="165"/>
      <c r="AG621" s="165"/>
      <c r="AH621" s="165"/>
      <c r="AI621" s="165"/>
      <c r="AJ621" s="165"/>
      <c r="AK621" s="165"/>
      <c r="AL621" s="165"/>
      <c r="AM621" s="165"/>
      <c r="AN621" s="165"/>
      <c r="AO621" s="165"/>
      <c r="AP621" s="165"/>
      <c r="AQ621" s="165"/>
      <c r="AR621" s="165"/>
      <c r="AS621" s="165"/>
      <c r="AT621" s="165"/>
      <c r="AU621" s="165"/>
      <c r="AV621" s="165"/>
      <c r="AW621" s="165"/>
      <c r="AX621" s="165"/>
    </row>
    <row r="622" ht="15.75" customHeight="1">
      <c r="A622" s="165"/>
      <c r="B622" s="165"/>
      <c r="C622" s="165"/>
      <c r="D622" s="165"/>
      <c r="E622" s="165"/>
      <c r="F622" s="165"/>
      <c r="G622" s="165"/>
      <c r="H622" s="165"/>
      <c r="I622" s="165"/>
      <c r="J622" s="165"/>
      <c r="K622" s="165"/>
      <c r="L622" s="165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  <c r="AA622" s="165"/>
      <c r="AB622" s="165"/>
      <c r="AC622" s="165"/>
      <c r="AD622" s="165"/>
      <c r="AE622" s="165"/>
      <c r="AF622" s="165"/>
      <c r="AG622" s="165"/>
      <c r="AH622" s="165"/>
      <c r="AI622" s="165"/>
      <c r="AJ622" s="165"/>
      <c r="AK622" s="165"/>
      <c r="AL622" s="165"/>
      <c r="AM622" s="165"/>
      <c r="AN622" s="165"/>
      <c r="AO622" s="165"/>
      <c r="AP622" s="165"/>
      <c r="AQ622" s="165"/>
      <c r="AR622" s="165"/>
      <c r="AS622" s="165"/>
      <c r="AT622" s="165"/>
      <c r="AU622" s="165"/>
      <c r="AV622" s="165"/>
      <c r="AW622" s="165"/>
      <c r="AX622" s="165"/>
    </row>
    <row r="623" ht="15.75" customHeight="1">
      <c r="A623" s="165"/>
      <c r="B623" s="165"/>
      <c r="C623" s="165"/>
      <c r="D623" s="165"/>
      <c r="E623" s="165"/>
      <c r="F623" s="165"/>
      <c r="G623" s="165"/>
      <c r="H623" s="165"/>
      <c r="I623" s="165"/>
      <c r="J623" s="165"/>
      <c r="K623" s="165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  <c r="AA623" s="165"/>
      <c r="AB623" s="165"/>
      <c r="AC623" s="165"/>
      <c r="AD623" s="165"/>
      <c r="AE623" s="165"/>
      <c r="AF623" s="165"/>
      <c r="AG623" s="165"/>
      <c r="AH623" s="165"/>
      <c r="AI623" s="165"/>
      <c r="AJ623" s="165"/>
      <c r="AK623" s="165"/>
      <c r="AL623" s="165"/>
      <c r="AM623" s="165"/>
      <c r="AN623" s="165"/>
      <c r="AO623" s="165"/>
      <c r="AP623" s="165"/>
      <c r="AQ623" s="165"/>
      <c r="AR623" s="165"/>
      <c r="AS623" s="165"/>
      <c r="AT623" s="165"/>
      <c r="AU623" s="165"/>
      <c r="AV623" s="165"/>
      <c r="AW623" s="165"/>
      <c r="AX623" s="165"/>
    </row>
    <row r="624" ht="15.75" customHeight="1">
      <c r="A624" s="165"/>
      <c r="B624" s="165"/>
      <c r="C624" s="165"/>
      <c r="D624" s="165"/>
      <c r="E624" s="165"/>
      <c r="F624" s="165"/>
      <c r="G624" s="165"/>
      <c r="H624" s="165"/>
      <c r="I624" s="165"/>
      <c r="J624" s="165"/>
      <c r="K624" s="165"/>
      <c r="L624" s="165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  <c r="AA624" s="165"/>
      <c r="AB624" s="165"/>
      <c r="AC624" s="165"/>
      <c r="AD624" s="165"/>
      <c r="AE624" s="165"/>
      <c r="AF624" s="165"/>
      <c r="AG624" s="165"/>
      <c r="AH624" s="165"/>
      <c r="AI624" s="165"/>
      <c r="AJ624" s="165"/>
      <c r="AK624" s="165"/>
      <c r="AL624" s="165"/>
      <c r="AM624" s="165"/>
      <c r="AN624" s="165"/>
      <c r="AO624" s="165"/>
      <c r="AP624" s="165"/>
      <c r="AQ624" s="165"/>
      <c r="AR624" s="165"/>
      <c r="AS624" s="165"/>
      <c r="AT624" s="165"/>
      <c r="AU624" s="165"/>
      <c r="AV624" s="165"/>
      <c r="AW624" s="165"/>
      <c r="AX624" s="165"/>
    </row>
    <row r="625" ht="15.75" customHeight="1">
      <c r="A625" s="165"/>
      <c r="B625" s="165"/>
      <c r="C625" s="165"/>
      <c r="D625" s="165"/>
      <c r="E625" s="165"/>
      <c r="F625" s="165"/>
      <c r="G625" s="165"/>
      <c r="H625" s="165"/>
      <c r="I625" s="165"/>
      <c r="J625" s="165"/>
      <c r="K625" s="165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  <c r="AA625" s="165"/>
      <c r="AB625" s="165"/>
      <c r="AC625" s="165"/>
      <c r="AD625" s="165"/>
      <c r="AE625" s="165"/>
      <c r="AF625" s="165"/>
      <c r="AG625" s="165"/>
      <c r="AH625" s="165"/>
      <c r="AI625" s="165"/>
      <c r="AJ625" s="165"/>
      <c r="AK625" s="165"/>
      <c r="AL625" s="165"/>
      <c r="AM625" s="165"/>
      <c r="AN625" s="165"/>
      <c r="AO625" s="165"/>
      <c r="AP625" s="165"/>
      <c r="AQ625" s="165"/>
      <c r="AR625" s="165"/>
      <c r="AS625" s="165"/>
      <c r="AT625" s="165"/>
      <c r="AU625" s="165"/>
      <c r="AV625" s="165"/>
      <c r="AW625" s="165"/>
      <c r="AX625" s="165"/>
    </row>
    <row r="626" ht="15.75" customHeight="1">
      <c r="A626" s="165"/>
      <c r="B626" s="165"/>
      <c r="C626" s="165"/>
      <c r="D626" s="165"/>
      <c r="E626" s="165"/>
      <c r="F626" s="165"/>
      <c r="G626" s="165"/>
      <c r="H626" s="165"/>
      <c r="I626" s="165"/>
      <c r="J626" s="165"/>
      <c r="K626" s="165"/>
      <c r="L626" s="165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  <c r="AA626" s="165"/>
      <c r="AB626" s="165"/>
      <c r="AC626" s="165"/>
      <c r="AD626" s="165"/>
      <c r="AE626" s="165"/>
      <c r="AF626" s="165"/>
      <c r="AG626" s="165"/>
      <c r="AH626" s="165"/>
      <c r="AI626" s="165"/>
      <c r="AJ626" s="165"/>
      <c r="AK626" s="165"/>
      <c r="AL626" s="165"/>
      <c r="AM626" s="165"/>
      <c r="AN626" s="165"/>
      <c r="AO626" s="165"/>
      <c r="AP626" s="165"/>
      <c r="AQ626" s="165"/>
      <c r="AR626" s="165"/>
      <c r="AS626" s="165"/>
      <c r="AT626" s="165"/>
      <c r="AU626" s="165"/>
      <c r="AV626" s="165"/>
      <c r="AW626" s="165"/>
      <c r="AX626" s="165"/>
    </row>
    <row r="627" ht="15.75" customHeight="1">
      <c r="A627" s="165"/>
      <c r="B627" s="165"/>
      <c r="C627" s="165"/>
      <c r="D627" s="165"/>
      <c r="E627" s="165"/>
      <c r="F627" s="165"/>
      <c r="G627" s="165"/>
      <c r="H627" s="165"/>
      <c r="I627" s="165"/>
      <c r="J627" s="165"/>
      <c r="K627" s="165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  <c r="AA627" s="165"/>
      <c r="AB627" s="165"/>
      <c r="AC627" s="165"/>
      <c r="AD627" s="165"/>
      <c r="AE627" s="165"/>
      <c r="AF627" s="165"/>
      <c r="AG627" s="165"/>
      <c r="AH627" s="165"/>
      <c r="AI627" s="165"/>
      <c r="AJ627" s="165"/>
      <c r="AK627" s="165"/>
      <c r="AL627" s="165"/>
      <c r="AM627" s="165"/>
      <c r="AN627" s="165"/>
      <c r="AO627" s="165"/>
      <c r="AP627" s="165"/>
      <c r="AQ627" s="165"/>
      <c r="AR627" s="165"/>
      <c r="AS627" s="165"/>
      <c r="AT627" s="165"/>
      <c r="AU627" s="165"/>
      <c r="AV627" s="165"/>
      <c r="AW627" s="165"/>
      <c r="AX627" s="165"/>
    </row>
    <row r="628" ht="15.75" customHeight="1">
      <c r="A628" s="165"/>
      <c r="B628" s="165"/>
      <c r="C628" s="165"/>
      <c r="D628" s="165"/>
      <c r="E628" s="165"/>
      <c r="F628" s="165"/>
      <c r="G628" s="165"/>
      <c r="H628" s="165"/>
      <c r="I628" s="165"/>
      <c r="J628" s="165"/>
      <c r="K628" s="165"/>
      <c r="L628" s="165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  <c r="AA628" s="165"/>
      <c r="AB628" s="165"/>
      <c r="AC628" s="165"/>
      <c r="AD628" s="165"/>
      <c r="AE628" s="165"/>
      <c r="AF628" s="165"/>
      <c r="AG628" s="165"/>
      <c r="AH628" s="165"/>
      <c r="AI628" s="165"/>
      <c r="AJ628" s="165"/>
      <c r="AK628" s="165"/>
      <c r="AL628" s="165"/>
      <c r="AM628" s="165"/>
      <c r="AN628" s="165"/>
      <c r="AO628" s="165"/>
      <c r="AP628" s="165"/>
      <c r="AQ628" s="165"/>
      <c r="AR628" s="165"/>
      <c r="AS628" s="165"/>
      <c r="AT628" s="165"/>
      <c r="AU628" s="165"/>
      <c r="AV628" s="165"/>
      <c r="AW628" s="165"/>
      <c r="AX628" s="165"/>
    </row>
    <row r="629" ht="15.75" customHeight="1">
      <c r="A629" s="165"/>
      <c r="B629" s="165"/>
      <c r="C629" s="165"/>
      <c r="D629" s="165"/>
      <c r="E629" s="165"/>
      <c r="F629" s="165"/>
      <c r="G629" s="165"/>
      <c r="H629" s="165"/>
      <c r="I629" s="165"/>
      <c r="J629" s="165"/>
      <c r="K629" s="165"/>
      <c r="L629" s="165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  <c r="AA629" s="165"/>
      <c r="AB629" s="165"/>
      <c r="AC629" s="165"/>
      <c r="AD629" s="165"/>
      <c r="AE629" s="165"/>
      <c r="AF629" s="165"/>
      <c r="AG629" s="165"/>
      <c r="AH629" s="165"/>
      <c r="AI629" s="165"/>
      <c r="AJ629" s="165"/>
      <c r="AK629" s="165"/>
      <c r="AL629" s="165"/>
      <c r="AM629" s="165"/>
      <c r="AN629" s="165"/>
      <c r="AO629" s="165"/>
      <c r="AP629" s="165"/>
      <c r="AQ629" s="165"/>
      <c r="AR629" s="165"/>
      <c r="AS629" s="165"/>
      <c r="AT629" s="165"/>
      <c r="AU629" s="165"/>
      <c r="AV629" s="165"/>
      <c r="AW629" s="165"/>
      <c r="AX629" s="165"/>
    </row>
    <row r="630" ht="15.75" customHeight="1">
      <c r="A630" s="165"/>
      <c r="B630" s="165"/>
      <c r="C630" s="165"/>
      <c r="D630" s="165"/>
      <c r="E630" s="165"/>
      <c r="F630" s="165"/>
      <c r="G630" s="165"/>
      <c r="H630" s="165"/>
      <c r="I630" s="165"/>
      <c r="J630" s="165"/>
      <c r="K630" s="165"/>
      <c r="L630" s="165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  <c r="AA630" s="165"/>
      <c r="AB630" s="165"/>
      <c r="AC630" s="165"/>
      <c r="AD630" s="165"/>
      <c r="AE630" s="165"/>
      <c r="AF630" s="165"/>
      <c r="AG630" s="165"/>
      <c r="AH630" s="165"/>
      <c r="AI630" s="165"/>
      <c r="AJ630" s="165"/>
      <c r="AK630" s="165"/>
      <c r="AL630" s="165"/>
      <c r="AM630" s="165"/>
      <c r="AN630" s="165"/>
      <c r="AO630" s="165"/>
      <c r="AP630" s="165"/>
      <c r="AQ630" s="165"/>
      <c r="AR630" s="165"/>
      <c r="AS630" s="165"/>
      <c r="AT630" s="165"/>
      <c r="AU630" s="165"/>
      <c r="AV630" s="165"/>
      <c r="AW630" s="165"/>
      <c r="AX630" s="165"/>
    </row>
    <row r="631" ht="15.75" customHeight="1">
      <c r="A631" s="165"/>
      <c r="B631" s="165"/>
      <c r="C631" s="165"/>
      <c r="D631" s="165"/>
      <c r="E631" s="165"/>
      <c r="F631" s="165"/>
      <c r="G631" s="165"/>
      <c r="H631" s="165"/>
      <c r="I631" s="165"/>
      <c r="J631" s="165"/>
      <c r="K631" s="165"/>
      <c r="L631" s="165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  <c r="AA631" s="165"/>
      <c r="AB631" s="165"/>
      <c r="AC631" s="165"/>
      <c r="AD631" s="165"/>
      <c r="AE631" s="165"/>
      <c r="AF631" s="165"/>
      <c r="AG631" s="165"/>
      <c r="AH631" s="165"/>
      <c r="AI631" s="165"/>
      <c r="AJ631" s="165"/>
      <c r="AK631" s="165"/>
      <c r="AL631" s="165"/>
      <c r="AM631" s="165"/>
      <c r="AN631" s="165"/>
      <c r="AO631" s="165"/>
      <c r="AP631" s="165"/>
      <c r="AQ631" s="165"/>
      <c r="AR631" s="165"/>
      <c r="AS631" s="165"/>
      <c r="AT631" s="165"/>
      <c r="AU631" s="165"/>
      <c r="AV631" s="165"/>
      <c r="AW631" s="165"/>
      <c r="AX631" s="165"/>
    </row>
    <row r="632" ht="15.75" customHeight="1">
      <c r="A632" s="165"/>
      <c r="B632" s="165"/>
      <c r="C632" s="165"/>
      <c r="D632" s="165"/>
      <c r="E632" s="165"/>
      <c r="F632" s="165"/>
      <c r="G632" s="165"/>
      <c r="H632" s="165"/>
      <c r="I632" s="165"/>
      <c r="J632" s="165"/>
      <c r="K632" s="165"/>
      <c r="L632" s="165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  <c r="AA632" s="165"/>
      <c r="AB632" s="165"/>
      <c r="AC632" s="165"/>
      <c r="AD632" s="165"/>
      <c r="AE632" s="165"/>
      <c r="AF632" s="165"/>
      <c r="AG632" s="165"/>
      <c r="AH632" s="165"/>
      <c r="AI632" s="165"/>
      <c r="AJ632" s="165"/>
      <c r="AK632" s="165"/>
      <c r="AL632" s="165"/>
      <c r="AM632" s="165"/>
      <c r="AN632" s="165"/>
      <c r="AO632" s="165"/>
      <c r="AP632" s="165"/>
      <c r="AQ632" s="165"/>
      <c r="AR632" s="165"/>
      <c r="AS632" s="165"/>
      <c r="AT632" s="165"/>
      <c r="AU632" s="165"/>
      <c r="AV632" s="165"/>
      <c r="AW632" s="165"/>
      <c r="AX632" s="165"/>
    </row>
    <row r="633" ht="15.75" customHeight="1">
      <c r="A633" s="165"/>
      <c r="B633" s="165"/>
      <c r="C633" s="165"/>
      <c r="D633" s="165"/>
      <c r="E633" s="165"/>
      <c r="F633" s="165"/>
      <c r="G633" s="165"/>
      <c r="H633" s="165"/>
      <c r="I633" s="165"/>
      <c r="J633" s="165"/>
      <c r="K633" s="165"/>
      <c r="L633" s="165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  <c r="AA633" s="165"/>
      <c r="AB633" s="165"/>
      <c r="AC633" s="165"/>
      <c r="AD633" s="165"/>
      <c r="AE633" s="165"/>
      <c r="AF633" s="165"/>
      <c r="AG633" s="165"/>
      <c r="AH633" s="165"/>
      <c r="AI633" s="165"/>
      <c r="AJ633" s="165"/>
      <c r="AK633" s="165"/>
      <c r="AL633" s="165"/>
      <c r="AM633" s="165"/>
      <c r="AN633" s="165"/>
      <c r="AO633" s="165"/>
      <c r="AP633" s="165"/>
      <c r="AQ633" s="165"/>
      <c r="AR633" s="165"/>
      <c r="AS633" s="165"/>
      <c r="AT633" s="165"/>
      <c r="AU633" s="165"/>
      <c r="AV633" s="165"/>
      <c r="AW633" s="165"/>
      <c r="AX633" s="165"/>
    </row>
    <row r="634" ht="15.75" customHeight="1">
      <c r="A634" s="165"/>
      <c r="B634" s="165"/>
      <c r="C634" s="165"/>
      <c r="D634" s="165"/>
      <c r="E634" s="165"/>
      <c r="F634" s="165"/>
      <c r="G634" s="165"/>
      <c r="H634" s="165"/>
      <c r="I634" s="165"/>
      <c r="J634" s="165"/>
      <c r="K634" s="165"/>
      <c r="L634" s="165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  <c r="AA634" s="165"/>
      <c r="AB634" s="165"/>
      <c r="AC634" s="165"/>
      <c r="AD634" s="165"/>
      <c r="AE634" s="165"/>
      <c r="AF634" s="165"/>
      <c r="AG634" s="165"/>
      <c r="AH634" s="165"/>
      <c r="AI634" s="165"/>
      <c r="AJ634" s="165"/>
      <c r="AK634" s="165"/>
      <c r="AL634" s="165"/>
      <c r="AM634" s="165"/>
      <c r="AN634" s="165"/>
      <c r="AO634" s="165"/>
      <c r="AP634" s="165"/>
      <c r="AQ634" s="165"/>
      <c r="AR634" s="165"/>
      <c r="AS634" s="165"/>
      <c r="AT634" s="165"/>
      <c r="AU634" s="165"/>
      <c r="AV634" s="165"/>
      <c r="AW634" s="165"/>
      <c r="AX634" s="165"/>
    </row>
    <row r="635" ht="15.75" customHeight="1">
      <c r="A635" s="165"/>
      <c r="B635" s="165"/>
      <c r="C635" s="165"/>
      <c r="D635" s="165"/>
      <c r="E635" s="165"/>
      <c r="F635" s="165"/>
      <c r="G635" s="165"/>
      <c r="H635" s="165"/>
      <c r="I635" s="165"/>
      <c r="J635" s="165"/>
      <c r="K635" s="165"/>
      <c r="L635" s="165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  <c r="AA635" s="165"/>
      <c r="AB635" s="165"/>
      <c r="AC635" s="165"/>
      <c r="AD635" s="165"/>
      <c r="AE635" s="165"/>
      <c r="AF635" s="165"/>
      <c r="AG635" s="165"/>
      <c r="AH635" s="165"/>
      <c r="AI635" s="165"/>
      <c r="AJ635" s="165"/>
      <c r="AK635" s="165"/>
      <c r="AL635" s="165"/>
      <c r="AM635" s="165"/>
      <c r="AN635" s="165"/>
      <c r="AO635" s="165"/>
      <c r="AP635" s="165"/>
      <c r="AQ635" s="165"/>
      <c r="AR635" s="165"/>
      <c r="AS635" s="165"/>
      <c r="AT635" s="165"/>
      <c r="AU635" s="165"/>
      <c r="AV635" s="165"/>
      <c r="AW635" s="165"/>
      <c r="AX635" s="165"/>
    </row>
    <row r="636" ht="15.75" customHeight="1">
      <c r="A636" s="165"/>
      <c r="B636" s="165"/>
      <c r="C636" s="165"/>
      <c r="D636" s="165"/>
      <c r="E636" s="165"/>
      <c r="F636" s="165"/>
      <c r="G636" s="165"/>
      <c r="H636" s="165"/>
      <c r="I636" s="165"/>
      <c r="J636" s="165"/>
      <c r="K636" s="165"/>
      <c r="L636" s="165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  <c r="AA636" s="165"/>
      <c r="AB636" s="165"/>
      <c r="AC636" s="165"/>
      <c r="AD636" s="165"/>
      <c r="AE636" s="165"/>
      <c r="AF636" s="165"/>
      <c r="AG636" s="165"/>
      <c r="AH636" s="165"/>
      <c r="AI636" s="165"/>
      <c r="AJ636" s="165"/>
      <c r="AK636" s="165"/>
      <c r="AL636" s="165"/>
      <c r="AM636" s="165"/>
      <c r="AN636" s="165"/>
      <c r="AO636" s="165"/>
      <c r="AP636" s="165"/>
      <c r="AQ636" s="165"/>
      <c r="AR636" s="165"/>
      <c r="AS636" s="165"/>
      <c r="AT636" s="165"/>
      <c r="AU636" s="165"/>
      <c r="AV636" s="165"/>
      <c r="AW636" s="165"/>
      <c r="AX636" s="165"/>
    </row>
    <row r="637" ht="15.75" customHeight="1">
      <c r="A637" s="165"/>
      <c r="B637" s="165"/>
      <c r="C637" s="165"/>
      <c r="D637" s="165"/>
      <c r="E637" s="165"/>
      <c r="F637" s="165"/>
      <c r="G637" s="165"/>
      <c r="H637" s="165"/>
      <c r="I637" s="165"/>
      <c r="J637" s="165"/>
      <c r="K637" s="165"/>
      <c r="L637" s="165"/>
      <c r="M637" s="165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  <c r="AA637" s="165"/>
      <c r="AB637" s="165"/>
      <c r="AC637" s="165"/>
      <c r="AD637" s="165"/>
      <c r="AE637" s="165"/>
      <c r="AF637" s="165"/>
      <c r="AG637" s="165"/>
      <c r="AH637" s="165"/>
      <c r="AI637" s="165"/>
      <c r="AJ637" s="165"/>
      <c r="AK637" s="165"/>
      <c r="AL637" s="165"/>
      <c r="AM637" s="165"/>
      <c r="AN637" s="165"/>
      <c r="AO637" s="165"/>
      <c r="AP637" s="165"/>
      <c r="AQ637" s="165"/>
      <c r="AR637" s="165"/>
      <c r="AS637" s="165"/>
      <c r="AT637" s="165"/>
      <c r="AU637" s="165"/>
      <c r="AV637" s="165"/>
      <c r="AW637" s="165"/>
      <c r="AX637" s="165"/>
    </row>
    <row r="638" ht="15.75" customHeight="1">
      <c r="A638" s="165"/>
      <c r="B638" s="165"/>
      <c r="C638" s="165"/>
      <c r="D638" s="165"/>
      <c r="E638" s="165"/>
      <c r="F638" s="165"/>
      <c r="G638" s="165"/>
      <c r="H638" s="165"/>
      <c r="I638" s="165"/>
      <c r="J638" s="165"/>
      <c r="K638" s="165"/>
      <c r="L638" s="165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  <c r="AA638" s="165"/>
      <c r="AB638" s="165"/>
      <c r="AC638" s="165"/>
      <c r="AD638" s="165"/>
      <c r="AE638" s="165"/>
      <c r="AF638" s="165"/>
      <c r="AG638" s="165"/>
      <c r="AH638" s="165"/>
      <c r="AI638" s="165"/>
      <c r="AJ638" s="165"/>
      <c r="AK638" s="165"/>
      <c r="AL638" s="165"/>
      <c r="AM638" s="165"/>
      <c r="AN638" s="165"/>
      <c r="AO638" s="165"/>
      <c r="AP638" s="165"/>
      <c r="AQ638" s="165"/>
      <c r="AR638" s="165"/>
      <c r="AS638" s="165"/>
      <c r="AT638" s="165"/>
      <c r="AU638" s="165"/>
      <c r="AV638" s="165"/>
      <c r="AW638" s="165"/>
      <c r="AX638" s="165"/>
    </row>
    <row r="639" ht="15.75" customHeight="1">
      <c r="A639" s="165"/>
      <c r="B639" s="165"/>
      <c r="C639" s="165"/>
      <c r="D639" s="165"/>
      <c r="E639" s="165"/>
      <c r="F639" s="165"/>
      <c r="G639" s="165"/>
      <c r="H639" s="165"/>
      <c r="I639" s="165"/>
      <c r="J639" s="165"/>
      <c r="K639" s="165"/>
      <c r="L639" s="165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  <c r="AA639" s="165"/>
      <c r="AB639" s="165"/>
      <c r="AC639" s="165"/>
      <c r="AD639" s="165"/>
      <c r="AE639" s="165"/>
      <c r="AF639" s="165"/>
      <c r="AG639" s="165"/>
      <c r="AH639" s="165"/>
      <c r="AI639" s="165"/>
      <c r="AJ639" s="165"/>
      <c r="AK639" s="165"/>
      <c r="AL639" s="165"/>
      <c r="AM639" s="165"/>
      <c r="AN639" s="165"/>
      <c r="AO639" s="165"/>
      <c r="AP639" s="165"/>
      <c r="AQ639" s="165"/>
      <c r="AR639" s="165"/>
      <c r="AS639" s="165"/>
      <c r="AT639" s="165"/>
      <c r="AU639" s="165"/>
      <c r="AV639" s="165"/>
      <c r="AW639" s="165"/>
      <c r="AX639" s="165"/>
    </row>
    <row r="640" ht="15.75" customHeight="1">
      <c r="A640" s="165"/>
      <c r="B640" s="165"/>
      <c r="C640" s="165"/>
      <c r="D640" s="165"/>
      <c r="E640" s="165"/>
      <c r="F640" s="165"/>
      <c r="G640" s="165"/>
      <c r="H640" s="165"/>
      <c r="I640" s="165"/>
      <c r="J640" s="165"/>
      <c r="K640" s="165"/>
      <c r="L640" s="165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  <c r="AA640" s="165"/>
      <c r="AB640" s="165"/>
      <c r="AC640" s="165"/>
      <c r="AD640" s="165"/>
      <c r="AE640" s="165"/>
      <c r="AF640" s="165"/>
      <c r="AG640" s="165"/>
      <c r="AH640" s="165"/>
      <c r="AI640" s="165"/>
      <c r="AJ640" s="165"/>
      <c r="AK640" s="165"/>
      <c r="AL640" s="165"/>
      <c r="AM640" s="165"/>
      <c r="AN640" s="165"/>
      <c r="AO640" s="165"/>
      <c r="AP640" s="165"/>
      <c r="AQ640" s="165"/>
      <c r="AR640" s="165"/>
      <c r="AS640" s="165"/>
      <c r="AT640" s="165"/>
      <c r="AU640" s="165"/>
      <c r="AV640" s="165"/>
      <c r="AW640" s="165"/>
      <c r="AX640" s="165"/>
    </row>
    <row r="641" ht="15.75" customHeight="1">
      <c r="A641" s="165"/>
      <c r="B641" s="165"/>
      <c r="C641" s="165"/>
      <c r="D641" s="165"/>
      <c r="E641" s="165"/>
      <c r="F641" s="165"/>
      <c r="G641" s="165"/>
      <c r="H641" s="165"/>
      <c r="I641" s="165"/>
      <c r="J641" s="165"/>
      <c r="K641" s="165"/>
      <c r="L641" s="165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  <c r="AA641" s="165"/>
      <c r="AB641" s="165"/>
      <c r="AC641" s="165"/>
      <c r="AD641" s="165"/>
      <c r="AE641" s="165"/>
      <c r="AF641" s="165"/>
      <c r="AG641" s="165"/>
      <c r="AH641" s="165"/>
      <c r="AI641" s="165"/>
      <c r="AJ641" s="165"/>
      <c r="AK641" s="165"/>
      <c r="AL641" s="165"/>
      <c r="AM641" s="165"/>
      <c r="AN641" s="165"/>
      <c r="AO641" s="165"/>
      <c r="AP641" s="165"/>
      <c r="AQ641" s="165"/>
      <c r="AR641" s="165"/>
      <c r="AS641" s="165"/>
      <c r="AT641" s="165"/>
      <c r="AU641" s="165"/>
      <c r="AV641" s="165"/>
      <c r="AW641" s="165"/>
      <c r="AX641" s="165"/>
    </row>
    <row r="642" ht="15.75" customHeight="1">
      <c r="A642" s="165"/>
      <c r="B642" s="165"/>
      <c r="C642" s="165"/>
      <c r="D642" s="165"/>
      <c r="E642" s="165"/>
      <c r="F642" s="165"/>
      <c r="G642" s="165"/>
      <c r="H642" s="165"/>
      <c r="I642" s="165"/>
      <c r="J642" s="165"/>
      <c r="K642" s="165"/>
      <c r="L642" s="165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  <c r="AA642" s="165"/>
      <c r="AB642" s="165"/>
      <c r="AC642" s="165"/>
      <c r="AD642" s="165"/>
      <c r="AE642" s="165"/>
      <c r="AF642" s="165"/>
      <c r="AG642" s="165"/>
      <c r="AH642" s="165"/>
      <c r="AI642" s="165"/>
      <c r="AJ642" s="165"/>
      <c r="AK642" s="165"/>
      <c r="AL642" s="165"/>
      <c r="AM642" s="165"/>
      <c r="AN642" s="165"/>
      <c r="AO642" s="165"/>
      <c r="AP642" s="165"/>
      <c r="AQ642" s="165"/>
      <c r="AR642" s="165"/>
      <c r="AS642" s="165"/>
      <c r="AT642" s="165"/>
      <c r="AU642" s="165"/>
      <c r="AV642" s="165"/>
      <c r="AW642" s="165"/>
      <c r="AX642" s="165"/>
    </row>
    <row r="643" ht="15.75" customHeight="1">
      <c r="A643" s="165"/>
      <c r="B643" s="165"/>
      <c r="C643" s="165"/>
      <c r="D643" s="165"/>
      <c r="E643" s="165"/>
      <c r="F643" s="165"/>
      <c r="G643" s="165"/>
      <c r="H643" s="165"/>
      <c r="I643" s="165"/>
      <c r="J643" s="165"/>
      <c r="K643" s="165"/>
      <c r="L643" s="165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  <c r="AA643" s="165"/>
      <c r="AB643" s="165"/>
      <c r="AC643" s="165"/>
      <c r="AD643" s="165"/>
      <c r="AE643" s="165"/>
      <c r="AF643" s="165"/>
      <c r="AG643" s="165"/>
      <c r="AH643" s="165"/>
      <c r="AI643" s="165"/>
      <c r="AJ643" s="165"/>
      <c r="AK643" s="165"/>
      <c r="AL643" s="165"/>
      <c r="AM643" s="165"/>
      <c r="AN643" s="165"/>
      <c r="AO643" s="165"/>
      <c r="AP643" s="165"/>
      <c r="AQ643" s="165"/>
      <c r="AR643" s="165"/>
      <c r="AS643" s="165"/>
      <c r="AT643" s="165"/>
      <c r="AU643" s="165"/>
      <c r="AV643" s="165"/>
      <c r="AW643" s="165"/>
      <c r="AX643" s="165"/>
    </row>
    <row r="644" ht="15.75" customHeight="1">
      <c r="A644" s="165"/>
      <c r="B644" s="165"/>
      <c r="C644" s="165"/>
      <c r="D644" s="165"/>
      <c r="E644" s="165"/>
      <c r="F644" s="165"/>
      <c r="G644" s="165"/>
      <c r="H644" s="165"/>
      <c r="I644" s="165"/>
      <c r="J644" s="165"/>
      <c r="K644" s="165"/>
      <c r="L644" s="165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  <c r="AA644" s="165"/>
      <c r="AB644" s="165"/>
      <c r="AC644" s="165"/>
      <c r="AD644" s="165"/>
      <c r="AE644" s="165"/>
      <c r="AF644" s="165"/>
      <c r="AG644" s="165"/>
      <c r="AH644" s="165"/>
      <c r="AI644" s="165"/>
      <c r="AJ644" s="165"/>
      <c r="AK644" s="165"/>
      <c r="AL644" s="165"/>
      <c r="AM644" s="165"/>
      <c r="AN644" s="165"/>
      <c r="AO644" s="165"/>
      <c r="AP644" s="165"/>
      <c r="AQ644" s="165"/>
      <c r="AR644" s="165"/>
      <c r="AS644" s="165"/>
      <c r="AT644" s="165"/>
      <c r="AU644" s="165"/>
      <c r="AV644" s="165"/>
      <c r="AW644" s="165"/>
      <c r="AX644" s="165"/>
    </row>
    <row r="645" ht="15.75" customHeight="1">
      <c r="A645" s="165"/>
      <c r="B645" s="165"/>
      <c r="C645" s="165"/>
      <c r="D645" s="165"/>
      <c r="E645" s="165"/>
      <c r="F645" s="165"/>
      <c r="G645" s="165"/>
      <c r="H645" s="165"/>
      <c r="I645" s="165"/>
      <c r="J645" s="165"/>
      <c r="K645" s="165"/>
      <c r="L645" s="165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  <c r="AA645" s="165"/>
      <c r="AB645" s="165"/>
      <c r="AC645" s="165"/>
      <c r="AD645" s="165"/>
      <c r="AE645" s="165"/>
      <c r="AF645" s="165"/>
      <c r="AG645" s="165"/>
      <c r="AH645" s="165"/>
      <c r="AI645" s="165"/>
      <c r="AJ645" s="165"/>
      <c r="AK645" s="165"/>
      <c r="AL645" s="165"/>
      <c r="AM645" s="165"/>
      <c r="AN645" s="165"/>
      <c r="AO645" s="165"/>
      <c r="AP645" s="165"/>
      <c r="AQ645" s="165"/>
      <c r="AR645" s="165"/>
      <c r="AS645" s="165"/>
      <c r="AT645" s="165"/>
      <c r="AU645" s="165"/>
      <c r="AV645" s="165"/>
      <c r="AW645" s="165"/>
      <c r="AX645" s="165"/>
    </row>
    <row r="646" ht="15.75" customHeight="1">
      <c r="A646" s="165"/>
      <c r="B646" s="165"/>
      <c r="C646" s="165"/>
      <c r="D646" s="165"/>
      <c r="E646" s="165"/>
      <c r="F646" s="165"/>
      <c r="G646" s="165"/>
      <c r="H646" s="165"/>
      <c r="I646" s="165"/>
      <c r="J646" s="165"/>
      <c r="K646" s="165"/>
      <c r="L646" s="165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  <c r="AA646" s="165"/>
      <c r="AB646" s="165"/>
      <c r="AC646" s="165"/>
      <c r="AD646" s="165"/>
      <c r="AE646" s="165"/>
      <c r="AF646" s="165"/>
      <c r="AG646" s="165"/>
      <c r="AH646" s="165"/>
      <c r="AI646" s="165"/>
      <c r="AJ646" s="165"/>
      <c r="AK646" s="165"/>
      <c r="AL646" s="165"/>
      <c r="AM646" s="165"/>
      <c r="AN646" s="165"/>
      <c r="AO646" s="165"/>
      <c r="AP646" s="165"/>
      <c r="AQ646" s="165"/>
      <c r="AR646" s="165"/>
      <c r="AS646" s="165"/>
      <c r="AT646" s="165"/>
      <c r="AU646" s="165"/>
      <c r="AV646" s="165"/>
      <c r="AW646" s="165"/>
      <c r="AX646" s="165"/>
    </row>
    <row r="647" ht="15.75" customHeight="1">
      <c r="A647" s="165"/>
      <c r="B647" s="165"/>
      <c r="C647" s="165"/>
      <c r="D647" s="165"/>
      <c r="E647" s="165"/>
      <c r="F647" s="165"/>
      <c r="G647" s="165"/>
      <c r="H647" s="165"/>
      <c r="I647" s="165"/>
      <c r="J647" s="165"/>
      <c r="K647" s="165"/>
      <c r="L647" s="165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  <c r="AA647" s="165"/>
      <c r="AB647" s="165"/>
      <c r="AC647" s="165"/>
      <c r="AD647" s="165"/>
      <c r="AE647" s="165"/>
      <c r="AF647" s="165"/>
      <c r="AG647" s="165"/>
      <c r="AH647" s="165"/>
      <c r="AI647" s="165"/>
      <c r="AJ647" s="165"/>
      <c r="AK647" s="165"/>
      <c r="AL647" s="165"/>
      <c r="AM647" s="165"/>
      <c r="AN647" s="165"/>
      <c r="AO647" s="165"/>
      <c r="AP647" s="165"/>
      <c r="AQ647" s="165"/>
      <c r="AR647" s="165"/>
      <c r="AS647" s="165"/>
      <c r="AT647" s="165"/>
      <c r="AU647" s="165"/>
      <c r="AV647" s="165"/>
      <c r="AW647" s="165"/>
      <c r="AX647" s="165"/>
    </row>
    <row r="648" ht="15.75" customHeight="1">
      <c r="A648" s="165"/>
      <c r="B648" s="165"/>
      <c r="C648" s="165"/>
      <c r="D648" s="165"/>
      <c r="E648" s="165"/>
      <c r="F648" s="165"/>
      <c r="G648" s="165"/>
      <c r="H648" s="165"/>
      <c r="I648" s="165"/>
      <c r="J648" s="165"/>
      <c r="K648" s="165"/>
      <c r="L648" s="165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  <c r="AA648" s="165"/>
      <c r="AB648" s="165"/>
      <c r="AC648" s="165"/>
      <c r="AD648" s="165"/>
      <c r="AE648" s="165"/>
      <c r="AF648" s="165"/>
      <c r="AG648" s="165"/>
      <c r="AH648" s="165"/>
      <c r="AI648" s="165"/>
      <c r="AJ648" s="165"/>
      <c r="AK648" s="165"/>
      <c r="AL648" s="165"/>
      <c r="AM648" s="165"/>
      <c r="AN648" s="165"/>
      <c r="AO648" s="165"/>
      <c r="AP648" s="165"/>
      <c r="AQ648" s="165"/>
      <c r="AR648" s="165"/>
      <c r="AS648" s="165"/>
      <c r="AT648" s="165"/>
      <c r="AU648" s="165"/>
      <c r="AV648" s="165"/>
      <c r="AW648" s="165"/>
      <c r="AX648" s="165"/>
    </row>
    <row r="649" ht="15.75" customHeight="1">
      <c r="A649" s="165"/>
      <c r="B649" s="165"/>
      <c r="C649" s="165"/>
      <c r="D649" s="165"/>
      <c r="E649" s="165"/>
      <c r="F649" s="165"/>
      <c r="G649" s="165"/>
      <c r="H649" s="165"/>
      <c r="I649" s="165"/>
      <c r="J649" s="165"/>
      <c r="K649" s="165"/>
      <c r="L649" s="165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  <c r="AA649" s="165"/>
      <c r="AB649" s="165"/>
      <c r="AC649" s="165"/>
      <c r="AD649" s="165"/>
      <c r="AE649" s="165"/>
      <c r="AF649" s="165"/>
      <c r="AG649" s="165"/>
      <c r="AH649" s="165"/>
      <c r="AI649" s="165"/>
      <c r="AJ649" s="165"/>
      <c r="AK649" s="165"/>
      <c r="AL649" s="165"/>
      <c r="AM649" s="165"/>
      <c r="AN649" s="165"/>
      <c r="AO649" s="165"/>
      <c r="AP649" s="165"/>
      <c r="AQ649" s="165"/>
      <c r="AR649" s="165"/>
      <c r="AS649" s="165"/>
      <c r="AT649" s="165"/>
      <c r="AU649" s="165"/>
      <c r="AV649" s="165"/>
      <c r="AW649" s="165"/>
      <c r="AX649" s="165"/>
    </row>
    <row r="650" ht="15.75" customHeight="1">
      <c r="A650" s="165"/>
      <c r="B650" s="165"/>
      <c r="C650" s="165"/>
      <c r="D650" s="165"/>
      <c r="E650" s="165"/>
      <c r="F650" s="165"/>
      <c r="G650" s="165"/>
      <c r="H650" s="165"/>
      <c r="I650" s="165"/>
      <c r="J650" s="165"/>
      <c r="K650" s="165"/>
      <c r="L650" s="165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  <c r="AA650" s="165"/>
      <c r="AB650" s="165"/>
      <c r="AC650" s="165"/>
      <c r="AD650" s="165"/>
      <c r="AE650" s="165"/>
      <c r="AF650" s="165"/>
      <c r="AG650" s="165"/>
      <c r="AH650" s="165"/>
      <c r="AI650" s="165"/>
      <c r="AJ650" s="165"/>
      <c r="AK650" s="165"/>
      <c r="AL650" s="165"/>
      <c r="AM650" s="165"/>
      <c r="AN650" s="165"/>
      <c r="AO650" s="165"/>
      <c r="AP650" s="165"/>
      <c r="AQ650" s="165"/>
      <c r="AR650" s="165"/>
      <c r="AS650" s="165"/>
      <c r="AT650" s="165"/>
      <c r="AU650" s="165"/>
      <c r="AV650" s="165"/>
      <c r="AW650" s="165"/>
      <c r="AX650" s="165"/>
    </row>
    <row r="651" ht="15.75" customHeight="1">
      <c r="A651" s="165"/>
      <c r="B651" s="165"/>
      <c r="C651" s="165"/>
      <c r="D651" s="165"/>
      <c r="E651" s="165"/>
      <c r="F651" s="165"/>
      <c r="G651" s="165"/>
      <c r="H651" s="165"/>
      <c r="I651" s="165"/>
      <c r="J651" s="165"/>
      <c r="K651" s="165"/>
      <c r="L651" s="165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  <c r="AA651" s="165"/>
      <c r="AB651" s="165"/>
      <c r="AC651" s="165"/>
      <c r="AD651" s="165"/>
      <c r="AE651" s="165"/>
      <c r="AF651" s="165"/>
      <c r="AG651" s="165"/>
      <c r="AH651" s="165"/>
      <c r="AI651" s="165"/>
      <c r="AJ651" s="165"/>
      <c r="AK651" s="165"/>
      <c r="AL651" s="165"/>
      <c r="AM651" s="165"/>
      <c r="AN651" s="165"/>
      <c r="AO651" s="165"/>
      <c r="AP651" s="165"/>
      <c r="AQ651" s="165"/>
      <c r="AR651" s="165"/>
      <c r="AS651" s="165"/>
      <c r="AT651" s="165"/>
      <c r="AU651" s="165"/>
      <c r="AV651" s="165"/>
      <c r="AW651" s="165"/>
      <c r="AX651" s="165"/>
    </row>
    <row r="652" ht="15.75" customHeight="1">
      <c r="A652" s="165"/>
      <c r="B652" s="165"/>
      <c r="C652" s="165"/>
      <c r="D652" s="165"/>
      <c r="E652" s="165"/>
      <c r="F652" s="165"/>
      <c r="G652" s="165"/>
      <c r="H652" s="165"/>
      <c r="I652" s="165"/>
      <c r="J652" s="165"/>
      <c r="K652" s="165"/>
      <c r="L652" s="165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  <c r="AA652" s="165"/>
      <c r="AB652" s="165"/>
      <c r="AC652" s="165"/>
      <c r="AD652" s="165"/>
      <c r="AE652" s="165"/>
      <c r="AF652" s="165"/>
      <c r="AG652" s="165"/>
      <c r="AH652" s="165"/>
      <c r="AI652" s="165"/>
      <c r="AJ652" s="165"/>
      <c r="AK652" s="165"/>
      <c r="AL652" s="165"/>
      <c r="AM652" s="165"/>
      <c r="AN652" s="165"/>
      <c r="AO652" s="165"/>
      <c r="AP652" s="165"/>
      <c r="AQ652" s="165"/>
      <c r="AR652" s="165"/>
      <c r="AS652" s="165"/>
      <c r="AT652" s="165"/>
      <c r="AU652" s="165"/>
      <c r="AV652" s="165"/>
      <c r="AW652" s="165"/>
      <c r="AX652" s="165"/>
    </row>
    <row r="653" ht="15.75" customHeight="1">
      <c r="A653" s="165"/>
      <c r="B653" s="165"/>
      <c r="C653" s="165"/>
      <c r="D653" s="165"/>
      <c r="E653" s="165"/>
      <c r="F653" s="165"/>
      <c r="G653" s="165"/>
      <c r="H653" s="165"/>
      <c r="I653" s="165"/>
      <c r="J653" s="165"/>
      <c r="K653" s="165"/>
      <c r="L653" s="165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  <c r="AA653" s="165"/>
      <c r="AB653" s="165"/>
      <c r="AC653" s="165"/>
      <c r="AD653" s="165"/>
      <c r="AE653" s="165"/>
      <c r="AF653" s="165"/>
      <c r="AG653" s="165"/>
      <c r="AH653" s="165"/>
      <c r="AI653" s="165"/>
      <c r="AJ653" s="165"/>
      <c r="AK653" s="165"/>
      <c r="AL653" s="165"/>
      <c r="AM653" s="165"/>
      <c r="AN653" s="165"/>
      <c r="AO653" s="165"/>
      <c r="AP653" s="165"/>
      <c r="AQ653" s="165"/>
      <c r="AR653" s="165"/>
      <c r="AS653" s="165"/>
      <c r="AT653" s="165"/>
      <c r="AU653" s="165"/>
      <c r="AV653" s="165"/>
      <c r="AW653" s="165"/>
      <c r="AX653" s="165"/>
    </row>
    <row r="654" ht="15.75" customHeight="1">
      <c r="A654" s="165"/>
      <c r="B654" s="165"/>
      <c r="C654" s="165"/>
      <c r="D654" s="165"/>
      <c r="E654" s="165"/>
      <c r="F654" s="165"/>
      <c r="G654" s="165"/>
      <c r="H654" s="165"/>
      <c r="I654" s="165"/>
      <c r="J654" s="165"/>
      <c r="K654" s="165"/>
      <c r="L654" s="165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  <c r="AA654" s="165"/>
      <c r="AB654" s="165"/>
      <c r="AC654" s="165"/>
      <c r="AD654" s="165"/>
      <c r="AE654" s="165"/>
      <c r="AF654" s="165"/>
      <c r="AG654" s="165"/>
      <c r="AH654" s="165"/>
      <c r="AI654" s="165"/>
      <c r="AJ654" s="165"/>
      <c r="AK654" s="165"/>
      <c r="AL654" s="165"/>
      <c r="AM654" s="165"/>
      <c r="AN654" s="165"/>
      <c r="AO654" s="165"/>
      <c r="AP654" s="165"/>
      <c r="AQ654" s="165"/>
      <c r="AR654" s="165"/>
      <c r="AS654" s="165"/>
      <c r="AT654" s="165"/>
      <c r="AU654" s="165"/>
      <c r="AV654" s="165"/>
      <c r="AW654" s="165"/>
      <c r="AX654" s="165"/>
    </row>
    <row r="655" ht="15.75" customHeight="1">
      <c r="A655" s="165"/>
      <c r="B655" s="165"/>
      <c r="C655" s="165"/>
      <c r="D655" s="165"/>
      <c r="E655" s="165"/>
      <c r="F655" s="165"/>
      <c r="G655" s="165"/>
      <c r="H655" s="165"/>
      <c r="I655" s="165"/>
      <c r="J655" s="165"/>
      <c r="K655" s="165"/>
      <c r="L655" s="165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  <c r="AA655" s="165"/>
      <c r="AB655" s="165"/>
      <c r="AC655" s="165"/>
      <c r="AD655" s="165"/>
      <c r="AE655" s="165"/>
      <c r="AF655" s="165"/>
      <c r="AG655" s="165"/>
      <c r="AH655" s="165"/>
      <c r="AI655" s="165"/>
      <c r="AJ655" s="165"/>
      <c r="AK655" s="165"/>
      <c r="AL655" s="165"/>
      <c r="AM655" s="165"/>
      <c r="AN655" s="165"/>
      <c r="AO655" s="165"/>
      <c r="AP655" s="165"/>
      <c r="AQ655" s="165"/>
      <c r="AR655" s="165"/>
      <c r="AS655" s="165"/>
      <c r="AT655" s="165"/>
      <c r="AU655" s="165"/>
      <c r="AV655" s="165"/>
      <c r="AW655" s="165"/>
      <c r="AX655" s="165"/>
    </row>
    <row r="656" ht="15.75" customHeight="1">
      <c r="A656" s="165"/>
      <c r="B656" s="165"/>
      <c r="C656" s="165"/>
      <c r="D656" s="165"/>
      <c r="E656" s="165"/>
      <c r="F656" s="165"/>
      <c r="G656" s="165"/>
      <c r="H656" s="165"/>
      <c r="I656" s="165"/>
      <c r="J656" s="165"/>
      <c r="K656" s="165"/>
      <c r="L656" s="165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  <c r="AA656" s="165"/>
      <c r="AB656" s="165"/>
      <c r="AC656" s="165"/>
      <c r="AD656" s="165"/>
      <c r="AE656" s="165"/>
      <c r="AF656" s="165"/>
      <c r="AG656" s="165"/>
      <c r="AH656" s="165"/>
      <c r="AI656" s="165"/>
      <c r="AJ656" s="165"/>
      <c r="AK656" s="165"/>
      <c r="AL656" s="165"/>
      <c r="AM656" s="165"/>
      <c r="AN656" s="165"/>
      <c r="AO656" s="165"/>
      <c r="AP656" s="165"/>
      <c r="AQ656" s="165"/>
      <c r="AR656" s="165"/>
      <c r="AS656" s="165"/>
      <c r="AT656" s="165"/>
      <c r="AU656" s="165"/>
      <c r="AV656" s="165"/>
      <c r="AW656" s="165"/>
      <c r="AX656" s="165"/>
    </row>
    <row r="657" ht="15.75" customHeight="1">
      <c r="A657" s="165"/>
      <c r="B657" s="165"/>
      <c r="C657" s="165"/>
      <c r="D657" s="165"/>
      <c r="E657" s="165"/>
      <c r="F657" s="165"/>
      <c r="G657" s="165"/>
      <c r="H657" s="165"/>
      <c r="I657" s="165"/>
      <c r="J657" s="165"/>
      <c r="K657" s="165"/>
      <c r="L657" s="165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  <c r="AA657" s="165"/>
      <c r="AB657" s="165"/>
      <c r="AC657" s="165"/>
      <c r="AD657" s="165"/>
      <c r="AE657" s="165"/>
      <c r="AF657" s="165"/>
      <c r="AG657" s="165"/>
      <c r="AH657" s="165"/>
      <c r="AI657" s="165"/>
      <c r="AJ657" s="165"/>
      <c r="AK657" s="165"/>
      <c r="AL657" s="165"/>
      <c r="AM657" s="165"/>
      <c r="AN657" s="165"/>
      <c r="AO657" s="165"/>
      <c r="AP657" s="165"/>
      <c r="AQ657" s="165"/>
      <c r="AR657" s="165"/>
      <c r="AS657" s="165"/>
      <c r="AT657" s="165"/>
      <c r="AU657" s="165"/>
      <c r="AV657" s="165"/>
      <c r="AW657" s="165"/>
      <c r="AX657" s="165"/>
    </row>
    <row r="658" ht="15.75" customHeight="1">
      <c r="A658" s="165"/>
      <c r="B658" s="165"/>
      <c r="C658" s="165"/>
      <c r="D658" s="165"/>
      <c r="E658" s="165"/>
      <c r="F658" s="165"/>
      <c r="G658" s="165"/>
      <c r="H658" s="165"/>
      <c r="I658" s="165"/>
      <c r="J658" s="165"/>
      <c r="K658" s="165"/>
      <c r="L658" s="165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  <c r="AA658" s="165"/>
      <c r="AB658" s="165"/>
      <c r="AC658" s="165"/>
      <c r="AD658" s="165"/>
      <c r="AE658" s="165"/>
      <c r="AF658" s="165"/>
      <c r="AG658" s="165"/>
      <c r="AH658" s="165"/>
      <c r="AI658" s="165"/>
      <c r="AJ658" s="165"/>
      <c r="AK658" s="165"/>
      <c r="AL658" s="165"/>
      <c r="AM658" s="165"/>
      <c r="AN658" s="165"/>
      <c r="AO658" s="165"/>
      <c r="AP658" s="165"/>
      <c r="AQ658" s="165"/>
      <c r="AR658" s="165"/>
      <c r="AS658" s="165"/>
      <c r="AT658" s="165"/>
      <c r="AU658" s="165"/>
      <c r="AV658" s="165"/>
      <c r="AW658" s="165"/>
      <c r="AX658" s="165"/>
    </row>
    <row r="659" ht="15.75" customHeight="1">
      <c r="A659" s="165"/>
      <c r="B659" s="165"/>
      <c r="C659" s="165"/>
      <c r="D659" s="165"/>
      <c r="E659" s="165"/>
      <c r="F659" s="165"/>
      <c r="G659" s="165"/>
      <c r="H659" s="165"/>
      <c r="I659" s="165"/>
      <c r="J659" s="165"/>
      <c r="K659" s="165"/>
      <c r="L659" s="165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  <c r="AA659" s="165"/>
      <c r="AB659" s="165"/>
      <c r="AC659" s="165"/>
      <c r="AD659" s="165"/>
      <c r="AE659" s="165"/>
      <c r="AF659" s="165"/>
      <c r="AG659" s="165"/>
      <c r="AH659" s="165"/>
      <c r="AI659" s="165"/>
      <c r="AJ659" s="165"/>
      <c r="AK659" s="165"/>
      <c r="AL659" s="165"/>
      <c r="AM659" s="165"/>
      <c r="AN659" s="165"/>
      <c r="AO659" s="165"/>
      <c r="AP659" s="165"/>
      <c r="AQ659" s="165"/>
      <c r="AR659" s="165"/>
      <c r="AS659" s="165"/>
      <c r="AT659" s="165"/>
      <c r="AU659" s="165"/>
      <c r="AV659" s="165"/>
      <c r="AW659" s="165"/>
      <c r="AX659" s="165"/>
    </row>
    <row r="660" ht="15.75" customHeight="1">
      <c r="A660" s="165"/>
      <c r="B660" s="165"/>
      <c r="C660" s="165"/>
      <c r="D660" s="165"/>
      <c r="E660" s="165"/>
      <c r="F660" s="165"/>
      <c r="G660" s="165"/>
      <c r="H660" s="165"/>
      <c r="I660" s="165"/>
      <c r="J660" s="165"/>
      <c r="K660" s="165"/>
      <c r="L660" s="165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  <c r="AA660" s="165"/>
      <c r="AB660" s="165"/>
      <c r="AC660" s="165"/>
      <c r="AD660" s="165"/>
      <c r="AE660" s="165"/>
      <c r="AF660" s="165"/>
      <c r="AG660" s="165"/>
      <c r="AH660" s="165"/>
      <c r="AI660" s="165"/>
      <c r="AJ660" s="165"/>
      <c r="AK660" s="165"/>
      <c r="AL660" s="165"/>
      <c r="AM660" s="165"/>
      <c r="AN660" s="165"/>
      <c r="AO660" s="165"/>
      <c r="AP660" s="165"/>
      <c r="AQ660" s="165"/>
      <c r="AR660" s="165"/>
      <c r="AS660" s="165"/>
      <c r="AT660" s="165"/>
      <c r="AU660" s="165"/>
      <c r="AV660" s="165"/>
      <c r="AW660" s="165"/>
      <c r="AX660" s="165"/>
    </row>
    <row r="661" ht="15.75" customHeight="1">
      <c r="A661" s="165"/>
      <c r="B661" s="165"/>
      <c r="C661" s="165"/>
      <c r="D661" s="165"/>
      <c r="E661" s="165"/>
      <c r="F661" s="165"/>
      <c r="G661" s="165"/>
      <c r="H661" s="165"/>
      <c r="I661" s="165"/>
      <c r="J661" s="165"/>
      <c r="K661" s="165"/>
      <c r="L661" s="165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  <c r="AA661" s="165"/>
      <c r="AB661" s="165"/>
      <c r="AC661" s="165"/>
      <c r="AD661" s="165"/>
      <c r="AE661" s="165"/>
      <c r="AF661" s="165"/>
      <c r="AG661" s="165"/>
      <c r="AH661" s="165"/>
      <c r="AI661" s="165"/>
      <c r="AJ661" s="165"/>
      <c r="AK661" s="165"/>
      <c r="AL661" s="165"/>
      <c r="AM661" s="165"/>
      <c r="AN661" s="165"/>
      <c r="AO661" s="165"/>
      <c r="AP661" s="165"/>
      <c r="AQ661" s="165"/>
      <c r="AR661" s="165"/>
      <c r="AS661" s="165"/>
      <c r="AT661" s="165"/>
      <c r="AU661" s="165"/>
      <c r="AV661" s="165"/>
      <c r="AW661" s="165"/>
      <c r="AX661" s="165"/>
    </row>
    <row r="662" ht="15.75" customHeight="1">
      <c r="A662" s="165"/>
      <c r="B662" s="165"/>
      <c r="C662" s="165"/>
      <c r="D662" s="165"/>
      <c r="E662" s="165"/>
      <c r="F662" s="165"/>
      <c r="G662" s="165"/>
      <c r="H662" s="165"/>
      <c r="I662" s="165"/>
      <c r="J662" s="165"/>
      <c r="K662" s="165"/>
      <c r="L662" s="165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  <c r="AA662" s="165"/>
      <c r="AB662" s="165"/>
      <c r="AC662" s="165"/>
      <c r="AD662" s="165"/>
      <c r="AE662" s="165"/>
      <c r="AF662" s="165"/>
      <c r="AG662" s="165"/>
      <c r="AH662" s="165"/>
      <c r="AI662" s="165"/>
      <c r="AJ662" s="165"/>
      <c r="AK662" s="165"/>
      <c r="AL662" s="165"/>
      <c r="AM662" s="165"/>
      <c r="AN662" s="165"/>
      <c r="AO662" s="165"/>
      <c r="AP662" s="165"/>
      <c r="AQ662" s="165"/>
      <c r="AR662" s="165"/>
      <c r="AS662" s="165"/>
      <c r="AT662" s="165"/>
      <c r="AU662" s="165"/>
      <c r="AV662" s="165"/>
      <c r="AW662" s="165"/>
      <c r="AX662" s="165"/>
    </row>
    <row r="663" ht="15.75" customHeight="1">
      <c r="A663" s="165"/>
      <c r="B663" s="165"/>
      <c r="C663" s="165"/>
      <c r="D663" s="165"/>
      <c r="E663" s="165"/>
      <c r="F663" s="165"/>
      <c r="G663" s="165"/>
      <c r="H663" s="165"/>
      <c r="I663" s="165"/>
      <c r="J663" s="165"/>
      <c r="K663" s="165"/>
      <c r="L663" s="165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  <c r="AA663" s="165"/>
      <c r="AB663" s="165"/>
      <c r="AC663" s="165"/>
      <c r="AD663" s="165"/>
      <c r="AE663" s="165"/>
      <c r="AF663" s="165"/>
      <c r="AG663" s="165"/>
      <c r="AH663" s="165"/>
      <c r="AI663" s="165"/>
      <c r="AJ663" s="165"/>
      <c r="AK663" s="165"/>
      <c r="AL663" s="165"/>
      <c r="AM663" s="165"/>
      <c r="AN663" s="165"/>
      <c r="AO663" s="165"/>
      <c r="AP663" s="165"/>
      <c r="AQ663" s="165"/>
      <c r="AR663" s="165"/>
      <c r="AS663" s="165"/>
      <c r="AT663" s="165"/>
      <c r="AU663" s="165"/>
      <c r="AV663" s="165"/>
      <c r="AW663" s="165"/>
      <c r="AX663" s="165"/>
    </row>
    <row r="664" ht="15.75" customHeight="1">
      <c r="A664" s="165"/>
      <c r="B664" s="165"/>
      <c r="C664" s="165"/>
      <c r="D664" s="165"/>
      <c r="E664" s="165"/>
      <c r="F664" s="165"/>
      <c r="G664" s="165"/>
      <c r="H664" s="165"/>
      <c r="I664" s="165"/>
      <c r="J664" s="165"/>
      <c r="K664" s="165"/>
      <c r="L664" s="165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  <c r="AA664" s="165"/>
      <c r="AB664" s="165"/>
      <c r="AC664" s="165"/>
      <c r="AD664" s="165"/>
      <c r="AE664" s="165"/>
      <c r="AF664" s="165"/>
      <c r="AG664" s="165"/>
      <c r="AH664" s="165"/>
      <c r="AI664" s="165"/>
      <c r="AJ664" s="165"/>
      <c r="AK664" s="165"/>
      <c r="AL664" s="165"/>
      <c r="AM664" s="165"/>
      <c r="AN664" s="165"/>
      <c r="AO664" s="165"/>
      <c r="AP664" s="165"/>
      <c r="AQ664" s="165"/>
      <c r="AR664" s="165"/>
      <c r="AS664" s="165"/>
      <c r="AT664" s="165"/>
      <c r="AU664" s="165"/>
      <c r="AV664" s="165"/>
      <c r="AW664" s="165"/>
      <c r="AX664" s="165"/>
    </row>
    <row r="665" ht="15.75" customHeight="1">
      <c r="A665" s="165"/>
      <c r="B665" s="165"/>
      <c r="C665" s="165"/>
      <c r="D665" s="165"/>
      <c r="E665" s="165"/>
      <c r="F665" s="165"/>
      <c r="G665" s="165"/>
      <c r="H665" s="165"/>
      <c r="I665" s="165"/>
      <c r="J665" s="165"/>
      <c r="K665" s="165"/>
      <c r="L665" s="165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  <c r="AA665" s="165"/>
      <c r="AB665" s="165"/>
      <c r="AC665" s="165"/>
      <c r="AD665" s="165"/>
      <c r="AE665" s="165"/>
      <c r="AF665" s="165"/>
      <c r="AG665" s="165"/>
      <c r="AH665" s="165"/>
      <c r="AI665" s="165"/>
      <c r="AJ665" s="165"/>
      <c r="AK665" s="165"/>
      <c r="AL665" s="165"/>
      <c r="AM665" s="165"/>
      <c r="AN665" s="165"/>
      <c r="AO665" s="165"/>
      <c r="AP665" s="165"/>
      <c r="AQ665" s="165"/>
      <c r="AR665" s="165"/>
      <c r="AS665" s="165"/>
      <c r="AT665" s="165"/>
      <c r="AU665" s="165"/>
      <c r="AV665" s="165"/>
      <c r="AW665" s="165"/>
      <c r="AX665" s="165"/>
    </row>
    <row r="666" ht="15.75" customHeight="1">
      <c r="A666" s="165"/>
      <c r="B666" s="165"/>
      <c r="C666" s="165"/>
      <c r="D666" s="165"/>
      <c r="E666" s="165"/>
      <c r="F666" s="165"/>
      <c r="G666" s="165"/>
      <c r="H666" s="165"/>
      <c r="I666" s="165"/>
      <c r="J666" s="165"/>
      <c r="K666" s="165"/>
      <c r="L666" s="165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  <c r="AA666" s="165"/>
      <c r="AB666" s="165"/>
      <c r="AC666" s="165"/>
      <c r="AD666" s="165"/>
      <c r="AE666" s="165"/>
      <c r="AF666" s="165"/>
      <c r="AG666" s="165"/>
      <c r="AH666" s="165"/>
      <c r="AI666" s="165"/>
      <c r="AJ666" s="165"/>
      <c r="AK666" s="165"/>
      <c r="AL666" s="165"/>
      <c r="AM666" s="165"/>
      <c r="AN666" s="165"/>
      <c r="AO666" s="165"/>
      <c r="AP666" s="165"/>
      <c r="AQ666" s="165"/>
      <c r="AR666" s="165"/>
      <c r="AS666" s="165"/>
      <c r="AT666" s="165"/>
      <c r="AU666" s="165"/>
      <c r="AV666" s="165"/>
      <c r="AW666" s="165"/>
      <c r="AX666" s="165"/>
    </row>
    <row r="667" ht="15.75" customHeight="1">
      <c r="A667" s="165"/>
      <c r="B667" s="165"/>
      <c r="C667" s="165"/>
      <c r="D667" s="165"/>
      <c r="E667" s="165"/>
      <c r="F667" s="165"/>
      <c r="G667" s="165"/>
      <c r="H667" s="165"/>
      <c r="I667" s="165"/>
      <c r="J667" s="165"/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  <c r="AA667" s="165"/>
      <c r="AB667" s="165"/>
      <c r="AC667" s="165"/>
      <c r="AD667" s="165"/>
      <c r="AE667" s="165"/>
      <c r="AF667" s="165"/>
      <c r="AG667" s="165"/>
      <c r="AH667" s="165"/>
      <c r="AI667" s="165"/>
      <c r="AJ667" s="165"/>
      <c r="AK667" s="165"/>
      <c r="AL667" s="165"/>
      <c r="AM667" s="165"/>
      <c r="AN667" s="165"/>
      <c r="AO667" s="165"/>
      <c r="AP667" s="165"/>
      <c r="AQ667" s="165"/>
      <c r="AR667" s="165"/>
      <c r="AS667" s="165"/>
      <c r="AT667" s="165"/>
      <c r="AU667" s="165"/>
      <c r="AV667" s="165"/>
      <c r="AW667" s="165"/>
      <c r="AX667" s="165"/>
    </row>
    <row r="668" ht="15.75" customHeight="1">
      <c r="A668" s="165"/>
      <c r="B668" s="165"/>
      <c r="C668" s="165"/>
      <c r="D668" s="165"/>
      <c r="E668" s="165"/>
      <c r="F668" s="165"/>
      <c r="G668" s="165"/>
      <c r="H668" s="165"/>
      <c r="I668" s="165"/>
      <c r="J668" s="165"/>
      <c r="K668" s="165"/>
      <c r="L668" s="165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  <c r="AA668" s="165"/>
      <c r="AB668" s="165"/>
      <c r="AC668" s="165"/>
      <c r="AD668" s="165"/>
      <c r="AE668" s="165"/>
      <c r="AF668" s="165"/>
      <c r="AG668" s="165"/>
      <c r="AH668" s="165"/>
      <c r="AI668" s="165"/>
      <c r="AJ668" s="165"/>
      <c r="AK668" s="165"/>
      <c r="AL668" s="165"/>
      <c r="AM668" s="165"/>
      <c r="AN668" s="165"/>
      <c r="AO668" s="165"/>
      <c r="AP668" s="165"/>
      <c r="AQ668" s="165"/>
      <c r="AR668" s="165"/>
      <c r="AS668" s="165"/>
      <c r="AT668" s="165"/>
      <c r="AU668" s="165"/>
      <c r="AV668" s="165"/>
      <c r="AW668" s="165"/>
      <c r="AX668" s="165"/>
    </row>
    <row r="669" ht="15.75" customHeight="1">
      <c r="A669" s="165"/>
      <c r="B669" s="165"/>
      <c r="C669" s="165"/>
      <c r="D669" s="165"/>
      <c r="E669" s="165"/>
      <c r="F669" s="165"/>
      <c r="G669" s="165"/>
      <c r="H669" s="165"/>
      <c r="I669" s="165"/>
      <c r="J669" s="165"/>
      <c r="K669" s="165"/>
      <c r="L669" s="165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  <c r="AA669" s="165"/>
      <c r="AB669" s="165"/>
      <c r="AC669" s="165"/>
      <c r="AD669" s="165"/>
      <c r="AE669" s="165"/>
      <c r="AF669" s="165"/>
      <c r="AG669" s="165"/>
      <c r="AH669" s="165"/>
      <c r="AI669" s="165"/>
      <c r="AJ669" s="165"/>
      <c r="AK669" s="165"/>
      <c r="AL669" s="165"/>
      <c r="AM669" s="165"/>
      <c r="AN669" s="165"/>
      <c r="AO669" s="165"/>
      <c r="AP669" s="165"/>
      <c r="AQ669" s="165"/>
      <c r="AR669" s="165"/>
      <c r="AS669" s="165"/>
      <c r="AT669" s="165"/>
      <c r="AU669" s="165"/>
      <c r="AV669" s="165"/>
      <c r="AW669" s="165"/>
      <c r="AX669" s="165"/>
    </row>
    <row r="670" ht="15.75" customHeight="1">
      <c r="A670" s="165"/>
      <c r="B670" s="165"/>
      <c r="C670" s="165"/>
      <c r="D670" s="165"/>
      <c r="E670" s="165"/>
      <c r="F670" s="165"/>
      <c r="G670" s="165"/>
      <c r="H670" s="165"/>
      <c r="I670" s="165"/>
      <c r="J670" s="165"/>
      <c r="K670" s="165"/>
      <c r="L670" s="165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  <c r="AA670" s="165"/>
      <c r="AB670" s="165"/>
      <c r="AC670" s="165"/>
      <c r="AD670" s="165"/>
      <c r="AE670" s="165"/>
      <c r="AF670" s="165"/>
      <c r="AG670" s="165"/>
      <c r="AH670" s="165"/>
      <c r="AI670" s="165"/>
      <c r="AJ670" s="165"/>
      <c r="AK670" s="165"/>
      <c r="AL670" s="165"/>
      <c r="AM670" s="165"/>
      <c r="AN670" s="165"/>
      <c r="AO670" s="165"/>
      <c r="AP670" s="165"/>
      <c r="AQ670" s="165"/>
      <c r="AR670" s="165"/>
      <c r="AS670" s="165"/>
      <c r="AT670" s="165"/>
      <c r="AU670" s="165"/>
      <c r="AV670" s="165"/>
      <c r="AW670" s="165"/>
      <c r="AX670" s="165"/>
    </row>
    <row r="671" ht="15.75" customHeight="1">
      <c r="A671" s="165"/>
      <c r="B671" s="165"/>
      <c r="C671" s="165"/>
      <c r="D671" s="165"/>
      <c r="E671" s="165"/>
      <c r="F671" s="165"/>
      <c r="G671" s="165"/>
      <c r="H671" s="165"/>
      <c r="I671" s="165"/>
      <c r="J671" s="165"/>
      <c r="K671" s="165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  <c r="AA671" s="165"/>
      <c r="AB671" s="165"/>
      <c r="AC671" s="165"/>
      <c r="AD671" s="165"/>
      <c r="AE671" s="165"/>
      <c r="AF671" s="165"/>
      <c r="AG671" s="165"/>
      <c r="AH671" s="165"/>
      <c r="AI671" s="165"/>
      <c r="AJ671" s="165"/>
      <c r="AK671" s="165"/>
      <c r="AL671" s="165"/>
      <c r="AM671" s="165"/>
      <c r="AN671" s="165"/>
      <c r="AO671" s="165"/>
      <c r="AP671" s="165"/>
      <c r="AQ671" s="165"/>
      <c r="AR671" s="165"/>
      <c r="AS671" s="165"/>
      <c r="AT671" s="165"/>
      <c r="AU671" s="165"/>
      <c r="AV671" s="165"/>
      <c r="AW671" s="165"/>
      <c r="AX671" s="165"/>
    </row>
    <row r="672" ht="15.75" customHeight="1">
      <c r="A672" s="165"/>
      <c r="B672" s="165"/>
      <c r="C672" s="165"/>
      <c r="D672" s="165"/>
      <c r="E672" s="165"/>
      <c r="F672" s="165"/>
      <c r="G672" s="165"/>
      <c r="H672" s="165"/>
      <c r="I672" s="165"/>
      <c r="J672" s="165"/>
      <c r="K672" s="165"/>
      <c r="L672" s="165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  <c r="AA672" s="165"/>
      <c r="AB672" s="165"/>
      <c r="AC672" s="165"/>
      <c r="AD672" s="165"/>
      <c r="AE672" s="165"/>
      <c r="AF672" s="165"/>
      <c r="AG672" s="165"/>
      <c r="AH672" s="165"/>
      <c r="AI672" s="165"/>
      <c r="AJ672" s="165"/>
      <c r="AK672" s="165"/>
      <c r="AL672" s="165"/>
      <c r="AM672" s="165"/>
      <c r="AN672" s="165"/>
      <c r="AO672" s="165"/>
      <c r="AP672" s="165"/>
      <c r="AQ672" s="165"/>
      <c r="AR672" s="165"/>
      <c r="AS672" s="165"/>
      <c r="AT672" s="165"/>
      <c r="AU672" s="165"/>
      <c r="AV672" s="165"/>
      <c r="AW672" s="165"/>
      <c r="AX672" s="165"/>
    </row>
    <row r="673" ht="15.75" customHeight="1">
      <c r="A673" s="165"/>
      <c r="B673" s="165"/>
      <c r="C673" s="165"/>
      <c r="D673" s="165"/>
      <c r="E673" s="165"/>
      <c r="F673" s="165"/>
      <c r="G673" s="165"/>
      <c r="H673" s="165"/>
      <c r="I673" s="165"/>
      <c r="J673" s="165"/>
      <c r="K673" s="165"/>
      <c r="L673" s="165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  <c r="AA673" s="165"/>
      <c r="AB673" s="165"/>
      <c r="AC673" s="165"/>
      <c r="AD673" s="165"/>
      <c r="AE673" s="165"/>
      <c r="AF673" s="165"/>
      <c r="AG673" s="165"/>
      <c r="AH673" s="165"/>
      <c r="AI673" s="165"/>
      <c r="AJ673" s="165"/>
      <c r="AK673" s="165"/>
      <c r="AL673" s="165"/>
      <c r="AM673" s="165"/>
      <c r="AN673" s="165"/>
      <c r="AO673" s="165"/>
      <c r="AP673" s="165"/>
      <c r="AQ673" s="165"/>
      <c r="AR673" s="165"/>
      <c r="AS673" s="165"/>
      <c r="AT673" s="165"/>
      <c r="AU673" s="165"/>
      <c r="AV673" s="165"/>
      <c r="AW673" s="165"/>
      <c r="AX673" s="165"/>
    </row>
    <row r="674" ht="15.75" customHeight="1">
      <c r="A674" s="165"/>
      <c r="B674" s="165"/>
      <c r="C674" s="165"/>
      <c r="D674" s="165"/>
      <c r="E674" s="165"/>
      <c r="F674" s="165"/>
      <c r="G674" s="165"/>
      <c r="H674" s="165"/>
      <c r="I674" s="165"/>
      <c r="J674" s="165"/>
      <c r="K674" s="165"/>
      <c r="L674" s="165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  <c r="AA674" s="165"/>
      <c r="AB674" s="165"/>
      <c r="AC674" s="165"/>
      <c r="AD674" s="165"/>
      <c r="AE674" s="165"/>
      <c r="AF674" s="165"/>
      <c r="AG674" s="165"/>
      <c r="AH674" s="165"/>
      <c r="AI674" s="165"/>
      <c r="AJ674" s="165"/>
      <c r="AK674" s="165"/>
      <c r="AL674" s="165"/>
      <c r="AM674" s="165"/>
      <c r="AN674" s="165"/>
      <c r="AO674" s="165"/>
      <c r="AP674" s="165"/>
      <c r="AQ674" s="165"/>
      <c r="AR674" s="165"/>
      <c r="AS674" s="165"/>
      <c r="AT674" s="165"/>
      <c r="AU674" s="165"/>
      <c r="AV674" s="165"/>
      <c r="AW674" s="165"/>
      <c r="AX674" s="165"/>
    </row>
    <row r="675" ht="15.75" customHeight="1">
      <c r="A675" s="165"/>
      <c r="B675" s="165"/>
      <c r="C675" s="165"/>
      <c r="D675" s="165"/>
      <c r="E675" s="165"/>
      <c r="F675" s="165"/>
      <c r="G675" s="165"/>
      <c r="H675" s="165"/>
      <c r="I675" s="165"/>
      <c r="J675" s="165"/>
      <c r="K675" s="165"/>
      <c r="L675" s="165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  <c r="AA675" s="165"/>
      <c r="AB675" s="165"/>
      <c r="AC675" s="165"/>
      <c r="AD675" s="165"/>
      <c r="AE675" s="165"/>
      <c r="AF675" s="165"/>
      <c r="AG675" s="165"/>
      <c r="AH675" s="165"/>
      <c r="AI675" s="165"/>
      <c r="AJ675" s="165"/>
      <c r="AK675" s="165"/>
      <c r="AL675" s="165"/>
      <c r="AM675" s="165"/>
      <c r="AN675" s="165"/>
      <c r="AO675" s="165"/>
      <c r="AP675" s="165"/>
      <c r="AQ675" s="165"/>
      <c r="AR675" s="165"/>
      <c r="AS675" s="165"/>
      <c r="AT675" s="165"/>
      <c r="AU675" s="165"/>
      <c r="AV675" s="165"/>
      <c r="AW675" s="165"/>
      <c r="AX675" s="165"/>
    </row>
    <row r="676" ht="15.75" customHeight="1">
      <c r="A676" s="165"/>
      <c r="B676" s="165"/>
      <c r="C676" s="165"/>
      <c r="D676" s="165"/>
      <c r="E676" s="165"/>
      <c r="F676" s="165"/>
      <c r="G676" s="165"/>
      <c r="H676" s="165"/>
      <c r="I676" s="165"/>
      <c r="J676" s="165"/>
      <c r="K676" s="165"/>
      <c r="L676" s="165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  <c r="AA676" s="165"/>
      <c r="AB676" s="165"/>
      <c r="AC676" s="165"/>
      <c r="AD676" s="165"/>
      <c r="AE676" s="165"/>
      <c r="AF676" s="165"/>
      <c r="AG676" s="165"/>
      <c r="AH676" s="165"/>
      <c r="AI676" s="165"/>
      <c r="AJ676" s="165"/>
      <c r="AK676" s="165"/>
      <c r="AL676" s="165"/>
      <c r="AM676" s="165"/>
      <c r="AN676" s="165"/>
      <c r="AO676" s="165"/>
      <c r="AP676" s="165"/>
      <c r="AQ676" s="165"/>
      <c r="AR676" s="165"/>
      <c r="AS676" s="165"/>
      <c r="AT676" s="165"/>
      <c r="AU676" s="165"/>
      <c r="AV676" s="165"/>
      <c r="AW676" s="165"/>
      <c r="AX676" s="165"/>
    </row>
    <row r="677" ht="15.75" customHeight="1">
      <c r="A677" s="165"/>
      <c r="B677" s="165"/>
      <c r="C677" s="165"/>
      <c r="D677" s="165"/>
      <c r="E677" s="165"/>
      <c r="F677" s="165"/>
      <c r="G677" s="165"/>
      <c r="H677" s="165"/>
      <c r="I677" s="165"/>
      <c r="J677" s="165"/>
      <c r="K677" s="165"/>
      <c r="L677" s="165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  <c r="AA677" s="165"/>
      <c r="AB677" s="165"/>
      <c r="AC677" s="165"/>
      <c r="AD677" s="165"/>
      <c r="AE677" s="165"/>
      <c r="AF677" s="165"/>
      <c r="AG677" s="165"/>
      <c r="AH677" s="165"/>
      <c r="AI677" s="165"/>
      <c r="AJ677" s="165"/>
      <c r="AK677" s="165"/>
      <c r="AL677" s="165"/>
      <c r="AM677" s="165"/>
      <c r="AN677" s="165"/>
      <c r="AO677" s="165"/>
      <c r="AP677" s="165"/>
      <c r="AQ677" s="165"/>
      <c r="AR677" s="165"/>
      <c r="AS677" s="165"/>
      <c r="AT677" s="165"/>
      <c r="AU677" s="165"/>
      <c r="AV677" s="165"/>
      <c r="AW677" s="165"/>
      <c r="AX677" s="165"/>
    </row>
    <row r="678" ht="15.75" customHeight="1">
      <c r="A678" s="165"/>
      <c r="B678" s="165"/>
      <c r="C678" s="165"/>
      <c r="D678" s="165"/>
      <c r="E678" s="165"/>
      <c r="F678" s="165"/>
      <c r="G678" s="165"/>
      <c r="H678" s="165"/>
      <c r="I678" s="165"/>
      <c r="J678" s="165"/>
      <c r="K678" s="165"/>
      <c r="L678" s="165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  <c r="AA678" s="165"/>
      <c r="AB678" s="165"/>
      <c r="AC678" s="165"/>
      <c r="AD678" s="165"/>
      <c r="AE678" s="165"/>
      <c r="AF678" s="165"/>
      <c r="AG678" s="165"/>
      <c r="AH678" s="165"/>
      <c r="AI678" s="165"/>
      <c r="AJ678" s="165"/>
      <c r="AK678" s="165"/>
      <c r="AL678" s="165"/>
      <c r="AM678" s="165"/>
      <c r="AN678" s="165"/>
      <c r="AO678" s="165"/>
      <c r="AP678" s="165"/>
      <c r="AQ678" s="165"/>
      <c r="AR678" s="165"/>
      <c r="AS678" s="165"/>
      <c r="AT678" s="165"/>
      <c r="AU678" s="165"/>
      <c r="AV678" s="165"/>
      <c r="AW678" s="165"/>
      <c r="AX678" s="165"/>
    </row>
    <row r="679" ht="15.75" customHeight="1">
      <c r="A679" s="165"/>
      <c r="B679" s="165"/>
      <c r="C679" s="165"/>
      <c r="D679" s="165"/>
      <c r="E679" s="165"/>
      <c r="F679" s="165"/>
      <c r="G679" s="165"/>
      <c r="H679" s="165"/>
      <c r="I679" s="165"/>
      <c r="J679" s="165"/>
      <c r="K679" s="165"/>
      <c r="L679" s="165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  <c r="AA679" s="165"/>
      <c r="AB679" s="165"/>
      <c r="AC679" s="165"/>
      <c r="AD679" s="165"/>
      <c r="AE679" s="165"/>
      <c r="AF679" s="165"/>
      <c r="AG679" s="165"/>
      <c r="AH679" s="165"/>
      <c r="AI679" s="165"/>
      <c r="AJ679" s="165"/>
      <c r="AK679" s="165"/>
      <c r="AL679" s="165"/>
      <c r="AM679" s="165"/>
      <c r="AN679" s="165"/>
      <c r="AO679" s="165"/>
      <c r="AP679" s="165"/>
      <c r="AQ679" s="165"/>
      <c r="AR679" s="165"/>
      <c r="AS679" s="165"/>
      <c r="AT679" s="165"/>
      <c r="AU679" s="165"/>
      <c r="AV679" s="165"/>
      <c r="AW679" s="165"/>
      <c r="AX679" s="165"/>
    </row>
    <row r="680" ht="15.75" customHeight="1">
      <c r="A680" s="165"/>
      <c r="B680" s="165"/>
      <c r="C680" s="165"/>
      <c r="D680" s="165"/>
      <c r="E680" s="165"/>
      <c r="F680" s="165"/>
      <c r="G680" s="165"/>
      <c r="H680" s="165"/>
      <c r="I680" s="165"/>
      <c r="J680" s="165"/>
      <c r="K680" s="165"/>
      <c r="L680" s="165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  <c r="AA680" s="165"/>
      <c r="AB680" s="165"/>
      <c r="AC680" s="165"/>
      <c r="AD680" s="165"/>
      <c r="AE680" s="165"/>
      <c r="AF680" s="165"/>
      <c r="AG680" s="165"/>
      <c r="AH680" s="165"/>
      <c r="AI680" s="165"/>
      <c r="AJ680" s="165"/>
      <c r="AK680" s="165"/>
      <c r="AL680" s="165"/>
      <c r="AM680" s="165"/>
      <c r="AN680" s="165"/>
      <c r="AO680" s="165"/>
      <c r="AP680" s="165"/>
      <c r="AQ680" s="165"/>
      <c r="AR680" s="165"/>
      <c r="AS680" s="165"/>
      <c r="AT680" s="165"/>
      <c r="AU680" s="165"/>
      <c r="AV680" s="165"/>
      <c r="AW680" s="165"/>
      <c r="AX680" s="165"/>
    </row>
    <row r="681" ht="15.75" customHeight="1">
      <c r="A681" s="165"/>
      <c r="B681" s="165"/>
      <c r="C681" s="165"/>
      <c r="D681" s="165"/>
      <c r="E681" s="165"/>
      <c r="F681" s="165"/>
      <c r="G681" s="165"/>
      <c r="H681" s="165"/>
      <c r="I681" s="165"/>
      <c r="J681" s="165"/>
      <c r="K681" s="165"/>
      <c r="L681" s="165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  <c r="AA681" s="165"/>
      <c r="AB681" s="165"/>
      <c r="AC681" s="165"/>
      <c r="AD681" s="165"/>
      <c r="AE681" s="165"/>
      <c r="AF681" s="165"/>
      <c r="AG681" s="165"/>
      <c r="AH681" s="165"/>
      <c r="AI681" s="165"/>
      <c r="AJ681" s="165"/>
      <c r="AK681" s="165"/>
      <c r="AL681" s="165"/>
      <c r="AM681" s="165"/>
      <c r="AN681" s="165"/>
      <c r="AO681" s="165"/>
      <c r="AP681" s="165"/>
      <c r="AQ681" s="165"/>
      <c r="AR681" s="165"/>
      <c r="AS681" s="165"/>
      <c r="AT681" s="165"/>
      <c r="AU681" s="165"/>
      <c r="AV681" s="165"/>
      <c r="AW681" s="165"/>
      <c r="AX681" s="165"/>
    </row>
    <row r="682" ht="15.75" customHeight="1">
      <c r="A682" s="165"/>
      <c r="B682" s="165"/>
      <c r="C682" s="165"/>
      <c r="D682" s="165"/>
      <c r="E682" s="165"/>
      <c r="F682" s="165"/>
      <c r="G682" s="165"/>
      <c r="H682" s="165"/>
      <c r="I682" s="165"/>
      <c r="J682" s="165"/>
      <c r="K682" s="165"/>
      <c r="L682" s="165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  <c r="AA682" s="165"/>
      <c r="AB682" s="165"/>
      <c r="AC682" s="165"/>
      <c r="AD682" s="165"/>
      <c r="AE682" s="165"/>
      <c r="AF682" s="165"/>
      <c r="AG682" s="165"/>
      <c r="AH682" s="165"/>
      <c r="AI682" s="165"/>
      <c r="AJ682" s="165"/>
      <c r="AK682" s="165"/>
      <c r="AL682" s="165"/>
      <c r="AM682" s="165"/>
      <c r="AN682" s="165"/>
      <c r="AO682" s="165"/>
      <c r="AP682" s="165"/>
      <c r="AQ682" s="165"/>
      <c r="AR682" s="165"/>
      <c r="AS682" s="165"/>
      <c r="AT682" s="165"/>
      <c r="AU682" s="165"/>
      <c r="AV682" s="165"/>
      <c r="AW682" s="165"/>
      <c r="AX682" s="165"/>
    </row>
    <row r="683" ht="15.75" customHeight="1">
      <c r="A683" s="165"/>
      <c r="B683" s="165"/>
      <c r="C683" s="165"/>
      <c r="D683" s="165"/>
      <c r="E683" s="165"/>
      <c r="F683" s="165"/>
      <c r="G683" s="165"/>
      <c r="H683" s="165"/>
      <c r="I683" s="165"/>
      <c r="J683" s="165"/>
      <c r="K683" s="165"/>
      <c r="L683" s="165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  <c r="AA683" s="165"/>
      <c r="AB683" s="165"/>
      <c r="AC683" s="165"/>
      <c r="AD683" s="165"/>
      <c r="AE683" s="165"/>
      <c r="AF683" s="165"/>
      <c r="AG683" s="165"/>
      <c r="AH683" s="165"/>
      <c r="AI683" s="165"/>
      <c r="AJ683" s="165"/>
      <c r="AK683" s="165"/>
      <c r="AL683" s="165"/>
      <c r="AM683" s="165"/>
      <c r="AN683" s="165"/>
      <c r="AO683" s="165"/>
      <c r="AP683" s="165"/>
      <c r="AQ683" s="165"/>
      <c r="AR683" s="165"/>
      <c r="AS683" s="165"/>
      <c r="AT683" s="165"/>
      <c r="AU683" s="165"/>
      <c r="AV683" s="165"/>
      <c r="AW683" s="165"/>
      <c r="AX683" s="165"/>
    </row>
    <row r="684" ht="15.75" customHeight="1">
      <c r="A684" s="165"/>
      <c r="B684" s="165"/>
      <c r="C684" s="165"/>
      <c r="D684" s="165"/>
      <c r="E684" s="165"/>
      <c r="F684" s="165"/>
      <c r="G684" s="165"/>
      <c r="H684" s="165"/>
      <c r="I684" s="165"/>
      <c r="J684" s="165"/>
      <c r="K684" s="165"/>
      <c r="L684" s="165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  <c r="AA684" s="165"/>
      <c r="AB684" s="165"/>
      <c r="AC684" s="165"/>
      <c r="AD684" s="165"/>
      <c r="AE684" s="165"/>
      <c r="AF684" s="165"/>
      <c r="AG684" s="165"/>
      <c r="AH684" s="165"/>
      <c r="AI684" s="165"/>
      <c r="AJ684" s="165"/>
      <c r="AK684" s="165"/>
      <c r="AL684" s="165"/>
      <c r="AM684" s="165"/>
      <c r="AN684" s="165"/>
      <c r="AO684" s="165"/>
      <c r="AP684" s="165"/>
      <c r="AQ684" s="165"/>
      <c r="AR684" s="165"/>
      <c r="AS684" s="165"/>
      <c r="AT684" s="165"/>
      <c r="AU684" s="165"/>
      <c r="AV684" s="165"/>
      <c r="AW684" s="165"/>
      <c r="AX684" s="165"/>
    </row>
    <row r="685" ht="15.75" customHeight="1">
      <c r="A685" s="165"/>
      <c r="B685" s="165"/>
      <c r="C685" s="165"/>
      <c r="D685" s="165"/>
      <c r="E685" s="165"/>
      <c r="F685" s="165"/>
      <c r="G685" s="165"/>
      <c r="H685" s="165"/>
      <c r="I685" s="165"/>
      <c r="J685" s="165"/>
      <c r="K685" s="165"/>
      <c r="L685" s="165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  <c r="AA685" s="165"/>
      <c r="AB685" s="165"/>
      <c r="AC685" s="165"/>
      <c r="AD685" s="165"/>
      <c r="AE685" s="165"/>
      <c r="AF685" s="165"/>
      <c r="AG685" s="165"/>
      <c r="AH685" s="165"/>
      <c r="AI685" s="165"/>
      <c r="AJ685" s="165"/>
      <c r="AK685" s="165"/>
      <c r="AL685" s="165"/>
      <c r="AM685" s="165"/>
      <c r="AN685" s="165"/>
      <c r="AO685" s="165"/>
      <c r="AP685" s="165"/>
      <c r="AQ685" s="165"/>
      <c r="AR685" s="165"/>
      <c r="AS685" s="165"/>
      <c r="AT685" s="165"/>
      <c r="AU685" s="165"/>
      <c r="AV685" s="165"/>
      <c r="AW685" s="165"/>
      <c r="AX685" s="165"/>
    </row>
    <row r="686" ht="15.75" customHeight="1">
      <c r="A686" s="165"/>
      <c r="B686" s="165"/>
      <c r="C686" s="165"/>
      <c r="D686" s="165"/>
      <c r="E686" s="165"/>
      <c r="F686" s="165"/>
      <c r="G686" s="165"/>
      <c r="H686" s="165"/>
      <c r="I686" s="165"/>
      <c r="J686" s="165"/>
      <c r="K686" s="165"/>
      <c r="L686" s="165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  <c r="AA686" s="165"/>
      <c r="AB686" s="165"/>
      <c r="AC686" s="165"/>
      <c r="AD686" s="165"/>
      <c r="AE686" s="165"/>
      <c r="AF686" s="165"/>
      <c r="AG686" s="165"/>
      <c r="AH686" s="165"/>
      <c r="AI686" s="165"/>
      <c r="AJ686" s="165"/>
      <c r="AK686" s="165"/>
      <c r="AL686" s="165"/>
      <c r="AM686" s="165"/>
      <c r="AN686" s="165"/>
      <c r="AO686" s="165"/>
      <c r="AP686" s="165"/>
      <c r="AQ686" s="165"/>
      <c r="AR686" s="165"/>
      <c r="AS686" s="165"/>
      <c r="AT686" s="165"/>
      <c r="AU686" s="165"/>
      <c r="AV686" s="165"/>
      <c r="AW686" s="165"/>
      <c r="AX686" s="165"/>
    </row>
    <row r="687" ht="15.75" customHeight="1">
      <c r="A687" s="165"/>
      <c r="B687" s="165"/>
      <c r="C687" s="165"/>
      <c r="D687" s="165"/>
      <c r="E687" s="165"/>
      <c r="F687" s="165"/>
      <c r="G687" s="165"/>
      <c r="H687" s="165"/>
      <c r="I687" s="165"/>
      <c r="J687" s="165"/>
      <c r="K687" s="165"/>
      <c r="L687" s="165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  <c r="AA687" s="165"/>
      <c r="AB687" s="165"/>
      <c r="AC687" s="165"/>
      <c r="AD687" s="165"/>
      <c r="AE687" s="165"/>
      <c r="AF687" s="165"/>
      <c r="AG687" s="165"/>
      <c r="AH687" s="165"/>
      <c r="AI687" s="165"/>
      <c r="AJ687" s="165"/>
      <c r="AK687" s="165"/>
      <c r="AL687" s="165"/>
      <c r="AM687" s="165"/>
      <c r="AN687" s="165"/>
      <c r="AO687" s="165"/>
      <c r="AP687" s="165"/>
      <c r="AQ687" s="165"/>
      <c r="AR687" s="165"/>
      <c r="AS687" s="165"/>
      <c r="AT687" s="165"/>
      <c r="AU687" s="165"/>
      <c r="AV687" s="165"/>
      <c r="AW687" s="165"/>
      <c r="AX687" s="165"/>
    </row>
    <row r="688" ht="15.75" customHeight="1">
      <c r="A688" s="165"/>
      <c r="B688" s="165"/>
      <c r="C688" s="165"/>
      <c r="D688" s="165"/>
      <c r="E688" s="165"/>
      <c r="F688" s="165"/>
      <c r="G688" s="165"/>
      <c r="H688" s="165"/>
      <c r="I688" s="165"/>
      <c r="J688" s="165"/>
      <c r="K688" s="165"/>
      <c r="L688" s="165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  <c r="AA688" s="165"/>
      <c r="AB688" s="165"/>
      <c r="AC688" s="165"/>
      <c r="AD688" s="165"/>
      <c r="AE688" s="165"/>
      <c r="AF688" s="165"/>
      <c r="AG688" s="165"/>
      <c r="AH688" s="165"/>
      <c r="AI688" s="165"/>
      <c r="AJ688" s="165"/>
      <c r="AK688" s="165"/>
      <c r="AL688" s="165"/>
      <c r="AM688" s="165"/>
      <c r="AN688" s="165"/>
      <c r="AO688" s="165"/>
      <c r="AP688" s="165"/>
      <c r="AQ688" s="165"/>
      <c r="AR688" s="165"/>
      <c r="AS688" s="165"/>
      <c r="AT688" s="165"/>
      <c r="AU688" s="165"/>
      <c r="AV688" s="165"/>
      <c r="AW688" s="165"/>
      <c r="AX688" s="165"/>
    </row>
    <row r="689" ht="15.75" customHeight="1">
      <c r="A689" s="165"/>
      <c r="B689" s="165"/>
      <c r="C689" s="165"/>
      <c r="D689" s="165"/>
      <c r="E689" s="165"/>
      <c r="F689" s="165"/>
      <c r="G689" s="165"/>
      <c r="H689" s="165"/>
      <c r="I689" s="165"/>
      <c r="J689" s="165"/>
      <c r="K689" s="165"/>
      <c r="L689" s="165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  <c r="AA689" s="165"/>
      <c r="AB689" s="165"/>
      <c r="AC689" s="165"/>
      <c r="AD689" s="165"/>
      <c r="AE689" s="165"/>
      <c r="AF689" s="165"/>
      <c r="AG689" s="165"/>
      <c r="AH689" s="165"/>
      <c r="AI689" s="165"/>
      <c r="AJ689" s="165"/>
      <c r="AK689" s="165"/>
      <c r="AL689" s="165"/>
      <c r="AM689" s="165"/>
      <c r="AN689" s="165"/>
      <c r="AO689" s="165"/>
      <c r="AP689" s="165"/>
      <c r="AQ689" s="165"/>
      <c r="AR689" s="165"/>
      <c r="AS689" s="165"/>
      <c r="AT689" s="165"/>
      <c r="AU689" s="165"/>
      <c r="AV689" s="165"/>
      <c r="AW689" s="165"/>
      <c r="AX689" s="165"/>
    </row>
    <row r="690" ht="15.75" customHeight="1">
      <c r="A690" s="165"/>
      <c r="B690" s="165"/>
      <c r="C690" s="165"/>
      <c r="D690" s="165"/>
      <c r="E690" s="165"/>
      <c r="F690" s="165"/>
      <c r="G690" s="165"/>
      <c r="H690" s="165"/>
      <c r="I690" s="165"/>
      <c r="J690" s="165"/>
      <c r="K690" s="165"/>
      <c r="L690" s="165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  <c r="AA690" s="165"/>
      <c r="AB690" s="165"/>
      <c r="AC690" s="165"/>
      <c r="AD690" s="165"/>
      <c r="AE690" s="165"/>
      <c r="AF690" s="165"/>
      <c r="AG690" s="165"/>
      <c r="AH690" s="165"/>
      <c r="AI690" s="165"/>
      <c r="AJ690" s="165"/>
      <c r="AK690" s="165"/>
      <c r="AL690" s="165"/>
      <c r="AM690" s="165"/>
      <c r="AN690" s="165"/>
      <c r="AO690" s="165"/>
      <c r="AP690" s="165"/>
      <c r="AQ690" s="165"/>
      <c r="AR690" s="165"/>
      <c r="AS690" s="165"/>
      <c r="AT690" s="165"/>
      <c r="AU690" s="165"/>
      <c r="AV690" s="165"/>
      <c r="AW690" s="165"/>
      <c r="AX690" s="165"/>
    </row>
    <row r="691" ht="15.75" customHeight="1">
      <c r="A691" s="165"/>
      <c r="B691" s="165"/>
      <c r="C691" s="165"/>
      <c r="D691" s="165"/>
      <c r="E691" s="165"/>
      <c r="F691" s="165"/>
      <c r="G691" s="165"/>
      <c r="H691" s="165"/>
      <c r="I691" s="165"/>
      <c r="J691" s="165"/>
      <c r="K691" s="165"/>
      <c r="L691" s="165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  <c r="AA691" s="165"/>
      <c r="AB691" s="165"/>
      <c r="AC691" s="165"/>
      <c r="AD691" s="165"/>
      <c r="AE691" s="165"/>
      <c r="AF691" s="165"/>
      <c r="AG691" s="165"/>
      <c r="AH691" s="165"/>
      <c r="AI691" s="165"/>
      <c r="AJ691" s="165"/>
      <c r="AK691" s="165"/>
      <c r="AL691" s="165"/>
      <c r="AM691" s="165"/>
      <c r="AN691" s="165"/>
      <c r="AO691" s="165"/>
      <c r="AP691" s="165"/>
      <c r="AQ691" s="165"/>
      <c r="AR691" s="165"/>
      <c r="AS691" s="165"/>
      <c r="AT691" s="165"/>
      <c r="AU691" s="165"/>
      <c r="AV691" s="165"/>
      <c r="AW691" s="165"/>
      <c r="AX691" s="165"/>
    </row>
    <row r="692" ht="15.75" customHeight="1">
      <c r="A692" s="165"/>
      <c r="B692" s="165"/>
      <c r="C692" s="165"/>
      <c r="D692" s="165"/>
      <c r="E692" s="165"/>
      <c r="F692" s="165"/>
      <c r="G692" s="165"/>
      <c r="H692" s="165"/>
      <c r="I692" s="165"/>
      <c r="J692" s="165"/>
      <c r="K692" s="165"/>
      <c r="L692" s="165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  <c r="AA692" s="165"/>
      <c r="AB692" s="165"/>
      <c r="AC692" s="165"/>
      <c r="AD692" s="165"/>
      <c r="AE692" s="165"/>
      <c r="AF692" s="165"/>
      <c r="AG692" s="165"/>
      <c r="AH692" s="165"/>
      <c r="AI692" s="165"/>
      <c r="AJ692" s="165"/>
      <c r="AK692" s="165"/>
      <c r="AL692" s="165"/>
      <c r="AM692" s="165"/>
      <c r="AN692" s="165"/>
      <c r="AO692" s="165"/>
      <c r="AP692" s="165"/>
      <c r="AQ692" s="165"/>
      <c r="AR692" s="165"/>
      <c r="AS692" s="165"/>
      <c r="AT692" s="165"/>
      <c r="AU692" s="165"/>
      <c r="AV692" s="165"/>
      <c r="AW692" s="165"/>
      <c r="AX692" s="165"/>
    </row>
    <row r="693" ht="15.75" customHeight="1">
      <c r="A693" s="165"/>
      <c r="B693" s="165"/>
      <c r="C693" s="165"/>
      <c r="D693" s="165"/>
      <c r="E693" s="165"/>
      <c r="F693" s="165"/>
      <c r="G693" s="165"/>
      <c r="H693" s="165"/>
      <c r="I693" s="165"/>
      <c r="J693" s="165"/>
      <c r="K693" s="165"/>
      <c r="L693" s="165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  <c r="AA693" s="165"/>
      <c r="AB693" s="165"/>
      <c r="AC693" s="165"/>
      <c r="AD693" s="165"/>
      <c r="AE693" s="165"/>
      <c r="AF693" s="165"/>
      <c r="AG693" s="165"/>
      <c r="AH693" s="165"/>
      <c r="AI693" s="165"/>
      <c r="AJ693" s="165"/>
      <c r="AK693" s="165"/>
      <c r="AL693" s="165"/>
      <c r="AM693" s="165"/>
      <c r="AN693" s="165"/>
      <c r="AO693" s="165"/>
      <c r="AP693" s="165"/>
      <c r="AQ693" s="165"/>
      <c r="AR693" s="165"/>
      <c r="AS693" s="165"/>
      <c r="AT693" s="165"/>
      <c r="AU693" s="165"/>
      <c r="AV693" s="165"/>
      <c r="AW693" s="165"/>
      <c r="AX693" s="165"/>
    </row>
    <row r="694" ht="15.75" customHeight="1">
      <c r="A694" s="165"/>
      <c r="B694" s="165"/>
      <c r="C694" s="165"/>
      <c r="D694" s="165"/>
      <c r="E694" s="165"/>
      <c r="F694" s="165"/>
      <c r="G694" s="165"/>
      <c r="H694" s="165"/>
      <c r="I694" s="165"/>
      <c r="J694" s="165"/>
      <c r="K694" s="165"/>
      <c r="L694" s="165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  <c r="AA694" s="165"/>
      <c r="AB694" s="165"/>
      <c r="AC694" s="165"/>
      <c r="AD694" s="165"/>
      <c r="AE694" s="165"/>
      <c r="AF694" s="165"/>
      <c r="AG694" s="165"/>
      <c r="AH694" s="165"/>
      <c r="AI694" s="165"/>
      <c r="AJ694" s="165"/>
      <c r="AK694" s="165"/>
      <c r="AL694" s="165"/>
      <c r="AM694" s="165"/>
      <c r="AN694" s="165"/>
      <c r="AO694" s="165"/>
      <c r="AP694" s="165"/>
      <c r="AQ694" s="165"/>
      <c r="AR694" s="165"/>
      <c r="AS694" s="165"/>
      <c r="AT694" s="165"/>
      <c r="AU694" s="165"/>
      <c r="AV694" s="165"/>
      <c r="AW694" s="165"/>
      <c r="AX694" s="165"/>
    </row>
    <row r="695" ht="15.75" customHeight="1">
      <c r="A695" s="165"/>
      <c r="B695" s="165"/>
      <c r="C695" s="165"/>
      <c r="D695" s="165"/>
      <c r="E695" s="165"/>
      <c r="F695" s="165"/>
      <c r="G695" s="165"/>
      <c r="H695" s="165"/>
      <c r="I695" s="165"/>
      <c r="J695" s="165"/>
      <c r="K695" s="165"/>
      <c r="L695" s="165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  <c r="AA695" s="165"/>
      <c r="AB695" s="165"/>
      <c r="AC695" s="165"/>
      <c r="AD695" s="165"/>
      <c r="AE695" s="165"/>
      <c r="AF695" s="165"/>
      <c r="AG695" s="165"/>
      <c r="AH695" s="165"/>
      <c r="AI695" s="165"/>
      <c r="AJ695" s="165"/>
      <c r="AK695" s="165"/>
      <c r="AL695" s="165"/>
      <c r="AM695" s="165"/>
      <c r="AN695" s="165"/>
      <c r="AO695" s="165"/>
      <c r="AP695" s="165"/>
      <c r="AQ695" s="165"/>
      <c r="AR695" s="165"/>
      <c r="AS695" s="165"/>
      <c r="AT695" s="165"/>
      <c r="AU695" s="165"/>
      <c r="AV695" s="165"/>
      <c r="AW695" s="165"/>
      <c r="AX695" s="165"/>
    </row>
    <row r="696" ht="15.75" customHeight="1">
      <c r="A696" s="165"/>
      <c r="B696" s="165"/>
      <c r="C696" s="165"/>
      <c r="D696" s="165"/>
      <c r="E696" s="165"/>
      <c r="F696" s="165"/>
      <c r="G696" s="165"/>
      <c r="H696" s="165"/>
      <c r="I696" s="165"/>
      <c r="J696" s="165"/>
      <c r="K696" s="165"/>
      <c r="L696" s="165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  <c r="AA696" s="165"/>
      <c r="AB696" s="165"/>
      <c r="AC696" s="165"/>
      <c r="AD696" s="165"/>
      <c r="AE696" s="165"/>
      <c r="AF696" s="165"/>
      <c r="AG696" s="165"/>
      <c r="AH696" s="165"/>
      <c r="AI696" s="165"/>
      <c r="AJ696" s="165"/>
      <c r="AK696" s="165"/>
      <c r="AL696" s="165"/>
      <c r="AM696" s="165"/>
      <c r="AN696" s="165"/>
      <c r="AO696" s="165"/>
      <c r="AP696" s="165"/>
      <c r="AQ696" s="165"/>
      <c r="AR696" s="165"/>
      <c r="AS696" s="165"/>
      <c r="AT696" s="165"/>
      <c r="AU696" s="165"/>
      <c r="AV696" s="165"/>
      <c r="AW696" s="165"/>
      <c r="AX696" s="165"/>
    </row>
    <row r="697" ht="15.75" customHeight="1">
      <c r="A697" s="165"/>
      <c r="B697" s="165"/>
      <c r="C697" s="165"/>
      <c r="D697" s="165"/>
      <c r="E697" s="165"/>
      <c r="F697" s="165"/>
      <c r="G697" s="165"/>
      <c r="H697" s="165"/>
      <c r="I697" s="165"/>
      <c r="J697" s="165"/>
      <c r="K697" s="165"/>
      <c r="L697" s="165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  <c r="AA697" s="165"/>
      <c r="AB697" s="165"/>
      <c r="AC697" s="165"/>
      <c r="AD697" s="165"/>
      <c r="AE697" s="165"/>
      <c r="AF697" s="165"/>
      <c r="AG697" s="165"/>
      <c r="AH697" s="165"/>
      <c r="AI697" s="165"/>
      <c r="AJ697" s="165"/>
      <c r="AK697" s="165"/>
      <c r="AL697" s="165"/>
      <c r="AM697" s="165"/>
      <c r="AN697" s="165"/>
      <c r="AO697" s="165"/>
      <c r="AP697" s="165"/>
      <c r="AQ697" s="165"/>
      <c r="AR697" s="165"/>
      <c r="AS697" s="165"/>
      <c r="AT697" s="165"/>
      <c r="AU697" s="165"/>
      <c r="AV697" s="165"/>
      <c r="AW697" s="165"/>
      <c r="AX697" s="165"/>
    </row>
    <row r="698" ht="15.75" customHeight="1">
      <c r="A698" s="165"/>
      <c r="B698" s="165"/>
      <c r="C698" s="165"/>
      <c r="D698" s="165"/>
      <c r="E698" s="165"/>
      <c r="F698" s="165"/>
      <c r="G698" s="165"/>
      <c r="H698" s="165"/>
      <c r="I698" s="165"/>
      <c r="J698" s="165"/>
      <c r="K698" s="165"/>
      <c r="L698" s="165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  <c r="AA698" s="165"/>
      <c r="AB698" s="165"/>
      <c r="AC698" s="165"/>
      <c r="AD698" s="165"/>
      <c r="AE698" s="165"/>
      <c r="AF698" s="165"/>
      <c r="AG698" s="165"/>
      <c r="AH698" s="165"/>
      <c r="AI698" s="165"/>
      <c r="AJ698" s="165"/>
      <c r="AK698" s="165"/>
      <c r="AL698" s="165"/>
      <c r="AM698" s="165"/>
      <c r="AN698" s="165"/>
      <c r="AO698" s="165"/>
      <c r="AP698" s="165"/>
      <c r="AQ698" s="165"/>
      <c r="AR698" s="165"/>
      <c r="AS698" s="165"/>
      <c r="AT698" s="165"/>
      <c r="AU698" s="165"/>
      <c r="AV698" s="165"/>
      <c r="AW698" s="165"/>
      <c r="AX698" s="165"/>
    </row>
    <row r="699" ht="15.75" customHeight="1">
      <c r="A699" s="165"/>
      <c r="B699" s="165"/>
      <c r="C699" s="165"/>
      <c r="D699" s="165"/>
      <c r="E699" s="165"/>
      <c r="F699" s="165"/>
      <c r="G699" s="165"/>
      <c r="H699" s="165"/>
      <c r="I699" s="165"/>
      <c r="J699" s="165"/>
      <c r="K699" s="165"/>
      <c r="L699" s="165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  <c r="AA699" s="165"/>
      <c r="AB699" s="165"/>
      <c r="AC699" s="165"/>
      <c r="AD699" s="165"/>
      <c r="AE699" s="165"/>
      <c r="AF699" s="165"/>
      <c r="AG699" s="165"/>
      <c r="AH699" s="165"/>
      <c r="AI699" s="165"/>
      <c r="AJ699" s="165"/>
      <c r="AK699" s="165"/>
      <c r="AL699" s="165"/>
      <c r="AM699" s="165"/>
      <c r="AN699" s="165"/>
      <c r="AO699" s="165"/>
      <c r="AP699" s="165"/>
      <c r="AQ699" s="165"/>
      <c r="AR699" s="165"/>
      <c r="AS699" s="165"/>
      <c r="AT699" s="165"/>
      <c r="AU699" s="165"/>
      <c r="AV699" s="165"/>
      <c r="AW699" s="165"/>
      <c r="AX699" s="165"/>
    </row>
    <row r="700" ht="15.75" customHeight="1">
      <c r="A700" s="165"/>
      <c r="B700" s="165"/>
      <c r="C700" s="165"/>
      <c r="D700" s="165"/>
      <c r="E700" s="165"/>
      <c r="F700" s="165"/>
      <c r="G700" s="165"/>
      <c r="H700" s="165"/>
      <c r="I700" s="165"/>
      <c r="J700" s="165"/>
      <c r="K700" s="165"/>
      <c r="L700" s="165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  <c r="AA700" s="165"/>
      <c r="AB700" s="165"/>
      <c r="AC700" s="165"/>
      <c r="AD700" s="165"/>
      <c r="AE700" s="165"/>
      <c r="AF700" s="165"/>
      <c r="AG700" s="165"/>
      <c r="AH700" s="165"/>
      <c r="AI700" s="165"/>
      <c r="AJ700" s="165"/>
      <c r="AK700" s="165"/>
      <c r="AL700" s="165"/>
      <c r="AM700" s="165"/>
      <c r="AN700" s="165"/>
      <c r="AO700" s="165"/>
      <c r="AP700" s="165"/>
      <c r="AQ700" s="165"/>
      <c r="AR700" s="165"/>
      <c r="AS700" s="165"/>
      <c r="AT700" s="165"/>
      <c r="AU700" s="165"/>
      <c r="AV700" s="165"/>
      <c r="AW700" s="165"/>
      <c r="AX700" s="165"/>
    </row>
    <row r="701" ht="15.75" customHeight="1">
      <c r="A701" s="165"/>
      <c r="B701" s="165"/>
      <c r="C701" s="165"/>
      <c r="D701" s="165"/>
      <c r="E701" s="165"/>
      <c r="F701" s="165"/>
      <c r="G701" s="165"/>
      <c r="H701" s="165"/>
      <c r="I701" s="165"/>
      <c r="J701" s="165"/>
      <c r="K701" s="165"/>
      <c r="L701" s="165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  <c r="AA701" s="165"/>
      <c r="AB701" s="165"/>
      <c r="AC701" s="165"/>
      <c r="AD701" s="165"/>
      <c r="AE701" s="165"/>
      <c r="AF701" s="165"/>
      <c r="AG701" s="165"/>
      <c r="AH701" s="165"/>
      <c r="AI701" s="165"/>
      <c r="AJ701" s="165"/>
      <c r="AK701" s="165"/>
      <c r="AL701" s="165"/>
      <c r="AM701" s="165"/>
      <c r="AN701" s="165"/>
      <c r="AO701" s="165"/>
      <c r="AP701" s="165"/>
      <c r="AQ701" s="165"/>
      <c r="AR701" s="165"/>
      <c r="AS701" s="165"/>
      <c r="AT701" s="165"/>
      <c r="AU701" s="165"/>
      <c r="AV701" s="165"/>
      <c r="AW701" s="165"/>
      <c r="AX701" s="165"/>
    </row>
    <row r="702" ht="15.75" customHeight="1">
      <c r="A702" s="165"/>
      <c r="B702" s="165"/>
      <c r="C702" s="165"/>
      <c r="D702" s="165"/>
      <c r="E702" s="165"/>
      <c r="F702" s="165"/>
      <c r="G702" s="165"/>
      <c r="H702" s="165"/>
      <c r="I702" s="165"/>
      <c r="J702" s="165"/>
      <c r="K702" s="165"/>
      <c r="L702" s="165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  <c r="AA702" s="165"/>
      <c r="AB702" s="165"/>
      <c r="AC702" s="165"/>
      <c r="AD702" s="165"/>
      <c r="AE702" s="165"/>
      <c r="AF702" s="165"/>
      <c r="AG702" s="165"/>
      <c r="AH702" s="165"/>
      <c r="AI702" s="165"/>
      <c r="AJ702" s="165"/>
      <c r="AK702" s="165"/>
      <c r="AL702" s="165"/>
      <c r="AM702" s="165"/>
      <c r="AN702" s="165"/>
      <c r="AO702" s="165"/>
      <c r="AP702" s="165"/>
      <c r="AQ702" s="165"/>
      <c r="AR702" s="165"/>
      <c r="AS702" s="165"/>
      <c r="AT702" s="165"/>
      <c r="AU702" s="165"/>
      <c r="AV702" s="165"/>
      <c r="AW702" s="165"/>
      <c r="AX702" s="165"/>
    </row>
    <row r="703" ht="15.75" customHeight="1">
      <c r="A703" s="165"/>
      <c r="B703" s="165"/>
      <c r="C703" s="165"/>
      <c r="D703" s="165"/>
      <c r="E703" s="165"/>
      <c r="F703" s="165"/>
      <c r="G703" s="165"/>
      <c r="H703" s="165"/>
      <c r="I703" s="165"/>
      <c r="J703" s="165"/>
      <c r="K703" s="165"/>
      <c r="L703" s="165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  <c r="AA703" s="165"/>
      <c r="AB703" s="165"/>
      <c r="AC703" s="165"/>
      <c r="AD703" s="165"/>
      <c r="AE703" s="165"/>
      <c r="AF703" s="165"/>
      <c r="AG703" s="165"/>
      <c r="AH703" s="165"/>
      <c r="AI703" s="165"/>
      <c r="AJ703" s="165"/>
      <c r="AK703" s="165"/>
      <c r="AL703" s="165"/>
      <c r="AM703" s="165"/>
      <c r="AN703" s="165"/>
      <c r="AO703" s="165"/>
      <c r="AP703" s="165"/>
      <c r="AQ703" s="165"/>
      <c r="AR703" s="165"/>
      <c r="AS703" s="165"/>
      <c r="AT703" s="165"/>
      <c r="AU703" s="165"/>
      <c r="AV703" s="165"/>
      <c r="AW703" s="165"/>
      <c r="AX703" s="165"/>
    </row>
    <row r="704" ht="15.75" customHeight="1">
      <c r="A704" s="165"/>
      <c r="B704" s="165"/>
      <c r="C704" s="165"/>
      <c r="D704" s="165"/>
      <c r="E704" s="165"/>
      <c r="F704" s="165"/>
      <c r="G704" s="165"/>
      <c r="H704" s="165"/>
      <c r="I704" s="165"/>
      <c r="J704" s="165"/>
      <c r="K704" s="165"/>
      <c r="L704" s="165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  <c r="AA704" s="165"/>
      <c r="AB704" s="165"/>
      <c r="AC704" s="165"/>
      <c r="AD704" s="165"/>
      <c r="AE704" s="165"/>
      <c r="AF704" s="165"/>
      <c r="AG704" s="165"/>
      <c r="AH704" s="165"/>
      <c r="AI704" s="165"/>
      <c r="AJ704" s="165"/>
      <c r="AK704" s="165"/>
      <c r="AL704" s="165"/>
      <c r="AM704" s="165"/>
      <c r="AN704" s="165"/>
      <c r="AO704" s="165"/>
      <c r="AP704" s="165"/>
      <c r="AQ704" s="165"/>
      <c r="AR704" s="165"/>
      <c r="AS704" s="165"/>
      <c r="AT704" s="165"/>
      <c r="AU704" s="165"/>
      <c r="AV704" s="165"/>
      <c r="AW704" s="165"/>
      <c r="AX704" s="165"/>
    </row>
    <row r="705" ht="15.75" customHeight="1">
      <c r="A705" s="165"/>
      <c r="B705" s="165"/>
      <c r="C705" s="165"/>
      <c r="D705" s="165"/>
      <c r="E705" s="165"/>
      <c r="F705" s="165"/>
      <c r="G705" s="165"/>
      <c r="H705" s="165"/>
      <c r="I705" s="165"/>
      <c r="J705" s="165"/>
      <c r="K705" s="165"/>
      <c r="L705" s="165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  <c r="AA705" s="165"/>
      <c r="AB705" s="165"/>
      <c r="AC705" s="165"/>
      <c r="AD705" s="165"/>
      <c r="AE705" s="165"/>
      <c r="AF705" s="165"/>
      <c r="AG705" s="165"/>
      <c r="AH705" s="165"/>
      <c r="AI705" s="165"/>
      <c r="AJ705" s="165"/>
      <c r="AK705" s="165"/>
      <c r="AL705" s="165"/>
      <c r="AM705" s="165"/>
      <c r="AN705" s="165"/>
      <c r="AO705" s="165"/>
      <c r="AP705" s="165"/>
      <c r="AQ705" s="165"/>
      <c r="AR705" s="165"/>
      <c r="AS705" s="165"/>
      <c r="AT705" s="165"/>
      <c r="AU705" s="165"/>
      <c r="AV705" s="165"/>
      <c r="AW705" s="165"/>
      <c r="AX705" s="165"/>
    </row>
    <row r="706" ht="15.75" customHeight="1">
      <c r="A706" s="165"/>
      <c r="B706" s="165"/>
      <c r="C706" s="165"/>
      <c r="D706" s="165"/>
      <c r="E706" s="165"/>
      <c r="F706" s="165"/>
      <c r="G706" s="165"/>
      <c r="H706" s="165"/>
      <c r="I706" s="165"/>
      <c r="J706" s="165"/>
      <c r="K706" s="165"/>
      <c r="L706" s="165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  <c r="AA706" s="165"/>
      <c r="AB706" s="165"/>
      <c r="AC706" s="165"/>
      <c r="AD706" s="165"/>
      <c r="AE706" s="165"/>
      <c r="AF706" s="165"/>
      <c r="AG706" s="165"/>
      <c r="AH706" s="165"/>
      <c r="AI706" s="165"/>
      <c r="AJ706" s="165"/>
      <c r="AK706" s="165"/>
      <c r="AL706" s="165"/>
      <c r="AM706" s="165"/>
      <c r="AN706" s="165"/>
      <c r="AO706" s="165"/>
      <c r="AP706" s="165"/>
      <c r="AQ706" s="165"/>
      <c r="AR706" s="165"/>
      <c r="AS706" s="165"/>
      <c r="AT706" s="165"/>
      <c r="AU706" s="165"/>
      <c r="AV706" s="165"/>
      <c r="AW706" s="165"/>
      <c r="AX706" s="165"/>
    </row>
    <row r="707" ht="15.75" customHeight="1">
      <c r="A707" s="165"/>
      <c r="B707" s="165"/>
      <c r="C707" s="165"/>
      <c r="D707" s="165"/>
      <c r="E707" s="165"/>
      <c r="F707" s="165"/>
      <c r="G707" s="165"/>
      <c r="H707" s="165"/>
      <c r="I707" s="165"/>
      <c r="J707" s="165"/>
      <c r="K707" s="165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  <c r="AA707" s="165"/>
      <c r="AB707" s="165"/>
      <c r="AC707" s="165"/>
      <c r="AD707" s="165"/>
      <c r="AE707" s="165"/>
      <c r="AF707" s="165"/>
      <c r="AG707" s="165"/>
      <c r="AH707" s="165"/>
      <c r="AI707" s="165"/>
      <c r="AJ707" s="165"/>
      <c r="AK707" s="165"/>
      <c r="AL707" s="165"/>
      <c r="AM707" s="165"/>
      <c r="AN707" s="165"/>
      <c r="AO707" s="165"/>
      <c r="AP707" s="165"/>
      <c r="AQ707" s="165"/>
      <c r="AR707" s="165"/>
      <c r="AS707" s="165"/>
      <c r="AT707" s="165"/>
      <c r="AU707" s="165"/>
      <c r="AV707" s="165"/>
      <c r="AW707" s="165"/>
      <c r="AX707" s="165"/>
    </row>
    <row r="708" ht="15.75" customHeight="1">
      <c r="A708" s="165"/>
      <c r="B708" s="165"/>
      <c r="C708" s="165"/>
      <c r="D708" s="165"/>
      <c r="E708" s="165"/>
      <c r="F708" s="165"/>
      <c r="G708" s="165"/>
      <c r="H708" s="165"/>
      <c r="I708" s="165"/>
      <c r="J708" s="165"/>
      <c r="K708" s="165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  <c r="AA708" s="165"/>
      <c r="AB708" s="165"/>
      <c r="AC708" s="165"/>
      <c r="AD708" s="165"/>
      <c r="AE708" s="165"/>
      <c r="AF708" s="165"/>
      <c r="AG708" s="165"/>
      <c r="AH708" s="165"/>
      <c r="AI708" s="165"/>
      <c r="AJ708" s="165"/>
      <c r="AK708" s="165"/>
      <c r="AL708" s="165"/>
      <c r="AM708" s="165"/>
      <c r="AN708" s="165"/>
      <c r="AO708" s="165"/>
      <c r="AP708" s="165"/>
      <c r="AQ708" s="165"/>
      <c r="AR708" s="165"/>
      <c r="AS708" s="165"/>
      <c r="AT708" s="165"/>
      <c r="AU708" s="165"/>
      <c r="AV708" s="165"/>
      <c r="AW708" s="165"/>
      <c r="AX708" s="165"/>
    </row>
    <row r="709" ht="15.75" customHeight="1">
      <c r="A709" s="165"/>
      <c r="B709" s="165"/>
      <c r="C709" s="165"/>
      <c r="D709" s="165"/>
      <c r="E709" s="165"/>
      <c r="F709" s="165"/>
      <c r="G709" s="165"/>
      <c r="H709" s="165"/>
      <c r="I709" s="165"/>
      <c r="J709" s="165"/>
      <c r="K709" s="165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  <c r="AA709" s="165"/>
      <c r="AB709" s="165"/>
      <c r="AC709" s="165"/>
      <c r="AD709" s="165"/>
      <c r="AE709" s="165"/>
      <c r="AF709" s="165"/>
      <c r="AG709" s="165"/>
      <c r="AH709" s="165"/>
      <c r="AI709" s="165"/>
      <c r="AJ709" s="165"/>
      <c r="AK709" s="165"/>
      <c r="AL709" s="165"/>
      <c r="AM709" s="165"/>
      <c r="AN709" s="165"/>
      <c r="AO709" s="165"/>
      <c r="AP709" s="165"/>
      <c r="AQ709" s="165"/>
      <c r="AR709" s="165"/>
      <c r="AS709" s="165"/>
      <c r="AT709" s="165"/>
      <c r="AU709" s="165"/>
      <c r="AV709" s="165"/>
      <c r="AW709" s="165"/>
      <c r="AX709" s="165"/>
    </row>
    <row r="710" ht="15.75" customHeight="1">
      <c r="A710" s="165"/>
      <c r="B710" s="165"/>
      <c r="C710" s="165"/>
      <c r="D710" s="165"/>
      <c r="E710" s="165"/>
      <c r="F710" s="165"/>
      <c r="G710" s="165"/>
      <c r="H710" s="165"/>
      <c r="I710" s="165"/>
      <c r="J710" s="165"/>
      <c r="K710" s="165"/>
      <c r="L710" s="165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  <c r="AA710" s="165"/>
      <c r="AB710" s="165"/>
      <c r="AC710" s="165"/>
      <c r="AD710" s="165"/>
      <c r="AE710" s="165"/>
      <c r="AF710" s="165"/>
      <c r="AG710" s="165"/>
      <c r="AH710" s="165"/>
      <c r="AI710" s="165"/>
      <c r="AJ710" s="165"/>
      <c r="AK710" s="165"/>
      <c r="AL710" s="165"/>
      <c r="AM710" s="165"/>
      <c r="AN710" s="165"/>
      <c r="AO710" s="165"/>
      <c r="AP710" s="165"/>
      <c r="AQ710" s="165"/>
      <c r="AR710" s="165"/>
      <c r="AS710" s="165"/>
      <c r="AT710" s="165"/>
      <c r="AU710" s="165"/>
      <c r="AV710" s="165"/>
      <c r="AW710" s="165"/>
      <c r="AX710" s="165"/>
    </row>
    <row r="711" ht="15.75" customHeight="1">
      <c r="A711" s="165"/>
      <c r="B711" s="165"/>
      <c r="C711" s="165"/>
      <c r="D711" s="165"/>
      <c r="E711" s="165"/>
      <c r="F711" s="165"/>
      <c r="G711" s="165"/>
      <c r="H711" s="165"/>
      <c r="I711" s="165"/>
      <c r="J711" s="165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  <c r="AA711" s="165"/>
      <c r="AB711" s="165"/>
      <c r="AC711" s="165"/>
      <c r="AD711" s="165"/>
      <c r="AE711" s="165"/>
      <c r="AF711" s="165"/>
      <c r="AG711" s="165"/>
      <c r="AH711" s="165"/>
      <c r="AI711" s="165"/>
      <c r="AJ711" s="165"/>
      <c r="AK711" s="165"/>
      <c r="AL711" s="165"/>
      <c r="AM711" s="165"/>
      <c r="AN711" s="165"/>
      <c r="AO711" s="165"/>
      <c r="AP711" s="165"/>
      <c r="AQ711" s="165"/>
      <c r="AR711" s="165"/>
      <c r="AS711" s="165"/>
      <c r="AT711" s="165"/>
      <c r="AU711" s="165"/>
      <c r="AV711" s="165"/>
      <c r="AW711" s="165"/>
      <c r="AX711" s="165"/>
    </row>
    <row r="712" ht="15.75" customHeight="1">
      <c r="A712" s="165"/>
      <c r="B712" s="165"/>
      <c r="C712" s="165"/>
      <c r="D712" s="165"/>
      <c r="E712" s="165"/>
      <c r="F712" s="165"/>
      <c r="G712" s="165"/>
      <c r="H712" s="165"/>
      <c r="I712" s="165"/>
      <c r="J712" s="165"/>
      <c r="K712" s="165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  <c r="AA712" s="165"/>
      <c r="AB712" s="165"/>
      <c r="AC712" s="165"/>
      <c r="AD712" s="165"/>
      <c r="AE712" s="165"/>
      <c r="AF712" s="165"/>
      <c r="AG712" s="165"/>
      <c r="AH712" s="165"/>
      <c r="AI712" s="165"/>
      <c r="AJ712" s="165"/>
      <c r="AK712" s="165"/>
      <c r="AL712" s="165"/>
      <c r="AM712" s="165"/>
      <c r="AN712" s="165"/>
      <c r="AO712" s="165"/>
      <c r="AP712" s="165"/>
      <c r="AQ712" s="165"/>
      <c r="AR712" s="165"/>
      <c r="AS712" s="165"/>
      <c r="AT712" s="165"/>
      <c r="AU712" s="165"/>
      <c r="AV712" s="165"/>
      <c r="AW712" s="165"/>
      <c r="AX712" s="165"/>
    </row>
    <row r="713" ht="15.75" customHeight="1">
      <c r="A713" s="165"/>
      <c r="B713" s="165"/>
      <c r="C713" s="165"/>
      <c r="D713" s="165"/>
      <c r="E713" s="165"/>
      <c r="F713" s="165"/>
      <c r="G713" s="165"/>
      <c r="H713" s="165"/>
      <c r="I713" s="165"/>
      <c r="J713" s="165"/>
      <c r="K713" s="165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  <c r="AA713" s="165"/>
      <c r="AB713" s="165"/>
      <c r="AC713" s="165"/>
      <c r="AD713" s="165"/>
      <c r="AE713" s="165"/>
      <c r="AF713" s="165"/>
      <c r="AG713" s="165"/>
      <c r="AH713" s="165"/>
      <c r="AI713" s="165"/>
      <c r="AJ713" s="165"/>
      <c r="AK713" s="165"/>
      <c r="AL713" s="165"/>
      <c r="AM713" s="165"/>
      <c r="AN713" s="165"/>
      <c r="AO713" s="165"/>
      <c r="AP713" s="165"/>
      <c r="AQ713" s="165"/>
      <c r="AR713" s="165"/>
      <c r="AS713" s="165"/>
      <c r="AT713" s="165"/>
      <c r="AU713" s="165"/>
      <c r="AV713" s="165"/>
      <c r="AW713" s="165"/>
      <c r="AX713" s="165"/>
    </row>
    <row r="714" ht="15.75" customHeight="1">
      <c r="A714" s="165"/>
      <c r="B714" s="165"/>
      <c r="C714" s="165"/>
      <c r="D714" s="165"/>
      <c r="E714" s="165"/>
      <c r="F714" s="165"/>
      <c r="G714" s="165"/>
      <c r="H714" s="165"/>
      <c r="I714" s="165"/>
      <c r="J714" s="165"/>
      <c r="K714" s="165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  <c r="AA714" s="165"/>
      <c r="AB714" s="165"/>
      <c r="AC714" s="165"/>
      <c r="AD714" s="165"/>
      <c r="AE714" s="165"/>
      <c r="AF714" s="165"/>
      <c r="AG714" s="165"/>
      <c r="AH714" s="165"/>
      <c r="AI714" s="165"/>
      <c r="AJ714" s="165"/>
      <c r="AK714" s="165"/>
      <c r="AL714" s="165"/>
      <c r="AM714" s="165"/>
      <c r="AN714" s="165"/>
      <c r="AO714" s="165"/>
      <c r="AP714" s="165"/>
      <c r="AQ714" s="165"/>
      <c r="AR714" s="165"/>
      <c r="AS714" s="165"/>
      <c r="AT714" s="165"/>
      <c r="AU714" s="165"/>
      <c r="AV714" s="165"/>
      <c r="AW714" s="165"/>
      <c r="AX714" s="165"/>
    </row>
    <row r="715" ht="15.75" customHeight="1">
      <c r="A715" s="165"/>
      <c r="B715" s="165"/>
      <c r="C715" s="165"/>
      <c r="D715" s="165"/>
      <c r="E715" s="165"/>
      <c r="F715" s="165"/>
      <c r="G715" s="165"/>
      <c r="H715" s="165"/>
      <c r="I715" s="165"/>
      <c r="J715" s="165"/>
      <c r="K715" s="165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  <c r="AA715" s="165"/>
      <c r="AB715" s="165"/>
      <c r="AC715" s="165"/>
      <c r="AD715" s="165"/>
      <c r="AE715" s="165"/>
      <c r="AF715" s="165"/>
      <c r="AG715" s="165"/>
      <c r="AH715" s="165"/>
      <c r="AI715" s="165"/>
      <c r="AJ715" s="165"/>
      <c r="AK715" s="165"/>
      <c r="AL715" s="165"/>
      <c r="AM715" s="165"/>
      <c r="AN715" s="165"/>
      <c r="AO715" s="165"/>
      <c r="AP715" s="165"/>
      <c r="AQ715" s="165"/>
      <c r="AR715" s="165"/>
      <c r="AS715" s="165"/>
      <c r="AT715" s="165"/>
      <c r="AU715" s="165"/>
      <c r="AV715" s="165"/>
      <c r="AW715" s="165"/>
      <c r="AX715" s="165"/>
    </row>
    <row r="716" ht="15.75" customHeight="1">
      <c r="A716" s="165"/>
      <c r="B716" s="165"/>
      <c r="C716" s="165"/>
      <c r="D716" s="165"/>
      <c r="E716" s="165"/>
      <c r="F716" s="165"/>
      <c r="G716" s="165"/>
      <c r="H716" s="165"/>
      <c r="I716" s="165"/>
      <c r="J716" s="165"/>
      <c r="K716" s="165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  <c r="AA716" s="165"/>
      <c r="AB716" s="165"/>
      <c r="AC716" s="165"/>
      <c r="AD716" s="165"/>
      <c r="AE716" s="165"/>
      <c r="AF716" s="165"/>
      <c r="AG716" s="165"/>
      <c r="AH716" s="165"/>
      <c r="AI716" s="165"/>
      <c r="AJ716" s="165"/>
      <c r="AK716" s="165"/>
      <c r="AL716" s="165"/>
      <c r="AM716" s="165"/>
      <c r="AN716" s="165"/>
      <c r="AO716" s="165"/>
      <c r="AP716" s="165"/>
      <c r="AQ716" s="165"/>
      <c r="AR716" s="165"/>
      <c r="AS716" s="165"/>
      <c r="AT716" s="165"/>
      <c r="AU716" s="165"/>
      <c r="AV716" s="165"/>
      <c r="AW716" s="165"/>
      <c r="AX716" s="165"/>
    </row>
    <row r="717" ht="15.75" customHeight="1">
      <c r="A717" s="165"/>
      <c r="B717" s="165"/>
      <c r="C717" s="165"/>
      <c r="D717" s="165"/>
      <c r="E717" s="165"/>
      <c r="F717" s="165"/>
      <c r="G717" s="165"/>
      <c r="H717" s="165"/>
      <c r="I717" s="165"/>
      <c r="J717" s="165"/>
      <c r="K717" s="165"/>
      <c r="L717" s="165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  <c r="AA717" s="165"/>
      <c r="AB717" s="165"/>
      <c r="AC717" s="165"/>
      <c r="AD717" s="165"/>
      <c r="AE717" s="165"/>
      <c r="AF717" s="165"/>
      <c r="AG717" s="165"/>
      <c r="AH717" s="165"/>
      <c r="AI717" s="165"/>
      <c r="AJ717" s="165"/>
      <c r="AK717" s="165"/>
      <c r="AL717" s="165"/>
      <c r="AM717" s="165"/>
      <c r="AN717" s="165"/>
      <c r="AO717" s="165"/>
      <c r="AP717" s="165"/>
      <c r="AQ717" s="165"/>
      <c r="AR717" s="165"/>
      <c r="AS717" s="165"/>
      <c r="AT717" s="165"/>
      <c r="AU717" s="165"/>
      <c r="AV717" s="165"/>
      <c r="AW717" s="165"/>
      <c r="AX717" s="165"/>
    </row>
    <row r="718" ht="15.75" customHeight="1">
      <c r="A718" s="165"/>
      <c r="B718" s="165"/>
      <c r="C718" s="165"/>
      <c r="D718" s="165"/>
      <c r="E718" s="165"/>
      <c r="F718" s="165"/>
      <c r="G718" s="165"/>
      <c r="H718" s="165"/>
      <c r="I718" s="165"/>
      <c r="J718" s="165"/>
      <c r="K718" s="165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  <c r="AA718" s="165"/>
      <c r="AB718" s="165"/>
      <c r="AC718" s="165"/>
      <c r="AD718" s="165"/>
      <c r="AE718" s="165"/>
      <c r="AF718" s="165"/>
      <c r="AG718" s="165"/>
      <c r="AH718" s="165"/>
      <c r="AI718" s="165"/>
      <c r="AJ718" s="165"/>
      <c r="AK718" s="165"/>
      <c r="AL718" s="165"/>
      <c r="AM718" s="165"/>
      <c r="AN718" s="165"/>
      <c r="AO718" s="165"/>
      <c r="AP718" s="165"/>
      <c r="AQ718" s="165"/>
      <c r="AR718" s="165"/>
      <c r="AS718" s="165"/>
      <c r="AT718" s="165"/>
      <c r="AU718" s="165"/>
      <c r="AV718" s="165"/>
      <c r="AW718" s="165"/>
      <c r="AX718" s="165"/>
    </row>
    <row r="719" ht="15.75" customHeight="1">
      <c r="A719" s="165"/>
      <c r="B719" s="165"/>
      <c r="C719" s="165"/>
      <c r="D719" s="165"/>
      <c r="E719" s="165"/>
      <c r="F719" s="165"/>
      <c r="G719" s="165"/>
      <c r="H719" s="165"/>
      <c r="I719" s="165"/>
      <c r="J719" s="165"/>
      <c r="K719" s="165"/>
      <c r="L719" s="165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  <c r="AA719" s="165"/>
      <c r="AB719" s="165"/>
      <c r="AC719" s="165"/>
      <c r="AD719" s="165"/>
      <c r="AE719" s="165"/>
      <c r="AF719" s="165"/>
      <c r="AG719" s="165"/>
      <c r="AH719" s="165"/>
      <c r="AI719" s="165"/>
      <c r="AJ719" s="165"/>
      <c r="AK719" s="165"/>
      <c r="AL719" s="165"/>
      <c r="AM719" s="165"/>
      <c r="AN719" s="165"/>
      <c r="AO719" s="165"/>
      <c r="AP719" s="165"/>
      <c r="AQ719" s="165"/>
      <c r="AR719" s="165"/>
      <c r="AS719" s="165"/>
      <c r="AT719" s="165"/>
      <c r="AU719" s="165"/>
      <c r="AV719" s="165"/>
      <c r="AW719" s="165"/>
      <c r="AX719" s="165"/>
    </row>
    <row r="720" ht="15.75" customHeight="1">
      <c r="A720" s="165"/>
      <c r="B720" s="165"/>
      <c r="C720" s="165"/>
      <c r="D720" s="165"/>
      <c r="E720" s="165"/>
      <c r="F720" s="165"/>
      <c r="G720" s="165"/>
      <c r="H720" s="165"/>
      <c r="I720" s="165"/>
      <c r="J720" s="165"/>
      <c r="K720" s="165"/>
      <c r="L720" s="165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  <c r="AA720" s="165"/>
      <c r="AB720" s="165"/>
      <c r="AC720" s="165"/>
      <c r="AD720" s="165"/>
      <c r="AE720" s="165"/>
      <c r="AF720" s="165"/>
      <c r="AG720" s="165"/>
      <c r="AH720" s="165"/>
      <c r="AI720" s="165"/>
      <c r="AJ720" s="165"/>
      <c r="AK720" s="165"/>
      <c r="AL720" s="165"/>
      <c r="AM720" s="165"/>
      <c r="AN720" s="165"/>
      <c r="AO720" s="165"/>
      <c r="AP720" s="165"/>
      <c r="AQ720" s="165"/>
      <c r="AR720" s="165"/>
      <c r="AS720" s="165"/>
      <c r="AT720" s="165"/>
      <c r="AU720" s="165"/>
      <c r="AV720" s="165"/>
      <c r="AW720" s="165"/>
      <c r="AX720" s="165"/>
    </row>
    <row r="721" ht="15.75" customHeight="1">
      <c r="A721" s="165"/>
      <c r="B721" s="165"/>
      <c r="C721" s="165"/>
      <c r="D721" s="165"/>
      <c r="E721" s="165"/>
      <c r="F721" s="165"/>
      <c r="G721" s="165"/>
      <c r="H721" s="165"/>
      <c r="I721" s="165"/>
      <c r="J721" s="165"/>
      <c r="K721" s="165"/>
      <c r="L721" s="165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  <c r="AA721" s="165"/>
      <c r="AB721" s="165"/>
      <c r="AC721" s="165"/>
      <c r="AD721" s="165"/>
      <c r="AE721" s="165"/>
      <c r="AF721" s="165"/>
      <c r="AG721" s="165"/>
      <c r="AH721" s="165"/>
      <c r="AI721" s="165"/>
      <c r="AJ721" s="165"/>
      <c r="AK721" s="165"/>
      <c r="AL721" s="165"/>
      <c r="AM721" s="165"/>
      <c r="AN721" s="165"/>
      <c r="AO721" s="165"/>
      <c r="AP721" s="165"/>
      <c r="AQ721" s="165"/>
      <c r="AR721" s="165"/>
      <c r="AS721" s="165"/>
      <c r="AT721" s="165"/>
      <c r="AU721" s="165"/>
      <c r="AV721" s="165"/>
      <c r="AW721" s="165"/>
      <c r="AX721" s="165"/>
    </row>
    <row r="722" ht="15.75" customHeight="1">
      <c r="A722" s="165"/>
      <c r="B722" s="165"/>
      <c r="C722" s="165"/>
      <c r="D722" s="165"/>
      <c r="E722" s="165"/>
      <c r="F722" s="165"/>
      <c r="G722" s="165"/>
      <c r="H722" s="165"/>
      <c r="I722" s="165"/>
      <c r="J722" s="165"/>
      <c r="K722" s="165"/>
      <c r="L722" s="165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  <c r="AA722" s="165"/>
      <c r="AB722" s="165"/>
      <c r="AC722" s="165"/>
      <c r="AD722" s="165"/>
      <c r="AE722" s="165"/>
      <c r="AF722" s="165"/>
      <c r="AG722" s="165"/>
      <c r="AH722" s="165"/>
      <c r="AI722" s="165"/>
      <c r="AJ722" s="165"/>
      <c r="AK722" s="165"/>
      <c r="AL722" s="165"/>
      <c r="AM722" s="165"/>
      <c r="AN722" s="165"/>
      <c r="AO722" s="165"/>
      <c r="AP722" s="165"/>
      <c r="AQ722" s="165"/>
      <c r="AR722" s="165"/>
      <c r="AS722" s="165"/>
      <c r="AT722" s="165"/>
      <c r="AU722" s="165"/>
      <c r="AV722" s="165"/>
      <c r="AW722" s="165"/>
      <c r="AX722" s="165"/>
    </row>
    <row r="723" ht="15.75" customHeight="1">
      <c r="A723" s="165"/>
      <c r="B723" s="165"/>
      <c r="C723" s="165"/>
      <c r="D723" s="165"/>
      <c r="E723" s="165"/>
      <c r="F723" s="165"/>
      <c r="G723" s="165"/>
      <c r="H723" s="165"/>
      <c r="I723" s="165"/>
      <c r="J723" s="165"/>
      <c r="K723" s="165"/>
      <c r="L723" s="165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  <c r="AA723" s="165"/>
      <c r="AB723" s="165"/>
      <c r="AC723" s="165"/>
      <c r="AD723" s="165"/>
      <c r="AE723" s="165"/>
      <c r="AF723" s="165"/>
      <c r="AG723" s="165"/>
      <c r="AH723" s="165"/>
      <c r="AI723" s="165"/>
      <c r="AJ723" s="165"/>
      <c r="AK723" s="165"/>
      <c r="AL723" s="165"/>
      <c r="AM723" s="165"/>
      <c r="AN723" s="165"/>
      <c r="AO723" s="165"/>
      <c r="AP723" s="165"/>
      <c r="AQ723" s="165"/>
      <c r="AR723" s="165"/>
      <c r="AS723" s="165"/>
      <c r="AT723" s="165"/>
      <c r="AU723" s="165"/>
      <c r="AV723" s="165"/>
      <c r="AW723" s="165"/>
      <c r="AX723" s="165"/>
    </row>
    <row r="724" ht="15.75" customHeight="1">
      <c r="A724" s="165"/>
      <c r="B724" s="165"/>
      <c r="C724" s="165"/>
      <c r="D724" s="165"/>
      <c r="E724" s="165"/>
      <c r="F724" s="165"/>
      <c r="G724" s="165"/>
      <c r="H724" s="165"/>
      <c r="I724" s="165"/>
      <c r="J724" s="165"/>
      <c r="K724" s="165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  <c r="AA724" s="165"/>
      <c r="AB724" s="165"/>
      <c r="AC724" s="165"/>
      <c r="AD724" s="165"/>
      <c r="AE724" s="165"/>
      <c r="AF724" s="165"/>
      <c r="AG724" s="165"/>
      <c r="AH724" s="165"/>
      <c r="AI724" s="165"/>
      <c r="AJ724" s="165"/>
      <c r="AK724" s="165"/>
      <c r="AL724" s="165"/>
      <c r="AM724" s="165"/>
      <c r="AN724" s="165"/>
      <c r="AO724" s="165"/>
      <c r="AP724" s="165"/>
      <c r="AQ724" s="165"/>
      <c r="AR724" s="165"/>
      <c r="AS724" s="165"/>
      <c r="AT724" s="165"/>
      <c r="AU724" s="165"/>
      <c r="AV724" s="165"/>
      <c r="AW724" s="165"/>
      <c r="AX724" s="165"/>
    </row>
    <row r="725" ht="15.75" customHeight="1">
      <c r="A725" s="165"/>
      <c r="B725" s="165"/>
      <c r="C725" s="165"/>
      <c r="D725" s="165"/>
      <c r="E725" s="165"/>
      <c r="F725" s="165"/>
      <c r="G725" s="165"/>
      <c r="H725" s="165"/>
      <c r="I725" s="165"/>
      <c r="J725" s="165"/>
      <c r="K725" s="165"/>
      <c r="L725" s="165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  <c r="AA725" s="165"/>
      <c r="AB725" s="165"/>
      <c r="AC725" s="165"/>
      <c r="AD725" s="165"/>
      <c r="AE725" s="165"/>
      <c r="AF725" s="165"/>
      <c r="AG725" s="165"/>
      <c r="AH725" s="165"/>
      <c r="AI725" s="165"/>
      <c r="AJ725" s="165"/>
      <c r="AK725" s="165"/>
      <c r="AL725" s="165"/>
      <c r="AM725" s="165"/>
      <c r="AN725" s="165"/>
      <c r="AO725" s="165"/>
      <c r="AP725" s="165"/>
      <c r="AQ725" s="165"/>
      <c r="AR725" s="165"/>
      <c r="AS725" s="165"/>
      <c r="AT725" s="165"/>
      <c r="AU725" s="165"/>
      <c r="AV725" s="165"/>
      <c r="AW725" s="165"/>
      <c r="AX725" s="165"/>
    </row>
    <row r="726" ht="15.75" customHeight="1">
      <c r="A726" s="165"/>
      <c r="B726" s="165"/>
      <c r="C726" s="165"/>
      <c r="D726" s="165"/>
      <c r="E726" s="165"/>
      <c r="F726" s="165"/>
      <c r="G726" s="165"/>
      <c r="H726" s="165"/>
      <c r="I726" s="165"/>
      <c r="J726" s="165"/>
      <c r="K726" s="165"/>
      <c r="L726" s="165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  <c r="AA726" s="165"/>
      <c r="AB726" s="165"/>
      <c r="AC726" s="165"/>
      <c r="AD726" s="165"/>
      <c r="AE726" s="165"/>
      <c r="AF726" s="165"/>
      <c r="AG726" s="165"/>
      <c r="AH726" s="165"/>
      <c r="AI726" s="165"/>
      <c r="AJ726" s="165"/>
      <c r="AK726" s="165"/>
      <c r="AL726" s="165"/>
      <c r="AM726" s="165"/>
      <c r="AN726" s="165"/>
      <c r="AO726" s="165"/>
      <c r="AP726" s="165"/>
      <c r="AQ726" s="165"/>
      <c r="AR726" s="165"/>
      <c r="AS726" s="165"/>
      <c r="AT726" s="165"/>
      <c r="AU726" s="165"/>
      <c r="AV726" s="165"/>
      <c r="AW726" s="165"/>
      <c r="AX726" s="165"/>
    </row>
    <row r="727" ht="15.75" customHeight="1">
      <c r="A727" s="165"/>
      <c r="B727" s="165"/>
      <c r="C727" s="165"/>
      <c r="D727" s="165"/>
      <c r="E727" s="165"/>
      <c r="F727" s="165"/>
      <c r="G727" s="165"/>
      <c r="H727" s="165"/>
      <c r="I727" s="165"/>
      <c r="J727" s="165"/>
      <c r="K727" s="165"/>
      <c r="L727" s="165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  <c r="AA727" s="165"/>
      <c r="AB727" s="165"/>
      <c r="AC727" s="165"/>
      <c r="AD727" s="165"/>
      <c r="AE727" s="165"/>
      <c r="AF727" s="165"/>
      <c r="AG727" s="165"/>
      <c r="AH727" s="165"/>
      <c r="AI727" s="165"/>
      <c r="AJ727" s="165"/>
      <c r="AK727" s="165"/>
      <c r="AL727" s="165"/>
      <c r="AM727" s="165"/>
      <c r="AN727" s="165"/>
      <c r="AO727" s="165"/>
      <c r="AP727" s="165"/>
      <c r="AQ727" s="165"/>
      <c r="AR727" s="165"/>
      <c r="AS727" s="165"/>
      <c r="AT727" s="165"/>
      <c r="AU727" s="165"/>
      <c r="AV727" s="165"/>
      <c r="AW727" s="165"/>
      <c r="AX727" s="165"/>
    </row>
    <row r="728" ht="15.75" customHeight="1">
      <c r="A728" s="165"/>
      <c r="B728" s="165"/>
      <c r="C728" s="165"/>
      <c r="D728" s="165"/>
      <c r="E728" s="165"/>
      <c r="F728" s="165"/>
      <c r="G728" s="165"/>
      <c r="H728" s="165"/>
      <c r="I728" s="165"/>
      <c r="J728" s="165"/>
      <c r="K728" s="165"/>
      <c r="L728" s="165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  <c r="AA728" s="165"/>
      <c r="AB728" s="165"/>
      <c r="AC728" s="165"/>
      <c r="AD728" s="165"/>
      <c r="AE728" s="165"/>
      <c r="AF728" s="165"/>
      <c r="AG728" s="165"/>
      <c r="AH728" s="165"/>
      <c r="AI728" s="165"/>
      <c r="AJ728" s="165"/>
      <c r="AK728" s="165"/>
      <c r="AL728" s="165"/>
      <c r="AM728" s="165"/>
      <c r="AN728" s="165"/>
      <c r="AO728" s="165"/>
      <c r="AP728" s="165"/>
      <c r="AQ728" s="165"/>
      <c r="AR728" s="165"/>
      <c r="AS728" s="165"/>
      <c r="AT728" s="165"/>
      <c r="AU728" s="165"/>
      <c r="AV728" s="165"/>
      <c r="AW728" s="165"/>
      <c r="AX728" s="165"/>
    </row>
    <row r="729" ht="15.75" customHeight="1">
      <c r="A729" s="165"/>
      <c r="B729" s="165"/>
      <c r="C729" s="165"/>
      <c r="D729" s="165"/>
      <c r="E729" s="165"/>
      <c r="F729" s="165"/>
      <c r="G729" s="165"/>
      <c r="H729" s="165"/>
      <c r="I729" s="165"/>
      <c r="J729" s="165"/>
      <c r="K729" s="165"/>
      <c r="L729" s="165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  <c r="AA729" s="165"/>
      <c r="AB729" s="165"/>
      <c r="AC729" s="165"/>
      <c r="AD729" s="165"/>
      <c r="AE729" s="165"/>
      <c r="AF729" s="165"/>
      <c r="AG729" s="165"/>
      <c r="AH729" s="165"/>
      <c r="AI729" s="165"/>
      <c r="AJ729" s="165"/>
      <c r="AK729" s="165"/>
      <c r="AL729" s="165"/>
      <c r="AM729" s="165"/>
      <c r="AN729" s="165"/>
      <c r="AO729" s="165"/>
      <c r="AP729" s="165"/>
      <c r="AQ729" s="165"/>
      <c r="AR729" s="165"/>
      <c r="AS729" s="165"/>
      <c r="AT729" s="165"/>
      <c r="AU729" s="165"/>
      <c r="AV729" s="165"/>
      <c r="AW729" s="165"/>
      <c r="AX729" s="165"/>
    </row>
    <row r="730" ht="15.75" customHeight="1">
      <c r="A730" s="165"/>
      <c r="B730" s="165"/>
      <c r="C730" s="165"/>
      <c r="D730" s="165"/>
      <c r="E730" s="165"/>
      <c r="F730" s="165"/>
      <c r="G730" s="165"/>
      <c r="H730" s="165"/>
      <c r="I730" s="165"/>
      <c r="J730" s="165"/>
      <c r="K730" s="165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  <c r="AA730" s="165"/>
      <c r="AB730" s="165"/>
      <c r="AC730" s="165"/>
      <c r="AD730" s="165"/>
      <c r="AE730" s="165"/>
      <c r="AF730" s="165"/>
      <c r="AG730" s="165"/>
      <c r="AH730" s="165"/>
      <c r="AI730" s="165"/>
      <c r="AJ730" s="165"/>
      <c r="AK730" s="165"/>
      <c r="AL730" s="165"/>
      <c r="AM730" s="165"/>
      <c r="AN730" s="165"/>
      <c r="AO730" s="165"/>
      <c r="AP730" s="165"/>
      <c r="AQ730" s="165"/>
      <c r="AR730" s="165"/>
      <c r="AS730" s="165"/>
      <c r="AT730" s="165"/>
      <c r="AU730" s="165"/>
      <c r="AV730" s="165"/>
      <c r="AW730" s="165"/>
      <c r="AX730" s="165"/>
    </row>
    <row r="731" ht="15.75" customHeight="1">
      <c r="A731" s="165"/>
      <c r="B731" s="165"/>
      <c r="C731" s="165"/>
      <c r="D731" s="165"/>
      <c r="E731" s="165"/>
      <c r="F731" s="165"/>
      <c r="G731" s="165"/>
      <c r="H731" s="165"/>
      <c r="I731" s="165"/>
      <c r="J731" s="165"/>
      <c r="K731" s="165"/>
      <c r="L731" s="165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  <c r="AA731" s="165"/>
      <c r="AB731" s="165"/>
      <c r="AC731" s="165"/>
      <c r="AD731" s="165"/>
      <c r="AE731" s="165"/>
      <c r="AF731" s="165"/>
      <c r="AG731" s="165"/>
      <c r="AH731" s="165"/>
      <c r="AI731" s="165"/>
      <c r="AJ731" s="165"/>
      <c r="AK731" s="165"/>
      <c r="AL731" s="165"/>
      <c r="AM731" s="165"/>
      <c r="AN731" s="165"/>
      <c r="AO731" s="165"/>
      <c r="AP731" s="165"/>
      <c r="AQ731" s="165"/>
      <c r="AR731" s="165"/>
      <c r="AS731" s="165"/>
      <c r="AT731" s="165"/>
      <c r="AU731" s="165"/>
      <c r="AV731" s="165"/>
      <c r="AW731" s="165"/>
      <c r="AX731" s="165"/>
    </row>
    <row r="732" ht="15.75" customHeight="1">
      <c r="A732" s="165"/>
      <c r="B732" s="165"/>
      <c r="C732" s="165"/>
      <c r="D732" s="165"/>
      <c r="E732" s="165"/>
      <c r="F732" s="165"/>
      <c r="G732" s="165"/>
      <c r="H732" s="165"/>
      <c r="I732" s="165"/>
      <c r="J732" s="165"/>
      <c r="K732" s="165"/>
      <c r="L732" s="165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  <c r="AA732" s="165"/>
      <c r="AB732" s="165"/>
      <c r="AC732" s="165"/>
      <c r="AD732" s="165"/>
      <c r="AE732" s="165"/>
      <c r="AF732" s="165"/>
      <c r="AG732" s="165"/>
      <c r="AH732" s="165"/>
      <c r="AI732" s="165"/>
      <c r="AJ732" s="165"/>
      <c r="AK732" s="165"/>
      <c r="AL732" s="165"/>
      <c r="AM732" s="165"/>
      <c r="AN732" s="165"/>
      <c r="AO732" s="165"/>
      <c r="AP732" s="165"/>
      <c r="AQ732" s="165"/>
      <c r="AR732" s="165"/>
      <c r="AS732" s="165"/>
      <c r="AT732" s="165"/>
      <c r="AU732" s="165"/>
      <c r="AV732" s="165"/>
      <c r="AW732" s="165"/>
      <c r="AX732" s="165"/>
    </row>
    <row r="733" ht="15.75" customHeight="1">
      <c r="A733" s="165"/>
      <c r="B733" s="165"/>
      <c r="C733" s="165"/>
      <c r="D733" s="165"/>
      <c r="E733" s="165"/>
      <c r="F733" s="165"/>
      <c r="G733" s="165"/>
      <c r="H733" s="165"/>
      <c r="I733" s="165"/>
      <c r="J733" s="165"/>
      <c r="K733" s="165"/>
      <c r="L733" s="165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  <c r="AA733" s="165"/>
      <c r="AB733" s="165"/>
      <c r="AC733" s="165"/>
      <c r="AD733" s="165"/>
      <c r="AE733" s="165"/>
      <c r="AF733" s="165"/>
      <c r="AG733" s="165"/>
      <c r="AH733" s="165"/>
      <c r="AI733" s="165"/>
      <c r="AJ733" s="165"/>
      <c r="AK733" s="165"/>
      <c r="AL733" s="165"/>
      <c r="AM733" s="165"/>
      <c r="AN733" s="165"/>
      <c r="AO733" s="165"/>
      <c r="AP733" s="165"/>
      <c r="AQ733" s="165"/>
      <c r="AR733" s="165"/>
      <c r="AS733" s="165"/>
      <c r="AT733" s="165"/>
      <c r="AU733" s="165"/>
      <c r="AV733" s="165"/>
      <c r="AW733" s="165"/>
      <c r="AX733" s="165"/>
    </row>
    <row r="734" ht="15.75" customHeight="1">
      <c r="A734" s="165"/>
      <c r="B734" s="165"/>
      <c r="C734" s="165"/>
      <c r="D734" s="165"/>
      <c r="E734" s="165"/>
      <c r="F734" s="165"/>
      <c r="G734" s="165"/>
      <c r="H734" s="165"/>
      <c r="I734" s="165"/>
      <c r="J734" s="165"/>
      <c r="K734" s="165"/>
      <c r="L734" s="165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  <c r="AA734" s="165"/>
      <c r="AB734" s="165"/>
      <c r="AC734" s="165"/>
      <c r="AD734" s="165"/>
      <c r="AE734" s="165"/>
      <c r="AF734" s="165"/>
      <c r="AG734" s="165"/>
      <c r="AH734" s="165"/>
      <c r="AI734" s="165"/>
      <c r="AJ734" s="165"/>
      <c r="AK734" s="165"/>
      <c r="AL734" s="165"/>
      <c r="AM734" s="165"/>
      <c r="AN734" s="165"/>
      <c r="AO734" s="165"/>
      <c r="AP734" s="165"/>
      <c r="AQ734" s="165"/>
      <c r="AR734" s="165"/>
      <c r="AS734" s="165"/>
      <c r="AT734" s="165"/>
      <c r="AU734" s="165"/>
      <c r="AV734" s="165"/>
      <c r="AW734" s="165"/>
      <c r="AX734" s="165"/>
    </row>
    <row r="735" ht="15.75" customHeight="1">
      <c r="A735" s="165"/>
      <c r="B735" s="165"/>
      <c r="C735" s="165"/>
      <c r="D735" s="165"/>
      <c r="E735" s="165"/>
      <c r="F735" s="165"/>
      <c r="G735" s="165"/>
      <c r="H735" s="165"/>
      <c r="I735" s="165"/>
      <c r="J735" s="165"/>
      <c r="K735" s="165"/>
      <c r="L735" s="165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  <c r="AA735" s="165"/>
      <c r="AB735" s="165"/>
      <c r="AC735" s="165"/>
      <c r="AD735" s="165"/>
      <c r="AE735" s="165"/>
      <c r="AF735" s="165"/>
      <c r="AG735" s="165"/>
      <c r="AH735" s="165"/>
      <c r="AI735" s="165"/>
      <c r="AJ735" s="165"/>
      <c r="AK735" s="165"/>
      <c r="AL735" s="165"/>
      <c r="AM735" s="165"/>
      <c r="AN735" s="165"/>
      <c r="AO735" s="165"/>
      <c r="AP735" s="165"/>
      <c r="AQ735" s="165"/>
      <c r="AR735" s="165"/>
      <c r="AS735" s="165"/>
      <c r="AT735" s="165"/>
      <c r="AU735" s="165"/>
      <c r="AV735" s="165"/>
      <c r="AW735" s="165"/>
      <c r="AX735" s="165"/>
    </row>
    <row r="736" ht="15.75" customHeight="1">
      <c r="A736" s="165"/>
      <c r="B736" s="165"/>
      <c r="C736" s="165"/>
      <c r="D736" s="165"/>
      <c r="E736" s="165"/>
      <c r="F736" s="165"/>
      <c r="G736" s="165"/>
      <c r="H736" s="165"/>
      <c r="I736" s="165"/>
      <c r="J736" s="165"/>
      <c r="K736" s="165"/>
      <c r="L736" s="165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  <c r="AA736" s="165"/>
      <c r="AB736" s="165"/>
      <c r="AC736" s="165"/>
      <c r="AD736" s="165"/>
      <c r="AE736" s="165"/>
      <c r="AF736" s="165"/>
      <c r="AG736" s="165"/>
      <c r="AH736" s="165"/>
      <c r="AI736" s="165"/>
      <c r="AJ736" s="165"/>
      <c r="AK736" s="165"/>
      <c r="AL736" s="165"/>
      <c r="AM736" s="165"/>
      <c r="AN736" s="165"/>
      <c r="AO736" s="165"/>
      <c r="AP736" s="165"/>
      <c r="AQ736" s="165"/>
      <c r="AR736" s="165"/>
      <c r="AS736" s="165"/>
      <c r="AT736" s="165"/>
      <c r="AU736" s="165"/>
      <c r="AV736" s="165"/>
      <c r="AW736" s="165"/>
      <c r="AX736" s="165"/>
    </row>
    <row r="737" ht="15.75" customHeight="1">
      <c r="A737" s="165"/>
      <c r="B737" s="165"/>
      <c r="C737" s="165"/>
      <c r="D737" s="165"/>
      <c r="E737" s="165"/>
      <c r="F737" s="165"/>
      <c r="G737" s="165"/>
      <c r="H737" s="165"/>
      <c r="I737" s="165"/>
      <c r="J737" s="165"/>
      <c r="K737" s="165"/>
      <c r="L737" s="165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  <c r="AA737" s="165"/>
      <c r="AB737" s="165"/>
      <c r="AC737" s="165"/>
      <c r="AD737" s="165"/>
      <c r="AE737" s="165"/>
      <c r="AF737" s="165"/>
      <c r="AG737" s="165"/>
      <c r="AH737" s="165"/>
      <c r="AI737" s="165"/>
      <c r="AJ737" s="165"/>
      <c r="AK737" s="165"/>
      <c r="AL737" s="165"/>
      <c r="AM737" s="165"/>
      <c r="AN737" s="165"/>
      <c r="AO737" s="165"/>
      <c r="AP737" s="165"/>
      <c r="AQ737" s="165"/>
      <c r="AR737" s="165"/>
      <c r="AS737" s="165"/>
      <c r="AT737" s="165"/>
      <c r="AU737" s="165"/>
      <c r="AV737" s="165"/>
      <c r="AW737" s="165"/>
      <c r="AX737" s="165"/>
    </row>
    <row r="738" ht="15.75" customHeight="1">
      <c r="A738" s="165"/>
      <c r="B738" s="165"/>
      <c r="C738" s="165"/>
      <c r="D738" s="165"/>
      <c r="E738" s="165"/>
      <c r="F738" s="165"/>
      <c r="G738" s="165"/>
      <c r="H738" s="165"/>
      <c r="I738" s="165"/>
      <c r="J738" s="165"/>
      <c r="K738" s="165"/>
      <c r="L738" s="165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  <c r="AA738" s="165"/>
      <c r="AB738" s="165"/>
      <c r="AC738" s="165"/>
      <c r="AD738" s="165"/>
      <c r="AE738" s="165"/>
      <c r="AF738" s="165"/>
      <c r="AG738" s="165"/>
      <c r="AH738" s="165"/>
      <c r="AI738" s="165"/>
      <c r="AJ738" s="165"/>
      <c r="AK738" s="165"/>
      <c r="AL738" s="165"/>
      <c r="AM738" s="165"/>
      <c r="AN738" s="165"/>
      <c r="AO738" s="165"/>
      <c r="AP738" s="165"/>
      <c r="AQ738" s="165"/>
      <c r="AR738" s="165"/>
      <c r="AS738" s="165"/>
      <c r="AT738" s="165"/>
      <c r="AU738" s="165"/>
      <c r="AV738" s="165"/>
      <c r="AW738" s="165"/>
      <c r="AX738" s="165"/>
    </row>
    <row r="739" ht="15.75" customHeight="1">
      <c r="A739" s="165"/>
      <c r="B739" s="165"/>
      <c r="C739" s="165"/>
      <c r="D739" s="165"/>
      <c r="E739" s="165"/>
      <c r="F739" s="165"/>
      <c r="G739" s="165"/>
      <c r="H739" s="165"/>
      <c r="I739" s="165"/>
      <c r="J739" s="165"/>
      <c r="K739" s="165"/>
      <c r="L739" s="165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  <c r="AA739" s="165"/>
      <c r="AB739" s="165"/>
      <c r="AC739" s="165"/>
      <c r="AD739" s="165"/>
      <c r="AE739" s="165"/>
      <c r="AF739" s="165"/>
      <c r="AG739" s="165"/>
      <c r="AH739" s="165"/>
      <c r="AI739" s="165"/>
      <c r="AJ739" s="165"/>
      <c r="AK739" s="165"/>
      <c r="AL739" s="165"/>
      <c r="AM739" s="165"/>
      <c r="AN739" s="165"/>
      <c r="AO739" s="165"/>
      <c r="AP739" s="165"/>
      <c r="AQ739" s="165"/>
      <c r="AR739" s="165"/>
      <c r="AS739" s="165"/>
      <c r="AT739" s="165"/>
      <c r="AU739" s="165"/>
      <c r="AV739" s="165"/>
      <c r="AW739" s="165"/>
      <c r="AX739" s="165"/>
    </row>
    <row r="740" ht="15.75" customHeight="1">
      <c r="A740" s="165"/>
      <c r="B740" s="165"/>
      <c r="C740" s="165"/>
      <c r="D740" s="165"/>
      <c r="E740" s="165"/>
      <c r="F740" s="165"/>
      <c r="G740" s="165"/>
      <c r="H740" s="165"/>
      <c r="I740" s="165"/>
      <c r="J740" s="165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  <c r="AA740" s="165"/>
      <c r="AB740" s="165"/>
      <c r="AC740" s="165"/>
      <c r="AD740" s="165"/>
      <c r="AE740" s="165"/>
      <c r="AF740" s="165"/>
      <c r="AG740" s="165"/>
      <c r="AH740" s="165"/>
      <c r="AI740" s="165"/>
      <c r="AJ740" s="165"/>
      <c r="AK740" s="165"/>
      <c r="AL740" s="165"/>
      <c r="AM740" s="165"/>
      <c r="AN740" s="165"/>
      <c r="AO740" s="165"/>
      <c r="AP740" s="165"/>
      <c r="AQ740" s="165"/>
      <c r="AR740" s="165"/>
      <c r="AS740" s="165"/>
      <c r="AT740" s="165"/>
      <c r="AU740" s="165"/>
      <c r="AV740" s="165"/>
      <c r="AW740" s="165"/>
      <c r="AX740" s="165"/>
    </row>
    <row r="741" ht="15.75" customHeight="1">
      <c r="A741" s="165"/>
      <c r="B741" s="165"/>
      <c r="C741" s="165"/>
      <c r="D741" s="165"/>
      <c r="E741" s="165"/>
      <c r="F741" s="165"/>
      <c r="G741" s="165"/>
      <c r="H741" s="165"/>
      <c r="I741" s="165"/>
      <c r="J741" s="165"/>
      <c r="K741" s="165"/>
      <c r="L741" s="165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  <c r="AA741" s="165"/>
      <c r="AB741" s="165"/>
      <c r="AC741" s="165"/>
      <c r="AD741" s="165"/>
      <c r="AE741" s="165"/>
      <c r="AF741" s="165"/>
      <c r="AG741" s="165"/>
      <c r="AH741" s="165"/>
      <c r="AI741" s="165"/>
      <c r="AJ741" s="165"/>
      <c r="AK741" s="165"/>
      <c r="AL741" s="165"/>
      <c r="AM741" s="165"/>
      <c r="AN741" s="165"/>
      <c r="AO741" s="165"/>
      <c r="AP741" s="165"/>
      <c r="AQ741" s="165"/>
      <c r="AR741" s="165"/>
      <c r="AS741" s="165"/>
      <c r="AT741" s="165"/>
      <c r="AU741" s="165"/>
      <c r="AV741" s="165"/>
      <c r="AW741" s="165"/>
      <c r="AX741" s="165"/>
    </row>
    <row r="742" ht="15.75" customHeight="1">
      <c r="A742" s="165"/>
      <c r="B742" s="165"/>
      <c r="C742" s="165"/>
      <c r="D742" s="165"/>
      <c r="E742" s="165"/>
      <c r="F742" s="165"/>
      <c r="G742" s="165"/>
      <c r="H742" s="165"/>
      <c r="I742" s="165"/>
      <c r="J742" s="165"/>
      <c r="K742" s="165"/>
      <c r="L742" s="165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  <c r="AA742" s="165"/>
      <c r="AB742" s="165"/>
      <c r="AC742" s="165"/>
      <c r="AD742" s="165"/>
      <c r="AE742" s="165"/>
      <c r="AF742" s="165"/>
      <c r="AG742" s="165"/>
      <c r="AH742" s="165"/>
      <c r="AI742" s="165"/>
      <c r="AJ742" s="165"/>
      <c r="AK742" s="165"/>
      <c r="AL742" s="165"/>
      <c r="AM742" s="165"/>
      <c r="AN742" s="165"/>
      <c r="AO742" s="165"/>
      <c r="AP742" s="165"/>
      <c r="AQ742" s="165"/>
      <c r="AR742" s="165"/>
      <c r="AS742" s="165"/>
      <c r="AT742" s="165"/>
      <c r="AU742" s="165"/>
      <c r="AV742" s="165"/>
      <c r="AW742" s="165"/>
      <c r="AX742" s="165"/>
    </row>
    <row r="743" ht="15.75" customHeight="1">
      <c r="A743" s="165"/>
      <c r="B743" s="165"/>
      <c r="C743" s="165"/>
      <c r="D743" s="165"/>
      <c r="E743" s="165"/>
      <c r="F743" s="165"/>
      <c r="G743" s="165"/>
      <c r="H743" s="165"/>
      <c r="I743" s="165"/>
      <c r="J743" s="165"/>
      <c r="K743" s="165"/>
      <c r="L743" s="165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  <c r="AA743" s="165"/>
      <c r="AB743" s="165"/>
      <c r="AC743" s="165"/>
      <c r="AD743" s="165"/>
      <c r="AE743" s="165"/>
      <c r="AF743" s="165"/>
      <c r="AG743" s="165"/>
      <c r="AH743" s="165"/>
      <c r="AI743" s="165"/>
      <c r="AJ743" s="165"/>
      <c r="AK743" s="165"/>
      <c r="AL743" s="165"/>
      <c r="AM743" s="165"/>
      <c r="AN743" s="165"/>
      <c r="AO743" s="165"/>
      <c r="AP743" s="165"/>
      <c r="AQ743" s="165"/>
      <c r="AR743" s="165"/>
      <c r="AS743" s="165"/>
      <c r="AT743" s="165"/>
      <c r="AU743" s="165"/>
      <c r="AV743" s="165"/>
      <c r="AW743" s="165"/>
      <c r="AX743" s="165"/>
    </row>
    <row r="744" ht="15.75" customHeight="1">
      <c r="A744" s="165"/>
      <c r="B744" s="165"/>
      <c r="C744" s="165"/>
      <c r="D744" s="165"/>
      <c r="E744" s="165"/>
      <c r="F744" s="165"/>
      <c r="G744" s="165"/>
      <c r="H744" s="165"/>
      <c r="I744" s="165"/>
      <c r="J744" s="165"/>
      <c r="K744" s="165"/>
      <c r="L744" s="165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  <c r="AA744" s="165"/>
      <c r="AB744" s="165"/>
      <c r="AC744" s="165"/>
      <c r="AD744" s="165"/>
      <c r="AE744" s="165"/>
      <c r="AF744" s="165"/>
      <c r="AG744" s="165"/>
      <c r="AH744" s="165"/>
      <c r="AI744" s="165"/>
      <c r="AJ744" s="165"/>
      <c r="AK744" s="165"/>
      <c r="AL744" s="165"/>
      <c r="AM744" s="165"/>
      <c r="AN744" s="165"/>
      <c r="AO744" s="165"/>
      <c r="AP744" s="165"/>
      <c r="AQ744" s="165"/>
      <c r="AR744" s="165"/>
      <c r="AS744" s="165"/>
      <c r="AT744" s="165"/>
      <c r="AU744" s="165"/>
      <c r="AV744" s="165"/>
      <c r="AW744" s="165"/>
      <c r="AX744" s="165"/>
    </row>
    <row r="745" ht="15.75" customHeight="1">
      <c r="A745" s="165"/>
      <c r="B745" s="165"/>
      <c r="C745" s="165"/>
      <c r="D745" s="165"/>
      <c r="E745" s="165"/>
      <c r="F745" s="165"/>
      <c r="G745" s="165"/>
      <c r="H745" s="165"/>
      <c r="I745" s="165"/>
      <c r="J745" s="165"/>
      <c r="K745" s="165"/>
      <c r="L745" s="165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  <c r="AA745" s="165"/>
      <c r="AB745" s="165"/>
      <c r="AC745" s="165"/>
      <c r="AD745" s="165"/>
      <c r="AE745" s="165"/>
      <c r="AF745" s="165"/>
      <c r="AG745" s="165"/>
      <c r="AH745" s="165"/>
      <c r="AI745" s="165"/>
      <c r="AJ745" s="165"/>
      <c r="AK745" s="165"/>
      <c r="AL745" s="165"/>
      <c r="AM745" s="165"/>
      <c r="AN745" s="165"/>
      <c r="AO745" s="165"/>
      <c r="AP745" s="165"/>
      <c r="AQ745" s="165"/>
      <c r="AR745" s="165"/>
      <c r="AS745" s="165"/>
      <c r="AT745" s="165"/>
      <c r="AU745" s="165"/>
      <c r="AV745" s="165"/>
      <c r="AW745" s="165"/>
      <c r="AX745" s="165"/>
    </row>
    <row r="746" ht="15.75" customHeight="1">
      <c r="A746" s="165"/>
      <c r="B746" s="165"/>
      <c r="C746" s="165"/>
      <c r="D746" s="165"/>
      <c r="E746" s="165"/>
      <c r="F746" s="165"/>
      <c r="G746" s="165"/>
      <c r="H746" s="165"/>
      <c r="I746" s="165"/>
      <c r="J746" s="165"/>
      <c r="K746" s="165"/>
      <c r="L746" s="165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  <c r="AA746" s="165"/>
      <c r="AB746" s="165"/>
      <c r="AC746" s="165"/>
      <c r="AD746" s="165"/>
      <c r="AE746" s="165"/>
      <c r="AF746" s="165"/>
      <c r="AG746" s="165"/>
      <c r="AH746" s="165"/>
      <c r="AI746" s="165"/>
      <c r="AJ746" s="165"/>
      <c r="AK746" s="165"/>
      <c r="AL746" s="165"/>
      <c r="AM746" s="165"/>
      <c r="AN746" s="165"/>
      <c r="AO746" s="165"/>
      <c r="AP746" s="165"/>
      <c r="AQ746" s="165"/>
      <c r="AR746" s="165"/>
      <c r="AS746" s="165"/>
      <c r="AT746" s="165"/>
      <c r="AU746" s="165"/>
      <c r="AV746" s="165"/>
      <c r="AW746" s="165"/>
      <c r="AX746" s="165"/>
    </row>
    <row r="747" ht="15.75" customHeight="1">
      <c r="A747" s="165"/>
      <c r="B747" s="165"/>
      <c r="C747" s="165"/>
      <c r="D747" s="165"/>
      <c r="E747" s="165"/>
      <c r="F747" s="165"/>
      <c r="G747" s="165"/>
      <c r="H747" s="165"/>
      <c r="I747" s="165"/>
      <c r="J747" s="165"/>
      <c r="K747" s="165"/>
      <c r="L747" s="165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  <c r="AA747" s="165"/>
      <c r="AB747" s="165"/>
      <c r="AC747" s="165"/>
      <c r="AD747" s="165"/>
      <c r="AE747" s="165"/>
      <c r="AF747" s="165"/>
      <c r="AG747" s="165"/>
      <c r="AH747" s="165"/>
      <c r="AI747" s="165"/>
      <c r="AJ747" s="165"/>
      <c r="AK747" s="165"/>
      <c r="AL747" s="165"/>
      <c r="AM747" s="165"/>
      <c r="AN747" s="165"/>
      <c r="AO747" s="165"/>
      <c r="AP747" s="165"/>
      <c r="AQ747" s="165"/>
      <c r="AR747" s="165"/>
      <c r="AS747" s="165"/>
      <c r="AT747" s="165"/>
      <c r="AU747" s="165"/>
      <c r="AV747" s="165"/>
      <c r="AW747" s="165"/>
      <c r="AX747" s="165"/>
    </row>
    <row r="748" ht="15.75" customHeight="1">
      <c r="A748" s="165"/>
      <c r="B748" s="165"/>
      <c r="C748" s="165"/>
      <c r="D748" s="165"/>
      <c r="E748" s="165"/>
      <c r="F748" s="165"/>
      <c r="G748" s="165"/>
      <c r="H748" s="165"/>
      <c r="I748" s="165"/>
      <c r="J748" s="165"/>
      <c r="K748" s="165"/>
      <c r="L748" s="165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  <c r="AA748" s="165"/>
      <c r="AB748" s="165"/>
      <c r="AC748" s="165"/>
      <c r="AD748" s="165"/>
      <c r="AE748" s="165"/>
      <c r="AF748" s="165"/>
      <c r="AG748" s="165"/>
      <c r="AH748" s="165"/>
      <c r="AI748" s="165"/>
      <c r="AJ748" s="165"/>
      <c r="AK748" s="165"/>
      <c r="AL748" s="165"/>
      <c r="AM748" s="165"/>
      <c r="AN748" s="165"/>
      <c r="AO748" s="165"/>
      <c r="AP748" s="165"/>
      <c r="AQ748" s="165"/>
      <c r="AR748" s="165"/>
      <c r="AS748" s="165"/>
      <c r="AT748" s="165"/>
      <c r="AU748" s="165"/>
      <c r="AV748" s="165"/>
      <c r="AW748" s="165"/>
      <c r="AX748" s="165"/>
    </row>
    <row r="749" ht="15.75" customHeight="1">
      <c r="A749" s="165"/>
      <c r="B749" s="165"/>
      <c r="C749" s="165"/>
      <c r="D749" s="165"/>
      <c r="E749" s="165"/>
      <c r="F749" s="165"/>
      <c r="G749" s="165"/>
      <c r="H749" s="165"/>
      <c r="I749" s="165"/>
      <c r="J749" s="165"/>
      <c r="K749" s="165"/>
      <c r="L749" s="165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  <c r="AA749" s="165"/>
      <c r="AB749" s="165"/>
      <c r="AC749" s="165"/>
      <c r="AD749" s="165"/>
      <c r="AE749" s="165"/>
      <c r="AF749" s="165"/>
      <c r="AG749" s="165"/>
      <c r="AH749" s="165"/>
      <c r="AI749" s="165"/>
      <c r="AJ749" s="165"/>
      <c r="AK749" s="165"/>
      <c r="AL749" s="165"/>
      <c r="AM749" s="165"/>
      <c r="AN749" s="165"/>
      <c r="AO749" s="165"/>
      <c r="AP749" s="165"/>
      <c r="AQ749" s="165"/>
      <c r="AR749" s="165"/>
      <c r="AS749" s="165"/>
      <c r="AT749" s="165"/>
      <c r="AU749" s="165"/>
      <c r="AV749" s="165"/>
      <c r="AW749" s="165"/>
      <c r="AX749" s="165"/>
    </row>
    <row r="750" ht="15.75" customHeight="1">
      <c r="A750" s="165"/>
      <c r="B750" s="165"/>
      <c r="C750" s="165"/>
      <c r="D750" s="165"/>
      <c r="E750" s="165"/>
      <c r="F750" s="165"/>
      <c r="G750" s="165"/>
      <c r="H750" s="165"/>
      <c r="I750" s="165"/>
      <c r="J750" s="165"/>
      <c r="K750" s="165"/>
      <c r="L750" s="165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  <c r="AA750" s="165"/>
      <c r="AB750" s="165"/>
      <c r="AC750" s="165"/>
      <c r="AD750" s="165"/>
      <c r="AE750" s="165"/>
      <c r="AF750" s="165"/>
      <c r="AG750" s="165"/>
      <c r="AH750" s="165"/>
      <c r="AI750" s="165"/>
      <c r="AJ750" s="165"/>
      <c r="AK750" s="165"/>
      <c r="AL750" s="165"/>
      <c r="AM750" s="165"/>
      <c r="AN750" s="165"/>
      <c r="AO750" s="165"/>
      <c r="AP750" s="165"/>
      <c r="AQ750" s="165"/>
      <c r="AR750" s="165"/>
      <c r="AS750" s="165"/>
      <c r="AT750" s="165"/>
      <c r="AU750" s="165"/>
      <c r="AV750" s="165"/>
      <c r="AW750" s="165"/>
      <c r="AX750" s="165"/>
    </row>
    <row r="751" ht="15.75" customHeight="1">
      <c r="A751" s="165"/>
      <c r="B751" s="165"/>
      <c r="C751" s="165"/>
      <c r="D751" s="165"/>
      <c r="E751" s="165"/>
      <c r="F751" s="165"/>
      <c r="G751" s="165"/>
      <c r="H751" s="165"/>
      <c r="I751" s="165"/>
      <c r="J751" s="165"/>
      <c r="K751" s="165"/>
      <c r="L751" s="165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  <c r="AA751" s="165"/>
      <c r="AB751" s="165"/>
      <c r="AC751" s="165"/>
      <c r="AD751" s="165"/>
      <c r="AE751" s="165"/>
      <c r="AF751" s="165"/>
      <c r="AG751" s="165"/>
      <c r="AH751" s="165"/>
      <c r="AI751" s="165"/>
      <c r="AJ751" s="165"/>
      <c r="AK751" s="165"/>
      <c r="AL751" s="165"/>
      <c r="AM751" s="165"/>
      <c r="AN751" s="165"/>
      <c r="AO751" s="165"/>
      <c r="AP751" s="165"/>
      <c r="AQ751" s="165"/>
      <c r="AR751" s="165"/>
      <c r="AS751" s="165"/>
      <c r="AT751" s="165"/>
      <c r="AU751" s="165"/>
      <c r="AV751" s="165"/>
      <c r="AW751" s="165"/>
      <c r="AX751" s="165"/>
    </row>
    <row r="752" ht="15.75" customHeight="1">
      <c r="A752" s="165"/>
      <c r="B752" s="165"/>
      <c r="C752" s="165"/>
      <c r="D752" s="165"/>
      <c r="E752" s="165"/>
      <c r="F752" s="165"/>
      <c r="G752" s="165"/>
      <c r="H752" s="165"/>
      <c r="I752" s="165"/>
      <c r="J752" s="165"/>
      <c r="K752" s="165"/>
      <c r="L752" s="165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  <c r="AA752" s="165"/>
      <c r="AB752" s="165"/>
      <c r="AC752" s="165"/>
      <c r="AD752" s="165"/>
      <c r="AE752" s="165"/>
      <c r="AF752" s="165"/>
      <c r="AG752" s="165"/>
      <c r="AH752" s="165"/>
      <c r="AI752" s="165"/>
      <c r="AJ752" s="165"/>
      <c r="AK752" s="165"/>
      <c r="AL752" s="165"/>
      <c r="AM752" s="165"/>
      <c r="AN752" s="165"/>
      <c r="AO752" s="165"/>
      <c r="AP752" s="165"/>
      <c r="AQ752" s="165"/>
      <c r="AR752" s="165"/>
      <c r="AS752" s="165"/>
      <c r="AT752" s="165"/>
      <c r="AU752" s="165"/>
      <c r="AV752" s="165"/>
      <c r="AW752" s="165"/>
      <c r="AX752" s="165"/>
    </row>
    <row r="753" ht="15.75" customHeight="1">
      <c r="A753" s="165"/>
      <c r="B753" s="165"/>
      <c r="C753" s="165"/>
      <c r="D753" s="165"/>
      <c r="E753" s="165"/>
      <c r="F753" s="165"/>
      <c r="G753" s="165"/>
      <c r="H753" s="165"/>
      <c r="I753" s="165"/>
      <c r="J753" s="165"/>
      <c r="K753" s="165"/>
      <c r="L753" s="165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  <c r="AA753" s="165"/>
      <c r="AB753" s="165"/>
      <c r="AC753" s="165"/>
      <c r="AD753" s="165"/>
      <c r="AE753" s="165"/>
      <c r="AF753" s="165"/>
      <c r="AG753" s="165"/>
      <c r="AH753" s="165"/>
      <c r="AI753" s="165"/>
      <c r="AJ753" s="165"/>
      <c r="AK753" s="165"/>
      <c r="AL753" s="165"/>
      <c r="AM753" s="165"/>
      <c r="AN753" s="165"/>
      <c r="AO753" s="165"/>
      <c r="AP753" s="165"/>
      <c r="AQ753" s="165"/>
      <c r="AR753" s="165"/>
      <c r="AS753" s="165"/>
      <c r="AT753" s="165"/>
      <c r="AU753" s="165"/>
      <c r="AV753" s="165"/>
      <c r="AW753" s="165"/>
      <c r="AX753" s="165"/>
    </row>
    <row r="754" ht="15.75" customHeight="1">
      <c r="A754" s="165"/>
      <c r="B754" s="165"/>
      <c r="C754" s="165"/>
      <c r="D754" s="165"/>
      <c r="E754" s="165"/>
      <c r="F754" s="165"/>
      <c r="G754" s="165"/>
      <c r="H754" s="165"/>
      <c r="I754" s="165"/>
      <c r="J754" s="165"/>
      <c r="K754" s="165"/>
      <c r="L754" s="165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  <c r="AA754" s="165"/>
      <c r="AB754" s="165"/>
      <c r="AC754" s="165"/>
      <c r="AD754" s="165"/>
      <c r="AE754" s="165"/>
      <c r="AF754" s="165"/>
      <c r="AG754" s="165"/>
      <c r="AH754" s="165"/>
      <c r="AI754" s="165"/>
      <c r="AJ754" s="165"/>
      <c r="AK754" s="165"/>
      <c r="AL754" s="165"/>
      <c r="AM754" s="165"/>
      <c r="AN754" s="165"/>
      <c r="AO754" s="165"/>
      <c r="AP754" s="165"/>
      <c r="AQ754" s="165"/>
      <c r="AR754" s="165"/>
      <c r="AS754" s="165"/>
      <c r="AT754" s="165"/>
      <c r="AU754" s="165"/>
      <c r="AV754" s="165"/>
      <c r="AW754" s="165"/>
      <c r="AX754" s="165"/>
    </row>
    <row r="755" ht="15.75" customHeight="1">
      <c r="A755" s="165"/>
      <c r="B755" s="165"/>
      <c r="C755" s="165"/>
      <c r="D755" s="165"/>
      <c r="E755" s="165"/>
      <c r="F755" s="165"/>
      <c r="G755" s="165"/>
      <c r="H755" s="165"/>
      <c r="I755" s="165"/>
      <c r="J755" s="165"/>
      <c r="K755" s="165"/>
      <c r="L755" s="165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  <c r="AA755" s="165"/>
      <c r="AB755" s="165"/>
      <c r="AC755" s="165"/>
      <c r="AD755" s="165"/>
      <c r="AE755" s="165"/>
      <c r="AF755" s="165"/>
      <c r="AG755" s="165"/>
      <c r="AH755" s="165"/>
      <c r="AI755" s="165"/>
      <c r="AJ755" s="165"/>
      <c r="AK755" s="165"/>
      <c r="AL755" s="165"/>
      <c r="AM755" s="165"/>
      <c r="AN755" s="165"/>
      <c r="AO755" s="165"/>
      <c r="AP755" s="165"/>
      <c r="AQ755" s="165"/>
      <c r="AR755" s="165"/>
      <c r="AS755" s="165"/>
      <c r="AT755" s="165"/>
      <c r="AU755" s="165"/>
      <c r="AV755" s="165"/>
      <c r="AW755" s="165"/>
      <c r="AX755" s="165"/>
    </row>
    <row r="756" ht="15.75" customHeight="1">
      <c r="A756" s="165"/>
      <c r="B756" s="165"/>
      <c r="C756" s="165"/>
      <c r="D756" s="165"/>
      <c r="E756" s="165"/>
      <c r="F756" s="165"/>
      <c r="G756" s="165"/>
      <c r="H756" s="165"/>
      <c r="I756" s="165"/>
      <c r="J756" s="165"/>
      <c r="K756" s="165"/>
      <c r="L756" s="165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  <c r="AA756" s="165"/>
      <c r="AB756" s="165"/>
      <c r="AC756" s="165"/>
      <c r="AD756" s="165"/>
      <c r="AE756" s="165"/>
      <c r="AF756" s="165"/>
      <c r="AG756" s="165"/>
      <c r="AH756" s="165"/>
      <c r="AI756" s="165"/>
      <c r="AJ756" s="165"/>
      <c r="AK756" s="165"/>
      <c r="AL756" s="165"/>
      <c r="AM756" s="165"/>
      <c r="AN756" s="165"/>
      <c r="AO756" s="165"/>
      <c r="AP756" s="165"/>
      <c r="AQ756" s="165"/>
      <c r="AR756" s="165"/>
      <c r="AS756" s="165"/>
      <c r="AT756" s="165"/>
      <c r="AU756" s="165"/>
      <c r="AV756" s="165"/>
      <c r="AW756" s="165"/>
      <c r="AX756" s="165"/>
    </row>
    <row r="757" ht="15.75" customHeight="1">
      <c r="A757" s="165"/>
      <c r="B757" s="165"/>
      <c r="C757" s="165"/>
      <c r="D757" s="165"/>
      <c r="E757" s="165"/>
      <c r="F757" s="165"/>
      <c r="G757" s="165"/>
      <c r="H757" s="165"/>
      <c r="I757" s="165"/>
      <c r="J757" s="165"/>
      <c r="K757" s="165"/>
      <c r="L757" s="165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  <c r="AA757" s="165"/>
      <c r="AB757" s="165"/>
      <c r="AC757" s="165"/>
      <c r="AD757" s="165"/>
      <c r="AE757" s="165"/>
      <c r="AF757" s="165"/>
      <c r="AG757" s="165"/>
      <c r="AH757" s="165"/>
      <c r="AI757" s="165"/>
      <c r="AJ757" s="165"/>
      <c r="AK757" s="165"/>
      <c r="AL757" s="165"/>
      <c r="AM757" s="165"/>
      <c r="AN757" s="165"/>
      <c r="AO757" s="165"/>
      <c r="AP757" s="165"/>
      <c r="AQ757" s="165"/>
      <c r="AR757" s="165"/>
      <c r="AS757" s="165"/>
      <c r="AT757" s="165"/>
      <c r="AU757" s="165"/>
      <c r="AV757" s="165"/>
      <c r="AW757" s="165"/>
      <c r="AX757" s="165"/>
    </row>
    <row r="758" ht="15.75" customHeight="1">
      <c r="A758" s="165"/>
      <c r="B758" s="165"/>
      <c r="C758" s="165"/>
      <c r="D758" s="165"/>
      <c r="E758" s="165"/>
      <c r="F758" s="165"/>
      <c r="G758" s="165"/>
      <c r="H758" s="165"/>
      <c r="I758" s="165"/>
      <c r="J758" s="165"/>
      <c r="K758" s="165"/>
      <c r="L758" s="165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  <c r="AA758" s="165"/>
      <c r="AB758" s="165"/>
      <c r="AC758" s="165"/>
      <c r="AD758" s="165"/>
      <c r="AE758" s="165"/>
      <c r="AF758" s="165"/>
      <c r="AG758" s="165"/>
      <c r="AH758" s="165"/>
      <c r="AI758" s="165"/>
      <c r="AJ758" s="165"/>
      <c r="AK758" s="165"/>
      <c r="AL758" s="165"/>
      <c r="AM758" s="165"/>
      <c r="AN758" s="165"/>
      <c r="AO758" s="165"/>
      <c r="AP758" s="165"/>
      <c r="AQ758" s="165"/>
      <c r="AR758" s="165"/>
      <c r="AS758" s="165"/>
      <c r="AT758" s="165"/>
      <c r="AU758" s="165"/>
      <c r="AV758" s="165"/>
      <c r="AW758" s="165"/>
      <c r="AX758" s="165"/>
    </row>
    <row r="759" ht="15.75" customHeight="1">
      <c r="A759" s="165"/>
      <c r="B759" s="165"/>
      <c r="C759" s="165"/>
      <c r="D759" s="165"/>
      <c r="E759" s="165"/>
      <c r="F759" s="165"/>
      <c r="G759" s="165"/>
      <c r="H759" s="165"/>
      <c r="I759" s="165"/>
      <c r="J759" s="165"/>
      <c r="K759" s="165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  <c r="AA759" s="165"/>
      <c r="AB759" s="165"/>
      <c r="AC759" s="165"/>
      <c r="AD759" s="165"/>
      <c r="AE759" s="165"/>
      <c r="AF759" s="165"/>
      <c r="AG759" s="165"/>
      <c r="AH759" s="165"/>
      <c r="AI759" s="165"/>
      <c r="AJ759" s="165"/>
      <c r="AK759" s="165"/>
      <c r="AL759" s="165"/>
      <c r="AM759" s="165"/>
      <c r="AN759" s="165"/>
      <c r="AO759" s="165"/>
      <c r="AP759" s="165"/>
      <c r="AQ759" s="165"/>
      <c r="AR759" s="165"/>
      <c r="AS759" s="165"/>
      <c r="AT759" s="165"/>
      <c r="AU759" s="165"/>
      <c r="AV759" s="165"/>
      <c r="AW759" s="165"/>
      <c r="AX759" s="165"/>
    </row>
    <row r="760" ht="15.75" customHeight="1">
      <c r="A760" s="165"/>
      <c r="B760" s="165"/>
      <c r="C760" s="165"/>
      <c r="D760" s="165"/>
      <c r="E760" s="165"/>
      <c r="F760" s="165"/>
      <c r="G760" s="165"/>
      <c r="H760" s="165"/>
      <c r="I760" s="165"/>
      <c r="J760" s="165"/>
      <c r="K760" s="165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  <c r="AA760" s="165"/>
      <c r="AB760" s="165"/>
      <c r="AC760" s="165"/>
      <c r="AD760" s="165"/>
      <c r="AE760" s="165"/>
      <c r="AF760" s="165"/>
      <c r="AG760" s="165"/>
      <c r="AH760" s="165"/>
      <c r="AI760" s="165"/>
      <c r="AJ760" s="165"/>
      <c r="AK760" s="165"/>
      <c r="AL760" s="165"/>
      <c r="AM760" s="165"/>
      <c r="AN760" s="165"/>
      <c r="AO760" s="165"/>
      <c r="AP760" s="165"/>
      <c r="AQ760" s="165"/>
      <c r="AR760" s="165"/>
      <c r="AS760" s="165"/>
      <c r="AT760" s="165"/>
      <c r="AU760" s="165"/>
      <c r="AV760" s="165"/>
      <c r="AW760" s="165"/>
      <c r="AX760" s="165"/>
    </row>
    <row r="761" ht="15.75" customHeight="1">
      <c r="A761" s="165"/>
      <c r="B761" s="165"/>
      <c r="C761" s="165"/>
      <c r="D761" s="165"/>
      <c r="E761" s="165"/>
      <c r="F761" s="165"/>
      <c r="G761" s="165"/>
      <c r="H761" s="165"/>
      <c r="I761" s="165"/>
      <c r="J761" s="165"/>
      <c r="K761" s="165"/>
      <c r="L761" s="165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  <c r="AA761" s="165"/>
      <c r="AB761" s="165"/>
      <c r="AC761" s="165"/>
      <c r="AD761" s="165"/>
      <c r="AE761" s="165"/>
      <c r="AF761" s="165"/>
      <c r="AG761" s="165"/>
      <c r="AH761" s="165"/>
      <c r="AI761" s="165"/>
      <c r="AJ761" s="165"/>
      <c r="AK761" s="165"/>
      <c r="AL761" s="165"/>
      <c r="AM761" s="165"/>
      <c r="AN761" s="165"/>
      <c r="AO761" s="165"/>
      <c r="AP761" s="165"/>
      <c r="AQ761" s="165"/>
      <c r="AR761" s="165"/>
      <c r="AS761" s="165"/>
      <c r="AT761" s="165"/>
      <c r="AU761" s="165"/>
      <c r="AV761" s="165"/>
      <c r="AW761" s="165"/>
      <c r="AX761" s="165"/>
    </row>
    <row r="762" ht="15.75" customHeight="1">
      <c r="A762" s="165"/>
      <c r="B762" s="165"/>
      <c r="C762" s="165"/>
      <c r="D762" s="165"/>
      <c r="E762" s="165"/>
      <c r="F762" s="165"/>
      <c r="G762" s="165"/>
      <c r="H762" s="165"/>
      <c r="I762" s="165"/>
      <c r="J762" s="165"/>
      <c r="K762" s="165"/>
      <c r="L762" s="165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  <c r="AA762" s="165"/>
      <c r="AB762" s="165"/>
      <c r="AC762" s="165"/>
      <c r="AD762" s="165"/>
      <c r="AE762" s="165"/>
      <c r="AF762" s="165"/>
      <c r="AG762" s="165"/>
      <c r="AH762" s="165"/>
      <c r="AI762" s="165"/>
      <c r="AJ762" s="165"/>
      <c r="AK762" s="165"/>
      <c r="AL762" s="165"/>
      <c r="AM762" s="165"/>
      <c r="AN762" s="165"/>
      <c r="AO762" s="165"/>
      <c r="AP762" s="165"/>
      <c r="AQ762" s="165"/>
      <c r="AR762" s="165"/>
      <c r="AS762" s="165"/>
      <c r="AT762" s="165"/>
      <c r="AU762" s="165"/>
      <c r="AV762" s="165"/>
      <c r="AW762" s="165"/>
      <c r="AX762" s="165"/>
    </row>
    <row r="763" ht="15.75" customHeight="1">
      <c r="A763" s="165"/>
      <c r="B763" s="165"/>
      <c r="C763" s="165"/>
      <c r="D763" s="165"/>
      <c r="E763" s="165"/>
      <c r="F763" s="165"/>
      <c r="G763" s="165"/>
      <c r="H763" s="165"/>
      <c r="I763" s="165"/>
      <c r="J763" s="165"/>
      <c r="K763" s="165"/>
      <c r="L763" s="165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  <c r="AA763" s="165"/>
      <c r="AB763" s="165"/>
      <c r="AC763" s="165"/>
      <c r="AD763" s="165"/>
      <c r="AE763" s="165"/>
      <c r="AF763" s="165"/>
      <c r="AG763" s="165"/>
      <c r="AH763" s="165"/>
      <c r="AI763" s="165"/>
      <c r="AJ763" s="165"/>
      <c r="AK763" s="165"/>
      <c r="AL763" s="165"/>
      <c r="AM763" s="165"/>
      <c r="AN763" s="165"/>
      <c r="AO763" s="165"/>
      <c r="AP763" s="165"/>
      <c r="AQ763" s="165"/>
      <c r="AR763" s="165"/>
      <c r="AS763" s="165"/>
      <c r="AT763" s="165"/>
      <c r="AU763" s="165"/>
      <c r="AV763" s="165"/>
      <c r="AW763" s="165"/>
      <c r="AX763" s="165"/>
    </row>
    <row r="764" ht="15.75" customHeight="1">
      <c r="A764" s="165"/>
      <c r="B764" s="165"/>
      <c r="C764" s="165"/>
      <c r="D764" s="165"/>
      <c r="E764" s="165"/>
      <c r="F764" s="165"/>
      <c r="G764" s="165"/>
      <c r="H764" s="165"/>
      <c r="I764" s="165"/>
      <c r="J764" s="165"/>
      <c r="K764" s="165"/>
      <c r="L764" s="165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  <c r="AA764" s="165"/>
      <c r="AB764" s="165"/>
      <c r="AC764" s="165"/>
      <c r="AD764" s="165"/>
      <c r="AE764" s="165"/>
      <c r="AF764" s="165"/>
      <c r="AG764" s="165"/>
      <c r="AH764" s="165"/>
      <c r="AI764" s="165"/>
      <c r="AJ764" s="165"/>
      <c r="AK764" s="165"/>
      <c r="AL764" s="165"/>
      <c r="AM764" s="165"/>
      <c r="AN764" s="165"/>
      <c r="AO764" s="165"/>
      <c r="AP764" s="165"/>
      <c r="AQ764" s="165"/>
      <c r="AR764" s="165"/>
      <c r="AS764" s="165"/>
      <c r="AT764" s="165"/>
      <c r="AU764" s="165"/>
      <c r="AV764" s="165"/>
      <c r="AW764" s="165"/>
      <c r="AX764" s="165"/>
    </row>
    <row r="765" ht="15.75" customHeight="1">
      <c r="A765" s="165"/>
      <c r="B765" s="165"/>
      <c r="C765" s="165"/>
      <c r="D765" s="165"/>
      <c r="E765" s="165"/>
      <c r="F765" s="165"/>
      <c r="G765" s="165"/>
      <c r="H765" s="165"/>
      <c r="I765" s="165"/>
      <c r="J765" s="165"/>
      <c r="K765" s="165"/>
      <c r="L765" s="165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  <c r="AA765" s="165"/>
      <c r="AB765" s="165"/>
      <c r="AC765" s="165"/>
      <c r="AD765" s="165"/>
      <c r="AE765" s="165"/>
      <c r="AF765" s="165"/>
      <c r="AG765" s="165"/>
      <c r="AH765" s="165"/>
      <c r="AI765" s="165"/>
      <c r="AJ765" s="165"/>
      <c r="AK765" s="165"/>
      <c r="AL765" s="165"/>
      <c r="AM765" s="165"/>
      <c r="AN765" s="165"/>
      <c r="AO765" s="165"/>
      <c r="AP765" s="165"/>
      <c r="AQ765" s="165"/>
      <c r="AR765" s="165"/>
      <c r="AS765" s="165"/>
      <c r="AT765" s="165"/>
      <c r="AU765" s="165"/>
      <c r="AV765" s="165"/>
      <c r="AW765" s="165"/>
      <c r="AX765" s="165"/>
    </row>
    <row r="766" ht="15.75" customHeight="1">
      <c r="A766" s="165"/>
      <c r="B766" s="165"/>
      <c r="C766" s="165"/>
      <c r="D766" s="165"/>
      <c r="E766" s="165"/>
      <c r="F766" s="165"/>
      <c r="G766" s="165"/>
      <c r="H766" s="165"/>
      <c r="I766" s="165"/>
      <c r="J766" s="165"/>
      <c r="K766" s="165"/>
      <c r="L766" s="165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  <c r="AA766" s="165"/>
      <c r="AB766" s="165"/>
      <c r="AC766" s="165"/>
      <c r="AD766" s="165"/>
      <c r="AE766" s="165"/>
      <c r="AF766" s="165"/>
      <c r="AG766" s="165"/>
      <c r="AH766" s="165"/>
      <c r="AI766" s="165"/>
      <c r="AJ766" s="165"/>
      <c r="AK766" s="165"/>
      <c r="AL766" s="165"/>
      <c r="AM766" s="165"/>
      <c r="AN766" s="165"/>
      <c r="AO766" s="165"/>
      <c r="AP766" s="165"/>
      <c r="AQ766" s="165"/>
      <c r="AR766" s="165"/>
      <c r="AS766" s="165"/>
      <c r="AT766" s="165"/>
      <c r="AU766" s="165"/>
      <c r="AV766" s="165"/>
      <c r="AW766" s="165"/>
      <c r="AX766" s="165"/>
    </row>
    <row r="767" ht="15.75" customHeight="1">
      <c r="A767" s="165"/>
      <c r="B767" s="165"/>
      <c r="C767" s="165"/>
      <c r="D767" s="165"/>
      <c r="E767" s="165"/>
      <c r="F767" s="165"/>
      <c r="G767" s="165"/>
      <c r="H767" s="165"/>
      <c r="I767" s="165"/>
      <c r="J767" s="165"/>
      <c r="K767" s="165"/>
      <c r="L767" s="165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  <c r="AA767" s="165"/>
      <c r="AB767" s="165"/>
      <c r="AC767" s="165"/>
      <c r="AD767" s="165"/>
      <c r="AE767" s="165"/>
      <c r="AF767" s="165"/>
      <c r="AG767" s="165"/>
      <c r="AH767" s="165"/>
      <c r="AI767" s="165"/>
      <c r="AJ767" s="165"/>
      <c r="AK767" s="165"/>
      <c r="AL767" s="165"/>
      <c r="AM767" s="165"/>
      <c r="AN767" s="165"/>
      <c r="AO767" s="165"/>
      <c r="AP767" s="165"/>
      <c r="AQ767" s="165"/>
      <c r="AR767" s="165"/>
      <c r="AS767" s="165"/>
      <c r="AT767" s="165"/>
      <c r="AU767" s="165"/>
      <c r="AV767" s="165"/>
      <c r="AW767" s="165"/>
      <c r="AX767" s="165"/>
    </row>
    <row r="768" ht="15.75" customHeight="1">
      <c r="A768" s="165"/>
      <c r="B768" s="165"/>
      <c r="C768" s="165"/>
      <c r="D768" s="165"/>
      <c r="E768" s="165"/>
      <c r="F768" s="165"/>
      <c r="G768" s="165"/>
      <c r="H768" s="165"/>
      <c r="I768" s="165"/>
      <c r="J768" s="165"/>
      <c r="K768" s="165"/>
      <c r="L768" s="165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  <c r="AA768" s="165"/>
      <c r="AB768" s="165"/>
      <c r="AC768" s="165"/>
      <c r="AD768" s="165"/>
      <c r="AE768" s="165"/>
      <c r="AF768" s="165"/>
      <c r="AG768" s="165"/>
      <c r="AH768" s="165"/>
      <c r="AI768" s="165"/>
      <c r="AJ768" s="165"/>
      <c r="AK768" s="165"/>
      <c r="AL768" s="165"/>
      <c r="AM768" s="165"/>
      <c r="AN768" s="165"/>
      <c r="AO768" s="165"/>
      <c r="AP768" s="165"/>
      <c r="AQ768" s="165"/>
      <c r="AR768" s="165"/>
      <c r="AS768" s="165"/>
      <c r="AT768" s="165"/>
      <c r="AU768" s="165"/>
      <c r="AV768" s="165"/>
      <c r="AW768" s="165"/>
      <c r="AX768" s="165"/>
    </row>
    <row r="769" ht="15.75" customHeight="1">
      <c r="A769" s="165"/>
      <c r="B769" s="165"/>
      <c r="C769" s="165"/>
      <c r="D769" s="165"/>
      <c r="E769" s="165"/>
      <c r="F769" s="165"/>
      <c r="G769" s="165"/>
      <c r="H769" s="165"/>
      <c r="I769" s="165"/>
      <c r="J769" s="165"/>
      <c r="K769" s="165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  <c r="AA769" s="165"/>
      <c r="AB769" s="165"/>
      <c r="AC769" s="165"/>
      <c r="AD769" s="165"/>
      <c r="AE769" s="165"/>
      <c r="AF769" s="165"/>
      <c r="AG769" s="165"/>
      <c r="AH769" s="165"/>
      <c r="AI769" s="165"/>
      <c r="AJ769" s="165"/>
      <c r="AK769" s="165"/>
      <c r="AL769" s="165"/>
      <c r="AM769" s="165"/>
      <c r="AN769" s="165"/>
      <c r="AO769" s="165"/>
      <c r="AP769" s="165"/>
      <c r="AQ769" s="165"/>
      <c r="AR769" s="165"/>
      <c r="AS769" s="165"/>
      <c r="AT769" s="165"/>
      <c r="AU769" s="165"/>
      <c r="AV769" s="165"/>
      <c r="AW769" s="165"/>
      <c r="AX769" s="165"/>
    </row>
    <row r="770" ht="15.75" customHeight="1">
      <c r="A770" s="165"/>
      <c r="B770" s="165"/>
      <c r="C770" s="165"/>
      <c r="D770" s="165"/>
      <c r="E770" s="165"/>
      <c r="F770" s="165"/>
      <c r="G770" s="165"/>
      <c r="H770" s="165"/>
      <c r="I770" s="165"/>
      <c r="J770" s="165"/>
      <c r="K770" s="165"/>
      <c r="L770" s="165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  <c r="AA770" s="165"/>
      <c r="AB770" s="165"/>
      <c r="AC770" s="165"/>
      <c r="AD770" s="165"/>
      <c r="AE770" s="165"/>
      <c r="AF770" s="165"/>
      <c r="AG770" s="165"/>
      <c r="AH770" s="165"/>
      <c r="AI770" s="165"/>
      <c r="AJ770" s="165"/>
      <c r="AK770" s="165"/>
      <c r="AL770" s="165"/>
      <c r="AM770" s="165"/>
      <c r="AN770" s="165"/>
      <c r="AO770" s="165"/>
      <c r="AP770" s="165"/>
      <c r="AQ770" s="165"/>
      <c r="AR770" s="165"/>
      <c r="AS770" s="165"/>
      <c r="AT770" s="165"/>
      <c r="AU770" s="165"/>
      <c r="AV770" s="165"/>
      <c r="AW770" s="165"/>
      <c r="AX770" s="165"/>
    </row>
    <row r="771" ht="15.75" customHeight="1">
      <c r="A771" s="165"/>
      <c r="B771" s="165"/>
      <c r="C771" s="165"/>
      <c r="D771" s="165"/>
      <c r="E771" s="165"/>
      <c r="F771" s="165"/>
      <c r="G771" s="165"/>
      <c r="H771" s="165"/>
      <c r="I771" s="165"/>
      <c r="J771" s="165"/>
      <c r="K771" s="165"/>
      <c r="L771" s="165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  <c r="AA771" s="165"/>
      <c r="AB771" s="165"/>
      <c r="AC771" s="165"/>
      <c r="AD771" s="165"/>
      <c r="AE771" s="165"/>
      <c r="AF771" s="165"/>
      <c r="AG771" s="165"/>
      <c r="AH771" s="165"/>
      <c r="AI771" s="165"/>
      <c r="AJ771" s="165"/>
      <c r="AK771" s="165"/>
      <c r="AL771" s="165"/>
      <c r="AM771" s="165"/>
      <c r="AN771" s="165"/>
      <c r="AO771" s="165"/>
      <c r="AP771" s="165"/>
      <c r="AQ771" s="165"/>
      <c r="AR771" s="165"/>
      <c r="AS771" s="165"/>
      <c r="AT771" s="165"/>
      <c r="AU771" s="165"/>
      <c r="AV771" s="165"/>
      <c r="AW771" s="165"/>
      <c r="AX771" s="165"/>
    </row>
    <row r="772" ht="15.75" customHeight="1">
      <c r="A772" s="165"/>
      <c r="B772" s="165"/>
      <c r="C772" s="165"/>
      <c r="D772" s="165"/>
      <c r="E772" s="165"/>
      <c r="F772" s="165"/>
      <c r="G772" s="165"/>
      <c r="H772" s="165"/>
      <c r="I772" s="165"/>
      <c r="J772" s="165"/>
      <c r="K772" s="165"/>
      <c r="L772" s="165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  <c r="AA772" s="165"/>
      <c r="AB772" s="165"/>
      <c r="AC772" s="165"/>
      <c r="AD772" s="165"/>
      <c r="AE772" s="165"/>
      <c r="AF772" s="165"/>
      <c r="AG772" s="165"/>
      <c r="AH772" s="165"/>
      <c r="AI772" s="165"/>
      <c r="AJ772" s="165"/>
      <c r="AK772" s="165"/>
      <c r="AL772" s="165"/>
      <c r="AM772" s="165"/>
      <c r="AN772" s="165"/>
      <c r="AO772" s="165"/>
      <c r="AP772" s="165"/>
      <c r="AQ772" s="165"/>
      <c r="AR772" s="165"/>
      <c r="AS772" s="165"/>
      <c r="AT772" s="165"/>
      <c r="AU772" s="165"/>
      <c r="AV772" s="165"/>
      <c r="AW772" s="165"/>
      <c r="AX772" s="165"/>
    </row>
    <row r="773" ht="15.75" customHeight="1">
      <c r="A773" s="165"/>
      <c r="B773" s="165"/>
      <c r="C773" s="165"/>
      <c r="D773" s="165"/>
      <c r="E773" s="165"/>
      <c r="F773" s="165"/>
      <c r="G773" s="165"/>
      <c r="H773" s="165"/>
      <c r="I773" s="165"/>
      <c r="J773" s="165"/>
      <c r="K773" s="165"/>
      <c r="L773" s="165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  <c r="AA773" s="165"/>
      <c r="AB773" s="165"/>
      <c r="AC773" s="165"/>
      <c r="AD773" s="165"/>
      <c r="AE773" s="165"/>
      <c r="AF773" s="165"/>
      <c r="AG773" s="165"/>
      <c r="AH773" s="165"/>
      <c r="AI773" s="165"/>
      <c r="AJ773" s="165"/>
      <c r="AK773" s="165"/>
      <c r="AL773" s="165"/>
      <c r="AM773" s="165"/>
      <c r="AN773" s="165"/>
      <c r="AO773" s="165"/>
      <c r="AP773" s="165"/>
      <c r="AQ773" s="165"/>
      <c r="AR773" s="165"/>
      <c r="AS773" s="165"/>
      <c r="AT773" s="165"/>
      <c r="AU773" s="165"/>
      <c r="AV773" s="165"/>
      <c r="AW773" s="165"/>
      <c r="AX773" s="165"/>
    </row>
    <row r="774" ht="15.75" customHeight="1">
      <c r="A774" s="165"/>
      <c r="B774" s="165"/>
      <c r="C774" s="165"/>
      <c r="D774" s="165"/>
      <c r="E774" s="165"/>
      <c r="F774" s="165"/>
      <c r="G774" s="165"/>
      <c r="H774" s="165"/>
      <c r="I774" s="165"/>
      <c r="J774" s="165"/>
      <c r="K774" s="165"/>
      <c r="L774" s="165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  <c r="AA774" s="165"/>
      <c r="AB774" s="165"/>
      <c r="AC774" s="165"/>
      <c r="AD774" s="165"/>
      <c r="AE774" s="165"/>
      <c r="AF774" s="165"/>
      <c r="AG774" s="165"/>
      <c r="AH774" s="165"/>
      <c r="AI774" s="165"/>
      <c r="AJ774" s="165"/>
      <c r="AK774" s="165"/>
      <c r="AL774" s="165"/>
      <c r="AM774" s="165"/>
      <c r="AN774" s="165"/>
      <c r="AO774" s="165"/>
      <c r="AP774" s="165"/>
      <c r="AQ774" s="165"/>
      <c r="AR774" s="165"/>
      <c r="AS774" s="165"/>
      <c r="AT774" s="165"/>
      <c r="AU774" s="165"/>
      <c r="AV774" s="165"/>
      <c r="AW774" s="165"/>
      <c r="AX774" s="165"/>
    </row>
    <row r="775" ht="15.75" customHeight="1">
      <c r="A775" s="165"/>
      <c r="B775" s="165"/>
      <c r="C775" s="165"/>
      <c r="D775" s="165"/>
      <c r="E775" s="165"/>
      <c r="F775" s="165"/>
      <c r="G775" s="165"/>
      <c r="H775" s="165"/>
      <c r="I775" s="165"/>
      <c r="J775" s="165"/>
      <c r="K775" s="165"/>
      <c r="L775" s="165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  <c r="AA775" s="165"/>
      <c r="AB775" s="165"/>
      <c r="AC775" s="165"/>
      <c r="AD775" s="165"/>
      <c r="AE775" s="165"/>
      <c r="AF775" s="165"/>
      <c r="AG775" s="165"/>
      <c r="AH775" s="165"/>
      <c r="AI775" s="165"/>
      <c r="AJ775" s="165"/>
      <c r="AK775" s="165"/>
      <c r="AL775" s="165"/>
      <c r="AM775" s="165"/>
      <c r="AN775" s="165"/>
      <c r="AO775" s="165"/>
      <c r="AP775" s="165"/>
      <c r="AQ775" s="165"/>
      <c r="AR775" s="165"/>
      <c r="AS775" s="165"/>
      <c r="AT775" s="165"/>
      <c r="AU775" s="165"/>
      <c r="AV775" s="165"/>
      <c r="AW775" s="165"/>
      <c r="AX775" s="165"/>
    </row>
    <row r="776" ht="15.75" customHeight="1">
      <c r="A776" s="165"/>
      <c r="B776" s="165"/>
      <c r="C776" s="165"/>
      <c r="D776" s="165"/>
      <c r="E776" s="165"/>
      <c r="F776" s="165"/>
      <c r="G776" s="165"/>
      <c r="H776" s="165"/>
      <c r="I776" s="165"/>
      <c r="J776" s="165"/>
      <c r="K776" s="165"/>
      <c r="L776" s="165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  <c r="AA776" s="165"/>
      <c r="AB776" s="165"/>
      <c r="AC776" s="165"/>
      <c r="AD776" s="165"/>
      <c r="AE776" s="165"/>
      <c r="AF776" s="165"/>
      <c r="AG776" s="165"/>
      <c r="AH776" s="165"/>
      <c r="AI776" s="165"/>
      <c r="AJ776" s="165"/>
      <c r="AK776" s="165"/>
      <c r="AL776" s="165"/>
      <c r="AM776" s="165"/>
      <c r="AN776" s="165"/>
      <c r="AO776" s="165"/>
      <c r="AP776" s="165"/>
      <c r="AQ776" s="165"/>
      <c r="AR776" s="165"/>
      <c r="AS776" s="165"/>
      <c r="AT776" s="165"/>
      <c r="AU776" s="165"/>
      <c r="AV776" s="165"/>
      <c r="AW776" s="165"/>
      <c r="AX776" s="165"/>
    </row>
    <row r="777" ht="15.75" customHeight="1">
      <c r="A777" s="165"/>
      <c r="B777" s="165"/>
      <c r="C777" s="165"/>
      <c r="D777" s="165"/>
      <c r="E777" s="165"/>
      <c r="F777" s="165"/>
      <c r="G777" s="165"/>
      <c r="H777" s="165"/>
      <c r="I777" s="165"/>
      <c r="J777" s="165"/>
      <c r="K777" s="165"/>
      <c r="L777" s="165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  <c r="AA777" s="165"/>
      <c r="AB777" s="165"/>
      <c r="AC777" s="165"/>
      <c r="AD777" s="165"/>
      <c r="AE777" s="165"/>
      <c r="AF777" s="165"/>
      <c r="AG777" s="165"/>
      <c r="AH777" s="165"/>
      <c r="AI777" s="165"/>
      <c r="AJ777" s="165"/>
      <c r="AK777" s="165"/>
      <c r="AL777" s="165"/>
      <c r="AM777" s="165"/>
      <c r="AN777" s="165"/>
      <c r="AO777" s="165"/>
      <c r="AP777" s="165"/>
      <c r="AQ777" s="165"/>
      <c r="AR777" s="165"/>
      <c r="AS777" s="165"/>
      <c r="AT777" s="165"/>
      <c r="AU777" s="165"/>
      <c r="AV777" s="165"/>
      <c r="AW777" s="165"/>
      <c r="AX777" s="165"/>
    </row>
    <row r="778" ht="15.75" customHeight="1">
      <c r="A778" s="165"/>
      <c r="B778" s="165"/>
      <c r="C778" s="165"/>
      <c r="D778" s="165"/>
      <c r="E778" s="165"/>
      <c r="F778" s="165"/>
      <c r="G778" s="165"/>
      <c r="H778" s="165"/>
      <c r="I778" s="165"/>
      <c r="J778" s="165"/>
      <c r="K778" s="165"/>
      <c r="L778" s="165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  <c r="AA778" s="165"/>
      <c r="AB778" s="165"/>
      <c r="AC778" s="165"/>
      <c r="AD778" s="165"/>
      <c r="AE778" s="165"/>
      <c r="AF778" s="165"/>
      <c r="AG778" s="165"/>
      <c r="AH778" s="165"/>
      <c r="AI778" s="165"/>
      <c r="AJ778" s="165"/>
      <c r="AK778" s="165"/>
      <c r="AL778" s="165"/>
      <c r="AM778" s="165"/>
      <c r="AN778" s="165"/>
      <c r="AO778" s="165"/>
      <c r="AP778" s="165"/>
      <c r="AQ778" s="165"/>
      <c r="AR778" s="165"/>
      <c r="AS778" s="165"/>
      <c r="AT778" s="165"/>
      <c r="AU778" s="165"/>
      <c r="AV778" s="165"/>
      <c r="AW778" s="165"/>
      <c r="AX778" s="165"/>
    </row>
    <row r="779" ht="15.75" customHeight="1">
      <c r="A779" s="165"/>
      <c r="B779" s="165"/>
      <c r="C779" s="165"/>
      <c r="D779" s="165"/>
      <c r="E779" s="165"/>
      <c r="F779" s="165"/>
      <c r="G779" s="165"/>
      <c r="H779" s="165"/>
      <c r="I779" s="165"/>
      <c r="J779" s="165"/>
      <c r="K779" s="165"/>
      <c r="L779" s="165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  <c r="AA779" s="165"/>
      <c r="AB779" s="165"/>
      <c r="AC779" s="165"/>
      <c r="AD779" s="165"/>
      <c r="AE779" s="165"/>
      <c r="AF779" s="165"/>
      <c r="AG779" s="165"/>
      <c r="AH779" s="165"/>
      <c r="AI779" s="165"/>
      <c r="AJ779" s="165"/>
      <c r="AK779" s="165"/>
      <c r="AL779" s="165"/>
      <c r="AM779" s="165"/>
      <c r="AN779" s="165"/>
      <c r="AO779" s="165"/>
      <c r="AP779" s="165"/>
      <c r="AQ779" s="165"/>
      <c r="AR779" s="165"/>
      <c r="AS779" s="165"/>
      <c r="AT779" s="165"/>
      <c r="AU779" s="165"/>
      <c r="AV779" s="165"/>
      <c r="AW779" s="165"/>
      <c r="AX779" s="165"/>
    </row>
    <row r="780" ht="15.75" customHeight="1">
      <c r="A780" s="165"/>
      <c r="B780" s="165"/>
      <c r="C780" s="165"/>
      <c r="D780" s="165"/>
      <c r="E780" s="165"/>
      <c r="F780" s="165"/>
      <c r="G780" s="165"/>
      <c r="H780" s="165"/>
      <c r="I780" s="165"/>
      <c r="J780" s="165"/>
      <c r="K780" s="165"/>
      <c r="L780" s="165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  <c r="AA780" s="165"/>
      <c r="AB780" s="165"/>
      <c r="AC780" s="165"/>
      <c r="AD780" s="165"/>
      <c r="AE780" s="165"/>
      <c r="AF780" s="165"/>
      <c r="AG780" s="165"/>
      <c r="AH780" s="165"/>
      <c r="AI780" s="165"/>
      <c r="AJ780" s="165"/>
      <c r="AK780" s="165"/>
      <c r="AL780" s="165"/>
      <c r="AM780" s="165"/>
      <c r="AN780" s="165"/>
      <c r="AO780" s="165"/>
      <c r="AP780" s="165"/>
      <c r="AQ780" s="165"/>
      <c r="AR780" s="165"/>
      <c r="AS780" s="165"/>
      <c r="AT780" s="165"/>
      <c r="AU780" s="165"/>
      <c r="AV780" s="165"/>
      <c r="AW780" s="165"/>
      <c r="AX780" s="165"/>
    </row>
    <row r="781" ht="15.75" customHeight="1">
      <c r="A781" s="165"/>
      <c r="B781" s="165"/>
      <c r="C781" s="165"/>
      <c r="D781" s="165"/>
      <c r="E781" s="165"/>
      <c r="F781" s="165"/>
      <c r="G781" s="165"/>
      <c r="H781" s="165"/>
      <c r="I781" s="165"/>
      <c r="J781" s="165"/>
      <c r="K781" s="165"/>
      <c r="L781" s="165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  <c r="AA781" s="165"/>
      <c r="AB781" s="165"/>
      <c r="AC781" s="165"/>
      <c r="AD781" s="165"/>
      <c r="AE781" s="165"/>
      <c r="AF781" s="165"/>
      <c r="AG781" s="165"/>
      <c r="AH781" s="165"/>
      <c r="AI781" s="165"/>
      <c r="AJ781" s="165"/>
      <c r="AK781" s="165"/>
      <c r="AL781" s="165"/>
      <c r="AM781" s="165"/>
      <c r="AN781" s="165"/>
      <c r="AO781" s="165"/>
      <c r="AP781" s="165"/>
      <c r="AQ781" s="165"/>
      <c r="AR781" s="165"/>
      <c r="AS781" s="165"/>
      <c r="AT781" s="165"/>
      <c r="AU781" s="165"/>
      <c r="AV781" s="165"/>
      <c r="AW781" s="165"/>
      <c r="AX781" s="165"/>
    </row>
    <row r="782" ht="15.75" customHeight="1">
      <c r="A782" s="165"/>
      <c r="B782" s="165"/>
      <c r="C782" s="165"/>
      <c r="D782" s="165"/>
      <c r="E782" s="165"/>
      <c r="F782" s="165"/>
      <c r="G782" s="165"/>
      <c r="H782" s="165"/>
      <c r="I782" s="165"/>
      <c r="J782" s="165"/>
      <c r="K782" s="165"/>
      <c r="L782" s="165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  <c r="AA782" s="165"/>
      <c r="AB782" s="165"/>
      <c r="AC782" s="165"/>
      <c r="AD782" s="165"/>
      <c r="AE782" s="165"/>
      <c r="AF782" s="165"/>
      <c r="AG782" s="165"/>
      <c r="AH782" s="165"/>
      <c r="AI782" s="165"/>
      <c r="AJ782" s="165"/>
      <c r="AK782" s="165"/>
      <c r="AL782" s="165"/>
      <c r="AM782" s="165"/>
      <c r="AN782" s="165"/>
      <c r="AO782" s="165"/>
      <c r="AP782" s="165"/>
      <c r="AQ782" s="165"/>
      <c r="AR782" s="165"/>
      <c r="AS782" s="165"/>
      <c r="AT782" s="165"/>
      <c r="AU782" s="165"/>
      <c r="AV782" s="165"/>
      <c r="AW782" s="165"/>
      <c r="AX782" s="165"/>
    </row>
    <row r="783" ht="15.75" customHeight="1">
      <c r="A783" s="165"/>
      <c r="B783" s="165"/>
      <c r="C783" s="165"/>
      <c r="D783" s="165"/>
      <c r="E783" s="165"/>
      <c r="F783" s="165"/>
      <c r="G783" s="165"/>
      <c r="H783" s="165"/>
      <c r="I783" s="165"/>
      <c r="J783" s="165"/>
      <c r="K783" s="165"/>
      <c r="L783" s="165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  <c r="AA783" s="165"/>
      <c r="AB783" s="165"/>
      <c r="AC783" s="165"/>
      <c r="AD783" s="165"/>
      <c r="AE783" s="165"/>
      <c r="AF783" s="165"/>
      <c r="AG783" s="165"/>
      <c r="AH783" s="165"/>
      <c r="AI783" s="165"/>
      <c r="AJ783" s="165"/>
      <c r="AK783" s="165"/>
      <c r="AL783" s="165"/>
      <c r="AM783" s="165"/>
      <c r="AN783" s="165"/>
      <c r="AO783" s="165"/>
      <c r="AP783" s="165"/>
      <c r="AQ783" s="165"/>
      <c r="AR783" s="165"/>
      <c r="AS783" s="165"/>
      <c r="AT783" s="165"/>
      <c r="AU783" s="165"/>
      <c r="AV783" s="165"/>
      <c r="AW783" s="165"/>
      <c r="AX783" s="165"/>
    </row>
    <row r="784" ht="15.75" customHeight="1">
      <c r="A784" s="165"/>
      <c r="B784" s="165"/>
      <c r="C784" s="165"/>
      <c r="D784" s="165"/>
      <c r="E784" s="165"/>
      <c r="F784" s="165"/>
      <c r="G784" s="165"/>
      <c r="H784" s="165"/>
      <c r="I784" s="165"/>
      <c r="J784" s="165"/>
      <c r="K784" s="165"/>
      <c r="L784" s="165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  <c r="AA784" s="165"/>
      <c r="AB784" s="165"/>
      <c r="AC784" s="165"/>
      <c r="AD784" s="165"/>
      <c r="AE784" s="165"/>
      <c r="AF784" s="165"/>
      <c r="AG784" s="165"/>
      <c r="AH784" s="165"/>
      <c r="AI784" s="165"/>
      <c r="AJ784" s="165"/>
      <c r="AK784" s="165"/>
      <c r="AL784" s="165"/>
      <c r="AM784" s="165"/>
      <c r="AN784" s="165"/>
      <c r="AO784" s="165"/>
      <c r="AP784" s="165"/>
      <c r="AQ784" s="165"/>
      <c r="AR784" s="165"/>
      <c r="AS784" s="165"/>
      <c r="AT784" s="165"/>
      <c r="AU784" s="165"/>
      <c r="AV784" s="165"/>
      <c r="AW784" s="165"/>
      <c r="AX784" s="165"/>
    </row>
    <row r="785" ht="15.75" customHeight="1">
      <c r="A785" s="165"/>
      <c r="B785" s="165"/>
      <c r="C785" s="165"/>
      <c r="D785" s="165"/>
      <c r="E785" s="165"/>
      <c r="F785" s="165"/>
      <c r="G785" s="165"/>
      <c r="H785" s="165"/>
      <c r="I785" s="165"/>
      <c r="J785" s="165"/>
      <c r="K785" s="165"/>
      <c r="L785" s="165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  <c r="AA785" s="165"/>
      <c r="AB785" s="165"/>
      <c r="AC785" s="165"/>
      <c r="AD785" s="165"/>
      <c r="AE785" s="165"/>
      <c r="AF785" s="165"/>
      <c r="AG785" s="165"/>
      <c r="AH785" s="165"/>
      <c r="AI785" s="165"/>
      <c r="AJ785" s="165"/>
      <c r="AK785" s="165"/>
      <c r="AL785" s="165"/>
      <c r="AM785" s="165"/>
      <c r="AN785" s="165"/>
      <c r="AO785" s="165"/>
      <c r="AP785" s="165"/>
      <c r="AQ785" s="165"/>
      <c r="AR785" s="165"/>
      <c r="AS785" s="165"/>
      <c r="AT785" s="165"/>
      <c r="AU785" s="165"/>
      <c r="AV785" s="165"/>
      <c r="AW785" s="165"/>
      <c r="AX785" s="165"/>
    </row>
    <row r="786" ht="15.75" customHeight="1">
      <c r="A786" s="165"/>
      <c r="B786" s="165"/>
      <c r="C786" s="165"/>
      <c r="D786" s="165"/>
      <c r="E786" s="165"/>
      <c r="F786" s="165"/>
      <c r="G786" s="165"/>
      <c r="H786" s="165"/>
      <c r="I786" s="165"/>
      <c r="J786" s="165"/>
      <c r="K786" s="165"/>
      <c r="L786" s="165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  <c r="AA786" s="165"/>
      <c r="AB786" s="165"/>
      <c r="AC786" s="165"/>
      <c r="AD786" s="165"/>
      <c r="AE786" s="165"/>
      <c r="AF786" s="165"/>
      <c r="AG786" s="165"/>
      <c r="AH786" s="165"/>
      <c r="AI786" s="165"/>
      <c r="AJ786" s="165"/>
      <c r="AK786" s="165"/>
      <c r="AL786" s="165"/>
      <c r="AM786" s="165"/>
      <c r="AN786" s="165"/>
      <c r="AO786" s="165"/>
      <c r="AP786" s="165"/>
      <c r="AQ786" s="165"/>
      <c r="AR786" s="165"/>
      <c r="AS786" s="165"/>
      <c r="AT786" s="165"/>
      <c r="AU786" s="165"/>
      <c r="AV786" s="165"/>
      <c r="AW786" s="165"/>
      <c r="AX786" s="165"/>
    </row>
    <row r="787" ht="15.75" customHeight="1">
      <c r="A787" s="165"/>
      <c r="B787" s="165"/>
      <c r="C787" s="165"/>
      <c r="D787" s="165"/>
      <c r="E787" s="165"/>
      <c r="F787" s="165"/>
      <c r="G787" s="165"/>
      <c r="H787" s="165"/>
      <c r="I787" s="165"/>
      <c r="J787" s="165"/>
      <c r="K787" s="165"/>
      <c r="L787" s="165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  <c r="AA787" s="165"/>
      <c r="AB787" s="165"/>
      <c r="AC787" s="165"/>
      <c r="AD787" s="165"/>
      <c r="AE787" s="165"/>
      <c r="AF787" s="165"/>
      <c r="AG787" s="165"/>
      <c r="AH787" s="165"/>
      <c r="AI787" s="165"/>
      <c r="AJ787" s="165"/>
      <c r="AK787" s="165"/>
      <c r="AL787" s="165"/>
      <c r="AM787" s="165"/>
      <c r="AN787" s="165"/>
      <c r="AO787" s="165"/>
      <c r="AP787" s="165"/>
      <c r="AQ787" s="165"/>
      <c r="AR787" s="165"/>
      <c r="AS787" s="165"/>
      <c r="AT787" s="165"/>
      <c r="AU787" s="165"/>
      <c r="AV787" s="165"/>
      <c r="AW787" s="165"/>
      <c r="AX787" s="165"/>
    </row>
    <row r="788" ht="15.75" customHeight="1">
      <c r="A788" s="165"/>
      <c r="B788" s="165"/>
      <c r="C788" s="165"/>
      <c r="D788" s="165"/>
      <c r="E788" s="165"/>
      <c r="F788" s="165"/>
      <c r="G788" s="165"/>
      <c r="H788" s="165"/>
      <c r="I788" s="165"/>
      <c r="J788" s="165"/>
      <c r="K788" s="165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  <c r="AA788" s="165"/>
      <c r="AB788" s="165"/>
      <c r="AC788" s="165"/>
      <c r="AD788" s="165"/>
      <c r="AE788" s="165"/>
      <c r="AF788" s="165"/>
      <c r="AG788" s="165"/>
      <c r="AH788" s="165"/>
      <c r="AI788" s="165"/>
      <c r="AJ788" s="165"/>
      <c r="AK788" s="165"/>
      <c r="AL788" s="165"/>
      <c r="AM788" s="165"/>
      <c r="AN788" s="165"/>
      <c r="AO788" s="165"/>
      <c r="AP788" s="165"/>
      <c r="AQ788" s="165"/>
      <c r="AR788" s="165"/>
      <c r="AS788" s="165"/>
      <c r="AT788" s="165"/>
      <c r="AU788" s="165"/>
      <c r="AV788" s="165"/>
      <c r="AW788" s="165"/>
      <c r="AX788" s="165"/>
    </row>
    <row r="789" ht="15.75" customHeight="1">
      <c r="A789" s="165"/>
      <c r="B789" s="165"/>
      <c r="C789" s="165"/>
      <c r="D789" s="165"/>
      <c r="E789" s="165"/>
      <c r="F789" s="165"/>
      <c r="G789" s="165"/>
      <c r="H789" s="165"/>
      <c r="I789" s="165"/>
      <c r="J789" s="165"/>
      <c r="K789" s="165"/>
      <c r="L789" s="165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  <c r="AA789" s="165"/>
      <c r="AB789" s="165"/>
      <c r="AC789" s="165"/>
      <c r="AD789" s="165"/>
      <c r="AE789" s="165"/>
      <c r="AF789" s="165"/>
      <c r="AG789" s="165"/>
      <c r="AH789" s="165"/>
      <c r="AI789" s="165"/>
      <c r="AJ789" s="165"/>
      <c r="AK789" s="165"/>
      <c r="AL789" s="165"/>
      <c r="AM789" s="165"/>
      <c r="AN789" s="165"/>
      <c r="AO789" s="165"/>
      <c r="AP789" s="165"/>
      <c r="AQ789" s="165"/>
      <c r="AR789" s="165"/>
      <c r="AS789" s="165"/>
      <c r="AT789" s="165"/>
      <c r="AU789" s="165"/>
      <c r="AV789" s="165"/>
      <c r="AW789" s="165"/>
      <c r="AX789" s="165"/>
    </row>
    <row r="790" ht="15.75" customHeight="1">
      <c r="A790" s="165"/>
      <c r="B790" s="165"/>
      <c r="C790" s="165"/>
      <c r="D790" s="165"/>
      <c r="E790" s="165"/>
      <c r="F790" s="165"/>
      <c r="G790" s="165"/>
      <c r="H790" s="165"/>
      <c r="I790" s="165"/>
      <c r="J790" s="165"/>
      <c r="K790" s="165"/>
      <c r="L790" s="165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  <c r="AA790" s="165"/>
      <c r="AB790" s="165"/>
      <c r="AC790" s="165"/>
      <c r="AD790" s="165"/>
      <c r="AE790" s="165"/>
      <c r="AF790" s="165"/>
      <c r="AG790" s="165"/>
      <c r="AH790" s="165"/>
      <c r="AI790" s="165"/>
      <c r="AJ790" s="165"/>
      <c r="AK790" s="165"/>
      <c r="AL790" s="165"/>
      <c r="AM790" s="165"/>
      <c r="AN790" s="165"/>
      <c r="AO790" s="165"/>
      <c r="AP790" s="165"/>
      <c r="AQ790" s="165"/>
      <c r="AR790" s="165"/>
      <c r="AS790" s="165"/>
      <c r="AT790" s="165"/>
      <c r="AU790" s="165"/>
      <c r="AV790" s="165"/>
      <c r="AW790" s="165"/>
      <c r="AX790" s="165"/>
    </row>
    <row r="791" ht="15.75" customHeight="1">
      <c r="A791" s="165"/>
      <c r="B791" s="165"/>
      <c r="C791" s="165"/>
      <c r="D791" s="165"/>
      <c r="E791" s="165"/>
      <c r="F791" s="165"/>
      <c r="G791" s="165"/>
      <c r="H791" s="165"/>
      <c r="I791" s="165"/>
      <c r="J791" s="165"/>
      <c r="K791" s="165"/>
      <c r="L791" s="165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  <c r="AA791" s="165"/>
      <c r="AB791" s="165"/>
      <c r="AC791" s="165"/>
      <c r="AD791" s="165"/>
      <c r="AE791" s="165"/>
      <c r="AF791" s="165"/>
      <c r="AG791" s="165"/>
      <c r="AH791" s="165"/>
      <c r="AI791" s="165"/>
      <c r="AJ791" s="165"/>
      <c r="AK791" s="165"/>
      <c r="AL791" s="165"/>
      <c r="AM791" s="165"/>
      <c r="AN791" s="165"/>
      <c r="AO791" s="165"/>
      <c r="AP791" s="165"/>
      <c r="AQ791" s="165"/>
      <c r="AR791" s="165"/>
      <c r="AS791" s="165"/>
      <c r="AT791" s="165"/>
      <c r="AU791" s="165"/>
      <c r="AV791" s="165"/>
      <c r="AW791" s="165"/>
      <c r="AX791" s="165"/>
    </row>
    <row r="792" ht="15.75" customHeight="1">
      <c r="A792" s="165"/>
      <c r="B792" s="165"/>
      <c r="C792" s="165"/>
      <c r="D792" s="165"/>
      <c r="E792" s="165"/>
      <c r="F792" s="165"/>
      <c r="G792" s="165"/>
      <c r="H792" s="165"/>
      <c r="I792" s="165"/>
      <c r="J792" s="165"/>
      <c r="K792" s="165"/>
      <c r="L792" s="165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  <c r="AA792" s="165"/>
      <c r="AB792" s="165"/>
      <c r="AC792" s="165"/>
      <c r="AD792" s="165"/>
      <c r="AE792" s="165"/>
      <c r="AF792" s="165"/>
      <c r="AG792" s="165"/>
      <c r="AH792" s="165"/>
      <c r="AI792" s="165"/>
      <c r="AJ792" s="165"/>
      <c r="AK792" s="165"/>
      <c r="AL792" s="165"/>
      <c r="AM792" s="165"/>
      <c r="AN792" s="165"/>
      <c r="AO792" s="165"/>
      <c r="AP792" s="165"/>
      <c r="AQ792" s="165"/>
      <c r="AR792" s="165"/>
      <c r="AS792" s="165"/>
      <c r="AT792" s="165"/>
      <c r="AU792" s="165"/>
      <c r="AV792" s="165"/>
      <c r="AW792" s="165"/>
      <c r="AX792" s="165"/>
    </row>
    <row r="793" ht="15.75" customHeight="1">
      <c r="A793" s="165"/>
      <c r="B793" s="165"/>
      <c r="C793" s="165"/>
      <c r="D793" s="165"/>
      <c r="E793" s="165"/>
      <c r="F793" s="165"/>
      <c r="G793" s="165"/>
      <c r="H793" s="165"/>
      <c r="I793" s="165"/>
      <c r="J793" s="165"/>
      <c r="K793" s="165"/>
      <c r="L793" s="165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  <c r="AA793" s="165"/>
      <c r="AB793" s="165"/>
      <c r="AC793" s="165"/>
      <c r="AD793" s="165"/>
      <c r="AE793" s="165"/>
      <c r="AF793" s="165"/>
      <c r="AG793" s="165"/>
      <c r="AH793" s="165"/>
      <c r="AI793" s="165"/>
      <c r="AJ793" s="165"/>
      <c r="AK793" s="165"/>
      <c r="AL793" s="165"/>
      <c r="AM793" s="165"/>
      <c r="AN793" s="165"/>
      <c r="AO793" s="165"/>
      <c r="AP793" s="165"/>
      <c r="AQ793" s="165"/>
      <c r="AR793" s="165"/>
      <c r="AS793" s="165"/>
      <c r="AT793" s="165"/>
      <c r="AU793" s="165"/>
      <c r="AV793" s="165"/>
      <c r="AW793" s="165"/>
      <c r="AX793" s="165"/>
    </row>
    <row r="794" ht="15.75" customHeight="1">
      <c r="A794" s="165"/>
      <c r="B794" s="165"/>
      <c r="C794" s="165"/>
      <c r="D794" s="165"/>
      <c r="E794" s="165"/>
      <c r="F794" s="165"/>
      <c r="G794" s="165"/>
      <c r="H794" s="165"/>
      <c r="I794" s="165"/>
      <c r="J794" s="165"/>
      <c r="K794" s="165"/>
      <c r="L794" s="165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  <c r="AA794" s="165"/>
      <c r="AB794" s="165"/>
      <c r="AC794" s="165"/>
      <c r="AD794" s="165"/>
      <c r="AE794" s="165"/>
      <c r="AF794" s="165"/>
      <c r="AG794" s="165"/>
      <c r="AH794" s="165"/>
      <c r="AI794" s="165"/>
      <c r="AJ794" s="165"/>
      <c r="AK794" s="165"/>
      <c r="AL794" s="165"/>
      <c r="AM794" s="165"/>
      <c r="AN794" s="165"/>
      <c r="AO794" s="165"/>
      <c r="AP794" s="165"/>
      <c r="AQ794" s="165"/>
      <c r="AR794" s="165"/>
      <c r="AS794" s="165"/>
      <c r="AT794" s="165"/>
      <c r="AU794" s="165"/>
      <c r="AV794" s="165"/>
      <c r="AW794" s="165"/>
      <c r="AX794" s="165"/>
    </row>
    <row r="795" ht="15.75" customHeight="1">
      <c r="A795" s="165"/>
      <c r="B795" s="165"/>
      <c r="C795" s="165"/>
      <c r="D795" s="165"/>
      <c r="E795" s="165"/>
      <c r="F795" s="165"/>
      <c r="G795" s="165"/>
      <c r="H795" s="165"/>
      <c r="I795" s="165"/>
      <c r="J795" s="165"/>
      <c r="K795" s="165"/>
      <c r="L795" s="165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  <c r="AA795" s="165"/>
      <c r="AB795" s="165"/>
      <c r="AC795" s="165"/>
      <c r="AD795" s="165"/>
      <c r="AE795" s="165"/>
      <c r="AF795" s="165"/>
      <c r="AG795" s="165"/>
      <c r="AH795" s="165"/>
      <c r="AI795" s="165"/>
      <c r="AJ795" s="165"/>
      <c r="AK795" s="165"/>
      <c r="AL795" s="165"/>
      <c r="AM795" s="165"/>
      <c r="AN795" s="165"/>
      <c r="AO795" s="165"/>
      <c r="AP795" s="165"/>
      <c r="AQ795" s="165"/>
      <c r="AR795" s="165"/>
      <c r="AS795" s="165"/>
      <c r="AT795" s="165"/>
      <c r="AU795" s="165"/>
      <c r="AV795" s="165"/>
      <c r="AW795" s="165"/>
      <c r="AX795" s="165"/>
    </row>
    <row r="796" ht="15.75" customHeight="1">
      <c r="A796" s="165"/>
      <c r="B796" s="165"/>
      <c r="C796" s="165"/>
      <c r="D796" s="165"/>
      <c r="E796" s="165"/>
      <c r="F796" s="165"/>
      <c r="G796" s="165"/>
      <c r="H796" s="165"/>
      <c r="I796" s="165"/>
      <c r="J796" s="165"/>
      <c r="K796" s="165"/>
      <c r="L796" s="165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  <c r="AA796" s="165"/>
      <c r="AB796" s="165"/>
      <c r="AC796" s="165"/>
      <c r="AD796" s="165"/>
      <c r="AE796" s="165"/>
      <c r="AF796" s="165"/>
      <c r="AG796" s="165"/>
      <c r="AH796" s="165"/>
      <c r="AI796" s="165"/>
      <c r="AJ796" s="165"/>
      <c r="AK796" s="165"/>
      <c r="AL796" s="165"/>
      <c r="AM796" s="165"/>
      <c r="AN796" s="165"/>
      <c r="AO796" s="165"/>
      <c r="AP796" s="165"/>
      <c r="AQ796" s="165"/>
      <c r="AR796" s="165"/>
      <c r="AS796" s="165"/>
      <c r="AT796" s="165"/>
      <c r="AU796" s="165"/>
      <c r="AV796" s="165"/>
      <c r="AW796" s="165"/>
      <c r="AX796" s="165"/>
    </row>
    <row r="797" ht="15.75" customHeight="1">
      <c r="A797" s="165"/>
      <c r="B797" s="165"/>
      <c r="C797" s="165"/>
      <c r="D797" s="165"/>
      <c r="E797" s="165"/>
      <c r="F797" s="165"/>
      <c r="G797" s="165"/>
      <c r="H797" s="165"/>
      <c r="I797" s="165"/>
      <c r="J797" s="165"/>
      <c r="K797" s="165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  <c r="AA797" s="165"/>
      <c r="AB797" s="165"/>
      <c r="AC797" s="165"/>
      <c r="AD797" s="165"/>
      <c r="AE797" s="165"/>
      <c r="AF797" s="165"/>
      <c r="AG797" s="165"/>
      <c r="AH797" s="165"/>
      <c r="AI797" s="165"/>
      <c r="AJ797" s="165"/>
      <c r="AK797" s="165"/>
      <c r="AL797" s="165"/>
      <c r="AM797" s="165"/>
      <c r="AN797" s="165"/>
      <c r="AO797" s="165"/>
      <c r="AP797" s="165"/>
      <c r="AQ797" s="165"/>
      <c r="AR797" s="165"/>
      <c r="AS797" s="165"/>
      <c r="AT797" s="165"/>
      <c r="AU797" s="165"/>
      <c r="AV797" s="165"/>
      <c r="AW797" s="165"/>
      <c r="AX797" s="165"/>
    </row>
    <row r="798" ht="15.75" customHeight="1">
      <c r="A798" s="165"/>
      <c r="B798" s="165"/>
      <c r="C798" s="165"/>
      <c r="D798" s="165"/>
      <c r="E798" s="165"/>
      <c r="F798" s="165"/>
      <c r="G798" s="165"/>
      <c r="H798" s="165"/>
      <c r="I798" s="165"/>
      <c r="J798" s="165"/>
      <c r="K798" s="165"/>
      <c r="L798" s="165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  <c r="AA798" s="165"/>
      <c r="AB798" s="165"/>
      <c r="AC798" s="165"/>
      <c r="AD798" s="165"/>
      <c r="AE798" s="165"/>
      <c r="AF798" s="165"/>
      <c r="AG798" s="165"/>
      <c r="AH798" s="165"/>
      <c r="AI798" s="165"/>
      <c r="AJ798" s="165"/>
      <c r="AK798" s="165"/>
      <c r="AL798" s="165"/>
      <c r="AM798" s="165"/>
      <c r="AN798" s="165"/>
      <c r="AO798" s="165"/>
      <c r="AP798" s="165"/>
      <c r="AQ798" s="165"/>
      <c r="AR798" s="165"/>
      <c r="AS798" s="165"/>
      <c r="AT798" s="165"/>
      <c r="AU798" s="165"/>
      <c r="AV798" s="165"/>
      <c r="AW798" s="165"/>
      <c r="AX798" s="165"/>
    </row>
    <row r="799" ht="15.75" customHeight="1">
      <c r="A799" s="165"/>
      <c r="B799" s="165"/>
      <c r="C799" s="165"/>
      <c r="D799" s="165"/>
      <c r="E799" s="165"/>
      <c r="F799" s="165"/>
      <c r="G799" s="165"/>
      <c r="H799" s="165"/>
      <c r="I799" s="165"/>
      <c r="J799" s="165"/>
      <c r="K799" s="165"/>
      <c r="L799" s="165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  <c r="AA799" s="165"/>
      <c r="AB799" s="165"/>
      <c r="AC799" s="165"/>
      <c r="AD799" s="165"/>
      <c r="AE799" s="165"/>
      <c r="AF799" s="165"/>
      <c r="AG799" s="165"/>
      <c r="AH799" s="165"/>
      <c r="AI799" s="165"/>
      <c r="AJ799" s="165"/>
      <c r="AK799" s="165"/>
      <c r="AL799" s="165"/>
      <c r="AM799" s="165"/>
      <c r="AN799" s="165"/>
      <c r="AO799" s="165"/>
      <c r="AP799" s="165"/>
      <c r="AQ799" s="165"/>
      <c r="AR799" s="165"/>
      <c r="AS799" s="165"/>
      <c r="AT799" s="165"/>
      <c r="AU799" s="165"/>
      <c r="AV799" s="165"/>
      <c r="AW799" s="165"/>
      <c r="AX799" s="165"/>
    </row>
    <row r="800" ht="15.75" customHeight="1">
      <c r="A800" s="165"/>
      <c r="B800" s="165"/>
      <c r="C800" s="165"/>
      <c r="D800" s="165"/>
      <c r="E800" s="165"/>
      <c r="F800" s="165"/>
      <c r="G800" s="165"/>
      <c r="H800" s="165"/>
      <c r="I800" s="165"/>
      <c r="J800" s="165"/>
      <c r="K800" s="165"/>
      <c r="L800" s="165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  <c r="AA800" s="165"/>
      <c r="AB800" s="165"/>
      <c r="AC800" s="165"/>
      <c r="AD800" s="165"/>
      <c r="AE800" s="165"/>
      <c r="AF800" s="165"/>
      <c r="AG800" s="165"/>
      <c r="AH800" s="165"/>
      <c r="AI800" s="165"/>
      <c r="AJ800" s="165"/>
      <c r="AK800" s="165"/>
      <c r="AL800" s="165"/>
      <c r="AM800" s="165"/>
      <c r="AN800" s="165"/>
      <c r="AO800" s="165"/>
      <c r="AP800" s="165"/>
      <c r="AQ800" s="165"/>
      <c r="AR800" s="165"/>
      <c r="AS800" s="165"/>
      <c r="AT800" s="165"/>
      <c r="AU800" s="165"/>
      <c r="AV800" s="165"/>
      <c r="AW800" s="165"/>
      <c r="AX800" s="165"/>
    </row>
    <row r="801" ht="15.75" customHeight="1">
      <c r="A801" s="165"/>
      <c r="B801" s="165"/>
      <c r="C801" s="165"/>
      <c r="D801" s="165"/>
      <c r="E801" s="165"/>
      <c r="F801" s="165"/>
      <c r="G801" s="165"/>
      <c r="H801" s="165"/>
      <c r="I801" s="165"/>
      <c r="J801" s="165"/>
      <c r="K801" s="165"/>
      <c r="L801" s="165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  <c r="AA801" s="165"/>
      <c r="AB801" s="165"/>
      <c r="AC801" s="165"/>
      <c r="AD801" s="165"/>
      <c r="AE801" s="165"/>
      <c r="AF801" s="165"/>
      <c r="AG801" s="165"/>
      <c r="AH801" s="165"/>
      <c r="AI801" s="165"/>
      <c r="AJ801" s="165"/>
      <c r="AK801" s="165"/>
      <c r="AL801" s="165"/>
      <c r="AM801" s="165"/>
      <c r="AN801" s="165"/>
      <c r="AO801" s="165"/>
      <c r="AP801" s="165"/>
      <c r="AQ801" s="165"/>
      <c r="AR801" s="165"/>
      <c r="AS801" s="165"/>
      <c r="AT801" s="165"/>
      <c r="AU801" s="165"/>
      <c r="AV801" s="165"/>
      <c r="AW801" s="165"/>
      <c r="AX801" s="165"/>
    </row>
    <row r="802" ht="15.75" customHeight="1">
      <c r="A802" s="165"/>
      <c r="B802" s="165"/>
      <c r="C802" s="165"/>
      <c r="D802" s="165"/>
      <c r="E802" s="165"/>
      <c r="F802" s="165"/>
      <c r="G802" s="165"/>
      <c r="H802" s="165"/>
      <c r="I802" s="165"/>
      <c r="J802" s="165"/>
      <c r="K802" s="165"/>
      <c r="L802" s="165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  <c r="AA802" s="165"/>
      <c r="AB802" s="165"/>
      <c r="AC802" s="165"/>
      <c r="AD802" s="165"/>
      <c r="AE802" s="165"/>
      <c r="AF802" s="165"/>
      <c r="AG802" s="165"/>
      <c r="AH802" s="165"/>
      <c r="AI802" s="165"/>
      <c r="AJ802" s="165"/>
      <c r="AK802" s="165"/>
      <c r="AL802" s="165"/>
      <c r="AM802" s="165"/>
      <c r="AN802" s="165"/>
      <c r="AO802" s="165"/>
      <c r="AP802" s="165"/>
      <c r="AQ802" s="165"/>
      <c r="AR802" s="165"/>
      <c r="AS802" s="165"/>
      <c r="AT802" s="165"/>
      <c r="AU802" s="165"/>
      <c r="AV802" s="165"/>
      <c r="AW802" s="165"/>
      <c r="AX802" s="165"/>
    </row>
    <row r="803" ht="15.75" customHeight="1">
      <c r="A803" s="165"/>
      <c r="B803" s="165"/>
      <c r="C803" s="165"/>
      <c r="D803" s="165"/>
      <c r="E803" s="165"/>
      <c r="F803" s="165"/>
      <c r="G803" s="165"/>
      <c r="H803" s="165"/>
      <c r="I803" s="165"/>
      <c r="J803" s="165"/>
      <c r="K803" s="165"/>
      <c r="L803" s="165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  <c r="AA803" s="165"/>
      <c r="AB803" s="165"/>
      <c r="AC803" s="165"/>
      <c r="AD803" s="165"/>
      <c r="AE803" s="165"/>
      <c r="AF803" s="165"/>
      <c r="AG803" s="165"/>
      <c r="AH803" s="165"/>
      <c r="AI803" s="165"/>
      <c r="AJ803" s="165"/>
      <c r="AK803" s="165"/>
      <c r="AL803" s="165"/>
      <c r="AM803" s="165"/>
      <c r="AN803" s="165"/>
      <c r="AO803" s="165"/>
      <c r="AP803" s="165"/>
      <c r="AQ803" s="165"/>
      <c r="AR803" s="165"/>
      <c r="AS803" s="165"/>
      <c r="AT803" s="165"/>
      <c r="AU803" s="165"/>
      <c r="AV803" s="165"/>
      <c r="AW803" s="165"/>
      <c r="AX803" s="165"/>
    </row>
    <row r="804" ht="15.75" customHeight="1">
      <c r="A804" s="165"/>
      <c r="B804" s="165"/>
      <c r="C804" s="165"/>
      <c r="D804" s="165"/>
      <c r="E804" s="165"/>
      <c r="F804" s="165"/>
      <c r="G804" s="165"/>
      <c r="H804" s="165"/>
      <c r="I804" s="165"/>
      <c r="J804" s="165"/>
      <c r="K804" s="165"/>
      <c r="L804" s="165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  <c r="AA804" s="165"/>
      <c r="AB804" s="165"/>
      <c r="AC804" s="165"/>
      <c r="AD804" s="165"/>
      <c r="AE804" s="165"/>
      <c r="AF804" s="165"/>
      <c r="AG804" s="165"/>
      <c r="AH804" s="165"/>
      <c r="AI804" s="165"/>
      <c r="AJ804" s="165"/>
      <c r="AK804" s="165"/>
      <c r="AL804" s="165"/>
      <c r="AM804" s="165"/>
      <c r="AN804" s="165"/>
      <c r="AO804" s="165"/>
      <c r="AP804" s="165"/>
      <c r="AQ804" s="165"/>
      <c r="AR804" s="165"/>
      <c r="AS804" s="165"/>
      <c r="AT804" s="165"/>
      <c r="AU804" s="165"/>
      <c r="AV804" s="165"/>
      <c r="AW804" s="165"/>
      <c r="AX804" s="165"/>
    </row>
    <row r="805" ht="15.75" customHeight="1">
      <c r="A805" s="165"/>
      <c r="B805" s="165"/>
      <c r="C805" s="165"/>
      <c r="D805" s="165"/>
      <c r="E805" s="165"/>
      <c r="F805" s="165"/>
      <c r="G805" s="165"/>
      <c r="H805" s="165"/>
      <c r="I805" s="165"/>
      <c r="J805" s="165"/>
      <c r="K805" s="165"/>
      <c r="L805" s="165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  <c r="AA805" s="165"/>
      <c r="AB805" s="165"/>
      <c r="AC805" s="165"/>
      <c r="AD805" s="165"/>
      <c r="AE805" s="165"/>
      <c r="AF805" s="165"/>
      <c r="AG805" s="165"/>
      <c r="AH805" s="165"/>
      <c r="AI805" s="165"/>
      <c r="AJ805" s="165"/>
      <c r="AK805" s="165"/>
      <c r="AL805" s="165"/>
      <c r="AM805" s="165"/>
      <c r="AN805" s="165"/>
      <c r="AO805" s="165"/>
      <c r="AP805" s="165"/>
      <c r="AQ805" s="165"/>
      <c r="AR805" s="165"/>
      <c r="AS805" s="165"/>
      <c r="AT805" s="165"/>
      <c r="AU805" s="165"/>
      <c r="AV805" s="165"/>
      <c r="AW805" s="165"/>
      <c r="AX805" s="165"/>
    </row>
    <row r="806" ht="15.75" customHeight="1">
      <c r="A806" s="165"/>
      <c r="B806" s="165"/>
      <c r="C806" s="165"/>
      <c r="D806" s="165"/>
      <c r="E806" s="165"/>
      <c r="F806" s="165"/>
      <c r="G806" s="165"/>
      <c r="H806" s="165"/>
      <c r="I806" s="165"/>
      <c r="J806" s="165"/>
      <c r="K806" s="165"/>
      <c r="L806" s="165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  <c r="AA806" s="165"/>
      <c r="AB806" s="165"/>
      <c r="AC806" s="165"/>
      <c r="AD806" s="165"/>
      <c r="AE806" s="165"/>
      <c r="AF806" s="165"/>
      <c r="AG806" s="165"/>
      <c r="AH806" s="165"/>
      <c r="AI806" s="165"/>
      <c r="AJ806" s="165"/>
      <c r="AK806" s="165"/>
      <c r="AL806" s="165"/>
      <c r="AM806" s="165"/>
      <c r="AN806" s="165"/>
      <c r="AO806" s="165"/>
      <c r="AP806" s="165"/>
      <c r="AQ806" s="165"/>
      <c r="AR806" s="165"/>
      <c r="AS806" s="165"/>
      <c r="AT806" s="165"/>
      <c r="AU806" s="165"/>
      <c r="AV806" s="165"/>
      <c r="AW806" s="165"/>
      <c r="AX806" s="165"/>
    </row>
    <row r="807" ht="15.75" customHeight="1">
      <c r="A807" s="165"/>
      <c r="B807" s="165"/>
      <c r="C807" s="165"/>
      <c r="D807" s="165"/>
      <c r="E807" s="165"/>
      <c r="F807" s="165"/>
      <c r="G807" s="165"/>
      <c r="H807" s="165"/>
      <c r="I807" s="165"/>
      <c r="J807" s="165"/>
      <c r="K807" s="165"/>
      <c r="L807" s="165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  <c r="AA807" s="165"/>
      <c r="AB807" s="165"/>
      <c r="AC807" s="165"/>
      <c r="AD807" s="165"/>
      <c r="AE807" s="165"/>
      <c r="AF807" s="165"/>
      <c r="AG807" s="165"/>
      <c r="AH807" s="165"/>
      <c r="AI807" s="165"/>
      <c r="AJ807" s="165"/>
      <c r="AK807" s="165"/>
      <c r="AL807" s="165"/>
      <c r="AM807" s="165"/>
      <c r="AN807" s="165"/>
      <c r="AO807" s="165"/>
      <c r="AP807" s="165"/>
      <c r="AQ807" s="165"/>
      <c r="AR807" s="165"/>
      <c r="AS807" s="165"/>
      <c r="AT807" s="165"/>
      <c r="AU807" s="165"/>
      <c r="AV807" s="165"/>
      <c r="AW807" s="165"/>
      <c r="AX807" s="165"/>
    </row>
    <row r="808" ht="15.75" customHeight="1">
      <c r="A808" s="165"/>
      <c r="B808" s="165"/>
      <c r="C808" s="165"/>
      <c r="D808" s="165"/>
      <c r="E808" s="165"/>
      <c r="F808" s="165"/>
      <c r="G808" s="165"/>
      <c r="H808" s="165"/>
      <c r="I808" s="165"/>
      <c r="J808" s="165"/>
      <c r="K808" s="165"/>
      <c r="L808" s="165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  <c r="AA808" s="165"/>
      <c r="AB808" s="165"/>
      <c r="AC808" s="165"/>
      <c r="AD808" s="165"/>
      <c r="AE808" s="165"/>
      <c r="AF808" s="165"/>
      <c r="AG808" s="165"/>
      <c r="AH808" s="165"/>
      <c r="AI808" s="165"/>
      <c r="AJ808" s="165"/>
      <c r="AK808" s="165"/>
      <c r="AL808" s="165"/>
      <c r="AM808" s="165"/>
      <c r="AN808" s="165"/>
      <c r="AO808" s="165"/>
      <c r="AP808" s="165"/>
      <c r="AQ808" s="165"/>
      <c r="AR808" s="165"/>
      <c r="AS808" s="165"/>
      <c r="AT808" s="165"/>
      <c r="AU808" s="165"/>
      <c r="AV808" s="165"/>
      <c r="AW808" s="165"/>
      <c r="AX808" s="165"/>
    </row>
    <row r="809" ht="15.75" customHeight="1">
      <c r="A809" s="165"/>
      <c r="B809" s="165"/>
      <c r="C809" s="165"/>
      <c r="D809" s="165"/>
      <c r="E809" s="165"/>
      <c r="F809" s="165"/>
      <c r="G809" s="165"/>
      <c r="H809" s="165"/>
      <c r="I809" s="165"/>
      <c r="J809" s="165"/>
      <c r="K809" s="165"/>
      <c r="L809" s="165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  <c r="AA809" s="165"/>
      <c r="AB809" s="165"/>
      <c r="AC809" s="165"/>
      <c r="AD809" s="165"/>
      <c r="AE809" s="165"/>
      <c r="AF809" s="165"/>
      <c r="AG809" s="165"/>
      <c r="AH809" s="165"/>
      <c r="AI809" s="165"/>
      <c r="AJ809" s="165"/>
      <c r="AK809" s="165"/>
      <c r="AL809" s="165"/>
      <c r="AM809" s="165"/>
      <c r="AN809" s="165"/>
      <c r="AO809" s="165"/>
      <c r="AP809" s="165"/>
      <c r="AQ809" s="165"/>
      <c r="AR809" s="165"/>
      <c r="AS809" s="165"/>
      <c r="AT809" s="165"/>
      <c r="AU809" s="165"/>
      <c r="AV809" s="165"/>
      <c r="AW809" s="165"/>
      <c r="AX809" s="165"/>
    </row>
    <row r="810" ht="15.75" customHeight="1">
      <c r="A810" s="165"/>
      <c r="B810" s="165"/>
      <c r="C810" s="165"/>
      <c r="D810" s="165"/>
      <c r="E810" s="165"/>
      <c r="F810" s="165"/>
      <c r="G810" s="165"/>
      <c r="H810" s="165"/>
      <c r="I810" s="165"/>
      <c r="J810" s="165"/>
      <c r="K810" s="165"/>
      <c r="L810" s="165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  <c r="AA810" s="165"/>
      <c r="AB810" s="165"/>
      <c r="AC810" s="165"/>
      <c r="AD810" s="165"/>
      <c r="AE810" s="165"/>
      <c r="AF810" s="165"/>
      <c r="AG810" s="165"/>
      <c r="AH810" s="165"/>
      <c r="AI810" s="165"/>
      <c r="AJ810" s="165"/>
      <c r="AK810" s="165"/>
      <c r="AL810" s="165"/>
      <c r="AM810" s="165"/>
      <c r="AN810" s="165"/>
      <c r="AO810" s="165"/>
      <c r="AP810" s="165"/>
      <c r="AQ810" s="165"/>
      <c r="AR810" s="165"/>
      <c r="AS810" s="165"/>
      <c r="AT810" s="165"/>
      <c r="AU810" s="165"/>
      <c r="AV810" s="165"/>
      <c r="AW810" s="165"/>
      <c r="AX810" s="165"/>
    </row>
    <row r="811" ht="15.75" customHeight="1">
      <c r="A811" s="165"/>
      <c r="B811" s="165"/>
      <c r="C811" s="165"/>
      <c r="D811" s="165"/>
      <c r="E811" s="165"/>
      <c r="F811" s="165"/>
      <c r="G811" s="165"/>
      <c r="H811" s="165"/>
      <c r="I811" s="165"/>
      <c r="J811" s="165"/>
      <c r="K811" s="165"/>
      <c r="L811" s="165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  <c r="AA811" s="165"/>
      <c r="AB811" s="165"/>
      <c r="AC811" s="165"/>
      <c r="AD811" s="165"/>
      <c r="AE811" s="165"/>
      <c r="AF811" s="165"/>
      <c r="AG811" s="165"/>
      <c r="AH811" s="165"/>
      <c r="AI811" s="165"/>
      <c r="AJ811" s="165"/>
      <c r="AK811" s="165"/>
      <c r="AL811" s="165"/>
      <c r="AM811" s="165"/>
      <c r="AN811" s="165"/>
      <c r="AO811" s="165"/>
      <c r="AP811" s="165"/>
      <c r="AQ811" s="165"/>
      <c r="AR811" s="165"/>
      <c r="AS811" s="165"/>
      <c r="AT811" s="165"/>
      <c r="AU811" s="165"/>
      <c r="AV811" s="165"/>
      <c r="AW811" s="165"/>
      <c r="AX811" s="165"/>
    </row>
    <row r="812" ht="15.75" customHeight="1">
      <c r="A812" s="165"/>
      <c r="B812" s="165"/>
      <c r="C812" s="165"/>
      <c r="D812" s="165"/>
      <c r="E812" s="165"/>
      <c r="F812" s="165"/>
      <c r="G812" s="165"/>
      <c r="H812" s="165"/>
      <c r="I812" s="165"/>
      <c r="J812" s="165"/>
      <c r="K812" s="165"/>
      <c r="L812" s="165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  <c r="AA812" s="165"/>
      <c r="AB812" s="165"/>
      <c r="AC812" s="165"/>
      <c r="AD812" s="165"/>
      <c r="AE812" s="165"/>
      <c r="AF812" s="165"/>
      <c r="AG812" s="165"/>
      <c r="AH812" s="165"/>
      <c r="AI812" s="165"/>
      <c r="AJ812" s="165"/>
      <c r="AK812" s="165"/>
      <c r="AL812" s="165"/>
      <c r="AM812" s="165"/>
      <c r="AN812" s="165"/>
      <c r="AO812" s="165"/>
      <c r="AP812" s="165"/>
      <c r="AQ812" s="165"/>
      <c r="AR812" s="165"/>
      <c r="AS812" s="165"/>
      <c r="AT812" s="165"/>
      <c r="AU812" s="165"/>
      <c r="AV812" s="165"/>
      <c r="AW812" s="165"/>
      <c r="AX812" s="165"/>
    </row>
    <row r="813" ht="15.75" customHeight="1">
      <c r="A813" s="165"/>
      <c r="B813" s="165"/>
      <c r="C813" s="165"/>
      <c r="D813" s="165"/>
      <c r="E813" s="165"/>
      <c r="F813" s="165"/>
      <c r="G813" s="165"/>
      <c r="H813" s="165"/>
      <c r="I813" s="165"/>
      <c r="J813" s="165"/>
      <c r="K813" s="165"/>
      <c r="L813" s="165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  <c r="AA813" s="165"/>
      <c r="AB813" s="165"/>
      <c r="AC813" s="165"/>
      <c r="AD813" s="165"/>
      <c r="AE813" s="165"/>
      <c r="AF813" s="165"/>
      <c r="AG813" s="165"/>
      <c r="AH813" s="165"/>
      <c r="AI813" s="165"/>
      <c r="AJ813" s="165"/>
      <c r="AK813" s="165"/>
      <c r="AL813" s="165"/>
      <c r="AM813" s="165"/>
      <c r="AN813" s="165"/>
      <c r="AO813" s="165"/>
      <c r="AP813" s="165"/>
      <c r="AQ813" s="165"/>
      <c r="AR813" s="165"/>
      <c r="AS813" s="165"/>
      <c r="AT813" s="165"/>
      <c r="AU813" s="165"/>
      <c r="AV813" s="165"/>
      <c r="AW813" s="165"/>
      <c r="AX813" s="165"/>
    </row>
    <row r="814" ht="15.75" customHeight="1">
      <c r="A814" s="165"/>
      <c r="B814" s="165"/>
      <c r="C814" s="165"/>
      <c r="D814" s="165"/>
      <c r="E814" s="165"/>
      <c r="F814" s="165"/>
      <c r="G814" s="165"/>
      <c r="H814" s="165"/>
      <c r="I814" s="165"/>
      <c r="J814" s="165"/>
      <c r="K814" s="165"/>
      <c r="L814" s="165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  <c r="AA814" s="165"/>
      <c r="AB814" s="165"/>
      <c r="AC814" s="165"/>
      <c r="AD814" s="165"/>
      <c r="AE814" s="165"/>
      <c r="AF814" s="165"/>
      <c r="AG814" s="165"/>
      <c r="AH814" s="165"/>
      <c r="AI814" s="165"/>
      <c r="AJ814" s="165"/>
      <c r="AK814" s="165"/>
      <c r="AL814" s="165"/>
      <c r="AM814" s="165"/>
      <c r="AN814" s="165"/>
      <c r="AO814" s="165"/>
      <c r="AP814" s="165"/>
      <c r="AQ814" s="165"/>
      <c r="AR814" s="165"/>
      <c r="AS814" s="165"/>
      <c r="AT814" s="165"/>
      <c r="AU814" s="165"/>
      <c r="AV814" s="165"/>
      <c r="AW814" s="165"/>
      <c r="AX814" s="165"/>
    </row>
    <row r="815" ht="15.75" customHeight="1">
      <c r="A815" s="165"/>
      <c r="B815" s="165"/>
      <c r="C815" s="165"/>
      <c r="D815" s="165"/>
      <c r="E815" s="165"/>
      <c r="F815" s="165"/>
      <c r="G815" s="165"/>
      <c r="H815" s="165"/>
      <c r="I815" s="165"/>
      <c r="J815" s="165"/>
      <c r="K815" s="165"/>
      <c r="L815" s="165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  <c r="AA815" s="165"/>
      <c r="AB815" s="165"/>
      <c r="AC815" s="165"/>
      <c r="AD815" s="165"/>
      <c r="AE815" s="165"/>
      <c r="AF815" s="165"/>
      <c r="AG815" s="165"/>
      <c r="AH815" s="165"/>
      <c r="AI815" s="165"/>
      <c r="AJ815" s="165"/>
      <c r="AK815" s="165"/>
      <c r="AL815" s="165"/>
      <c r="AM815" s="165"/>
      <c r="AN815" s="165"/>
      <c r="AO815" s="165"/>
      <c r="AP815" s="165"/>
      <c r="AQ815" s="165"/>
      <c r="AR815" s="165"/>
      <c r="AS815" s="165"/>
      <c r="AT815" s="165"/>
      <c r="AU815" s="165"/>
      <c r="AV815" s="165"/>
      <c r="AW815" s="165"/>
      <c r="AX815" s="165"/>
    </row>
    <row r="816" ht="15.75" customHeight="1">
      <c r="A816" s="165"/>
      <c r="B816" s="165"/>
      <c r="C816" s="165"/>
      <c r="D816" s="165"/>
      <c r="E816" s="165"/>
      <c r="F816" s="165"/>
      <c r="G816" s="165"/>
      <c r="H816" s="165"/>
      <c r="I816" s="165"/>
      <c r="J816" s="165"/>
      <c r="K816" s="165"/>
      <c r="L816" s="165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  <c r="AA816" s="165"/>
      <c r="AB816" s="165"/>
      <c r="AC816" s="165"/>
      <c r="AD816" s="165"/>
      <c r="AE816" s="165"/>
      <c r="AF816" s="165"/>
      <c r="AG816" s="165"/>
      <c r="AH816" s="165"/>
      <c r="AI816" s="165"/>
      <c r="AJ816" s="165"/>
      <c r="AK816" s="165"/>
      <c r="AL816" s="165"/>
      <c r="AM816" s="165"/>
      <c r="AN816" s="165"/>
      <c r="AO816" s="165"/>
      <c r="AP816" s="165"/>
      <c r="AQ816" s="165"/>
      <c r="AR816" s="165"/>
      <c r="AS816" s="165"/>
      <c r="AT816" s="165"/>
      <c r="AU816" s="165"/>
      <c r="AV816" s="165"/>
      <c r="AW816" s="165"/>
      <c r="AX816" s="165"/>
    </row>
    <row r="817" ht="15.75" customHeight="1">
      <c r="A817" s="165"/>
      <c r="B817" s="165"/>
      <c r="C817" s="165"/>
      <c r="D817" s="165"/>
      <c r="E817" s="165"/>
      <c r="F817" s="165"/>
      <c r="G817" s="165"/>
      <c r="H817" s="165"/>
      <c r="I817" s="165"/>
      <c r="J817" s="165"/>
      <c r="K817" s="165"/>
      <c r="L817" s="165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  <c r="AA817" s="165"/>
      <c r="AB817" s="165"/>
      <c r="AC817" s="165"/>
      <c r="AD817" s="165"/>
      <c r="AE817" s="165"/>
      <c r="AF817" s="165"/>
      <c r="AG817" s="165"/>
      <c r="AH817" s="165"/>
      <c r="AI817" s="165"/>
      <c r="AJ817" s="165"/>
      <c r="AK817" s="165"/>
      <c r="AL817" s="165"/>
      <c r="AM817" s="165"/>
      <c r="AN817" s="165"/>
      <c r="AO817" s="165"/>
      <c r="AP817" s="165"/>
      <c r="AQ817" s="165"/>
      <c r="AR817" s="165"/>
      <c r="AS817" s="165"/>
      <c r="AT817" s="165"/>
      <c r="AU817" s="165"/>
      <c r="AV817" s="165"/>
      <c r="AW817" s="165"/>
      <c r="AX817" s="165"/>
    </row>
    <row r="818" ht="15.75" customHeight="1">
      <c r="A818" s="165"/>
      <c r="B818" s="165"/>
      <c r="C818" s="165"/>
      <c r="D818" s="165"/>
      <c r="E818" s="165"/>
      <c r="F818" s="165"/>
      <c r="G818" s="165"/>
      <c r="H818" s="165"/>
      <c r="I818" s="165"/>
      <c r="J818" s="165"/>
      <c r="K818" s="165"/>
      <c r="L818" s="165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  <c r="AA818" s="165"/>
      <c r="AB818" s="165"/>
      <c r="AC818" s="165"/>
      <c r="AD818" s="165"/>
      <c r="AE818" s="165"/>
      <c r="AF818" s="165"/>
      <c r="AG818" s="165"/>
      <c r="AH818" s="165"/>
      <c r="AI818" s="165"/>
      <c r="AJ818" s="165"/>
      <c r="AK818" s="165"/>
      <c r="AL818" s="165"/>
      <c r="AM818" s="165"/>
      <c r="AN818" s="165"/>
      <c r="AO818" s="165"/>
      <c r="AP818" s="165"/>
      <c r="AQ818" s="165"/>
      <c r="AR818" s="165"/>
      <c r="AS818" s="165"/>
      <c r="AT818" s="165"/>
      <c r="AU818" s="165"/>
      <c r="AV818" s="165"/>
      <c r="AW818" s="165"/>
      <c r="AX818" s="165"/>
    </row>
    <row r="819" ht="15.75" customHeight="1">
      <c r="A819" s="165"/>
      <c r="B819" s="165"/>
      <c r="C819" s="165"/>
      <c r="D819" s="165"/>
      <c r="E819" s="165"/>
      <c r="F819" s="165"/>
      <c r="G819" s="165"/>
      <c r="H819" s="165"/>
      <c r="I819" s="165"/>
      <c r="J819" s="165"/>
      <c r="K819" s="165"/>
      <c r="L819" s="165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  <c r="AA819" s="165"/>
      <c r="AB819" s="165"/>
      <c r="AC819" s="165"/>
      <c r="AD819" s="165"/>
      <c r="AE819" s="165"/>
      <c r="AF819" s="165"/>
      <c r="AG819" s="165"/>
      <c r="AH819" s="165"/>
      <c r="AI819" s="165"/>
      <c r="AJ819" s="165"/>
      <c r="AK819" s="165"/>
      <c r="AL819" s="165"/>
      <c r="AM819" s="165"/>
      <c r="AN819" s="165"/>
      <c r="AO819" s="165"/>
      <c r="AP819" s="165"/>
      <c r="AQ819" s="165"/>
      <c r="AR819" s="165"/>
      <c r="AS819" s="165"/>
      <c r="AT819" s="165"/>
      <c r="AU819" s="165"/>
      <c r="AV819" s="165"/>
      <c r="AW819" s="165"/>
      <c r="AX819" s="165"/>
    </row>
    <row r="820" ht="15.75" customHeight="1">
      <c r="A820" s="165"/>
      <c r="B820" s="165"/>
      <c r="C820" s="165"/>
      <c r="D820" s="165"/>
      <c r="E820" s="165"/>
      <c r="F820" s="165"/>
      <c r="G820" s="165"/>
      <c r="H820" s="165"/>
      <c r="I820" s="165"/>
      <c r="J820" s="165"/>
      <c r="K820" s="165"/>
      <c r="L820" s="165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  <c r="AA820" s="165"/>
      <c r="AB820" s="165"/>
      <c r="AC820" s="165"/>
      <c r="AD820" s="165"/>
      <c r="AE820" s="165"/>
      <c r="AF820" s="165"/>
      <c r="AG820" s="165"/>
      <c r="AH820" s="165"/>
      <c r="AI820" s="165"/>
      <c r="AJ820" s="165"/>
      <c r="AK820" s="165"/>
      <c r="AL820" s="165"/>
      <c r="AM820" s="165"/>
      <c r="AN820" s="165"/>
      <c r="AO820" s="165"/>
      <c r="AP820" s="165"/>
      <c r="AQ820" s="165"/>
      <c r="AR820" s="165"/>
      <c r="AS820" s="165"/>
      <c r="AT820" s="165"/>
      <c r="AU820" s="165"/>
      <c r="AV820" s="165"/>
      <c r="AW820" s="165"/>
      <c r="AX820" s="165"/>
    </row>
    <row r="821" ht="15.75" customHeight="1">
      <c r="A821" s="165"/>
      <c r="B821" s="165"/>
      <c r="C821" s="165"/>
      <c r="D821" s="165"/>
      <c r="E821" s="165"/>
      <c r="F821" s="165"/>
      <c r="G821" s="165"/>
      <c r="H821" s="165"/>
      <c r="I821" s="165"/>
      <c r="J821" s="165"/>
      <c r="K821" s="165"/>
      <c r="L821" s="165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  <c r="AA821" s="165"/>
      <c r="AB821" s="165"/>
      <c r="AC821" s="165"/>
      <c r="AD821" s="165"/>
      <c r="AE821" s="165"/>
      <c r="AF821" s="165"/>
      <c r="AG821" s="165"/>
      <c r="AH821" s="165"/>
      <c r="AI821" s="165"/>
      <c r="AJ821" s="165"/>
      <c r="AK821" s="165"/>
      <c r="AL821" s="165"/>
      <c r="AM821" s="165"/>
      <c r="AN821" s="165"/>
      <c r="AO821" s="165"/>
      <c r="AP821" s="165"/>
      <c r="AQ821" s="165"/>
      <c r="AR821" s="165"/>
      <c r="AS821" s="165"/>
      <c r="AT821" s="165"/>
      <c r="AU821" s="165"/>
      <c r="AV821" s="165"/>
      <c r="AW821" s="165"/>
      <c r="AX821" s="165"/>
    </row>
    <row r="822" ht="15.75" customHeight="1">
      <c r="A822" s="165"/>
      <c r="B822" s="165"/>
      <c r="C822" s="165"/>
      <c r="D822" s="165"/>
      <c r="E822" s="165"/>
      <c r="F822" s="165"/>
      <c r="G822" s="165"/>
      <c r="H822" s="165"/>
      <c r="I822" s="165"/>
      <c r="J822" s="165"/>
      <c r="K822" s="165"/>
      <c r="L822" s="165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  <c r="AA822" s="165"/>
      <c r="AB822" s="165"/>
      <c r="AC822" s="165"/>
      <c r="AD822" s="165"/>
      <c r="AE822" s="165"/>
      <c r="AF822" s="165"/>
      <c r="AG822" s="165"/>
      <c r="AH822" s="165"/>
      <c r="AI822" s="165"/>
      <c r="AJ822" s="165"/>
      <c r="AK822" s="165"/>
      <c r="AL822" s="165"/>
      <c r="AM822" s="165"/>
      <c r="AN822" s="165"/>
      <c r="AO822" s="165"/>
      <c r="AP822" s="165"/>
      <c r="AQ822" s="165"/>
      <c r="AR822" s="165"/>
      <c r="AS822" s="165"/>
      <c r="AT822" s="165"/>
      <c r="AU822" s="165"/>
      <c r="AV822" s="165"/>
      <c r="AW822" s="165"/>
      <c r="AX822" s="165"/>
    </row>
    <row r="823" ht="15.75" customHeight="1">
      <c r="A823" s="165"/>
      <c r="B823" s="165"/>
      <c r="C823" s="165"/>
      <c r="D823" s="165"/>
      <c r="E823" s="165"/>
      <c r="F823" s="165"/>
      <c r="G823" s="165"/>
      <c r="H823" s="165"/>
      <c r="I823" s="165"/>
      <c r="J823" s="165"/>
      <c r="K823" s="165"/>
      <c r="L823" s="165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  <c r="AA823" s="165"/>
      <c r="AB823" s="165"/>
      <c r="AC823" s="165"/>
      <c r="AD823" s="165"/>
      <c r="AE823" s="165"/>
      <c r="AF823" s="165"/>
      <c r="AG823" s="165"/>
      <c r="AH823" s="165"/>
      <c r="AI823" s="165"/>
      <c r="AJ823" s="165"/>
      <c r="AK823" s="165"/>
      <c r="AL823" s="165"/>
      <c r="AM823" s="165"/>
      <c r="AN823" s="165"/>
      <c r="AO823" s="165"/>
      <c r="AP823" s="165"/>
      <c r="AQ823" s="165"/>
      <c r="AR823" s="165"/>
      <c r="AS823" s="165"/>
      <c r="AT823" s="165"/>
      <c r="AU823" s="165"/>
      <c r="AV823" s="165"/>
      <c r="AW823" s="165"/>
      <c r="AX823" s="165"/>
    </row>
    <row r="824" ht="15.75" customHeight="1">
      <c r="A824" s="165"/>
      <c r="B824" s="165"/>
      <c r="C824" s="165"/>
      <c r="D824" s="165"/>
      <c r="E824" s="165"/>
      <c r="F824" s="165"/>
      <c r="G824" s="165"/>
      <c r="H824" s="165"/>
      <c r="I824" s="165"/>
      <c r="J824" s="165"/>
      <c r="K824" s="165"/>
      <c r="L824" s="165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  <c r="AA824" s="165"/>
      <c r="AB824" s="165"/>
      <c r="AC824" s="165"/>
      <c r="AD824" s="165"/>
      <c r="AE824" s="165"/>
      <c r="AF824" s="165"/>
      <c r="AG824" s="165"/>
      <c r="AH824" s="165"/>
      <c r="AI824" s="165"/>
      <c r="AJ824" s="165"/>
      <c r="AK824" s="165"/>
      <c r="AL824" s="165"/>
      <c r="AM824" s="165"/>
      <c r="AN824" s="165"/>
      <c r="AO824" s="165"/>
      <c r="AP824" s="165"/>
      <c r="AQ824" s="165"/>
      <c r="AR824" s="165"/>
      <c r="AS824" s="165"/>
      <c r="AT824" s="165"/>
      <c r="AU824" s="165"/>
      <c r="AV824" s="165"/>
      <c r="AW824" s="165"/>
      <c r="AX824" s="165"/>
    </row>
    <row r="825" ht="15.75" customHeight="1">
      <c r="A825" s="165"/>
      <c r="B825" s="165"/>
      <c r="C825" s="165"/>
      <c r="D825" s="165"/>
      <c r="E825" s="165"/>
      <c r="F825" s="165"/>
      <c r="G825" s="165"/>
      <c r="H825" s="165"/>
      <c r="I825" s="165"/>
      <c r="J825" s="165"/>
      <c r="K825" s="165"/>
      <c r="L825" s="165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  <c r="AA825" s="165"/>
      <c r="AB825" s="165"/>
      <c r="AC825" s="165"/>
      <c r="AD825" s="165"/>
      <c r="AE825" s="165"/>
      <c r="AF825" s="165"/>
      <c r="AG825" s="165"/>
      <c r="AH825" s="165"/>
      <c r="AI825" s="165"/>
      <c r="AJ825" s="165"/>
      <c r="AK825" s="165"/>
      <c r="AL825" s="165"/>
      <c r="AM825" s="165"/>
      <c r="AN825" s="165"/>
      <c r="AO825" s="165"/>
      <c r="AP825" s="165"/>
      <c r="AQ825" s="165"/>
      <c r="AR825" s="165"/>
      <c r="AS825" s="165"/>
      <c r="AT825" s="165"/>
      <c r="AU825" s="165"/>
      <c r="AV825" s="165"/>
      <c r="AW825" s="165"/>
      <c r="AX825" s="165"/>
    </row>
    <row r="826" ht="15.75" customHeight="1">
      <c r="A826" s="165"/>
      <c r="B826" s="165"/>
      <c r="C826" s="165"/>
      <c r="D826" s="165"/>
      <c r="E826" s="165"/>
      <c r="F826" s="165"/>
      <c r="G826" s="165"/>
      <c r="H826" s="165"/>
      <c r="I826" s="165"/>
      <c r="J826" s="165"/>
      <c r="K826" s="165"/>
      <c r="L826" s="165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  <c r="AA826" s="165"/>
      <c r="AB826" s="165"/>
      <c r="AC826" s="165"/>
      <c r="AD826" s="165"/>
      <c r="AE826" s="165"/>
      <c r="AF826" s="165"/>
      <c r="AG826" s="165"/>
      <c r="AH826" s="165"/>
      <c r="AI826" s="165"/>
      <c r="AJ826" s="165"/>
      <c r="AK826" s="165"/>
      <c r="AL826" s="165"/>
      <c r="AM826" s="165"/>
      <c r="AN826" s="165"/>
      <c r="AO826" s="165"/>
      <c r="AP826" s="165"/>
      <c r="AQ826" s="165"/>
      <c r="AR826" s="165"/>
      <c r="AS826" s="165"/>
      <c r="AT826" s="165"/>
      <c r="AU826" s="165"/>
      <c r="AV826" s="165"/>
      <c r="AW826" s="165"/>
      <c r="AX826" s="165"/>
    </row>
    <row r="827" ht="15.75" customHeight="1">
      <c r="A827" s="165"/>
      <c r="B827" s="165"/>
      <c r="C827" s="165"/>
      <c r="D827" s="165"/>
      <c r="E827" s="165"/>
      <c r="F827" s="165"/>
      <c r="G827" s="165"/>
      <c r="H827" s="165"/>
      <c r="I827" s="165"/>
      <c r="J827" s="165"/>
      <c r="K827" s="165"/>
      <c r="L827" s="165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  <c r="AA827" s="165"/>
      <c r="AB827" s="165"/>
      <c r="AC827" s="165"/>
      <c r="AD827" s="165"/>
      <c r="AE827" s="165"/>
      <c r="AF827" s="165"/>
      <c r="AG827" s="165"/>
      <c r="AH827" s="165"/>
      <c r="AI827" s="165"/>
      <c r="AJ827" s="165"/>
      <c r="AK827" s="165"/>
      <c r="AL827" s="165"/>
      <c r="AM827" s="165"/>
      <c r="AN827" s="165"/>
      <c r="AO827" s="165"/>
      <c r="AP827" s="165"/>
      <c r="AQ827" s="165"/>
      <c r="AR827" s="165"/>
      <c r="AS827" s="165"/>
      <c r="AT827" s="165"/>
      <c r="AU827" s="165"/>
      <c r="AV827" s="165"/>
      <c r="AW827" s="165"/>
      <c r="AX827" s="165"/>
    </row>
    <row r="828" ht="15.75" customHeight="1">
      <c r="A828" s="165"/>
      <c r="B828" s="165"/>
      <c r="C828" s="165"/>
      <c r="D828" s="165"/>
      <c r="E828" s="165"/>
      <c r="F828" s="165"/>
      <c r="G828" s="165"/>
      <c r="H828" s="165"/>
      <c r="I828" s="165"/>
      <c r="J828" s="165"/>
      <c r="K828" s="165"/>
      <c r="L828" s="165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  <c r="AA828" s="165"/>
      <c r="AB828" s="165"/>
      <c r="AC828" s="165"/>
      <c r="AD828" s="165"/>
      <c r="AE828" s="165"/>
      <c r="AF828" s="165"/>
      <c r="AG828" s="165"/>
      <c r="AH828" s="165"/>
      <c r="AI828" s="165"/>
      <c r="AJ828" s="165"/>
      <c r="AK828" s="165"/>
      <c r="AL828" s="165"/>
      <c r="AM828" s="165"/>
      <c r="AN828" s="165"/>
      <c r="AO828" s="165"/>
      <c r="AP828" s="165"/>
      <c r="AQ828" s="165"/>
      <c r="AR828" s="165"/>
      <c r="AS828" s="165"/>
      <c r="AT828" s="165"/>
      <c r="AU828" s="165"/>
      <c r="AV828" s="165"/>
      <c r="AW828" s="165"/>
      <c r="AX828" s="165"/>
    </row>
    <row r="829" ht="15.75" customHeight="1">
      <c r="A829" s="165"/>
      <c r="B829" s="165"/>
      <c r="C829" s="165"/>
      <c r="D829" s="165"/>
      <c r="E829" s="165"/>
      <c r="F829" s="165"/>
      <c r="G829" s="165"/>
      <c r="H829" s="165"/>
      <c r="I829" s="165"/>
      <c r="J829" s="165"/>
      <c r="K829" s="165"/>
      <c r="L829" s="165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  <c r="AA829" s="165"/>
      <c r="AB829" s="165"/>
      <c r="AC829" s="165"/>
      <c r="AD829" s="165"/>
      <c r="AE829" s="165"/>
      <c r="AF829" s="165"/>
      <c r="AG829" s="165"/>
      <c r="AH829" s="165"/>
      <c r="AI829" s="165"/>
      <c r="AJ829" s="165"/>
      <c r="AK829" s="165"/>
      <c r="AL829" s="165"/>
      <c r="AM829" s="165"/>
      <c r="AN829" s="165"/>
      <c r="AO829" s="165"/>
      <c r="AP829" s="165"/>
      <c r="AQ829" s="165"/>
      <c r="AR829" s="165"/>
      <c r="AS829" s="165"/>
      <c r="AT829" s="165"/>
      <c r="AU829" s="165"/>
      <c r="AV829" s="165"/>
      <c r="AW829" s="165"/>
      <c r="AX829" s="165"/>
    </row>
    <row r="830" ht="15.75" customHeight="1">
      <c r="A830" s="165"/>
      <c r="B830" s="165"/>
      <c r="C830" s="165"/>
      <c r="D830" s="165"/>
      <c r="E830" s="165"/>
      <c r="F830" s="165"/>
      <c r="G830" s="165"/>
      <c r="H830" s="165"/>
      <c r="I830" s="165"/>
      <c r="J830" s="165"/>
      <c r="K830" s="165"/>
      <c r="L830" s="165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  <c r="AA830" s="165"/>
      <c r="AB830" s="165"/>
      <c r="AC830" s="165"/>
      <c r="AD830" s="165"/>
      <c r="AE830" s="165"/>
      <c r="AF830" s="165"/>
      <c r="AG830" s="165"/>
      <c r="AH830" s="165"/>
      <c r="AI830" s="165"/>
      <c r="AJ830" s="165"/>
      <c r="AK830" s="165"/>
      <c r="AL830" s="165"/>
      <c r="AM830" s="165"/>
      <c r="AN830" s="165"/>
      <c r="AO830" s="165"/>
      <c r="AP830" s="165"/>
      <c r="AQ830" s="165"/>
      <c r="AR830" s="165"/>
      <c r="AS830" s="165"/>
      <c r="AT830" s="165"/>
      <c r="AU830" s="165"/>
      <c r="AV830" s="165"/>
      <c r="AW830" s="165"/>
      <c r="AX830" s="165"/>
    </row>
    <row r="831" ht="15.75" customHeight="1">
      <c r="A831" s="165"/>
      <c r="B831" s="165"/>
      <c r="C831" s="165"/>
      <c r="D831" s="165"/>
      <c r="E831" s="165"/>
      <c r="F831" s="165"/>
      <c r="G831" s="165"/>
      <c r="H831" s="165"/>
      <c r="I831" s="165"/>
      <c r="J831" s="165"/>
      <c r="K831" s="165"/>
      <c r="L831" s="165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  <c r="AA831" s="165"/>
      <c r="AB831" s="165"/>
      <c r="AC831" s="165"/>
      <c r="AD831" s="165"/>
      <c r="AE831" s="165"/>
      <c r="AF831" s="165"/>
      <c r="AG831" s="165"/>
      <c r="AH831" s="165"/>
      <c r="AI831" s="165"/>
      <c r="AJ831" s="165"/>
      <c r="AK831" s="165"/>
      <c r="AL831" s="165"/>
      <c r="AM831" s="165"/>
      <c r="AN831" s="165"/>
      <c r="AO831" s="165"/>
      <c r="AP831" s="165"/>
      <c r="AQ831" s="165"/>
      <c r="AR831" s="165"/>
      <c r="AS831" s="165"/>
      <c r="AT831" s="165"/>
      <c r="AU831" s="165"/>
      <c r="AV831" s="165"/>
      <c r="AW831" s="165"/>
      <c r="AX831" s="165"/>
    </row>
    <row r="832" ht="15.75" customHeight="1">
      <c r="A832" s="165"/>
      <c r="B832" s="165"/>
      <c r="C832" s="165"/>
      <c r="D832" s="165"/>
      <c r="E832" s="165"/>
      <c r="F832" s="165"/>
      <c r="G832" s="165"/>
      <c r="H832" s="165"/>
      <c r="I832" s="165"/>
      <c r="J832" s="165"/>
      <c r="K832" s="165"/>
      <c r="L832" s="165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  <c r="AA832" s="165"/>
      <c r="AB832" s="165"/>
      <c r="AC832" s="165"/>
      <c r="AD832" s="165"/>
      <c r="AE832" s="165"/>
      <c r="AF832" s="165"/>
      <c r="AG832" s="165"/>
      <c r="AH832" s="165"/>
      <c r="AI832" s="165"/>
      <c r="AJ832" s="165"/>
      <c r="AK832" s="165"/>
      <c r="AL832" s="165"/>
      <c r="AM832" s="165"/>
      <c r="AN832" s="165"/>
      <c r="AO832" s="165"/>
      <c r="AP832" s="165"/>
      <c r="AQ832" s="165"/>
      <c r="AR832" s="165"/>
      <c r="AS832" s="165"/>
      <c r="AT832" s="165"/>
      <c r="AU832" s="165"/>
      <c r="AV832" s="165"/>
      <c r="AW832" s="165"/>
      <c r="AX832" s="165"/>
    </row>
    <row r="833" ht="15.75" customHeight="1">
      <c r="A833" s="165"/>
      <c r="B833" s="165"/>
      <c r="C833" s="165"/>
      <c r="D833" s="165"/>
      <c r="E833" s="165"/>
      <c r="F833" s="165"/>
      <c r="G833" s="165"/>
      <c r="H833" s="165"/>
      <c r="I833" s="165"/>
      <c r="J833" s="165"/>
      <c r="K833" s="165"/>
      <c r="L833" s="165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  <c r="AA833" s="165"/>
      <c r="AB833" s="165"/>
      <c r="AC833" s="165"/>
      <c r="AD833" s="165"/>
      <c r="AE833" s="165"/>
      <c r="AF833" s="165"/>
      <c r="AG833" s="165"/>
      <c r="AH833" s="165"/>
      <c r="AI833" s="165"/>
      <c r="AJ833" s="165"/>
      <c r="AK833" s="165"/>
      <c r="AL833" s="165"/>
      <c r="AM833" s="165"/>
      <c r="AN833" s="165"/>
      <c r="AO833" s="165"/>
      <c r="AP833" s="165"/>
      <c r="AQ833" s="165"/>
      <c r="AR833" s="165"/>
      <c r="AS833" s="165"/>
      <c r="AT833" s="165"/>
      <c r="AU833" s="165"/>
      <c r="AV833" s="165"/>
      <c r="AW833" s="165"/>
      <c r="AX833" s="165"/>
    </row>
    <row r="834" ht="15.75" customHeight="1">
      <c r="A834" s="165"/>
      <c r="B834" s="165"/>
      <c r="C834" s="165"/>
      <c r="D834" s="165"/>
      <c r="E834" s="165"/>
      <c r="F834" s="165"/>
      <c r="G834" s="165"/>
      <c r="H834" s="165"/>
      <c r="I834" s="165"/>
      <c r="J834" s="165"/>
      <c r="K834" s="165"/>
      <c r="L834" s="165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  <c r="AA834" s="165"/>
      <c r="AB834" s="165"/>
      <c r="AC834" s="165"/>
      <c r="AD834" s="165"/>
      <c r="AE834" s="165"/>
      <c r="AF834" s="165"/>
      <c r="AG834" s="165"/>
      <c r="AH834" s="165"/>
      <c r="AI834" s="165"/>
      <c r="AJ834" s="165"/>
      <c r="AK834" s="165"/>
      <c r="AL834" s="165"/>
      <c r="AM834" s="165"/>
      <c r="AN834" s="165"/>
      <c r="AO834" s="165"/>
      <c r="AP834" s="165"/>
      <c r="AQ834" s="165"/>
      <c r="AR834" s="165"/>
      <c r="AS834" s="165"/>
      <c r="AT834" s="165"/>
      <c r="AU834" s="165"/>
      <c r="AV834" s="165"/>
      <c r="AW834" s="165"/>
      <c r="AX834" s="165"/>
    </row>
    <row r="835" ht="15.75" customHeight="1">
      <c r="A835" s="165"/>
      <c r="B835" s="165"/>
      <c r="C835" s="165"/>
      <c r="D835" s="165"/>
      <c r="E835" s="165"/>
      <c r="F835" s="165"/>
      <c r="G835" s="165"/>
      <c r="H835" s="165"/>
      <c r="I835" s="165"/>
      <c r="J835" s="165"/>
      <c r="K835" s="165"/>
      <c r="L835" s="165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  <c r="AA835" s="165"/>
      <c r="AB835" s="165"/>
      <c r="AC835" s="165"/>
      <c r="AD835" s="165"/>
      <c r="AE835" s="165"/>
      <c r="AF835" s="165"/>
      <c r="AG835" s="165"/>
      <c r="AH835" s="165"/>
      <c r="AI835" s="165"/>
      <c r="AJ835" s="165"/>
      <c r="AK835" s="165"/>
      <c r="AL835" s="165"/>
      <c r="AM835" s="165"/>
      <c r="AN835" s="165"/>
      <c r="AO835" s="165"/>
      <c r="AP835" s="165"/>
      <c r="AQ835" s="165"/>
      <c r="AR835" s="165"/>
      <c r="AS835" s="165"/>
      <c r="AT835" s="165"/>
      <c r="AU835" s="165"/>
      <c r="AV835" s="165"/>
      <c r="AW835" s="165"/>
      <c r="AX835" s="165"/>
    </row>
    <row r="836" ht="15.75" customHeight="1">
      <c r="A836" s="165"/>
      <c r="B836" s="165"/>
      <c r="C836" s="165"/>
      <c r="D836" s="165"/>
      <c r="E836" s="165"/>
      <c r="F836" s="165"/>
      <c r="G836" s="165"/>
      <c r="H836" s="165"/>
      <c r="I836" s="165"/>
      <c r="J836" s="165"/>
      <c r="K836" s="165"/>
      <c r="L836" s="165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  <c r="AA836" s="165"/>
      <c r="AB836" s="165"/>
      <c r="AC836" s="165"/>
      <c r="AD836" s="165"/>
      <c r="AE836" s="165"/>
      <c r="AF836" s="165"/>
      <c r="AG836" s="165"/>
      <c r="AH836" s="165"/>
      <c r="AI836" s="165"/>
      <c r="AJ836" s="165"/>
      <c r="AK836" s="165"/>
      <c r="AL836" s="165"/>
      <c r="AM836" s="165"/>
      <c r="AN836" s="165"/>
      <c r="AO836" s="165"/>
      <c r="AP836" s="165"/>
      <c r="AQ836" s="165"/>
      <c r="AR836" s="165"/>
      <c r="AS836" s="165"/>
      <c r="AT836" s="165"/>
      <c r="AU836" s="165"/>
      <c r="AV836" s="165"/>
      <c r="AW836" s="165"/>
      <c r="AX836" s="165"/>
    </row>
    <row r="837" ht="15.75" customHeight="1">
      <c r="A837" s="165"/>
      <c r="B837" s="165"/>
      <c r="C837" s="165"/>
      <c r="D837" s="165"/>
      <c r="E837" s="165"/>
      <c r="F837" s="165"/>
      <c r="G837" s="165"/>
      <c r="H837" s="165"/>
      <c r="I837" s="165"/>
      <c r="J837" s="165"/>
      <c r="K837" s="165"/>
      <c r="L837" s="165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  <c r="AA837" s="165"/>
      <c r="AB837" s="165"/>
      <c r="AC837" s="165"/>
      <c r="AD837" s="165"/>
      <c r="AE837" s="165"/>
      <c r="AF837" s="165"/>
      <c r="AG837" s="165"/>
      <c r="AH837" s="165"/>
      <c r="AI837" s="165"/>
      <c r="AJ837" s="165"/>
      <c r="AK837" s="165"/>
      <c r="AL837" s="165"/>
      <c r="AM837" s="165"/>
      <c r="AN837" s="165"/>
      <c r="AO837" s="165"/>
      <c r="AP837" s="165"/>
      <c r="AQ837" s="165"/>
      <c r="AR837" s="165"/>
      <c r="AS837" s="165"/>
      <c r="AT837" s="165"/>
      <c r="AU837" s="165"/>
      <c r="AV837" s="165"/>
      <c r="AW837" s="165"/>
      <c r="AX837" s="165"/>
    </row>
    <row r="838" ht="15.75" customHeight="1">
      <c r="A838" s="165"/>
      <c r="B838" s="165"/>
      <c r="C838" s="165"/>
      <c r="D838" s="165"/>
      <c r="E838" s="165"/>
      <c r="F838" s="165"/>
      <c r="G838" s="165"/>
      <c r="H838" s="165"/>
      <c r="I838" s="165"/>
      <c r="J838" s="165"/>
      <c r="K838" s="165"/>
      <c r="L838" s="165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  <c r="AA838" s="165"/>
      <c r="AB838" s="165"/>
      <c r="AC838" s="165"/>
      <c r="AD838" s="165"/>
      <c r="AE838" s="165"/>
      <c r="AF838" s="165"/>
      <c r="AG838" s="165"/>
      <c r="AH838" s="165"/>
      <c r="AI838" s="165"/>
      <c r="AJ838" s="165"/>
      <c r="AK838" s="165"/>
      <c r="AL838" s="165"/>
      <c r="AM838" s="165"/>
      <c r="AN838" s="165"/>
      <c r="AO838" s="165"/>
      <c r="AP838" s="165"/>
      <c r="AQ838" s="165"/>
      <c r="AR838" s="165"/>
      <c r="AS838" s="165"/>
      <c r="AT838" s="165"/>
      <c r="AU838" s="165"/>
      <c r="AV838" s="165"/>
      <c r="AW838" s="165"/>
      <c r="AX838" s="165"/>
    </row>
    <row r="839" ht="15.75" customHeight="1">
      <c r="A839" s="165"/>
      <c r="B839" s="165"/>
      <c r="C839" s="165"/>
      <c r="D839" s="165"/>
      <c r="E839" s="165"/>
      <c r="F839" s="165"/>
      <c r="G839" s="165"/>
      <c r="H839" s="165"/>
      <c r="I839" s="165"/>
      <c r="J839" s="165"/>
      <c r="K839" s="165"/>
      <c r="L839" s="165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  <c r="AA839" s="165"/>
      <c r="AB839" s="165"/>
      <c r="AC839" s="165"/>
      <c r="AD839" s="165"/>
      <c r="AE839" s="165"/>
      <c r="AF839" s="165"/>
      <c r="AG839" s="165"/>
      <c r="AH839" s="165"/>
      <c r="AI839" s="165"/>
      <c r="AJ839" s="165"/>
      <c r="AK839" s="165"/>
      <c r="AL839" s="165"/>
      <c r="AM839" s="165"/>
      <c r="AN839" s="165"/>
      <c r="AO839" s="165"/>
      <c r="AP839" s="165"/>
      <c r="AQ839" s="165"/>
      <c r="AR839" s="165"/>
      <c r="AS839" s="165"/>
      <c r="AT839" s="165"/>
      <c r="AU839" s="165"/>
      <c r="AV839" s="165"/>
      <c r="AW839" s="165"/>
      <c r="AX839" s="165"/>
    </row>
    <row r="840" ht="15.75" customHeight="1">
      <c r="A840" s="165"/>
      <c r="B840" s="165"/>
      <c r="C840" s="165"/>
      <c r="D840" s="165"/>
      <c r="E840" s="165"/>
      <c r="F840" s="165"/>
      <c r="G840" s="165"/>
      <c r="H840" s="165"/>
      <c r="I840" s="165"/>
      <c r="J840" s="165"/>
      <c r="K840" s="165"/>
      <c r="L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  <c r="AA840" s="165"/>
      <c r="AB840" s="165"/>
      <c r="AC840" s="165"/>
      <c r="AD840" s="165"/>
      <c r="AE840" s="165"/>
      <c r="AF840" s="165"/>
      <c r="AG840" s="165"/>
      <c r="AH840" s="165"/>
      <c r="AI840" s="165"/>
      <c r="AJ840" s="165"/>
      <c r="AK840" s="165"/>
      <c r="AL840" s="165"/>
      <c r="AM840" s="165"/>
      <c r="AN840" s="165"/>
      <c r="AO840" s="165"/>
      <c r="AP840" s="165"/>
      <c r="AQ840" s="165"/>
      <c r="AR840" s="165"/>
      <c r="AS840" s="165"/>
      <c r="AT840" s="165"/>
      <c r="AU840" s="165"/>
      <c r="AV840" s="165"/>
      <c r="AW840" s="165"/>
      <c r="AX840" s="165"/>
    </row>
    <row r="841" ht="15.75" customHeight="1">
      <c r="A841" s="165"/>
      <c r="B841" s="165"/>
      <c r="C841" s="165"/>
      <c r="D841" s="165"/>
      <c r="E841" s="165"/>
      <c r="F841" s="165"/>
      <c r="G841" s="165"/>
      <c r="H841" s="165"/>
      <c r="I841" s="165"/>
      <c r="J841" s="165"/>
      <c r="K841" s="165"/>
      <c r="L841" s="165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  <c r="AA841" s="165"/>
      <c r="AB841" s="165"/>
      <c r="AC841" s="165"/>
      <c r="AD841" s="165"/>
      <c r="AE841" s="165"/>
      <c r="AF841" s="165"/>
      <c r="AG841" s="165"/>
      <c r="AH841" s="165"/>
      <c r="AI841" s="165"/>
      <c r="AJ841" s="165"/>
      <c r="AK841" s="165"/>
      <c r="AL841" s="165"/>
      <c r="AM841" s="165"/>
      <c r="AN841" s="165"/>
      <c r="AO841" s="165"/>
      <c r="AP841" s="165"/>
      <c r="AQ841" s="165"/>
      <c r="AR841" s="165"/>
      <c r="AS841" s="165"/>
      <c r="AT841" s="165"/>
      <c r="AU841" s="165"/>
      <c r="AV841" s="165"/>
      <c r="AW841" s="165"/>
      <c r="AX841" s="165"/>
    </row>
    <row r="842" ht="15.75" customHeight="1">
      <c r="A842" s="165"/>
      <c r="B842" s="165"/>
      <c r="C842" s="165"/>
      <c r="D842" s="165"/>
      <c r="E842" s="165"/>
      <c r="F842" s="165"/>
      <c r="G842" s="165"/>
      <c r="H842" s="165"/>
      <c r="I842" s="165"/>
      <c r="J842" s="165"/>
      <c r="K842" s="165"/>
      <c r="L842" s="165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  <c r="AA842" s="165"/>
      <c r="AB842" s="165"/>
      <c r="AC842" s="165"/>
      <c r="AD842" s="165"/>
      <c r="AE842" s="165"/>
      <c r="AF842" s="165"/>
      <c r="AG842" s="165"/>
      <c r="AH842" s="165"/>
      <c r="AI842" s="165"/>
      <c r="AJ842" s="165"/>
      <c r="AK842" s="165"/>
      <c r="AL842" s="165"/>
      <c r="AM842" s="165"/>
      <c r="AN842" s="165"/>
      <c r="AO842" s="165"/>
      <c r="AP842" s="165"/>
      <c r="AQ842" s="165"/>
      <c r="AR842" s="165"/>
      <c r="AS842" s="165"/>
      <c r="AT842" s="165"/>
      <c r="AU842" s="165"/>
      <c r="AV842" s="165"/>
      <c r="AW842" s="165"/>
      <c r="AX842" s="165"/>
    </row>
    <row r="843" ht="15.75" customHeight="1">
      <c r="A843" s="165"/>
      <c r="B843" s="165"/>
      <c r="C843" s="165"/>
      <c r="D843" s="165"/>
      <c r="E843" s="165"/>
      <c r="F843" s="165"/>
      <c r="G843" s="165"/>
      <c r="H843" s="165"/>
      <c r="I843" s="165"/>
      <c r="J843" s="165"/>
      <c r="K843" s="165"/>
      <c r="L843" s="165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  <c r="AA843" s="165"/>
      <c r="AB843" s="165"/>
      <c r="AC843" s="165"/>
      <c r="AD843" s="165"/>
      <c r="AE843" s="165"/>
      <c r="AF843" s="165"/>
      <c r="AG843" s="165"/>
      <c r="AH843" s="165"/>
      <c r="AI843" s="165"/>
      <c r="AJ843" s="165"/>
      <c r="AK843" s="165"/>
      <c r="AL843" s="165"/>
      <c r="AM843" s="165"/>
      <c r="AN843" s="165"/>
      <c r="AO843" s="165"/>
      <c r="AP843" s="165"/>
      <c r="AQ843" s="165"/>
      <c r="AR843" s="165"/>
      <c r="AS843" s="165"/>
      <c r="AT843" s="165"/>
      <c r="AU843" s="165"/>
      <c r="AV843" s="165"/>
      <c r="AW843" s="165"/>
      <c r="AX843" s="165"/>
    </row>
    <row r="844" ht="15.75" customHeight="1">
      <c r="A844" s="165"/>
      <c r="B844" s="165"/>
      <c r="C844" s="165"/>
      <c r="D844" s="165"/>
      <c r="E844" s="165"/>
      <c r="F844" s="165"/>
      <c r="G844" s="165"/>
      <c r="H844" s="165"/>
      <c r="I844" s="165"/>
      <c r="J844" s="165"/>
      <c r="K844" s="165"/>
      <c r="L844" s="165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  <c r="AA844" s="165"/>
      <c r="AB844" s="165"/>
      <c r="AC844" s="165"/>
      <c r="AD844" s="165"/>
      <c r="AE844" s="165"/>
      <c r="AF844" s="165"/>
      <c r="AG844" s="165"/>
      <c r="AH844" s="165"/>
      <c r="AI844" s="165"/>
      <c r="AJ844" s="165"/>
      <c r="AK844" s="165"/>
      <c r="AL844" s="165"/>
      <c r="AM844" s="165"/>
      <c r="AN844" s="165"/>
      <c r="AO844" s="165"/>
      <c r="AP844" s="165"/>
      <c r="AQ844" s="165"/>
      <c r="AR844" s="165"/>
      <c r="AS844" s="165"/>
      <c r="AT844" s="165"/>
      <c r="AU844" s="165"/>
      <c r="AV844" s="165"/>
      <c r="AW844" s="165"/>
      <c r="AX844" s="165"/>
    </row>
    <row r="845" ht="15.75" customHeight="1">
      <c r="A845" s="165"/>
      <c r="B845" s="165"/>
      <c r="C845" s="165"/>
      <c r="D845" s="165"/>
      <c r="E845" s="165"/>
      <c r="F845" s="165"/>
      <c r="G845" s="165"/>
      <c r="H845" s="165"/>
      <c r="I845" s="165"/>
      <c r="J845" s="165"/>
      <c r="K845" s="165"/>
      <c r="L845" s="165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  <c r="AA845" s="165"/>
      <c r="AB845" s="165"/>
      <c r="AC845" s="165"/>
      <c r="AD845" s="165"/>
      <c r="AE845" s="165"/>
      <c r="AF845" s="165"/>
      <c r="AG845" s="165"/>
      <c r="AH845" s="165"/>
      <c r="AI845" s="165"/>
      <c r="AJ845" s="165"/>
      <c r="AK845" s="165"/>
      <c r="AL845" s="165"/>
      <c r="AM845" s="165"/>
      <c r="AN845" s="165"/>
      <c r="AO845" s="165"/>
      <c r="AP845" s="165"/>
      <c r="AQ845" s="165"/>
      <c r="AR845" s="165"/>
      <c r="AS845" s="165"/>
      <c r="AT845" s="165"/>
      <c r="AU845" s="165"/>
      <c r="AV845" s="165"/>
      <c r="AW845" s="165"/>
      <c r="AX845" s="165"/>
    </row>
    <row r="846" ht="15.75" customHeight="1">
      <c r="A846" s="165"/>
      <c r="B846" s="165"/>
      <c r="C846" s="165"/>
      <c r="D846" s="165"/>
      <c r="E846" s="165"/>
      <c r="F846" s="165"/>
      <c r="G846" s="165"/>
      <c r="H846" s="165"/>
      <c r="I846" s="165"/>
      <c r="J846" s="165"/>
      <c r="K846" s="165"/>
      <c r="L846" s="165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  <c r="AA846" s="165"/>
      <c r="AB846" s="165"/>
      <c r="AC846" s="165"/>
      <c r="AD846" s="165"/>
      <c r="AE846" s="165"/>
      <c r="AF846" s="165"/>
      <c r="AG846" s="165"/>
      <c r="AH846" s="165"/>
      <c r="AI846" s="165"/>
      <c r="AJ846" s="165"/>
      <c r="AK846" s="165"/>
      <c r="AL846" s="165"/>
      <c r="AM846" s="165"/>
      <c r="AN846" s="165"/>
      <c r="AO846" s="165"/>
      <c r="AP846" s="165"/>
      <c r="AQ846" s="165"/>
      <c r="AR846" s="165"/>
      <c r="AS846" s="165"/>
      <c r="AT846" s="165"/>
      <c r="AU846" s="165"/>
      <c r="AV846" s="165"/>
      <c r="AW846" s="165"/>
      <c r="AX846" s="165"/>
    </row>
    <row r="847" ht="15.75" customHeight="1">
      <c r="A847" s="165"/>
      <c r="B847" s="165"/>
      <c r="C847" s="165"/>
      <c r="D847" s="165"/>
      <c r="E847" s="165"/>
      <c r="F847" s="165"/>
      <c r="G847" s="165"/>
      <c r="H847" s="165"/>
      <c r="I847" s="165"/>
      <c r="J847" s="165"/>
      <c r="K847" s="165"/>
      <c r="L847" s="165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  <c r="AA847" s="165"/>
      <c r="AB847" s="165"/>
      <c r="AC847" s="165"/>
      <c r="AD847" s="165"/>
      <c r="AE847" s="165"/>
      <c r="AF847" s="165"/>
      <c r="AG847" s="165"/>
      <c r="AH847" s="165"/>
      <c r="AI847" s="165"/>
      <c r="AJ847" s="165"/>
      <c r="AK847" s="165"/>
      <c r="AL847" s="165"/>
      <c r="AM847" s="165"/>
      <c r="AN847" s="165"/>
      <c r="AO847" s="165"/>
      <c r="AP847" s="165"/>
      <c r="AQ847" s="165"/>
      <c r="AR847" s="165"/>
      <c r="AS847" s="165"/>
      <c r="AT847" s="165"/>
      <c r="AU847" s="165"/>
      <c r="AV847" s="165"/>
      <c r="AW847" s="165"/>
      <c r="AX847" s="165"/>
    </row>
    <row r="848" ht="15.75" customHeight="1">
      <c r="A848" s="165"/>
      <c r="B848" s="165"/>
      <c r="C848" s="165"/>
      <c r="D848" s="165"/>
      <c r="E848" s="165"/>
      <c r="F848" s="165"/>
      <c r="G848" s="165"/>
      <c r="H848" s="165"/>
      <c r="I848" s="165"/>
      <c r="J848" s="165"/>
      <c r="K848" s="165"/>
      <c r="L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  <c r="AA848" s="165"/>
      <c r="AB848" s="165"/>
      <c r="AC848" s="165"/>
      <c r="AD848" s="165"/>
      <c r="AE848" s="165"/>
      <c r="AF848" s="165"/>
      <c r="AG848" s="165"/>
      <c r="AH848" s="165"/>
      <c r="AI848" s="165"/>
      <c r="AJ848" s="165"/>
      <c r="AK848" s="165"/>
      <c r="AL848" s="165"/>
      <c r="AM848" s="165"/>
      <c r="AN848" s="165"/>
      <c r="AO848" s="165"/>
      <c r="AP848" s="165"/>
      <c r="AQ848" s="165"/>
      <c r="AR848" s="165"/>
      <c r="AS848" s="165"/>
      <c r="AT848" s="165"/>
      <c r="AU848" s="165"/>
      <c r="AV848" s="165"/>
      <c r="AW848" s="165"/>
      <c r="AX848" s="165"/>
    </row>
    <row r="849" ht="15.75" customHeight="1">
      <c r="A849" s="165"/>
      <c r="B849" s="165"/>
      <c r="C849" s="165"/>
      <c r="D849" s="165"/>
      <c r="E849" s="165"/>
      <c r="F849" s="165"/>
      <c r="G849" s="165"/>
      <c r="H849" s="165"/>
      <c r="I849" s="165"/>
      <c r="J849" s="165"/>
      <c r="K849" s="165"/>
      <c r="L849" s="165"/>
      <c r="M849" s="165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  <c r="AA849" s="165"/>
      <c r="AB849" s="165"/>
      <c r="AC849" s="165"/>
      <c r="AD849" s="165"/>
      <c r="AE849" s="165"/>
      <c r="AF849" s="165"/>
      <c r="AG849" s="165"/>
      <c r="AH849" s="165"/>
      <c r="AI849" s="165"/>
      <c r="AJ849" s="165"/>
      <c r="AK849" s="165"/>
      <c r="AL849" s="165"/>
      <c r="AM849" s="165"/>
      <c r="AN849" s="165"/>
      <c r="AO849" s="165"/>
      <c r="AP849" s="165"/>
      <c r="AQ849" s="165"/>
      <c r="AR849" s="165"/>
      <c r="AS849" s="165"/>
      <c r="AT849" s="165"/>
      <c r="AU849" s="165"/>
      <c r="AV849" s="165"/>
      <c r="AW849" s="165"/>
      <c r="AX849" s="165"/>
    </row>
    <row r="850" ht="15.75" customHeight="1">
      <c r="A850" s="165"/>
      <c r="B850" s="165"/>
      <c r="C850" s="165"/>
      <c r="D850" s="165"/>
      <c r="E850" s="165"/>
      <c r="F850" s="165"/>
      <c r="G850" s="165"/>
      <c r="H850" s="165"/>
      <c r="I850" s="165"/>
      <c r="J850" s="165"/>
      <c r="K850" s="165"/>
      <c r="L850" s="165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  <c r="AA850" s="165"/>
      <c r="AB850" s="165"/>
      <c r="AC850" s="165"/>
      <c r="AD850" s="165"/>
      <c r="AE850" s="165"/>
      <c r="AF850" s="165"/>
      <c r="AG850" s="165"/>
      <c r="AH850" s="165"/>
      <c r="AI850" s="165"/>
      <c r="AJ850" s="165"/>
      <c r="AK850" s="165"/>
      <c r="AL850" s="165"/>
      <c r="AM850" s="165"/>
      <c r="AN850" s="165"/>
      <c r="AO850" s="165"/>
      <c r="AP850" s="165"/>
      <c r="AQ850" s="165"/>
      <c r="AR850" s="165"/>
      <c r="AS850" s="165"/>
      <c r="AT850" s="165"/>
      <c r="AU850" s="165"/>
      <c r="AV850" s="165"/>
      <c r="AW850" s="165"/>
      <c r="AX850" s="165"/>
    </row>
    <row r="851" ht="15.75" customHeight="1">
      <c r="A851" s="165"/>
      <c r="B851" s="165"/>
      <c r="C851" s="165"/>
      <c r="D851" s="165"/>
      <c r="E851" s="165"/>
      <c r="F851" s="165"/>
      <c r="G851" s="165"/>
      <c r="H851" s="165"/>
      <c r="I851" s="165"/>
      <c r="J851" s="165"/>
      <c r="K851" s="165"/>
      <c r="L851" s="165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  <c r="AA851" s="165"/>
      <c r="AB851" s="165"/>
      <c r="AC851" s="165"/>
      <c r="AD851" s="165"/>
      <c r="AE851" s="165"/>
      <c r="AF851" s="165"/>
      <c r="AG851" s="165"/>
      <c r="AH851" s="165"/>
      <c r="AI851" s="165"/>
      <c r="AJ851" s="165"/>
      <c r="AK851" s="165"/>
      <c r="AL851" s="165"/>
      <c r="AM851" s="165"/>
      <c r="AN851" s="165"/>
      <c r="AO851" s="165"/>
      <c r="AP851" s="165"/>
      <c r="AQ851" s="165"/>
      <c r="AR851" s="165"/>
      <c r="AS851" s="165"/>
      <c r="AT851" s="165"/>
      <c r="AU851" s="165"/>
      <c r="AV851" s="165"/>
      <c r="AW851" s="165"/>
      <c r="AX851" s="165"/>
    </row>
    <row r="852" ht="15.75" customHeight="1">
      <c r="A852" s="165"/>
      <c r="B852" s="165"/>
      <c r="C852" s="165"/>
      <c r="D852" s="165"/>
      <c r="E852" s="165"/>
      <c r="F852" s="165"/>
      <c r="G852" s="165"/>
      <c r="H852" s="165"/>
      <c r="I852" s="165"/>
      <c r="J852" s="165"/>
      <c r="K852" s="165"/>
      <c r="L852" s="165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  <c r="AA852" s="165"/>
      <c r="AB852" s="165"/>
      <c r="AC852" s="165"/>
      <c r="AD852" s="165"/>
      <c r="AE852" s="165"/>
      <c r="AF852" s="165"/>
      <c r="AG852" s="165"/>
      <c r="AH852" s="165"/>
      <c r="AI852" s="165"/>
      <c r="AJ852" s="165"/>
      <c r="AK852" s="165"/>
      <c r="AL852" s="165"/>
      <c r="AM852" s="165"/>
      <c r="AN852" s="165"/>
      <c r="AO852" s="165"/>
      <c r="AP852" s="165"/>
      <c r="AQ852" s="165"/>
      <c r="AR852" s="165"/>
      <c r="AS852" s="165"/>
      <c r="AT852" s="165"/>
      <c r="AU852" s="165"/>
      <c r="AV852" s="165"/>
      <c r="AW852" s="165"/>
      <c r="AX852" s="165"/>
    </row>
    <row r="853" ht="15.75" customHeight="1">
      <c r="A853" s="165"/>
      <c r="B853" s="165"/>
      <c r="C853" s="165"/>
      <c r="D853" s="165"/>
      <c r="E853" s="165"/>
      <c r="F853" s="165"/>
      <c r="G853" s="165"/>
      <c r="H853" s="165"/>
      <c r="I853" s="165"/>
      <c r="J853" s="165"/>
      <c r="K853" s="165"/>
      <c r="L853" s="165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  <c r="AA853" s="165"/>
      <c r="AB853" s="165"/>
      <c r="AC853" s="165"/>
      <c r="AD853" s="165"/>
      <c r="AE853" s="165"/>
      <c r="AF853" s="165"/>
      <c r="AG853" s="165"/>
      <c r="AH853" s="165"/>
      <c r="AI853" s="165"/>
      <c r="AJ853" s="165"/>
      <c r="AK853" s="165"/>
      <c r="AL853" s="165"/>
      <c r="AM853" s="165"/>
      <c r="AN853" s="165"/>
      <c r="AO853" s="165"/>
      <c r="AP853" s="165"/>
      <c r="AQ853" s="165"/>
      <c r="AR853" s="165"/>
      <c r="AS853" s="165"/>
      <c r="AT853" s="165"/>
      <c r="AU853" s="165"/>
      <c r="AV853" s="165"/>
      <c r="AW853" s="165"/>
      <c r="AX853" s="165"/>
    </row>
    <row r="854" ht="15.75" customHeight="1">
      <c r="A854" s="165"/>
      <c r="B854" s="165"/>
      <c r="C854" s="165"/>
      <c r="D854" s="165"/>
      <c r="E854" s="165"/>
      <c r="F854" s="165"/>
      <c r="G854" s="165"/>
      <c r="H854" s="165"/>
      <c r="I854" s="165"/>
      <c r="J854" s="165"/>
      <c r="K854" s="165"/>
      <c r="L854" s="165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  <c r="AA854" s="165"/>
      <c r="AB854" s="165"/>
      <c r="AC854" s="165"/>
      <c r="AD854" s="165"/>
      <c r="AE854" s="165"/>
      <c r="AF854" s="165"/>
      <c r="AG854" s="165"/>
      <c r="AH854" s="165"/>
      <c r="AI854" s="165"/>
      <c r="AJ854" s="165"/>
      <c r="AK854" s="165"/>
      <c r="AL854" s="165"/>
      <c r="AM854" s="165"/>
      <c r="AN854" s="165"/>
      <c r="AO854" s="165"/>
      <c r="AP854" s="165"/>
      <c r="AQ854" s="165"/>
      <c r="AR854" s="165"/>
      <c r="AS854" s="165"/>
      <c r="AT854" s="165"/>
      <c r="AU854" s="165"/>
      <c r="AV854" s="165"/>
      <c r="AW854" s="165"/>
      <c r="AX854" s="165"/>
    </row>
    <row r="855" ht="15.75" customHeight="1">
      <c r="A855" s="165"/>
      <c r="B855" s="165"/>
      <c r="C855" s="165"/>
      <c r="D855" s="165"/>
      <c r="E855" s="165"/>
      <c r="F855" s="165"/>
      <c r="G855" s="165"/>
      <c r="H855" s="165"/>
      <c r="I855" s="165"/>
      <c r="J855" s="165"/>
      <c r="K855" s="165"/>
      <c r="L855" s="165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  <c r="AA855" s="165"/>
      <c r="AB855" s="165"/>
      <c r="AC855" s="165"/>
      <c r="AD855" s="165"/>
      <c r="AE855" s="165"/>
      <c r="AF855" s="165"/>
      <c r="AG855" s="165"/>
      <c r="AH855" s="165"/>
      <c r="AI855" s="165"/>
      <c r="AJ855" s="165"/>
      <c r="AK855" s="165"/>
      <c r="AL855" s="165"/>
      <c r="AM855" s="165"/>
      <c r="AN855" s="165"/>
      <c r="AO855" s="165"/>
      <c r="AP855" s="165"/>
      <c r="AQ855" s="165"/>
      <c r="AR855" s="165"/>
      <c r="AS855" s="165"/>
      <c r="AT855" s="165"/>
      <c r="AU855" s="165"/>
      <c r="AV855" s="165"/>
      <c r="AW855" s="165"/>
      <c r="AX855" s="165"/>
    </row>
    <row r="856" ht="15.75" customHeight="1">
      <c r="A856" s="165"/>
      <c r="B856" s="165"/>
      <c r="C856" s="165"/>
      <c r="D856" s="165"/>
      <c r="E856" s="165"/>
      <c r="F856" s="165"/>
      <c r="G856" s="165"/>
      <c r="H856" s="165"/>
      <c r="I856" s="165"/>
      <c r="J856" s="165"/>
      <c r="K856" s="165"/>
      <c r="L856" s="165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  <c r="AA856" s="165"/>
      <c r="AB856" s="165"/>
      <c r="AC856" s="165"/>
      <c r="AD856" s="165"/>
      <c r="AE856" s="165"/>
      <c r="AF856" s="165"/>
      <c r="AG856" s="165"/>
      <c r="AH856" s="165"/>
      <c r="AI856" s="165"/>
      <c r="AJ856" s="165"/>
      <c r="AK856" s="165"/>
      <c r="AL856" s="165"/>
      <c r="AM856" s="165"/>
      <c r="AN856" s="165"/>
      <c r="AO856" s="165"/>
      <c r="AP856" s="165"/>
      <c r="AQ856" s="165"/>
      <c r="AR856" s="165"/>
      <c r="AS856" s="165"/>
      <c r="AT856" s="165"/>
      <c r="AU856" s="165"/>
      <c r="AV856" s="165"/>
      <c r="AW856" s="165"/>
      <c r="AX856" s="165"/>
    </row>
    <row r="857" ht="15.75" customHeight="1">
      <c r="A857" s="165"/>
      <c r="B857" s="165"/>
      <c r="C857" s="165"/>
      <c r="D857" s="165"/>
      <c r="E857" s="165"/>
      <c r="F857" s="165"/>
      <c r="G857" s="165"/>
      <c r="H857" s="165"/>
      <c r="I857" s="165"/>
      <c r="J857" s="165"/>
      <c r="K857" s="165"/>
      <c r="L857" s="165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  <c r="AA857" s="165"/>
      <c r="AB857" s="165"/>
      <c r="AC857" s="165"/>
      <c r="AD857" s="165"/>
      <c r="AE857" s="165"/>
      <c r="AF857" s="165"/>
      <c r="AG857" s="165"/>
      <c r="AH857" s="165"/>
      <c r="AI857" s="165"/>
      <c r="AJ857" s="165"/>
      <c r="AK857" s="165"/>
      <c r="AL857" s="165"/>
      <c r="AM857" s="165"/>
      <c r="AN857" s="165"/>
      <c r="AO857" s="165"/>
      <c r="AP857" s="165"/>
      <c r="AQ857" s="165"/>
      <c r="AR857" s="165"/>
      <c r="AS857" s="165"/>
      <c r="AT857" s="165"/>
      <c r="AU857" s="165"/>
      <c r="AV857" s="165"/>
      <c r="AW857" s="165"/>
      <c r="AX857" s="165"/>
    </row>
    <row r="858" ht="15.75" customHeight="1">
      <c r="A858" s="165"/>
      <c r="B858" s="165"/>
      <c r="C858" s="165"/>
      <c r="D858" s="165"/>
      <c r="E858" s="165"/>
      <c r="F858" s="165"/>
      <c r="G858" s="165"/>
      <c r="H858" s="165"/>
      <c r="I858" s="165"/>
      <c r="J858" s="165"/>
      <c r="K858" s="165"/>
      <c r="L858" s="165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  <c r="AA858" s="165"/>
      <c r="AB858" s="165"/>
      <c r="AC858" s="165"/>
      <c r="AD858" s="165"/>
      <c r="AE858" s="165"/>
      <c r="AF858" s="165"/>
      <c r="AG858" s="165"/>
      <c r="AH858" s="165"/>
      <c r="AI858" s="165"/>
      <c r="AJ858" s="165"/>
      <c r="AK858" s="165"/>
      <c r="AL858" s="165"/>
      <c r="AM858" s="165"/>
      <c r="AN858" s="165"/>
      <c r="AO858" s="165"/>
      <c r="AP858" s="165"/>
      <c r="AQ858" s="165"/>
      <c r="AR858" s="165"/>
      <c r="AS858" s="165"/>
      <c r="AT858" s="165"/>
      <c r="AU858" s="165"/>
      <c r="AV858" s="165"/>
      <c r="AW858" s="165"/>
      <c r="AX858" s="165"/>
    </row>
    <row r="859" ht="15.75" customHeight="1">
      <c r="A859" s="165"/>
      <c r="B859" s="165"/>
      <c r="C859" s="165"/>
      <c r="D859" s="165"/>
      <c r="E859" s="165"/>
      <c r="F859" s="165"/>
      <c r="G859" s="165"/>
      <c r="H859" s="165"/>
      <c r="I859" s="165"/>
      <c r="J859" s="165"/>
      <c r="K859" s="165"/>
      <c r="L859" s="165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  <c r="AA859" s="165"/>
      <c r="AB859" s="165"/>
      <c r="AC859" s="165"/>
      <c r="AD859" s="165"/>
      <c r="AE859" s="165"/>
      <c r="AF859" s="165"/>
      <c r="AG859" s="165"/>
      <c r="AH859" s="165"/>
      <c r="AI859" s="165"/>
      <c r="AJ859" s="165"/>
      <c r="AK859" s="165"/>
      <c r="AL859" s="165"/>
      <c r="AM859" s="165"/>
      <c r="AN859" s="165"/>
      <c r="AO859" s="165"/>
      <c r="AP859" s="165"/>
      <c r="AQ859" s="165"/>
      <c r="AR859" s="165"/>
      <c r="AS859" s="165"/>
      <c r="AT859" s="165"/>
      <c r="AU859" s="165"/>
      <c r="AV859" s="165"/>
      <c r="AW859" s="165"/>
      <c r="AX859" s="165"/>
    </row>
    <row r="860" ht="15.75" customHeight="1">
      <c r="A860" s="165"/>
      <c r="B860" s="165"/>
      <c r="C860" s="165"/>
      <c r="D860" s="165"/>
      <c r="E860" s="165"/>
      <c r="F860" s="165"/>
      <c r="G860" s="165"/>
      <c r="H860" s="165"/>
      <c r="I860" s="165"/>
      <c r="J860" s="165"/>
      <c r="K860" s="165"/>
      <c r="L860" s="165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  <c r="AA860" s="165"/>
      <c r="AB860" s="165"/>
      <c r="AC860" s="165"/>
      <c r="AD860" s="165"/>
      <c r="AE860" s="165"/>
      <c r="AF860" s="165"/>
      <c r="AG860" s="165"/>
      <c r="AH860" s="165"/>
      <c r="AI860" s="165"/>
      <c r="AJ860" s="165"/>
      <c r="AK860" s="165"/>
      <c r="AL860" s="165"/>
      <c r="AM860" s="165"/>
      <c r="AN860" s="165"/>
      <c r="AO860" s="165"/>
      <c r="AP860" s="165"/>
      <c r="AQ860" s="165"/>
      <c r="AR860" s="165"/>
      <c r="AS860" s="165"/>
      <c r="AT860" s="165"/>
      <c r="AU860" s="165"/>
      <c r="AV860" s="165"/>
      <c r="AW860" s="165"/>
      <c r="AX860" s="165"/>
    </row>
    <row r="861" ht="15.75" customHeight="1">
      <c r="A861" s="165"/>
      <c r="B861" s="165"/>
      <c r="C861" s="165"/>
      <c r="D861" s="165"/>
      <c r="E861" s="165"/>
      <c r="F861" s="165"/>
      <c r="G861" s="165"/>
      <c r="H861" s="165"/>
      <c r="I861" s="165"/>
      <c r="J861" s="165"/>
      <c r="K861" s="165"/>
      <c r="L861" s="165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  <c r="AA861" s="165"/>
      <c r="AB861" s="165"/>
      <c r="AC861" s="165"/>
      <c r="AD861" s="165"/>
      <c r="AE861" s="165"/>
      <c r="AF861" s="165"/>
      <c r="AG861" s="165"/>
      <c r="AH861" s="165"/>
      <c r="AI861" s="165"/>
      <c r="AJ861" s="165"/>
      <c r="AK861" s="165"/>
      <c r="AL861" s="165"/>
      <c r="AM861" s="165"/>
      <c r="AN861" s="165"/>
      <c r="AO861" s="165"/>
      <c r="AP861" s="165"/>
      <c r="AQ861" s="165"/>
      <c r="AR861" s="165"/>
      <c r="AS861" s="165"/>
      <c r="AT861" s="165"/>
      <c r="AU861" s="165"/>
      <c r="AV861" s="165"/>
      <c r="AW861" s="165"/>
      <c r="AX861" s="165"/>
    </row>
    <row r="862" ht="15.75" customHeight="1">
      <c r="A862" s="165"/>
      <c r="B862" s="165"/>
      <c r="C862" s="165"/>
      <c r="D862" s="165"/>
      <c r="E862" s="165"/>
      <c r="F862" s="165"/>
      <c r="G862" s="165"/>
      <c r="H862" s="165"/>
      <c r="I862" s="165"/>
      <c r="J862" s="165"/>
      <c r="K862" s="165"/>
      <c r="L862" s="165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  <c r="AA862" s="165"/>
      <c r="AB862" s="165"/>
      <c r="AC862" s="165"/>
      <c r="AD862" s="165"/>
      <c r="AE862" s="165"/>
      <c r="AF862" s="165"/>
      <c r="AG862" s="165"/>
      <c r="AH862" s="165"/>
      <c r="AI862" s="165"/>
      <c r="AJ862" s="165"/>
      <c r="AK862" s="165"/>
      <c r="AL862" s="165"/>
      <c r="AM862" s="165"/>
      <c r="AN862" s="165"/>
      <c r="AO862" s="165"/>
      <c r="AP862" s="165"/>
      <c r="AQ862" s="165"/>
      <c r="AR862" s="165"/>
      <c r="AS862" s="165"/>
      <c r="AT862" s="165"/>
      <c r="AU862" s="165"/>
      <c r="AV862" s="165"/>
      <c r="AW862" s="165"/>
      <c r="AX862" s="165"/>
    </row>
    <row r="863" ht="15.75" customHeight="1">
      <c r="A863" s="165"/>
      <c r="B863" s="165"/>
      <c r="C863" s="165"/>
      <c r="D863" s="165"/>
      <c r="E863" s="165"/>
      <c r="F863" s="165"/>
      <c r="G863" s="165"/>
      <c r="H863" s="165"/>
      <c r="I863" s="165"/>
      <c r="J863" s="165"/>
      <c r="K863" s="165"/>
      <c r="L863" s="165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  <c r="AA863" s="165"/>
      <c r="AB863" s="165"/>
      <c r="AC863" s="165"/>
      <c r="AD863" s="165"/>
      <c r="AE863" s="165"/>
      <c r="AF863" s="165"/>
      <c r="AG863" s="165"/>
      <c r="AH863" s="165"/>
      <c r="AI863" s="165"/>
      <c r="AJ863" s="165"/>
      <c r="AK863" s="165"/>
      <c r="AL863" s="165"/>
      <c r="AM863" s="165"/>
      <c r="AN863" s="165"/>
      <c r="AO863" s="165"/>
      <c r="AP863" s="165"/>
      <c r="AQ863" s="165"/>
      <c r="AR863" s="165"/>
      <c r="AS863" s="165"/>
      <c r="AT863" s="165"/>
      <c r="AU863" s="165"/>
      <c r="AV863" s="165"/>
      <c r="AW863" s="165"/>
      <c r="AX863" s="165"/>
    </row>
    <row r="864" ht="15.75" customHeight="1">
      <c r="A864" s="165"/>
      <c r="B864" s="165"/>
      <c r="C864" s="165"/>
      <c r="D864" s="165"/>
      <c r="E864" s="165"/>
      <c r="F864" s="165"/>
      <c r="G864" s="165"/>
      <c r="H864" s="165"/>
      <c r="I864" s="165"/>
      <c r="J864" s="165"/>
      <c r="K864" s="165"/>
      <c r="L864" s="165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  <c r="AA864" s="165"/>
      <c r="AB864" s="165"/>
      <c r="AC864" s="165"/>
      <c r="AD864" s="165"/>
      <c r="AE864" s="165"/>
      <c r="AF864" s="165"/>
      <c r="AG864" s="165"/>
      <c r="AH864" s="165"/>
      <c r="AI864" s="165"/>
      <c r="AJ864" s="165"/>
      <c r="AK864" s="165"/>
      <c r="AL864" s="165"/>
      <c r="AM864" s="165"/>
      <c r="AN864" s="165"/>
      <c r="AO864" s="165"/>
      <c r="AP864" s="165"/>
      <c r="AQ864" s="165"/>
      <c r="AR864" s="165"/>
      <c r="AS864" s="165"/>
      <c r="AT864" s="165"/>
      <c r="AU864" s="165"/>
      <c r="AV864" s="165"/>
      <c r="AW864" s="165"/>
      <c r="AX864" s="165"/>
    </row>
    <row r="865" ht="15.75" customHeight="1">
      <c r="A865" s="165"/>
      <c r="B865" s="165"/>
      <c r="C865" s="165"/>
      <c r="D865" s="165"/>
      <c r="E865" s="165"/>
      <c r="F865" s="165"/>
      <c r="G865" s="165"/>
      <c r="H865" s="165"/>
      <c r="I865" s="165"/>
      <c r="J865" s="165"/>
      <c r="K865" s="165"/>
      <c r="L865" s="165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  <c r="AA865" s="165"/>
      <c r="AB865" s="165"/>
      <c r="AC865" s="165"/>
      <c r="AD865" s="165"/>
      <c r="AE865" s="165"/>
      <c r="AF865" s="165"/>
      <c r="AG865" s="165"/>
      <c r="AH865" s="165"/>
      <c r="AI865" s="165"/>
      <c r="AJ865" s="165"/>
      <c r="AK865" s="165"/>
      <c r="AL865" s="165"/>
      <c r="AM865" s="165"/>
      <c r="AN865" s="165"/>
      <c r="AO865" s="165"/>
      <c r="AP865" s="165"/>
      <c r="AQ865" s="165"/>
      <c r="AR865" s="165"/>
      <c r="AS865" s="165"/>
      <c r="AT865" s="165"/>
      <c r="AU865" s="165"/>
      <c r="AV865" s="165"/>
      <c r="AW865" s="165"/>
      <c r="AX865" s="165"/>
    </row>
    <row r="866" ht="15.75" customHeight="1">
      <c r="A866" s="165"/>
      <c r="B866" s="165"/>
      <c r="C866" s="165"/>
      <c r="D866" s="165"/>
      <c r="E866" s="165"/>
      <c r="F866" s="165"/>
      <c r="G866" s="165"/>
      <c r="H866" s="165"/>
      <c r="I866" s="165"/>
      <c r="J866" s="165"/>
      <c r="K866" s="165"/>
      <c r="L866" s="165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  <c r="AA866" s="165"/>
      <c r="AB866" s="165"/>
      <c r="AC866" s="165"/>
      <c r="AD866" s="165"/>
      <c r="AE866" s="165"/>
      <c r="AF866" s="165"/>
      <c r="AG866" s="165"/>
      <c r="AH866" s="165"/>
      <c r="AI866" s="165"/>
      <c r="AJ866" s="165"/>
      <c r="AK866" s="165"/>
      <c r="AL866" s="165"/>
      <c r="AM866" s="165"/>
      <c r="AN866" s="165"/>
      <c r="AO866" s="165"/>
      <c r="AP866" s="165"/>
      <c r="AQ866" s="165"/>
      <c r="AR866" s="165"/>
      <c r="AS866" s="165"/>
      <c r="AT866" s="165"/>
      <c r="AU866" s="165"/>
      <c r="AV866" s="165"/>
      <c r="AW866" s="165"/>
      <c r="AX866" s="165"/>
    </row>
    <row r="867" ht="15.75" customHeight="1">
      <c r="A867" s="165"/>
      <c r="B867" s="165"/>
      <c r="C867" s="165"/>
      <c r="D867" s="165"/>
      <c r="E867" s="165"/>
      <c r="F867" s="165"/>
      <c r="G867" s="165"/>
      <c r="H867" s="165"/>
      <c r="I867" s="165"/>
      <c r="J867" s="165"/>
      <c r="K867" s="165"/>
      <c r="L867" s="165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  <c r="AA867" s="165"/>
      <c r="AB867" s="165"/>
      <c r="AC867" s="165"/>
      <c r="AD867" s="165"/>
      <c r="AE867" s="165"/>
      <c r="AF867" s="165"/>
      <c r="AG867" s="165"/>
      <c r="AH867" s="165"/>
      <c r="AI867" s="165"/>
      <c r="AJ867" s="165"/>
      <c r="AK867" s="165"/>
      <c r="AL867" s="165"/>
      <c r="AM867" s="165"/>
      <c r="AN867" s="165"/>
      <c r="AO867" s="165"/>
      <c r="AP867" s="165"/>
      <c r="AQ867" s="165"/>
      <c r="AR867" s="165"/>
      <c r="AS867" s="165"/>
      <c r="AT867" s="165"/>
      <c r="AU867" s="165"/>
      <c r="AV867" s="165"/>
      <c r="AW867" s="165"/>
      <c r="AX867" s="165"/>
    </row>
    <row r="868" ht="15.75" customHeight="1">
      <c r="A868" s="165"/>
      <c r="B868" s="165"/>
      <c r="C868" s="165"/>
      <c r="D868" s="165"/>
      <c r="E868" s="165"/>
      <c r="F868" s="165"/>
      <c r="G868" s="165"/>
      <c r="H868" s="165"/>
      <c r="I868" s="165"/>
      <c r="J868" s="165"/>
      <c r="K868" s="165"/>
      <c r="L868" s="165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  <c r="AA868" s="165"/>
      <c r="AB868" s="165"/>
      <c r="AC868" s="165"/>
      <c r="AD868" s="165"/>
      <c r="AE868" s="165"/>
      <c r="AF868" s="165"/>
      <c r="AG868" s="165"/>
      <c r="AH868" s="165"/>
      <c r="AI868" s="165"/>
      <c r="AJ868" s="165"/>
      <c r="AK868" s="165"/>
      <c r="AL868" s="165"/>
      <c r="AM868" s="165"/>
      <c r="AN868" s="165"/>
      <c r="AO868" s="165"/>
      <c r="AP868" s="165"/>
      <c r="AQ868" s="165"/>
      <c r="AR868" s="165"/>
      <c r="AS868" s="165"/>
      <c r="AT868" s="165"/>
      <c r="AU868" s="165"/>
      <c r="AV868" s="165"/>
      <c r="AW868" s="165"/>
      <c r="AX868" s="165"/>
    </row>
    <row r="869" ht="15.75" customHeight="1">
      <c r="A869" s="165"/>
      <c r="B869" s="165"/>
      <c r="C869" s="165"/>
      <c r="D869" s="165"/>
      <c r="E869" s="165"/>
      <c r="F869" s="165"/>
      <c r="G869" s="165"/>
      <c r="H869" s="165"/>
      <c r="I869" s="165"/>
      <c r="J869" s="165"/>
      <c r="K869" s="165"/>
      <c r="L869" s="165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  <c r="AA869" s="165"/>
      <c r="AB869" s="165"/>
      <c r="AC869" s="165"/>
      <c r="AD869" s="165"/>
      <c r="AE869" s="165"/>
      <c r="AF869" s="165"/>
      <c r="AG869" s="165"/>
      <c r="AH869" s="165"/>
      <c r="AI869" s="165"/>
      <c r="AJ869" s="165"/>
      <c r="AK869" s="165"/>
      <c r="AL869" s="165"/>
      <c r="AM869" s="165"/>
      <c r="AN869" s="165"/>
      <c r="AO869" s="165"/>
      <c r="AP869" s="165"/>
      <c r="AQ869" s="165"/>
      <c r="AR869" s="165"/>
      <c r="AS869" s="165"/>
      <c r="AT869" s="165"/>
      <c r="AU869" s="165"/>
      <c r="AV869" s="165"/>
      <c r="AW869" s="165"/>
      <c r="AX869" s="165"/>
    </row>
    <row r="870" ht="15.75" customHeight="1">
      <c r="A870" s="165"/>
      <c r="B870" s="165"/>
      <c r="C870" s="165"/>
      <c r="D870" s="165"/>
      <c r="E870" s="165"/>
      <c r="F870" s="165"/>
      <c r="G870" s="165"/>
      <c r="H870" s="165"/>
      <c r="I870" s="165"/>
      <c r="J870" s="165"/>
      <c r="K870" s="165"/>
      <c r="L870" s="165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  <c r="AA870" s="165"/>
      <c r="AB870" s="165"/>
      <c r="AC870" s="165"/>
      <c r="AD870" s="165"/>
      <c r="AE870" s="165"/>
      <c r="AF870" s="165"/>
      <c r="AG870" s="165"/>
      <c r="AH870" s="165"/>
      <c r="AI870" s="165"/>
      <c r="AJ870" s="165"/>
      <c r="AK870" s="165"/>
      <c r="AL870" s="165"/>
      <c r="AM870" s="165"/>
      <c r="AN870" s="165"/>
      <c r="AO870" s="165"/>
      <c r="AP870" s="165"/>
      <c r="AQ870" s="165"/>
      <c r="AR870" s="165"/>
      <c r="AS870" s="165"/>
      <c r="AT870" s="165"/>
      <c r="AU870" s="165"/>
      <c r="AV870" s="165"/>
      <c r="AW870" s="165"/>
      <c r="AX870" s="165"/>
    </row>
    <row r="871" ht="15.75" customHeight="1">
      <c r="A871" s="165"/>
      <c r="B871" s="165"/>
      <c r="C871" s="165"/>
      <c r="D871" s="165"/>
      <c r="E871" s="165"/>
      <c r="F871" s="165"/>
      <c r="G871" s="165"/>
      <c r="H871" s="165"/>
      <c r="I871" s="165"/>
      <c r="J871" s="165"/>
      <c r="K871" s="165"/>
      <c r="L871" s="165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  <c r="AA871" s="165"/>
      <c r="AB871" s="165"/>
      <c r="AC871" s="165"/>
      <c r="AD871" s="165"/>
      <c r="AE871" s="165"/>
      <c r="AF871" s="165"/>
      <c r="AG871" s="165"/>
      <c r="AH871" s="165"/>
      <c r="AI871" s="165"/>
      <c r="AJ871" s="165"/>
      <c r="AK871" s="165"/>
      <c r="AL871" s="165"/>
      <c r="AM871" s="165"/>
      <c r="AN871" s="165"/>
      <c r="AO871" s="165"/>
      <c r="AP871" s="165"/>
      <c r="AQ871" s="165"/>
      <c r="AR871" s="165"/>
      <c r="AS871" s="165"/>
      <c r="AT871" s="165"/>
      <c r="AU871" s="165"/>
      <c r="AV871" s="165"/>
      <c r="AW871" s="165"/>
      <c r="AX871" s="165"/>
    </row>
    <row r="872" ht="15.75" customHeight="1">
      <c r="A872" s="165"/>
      <c r="B872" s="165"/>
      <c r="C872" s="165"/>
      <c r="D872" s="165"/>
      <c r="E872" s="165"/>
      <c r="F872" s="165"/>
      <c r="G872" s="165"/>
      <c r="H872" s="165"/>
      <c r="I872" s="165"/>
      <c r="J872" s="165"/>
      <c r="K872" s="165"/>
      <c r="L872" s="165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  <c r="AA872" s="165"/>
      <c r="AB872" s="165"/>
      <c r="AC872" s="165"/>
      <c r="AD872" s="165"/>
      <c r="AE872" s="165"/>
      <c r="AF872" s="165"/>
      <c r="AG872" s="165"/>
      <c r="AH872" s="165"/>
      <c r="AI872" s="165"/>
      <c r="AJ872" s="165"/>
      <c r="AK872" s="165"/>
      <c r="AL872" s="165"/>
      <c r="AM872" s="165"/>
      <c r="AN872" s="165"/>
      <c r="AO872" s="165"/>
      <c r="AP872" s="165"/>
      <c r="AQ872" s="165"/>
      <c r="AR872" s="165"/>
      <c r="AS872" s="165"/>
      <c r="AT872" s="165"/>
      <c r="AU872" s="165"/>
      <c r="AV872" s="165"/>
      <c r="AW872" s="165"/>
      <c r="AX872" s="165"/>
    </row>
    <row r="873" ht="15.75" customHeight="1">
      <c r="A873" s="165"/>
      <c r="B873" s="165"/>
      <c r="C873" s="165"/>
      <c r="D873" s="165"/>
      <c r="E873" s="165"/>
      <c r="F873" s="165"/>
      <c r="G873" s="165"/>
      <c r="H873" s="165"/>
      <c r="I873" s="165"/>
      <c r="J873" s="165"/>
      <c r="K873" s="165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  <c r="AA873" s="165"/>
      <c r="AB873" s="165"/>
      <c r="AC873" s="165"/>
      <c r="AD873" s="165"/>
      <c r="AE873" s="165"/>
      <c r="AF873" s="165"/>
      <c r="AG873" s="165"/>
      <c r="AH873" s="165"/>
      <c r="AI873" s="165"/>
      <c r="AJ873" s="165"/>
      <c r="AK873" s="165"/>
      <c r="AL873" s="165"/>
      <c r="AM873" s="165"/>
      <c r="AN873" s="165"/>
      <c r="AO873" s="165"/>
      <c r="AP873" s="165"/>
      <c r="AQ873" s="165"/>
      <c r="AR873" s="165"/>
      <c r="AS873" s="165"/>
      <c r="AT873" s="165"/>
      <c r="AU873" s="165"/>
      <c r="AV873" s="165"/>
      <c r="AW873" s="165"/>
      <c r="AX873" s="165"/>
    </row>
    <row r="874" ht="15.75" customHeight="1">
      <c r="A874" s="165"/>
      <c r="B874" s="165"/>
      <c r="C874" s="165"/>
      <c r="D874" s="165"/>
      <c r="E874" s="165"/>
      <c r="F874" s="165"/>
      <c r="G874" s="165"/>
      <c r="H874" s="165"/>
      <c r="I874" s="165"/>
      <c r="J874" s="165"/>
      <c r="K874" s="165"/>
      <c r="L874" s="165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  <c r="AA874" s="165"/>
      <c r="AB874" s="165"/>
      <c r="AC874" s="165"/>
      <c r="AD874" s="165"/>
      <c r="AE874" s="165"/>
      <c r="AF874" s="165"/>
      <c r="AG874" s="165"/>
      <c r="AH874" s="165"/>
      <c r="AI874" s="165"/>
      <c r="AJ874" s="165"/>
      <c r="AK874" s="165"/>
      <c r="AL874" s="165"/>
      <c r="AM874" s="165"/>
      <c r="AN874" s="165"/>
      <c r="AO874" s="165"/>
      <c r="AP874" s="165"/>
      <c r="AQ874" s="165"/>
      <c r="AR874" s="165"/>
      <c r="AS874" s="165"/>
      <c r="AT874" s="165"/>
      <c r="AU874" s="165"/>
      <c r="AV874" s="165"/>
      <c r="AW874" s="165"/>
      <c r="AX874" s="165"/>
    </row>
    <row r="875" ht="15.75" customHeight="1">
      <c r="A875" s="165"/>
      <c r="B875" s="165"/>
      <c r="C875" s="165"/>
      <c r="D875" s="165"/>
      <c r="E875" s="165"/>
      <c r="F875" s="165"/>
      <c r="G875" s="165"/>
      <c r="H875" s="165"/>
      <c r="I875" s="165"/>
      <c r="J875" s="165"/>
      <c r="K875" s="165"/>
      <c r="L875" s="165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  <c r="AA875" s="165"/>
      <c r="AB875" s="165"/>
      <c r="AC875" s="165"/>
      <c r="AD875" s="165"/>
      <c r="AE875" s="165"/>
      <c r="AF875" s="165"/>
      <c r="AG875" s="165"/>
      <c r="AH875" s="165"/>
      <c r="AI875" s="165"/>
      <c r="AJ875" s="165"/>
      <c r="AK875" s="165"/>
      <c r="AL875" s="165"/>
      <c r="AM875" s="165"/>
      <c r="AN875" s="165"/>
      <c r="AO875" s="165"/>
      <c r="AP875" s="165"/>
      <c r="AQ875" s="165"/>
      <c r="AR875" s="165"/>
      <c r="AS875" s="165"/>
      <c r="AT875" s="165"/>
      <c r="AU875" s="165"/>
      <c r="AV875" s="165"/>
      <c r="AW875" s="165"/>
      <c r="AX875" s="165"/>
    </row>
    <row r="876" ht="15.75" customHeight="1">
      <c r="A876" s="165"/>
      <c r="B876" s="165"/>
      <c r="C876" s="165"/>
      <c r="D876" s="165"/>
      <c r="E876" s="165"/>
      <c r="F876" s="165"/>
      <c r="G876" s="165"/>
      <c r="H876" s="165"/>
      <c r="I876" s="165"/>
      <c r="J876" s="165"/>
      <c r="K876" s="165"/>
      <c r="L876" s="165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  <c r="AA876" s="165"/>
      <c r="AB876" s="165"/>
      <c r="AC876" s="165"/>
      <c r="AD876" s="165"/>
      <c r="AE876" s="165"/>
      <c r="AF876" s="165"/>
      <c r="AG876" s="165"/>
      <c r="AH876" s="165"/>
      <c r="AI876" s="165"/>
      <c r="AJ876" s="165"/>
      <c r="AK876" s="165"/>
      <c r="AL876" s="165"/>
      <c r="AM876" s="165"/>
      <c r="AN876" s="165"/>
      <c r="AO876" s="165"/>
      <c r="AP876" s="165"/>
      <c r="AQ876" s="165"/>
      <c r="AR876" s="165"/>
      <c r="AS876" s="165"/>
      <c r="AT876" s="165"/>
      <c r="AU876" s="165"/>
      <c r="AV876" s="165"/>
      <c r="AW876" s="165"/>
      <c r="AX876" s="165"/>
    </row>
    <row r="877" ht="15.75" customHeight="1">
      <c r="A877" s="165"/>
      <c r="B877" s="165"/>
      <c r="C877" s="165"/>
      <c r="D877" s="165"/>
      <c r="E877" s="165"/>
      <c r="F877" s="165"/>
      <c r="G877" s="165"/>
      <c r="H877" s="165"/>
      <c r="I877" s="165"/>
      <c r="J877" s="165"/>
      <c r="K877" s="165"/>
      <c r="L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  <c r="AA877" s="165"/>
      <c r="AB877" s="165"/>
      <c r="AC877" s="165"/>
      <c r="AD877" s="165"/>
      <c r="AE877" s="165"/>
      <c r="AF877" s="165"/>
      <c r="AG877" s="165"/>
      <c r="AH877" s="165"/>
      <c r="AI877" s="165"/>
      <c r="AJ877" s="165"/>
      <c r="AK877" s="165"/>
      <c r="AL877" s="165"/>
      <c r="AM877" s="165"/>
      <c r="AN877" s="165"/>
      <c r="AO877" s="165"/>
      <c r="AP877" s="165"/>
      <c r="AQ877" s="165"/>
      <c r="AR877" s="165"/>
      <c r="AS877" s="165"/>
      <c r="AT877" s="165"/>
      <c r="AU877" s="165"/>
      <c r="AV877" s="165"/>
      <c r="AW877" s="165"/>
      <c r="AX877" s="165"/>
    </row>
    <row r="878" ht="15.75" customHeight="1">
      <c r="A878" s="165"/>
      <c r="B878" s="165"/>
      <c r="C878" s="165"/>
      <c r="D878" s="165"/>
      <c r="E878" s="165"/>
      <c r="F878" s="165"/>
      <c r="G878" s="165"/>
      <c r="H878" s="165"/>
      <c r="I878" s="165"/>
      <c r="J878" s="165"/>
      <c r="K878" s="165"/>
      <c r="L878" s="165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  <c r="AA878" s="165"/>
      <c r="AB878" s="165"/>
      <c r="AC878" s="165"/>
      <c r="AD878" s="165"/>
      <c r="AE878" s="165"/>
      <c r="AF878" s="165"/>
      <c r="AG878" s="165"/>
      <c r="AH878" s="165"/>
      <c r="AI878" s="165"/>
      <c r="AJ878" s="165"/>
      <c r="AK878" s="165"/>
      <c r="AL878" s="165"/>
      <c r="AM878" s="165"/>
      <c r="AN878" s="165"/>
      <c r="AO878" s="165"/>
      <c r="AP878" s="165"/>
      <c r="AQ878" s="165"/>
      <c r="AR878" s="165"/>
      <c r="AS878" s="165"/>
      <c r="AT878" s="165"/>
      <c r="AU878" s="165"/>
      <c r="AV878" s="165"/>
      <c r="AW878" s="165"/>
      <c r="AX878" s="165"/>
    </row>
    <row r="879" ht="15.75" customHeight="1">
      <c r="A879" s="165"/>
      <c r="B879" s="165"/>
      <c r="C879" s="165"/>
      <c r="D879" s="165"/>
      <c r="E879" s="165"/>
      <c r="F879" s="165"/>
      <c r="G879" s="165"/>
      <c r="H879" s="165"/>
      <c r="I879" s="165"/>
      <c r="J879" s="165"/>
      <c r="K879" s="165"/>
      <c r="L879" s="165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  <c r="AA879" s="165"/>
      <c r="AB879" s="165"/>
      <c r="AC879" s="165"/>
      <c r="AD879" s="165"/>
      <c r="AE879" s="165"/>
      <c r="AF879" s="165"/>
      <c r="AG879" s="165"/>
      <c r="AH879" s="165"/>
      <c r="AI879" s="165"/>
      <c r="AJ879" s="165"/>
      <c r="AK879" s="165"/>
      <c r="AL879" s="165"/>
      <c r="AM879" s="165"/>
      <c r="AN879" s="165"/>
      <c r="AO879" s="165"/>
      <c r="AP879" s="165"/>
      <c r="AQ879" s="165"/>
      <c r="AR879" s="165"/>
      <c r="AS879" s="165"/>
      <c r="AT879" s="165"/>
      <c r="AU879" s="165"/>
      <c r="AV879" s="165"/>
      <c r="AW879" s="165"/>
      <c r="AX879" s="165"/>
    </row>
    <row r="880" ht="15.75" customHeight="1">
      <c r="A880" s="165"/>
      <c r="B880" s="165"/>
      <c r="C880" s="165"/>
      <c r="D880" s="165"/>
      <c r="E880" s="165"/>
      <c r="F880" s="165"/>
      <c r="G880" s="165"/>
      <c r="H880" s="165"/>
      <c r="I880" s="165"/>
      <c r="J880" s="165"/>
      <c r="K880" s="165"/>
      <c r="L880" s="165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  <c r="AA880" s="165"/>
      <c r="AB880" s="165"/>
      <c r="AC880" s="165"/>
      <c r="AD880" s="165"/>
      <c r="AE880" s="165"/>
      <c r="AF880" s="165"/>
      <c r="AG880" s="165"/>
      <c r="AH880" s="165"/>
      <c r="AI880" s="165"/>
      <c r="AJ880" s="165"/>
      <c r="AK880" s="165"/>
      <c r="AL880" s="165"/>
      <c r="AM880" s="165"/>
      <c r="AN880" s="165"/>
      <c r="AO880" s="165"/>
      <c r="AP880" s="165"/>
      <c r="AQ880" s="165"/>
      <c r="AR880" s="165"/>
      <c r="AS880" s="165"/>
      <c r="AT880" s="165"/>
      <c r="AU880" s="165"/>
      <c r="AV880" s="165"/>
      <c r="AW880" s="165"/>
      <c r="AX880" s="165"/>
    </row>
    <row r="881" ht="15.75" customHeight="1">
      <c r="A881" s="165"/>
      <c r="B881" s="165"/>
      <c r="C881" s="165"/>
      <c r="D881" s="165"/>
      <c r="E881" s="165"/>
      <c r="F881" s="165"/>
      <c r="G881" s="165"/>
      <c r="H881" s="165"/>
      <c r="I881" s="165"/>
      <c r="J881" s="165"/>
      <c r="K881" s="165"/>
      <c r="L881" s="165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  <c r="AA881" s="165"/>
      <c r="AB881" s="165"/>
      <c r="AC881" s="165"/>
      <c r="AD881" s="165"/>
      <c r="AE881" s="165"/>
      <c r="AF881" s="165"/>
      <c r="AG881" s="165"/>
      <c r="AH881" s="165"/>
      <c r="AI881" s="165"/>
      <c r="AJ881" s="165"/>
      <c r="AK881" s="165"/>
      <c r="AL881" s="165"/>
      <c r="AM881" s="165"/>
      <c r="AN881" s="165"/>
      <c r="AO881" s="165"/>
      <c r="AP881" s="165"/>
      <c r="AQ881" s="165"/>
      <c r="AR881" s="165"/>
      <c r="AS881" s="165"/>
      <c r="AT881" s="165"/>
      <c r="AU881" s="165"/>
      <c r="AV881" s="165"/>
      <c r="AW881" s="165"/>
      <c r="AX881" s="165"/>
    </row>
    <row r="882" ht="15.75" customHeight="1">
      <c r="A882" s="165"/>
      <c r="B882" s="165"/>
      <c r="C882" s="165"/>
      <c r="D882" s="165"/>
      <c r="E882" s="165"/>
      <c r="F882" s="165"/>
      <c r="G882" s="165"/>
      <c r="H882" s="165"/>
      <c r="I882" s="165"/>
      <c r="J882" s="165"/>
      <c r="K882" s="165"/>
      <c r="L882" s="165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  <c r="AA882" s="165"/>
      <c r="AB882" s="165"/>
      <c r="AC882" s="165"/>
      <c r="AD882" s="165"/>
      <c r="AE882" s="165"/>
      <c r="AF882" s="165"/>
      <c r="AG882" s="165"/>
      <c r="AH882" s="165"/>
      <c r="AI882" s="165"/>
      <c r="AJ882" s="165"/>
      <c r="AK882" s="165"/>
      <c r="AL882" s="165"/>
      <c r="AM882" s="165"/>
      <c r="AN882" s="165"/>
      <c r="AO882" s="165"/>
      <c r="AP882" s="165"/>
      <c r="AQ882" s="165"/>
      <c r="AR882" s="165"/>
      <c r="AS882" s="165"/>
      <c r="AT882" s="165"/>
      <c r="AU882" s="165"/>
      <c r="AV882" s="165"/>
      <c r="AW882" s="165"/>
      <c r="AX882" s="165"/>
    </row>
    <row r="883" ht="15.75" customHeight="1">
      <c r="A883" s="165"/>
      <c r="B883" s="165"/>
      <c r="C883" s="165"/>
      <c r="D883" s="165"/>
      <c r="E883" s="165"/>
      <c r="F883" s="165"/>
      <c r="G883" s="165"/>
      <c r="H883" s="165"/>
      <c r="I883" s="165"/>
      <c r="J883" s="165"/>
      <c r="K883" s="165"/>
      <c r="L883" s="165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  <c r="AA883" s="165"/>
      <c r="AB883" s="165"/>
      <c r="AC883" s="165"/>
      <c r="AD883" s="165"/>
      <c r="AE883" s="165"/>
      <c r="AF883" s="165"/>
      <c r="AG883" s="165"/>
      <c r="AH883" s="165"/>
      <c r="AI883" s="165"/>
      <c r="AJ883" s="165"/>
      <c r="AK883" s="165"/>
      <c r="AL883" s="165"/>
      <c r="AM883" s="165"/>
      <c r="AN883" s="165"/>
      <c r="AO883" s="165"/>
      <c r="AP883" s="165"/>
      <c r="AQ883" s="165"/>
      <c r="AR883" s="165"/>
      <c r="AS883" s="165"/>
      <c r="AT883" s="165"/>
      <c r="AU883" s="165"/>
      <c r="AV883" s="165"/>
      <c r="AW883" s="165"/>
      <c r="AX883" s="165"/>
    </row>
    <row r="884" ht="15.75" customHeight="1">
      <c r="A884" s="165"/>
      <c r="B884" s="165"/>
      <c r="C884" s="165"/>
      <c r="D884" s="165"/>
      <c r="E884" s="165"/>
      <c r="F884" s="165"/>
      <c r="G884" s="165"/>
      <c r="H884" s="165"/>
      <c r="I884" s="165"/>
      <c r="J884" s="165"/>
      <c r="K884" s="165"/>
      <c r="L884" s="165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  <c r="AA884" s="165"/>
      <c r="AB884" s="165"/>
      <c r="AC884" s="165"/>
      <c r="AD884" s="165"/>
      <c r="AE884" s="165"/>
      <c r="AF884" s="165"/>
      <c r="AG884" s="165"/>
      <c r="AH884" s="165"/>
      <c r="AI884" s="165"/>
      <c r="AJ884" s="165"/>
      <c r="AK884" s="165"/>
      <c r="AL884" s="165"/>
      <c r="AM884" s="165"/>
      <c r="AN884" s="165"/>
      <c r="AO884" s="165"/>
      <c r="AP884" s="165"/>
      <c r="AQ884" s="165"/>
      <c r="AR884" s="165"/>
      <c r="AS884" s="165"/>
      <c r="AT884" s="165"/>
      <c r="AU884" s="165"/>
      <c r="AV884" s="165"/>
      <c r="AW884" s="165"/>
      <c r="AX884" s="165"/>
    </row>
    <row r="885" ht="15.75" customHeight="1">
      <c r="A885" s="165"/>
      <c r="B885" s="165"/>
      <c r="C885" s="165"/>
      <c r="D885" s="165"/>
      <c r="E885" s="165"/>
      <c r="F885" s="165"/>
      <c r="G885" s="165"/>
      <c r="H885" s="165"/>
      <c r="I885" s="165"/>
      <c r="J885" s="165"/>
      <c r="K885" s="165"/>
      <c r="L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  <c r="AA885" s="165"/>
      <c r="AB885" s="165"/>
      <c r="AC885" s="165"/>
      <c r="AD885" s="165"/>
      <c r="AE885" s="165"/>
      <c r="AF885" s="165"/>
      <c r="AG885" s="165"/>
      <c r="AH885" s="165"/>
      <c r="AI885" s="165"/>
      <c r="AJ885" s="165"/>
      <c r="AK885" s="165"/>
      <c r="AL885" s="165"/>
      <c r="AM885" s="165"/>
      <c r="AN885" s="165"/>
      <c r="AO885" s="165"/>
      <c r="AP885" s="165"/>
      <c r="AQ885" s="165"/>
      <c r="AR885" s="165"/>
      <c r="AS885" s="165"/>
      <c r="AT885" s="165"/>
      <c r="AU885" s="165"/>
      <c r="AV885" s="165"/>
      <c r="AW885" s="165"/>
      <c r="AX885" s="165"/>
    </row>
    <row r="886" ht="15.75" customHeight="1">
      <c r="A886" s="165"/>
      <c r="B886" s="165"/>
      <c r="C886" s="165"/>
      <c r="D886" s="165"/>
      <c r="E886" s="165"/>
      <c r="F886" s="165"/>
      <c r="G886" s="165"/>
      <c r="H886" s="165"/>
      <c r="I886" s="165"/>
      <c r="J886" s="165"/>
      <c r="K886" s="165"/>
      <c r="L886" s="165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  <c r="AA886" s="165"/>
      <c r="AB886" s="165"/>
      <c r="AC886" s="165"/>
      <c r="AD886" s="165"/>
      <c r="AE886" s="165"/>
      <c r="AF886" s="165"/>
      <c r="AG886" s="165"/>
      <c r="AH886" s="165"/>
      <c r="AI886" s="165"/>
      <c r="AJ886" s="165"/>
      <c r="AK886" s="165"/>
      <c r="AL886" s="165"/>
      <c r="AM886" s="165"/>
      <c r="AN886" s="165"/>
      <c r="AO886" s="165"/>
      <c r="AP886" s="165"/>
      <c r="AQ886" s="165"/>
      <c r="AR886" s="165"/>
      <c r="AS886" s="165"/>
      <c r="AT886" s="165"/>
      <c r="AU886" s="165"/>
      <c r="AV886" s="165"/>
      <c r="AW886" s="165"/>
      <c r="AX886" s="165"/>
    </row>
    <row r="887" ht="15.75" customHeight="1">
      <c r="A887" s="165"/>
      <c r="B887" s="165"/>
      <c r="C887" s="165"/>
      <c r="D887" s="165"/>
      <c r="E887" s="165"/>
      <c r="F887" s="165"/>
      <c r="G887" s="165"/>
      <c r="H887" s="165"/>
      <c r="I887" s="165"/>
      <c r="J887" s="165"/>
      <c r="K887" s="165"/>
      <c r="L887" s="165"/>
      <c r="M887" s="165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  <c r="AA887" s="165"/>
      <c r="AB887" s="165"/>
      <c r="AC887" s="165"/>
      <c r="AD887" s="165"/>
      <c r="AE887" s="165"/>
      <c r="AF887" s="165"/>
      <c r="AG887" s="165"/>
      <c r="AH887" s="165"/>
      <c r="AI887" s="165"/>
      <c r="AJ887" s="165"/>
      <c r="AK887" s="165"/>
      <c r="AL887" s="165"/>
      <c r="AM887" s="165"/>
      <c r="AN887" s="165"/>
      <c r="AO887" s="165"/>
      <c r="AP887" s="165"/>
      <c r="AQ887" s="165"/>
      <c r="AR887" s="165"/>
      <c r="AS887" s="165"/>
      <c r="AT887" s="165"/>
      <c r="AU887" s="165"/>
      <c r="AV887" s="165"/>
      <c r="AW887" s="165"/>
      <c r="AX887" s="165"/>
    </row>
    <row r="888" ht="15.75" customHeight="1">
      <c r="A888" s="165"/>
      <c r="B888" s="165"/>
      <c r="C888" s="165"/>
      <c r="D888" s="165"/>
      <c r="E888" s="165"/>
      <c r="F888" s="165"/>
      <c r="G888" s="165"/>
      <c r="H888" s="165"/>
      <c r="I888" s="165"/>
      <c r="J888" s="165"/>
      <c r="K888" s="165"/>
      <c r="L888" s="165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  <c r="AA888" s="165"/>
      <c r="AB888" s="165"/>
      <c r="AC888" s="165"/>
      <c r="AD888" s="165"/>
      <c r="AE888" s="165"/>
      <c r="AF888" s="165"/>
      <c r="AG888" s="165"/>
      <c r="AH888" s="165"/>
      <c r="AI888" s="165"/>
      <c r="AJ888" s="165"/>
      <c r="AK888" s="165"/>
      <c r="AL888" s="165"/>
      <c r="AM888" s="165"/>
      <c r="AN888" s="165"/>
      <c r="AO888" s="165"/>
      <c r="AP888" s="165"/>
      <c r="AQ888" s="165"/>
      <c r="AR888" s="165"/>
      <c r="AS888" s="165"/>
      <c r="AT888" s="165"/>
      <c r="AU888" s="165"/>
      <c r="AV888" s="165"/>
      <c r="AW888" s="165"/>
      <c r="AX888" s="165"/>
    </row>
    <row r="889" ht="15.75" customHeight="1">
      <c r="A889" s="165"/>
      <c r="B889" s="165"/>
      <c r="C889" s="165"/>
      <c r="D889" s="165"/>
      <c r="E889" s="165"/>
      <c r="F889" s="165"/>
      <c r="G889" s="165"/>
      <c r="H889" s="165"/>
      <c r="I889" s="165"/>
      <c r="J889" s="165"/>
      <c r="K889" s="165"/>
      <c r="L889" s="165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  <c r="AA889" s="165"/>
      <c r="AB889" s="165"/>
      <c r="AC889" s="165"/>
      <c r="AD889" s="165"/>
      <c r="AE889" s="165"/>
      <c r="AF889" s="165"/>
      <c r="AG889" s="165"/>
      <c r="AH889" s="165"/>
      <c r="AI889" s="165"/>
      <c r="AJ889" s="165"/>
      <c r="AK889" s="165"/>
      <c r="AL889" s="165"/>
      <c r="AM889" s="165"/>
      <c r="AN889" s="165"/>
      <c r="AO889" s="165"/>
      <c r="AP889" s="165"/>
      <c r="AQ889" s="165"/>
      <c r="AR889" s="165"/>
      <c r="AS889" s="165"/>
      <c r="AT889" s="165"/>
      <c r="AU889" s="165"/>
      <c r="AV889" s="165"/>
      <c r="AW889" s="165"/>
      <c r="AX889" s="165"/>
    </row>
    <row r="890" ht="15.75" customHeight="1">
      <c r="A890" s="165"/>
      <c r="B890" s="165"/>
      <c r="C890" s="165"/>
      <c r="D890" s="165"/>
      <c r="E890" s="165"/>
      <c r="F890" s="165"/>
      <c r="G890" s="165"/>
      <c r="H890" s="165"/>
      <c r="I890" s="165"/>
      <c r="J890" s="165"/>
      <c r="K890" s="165"/>
      <c r="L890" s="165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  <c r="AA890" s="165"/>
      <c r="AB890" s="165"/>
      <c r="AC890" s="165"/>
      <c r="AD890" s="165"/>
      <c r="AE890" s="165"/>
      <c r="AF890" s="165"/>
      <c r="AG890" s="165"/>
      <c r="AH890" s="165"/>
      <c r="AI890" s="165"/>
      <c r="AJ890" s="165"/>
      <c r="AK890" s="165"/>
      <c r="AL890" s="165"/>
      <c r="AM890" s="165"/>
      <c r="AN890" s="165"/>
      <c r="AO890" s="165"/>
      <c r="AP890" s="165"/>
      <c r="AQ890" s="165"/>
      <c r="AR890" s="165"/>
      <c r="AS890" s="165"/>
      <c r="AT890" s="165"/>
      <c r="AU890" s="165"/>
      <c r="AV890" s="165"/>
      <c r="AW890" s="165"/>
      <c r="AX890" s="165"/>
    </row>
    <row r="891" ht="15.75" customHeight="1">
      <c r="A891" s="165"/>
      <c r="B891" s="165"/>
      <c r="C891" s="165"/>
      <c r="D891" s="165"/>
      <c r="E891" s="165"/>
      <c r="F891" s="165"/>
      <c r="G891" s="165"/>
      <c r="H891" s="165"/>
      <c r="I891" s="165"/>
      <c r="J891" s="165"/>
      <c r="K891" s="165"/>
      <c r="L891" s="165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  <c r="AA891" s="165"/>
      <c r="AB891" s="165"/>
      <c r="AC891" s="165"/>
      <c r="AD891" s="165"/>
      <c r="AE891" s="165"/>
      <c r="AF891" s="165"/>
      <c r="AG891" s="165"/>
      <c r="AH891" s="165"/>
      <c r="AI891" s="165"/>
      <c r="AJ891" s="165"/>
      <c r="AK891" s="165"/>
      <c r="AL891" s="165"/>
      <c r="AM891" s="165"/>
      <c r="AN891" s="165"/>
      <c r="AO891" s="165"/>
      <c r="AP891" s="165"/>
      <c r="AQ891" s="165"/>
      <c r="AR891" s="165"/>
      <c r="AS891" s="165"/>
      <c r="AT891" s="165"/>
      <c r="AU891" s="165"/>
      <c r="AV891" s="165"/>
      <c r="AW891" s="165"/>
      <c r="AX891" s="165"/>
    </row>
    <row r="892" ht="15.75" customHeight="1">
      <c r="A892" s="165"/>
      <c r="B892" s="165"/>
      <c r="C892" s="165"/>
      <c r="D892" s="165"/>
      <c r="E892" s="165"/>
      <c r="F892" s="165"/>
      <c r="G892" s="165"/>
      <c r="H892" s="165"/>
      <c r="I892" s="165"/>
      <c r="J892" s="165"/>
      <c r="K892" s="165"/>
      <c r="L892" s="165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  <c r="AA892" s="165"/>
      <c r="AB892" s="165"/>
      <c r="AC892" s="165"/>
      <c r="AD892" s="165"/>
      <c r="AE892" s="165"/>
      <c r="AF892" s="165"/>
      <c r="AG892" s="165"/>
      <c r="AH892" s="165"/>
      <c r="AI892" s="165"/>
      <c r="AJ892" s="165"/>
      <c r="AK892" s="165"/>
      <c r="AL892" s="165"/>
      <c r="AM892" s="165"/>
      <c r="AN892" s="165"/>
      <c r="AO892" s="165"/>
      <c r="AP892" s="165"/>
      <c r="AQ892" s="165"/>
      <c r="AR892" s="165"/>
      <c r="AS892" s="165"/>
      <c r="AT892" s="165"/>
      <c r="AU892" s="165"/>
      <c r="AV892" s="165"/>
      <c r="AW892" s="165"/>
      <c r="AX892" s="165"/>
    </row>
    <row r="893" ht="15.75" customHeight="1">
      <c r="A893" s="165"/>
      <c r="B893" s="165"/>
      <c r="C893" s="165"/>
      <c r="D893" s="165"/>
      <c r="E893" s="165"/>
      <c r="F893" s="165"/>
      <c r="G893" s="165"/>
      <c r="H893" s="165"/>
      <c r="I893" s="165"/>
      <c r="J893" s="165"/>
      <c r="K893" s="165"/>
      <c r="L893" s="165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  <c r="AA893" s="165"/>
      <c r="AB893" s="165"/>
      <c r="AC893" s="165"/>
      <c r="AD893" s="165"/>
      <c r="AE893" s="165"/>
      <c r="AF893" s="165"/>
      <c r="AG893" s="165"/>
      <c r="AH893" s="165"/>
      <c r="AI893" s="165"/>
      <c r="AJ893" s="165"/>
      <c r="AK893" s="165"/>
      <c r="AL893" s="165"/>
      <c r="AM893" s="165"/>
      <c r="AN893" s="165"/>
      <c r="AO893" s="165"/>
      <c r="AP893" s="165"/>
      <c r="AQ893" s="165"/>
      <c r="AR893" s="165"/>
      <c r="AS893" s="165"/>
      <c r="AT893" s="165"/>
      <c r="AU893" s="165"/>
      <c r="AV893" s="165"/>
      <c r="AW893" s="165"/>
      <c r="AX893" s="165"/>
    </row>
    <row r="894" ht="15.75" customHeight="1">
      <c r="A894" s="165"/>
      <c r="B894" s="165"/>
      <c r="C894" s="165"/>
      <c r="D894" s="165"/>
      <c r="E894" s="165"/>
      <c r="F894" s="165"/>
      <c r="G894" s="165"/>
      <c r="H894" s="165"/>
      <c r="I894" s="165"/>
      <c r="J894" s="165"/>
      <c r="K894" s="165"/>
      <c r="L894" s="165"/>
      <c r="M894" s="165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  <c r="AA894" s="165"/>
      <c r="AB894" s="165"/>
      <c r="AC894" s="165"/>
      <c r="AD894" s="165"/>
      <c r="AE894" s="165"/>
      <c r="AF894" s="165"/>
      <c r="AG894" s="165"/>
      <c r="AH894" s="165"/>
      <c r="AI894" s="165"/>
      <c r="AJ894" s="165"/>
      <c r="AK894" s="165"/>
      <c r="AL894" s="165"/>
      <c r="AM894" s="165"/>
      <c r="AN894" s="165"/>
      <c r="AO894" s="165"/>
      <c r="AP894" s="165"/>
      <c r="AQ894" s="165"/>
      <c r="AR894" s="165"/>
      <c r="AS894" s="165"/>
      <c r="AT894" s="165"/>
      <c r="AU894" s="165"/>
      <c r="AV894" s="165"/>
      <c r="AW894" s="165"/>
      <c r="AX894" s="165"/>
    </row>
    <row r="895" ht="15.75" customHeight="1">
      <c r="A895" s="165"/>
      <c r="B895" s="165"/>
      <c r="C895" s="165"/>
      <c r="D895" s="165"/>
      <c r="E895" s="165"/>
      <c r="F895" s="165"/>
      <c r="G895" s="165"/>
      <c r="H895" s="165"/>
      <c r="I895" s="165"/>
      <c r="J895" s="165"/>
      <c r="K895" s="165"/>
      <c r="L895" s="165"/>
      <c r="M895" s="165"/>
      <c r="N895" s="165"/>
      <c r="O895" s="165"/>
      <c r="P895" s="165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  <c r="AA895" s="165"/>
      <c r="AB895" s="165"/>
      <c r="AC895" s="165"/>
      <c r="AD895" s="165"/>
      <c r="AE895" s="165"/>
      <c r="AF895" s="165"/>
      <c r="AG895" s="165"/>
      <c r="AH895" s="165"/>
      <c r="AI895" s="165"/>
      <c r="AJ895" s="165"/>
      <c r="AK895" s="165"/>
      <c r="AL895" s="165"/>
      <c r="AM895" s="165"/>
      <c r="AN895" s="165"/>
      <c r="AO895" s="165"/>
      <c r="AP895" s="165"/>
      <c r="AQ895" s="165"/>
      <c r="AR895" s="165"/>
      <c r="AS895" s="165"/>
      <c r="AT895" s="165"/>
      <c r="AU895" s="165"/>
      <c r="AV895" s="165"/>
      <c r="AW895" s="165"/>
      <c r="AX895" s="165"/>
    </row>
    <row r="896" ht="15.75" customHeight="1">
      <c r="A896" s="165"/>
      <c r="B896" s="165"/>
      <c r="C896" s="165"/>
      <c r="D896" s="165"/>
      <c r="E896" s="165"/>
      <c r="F896" s="165"/>
      <c r="G896" s="165"/>
      <c r="H896" s="165"/>
      <c r="I896" s="165"/>
      <c r="J896" s="165"/>
      <c r="K896" s="165"/>
      <c r="L896" s="165"/>
      <c r="M896" s="165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  <c r="AA896" s="165"/>
      <c r="AB896" s="165"/>
      <c r="AC896" s="165"/>
      <c r="AD896" s="165"/>
      <c r="AE896" s="165"/>
      <c r="AF896" s="165"/>
      <c r="AG896" s="165"/>
      <c r="AH896" s="165"/>
      <c r="AI896" s="165"/>
      <c r="AJ896" s="165"/>
      <c r="AK896" s="165"/>
      <c r="AL896" s="165"/>
      <c r="AM896" s="165"/>
      <c r="AN896" s="165"/>
      <c r="AO896" s="165"/>
      <c r="AP896" s="165"/>
      <c r="AQ896" s="165"/>
      <c r="AR896" s="165"/>
      <c r="AS896" s="165"/>
      <c r="AT896" s="165"/>
      <c r="AU896" s="165"/>
      <c r="AV896" s="165"/>
      <c r="AW896" s="165"/>
      <c r="AX896" s="165"/>
    </row>
    <row r="897" ht="15.75" customHeight="1">
      <c r="A897" s="165"/>
      <c r="B897" s="165"/>
      <c r="C897" s="165"/>
      <c r="D897" s="165"/>
      <c r="E897" s="165"/>
      <c r="F897" s="165"/>
      <c r="G897" s="165"/>
      <c r="H897" s="165"/>
      <c r="I897" s="165"/>
      <c r="J897" s="165"/>
      <c r="K897" s="165"/>
      <c r="L897" s="165"/>
      <c r="M897" s="165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  <c r="AA897" s="165"/>
      <c r="AB897" s="165"/>
      <c r="AC897" s="165"/>
      <c r="AD897" s="165"/>
      <c r="AE897" s="165"/>
      <c r="AF897" s="165"/>
      <c r="AG897" s="165"/>
      <c r="AH897" s="165"/>
      <c r="AI897" s="165"/>
      <c r="AJ897" s="165"/>
      <c r="AK897" s="165"/>
      <c r="AL897" s="165"/>
      <c r="AM897" s="165"/>
      <c r="AN897" s="165"/>
      <c r="AO897" s="165"/>
      <c r="AP897" s="165"/>
      <c r="AQ897" s="165"/>
      <c r="AR897" s="165"/>
      <c r="AS897" s="165"/>
      <c r="AT897" s="165"/>
      <c r="AU897" s="165"/>
      <c r="AV897" s="165"/>
      <c r="AW897" s="165"/>
      <c r="AX897" s="165"/>
    </row>
    <row r="898" ht="15.75" customHeight="1">
      <c r="A898" s="165"/>
      <c r="B898" s="165"/>
      <c r="C898" s="165"/>
      <c r="D898" s="165"/>
      <c r="E898" s="165"/>
      <c r="F898" s="165"/>
      <c r="G898" s="165"/>
      <c r="H898" s="165"/>
      <c r="I898" s="165"/>
      <c r="J898" s="165"/>
      <c r="K898" s="165"/>
      <c r="L898" s="165"/>
      <c r="M898" s="165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  <c r="AA898" s="165"/>
      <c r="AB898" s="165"/>
      <c r="AC898" s="165"/>
      <c r="AD898" s="165"/>
      <c r="AE898" s="165"/>
      <c r="AF898" s="165"/>
      <c r="AG898" s="165"/>
      <c r="AH898" s="165"/>
      <c r="AI898" s="165"/>
      <c r="AJ898" s="165"/>
      <c r="AK898" s="165"/>
      <c r="AL898" s="165"/>
      <c r="AM898" s="165"/>
      <c r="AN898" s="165"/>
      <c r="AO898" s="165"/>
      <c r="AP898" s="165"/>
      <c r="AQ898" s="165"/>
      <c r="AR898" s="165"/>
      <c r="AS898" s="165"/>
      <c r="AT898" s="165"/>
      <c r="AU898" s="165"/>
      <c r="AV898" s="165"/>
      <c r="AW898" s="165"/>
      <c r="AX898" s="165"/>
    </row>
    <row r="899" ht="15.75" customHeight="1">
      <c r="A899" s="165"/>
      <c r="B899" s="165"/>
      <c r="C899" s="165"/>
      <c r="D899" s="165"/>
      <c r="E899" s="165"/>
      <c r="F899" s="165"/>
      <c r="G899" s="165"/>
      <c r="H899" s="165"/>
      <c r="I899" s="165"/>
      <c r="J899" s="165"/>
      <c r="K899" s="165"/>
      <c r="L899" s="165"/>
      <c r="M899" s="165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  <c r="AA899" s="165"/>
      <c r="AB899" s="165"/>
      <c r="AC899" s="165"/>
      <c r="AD899" s="165"/>
      <c r="AE899" s="165"/>
      <c r="AF899" s="165"/>
      <c r="AG899" s="165"/>
      <c r="AH899" s="165"/>
      <c r="AI899" s="165"/>
      <c r="AJ899" s="165"/>
      <c r="AK899" s="165"/>
      <c r="AL899" s="165"/>
      <c r="AM899" s="165"/>
      <c r="AN899" s="165"/>
      <c r="AO899" s="165"/>
      <c r="AP899" s="165"/>
      <c r="AQ899" s="165"/>
      <c r="AR899" s="165"/>
      <c r="AS899" s="165"/>
      <c r="AT899" s="165"/>
      <c r="AU899" s="165"/>
      <c r="AV899" s="165"/>
      <c r="AW899" s="165"/>
      <c r="AX899" s="165"/>
    </row>
    <row r="900" ht="15.75" customHeight="1">
      <c r="A900" s="165"/>
      <c r="B900" s="165"/>
      <c r="C900" s="165"/>
      <c r="D900" s="165"/>
      <c r="E900" s="165"/>
      <c r="F900" s="165"/>
      <c r="G900" s="165"/>
      <c r="H900" s="165"/>
      <c r="I900" s="165"/>
      <c r="J900" s="165"/>
      <c r="K900" s="165"/>
      <c r="L900" s="165"/>
      <c r="M900" s="165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  <c r="AA900" s="165"/>
      <c r="AB900" s="165"/>
      <c r="AC900" s="165"/>
      <c r="AD900" s="165"/>
      <c r="AE900" s="165"/>
      <c r="AF900" s="165"/>
      <c r="AG900" s="165"/>
      <c r="AH900" s="165"/>
      <c r="AI900" s="165"/>
      <c r="AJ900" s="165"/>
      <c r="AK900" s="165"/>
      <c r="AL900" s="165"/>
      <c r="AM900" s="165"/>
      <c r="AN900" s="165"/>
      <c r="AO900" s="165"/>
      <c r="AP900" s="165"/>
      <c r="AQ900" s="165"/>
      <c r="AR900" s="165"/>
      <c r="AS900" s="165"/>
      <c r="AT900" s="165"/>
      <c r="AU900" s="165"/>
      <c r="AV900" s="165"/>
      <c r="AW900" s="165"/>
      <c r="AX900" s="165"/>
    </row>
    <row r="901" ht="15.75" customHeight="1">
      <c r="A901" s="165"/>
      <c r="B901" s="165"/>
      <c r="C901" s="165"/>
      <c r="D901" s="165"/>
      <c r="E901" s="165"/>
      <c r="F901" s="165"/>
      <c r="G901" s="165"/>
      <c r="H901" s="165"/>
      <c r="I901" s="165"/>
      <c r="J901" s="165"/>
      <c r="K901" s="165"/>
      <c r="L901" s="165"/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  <c r="AA901" s="165"/>
      <c r="AB901" s="165"/>
      <c r="AC901" s="165"/>
      <c r="AD901" s="165"/>
      <c r="AE901" s="165"/>
      <c r="AF901" s="165"/>
      <c r="AG901" s="165"/>
      <c r="AH901" s="165"/>
      <c r="AI901" s="165"/>
      <c r="AJ901" s="165"/>
      <c r="AK901" s="165"/>
      <c r="AL901" s="165"/>
      <c r="AM901" s="165"/>
      <c r="AN901" s="165"/>
      <c r="AO901" s="165"/>
      <c r="AP901" s="165"/>
      <c r="AQ901" s="165"/>
      <c r="AR901" s="165"/>
      <c r="AS901" s="165"/>
      <c r="AT901" s="165"/>
      <c r="AU901" s="165"/>
      <c r="AV901" s="165"/>
      <c r="AW901" s="165"/>
      <c r="AX901" s="165"/>
    </row>
    <row r="902" ht="15.75" customHeight="1">
      <c r="A902" s="165"/>
      <c r="B902" s="165"/>
      <c r="C902" s="165"/>
      <c r="D902" s="165"/>
      <c r="E902" s="165"/>
      <c r="F902" s="165"/>
      <c r="G902" s="165"/>
      <c r="H902" s="165"/>
      <c r="I902" s="165"/>
      <c r="J902" s="165"/>
      <c r="K902" s="165"/>
      <c r="L902" s="165"/>
      <c r="M902" s="165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  <c r="AA902" s="165"/>
      <c r="AB902" s="165"/>
      <c r="AC902" s="165"/>
      <c r="AD902" s="165"/>
      <c r="AE902" s="165"/>
      <c r="AF902" s="165"/>
      <c r="AG902" s="165"/>
      <c r="AH902" s="165"/>
      <c r="AI902" s="165"/>
      <c r="AJ902" s="165"/>
      <c r="AK902" s="165"/>
      <c r="AL902" s="165"/>
      <c r="AM902" s="165"/>
      <c r="AN902" s="165"/>
      <c r="AO902" s="165"/>
      <c r="AP902" s="165"/>
      <c r="AQ902" s="165"/>
      <c r="AR902" s="165"/>
      <c r="AS902" s="165"/>
      <c r="AT902" s="165"/>
      <c r="AU902" s="165"/>
      <c r="AV902" s="165"/>
      <c r="AW902" s="165"/>
      <c r="AX902" s="165"/>
    </row>
    <row r="903" ht="15.75" customHeight="1">
      <c r="A903" s="165"/>
      <c r="B903" s="165"/>
      <c r="C903" s="165"/>
      <c r="D903" s="165"/>
      <c r="E903" s="165"/>
      <c r="F903" s="165"/>
      <c r="G903" s="165"/>
      <c r="H903" s="165"/>
      <c r="I903" s="165"/>
      <c r="J903" s="165"/>
      <c r="K903" s="165"/>
      <c r="L903" s="165"/>
      <c r="M903" s="165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  <c r="AA903" s="165"/>
      <c r="AB903" s="165"/>
      <c r="AC903" s="165"/>
      <c r="AD903" s="165"/>
      <c r="AE903" s="165"/>
      <c r="AF903" s="165"/>
      <c r="AG903" s="165"/>
      <c r="AH903" s="165"/>
      <c r="AI903" s="165"/>
      <c r="AJ903" s="165"/>
      <c r="AK903" s="165"/>
      <c r="AL903" s="165"/>
      <c r="AM903" s="165"/>
      <c r="AN903" s="165"/>
      <c r="AO903" s="165"/>
      <c r="AP903" s="165"/>
      <c r="AQ903" s="165"/>
      <c r="AR903" s="165"/>
      <c r="AS903" s="165"/>
      <c r="AT903" s="165"/>
      <c r="AU903" s="165"/>
      <c r="AV903" s="165"/>
      <c r="AW903" s="165"/>
      <c r="AX903" s="165"/>
    </row>
    <row r="904" ht="15.75" customHeight="1">
      <c r="A904" s="165"/>
      <c r="B904" s="165"/>
      <c r="C904" s="165"/>
      <c r="D904" s="165"/>
      <c r="E904" s="165"/>
      <c r="F904" s="165"/>
      <c r="G904" s="165"/>
      <c r="H904" s="165"/>
      <c r="I904" s="165"/>
      <c r="J904" s="165"/>
      <c r="K904" s="165"/>
      <c r="L904" s="165"/>
      <c r="M904" s="165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  <c r="AA904" s="165"/>
      <c r="AB904" s="165"/>
      <c r="AC904" s="165"/>
      <c r="AD904" s="165"/>
      <c r="AE904" s="165"/>
      <c r="AF904" s="165"/>
      <c r="AG904" s="165"/>
      <c r="AH904" s="165"/>
      <c r="AI904" s="165"/>
      <c r="AJ904" s="165"/>
      <c r="AK904" s="165"/>
      <c r="AL904" s="165"/>
      <c r="AM904" s="165"/>
      <c r="AN904" s="165"/>
      <c r="AO904" s="165"/>
      <c r="AP904" s="165"/>
      <c r="AQ904" s="165"/>
      <c r="AR904" s="165"/>
      <c r="AS904" s="165"/>
      <c r="AT904" s="165"/>
      <c r="AU904" s="165"/>
      <c r="AV904" s="165"/>
      <c r="AW904" s="165"/>
      <c r="AX904" s="165"/>
    </row>
    <row r="905" ht="15.75" customHeight="1">
      <c r="A905" s="165"/>
      <c r="B905" s="165"/>
      <c r="C905" s="165"/>
      <c r="D905" s="165"/>
      <c r="E905" s="165"/>
      <c r="F905" s="165"/>
      <c r="G905" s="165"/>
      <c r="H905" s="165"/>
      <c r="I905" s="165"/>
      <c r="J905" s="165"/>
      <c r="K905" s="165"/>
      <c r="L905" s="165"/>
      <c r="M905" s="165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  <c r="AA905" s="165"/>
      <c r="AB905" s="165"/>
      <c r="AC905" s="165"/>
      <c r="AD905" s="165"/>
      <c r="AE905" s="165"/>
      <c r="AF905" s="165"/>
      <c r="AG905" s="165"/>
      <c r="AH905" s="165"/>
      <c r="AI905" s="165"/>
      <c r="AJ905" s="165"/>
      <c r="AK905" s="165"/>
      <c r="AL905" s="165"/>
      <c r="AM905" s="165"/>
      <c r="AN905" s="165"/>
      <c r="AO905" s="165"/>
      <c r="AP905" s="165"/>
      <c r="AQ905" s="165"/>
      <c r="AR905" s="165"/>
      <c r="AS905" s="165"/>
      <c r="AT905" s="165"/>
      <c r="AU905" s="165"/>
      <c r="AV905" s="165"/>
      <c r="AW905" s="165"/>
      <c r="AX905" s="165"/>
    </row>
    <row r="906" ht="15.75" customHeight="1">
      <c r="A906" s="165"/>
      <c r="B906" s="165"/>
      <c r="C906" s="165"/>
      <c r="D906" s="165"/>
      <c r="E906" s="165"/>
      <c r="F906" s="165"/>
      <c r="G906" s="165"/>
      <c r="H906" s="165"/>
      <c r="I906" s="165"/>
      <c r="J906" s="165"/>
      <c r="K906" s="165"/>
      <c r="L906" s="165"/>
      <c r="M906" s="165"/>
      <c r="N906" s="165"/>
      <c r="O906" s="165"/>
      <c r="P906" s="165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  <c r="AA906" s="165"/>
      <c r="AB906" s="165"/>
      <c r="AC906" s="165"/>
      <c r="AD906" s="165"/>
      <c r="AE906" s="165"/>
      <c r="AF906" s="165"/>
      <c r="AG906" s="165"/>
      <c r="AH906" s="165"/>
      <c r="AI906" s="165"/>
      <c r="AJ906" s="165"/>
      <c r="AK906" s="165"/>
      <c r="AL906" s="165"/>
      <c r="AM906" s="165"/>
      <c r="AN906" s="165"/>
      <c r="AO906" s="165"/>
      <c r="AP906" s="165"/>
      <c r="AQ906" s="165"/>
      <c r="AR906" s="165"/>
      <c r="AS906" s="165"/>
      <c r="AT906" s="165"/>
      <c r="AU906" s="165"/>
      <c r="AV906" s="165"/>
      <c r="AW906" s="165"/>
      <c r="AX906" s="165"/>
    </row>
    <row r="907" ht="15.75" customHeight="1">
      <c r="A907" s="165"/>
      <c r="B907" s="165"/>
      <c r="C907" s="165"/>
      <c r="D907" s="165"/>
      <c r="E907" s="165"/>
      <c r="F907" s="165"/>
      <c r="G907" s="165"/>
      <c r="H907" s="165"/>
      <c r="I907" s="165"/>
      <c r="J907" s="165"/>
      <c r="K907" s="165"/>
      <c r="L907" s="165"/>
      <c r="M907" s="165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  <c r="AA907" s="165"/>
      <c r="AB907" s="165"/>
      <c r="AC907" s="165"/>
      <c r="AD907" s="165"/>
      <c r="AE907" s="165"/>
      <c r="AF907" s="165"/>
      <c r="AG907" s="165"/>
      <c r="AH907" s="165"/>
      <c r="AI907" s="165"/>
      <c r="AJ907" s="165"/>
      <c r="AK907" s="165"/>
      <c r="AL907" s="165"/>
      <c r="AM907" s="165"/>
      <c r="AN907" s="165"/>
      <c r="AO907" s="165"/>
      <c r="AP907" s="165"/>
      <c r="AQ907" s="165"/>
      <c r="AR907" s="165"/>
      <c r="AS907" s="165"/>
      <c r="AT907" s="165"/>
      <c r="AU907" s="165"/>
      <c r="AV907" s="165"/>
      <c r="AW907" s="165"/>
      <c r="AX907" s="165"/>
    </row>
    <row r="908" ht="15.75" customHeight="1">
      <c r="A908" s="165"/>
      <c r="B908" s="165"/>
      <c r="C908" s="165"/>
      <c r="D908" s="165"/>
      <c r="E908" s="165"/>
      <c r="F908" s="165"/>
      <c r="G908" s="165"/>
      <c r="H908" s="165"/>
      <c r="I908" s="165"/>
      <c r="J908" s="165"/>
      <c r="K908" s="165"/>
      <c r="L908" s="165"/>
      <c r="M908" s="165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  <c r="AA908" s="165"/>
      <c r="AB908" s="165"/>
      <c r="AC908" s="165"/>
      <c r="AD908" s="165"/>
      <c r="AE908" s="165"/>
      <c r="AF908" s="165"/>
      <c r="AG908" s="165"/>
      <c r="AH908" s="165"/>
      <c r="AI908" s="165"/>
      <c r="AJ908" s="165"/>
      <c r="AK908" s="165"/>
      <c r="AL908" s="165"/>
      <c r="AM908" s="165"/>
      <c r="AN908" s="165"/>
      <c r="AO908" s="165"/>
      <c r="AP908" s="165"/>
      <c r="AQ908" s="165"/>
      <c r="AR908" s="165"/>
      <c r="AS908" s="165"/>
      <c r="AT908" s="165"/>
      <c r="AU908" s="165"/>
      <c r="AV908" s="165"/>
      <c r="AW908" s="165"/>
      <c r="AX908" s="165"/>
    </row>
    <row r="909" ht="15.75" customHeight="1">
      <c r="A909" s="165"/>
      <c r="B909" s="165"/>
      <c r="C909" s="165"/>
      <c r="D909" s="165"/>
      <c r="E909" s="165"/>
      <c r="F909" s="165"/>
      <c r="G909" s="165"/>
      <c r="H909" s="165"/>
      <c r="I909" s="165"/>
      <c r="J909" s="165"/>
      <c r="K909" s="165"/>
      <c r="L909" s="165"/>
      <c r="M909" s="165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  <c r="AA909" s="165"/>
      <c r="AB909" s="165"/>
      <c r="AC909" s="165"/>
      <c r="AD909" s="165"/>
      <c r="AE909" s="165"/>
      <c r="AF909" s="165"/>
      <c r="AG909" s="165"/>
      <c r="AH909" s="165"/>
      <c r="AI909" s="165"/>
      <c r="AJ909" s="165"/>
      <c r="AK909" s="165"/>
      <c r="AL909" s="165"/>
      <c r="AM909" s="165"/>
      <c r="AN909" s="165"/>
      <c r="AO909" s="165"/>
      <c r="AP909" s="165"/>
      <c r="AQ909" s="165"/>
      <c r="AR909" s="165"/>
      <c r="AS909" s="165"/>
      <c r="AT909" s="165"/>
      <c r="AU909" s="165"/>
      <c r="AV909" s="165"/>
      <c r="AW909" s="165"/>
      <c r="AX909" s="165"/>
    </row>
    <row r="910" ht="15.75" customHeight="1">
      <c r="A910" s="165"/>
      <c r="B910" s="165"/>
      <c r="C910" s="165"/>
      <c r="D910" s="165"/>
      <c r="E910" s="165"/>
      <c r="F910" s="165"/>
      <c r="G910" s="165"/>
      <c r="H910" s="165"/>
      <c r="I910" s="165"/>
      <c r="J910" s="165"/>
      <c r="K910" s="165"/>
      <c r="L910" s="165"/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  <c r="AA910" s="165"/>
      <c r="AB910" s="165"/>
      <c r="AC910" s="165"/>
      <c r="AD910" s="165"/>
      <c r="AE910" s="165"/>
      <c r="AF910" s="165"/>
      <c r="AG910" s="165"/>
      <c r="AH910" s="165"/>
      <c r="AI910" s="165"/>
      <c r="AJ910" s="165"/>
      <c r="AK910" s="165"/>
      <c r="AL910" s="165"/>
      <c r="AM910" s="165"/>
      <c r="AN910" s="165"/>
      <c r="AO910" s="165"/>
      <c r="AP910" s="165"/>
      <c r="AQ910" s="165"/>
      <c r="AR910" s="165"/>
      <c r="AS910" s="165"/>
      <c r="AT910" s="165"/>
      <c r="AU910" s="165"/>
      <c r="AV910" s="165"/>
      <c r="AW910" s="165"/>
      <c r="AX910" s="165"/>
    </row>
    <row r="911" ht="15.75" customHeight="1">
      <c r="A911" s="165"/>
      <c r="B911" s="165"/>
      <c r="C911" s="165"/>
      <c r="D911" s="165"/>
      <c r="E911" s="165"/>
      <c r="F911" s="165"/>
      <c r="G911" s="165"/>
      <c r="H911" s="165"/>
      <c r="I911" s="165"/>
      <c r="J911" s="165"/>
      <c r="K911" s="165"/>
      <c r="L911" s="165"/>
      <c r="M911" s="165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  <c r="AA911" s="165"/>
      <c r="AB911" s="165"/>
      <c r="AC911" s="165"/>
      <c r="AD911" s="165"/>
      <c r="AE911" s="165"/>
      <c r="AF911" s="165"/>
      <c r="AG911" s="165"/>
      <c r="AH911" s="165"/>
      <c r="AI911" s="165"/>
      <c r="AJ911" s="165"/>
      <c r="AK911" s="165"/>
      <c r="AL911" s="165"/>
      <c r="AM911" s="165"/>
      <c r="AN911" s="165"/>
      <c r="AO911" s="165"/>
      <c r="AP911" s="165"/>
      <c r="AQ911" s="165"/>
      <c r="AR911" s="165"/>
      <c r="AS911" s="165"/>
      <c r="AT911" s="165"/>
      <c r="AU911" s="165"/>
      <c r="AV911" s="165"/>
      <c r="AW911" s="165"/>
      <c r="AX911" s="165"/>
    </row>
    <row r="912" ht="15.75" customHeight="1">
      <c r="A912" s="165"/>
      <c r="B912" s="165"/>
      <c r="C912" s="165"/>
      <c r="D912" s="165"/>
      <c r="E912" s="165"/>
      <c r="F912" s="165"/>
      <c r="G912" s="165"/>
      <c r="H912" s="165"/>
      <c r="I912" s="165"/>
      <c r="J912" s="165"/>
      <c r="K912" s="165"/>
      <c r="L912" s="165"/>
      <c r="M912" s="165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  <c r="AA912" s="165"/>
      <c r="AB912" s="165"/>
      <c r="AC912" s="165"/>
      <c r="AD912" s="165"/>
      <c r="AE912" s="165"/>
      <c r="AF912" s="165"/>
      <c r="AG912" s="165"/>
      <c r="AH912" s="165"/>
      <c r="AI912" s="165"/>
      <c r="AJ912" s="165"/>
      <c r="AK912" s="165"/>
      <c r="AL912" s="165"/>
      <c r="AM912" s="165"/>
      <c r="AN912" s="165"/>
      <c r="AO912" s="165"/>
      <c r="AP912" s="165"/>
      <c r="AQ912" s="165"/>
      <c r="AR912" s="165"/>
      <c r="AS912" s="165"/>
      <c r="AT912" s="165"/>
      <c r="AU912" s="165"/>
      <c r="AV912" s="165"/>
      <c r="AW912" s="165"/>
      <c r="AX912" s="165"/>
    </row>
    <row r="913" ht="15.75" customHeight="1">
      <c r="A913" s="165"/>
      <c r="B913" s="165"/>
      <c r="C913" s="165"/>
      <c r="D913" s="165"/>
      <c r="E913" s="165"/>
      <c r="F913" s="165"/>
      <c r="G913" s="165"/>
      <c r="H913" s="165"/>
      <c r="I913" s="165"/>
      <c r="J913" s="165"/>
      <c r="K913" s="165"/>
      <c r="L913" s="165"/>
      <c r="M913" s="165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  <c r="AA913" s="165"/>
      <c r="AB913" s="165"/>
      <c r="AC913" s="165"/>
      <c r="AD913" s="165"/>
      <c r="AE913" s="165"/>
      <c r="AF913" s="165"/>
      <c r="AG913" s="165"/>
      <c r="AH913" s="165"/>
      <c r="AI913" s="165"/>
      <c r="AJ913" s="165"/>
      <c r="AK913" s="165"/>
      <c r="AL913" s="165"/>
      <c r="AM913" s="165"/>
      <c r="AN913" s="165"/>
      <c r="AO913" s="165"/>
      <c r="AP913" s="165"/>
      <c r="AQ913" s="165"/>
      <c r="AR913" s="165"/>
      <c r="AS913" s="165"/>
      <c r="AT913" s="165"/>
      <c r="AU913" s="165"/>
      <c r="AV913" s="165"/>
      <c r="AW913" s="165"/>
      <c r="AX913" s="165"/>
    </row>
    <row r="914" ht="15.75" customHeight="1">
      <c r="A914" s="165"/>
      <c r="B914" s="165"/>
      <c r="C914" s="165"/>
      <c r="D914" s="165"/>
      <c r="E914" s="165"/>
      <c r="F914" s="165"/>
      <c r="G914" s="165"/>
      <c r="H914" s="165"/>
      <c r="I914" s="165"/>
      <c r="J914" s="165"/>
      <c r="K914" s="165"/>
      <c r="L914" s="165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  <c r="AA914" s="165"/>
      <c r="AB914" s="165"/>
      <c r="AC914" s="165"/>
      <c r="AD914" s="165"/>
      <c r="AE914" s="165"/>
      <c r="AF914" s="165"/>
      <c r="AG914" s="165"/>
      <c r="AH914" s="165"/>
      <c r="AI914" s="165"/>
      <c r="AJ914" s="165"/>
      <c r="AK914" s="165"/>
      <c r="AL914" s="165"/>
      <c r="AM914" s="165"/>
      <c r="AN914" s="165"/>
      <c r="AO914" s="165"/>
      <c r="AP914" s="165"/>
      <c r="AQ914" s="165"/>
      <c r="AR914" s="165"/>
      <c r="AS914" s="165"/>
      <c r="AT914" s="165"/>
      <c r="AU914" s="165"/>
      <c r="AV914" s="165"/>
      <c r="AW914" s="165"/>
      <c r="AX914" s="165"/>
    </row>
    <row r="915" ht="15.75" customHeight="1">
      <c r="A915" s="165"/>
      <c r="B915" s="165"/>
      <c r="C915" s="165"/>
      <c r="D915" s="165"/>
      <c r="E915" s="165"/>
      <c r="F915" s="165"/>
      <c r="G915" s="165"/>
      <c r="H915" s="165"/>
      <c r="I915" s="165"/>
      <c r="J915" s="165"/>
      <c r="K915" s="165"/>
      <c r="L915" s="165"/>
      <c r="M915" s="165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  <c r="AA915" s="165"/>
      <c r="AB915" s="165"/>
      <c r="AC915" s="165"/>
      <c r="AD915" s="165"/>
      <c r="AE915" s="165"/>
      <c r="AF915" s="165"/>
      <c r="AG915" s="165"/>
      <c r="AH915" s="165"/>
      <c r="AI915" s="165"/>
      <c r="AJ915" s="165"/>
      <c r="AK915" s="165"/>
      <c r="AL915" s="165"/>
      <c r="AM915" s="165"/>
      <c r="AN915" s="165"/>
      <c r="AO915" s="165"/>
      <c r="AP915" s="165"/>
      <c r="AQ915" s="165"/>
      <c r="AR915" s="165"/>
      <c r="AS915" s="165"/>
      <c r="AT915" s="165"/>
      <c r="AU915" s="165"/>
      <c r="AV915" s="165"/>
      <c r="AW915" s="165"/>
      <c r="AX915" s="165"/>
    </row>
    <row r="916" ht="15.75" customHeight="1">
      <c r="A916" s="165"/>
      <c r="B916" s="165"/>
      <c r="C916" s="165"/>
      <c r="D916" s="165"/>
      <c r="E916" s="165"/>
      <c r="F916" s="165"/>
      <c r="G916" s="165"/>
      <c r="H916" s="165"/>
      <c r="I916" s="165"/>
      <c r="J916" s="165"/>
      <c r="K916" s="165"/>
      <c r="L916" s="165"/>
      <c r="M916" s="165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  <c r="AA916" s="165"/>
      <c r="AB916" s="165"/>
      <c r="AC916" s="165"/>
      <c r="AD916" s="165"/>
      <c r="AE916" s="165"/>
      <c r="AF916" s="165"/>
      <c r="AG916" s="165"/>
      <c r="AH916" s="165"/>
      <c r="AI916" s="165"/>
      <c r="AJ916" s="165"/>
      <c r="AK916" s="165"/>
      <c r="AL916" s="165"/>
      <c r="AM916" s="165"/>
      <c r="AN916" s="165"/>
      <c r="AO916" s="165"/>
      <c r="AP916" s="165"/>
      <c r="AQ916" s="165"/>
      <c r="AR916" s="165"/>
      <c r="AS916" s="165"/>
      <c r="AT916" s="165"/>
      <c r="AU916" s="165"/>
      <c r="AV916" s="165"/>
      <c r="AW916" s="165"/>
      <c r="AX916" s="165"/>
    </row>
    <row r="917" ht="15.75" customHeight="1">
      <c r="A917" s="165"/>
      <c r="B917" s="165"/>
      <c r="C917" s="165"/>
      <c r="D917" s="165"/>
      <c r="E917" s="165"/>
      <c r="F917" s="165"/>
      <c r="G917" s="165"/>
      <c r="H917" s="165"/>
      <c r="I917" s="165"/>
      <c r="J917" s="165"/>
      <c r="K917" s="165"/>
      <c r="L917" s="165"/>
      <c r="M917" s="165"/>
      <c r="N917" s="165"/>
      <c r="O917" s="165"/>
      <c r="P917" s="165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  <c r="AA917" s="165"/>
      <c r="AB917" s="165"/>
      <c r="AC917" s="165"/>
      <c r="AD917" s="165"/>
      <c r="AE917" s="165"/>
      <c r="AF917" s="165"/>
      <c r="AG917" s="165"/>
      <c r="AH917" s="165"/>
      <c r="AI917" s="165"/>
      <c r="AJ917" s="165"/>
      <c r="AK917" s="165"/>
      <c r="AL917" s="165"/>
      <c r="AM917" s="165"/>
      <c r="AN917" s="165"/>
      <c r="AO917" s="165"/>
      <c r="AP917" s="165"/>
      <c r="AQ917" s="165"/>
      <c r="AR917" s="165"/>
      <c r="AS917" s="165"/>
      <c r="AT917" s="165"/>
      <c r="AU917" s="165"/>
      <c r="AV917" s="165"/>
      <c r="AW917" s="165"/>
      <c r="AX917" s="165"/>
    </row>
    <row r="918" ht="15.75" customHeight="1">
      <c r="A918" s="165"/>
      <c r="B918" s="165"/>
      <c r="C918" s="165"/>
      <c r="D918" s="165"/>
      <c r="E918" s="165"/>
      <c r="F918" s="165"/>
      <c r="G918" s="165"/>
      <c r="H918" s="165"/>
      <c r="I918" s="165"/>
      <c r="J918" s="165"/>
      <c r="K918" s="165"/>
      <c r="L918" s="165"/>
      <c r="M918" s="165"/>
      <c r="N918" s="165"/>
      <c r="O918" s="165"/>
      <c r="P918" s="165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  <c r="AA918" s="165"/>
      <c r="AB918" s="165"/>
      <c r="AC918" s="165"/>
      <c r="AD918" s="165"/>
      <c r="AE918" s="165"/>
      <c r="AF918" s="165"/>
      <c r="AG918" s="165"/>
      <c r="AH918" s="165"/>
      <c r="AI918" s="165"/>
      <c r="AJ918" s="165"/>
      <c r="AK918" s="165"/>
      <c r="AL918" s="165"/>
      <c r="AM918" s="165"/>
      <c r="AN918" s="165"/>
      <c r="AO918" s="165"/>
      <c r="AP918" s="165"/>
      <c r="AQ918" s="165"/>
      <c r="AR918" s="165"/>
      <c r="AS918" s="165"/>
      <c r="AT918" s="165"/>
      <c r="AU918" s="165"/>
      <c r="AV918" s="165"/>
      <c r="AW918" s="165"/>
      <c r="AX918" s="165"/>
    </row>
    <row r="919" ht="15.75" customHeight="1">
      <c r="A919" s="165"/>
      <c r="B919" s="165"/>
      <c r="C919" s="165"/>
      <c r="D919" s="165"/>
      <c r="E919" s="165"/>
      <c r="F919" s="165"/>
      <c r="G919" s="165"/>
      <c r="H919" s="165"/>
      <c r="I919" s="165"/>
      <c r="J919" s="165"/>
      <c r="K919" s="165"/>
      <c r="L919" s="165"/>
      <c r="M919" s="165"/>
      <c r="N919" s="165"/>
      <c r="O919" s="165"/>
      <c r="P919" s="165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  <c r="AA919" s="165"/>
      <c r="AB919" s="165"/>
      <c r="AC919" s="165"/>
      <c r="AD919" s="165"/>
      <c r="AE919" s="165"/>
      <c r="AF919" s="165"/>
      <c r="AG919" s="165"/>
      <c r="AH919" s="165"/>
      <c r="AI919" s="165"/>
      <c r="AJ919" s="165"/>
      <c r="AK919" s="165"/>
      <c r="AL919" s="165"/>
      <c r="AM919" s="165"/>
      <c r="AN919" s="165"/>
      <c r="AO919" s="165"/>
      <c r="AP919" s="165"/>
      <c r="AQ919" s="165"/>
      <c r="AR919" s="165"/>
      <c r="AS919" s="165"/>
      <c r="AT919" s="165"/>
      <c r="AU919" s="165"/>
      <c r="AV919" s="165"/>
      <c r="AW919" s="165"/>
      <c r="AX919" s="165"/>
    </row>
    <row r="920" ht="15.75" customHeight="1">
      <c r="A920" s="165"/>
      <c r="B920" s="165"/>
      <c r="C920" s="165"/>
      <c r="D920" s="165"/>
      <c r="E920" s="165"/>
      <c r="F920" s="165"/>
      <c r="G920" s="165"/>
      <c r="H920" s="165"/>
      <c r="I920" s="165"/>
      <c r="J920" s="165"/>
      <c r="K920" s="165"/>
      <c r="L920" s="165"/>
      <c r="M920" s="165"/>
      <c r="N920" s="165"/>
      <c r="O920" s="165"/>
      <c r="P920" s="165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  <c r="AA920" s="165"/>
      <c r="AB920" s="165"/>
      <c r="AC920" s="165"/>
      <c r="AD920" s="165"/>
      <c r="AE920" s="165"/>
      <c r="AF920" s="165"/>
      <c r="AG920" s="165"/>
      <c r="AH920" s="165"/>
      <c r="AI920" s="165"/>
      <c r="AJ920" s="165"/>
      <c r="AK920" s="165"/>
      <c r="AL920" s="165"/>
      <c r="AM920" s="165"/>
      <c r="AN920" s="165"/>
      <c r="AO920" s="165"/>
      <c r="AP920" s="165"/>
      <c r="AQ920" s="165"/>
      <c r="AR920" s="165"/>
      <c r="AS920" s="165"/>
      <c r="AT920" s="165"/>
      <c r="AU920" s="165"/>
      <c r="AV920" s="165"/>
      <c r="AW920" s="165"/>
      <c r="AX920" s="165"/>
    </row>
    <row r="921" ht="15.75" customHeight="1">
      <c r="A921" s="165"/>
      <c r="B921" s="165"/>
      <c r="C921" s="165"/>
      <c r="D921" s="165"/>
      <c r="E921" s="165"/>
      <c r="F921" s="165"/>
      <c r="G921" s="165"/>
      <c r="H921" s="165"/>
      <c r="I921" s="165"/>
      <c r="J921" s="165"/>
      <c r="K921" s="165"/>
      <c r="L921" s="165"/>
      <c r="M921" s="165"/>
      <c r="N921" s="165"/>
      <c r="O921" s="165"/>
      <c r="P921" s="165"/>
      <c r="Q921" s="165"/>
      <c r="R921" s="165"/>
      <c r="S921" s="165"/>
      <c r="T921" s="165"/>
      <c r="U921" s="165"/>
      <c r="V921" s="165"/>
      <c r="W921" s="165"/>
      <c r="X921" s="165"/>
      <c r="Y921" s="165"/>
      <c r="Z921" s="165"/>
      <c r="AA921" s="165"/>
      <c r="AB921" s="165"/>
      <c r="AC921" s="165"/>
      <c r="AD921" s="165"/>
      <c r="AE921" s="165"/>
      <c r="AF921" s="165"/>
      <c r="AG921" s="165"/>
      <c r="AH921" s="165"/>
      <c r="AI921" s="165"/>
      <c r="AJ921" s="165"/>
      <c r="AK921" s="165"/>
      <c r="AL921" s="165"/>
      <c r="AM921" s="165"/>
      <c r="AN921" s="165"/>
      <c r="AO921" s="165"/>
      <c r="AP921" s="165"/>
      <c r="AQ921" s="165"/>
      <c r="AR921" s="165"/>
      <c r="AS921" s="165"/>
      <c r="AT921" s="165"/>
      <c r="AU921" s="165"/>
      <c r="AV921" s="165"/>
      <c r="AW921" s="165"/>
      <c r="AX921" s="165"/>
    </row>
    <row r="922" ht="15.75" customHeight="1">
      <c r="A922" s="165"/>
      <c r="B922" s="165"/>
      <c r="C922" s="165"/>
      <c r="D922" s="165"/>
      <c r="E922" s="165"/>
      <c r="F922" s="165"/>
      <c r="G922" s="165"/>
      <c r="H922" s="165"/>
      <c r="I922" s="165"/>
      <c r="J922" s="165"/>
      <c r="K922" s="165"/>
      <c r="L922" s="165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  <c r="AA922" s="165"/>
      <c r="AB922" s="165"/>
      <c r="AC922" s="165"/>
      <c r="AD922" s="165"/>
      <c r="AE922" s="165"/>
      <c r="AF922" s="165"/>
      <c r="AG922" s="165"/>
      <c r="AH922" s="165"/>
      <c r="AI922" s="165"/>
      <c r="AJ922" s="165"/>
      <c r="AK922" s="165"/>
      <c r="AL922" s="165"/>
      <c r="AM922" s="165"/>
      <c r="AN922" s="165"/>
      <c r="AO922" s="165"/>
      <c r="AP922" s="165"/>
      <c r="AQ922" s="165"/>
      <c r="AR922" s="165"/>
      <c r="AS922" s="165"/>
      <c r="AT922" s="165"/>
      <c r="AU922" s="165"/>
      <c r="AV922" s="165"/>
      <c r="AW922" s="165"/>
      <c r="AX922" s="165"/>
    </row>
    <row r="923" ht="15.75" customHeight="1">
      <c r="A923" s="165"/>
      <c r="B923" s="165"/>
      <c r="C923" s="165"/>
      <c r="D923" s="165"/>
      <c r="E923" s="165"/>
      <c r="F923" s="165"/>
      <c r="G923" s="165"/>
      <c r="H923" s="165"/>
      <c r="I923" s="165"/>
      <c r="J923" s="165"/>
      <c r="K923" s="165"/>
      <c r="L923" s="165"/>
      <c r="M923" s="165"/>
      <c r="N923" s="165"/>
      <c r="O923" s="165"/>
      <c r="P923" s="165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  <c r="AA923" s="165"/>
      <c r="AB923" s="165"/>
      <c r="AC923" s="165"/>
      <c r="AD923" s="165"/>
      <c r="AE923" s="165"/>
      <c r="AF923" s="165"/>
      <c r="AG923" s="165"/>
      <c r="AH923" s="165"/>
      <c r="AI923" s="165"/>
      <c r="AJ923" s="165"/>
      <c r="AK923" s="165"/>
      <c r="AL923" s="165"/>
      <c r="AM923" s="165"/>
      <c r="AN923" s="165"/>
      <c r="AO923" s="165"/>
      <c r="AP923" s="165"/>
      <c r="AQ923" s="165"/>
      <c r="AR923" s="165"/>
      <c r="AS923" s="165"/>
      <c r="AT923" s="165"/>
      <c r="AU923" s="165"/>
      <c r="AV923" s="165"/>
      <c r="AW923" s="165"/>
      <c r="AX923" s="165"/>
    </row>
    <row r="924" ht="15.75" customHeight="1">
      <c r="A924" s="165"/>
      <c r="B924" s="165"/>
      <c r="C924" s="165"/>
      <c r="D924" s="165"/>
      <c r="E924" s="165"/>
      <c r="F924" s="165"/>
      <c r="G924" s="165"/>
      <c r="H924" s="165"/>
      <c r="I924" s="165"/>
      <c r="J924" s="165"/>
      <c r="K924" s="165"/>
      <c r="L924" s="165"/>
      <c r="M924" s="165"/>
      <c r="N924" s="165"/>
      <c r="O924" s="165"/>
      <c r="P924" s="165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  <c r="AA924" s="165"/>
      <c r="AB924" s="165"/>
      <c r="AC924" s="165"/>
      <c r="AD924" s="165"/>
      <c r="AE924" s="165"/>
      <c r="AF924" s="165"/>
      <c r="AG924" s="165"/>
      <c r="AH924" s="165"/>
      <c r="AI924" s="165"/>
      <c r="AJ924" s="165"/>
      <c r="AK924" s="165"/>
      <c r="AL924" s="165"/>
      <c r="AM924" s="165"/>
      <c r="AN924" s="165"/>
      <c r="AO924" s="165"/>
      <c r="AP924" s="165"/>
      <c r="AQ924" s="165"/>
      <c r="AR924" s="165"/>
      <c r="AS924" s="165"/>
      <c r="AT924" s="165"/>
      <c r="AU924" s="165"/>
      <c r="AV924" s="165"/>
      <c r="AW924" s="165"/>
      <c r="AX924" s="165"/>
    </row>
    <row r="925" ht="15.75" customHeight="1">
      <c r="A925" s="165"/>
      <c r="B925" s="165"/>
      <c r="C925" s="165"/>
      <c r="D925" s="165"/>
      <c r="E925" s="165"/>
      <c r="F925" s="165"/>
      <c r="G925" s="165"/>
      <c r="H925" s="165"/>
      <c r="I925" s="165"/>
      <c r="J925" s="165"/>
      <c r="K925" s="165"/>
      <c r="L925" s="165"/>
      <c r="M925" s="165"/>
      <c r="N925" s="165"/>
      <c r="O925" s="165"/>
      <c r="P925" s="165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  <c r="AA925" s="165"/>
      <c r="AB925" s="165"/>
      <c r="AC925" s="165"/>
      <c r="AD925" s="165"/>
      <c r="AE925" s="165"/>
      <c r="AF925" s="165"/>
      <c r="AG925" s="165"/>
      <c r="AH925" s="165"/>
      <c r="AI925" s="165"/>
      <c r="AJ925" s="165"/>
      <c r="AK925" s="165"/>
      <c r="AL925" s="165"/>
      <c r="AM925" s="165"/>
      <c r="AN925" s="165"/>
      <c r="AO925" s="165"/>
      <c r="AP925" s="165"/>
      <c r="AQ925" s="165"/>
      <c r="AR925" s="165"/>
      <c r="AS925" s="165"/>
      <c r="AT925" s="165"/>
      <c r="AU925" s="165"/>
      <c r="AV925" s="165"/>
      <c r="AW925" s="165"/>
      <c r="AX925" s="165"/>
    </row>
    <row r="926" ht="15.75" customHeight="1">
      <c r="A926" s="165"/>
      <c r="B926" s="165"/>
      <c r="C926" s="165"/>
      <c r="D926" s="165"/>
      <c r="E926" s="165"/>
      <c r="F926" s="165"/>
      <c r="G926" s="165"/>
      <c r="H926" s="165"/>
      <c r="I926" s="165"/>
      <c r="J926" s="165"/>
      <c r="K926" s="165"/>
      <c r="L926" s="165"/>
      <c r="M926" s="165"/>
      <c r="N926" s="165"/>
      <c r="O926" s="165"/>
      <c r="P926" s="165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  <c r="AA926" s="165"/>
      <c r="AB926" s="165"/>
      <c r="AC926" s="165"/>
      <c r="AD926" s="165"/>
      <c r="AE926" s="165"/>
      <c r="AF926" s="165"/>
      <c r="AG926" s="165"/>
      <c r="AH926" s="165"/>
      <c r="AI926" s="165"/>
      <c r="AJ926" s="165"/>
      <c r="AK926" s="165"/>
      <c r="AL926" s="165"/>
      <c r="AM926" s="165"/>
      <c r="AN926" s="165"/>
      <c r="AO926" s="165"/>
      <c r="AP926" s="165"/>
      <c r="AQ926" s="165"/>
      <c r="AR926" s="165"/>
      <c r="AS926" s="165"/>
      <c r="AT926" s="165"/>
      <c r="AU926" s="165"/>
      <c r="AV926" s="165"/>
      <c r="AW926" s="165"/>
      <c r="AX926" s="165"/>
    </row>
    <row r="927" ht="15.75" customHeight="1">
      <c r="A927" s="165"/>
      <c r="B927" s="165"/>
      <c r="C927" s="165"/>
      <c r="D927" s="165"/>
      <c r="E927" s="165"/>
      <c r="F927" s="165"/>
      <c r="G927" s="165"/>
      <c r="H927" s="165"/>
      <c r="I927" s="165"/>
      <c r="J927" s="165"/>
      <c r="K927" s="165"/>
      <c r="L927" s="165"/>
      <c r="M927" s="165"/>
      <c r="N927" s="165"/>
      <c r="O927" s="165"/>
      <c r="P927" s="165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  <c r="AA927" s="165"/>
      <c r="AB927" s="165"/>
      <c r="AC927" s="165"/>
      <c r="AD927" s="165"/>
      <c r="AE927" s="165"/>
      <c r="AF927" s="165"/>
      <c r="AG927" s="165"/>
      <c r="AH927" s="165"/>
      <c r="AI927" s="165"/>
      <c r="AJ927" s="165"/>
      <c r="AK927" s="165"/>
      <c r="AL927" s="165"/>
      <c r="AM927" s="165"/>
      <c r="AN927" s="165"/>
      <c r="AO927" s="165"/>
      <c r="AP927" s="165"/>
      <c r="AQ927" s="165"/>
      <c r="AR927" s="165"/>
      <c r="AS927" s="165"/>
      <c r="AT927" s="165"/>
      <c r="AU927" s="165"/>
      <c r="AV927" s="165"/>
      <c r="AW927" s="165"/>
      <c r="AX927" s="165"/>
    </row>
    <row r="928" ht="15.75" customHeight="1">
      <c r="A928" s="165"/>
      <c r="B928" s="165"/>
      <c r="C928" s="165"/>
      <c r="D928" s="165"/>
      <c r="E928" s="165"/>
      <c r="F928" s="165"/>
      <c r="G928" s="165"/>
      <c r="H928" s="165"/>
      <c r="I928" s="165"/>
      <c r="J928" s="165"/>
      <c r="K928" s="165"/>
      <c r="L928" s="165"/>
      <c r="M928" s="165"/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  <c r="AA928" s="165"/>
      <c r="AB928" s="165"/>
      <c r="AC928" s="165"/>
      <c r="AD928" s="165"/>
      <c r="AE928" s="165"/>
      <c r="AF928" s="165"/>
      <c r="AG928" s="165"/>
      <c r="AH928" s="165"/>
      <c r="AI928" s="165"/>
      <c r="AJ928" s="165"/>
      <c r="AK928" s="165"/>
      <c r="AL928" s="165"/>
      <c r="AM928" s="165"/>
      <c r="AN928" s="165"/>
      <c r="AO928" s="165"/>
      <c r="AP928" s="165"/>
      <c r="AQ928" s="165"/>
      <c r="AR928" s="165"/>
      <c r="AS928" s="165"/>
      <c r="AT928" s="165"/>
      <c r="AU928" s="165"/>
      <c r="AV928" s="165"/>
      <c r="AW928" s="165"/>
      <c r="AX928" s="165"/>
    </row>
    <row r="929" ht="15.75" customHeight="1">
      <c r="A929" s="165"/>
      <c r="B929" s="165"/>
      <c r="C929" s="165"/>
      <c r="D929" s="165"/>
      <c r="E929" s="165"/>
      <c r="F929" s="165"/>
      <c r="G929" s="165"/>
      <c r="H929" s="165"/>
      <c r="I929" s="165"/>
      <c r="J929" s="165"/>
      <c r="K929" s="165"/>
      <c r="L929" s="165"/>
      <c r="M929" s="165"/>
      <c r="N929" s="165"/>
      <c r="O929" s="165"/>
      <c r="P929" s="165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  <c r="AA929" s="165"/>
      <c r="AB929" s="165"/>
      <c r="AC929" s="165"/>
      <c r="AD929" s="165"/>
      <c r="AE929" s="165"/>
      <c r="AF929" s="165"/>
      <c r="AG929" s="165"/>
      <c r="AH929" s="165"/>
      <c r="AI929" s="165"/>
      <c r="AJ929" s="165"/>
      <c r="AK929" s="165"/>
      <c r="AL929" s="165"/>
      <c r="AM929" s="165"/>
      <c r="AN929" s="165"/>
      <c r="AO929" s="165"/>
      <c r="AP929" s="165"/>
      <c r="AQ929" s="165"/>
      <c r="AR929" s="165"/>
      <c r="AS929" s="165"/>
      <c r="AT929" s="165"/>
      <c r="AU929" s="165"/>
      <c r="AV929" s="165"/>
      <c r="AW929" s="165"/>
      <c r="AX929" s="165"/>
    </row>
    <row r="930" ht="15.75" customHeight="1">
      <c r="A930" s="165"/>
      <c r="B930" s="165"/>
      <c r="C930" s="165"/>
      <c r="D930" s="165"/>
      <c r="E930" s="165"/>
      <c r="F930" s="165"/>
      <c r="G930" s="165"/>
      <c r="H930" s="165"/>
      <c r="I930" s="165"/>
      <c r="J930" s="165"/>
      <c r="K930" s="165"/>
      <c r="L930" s="165"/>
      <c r="M930" s="165"/>
      <c r="N930" s="165"/>
      <c r="O930" s="165"/>
      <c r="P930" s="165"/>
      <c r="Q930" s="165"/>
      <c r="R930" s="165"/>
      <c r="S930" s="165"/>
      <c r="T930" s="165"/>
      <c r="U930" s="165"/>
      <c r="V930" s="165"/>
      <c r="W930" s="165"/>
      <c r="X930" s="165"/>
      <c r="Y930" s="165"/>
      <c r="Z930" s="165"/>
      <c r="AA930" s="165"/>
      <c r="AB930" s="165"/>
      <c r="AC930" s="165"/>
      <c r="AD930" s="165"/>
      <c r="AE930" s="165"/>
      <c r="AF930" s="165"/>
      <c r="AG930" s="165"/>
      <c r="AH930" s="165"/>
      <c r="AI930" s="165"/>
      <c r="AJ930" s="165"/>
      <c r="AK930" s="165"/>
      <c r="AL930" s="165"/>
      <c r="AM930" s="165"/>
      <c r="AN930" s="165"/>
      <c r="AO930" s="165"/>
      <c r="AP930" s="165"/>
      <c r="AQ930" s="165"/>
      <c r="AR930" s="165"/>
      <c r="AS930" s="165"/>
      <c r="AT930" s="165"/>
      <c r="AU930" s="165"/>
      <c r="AV930" s="165"/>
      <c r="AW930" s="165"/>
      <c r="AX930" s="165"/>
    </row>
    <row r="931" ht="15.75" customHeight="1">
      <c r="A931" s="165"/>
      <c r="B931" s="165"/>
      <c r="C931" s="165"/>
      <c r="D931" s="165"/>
      <c r="E931" s="165"/>
      <c r="F931" s="165"/>
      <c r="G931" s="165"/>
      <c r="H931" s="165"/>
      <c r="I931" s="165"/>
      <c r="J931" s="165"/>
      <c r="K931" s="165"/>
      <c r="L931" s="165"/>
      <c r="M931" s="165"/>
      <c r="N931" s="165"/>
      <c r="O931" s="165"/>
      <c r="P931" s="165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  <c r="AA931" s="165"/>
      <c r="AB931" s="165"/>
      <c r="AC931" s="165"/>
      <c r="AD931" s="165"/>
      <c r="AE931" s="165"/>
      <c r="AF931" s="165"/>
      <c r="AG931" s="165"/>
      <c r="AH931" s="165"/>
      <c r="AI931" s="165"/>
      <c r="AJ931" s="165"/>
      <c r="AK931" s="165"/>
      <c r="AL931" s="165"/>
      <c r="AM931" s="165"/>
      <c r="AN931" s="165"/>
      <c r="AO931" s="165"/>
      <c r="AP931" s="165"/>
      <c r="AQ931" s="165"/>
      <c r="AR931" s="165"/>
      <c r="AS931" s="165"/>
      <c r="AT931" s="165"/>
      <c r="AU931" s="165"/>
      <c r="AV931" s="165"/>
      <c r="AW931" s="165"/>
      <c r="AX931" s="165"/>
    </row>
    <row r="932" ht="15.75" customHeight="1">
      <c r="A932" s="165"/>
      <c r="B932" s="165"/>
      <c r="C932" s="165"/>
      <c r="D932" s="165"/>
      <c r="E932" s="165"/>
      <c r="F932" s="165"/>
      <c r="G932" s="165"/>
      <c r="H932" s="165"/>
      <c r="I932" s="165"/>
      <c r="J932" s="165"/>
      <c r="K932" s="165"/>
      <c r="L932" s="165"/>
      <c r="M932" s="165"/>
      <c r="N932" s="165"/>
      <c r="O932" s="165"/>
      <c r="P932" s="165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  <c r="AA932" s="165"/>
      <c r="AB932" s="165"/>
      <c r="AC932" s="165"/>
      <c r="AD932" s="165"/>
      <c r="AE932" s="165"/>
      <c r="AF932" s="165"/>
      <c r="AG932" s="165"/>
      <c r="AH932" s="165"/>
      <c r="AI932" s="165"/>
      <c r="AJ932" s="165"/>
      <c r="AK932" s="165"/>
      <c r="AL932" s="165"/>
      <c r="AM932" s="165"/>
      <c r="AN932" s="165"/>
      <c r="AO932" s="165"/>
      <c r="AP932" s="165"/>
      <c r="AQ932" s="165"/>
      <c r="AR932" s="165"/>
      <c r="AS932" s="165"/>
      <c r="AT932" s="165"/>
      <c r="AU932" s="165"/>
      <c r="AV932" s="165"/>
      <c r="AW932" s="165"/>
      <c r="AX932" s="165"/>
    </row>
    <row r="933" ht="15.75" customHeight="1">
      <c r="A933" s="165"/>
      <c r="B933" s="165"/>
      <c r="C933" s="165"/>
      <c r="D933" s="165"/>
      <c r="E933" s="165"/>
      <c r="F933" s="165"/>
      <c r="G933" s="165"/>
      <c r="H933" s="165"/>
      <c r="I933" s="165"/>
      <c r="J933" s="165"/>
      <c r="K933" s="165"/>
      <c r="L933" s="165"/>
      <c r="M933" s="165"/>
      <c r="N933" s="165"/>
      <c r="O933" s="165"/>
      <c r="P933" s="165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  <c r="AA933" s="165"/>
      <c r="AB933" s="165"/>
      <c r="AC933" s="165"/>
      <c r="AD933" s="165"/>
      <c r="AE933" s="165"/>
      <c r="AF933" s="165"/>
      <c r="AG933" s="165"/>
      <c r="AH933" s="165"/>
      <c r="AI933" s="165"/>
      <c r="AJ933" s="165"/>
      <c r="AK933" s="165"/>
      <c r="AL933" s="165"/>
      <c r="AM933" s="165"/>
      <c r="AN933" s="165"/>
      <c r="AO933" s="165"/>
      <c r="AP933" s="165"/>
      <c r="AQ933" s="165"/>
      <c r="AR933" s="165"/>
      <c r="AS933" s="165"/>
      <c r="AT933" s="165"/>
      <c r="AU933" s="165"/>
      <c r="AV933" s="165"/>
      <c r="AW933" s="165"/>
      <c r="AX933" s="165"/>
    </row>
    <row r="934" ht="15.75" customHeight="1">
      <c r="A934" s="165"/>
      <c r="B934" s="165"/>
      <c r="C934" s="165"/>
      <c r="D934" s="165"/>
      <c r="E934" s="165"/>
      <c r="F934" s="165"/>
      <c r="G934" s="165"/>
      <c r="H934" s="165"/>
      <c r="I934" s="165"/>
      <c r="J934" s="165"/>
      <c r="K934" s="165"/>
      <c r="L934" s="165"/>
      <c r="M934" s="165"/>
      <c r="N934" s="165"/>
      <c r="O934" s="165"/>
      <c r="P934" s="165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  <c r="AA934" s="165"/>
      <c r="AB934" s="165"/>
      <c r="AC934" s="165"/>
      <c r="AD934" s="165"/>
      <c r="AE934" s="165"/>
      <c r="AF934" s="165"/>
      <c r="AG934" s="165"/>
      <c r="AH934" s="165"/>
      <c r="AI934" s="165"/>
      <c r="AJ934" s="165"/>
      <c r="AK934" s="165"/>
      <c r="AL934" s="165"/>
      <c r="AM934" s="165"/>
      <c r="AN934" s="165"/>
      <c r="AO934" s="165"/>
      <c r="AP934" s="165"/>
      <c r="AQ934" s="165"/>
      <c r="AR934" s="165"/>
      <c r="AS934" s="165"/>
      <c r="AT934" s="165"/>
      <c r="AU934" s="165"/>
      <c r="AV934" s="165"/>
      <c r="AW934" s="165"/>
      <c r="AX934" s="165"/>
    </row>
    <row r="935" ht="15.75" customHeight="1">
      <c r="A935" s="165"/>
      <c r="B935" s="165"/>
      <c r="C935" s="165"/>
      <c r="D935" s="165"/>
      <c r="E935" s="165"/>
      <c r="F935" s="165"/>
      <c r="G935" s="165"/>
      <c r="H935" s="165"/>
      <c r="I935" s="165"/>
      <c r="J935" s="165"/>
      <c r="K935" s="165"/>
      <c r="L935" s="165"/>
      <c r="M935" s="165"/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  <c r="AA935" s="165"/>
      <c r="AB935" s="165"/>
      <c r="AC935" s="165"/>
      <c r="AD935" s="165"/>
      <c r="AE935" s="165"/>
      <c r="AF935" s="165"/>
      <c r="AG935" s="165"/>
      <c r="AH935" s="165"/>
      <c r="AI935" s="165"/>
      <c r="AJ935" s="165"/>
      <c r="AK935" s="165"/>
      <c r="AL935" s="165"/>
      <c r="AM935" s="165"/>
      <c r="AN935" s="165"/>
      <c r="AO935" s="165"/>
      <c r="AP935" s="165"/>
      <c r="AQ935" s="165"/>
      <c r="AR935" s="165"/>
      <c r="AS935" s="165"/>
      <c r="AT935" s="165"/>
      <c r="AU935" s="165"/>
      <c r="AV935" s="165"/>
      <c r="AW935" s="165"/>
      <c r="AX935" s="165"/>
    </row>
    <row r="936" ht="15.75" customHeight="1">
      <c r="A936" s="165"/>
      <c r="B936" s="165"/>
      <c r="C936" s="165"/>
      <c r="D936" s="165"/>
      <c r="E936" s="165"/>
      <c r="F936" s="165"/>
      <c r="G936" s="165"/>
      <c r="H936" s="165"/>
      <c r="I936" s="165"/>
      <c r="J936" s="165"/>
      <c r="K936" s="165"/>
      <c r="L936" s="165"/>
      <c r="M936" s="165"/>
      <c r="N936" s="165"/>
      <c r="O936" s="165"/>
      <c r="P936" s="165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  <c r="AA936" s="165"/>
      <c r="AB936" s="165"/>
      <c r="AC936" s="165"/>
      <c r="AD936" s="165"/>
      <c r="AE936" s="165"/>
      <c r="AF936" s="165"/>
      <c r="AG936" s="165"/>
      <c r="AH936" s="165"/>
      <c r="AI936" s="165"/>
      <c r="AJ936" s="165"/>
      <c r="AK936" s="165"/>
      <c r="AL936" s="165"/>
      <c r="AM936" s="165"/>
      <c r="AN936" s="165"/>
      <c r="AO936" s="165"/>
      <c r="AP936" s="165"/>
      <c r="AQ936" s="165"/>
      <c r="AR936" s="165"/>
      <c r="AS936" s="165"/>
      <c r="AT936" s="165"/>
      <c r="AU936" s="165"/>
      <c r="AV936" s="165"/>
      <c r="AW936" s="165"/>
      <c r="AX936" s="165"/>
    </row>
    <row r="937" ht="15.75" customHeight="1">
      <c r="A937" s="165"/>
      <c r="B937" s="165"/>
      <c r="C937" s="165"/>
      <c r="D937" s="165"/>
      <c r="E937" s="165"/>
      <c r="F937" s="165"/>
      <c r="G937" s="165"/>
      <c r="H937" s="165"/>
      <c r="I937" s="165"/>
      <c r="J937" s="165"/>
      <c r="K937" s="165"/>
      <c r="L937" s="165"/>
      <c r="M937" s="165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  <c r="AA937" s="165"/>
      <c r="AB937" s="165"/>
      <c r="AC937" s="165"/>
      <c r="AD937" s="165"/>
      <c r="AE937" s="165"/>
      <c r="AF937" s="165"/>
      <c r="AG937" s="165"/>
      <c r="AH937" s="165"/>
      <c r="AI937" s="165"/>
      <c r="AJ937" s="165"/>
      <c r="AK937" s="165"/>
      <c r="AL937" s="165"/>
      <c r="AM937" s="165"/>
      <c r="AN937" s="165"/>
      <c r="AO937" s="165"/>
      <c r="AP937" s="165"/>
      <c r="AQ937" s="165"/>
      <c r="AR937" s="165"/>
      <c r="AS937" s="165"/>
      <c r="AT937" s="165"/>
      <c r="AU937" s="165"/>
      <c r="AV937" s="165"/>
      <c r="AW937" s="165"/>
      <c r="AX937" s="165"/>
    </row>
    <row r="938" ht="15.75" customHeight="1">
      <c r="A938" s="165"/>
      <c r="B938" s="165"/>
      <c r="C938" s="165"/>
      <c r="D938" s="165"/>
      <c r="E938" s="165"/>
      <c r="F938" s="165"/>
      <c r="G938" s="165"/>
      <c r="H938" s="165"/>
      <c r="I938" s="165"/>
      <c r="J938" s="165"/>
      <c r="K938" s="165"/>
      <c r="L938" s="165"/>
      <c r="M938" s="165"/>
      <c r="N938" s="165"/>
      <c r="O938" s="165"/>
      <c r="P938" s="165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  <c r="AA938" s="165"/>
      <c r="AB938" s="165"/>
      <c r="AC938" s="165"/>
      <c r="AD938" s="165"/>
      <c r="AE938" s="165"/>
      <c r="AF938" s="165"/>
      <c r="AG938" s="165"/>
      <c r="AH938" s="165"/>
      <c r="AI938" s="165"/>
      <c r="AJ938" s="165"/>
      <c r="AK938" s="165"/>
      <c r="AL938" s="165"/>
      <c r="AM938" s="165"/>
      <c r="AN938" s="165"/>
      <c r="AO938" s="165"/>
      <c r="AP938" s="165"/>
      <c r="AQ938" s="165"/>
      <c r="AR938" s="165"/>
      <c r="AS938" s="165"/>
      <c r="AT938" s="165"/>
      <c r="AU938" s="165"/>
      <c r="AV938" s="165"/>
      <c r="AW938" s="165"/>
      <c r="AX938" s="165"/>
    </row>
    <row r="939" ht="15.75" customHeight="1">
      <c r="A939" s="165"/>
      <c r="B939" s="165"/>
      <c r="C939" s="165"/>
      <c r="D939" s="165"/>
      <c r="E939" s="165"/>
      <c r="F939" s="165"/>
      <c r="G939" s="165"/>
      <c r="H939" s="165"/>
      <c r="I939" s="165"/>
      <c r="J939" s="165"/>
      <c r="K939" s="165"/>
      <c r="L939" s="165"/>
      <c r="M939" s="165"/>
      <c r="N939" s="165"/>
      <c r="O939" s="165"/>
      <c r="P939" s="165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  <c r="AA939" s="165"/>
      <c r="AB939" s="165"/>
      <c r="AC939" s="165"/>
      <c r="AD939" s="165"/>
      <c r="AE939" s="165"/>
      <c r="AF939" s="165"/>
      <c r="AG939" s="165"/>
      <c r="AH939" s="165"/>
      <c r="AI939" s="165"/>
      <c r="AJ939" s="165"/>
      <c r="AK939" s="165"/>
      <c r="AL939" s="165"/>
      <c r="AM939" s="165"/>
      <c r="AN939" s="165"/>
      <c r="AO939" s="165"/>
      <c r="AP939" s="165"/>
      <c r="AQ939" s="165"/>
      <c r="AR939" s="165"/>
      <c r="AS939" s="165"/>
      <c r="AT939" s="165"/>
      <c r="AU939" s="165"/>
      <c r="AV939" s="165"/>
      <c r="AW939" s="165"/>
      <c r="AX939" s="165"/>
    </row>
    <row r="940" ht="15.75" customHeight="1">
      <c r="A940" s="165"/>
      <c r="B940" s="165"/>
      <c r="C940" s="165"/>
      <c r="D940" s="165"/>
      <c r="E940" s="165"/>
      <c r="F940" s="165"/>
      <c r="G940" s="165"/>
      <c r="H940" s="165"/>
      <c r="I940" s="165"/>
      <c r="J940" s="165"/>
      <c r="K940" s="165"/>
      <c r="L940" s="165"/>
      <c r="M940" s="165"/>
      <c r="N940" s="165"/>
      <c r="O940" s="165"/>
      <c r="P940" s="165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  <c r="AA940" s="165"/>
      <c r="AB940" s="165"/>
      <c r="AC940" s="165"/>
      <c r="AD940" s="165"/>
      <c r="AE940" s="165"/>
      <c r="AF940" s="165"/>
      <c r="AG940" s="165"/>
      <c r="AH940" s="165"/>
      <c r="AI940" s="165"/>
      <c r="AJ940" s="165"/>
      <c r="AK940" s="165"/>
      <c r="AL940" s="165"/>
      <c r="AM940" s="165"/>
      <c r="AN940" s="165"/>
      <c r="AO940" s="165"/>
      <c r="AP940" s="165"/>
      <c r="AQ940" s="165"/>
      <c r="AR940" s="165"/>
      <c r="AS940" s="165"/>
      <c r="AT940" s="165"/>
      <c r="AU940" s="165"/>
      <c r="AV940" s="165"/>
      <c r="AW940" s="165"/>
      <c r="AX940" s="165"/>
    </row>
    <row r="941" ht="15.75" customHeight="1">
      <c r="A941" s="165"/>
      <c r="B941" s="165"/>
      <c r="C941" s="165"/>
      <c r="D941" s="165"/>
      <c r="E941" s="165"/>
      <c r="F941" s="165"/>
      <c r="G941" s="165"/>
      <c r="H941" s="165"/>
      <c r="I941" s="165"/>
      <c r="J941" s="165"/>
      <c r="K941" s="165"/>
      <c r="L941" s="165"/>
      <c r="M941" s="165"/>
      <c r="N941" s="165"/>
      <c r="O941" s="165"/>
      <c r="P941" s="165"/>
      <c r="Q941" s="165"/>
      <c r="R941" s="165"/>
      <c r="S941" s="165"/>
      <c r="T941" s="165"/>
      <c r="U941" s="165"/>
      <c r="V941" s="165"/>
      <c r="W941" s="165"/>
      <c r="X941" s="165"/>
      <c r="Y941" s="165"/>
      <c r="Z941" s="165"/>
      <c r="AA941" s="165"/>
      <c r="AB941" s="165"/>
      <c r="AC941" s="165"/>
      <c r="AD941" s="165"/>
      <c r="AE941" s="165"/>
      <c r="AF941" s="165"/>
      <c r="AG941" s="165"/>
      <c r="AH941" s="165"/>
      <c r="AI941" s="165"/>
      <c r="AJ941" s="165"/>
      <c r="AK941" s="165"/>
      <c r="AL941" s="165"/>
      <c r="AM941" s="165"/>
      <c r="AN941" s="165"/>
      <c r="AO941" s="165"/>
      <c r="AP941" s="165"/>
      <c r="AQ941" s="165"/>
      <c r="AR941" s="165"/>
      <c r="AS941" s="165"/>
      <c r="AT941" s="165"/>
      <c r="AU941" s="165"/>
      <c r="AV941" s="165"/>
      <c r="AW941" s="165"/>
      <c r="AX941" s="165"/>
    </row>
    <row r="942" ht="15.75" customHeight="1">
      <c r="A942" s="165"/>
      <c r="B942" s="165"/>
      <c r="C942" s="165"/>
      <c r="D942" s="165"/>
      <c r="E942" s="165"/>
      <c r="F942" s="165"/>
      <c r="G942" s="165"/>
      <c r="H942" s="165"/>
      <c r="I942" s="165"/>
      <c r="J942" s="165"/>
      <c r="K942" s="165"/>
      <c r="L942" s="165"/>
      <c r="M942" s="165"/>
      <c r="N942" s="165"/>
      <c r="O942" s="165"/>
      <c r="P942" s="165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  <c r="AA942" s="165"/>
      <c r="AB942" s="165"/>
      <c r="AC942" s="165"/>
      <c r="AD942" s="165"/>
      <c r="AE942" s="165"/>
      <c r="AF942" s="165"/>
      <c r="AG942" s="165"/>
      <c r="AH942" s="165"/>
      <c r="AI942" s="165"/>
      <c r="AJ942" s="165"/>
      <c r="AK942" s="165"/>
      <c r="AL942" s="165"/>
      <c r="AM942" s="165"/>
      <c r="AN942" s="165"/>
      <c r="AO942" s="165"/>
      <c r="AP942" s="165"/>
      <c r="AQ942" s="165"/>
      <c r="AR942" s="165"/>
      <c r="AS942" s="165"/>
      <c r="AT942" s="165"/>
      <c r="AU942" s="165"/>
      <c r="AV942" s="165"/>
      <c r="AW942" s="165"/>
      <c r="AX942" s="165"/>
    </row>
    <row r="943" ht="15.75" customHeight="1">
      <c r="A943" s="165"/>
      <c r="B943" s="165"/>
      <c r="C943" s="165"/>
      <c r="D943" s="165"/>
      <c r="E943" s="165"/>
      <c r="F943" s="165"/>
      <c r="G943" s="165"/>
      <c r="H943" s="165"/>
      <c r="I943" s="165"/>
      <c r="J943" s="165"/>
      <c r="K943" s="165"/>
      <c r="L943" s="165"/>
      <c r="M943" s="165"/>
      <c r="N943" s="165"/>
      <c r="O943" s="165"/>
      <c r="P943" s="165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  <c r="AA943" s="165"/>
      <c r="AB943" s="165"/>
      <c r="AC943" s="165"/>
      <c r="AD943" s="165"/>
      <c r="AE943" s="165"/>
      <c r="AF943" s="165"/>
      <c r="AG943" s="165"/>
      <c r="AH943" s="165"/>
      <c r="AI943" s="165"/>
      <c r="AJ943" s="165"/>
      <c r="AK943" s="165"/>
      <c r="AL943" s="165"/>
      <c r="AM943" s="165"/>
      <c r="AN943" s="165"/>
      <c r="AO943" s="165"/>
      <c r="AP943" s="165"/>
      <c r="AQ943" s="165"/>
      <c r="AR943" s="165"/>
      <c r="AS943" s="165"/>
      <c r="AT943" s="165"/>
      <c r="AU943" s="165"/>
      <c r="AV943" s="165"/>
      <c r="AW943" s="165"/>
      <c r="AX943" s="165"/>
    </row>
    <row r="944" ht="15.75" customHeight="1">
      <c r="A944" s="165"/>
      <c r="B944" s="165"/>
      <c r="C944" s="165"/>
      <c r="D944" s="165"/>
      <c r="E944" s="165"/>
      <c r="F944" s="165"/>
      <c r="G944" s="165"/>
      <c r="H944" s="165"/>
      <c r="I944" s="165"/>
      <c r="J944" s="165"/>
      <c r="K944" s="165"/>
      <c r="L944" s="165"/>
      <c r="M944" s="165"/>
      <c r="N944" s="165"/>
      <c r="O944" s="165"/>
      <c r="P944" s="165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  <c r="AA944" s="165"/>
      <c r="AB944" s="165"/>
      <c r="AC944" s="165"/>
      <c r="AD944" s="165"/>
      <c r="AE944" s="165"/>
      <c r="AF944" s="165"/>
      <c r="AG944" s="165"/>
      <c r="AH944" s="165"/>
      <c r="AI944" s="165"/>
      <c r="AJ944" s="165"/>
      <c r="AK944" s="165"/>
      <c r="AL944" s="165"/>
      <c r="AM944" s="165"/>
      <c r="AN944" s="165"/>
      <c r="AO944" s="165"/>
      <c r="AP944" s="165"/>
      <c r="AQ944" s="165"/>
      <c r="AR944" s="165"/>
      <c r="AS944" s="165"/>
      <c r="AT944" s="165"/>
      <c r="AU944" s="165"/>
      <c r="AV944" s="165"/>
      <c r="AW944" s="165"/>
      <c r="AX944" s="165"/>
    </row>
    <row r="945" ht="15.75" customHeight="1">
      <c r="A945" s="165"/>
      <c r="B945" s="165"/>
      <c r="C945" s="165"/>
      <c r="D945" s="165"/>
      <c r="E945" s="165"/>
      <c r="F945" s="165"/>
      <c r="G945" s="165"/>
      <c r="H945" s="165"/>
      <c r="I945" s="165"/>
      <c r="J945" s="165"/>
      <c r="K945" s="165"/>
      <c r="L945" s="165"/>
      <c r="M945" s="165"/>
      <c r="N945" s="165"/>
      <c r="O945" s="165"/>
      <c r="P945" s="165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  <c r="AA945" s="165"/>
      <c r="AB945" s="165"/>
      <c r="AC945" s="165"/>
      <c r="AD945" s="165"/>
      <c r="AE945" s="165"/>
      <c r="AF945" s="165"/>
      <c r="AG945" s="165"/>
      <c r="AH945" s="165"/>
      <c r="AI945" s="165"/>
      <c r="AJ945" s="165"/>
      <c r="AK945" s="165"/>
      <c r="AL945" s="165"/>
      <c r="AM945" s="165"/>
      <c r="AN945" s="165"/>
      <c r="AO945" s="165"/>
      <c r="AP945" s="165"/>
      <c r="AQ945" s="165"/>
      <c r="AR945" s="165"/>
      <c r="AS945" s="165"/>
      <c r="AT945" s="165"/>
      <c r="AU945" s="165"/>
      <c r="AV945" s="165"/>
      <c r="AW945" s="165"/>
      <c r="AX945" s="165"/>
    </row>
    <row r="946" ht="15.75" customHeight="1">
      <c r="A946" s="165"/>
      <c r="B946" s="165"/>
      <c r="C946" s="165"/>
      <c r="D946" s="165"/>
      <c r="E946" s="165"/>
      <c r="F946" s="165"/>
      <c r="G946" s="165"/>
      <c r="H946" s="165"/>
      <c r="I946" s="165"/>
      <c r="J946" s="165"/>
      <c r="K946" s="165"/>
      <c r="L946" s="165"/>
      <c r="M946" s="165"/>
      <c r="N946" s="165"/>
      <c r="O946" s="165"/>
      <c r="P946" s="165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  <c r="AA946" s="165"/>
      <c r="AB946" s="165"/>
      <c r="AC946" s="165"/>
      <c r="AD946" s="165"/>
      <c r="AE946" s="165"/>
      <c r="AF946" s="165"/>
      <c r="AG946" s="165"/>
      <c r="AH946" s="165"/>
      <c r="AI946" s="165"/>
      <c r="AJ946" s="165"/>
      <c r="AK946" s="165"/>
      <c r="AL946" s="165"/>
      <c r="AM946" s="165"/>
      <c r="AN946" s="165"/>
      <c r="AO946" s="165"/>
      <c r="AP946" s="165"/>
      <c r="AQ946" s="165"/>
      <c r="AR946" s="165"/>
      <c r="AS946" s="165"/>
      <c r="AT946" s="165"/>
      <c r="AU946" s="165"/>
      <c r="AV946" s="165"/>
      <c r="AW946" s="165"/>
      <c r="AX946" s="165"/>
    </row>
    <row r="947" ht="15.75" customHeight="1">
      <c r="A947" s="165"/>
      <c r="B947" s="165"/>
      <c r="C947" s="165"/>
      <c r="D947" s="165"/>
      <c r="E947" s="165"/>
      <c r="F947" s="165"/>
      <c r="G947" s="165"/>
      <c r="H947" s="165"/>
      <c r="I947" s="165"/>
      <c r="J947" s="165"/>
      <c r="K947" s="165"/>
      <c r="L947" s="165"/>
      <c r="M947" s="165"/>
      <c r="N947" s="165"/>
      <c r="O947" s="165"/>
      <c r="P947" s="165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  <c r="AA947" s="165"/>
      <c r="AB947" s="165"/>
      <c r="AC947" s="165"/>
      <c r="AD947" s="165"/>
      <c r="AE947" s="165"/>
      <c r="AF947" s="165"/>
      <c r="AG947" s="165"/>
      <c r="AH947" s="165"/>
      <c r="AI947" s="165"/>
      <c r="AJ947" s="165"/>
      <c r="AK947" s="165"/>
      <c r="AL947" s="165"/>
      <c r="AM947" s="165"/>
      <c r="AN947" s="165"/>
      <c r="AO947" s="165"/>
      <c r="AP947" s="165"/>
      <c r="AQ947" s="165"/>
      <c r="AR947" s="165"/>
      <c r="AS947" s="165"/>
      <c r="AT947" s="165"/>
      <c r="AU947" s="165"/>
      <c r="AV947" s="165"/>
      <c r="AW947" s="165"/>
      <c r="AX947" s="165"/>
    </row>
    <row r="948" ht="15.75" customHeight="1">
      <c r="A948" s="165"/>
      <c r="B948" s="165"/>
      <c r="C948" s="165"/>
      <c r="D948" s="165"/>
      <c r="E948" s="165"/>
      <c r="F948" s="165"/>
      <c r="G948" s="165"/>
      <c r="H948" s="165"/>
      <c r="I948" s="165"/>
      <c r="J948" s="165"/>
      <c r="K948" s="165"/>
      <c r="L948" s="165"/>
      <c r="M948" s="165"/>
      <c r="N948" s="165"/>
      <c r="O948" s="165"/>
      <c r="P948" s="165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  <c r="AA948" s="165"/>
      <c r="AB948" s="165"/>
      <c r="AC948" s="165"/>
      <c r="AD948" s="165"/>
      <c r="AE948" s="165"/>
      <c r="AF948" s="165"/>
      <c r="AG948" s="165"/>
      <c r="AH948" s="165"/>
      <c r="AI948" s="165"/>
      <c r="AJ948" s="165"/>
      <c r="AK948" s="165"/>
      <c r="AL948" s="165"/>
      <c r="AM948" s="165"/>
      <c r="AN948" s="165"/>
      <c r="AO948" s="165"/>
      <c r="AP948" s="165"/>
      <c r="AQ948" s="165"/>
      <c r="AR948" s="165"/>
      <c r="AS948" s="165"/>
      <c r="AT948" s="165"/>
      <c r="AU948" s="165"/>
      <c r="AV948" s="165"/>
      <c r="AW948" s="165"/>
      <c r="AX948" s="165"/>
    </row>
    <row r="949" ht="15.75" customHeight="1">
      <c r="A949" s="165"/>
      <c r="B949" s="165"/>
      <c r="C949" s="165"/>
      <c r="D949" s="165"/>
      <c r="E949" s="165"/>
      <c r="F949" s="165"/>
      <c r="G949" s="165"/>
      <c r="H949" s="165"/>
      <c r="I949" s="165"/>
      <c r="J949" s="165"/>
      <c r="K949" s="165"/>
      <c r="L949" s="165"/>
      <c r="M949" s="165"/>
      <c r="N949" s="165"/>
      <c r="O949" s="165"/>
      <c r="P949" s="165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  <c r="AA949" s="165"/>
      <c r="AB949" s="165"/>
      <c r="AC949" s="165"/>
      <c r="AD949" s="165"/>
      <c r="AE949" s="165"/>
      <c r="AF949" s="165"/>
      <c r="AG949" s="165"/>
      <c r="AH949" s="165"/>
      <c r="AI949" s="165"/>
      <c r="AJ949" s="165"/>
      <c r="AK949" s="165"/>
      <c r="AL949" s="165"/>
      <c r="AM949" s="165"/>
      <c r="AN949" s="165"/>
      <c r="AO949" s="165"/>
      <c r="AP949" s="165"/>
      <c r="AQ949" s="165"/>
      <c r="AR949" s="165"/>
      <c r="AS949" s="165"/>
      <c r="AT949" s="165"/>
      <c r="AU949" s="165"/>
      <c r="AV949" s="165"/>
      <c r="AW949" s="165"/>
      <c r="AX949" s="165"/>
    </row>
    <row r="950" ht="15.75" customHeight="1">
      <c r="A950" s="165"/>
      <c r="B950" s="165"/>
      <c r="C950" s="165"/>
      <c r="D950" s="165"/>
      <c r="E950" s="165"/>
      <c r="F950" s="165"/>
      <c r="G950" s="165"/>
      <c r="H950" s="165"/>
      <c r="I950" s="165"/>
      <c r="J950" s="165"/>
      <c r="K950" s="165"/>
      <c r="L950" s="165"/>
      <c r="M950" s="165"/>
      <c r="N950" s="165"/>
      <c r="O950" s="165"/>
      <c r="P950" s="165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  <c r="AA950" s="165"/>
      <c r="AB950" s="165"/>
      <c r="AC950" s="165"/>
      <c r="AD950" s="165"/>
      <c r="AE950" s="165"/>
      <c r="AF950" s="165"/>
      <c r="AG950" s="165"/>
      <c r="AH950" s="165"/>
      <c r="AI950" s="165"/>
      <c r="AJ950" s="165"/>
      <c r="AK950" s="165"/>
      <c r="AL950" s="165"/>
      <c r="AM950" s="165"/>
      <c r="AN950" s="165"/>
      <c r="AO950" s="165"/>
      <c r="AP950" s="165"/>
      <c r="AQ950" s="165"/>
      <c r="AR950" s="165"/>
      <c r="AS950" s="165"/>
      <c r="AT950" s="165"/>
      <c r="AU950" s="165"/>
      <c r="AV950" s="165"/>
      <c r="AW950" s="165"/>
      <c r="AX950" s="165"/>
    </row>
    <row r="951" ht="15.75" customHeight="1">
      <c r="A951" s="165"/>
      <c r="B951" s="165"/>
      <c r="C951" s="165"/>
      <c r="D951" s="165"/>
      <c r="E951" s="165"/>
      <c r="F951" s="165"/>
      <c r="G951" s="165"/>
      <c r="H951" s="165"/>
      <c r="I951" s="165"/>
      <c r="J951" s="165"/>
      <c r="K951" s="165"/>
      <c r="L951" s="165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  <c r="AA951" s="165"/>
      <c r="AB951" s="165"/>
      <c r="AC951" s="165"/>
      <c r="AD951" s="165"/>
      <c r="AE951" s="165"/>
      <c r="AF951" s="165"/>
      <c r="AG951" s="165"/>
      <c r="AH951" s="165"/>
      <c r="AI951" s="165"/>
      <c r="AJ951" s="165"/>
      <c r="AK951" s="165"/>
      <c r="AL951" s="165"/>
      <c r="AM951" s="165"/>
      <c r="AN951" s="165"/>
      <c r="AO951" s="165"/>
      <c r="AP951" s="165"/>
      <c r="AQ951" s="165"/>
      <c r="AR951" s="165"/>
      <c r="AS951" s="165"/>
      <c r="AT951" s="165"/>
      <c r="AU951" s="165"/>
      <c r="AV951" s="165"/>
      <c r="AW951" s="165"/>
      <c r="AX951" s="165"/>
    </row>
    <row r="952" ht="15.75" customHeight="1">
      <c r="A952" s="165"/>
      <c r="B952" s="165"/>
      <c r="C952" s="165"/>
      <c r="D952" s="165"/>
      <c r="E952" s="165"/>
      <c r="F952" s="165"/>
      <c r="G952" s="165"/>
      <c r="H952" s="165"/>
      <c r="I952" s="165"/>
      <c r="J952" s="165"/>
      <c r="K952" s="165"/>
      <c r="L952" s="165"/>
      <c r="M952" s="165"/>
      <c r="N952" s="165"/>
      <c r="O952" s="165"/>
      <c r="P952" s="165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  <c r="AA952" s="165"/>
      <c r="AB952" s="165"/>
      <c r="AC952" s="165"/>
      <c r="AD952" s="165"/>
      <c r="AE952" s="165"/>
      <c r="AF952" s="165"/>
      <c r="AG952" s="165"/>
      <c r="AH952" s="165"/>
      <c r="AI952" s="165"/>
      <c r="AJ952" s="165"/>
      <c r="AK952" s="165"/>
      <c r="AL952" s="165"/>
      <c r="AM952" s="165"/>
      <c r="AN952" s="165"/>
      <c r="AO952" s="165"/>
      <c r="AP952" s="165"/>
      <c r="AQ952" s="165"/>
      <c r="AR952" s="165"/>
      <c r="AS952" s="165"/>
      <c r="AT952" s="165"/>
      <c r="AU952" s="165"/>
      <c r="AV952" s="165"/>
      <c r="AW952" s="165"/>
      <c r="AX952" s="165"/>
    </row>
    <row r="953" ht="15.75" customHeight="1">
      <c r="A953" s="165"/>
      <c r="B953" s="165"/>
      <c r="C953" s="165"/>
      <c r="D953" s="165"/>
      <c r="E953" s="165"/>
      <c r="F953" s="165"/>
      <c r="G953" s="165"/>
      <c r="H953" s="165"/>
      <c r="I953" s="165"/>
      <c r="J953" s="165"/>
      <c r="K953" s="165"/>
      <c r="L953" s="165"/>
      <c r="M953" s="165"/>
      <c r="N953" s="165"/>
      <c r="O953" s="165"/>
      <c r="P953" s="165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  <c r="AA953" s="165"/>
      <c r="AB953" s="165"/>
      <c r="AC953" s="165"/>
      <c r="AD953" s="165"/>
      <c r="AE953" s="165"/>
      <c r="AF953" s="165"/>
      <c r="AG953" s="165"/>
      <c r="AH953" s="165"/>
      <c r="AI953" s="165"/>
      <c r="AJ953" s="165"/>
      <c r="AK953" s="165"/>
      <c r="AL953" s="165"/>
      <c r="AM953" s="165"/>
      <c r="AN953" s="165"/>
      <c r="AO953" s="165"/>
      <c r="AP953" s="165"/>
      <c r="AQ953" s="165"/>
      <c r="AR953" s="165"/>
      <c r="AS953" s="165"/>
      <c r="AT953" s="165"/>
      <c r="AU953" s="165"/>
      <c r="AV953" s="165"/>
      <c r="AW953" s="165"/>
      <c r="AX953" s="165"/>
    </row>
    <row r="954" ht="15.75" customHeight="1">
      <c r="A954" s="165"/>
      <c r="B954" s="165"/>
      <c r="C954" s="165"/>
      <c r="D954" s="165"/>
      <c r="E954" s="165"/>
      <c r="F954" s="165"/>
      <c r="G954" s="165"/>
      <c r="H954" s="165"/>
      <c r="I954" s="165"/>
      <c r="J954" s="165"/>
      <c r="K954" s="165"/>
      <c r="L954" s="165"/>
      <c r="M954" s="165"/>
      <c r="N954" s="165"/>
      <c r="O954" s="165"/>
      <c r="P954" s="165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  <c r="AA954" s="165"/>
      <c r="AB954" s="165"/>
      <c r="AC954" s="165"/>
      <c r="AD954" s="165"/>
      <c r="AE954" s="165"/>
      <c r="AF954" s="165"/>
      <c r="AG954" s="165"/>
      <c r="AH954" s="165"/>
      <c r="AI954" s="165"/>
      <c r="AJ954" s="165"/>
      <c r="AK954" s="165"/>
      <c r="AL954" s="165"/>
      <c r="AM954" s="165"/>
      <c r="AN954" s="165"/>
      <c r="AO954" s="165"/>
      <c r="AP954" s="165"/>
      <c r="AQ954" s="165"/>
      <c r="AR954" s="165"/>
      <c r="AS954" s="165"/>
      <c r="AT954" s="165"/>
      <c r="AU954" s="165"/>
      <c r="AV954" s="165"/>
      <c r="AW954" s="165"/>
      <c r="AX954" s="165"/>
    </row>
    <row r="955" ht="15.75" customHeight="1">
      <c r="A955" s="165"/>
      <c r="B955" s="165"/>
      <c r="C955" s="165"/>
      <c r="D955" s="165"/>
      <c r="E955" s="165"/>
      <c r="F955" s="165"/>
      <c r="G955" s="165"/>
      <c r="H955" s="165"/>
      <c r="I955" s="165"/>
      <c r="J955" s="165"/>
      <c r="K955" s="165"/>
      <c r="L955" s="165"/>
      <c r="M955" s="165"/>
      <c r="N955" s="165"/>
      <c r="O955" s="165"/>
      <c r="P955" s="165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  <c r="AA955" s="165"/>
      <c r="AB955" s="165"/>
      <c r="AC955" s="165"/>
      <c r="AD955" s="165"/>
      <c r="AE955" s="165"/>
      <c r="AF955" s="165"/>
      <c r="AG955" s="165"/>
      <c r="AH955" s="165"/>
      <c r="AI955" s="165"/>
      <c r="AJ955" s="165"/>
      <c r="AK955" s="165"/>
      <c r="AL955" s="165"/>
      <c r="AM955" s="165"/>
      <c r="AN955" s="165"/>
      <c r="AO955" s="165"/>
      <c r="AP955" s="165"/>
      <c r="AQ955" s="165"/>
      <c r="AR955" s="165"/>
      <c r="AS955" s="165"/>
      <c r="AT955" s="165"/>
      <c r="AU955" s="165"/>
      <c r="AV955" s="165"/>
      <c r="AW955" s="165"/>
      <c r="AX955" s="165"/>
    </row>
    <row r="956" ht="15.75" customHeight="1">
      <c r="A956" s="165"/>
      <c r="B956" s="165"/>
      <c r="C956" s="165"/>
      <c r="D956" s="165"/>
      <c r="E956" s="165"/>
      <c r="F956" s="165"/>
      <c r="G956" s="165"/>
      <c r="H956" s="165"/>
      <c r="I956" s="165"/>
      <c r="J956" s="165"/>
      <c r="K956" s="165"/>
      <c r="L956" s="165"/>
      <c r="M956" s="165"/>
      <c r="N956" s="165"/>
      <c r="O956" s="165"/>
      <c r="P956" s="165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  <c r="AA956" s="165"/>
      <c r="AB956" s="165"/>
      <c r="AC956" s="165"/>
      <c r="AD956" s="165"/>
      <c r="AE956" s="165"/>
      <c r="AF956" s="165"/>
      <c r="AG956" s="165"/>
      <c r="AH956" s="165"/>
      <c r="AI956" s="165"/>
      <c r="AJ956" s="165"/>
      <c r="AK956" s="165"/>
      <c r="AL956" s="165"/>
      <c r="AM956" s="165"/>
      <c r="AN956" s="165"/>
      <c r="AO956" s="165"/>
      <c r="AP956" s="165"/>
      <c r="AQ956" s="165"/>
      <c r="AR956" s="165"/>
      <c r="AS956" s="165"/>
      <c r="AT956" s="165"/>
      <c r="AU956" s="165"/>
      <c r="AV956" s="165"/>
      <c r="AW956" s="165"/>
      <c r="AX956" s="165"/>
    </row>
    <row r="957" ht="15.75" customHeight="1">
      <c r="A957" s="165"/>
      <c r="B957" s="165"/>
      <c r="C957" s="165"/>
      <c r="D957" s="165"/>
      <c r="E957" s="165"/>
      <c r="F957" s="165"/>
      <c r="G957" s="165"/>
      <c r="H957" s="165"/>
      <c r="I957" s="165"/>
      <c r="J957" s="165"/>
      <c r="K957" s="165"/>
      <c r="L957" s="165"/>
      <c r="M957" s="165"/>
      <c r="N957" s="165"/>
      <c r="O957" s="165"/>
      <c r="P957" s="165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  <c r="AA957" s="165"/>
      <c r="AB957" s="165"/>
      <c r="AC957" s="165"/>
      <c r="AD957" s="165"/>
      <c r="AE957" s="165"/>
      <c r="AF957" s="165"/>
      <c r="AG957" s="165"/>
      <c r="AH957" s="165"/>
      <c r="AI957" s="165"/>
      <c r="AJ957" s="165"/>
      <c r="AK957" s="165"/>
      <c r="AL957" s="165"/>
      <c r="AM957" s="165"/>
      <c r="AN957" s="165"/>
      <c r="AO957" s="165"/>
      <c r="AP957" s="165"/>
      <c r="AQ957" s="165"/>
      <c r="AR957" s="165"/>
      <c r="AS957" s="165"/>
      <c r="AT957" s="165"/>
      <c r="AU957" s="165"/>
      <c r="AV957" s="165"/>
      <c r="AW957" s="165"/>
      <c r="AX957" s="165"/>
    </row>
    <row r="958" ht="15.75" customHeight="1">
      <c r="A958" s="165"/>
      <c r="B958" s="165"/>
      <c r="C958" s="165"/>
      <c r="D958" s="165"/>
      <c r="E958" s="165"/>
      <c r="F958" s="165"/>
      <c r="G958" s="165"/>
      <c r="H958" s="165"/>
      <c r="I958" s="165"/>
      <c r="J958" s="165"/>
      <c r="K958" s="165"/>
      <c r="L958" s="165"/>
      <c r="M958" s="165"/>
      <c r="N958" s="165"/>
      <c r="O958" s="165"/>
      <c r="P958" s="165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  <c r="AA958" s="165"/>
      <c r="AB958" s="165"/>
      <c r="AC958" s="165"/>
      <c r="AD958" s="165"/>
      <c r="AE958" s="165"/>
      <c r="AF958" s="165"/>
      <c r="AG958" s="165"/>
      <c r="AH958" s="165"/>
      <c r="AI958" s="165"/>
      <c r="AJ958" s="165"/>
      <c r="AK958" s="165"/>
      <c r="AL958" s="165"/>
      <c r="AM958" s="165"/>
      <c r="AN958" s="165"/>
      <c r="AO958" s="165"/>
      <c r="AP958" s="165"/>
      <c r="AQ958" s="165"/>
      <c r="AR958" s="165"/>
      <c r="AS958" s="165"/>
      <c r="AT958" s="165"/>
      <c r="AU958" s="165"/>
      <c r="AV958" s="165"/>
      <c r="AW958" s="165"/>
      <c r="AX958" s="165"/>
    </row>
    <row r="959" ht="15.75" customHeight="1">
      <c r="A959" s="165"/>
      <c r="B959" s="165"/>
      <c r="C959" s="165"/>
      <c r="D959" s="165"/>
      <c r="E959" s="165"/>
      <c r="F959" s="165"/>
      <c r="G959" s="165"/>
      <c r="H959" s="165"/>
      <c r="I959" s="165"/>
      <c r="J959" s="165"/>
      <c r="K959" s="165"/>
      <c r="L959" s="165"/>
      <c r="M959" s="165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  <c r="X959" s="165"/>
      <c r="Y959" s="165"/>
      <c r="Z959" s="165"/>
      <c r="AA959" s="165"/>
      <c r="AB959" s="165"/>
      <c r="AC959" s="165"/>
      <c r="AD959" s="165"/>
      <c r="AE959" s="165"/>
      <c r="AF959" s="165"/>
      <c r="AG959" s="165"/>
      <c r="AH959" s="165"/>
      <c r="AI959" s="165"/>
      <c r="AJ959" s="165"/>
      <c r="AK959" s="165"/>
      <c r="AL959" s="165"/>
      <c r="AM959" s="165"/>
      <c r="AN959" s="165"/>
      <c r="AO959" s="165"/>
      <c r="AP959" s="165"/>
      <c r="AQ959" s="165"/>
      <c r="AR959" s="165"/>
      <c r="AS959" s="165"/>
      <c r="AT959" s="165"/>
      <c r="AU959" s="165"/>
      <c r="AV959" s="165"/>
      <c r="AW959" s="165"/>
      <c r="AX959" s="165"/>
    </row>
    <row r="960" ht="15.75" customHeight="1">
      <c r="A960" s="165"/>
      <c r="B960" s="165"/>
      <c r="C960" s="165"/>
      <c r="D960" s="165"/>
      <c r="E960" s="165"/>
      <c r="F960" s="165"/>
      <c r="G960" s="165"/>
      <c r="H960" s="165"/>
      <c r="I960" s="165"/>
      <c r="J960" s="165"/>
      <c r="K960" s="165"/>
      <c r="L960" s="165"/>
      <c r="M960" s="165"/>
      <c r="N960" s="165"/>
      <c r="O960" s="165"/>
      <c r="P960" s="165"/>
      <c r="Q960" s="165"/>
      <c r="R960" s="165"/>
      <c r="S960" s="165"/>
      <c r="T960" s="165"/>
      <c r="U960" s="165"/>
      <c r="V960" s="165"/>
      <c r="W960" s="165"/>
      <c r="X960" s="165"/>
      <c r="Y960" s="165"/>
      <c r="Z960" s="165"/>
      <c r="AA960" s="165"/>
      <c r="AB960" s="165"/>
      <c r="AC960" s="165"/>
      <c r="AD960" s="165"/>
      <c r="AE960" s="165"/>
      <c r="AF960" s="165"/>
      <c r="AG960" s="165"/>
      <c r="AH960" s="165"/>
      <c r="AI960" s="165"/>
      <c r="AJ960" s="165"/>
      <c r="AK960" s="165"/>
      <c r="AL960" s="165"/>
      <c r="AM960" s="165"/>
      <c r="AN960" s="165"/>
      <c r="AO960" s="165"/>
      <c r="AP960" s="165"/>
      <c r="AQ960" s="165"/>
      <c r="AR960" s="165"/>
      <c r="AS960" s="165"/>
      <c r="AT960" s="165"/>
      <c r="AU960" s="165"/>
      <c r="AV960" s="165"/>
      <c r="AW960" s="165"/>
      <c r="AX960" s="165"/>
    </row>
    <row r="961" ht="15.75" customHeight="1">
      <c r="A961" s="165"/>
      <c r="B961" s="165"/>
      <c r="C961" s="165"/>
      <c r="D961" s="165"/>
      <c r="E961" s="165"/>
      <c r="F961" s="165"/>
      <c r="G961" s="165"/>
      <c r="H961" s="165"/>
      <c r="I961" s="165"/>
      <c r="J961" s="165"/>
      <c r="K961" s="165"/>
      <c r="L961" s="165"/>
      <c r="M961" s="165"/>
      <c r="N961" s="165"/>
      <c r="O961" s="165"/>
      <c r="P961" s="165"/>
      <c r="Q961" s="165"/>
      <c r="R961" s="165"/>
      <c r="S961" s="165"/>
      <c r="T961" s="165"/>
      <c r="U961" s="165"/>
      <c r="V961" s="165"/>
      <c r="W961" s="165"/>
      <c r="X961" s="165"/>
      <c r="Y961" s="165"/>
      <c r="Z961" s="165"/>
      <c r="AA961" s="165"/>
      <c r="AB961" s="165"/>
      <c r="AC961" s="165"/>
      <c r="AD961" s="165"/>
      <c r="AE961" s="165"/>
      <c r="AF961" s="165"/>
      <c r="AG961" s="165"/>
      <c r="AH961" s="165"/>
      <c r="AI961" s="165"/>
      <c r="AJ961" s="165"/>
      <c r="AK961" s="165"/>
      <c r="AL961" s="165"/>
      <c r="AM961" s="165"/>
      <c r="AN961" s="165"/>
      <c r="AO961" s="165"/>
      <c r="AP961" s="165"/>
      <c r="AQ961" s="165"/>
      <c r="AR961" s="165"/>
      <c r="AS961" s="165"/>
      <c r="AT961" s="165"/>
      <c r="AU961" s="165"/>
      <c r="AV961" s="165"/>
      <c r="AW961" s="165"/>
      <c r="AX961" s="165"/>
    </row>
    <row r="962" ht="15.75" customHeight="1">
      <c r="A962" s="165"/>
      <c r="B962" s="165"/>
      <c r="C962" s="165"/>
      <c r="D962" s="165"/>
      <c r="E962" s="165"/>
      <c r="F962" s="165"/>
      <c r="G962" s="165"/>
      <c r="H962" s="165"/>
      <c r="I962" s="165"/>
      <c r="J962" s="165"/>
      <c r="K962" s="165"/>
      <c r="L962" s="165"/>
      <c r="M962" s="165"/>
      <c r="N962" s="165"/>
      <c r="O962" s="165"/>
      <c r="P962" s="165"/>
      <c r="Q962" s="165"/>
      <c r="R962" s="165"/>
      <c r="S962" s="165"/>
      <c r="T962" s="165"/>
      <c r="U962" s="165"/>
      <c r="V962" s="165"/>
      <c r="W962" s="165"/>
      <c r="X962" s="165"/>
      <c r="Y962" s="165"/>
      <c r="Z962" s="165"/>
      <c r="AA962" s="165"/>
      <c r="AB962" s="165"/>
      <c r="AC962" s="165"/>
      <c r="AD962" s="165"/>
      <c r="AE962" s="165"/>
      <c r="AF962" s="165"/>
      <c r="AG962" s="165"/>
      <c r="AH962" s="165"/>
      <c r="AI962" s="165"/>
      <c r="AJ962" s="165"/>
      <c r="AK962" s="165"/>
      <c r="AL962" s="165"/>
      <c r="AM962" s="165"/>
      <c r="AN962" s="165"/>
      <c r="AO962" s="165"/>
      <c r="AP962" s="165"/>
      <c r="AQ962" s="165"/>
      <c r="AR962" s="165"/>
      <c r="AS962" s="165"/>
      <c r="AT962" s="165"/>
      <c r="AU962" s="165"/>
      <c r="AV962" s="165"/>
      <c r="AW962" s="165"/>
      <c r="AX962" s="165"/>
    </row>
    <row r="963" ht="15.75" customHeight="1">
      <c r="A963" s="165"/>
      <c r="B963" s="165"/>
      <c r="C963" s="165"/>
      <c r="D963" s="165"/>
      <c r="E963" s="165"/>
      <c r="F963" s="165"/>
      <c r="G963" s="165"/>
      <c r="H963" s="165"/>
      <c r="I963" s="165"/>
      <c r="J963" s="165"/>
      <c r="K963" s="165"/>
      <c r="L963" s="165"/>
      <c r="M963" s="165"/>
      <c r="N963" s="165"/>
      <c r="O963" s="165"/>
      <c r="P963" s="165"/>
      <c r="Q963" s="165"/>
      <c r="R963" s="165"/>
      <c r="S963" s="165"/>
      <c r="T963" s="165"/>
      <c r="U963" s="165"/>
      <c r="V963" s="165"/>
      <c r="W963" s="165"/>
      <c r="X963" s="165"/>
      <c r="Y963" s="165"/>
      <c r="Z963" s="165"/>
      <c r="AA963" s="165"/>
      <c r="AB963" s="165"/>
      <c r="AC963" s="165"/>
      <c r="AD963" s="165"/>
      <c r="AE963" s="165"/>
      <c r="AF963" s="165"/>
      <c r="AG963" s="165"/>
      <c r="AH963" s="165"/>
      <c r="AI963" s="165"/>
      <c r="AJ963" s="165"/>
      <c r="AK963" s="165"/>
      <c r="AL963" s="165"/>
      <c r="AM963" s="165"/>
      <c r="AN963" s="165"/>
      <c r="AO963" s="165"/>
      <c r="AP963" s="165"/>
      <c r="AQ963" s="165"/>
      <c r="AR963" s="165"/>
      <c r="AS963" s="165"/>
      <c r="AT963" s="165"/>
      <c r="AU963" s="165"/>
      <c r="AV963" s="165"/>
      <c r="AW963" s="165"/>
      <c r="AX963" s="165"/>
    </row>
    <row r="964" ht="15.75" customHeight="1">
      <c r="A964" s="165"/>
      <c r="B964" s="165"/>
      <c r="C964" s="165"/>
      <c r="D964" s="165"/>
      <c r="E964" s="165"/>
      <c r="F964" s="165"/>
      <c r="G964" s="165"/>
      <c r="H964" s="165"/>
      <c r="I964" s="165"/>
      <c r="J964" s="165"/>
      <c r="K964" s="165"/>
      <c r="L964" s="165"/>
      <c r="M964" s="165"/>
      <c r="N964" s="165"/>
      <c r="O964" s="165"/>
      <c r="P964" s="165"/>
      <c r="Q964" s="165"/>
      <c r="R964" s="165"/>
      <c r="S964" s="165"/>
      <c r="T964" s="165"/>
      <c r="U964" s="165"/>
      <c r="V964" s="165"/>
      <c r="W964" s="165"/>
      <c r="X964" s="165"/>
      <c r="Y964" s="165"/>
      <c r="Z964" s="165"/>
      <c r="AA964" s="165"/>
      <c r="AB964" s="165"/>
      <c r="AC964" s="165"/>
      <c r="AD964" s="165"/>
      <c r="AE964" s="165"/>
      <c r="AF964" s="165"/>
      <c r="AG964" s="165"/>
      <c r="AH964" s="165"/>
      <c r="AI964" s="165"/>
      <c r="AJ964" s="165"/>
      <c r="AK964" s="165"/>
      <c r="AL964" s="165"/>
      <c r="AM964" s="165"/>
      <c r="AN964" s="165"/>
      <c r="AO964" s="165"/>
      <c r="AP964" s="165"/>
      <c r="AQ964" s="165"/>
      <c r="AR964" s="165"/>
      <c r="AS964" s="165"/>
      <c r="AT964" s="165"/>
      <c r="AU964" s="165"/>
      <c r="AV964" s="165"/>
      <c r="AW964" s="165"/>
      <c r="AX964" s="165"/>
    </row>
    <row r="965" ht="15.75" customHeight="1">
      <c r="A965" s="165"/>
      <c r="B965" s="165"/>
      <c r="C965" s="165"/>
      <c r="D965" s="165"/>
      <c r="E965" s="165"/>
      <c r="F965" s="165"/>
      <c r="G965" s="165"/>
      <c r="H965" s="165"/>
      <c r="I965" s="165"/>
      <c r="J965" s="165"/>
      <c r="K965" s="165"/>
      <c r="L965" s="165"/>
      <c r="M965" s="165"/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  <c r="X965" s="165"/>
      <c r="Y965" s="165"/>
      <c r="Z965" s="165"/>
      <c r="AA965" s="165"/>
      <c r="AB965" s="165"/>
      <c r="AC965" s="165"/>
      <c r="AD965" s="165"/>
      <c r="AE965" s="165"/>
      <c r="AF965" s="165"/>
      <c r="AG965" s="165"/>
      <c r="AH965" s="165"/>
      <c r="AI965" s="165"/>
      <c r="AJ965" s="165"/>
      <c r="AK965" s="165"/>
      <c r="AL965" s="165"/>
      <c r="AM965" s="165"/>
      <c r="AN965" s="165"/>
      <c r="AO965" s="165"/>
      <c r="AP965" s="165"/>
      <c r="AQ965" s="165"/>
      <c r="AR965" s="165"/>
      <c r="AS965" s="165"/>
      <c r="AT965" s="165"/>
      <c r="AU965" s="165"/>
      <c r="AV965" s="165"/>
      <c r="AW965" s="165"/>
      <c r="AX965" s="165"/>
    </row>
    <row r="966" ht="15.75" customHeight="1">
      <c r="A966" s="165"/>
      <c r="B966" s="165"/>
      <c r="C966" s="165"/>
      <c r="D966" s="165"/>
      <c r="E966" s="165"/>
      <c r="F966" s="165"/>
      <c r="G966" s="165"/>
      <c r="H966" s="165"/>
      <c r="I966" s="165"/>
      <c r="J966" s="165"/>
      <c r="K966" s="165"/>
      <c r="L966" s="165"/>
      <c r="M966" s="165"/>
      <c r="N966" s="165"/>
      <c r="O966" s="165"/>
      <c r="P966" s="165"/>
      <c r="Q966" s="165"/>
      <c r="R966" s="165"/>
      <c r="S966" s="165"/>
      <c r="T966" s="165"/>
      <c r="U966" s="165"/>
      <c r="V966" s="165"/>
      <c r="W966" s="165"/>
      <c r="X966" s="165"/>
      <c r="Y966" s="165"/>
      <c r="Z966" s="165"/>
      <c r="AA966" s="165"/>
      <c r="AB966" s="165"/>
      <c r="AC966" s="165"/>
      <c r="AD966" s="165"/>
      <c r="AE966" s="165"/>
      <c r="AF966" s="165"/>
      <c r="AG966" s="165"/>
      <c r="AH966" s="165"/>
      <c r="AI966" s="165"/>
      <c r="AJ966" s="165"/>
      <c r="AK966" s="165"/>
      <c r="AL966" s="165"/>
      <c r="AM966" s="165"/>
      <c r="AN966" s="165"/>
      <c r="AO966" s="165"/>
      <c r="AP966" s="165"/>
      <c r="AQ966" s="165"/>
      <c r="AR966" s="165"/>
      <c r="AS966" s="165"/>
      <c r="AT966" s="165"/>
      <c r="AU966" s="165"/>
      <c r="AV966" s="165"/>
      <c r="AW966" s="165"/>
      <c r="AX966" s="165"/>
    </row>
    <row r="967" ht="15.75" customHeight="1">
      <c r="A967" s="165"/>
      <c r="B967" s="165"/>
      <c r="C967" s="165"/>
      <c r="D967" s="165"/>
      <c r="E967" s="165"/>
      <c r="F967" s="165"/>
      <c r="G967" s="165"/>
      <c r="H967" s="165"/>
      <c r="I967" s="165"/>
      <c r="J967" s="165"/>
      <c r="K967" s="165"/>
      <c r="L967" s="165"/>
      <c r="M967" s="165"/>
      <c r="N967" s="165"/>
      <c r="O967" s="165"/>
      <c r="P967" s="165"/>
      <c r="Q967" s="165"/>
      <c r="R967" s="165"/>
      <c r="S967" s="165"/>
      <c r="T967" s="165"/>
      <c r="U967" s="165"/>
      <c r="V967" s="165"/>
      <c r="W967" s="165"/>
      <c r="X967" s="165"/>
      <c r="Y967" s="165"/>
      <c r="Z967" s="165"/>
      <c r="AA967" s="165"/>
      <c r="AB967" s="165"/>
      <c r="AC967" s="165"/>
      <c r="AD967" s="165"/>
      <c r="AE967" s="165"/>
      <c r="AF967" s="165"/>
      <c r="AG967" s="165"/>
      <c r="AH967" s="165"/>
      <c r="AI967" s="165"/>
      <c r="AJ967" s="165"/>
      <c r="AK967" s="165"/>
      <c r="AL967" s="165"/>
      <c r="AM967" s="165"/>
      <c r="AN967" s="165"/>
      <c r="AO967" s="165"/>
      <c r="AP967" s="165"/>
      <c r="AQ967" s="165"/>
      <c r="AR967" s="165"/>
      <c r="AS967" s="165"/>
      <c r="AT967" s="165"/>
      <c r="AU967" s="165"/>
      <c r="AV967" s="165"/>
      <c r="AW967" s="165"/>
      <c r="AX967" s="165"/>
    </row>
    <row r="968" ht="15.75" customHeight="1">
      <c r="A968" s="165"/>
      <c r="B968" s="165"/>
      <c r="C968" s="165"/>
      <c r="D968" s="165"/>
      <c r="E968" s="165"/>
      <c r="F968" s="165"/>
      <c r="G968" s="165"/>
      <c r="H968" s="165"/>
      <c r="I968" s="165"/>
      <c r="J968" s="165"/>
      <c r="K968" s="165"/>
      <c r="L968" s="165"/>
      <c r="M968" s="165"/>
      <c r="N968" s="165"/>
      <c r="O968" s="165"/>
      <c r="P968" s="165"/>
      <c r="Q968" s="165"/>
      <c r="R968" s="165"/>
      <c r="S968" s="165"/>
      <c r="T968" s="165"/>
      <c r="U968" s="165"/>
      <c r="V968" s="165"/>
      <c r="W968" s="165"/>
      <c r="X968" s="165"/>
      <c r="Y968" s="165"/>
      <c r="Z968" s="165"/>
      <c r="AA968" s="165"/>
      <c r="AB968" s="165"/>
      <c r="AC968" s="165"/>
      <c r="AD968" s="165"/>
      <c r="AE968" s="165"/>
      <c r="AF968" s="165"/>
      <c r="AG968" s="165"/>
      <c r="AH968" s="165"/>
      <c r="AI968" s="165"/>
      <c r="AJ968" s="165"/>
      <c r="AK968" s="165"/>
      <c r="AL968" s="165"/>
      <c r="AM968" s="165"/>
      <c r="AN968" s="165"/>
      <c r="AO968" s="165"/>
      <c r="AP968" s="165"/>
      <c r="AQ968" s="165"/>
      <c r="AR968" s="165"/>
      <c r="AS968" s="165"/>
      <c r="AT968" s="165"/>
      <c r="AU968" s="165"/>
      <c r="AV968" s="165"/>
      <c r="AW968" s="165"/>
      <c r="AX968" s="165"/>
    </row>
    <row r="969" ht="15.75" customHeight="1">
      <c r="A969" s="165"/>
      <c r="B969" s="165"/>
      <c r="C969" s="165"/>
      <c r="D969" s="165"/>
      <c r="E969" s="165"/>
      <c r="F969" s="165"/>
      <c r="G969" s="165"/>
      <c r="H969" s="165"/>
      <c r="I969" s="165"/>
      <c r="J969" s="165"/>
      <c r="K969" s="165"/>
      <c r="L969" s="165"/>
      <c r="M969" s="165"/>
      <c r="N969" s="165"/>
      <c r="O969" s="165"/>
      <c r="P969" s="165"/>
      <c r="Q969" s="165"/>
      <c r="R969" s="165"/>
      <c r="S969" s="165"/>
      <c r="T969" s="165"/>
      <c r="U969" s="165"/>
      <c r="V969" s="165"/>
      <c r="W969" s="165"/>
      <c r="X969" s="165"/>
      <c r="Y969" s="165"/>
      <c r="Z969" s="165"/>
      <c r="AA969" s="165"/>
      <c r="AB969" s="165"/>
      <c r="AC969" s="165"/>
      <c r="AD969" s="165"/>
      <c r="AE969" s="165"/>
      <c r="AF969" s="165"/>
      <c r="AG969" s="165"/>
      <c r="AH969" s="165"/>
      <c r="AI969" s="165"/>
      <c r="AJ969" s="165"/>
      <c r="AK969" s="165"/>
      <c r="AL969" s="165"/>
      <c r="AM969" s="165"/>
      <c r="AN969" s="165"/>
      <c r="AO969" s="165"/>
      <c r="AP969" s="165"/>
      <c r="AQ969" s="165"/>
      <c r="AR969" s="165"/>
      <c r="AS969" s="165"/>
      <c r="AT969" s="165"/>
      <c r="AU969" s="165"/>
      <c r="AV969" s="165"/>
      <c r="AW969" s="165"/>
      <c r="AX969" s="165"/>
    </row>
    <row r="970" ht="15.75" customHeight="1">
      <c r="A970" s="165"/>
      <c r="B970" s="165"/>
      <c r="C970" s="165"/>
      <c r="D970" s="165"/>
      <c r="E970" s="165"/>
      <c r="F970" s="165"/>
      <c r="G970" s="165"/>
      <c r="H970" s="165"/>
      <c r="I970" s="165"/>
      <c r="J970" s="165"/>
      <c r="K970" s="165"/>
      <c r="L970" s="165"/>
      <c r="M970" s="165"/>
      <c r="N970" s="165"/>
      <c r="O970" s="165"/>
      <c r="P970" s="165"/>
      <c r="Q970" s="165"/>
      <c r="R970" s="165"/>
      <c r="S970" s="165"/>
      <c r="T970" s="165"/>
      <c r="U970" s="165"/>
      <c r="V970" s="165"/>
      <c r="W970" s="165"/>
      <c r="X970" s="165"/>
      <c r="Y970" s="165"/>
      <c r="Z970" s="165"/>
      <c r="AA970" s="165"/>
      <c r="AB970" s="165"/>
      <c r="AC970" s="165"/>
      <c r="AD970" s="165"/>
      <c r="AE970" s="165"/>
      <c r="AF970" s="165"/>
      <c r="AG970" s="165"/>
      <c r="AH970" s="165"/>
      <c r="AI970" s="165"/>
      <c r="AJ970" s="165"/>
      <c r="AK970" s="165"/>
      <c r="AL970" s="165"/>
      <c r="AM970" s="165"/>
      <c r="AN970" s="165"/>
      <c r="AO970" s="165"/>
      <c r="AP970" s="165"/>
      <c r="AQ970" s="165"/>
      <c r="AR970" s="165"/>
      <c r="AS970" s="165"/>
      <c r="AT970" s="165"/>
      <c r="AU970" s="165"/>
      <c r="AV970" s="165"/>
      <c r="AW970" s="165"/>
      <c r="AX970" s="165"/>
    </row>
    <row r="971" ht="15.75" customHeight="1">
      <c r="A971" s="165"/>
      <c r="B971" s="165"/>
      <c r="C971" s="165"/>
      <c r="D971" s="165"/>
      <c r="E971" s="165"/>
      <c r="F971" s="165"/>
      <c r="G971" s="165"/>
      <c r="H971" s="165"/>
      <c r="I971" s="165"/>
      <c r="J971" s="165"/>
      <c r="K971" s="165"/>
      <c r="L971" s="165"/>
      <c r="M971" s="165"/>
      <c r="N971" s="165"/>
      <c r="O971" s="165"/>
      <c r="P971" s="165"/>
      <c r="Q971" s="165"/>
      <c r="R971" s="165"/>
      <c r="S971" s="165"/>
      <c r="T971" s="165"/>
      <c r="U971" s="165"/>
      <c r="V971" s="165"/>
      <c r="W971" s="165"/>
      <c r="X971" s="165"/>
      <c r="Y971" s="165"/>
      <c r="Z971" s="165"/>
      <c r="AA971" s="165"/>
      <c r="AB971" s="165"/>
      <c r="AC971" s="165"/>
      <c r="AD971" s="165"/>
      <c r="AE971" s="165"/>
      <c r="AF971" s="165"/>
      <c r="AG971" s="165"/>
      <c r="AH971" s="165"/>
      <c r="AI971" s="165"/>
      <c r="AJ971" s="165"/>
      <c r="AK971" s="165"/>
      <c r="AL971" s="165"/>
      <c r="AM971" s="165"/>
      <c r="AN971" s="165"/>
      <c r="AO971" s="165"/>
      <c r="AP971" s="165"/>
      <c r="AQ971" s="165"/>
      <c r="AR971" s="165"/>
      <c r="AS971" s="165"/>
      <c r="AT971" s="165"/>
      <c r="AU971" s="165"/>
      <c r="AV971" s="165"/>
      <c r="AW971" s="165"/>
      <c r="AX971" s="165"/>
    </row>
    <row r="972" ht="15.75" customHeight="1">
      <c r="A972" s="165"/>
      <c r="B972" s="165"/>
      <c r="C972" s="165"/>
      <c r="D972" s="165"/>
      <c r="E972" s="165"/>
      <c r="F972" s="165"/>
      <c r="G972" s="165"/>
      <c r="H972" s="165"/>
      <c r="I972" s="165"/>
      <c r="J972" s="165"/>
      <c r="K972" s="165"/>
      <c r="L972" s="165"/>
      <c r="M972" s="165"/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  <c r="X972" s="165"/>
      <c r="Y972" s="165"/>
      <c r="Z972" s="165"/>
      <c r="AA972" s="165"/>
      <c r="AB972" s="165"/>
      <c r="AC972" s="165"/>
      <c r="AD972" s="165"/>
      <c r="AE972" s="165"/>
      <c r="AF972" s="165"/>
      <c r="AG972" s="165"/>
      <c r="AH972" s="165"/>
      <c r="AI972" s="165"/>
      <c r="AJ972" s="165"/>
      <c r="AK972" s="165"/>
      <c r="AL972" s="165"/>
      <c r="AM972" s="165"/>
      <c r="AN972" s="165"/>
      <c r="AO972" s="165"/>
      <c r="AP972" s="165"/>
      <c r="AQ972" s="165"/>
      <c r="AR972" s="165"/>
      <c r="AS972" s="165"/>
      <c r="AT972" s="165"/>
      <c r="AU972" s="165"/>
      <c r="AV972" s="165"/>
      <c r="AW972" s="165"/>
      <c r="AX972" s="165"/>
    </row>
    <row r="973" ht="15.75" customHeight="1">
      <c r="A973" s="165"/>
      <c r="B973" s="165"/>
      <c r="C973" s="165"/>
      <c r="D973" s="165"/>
      <c r="E973" s="165"/>
      <c r="F973" s="165"/>
      <c r="G973" s="165"/>
      <c r="H973" s="165"/>
      <c r="I973" s="165"/>
      <c r="J973" s="165"/>
      <c r="K973" s="165"/>
      <c r="L973" s="165"/>
      <c r="M973" s="165"/>
      <c r="N973" s="165"/>
      <c r="O973" s="165"/>
      <c r="P973" s="165"/>
      <c r="Q973" s="165"/>
      <c r="R973" s="165"/>
      <c r="S973" s="165"/>
      <c r="T973" s="165"/>
      <c r="U973" s="165"/>
      <c r="V973" s="165"/>
      <c r="W973" s="165"/>
      <c r="X973" s="165"/>
      <c r="Y973" s="165"/>
      <c r="Z973" s="165"/>
      <c r="AA973" s="165"/>
      <c r="AB973" s="165"/>
      <c r="AC973" s="165"/>
      <c r="AD973" s="165"/>
      <c r="AE973" s="165"/>
      <c r="AF973" s="165"/>
      <c r="AG973" s="165"/>
      <c r="AH973" s="165"/>
      <c r="AI973" s="165"/>
      <c r="AJ973" s="165"/>
      <c r="AK973" s="165"/>
      <c r="AL973" s="165"/>
      <c r="AM973" s="165"/>
      <c r="AN973" s="165"/>
      <c r="AO973" s="165"/>
      <c r="AP973" s="165"/>
      <c r="AQ973" s="165"/>
      <c r="AR973" s="165"/>
      <c r="AS973" s="165"/>
      <c r="AT973" s="165"/>
      <c r="AU973" s="165"/>
      <c r="AV973" s="165"/>
      <c r="AW973" s="165"/>
      <c r="AX973" s="165"/>
    </row>
    <row r="974" ht="15.75" customHeight="1">
      <c r="A974" s="165"/>
      <c r="B974" s="165"/>
      <c r="C974" s="165"/>
      <c r="D974" s="165"/>
      <c r="E974" s="165"/>
      <c r="F974" s="165"/>
      <c r="G974" s="165"/>
      <c r="H974" s="165"/>
      <c r="I974" s="165"/>
      <c r="J974" s="165"/>
      <c r="K974" s="165"/>
      <c r="L974" s="165"/>
      <c r="M974" s="165"/>
      <c r="N974" s="165"/>
      <c r="O974" s="165"/>
      <c r="P974" s="165"/>
      <c r="Q974" s="165"/>
      <c r="R974" s="165"/>
      <c r="S974" s="165"/>
      <c r="T974" s="165"/>
      <c r="U974" s="165"/>
      <c r="V974" s="165"/>
      <c r="W974" s="165"/>
      <c r="X974" s="165"/>
      <c r="Y974" s="165"/>
      <c r="Z974" s="165"/>
      <c r="AA974" s="165"/>
      <c r="AB974" s="165"/>
      <c r="AC974" s="165"/>
      <c r="AD974" s="165"/>
      <c r="AE974" s="165"/>
      <c r="AF974" s="165"/>
      <c r="AG974" s="165"/>
      <c r="AH974" s="165"/>
      <c r="AI974" s="165"/>
      <c r="AJ974" s="165"/>
      <c r="AK974" s="165"/>
      <c r="AL974" s="165"/>
      <c r="AM974" s="165"/>
      <c r="AN974" s="165"/>
      <c r="AO974" s="165"/>
      <c r="AP974" s="165"/>
      <c r="AQ974" s="165"/>
      <c r="AR974" s="165"/>
      <c r="AS974" s="165"/>
      <c r="AT974" s="165"/>
      <c r="AU974" s="165"/>
      <c r="AV974" s="165"/>
      <c r="AW974" s="165"/>
      <c r="AX974" s="165"/>
    </row>
    <row r="975" ht="15.75" customHeight="1">
      <c r="A975" s="165"/>
      <c r="B975" s="165"/>
      <c r="C975" s="165"/>
      <c r="D975" s="165"/>
      <c r="E975" s="165"/>
      <c r="F975" s="165"/>
      <c r="G975" s="165"/>
      <c r="H975" s="165"/>
      <c r="I975" s="165"/>
      <c r="J975" s="165"/>
      <c r="K975" s="165"/>
      <c r="L975" s="165"/>
      <c r="M975" s="165"/>
      <c r="N975" s="165"/>
      <c r="O975" s="165"/>
      <c r="P975" s="165"/>
      <c r="Q975" s="165"/>
      <c r="R975" s="165"/>
      <c r="S975" s="165"/>
      <c r="T975" s="165"/>
      <c r="U975" s="165"/>
      <c r="V975" s="165"/>
      <c r="W975" s="165"/>
      <c r="X975" s="165"/>
      <c r="Y975" s="165"/>
      <c r="Z975" s="165"/>
      <c r="AA975" s="165"/>
      <c r="AB975" s="165"/>
      <c r="AC975" s="165"/>
      <c r="AD975" s="165"/>
      <c r="AE975" s="165"/>
      <c r="AF975" s="165"/>
      <c r="AG975" s="165"/>
      <c r="AH975" s="165"/>
      <c r="AI975" s="165"/>
      <c r="AJ975" s="165"/>
      <c r="AK975" s="165"/>
      <c r="AL975" s="165"/>
      <c r="AM975" s="165"/>
      <c r="AN975" s="165"/>
      <c r="AO975" s="165"/>
      <c r="AP975" s="165"/>
      <c r="AQ975" s="165"/>
      <c r="AR975" s="165"/>
      <c r="AS975" s="165"/>
      <c r="AT975" s="165"/>
      <c r="AU975" s="165"/>
      <c r="AV975" s="165"/>
      <c r="AW975" s="165"/>
      <c r="AX975" s="165"/>
    </row>
    <row r="976" ht="15.75" customHeight="1">
      <c r="A976" s="165"/>
      <c r="B976" s="165"/>
      <c r="C976" s="165"/>
      <c r="D976" s="165"/>
      <c r="E976" s="165"/>
      <c r="F976" s="165"/>
      <c r="G976" s="165"/>
      <c r="H976" s="165"/>
      <c r="I976" s="165"/>
      <c r="J976" s="165"/>
      <c r="K976" s="165"/>
      <c r="L976" s="165"/>
      <c r="M976" s="165"/>
      <c r="N976" s="165"/>
      <c r="O976" s="165"/>
      <c r="P976" s="165"/>
      <c r="Q976" s="165"/>
      <c r="R976" s="165"/>
      <c r="S976" s="165"/>
      <c r="T976" s="165"/>
      <c r="U976" s="165"/>
      <c r="V976" s="165"/>
      <c r="W976" s="165"/>
      <c r="X976" s="165"/>
      <c r="Y976" s="165"/>
      <c r="Z976" s="165"/>
      <c r="AA976" s="165"/>
      <c r="AB976" s="165"/>
      <c r="AC976" s="165"/>
      <c r="AD976" s="165"/>
      <c r="AE976" s="165"/>
      <c r="AF976" s="165"/>
      <c r="AG976" s="165"/>
      <c r="AH976" s="165"/>
      <c r="AI976" s="165"/>
      <c r="AJ976" s="165"/>
      <c r="AK976" s="165"/>
      <c r="AL976" s="165"/>
      <c r="AM976" s="165"/>
      <c r="AN976" s="165"/>
      <c r="AO976" s="165"/>
      <c r="AP976" s="165"/>
      <c r="AQ976" s="165"/>
      <c r="AR976" s="165"/>
      <c r="AS976" s="165"/>
      <c r="AT976" s="165"/>
      <c r="AU976" s="165"/>
      <c r="AV976" s="165"/>
      <c r="AW976" s="165"/>
      <c r="AX976" s="165"/>
    </row>
    <row r="977" ht="15.75" customHeight="1">
      <c r="A977" s="165"/>
      <c r="B977" s="165"/>
      <c r="C977" s="165"/>
      <c r="D977" s="165"/>
      <c r="E977" s="165"/>
      <c r="F977" s="165"/>
      <c r="G977" s="165"/>
      <c r="H977" s="165"/>
      <c r="I977" s="165"/>
      <c r="J977" s="165"/>
      <c r="K977" s="165"/>
      <c r="L977" s="165"/>
      <c r="M977" s="165"/>
      <c r="N977" s="165"/>
      <c r="O977" s="165"/>
      <c r="P977" s="165"/>
      <c r="Q977" s="165"/>
      <c r="R977" s="165"/>
      <c r="S977" s="165"/>
      <c r="T977" s="165"/>
      <c r="U977" s="165"/>
      <c r="V977" s="165"/>
      <c r="W977" s="165"/>
      <c r="X977" s="165"/>
      <c r="Y977" s="165"/>
      <c r="Z977" s="165"/>
      <c r="AA977" s="165"/>
      <c r="AB977" s="165"/>
      <c r="AC977" s="165"/>
      <c r="AD977" s="165"/>
      <c r="AE977" s="165"/>
      <c r="AF977" s="165"/>
      <c r="AG977" s="165"/>
      <c r="AH977" s="165"/>
      <c r="AI977" s="165"/>
      <c r="AJ977" s="165"/>
      <c r="AK977" s="165"/>
      <c r="AL977" s="165"/>
      <c r="AM977" s="165"/>
      <c r="AN977" s="165"/>
      <c r="AO977" s="165"/>
      <c r="AP977" s="165"/>
      <c r="AQ977" s="165"/>
      <c r="AR977" s="165"/>
      <c r="AS977" s="165"/>
      <c r="AT977" s="165"/>
      <c r="AU977" s="165"/>
      <c r="AV977" s="165"/>
      <c r="AW977" s="165"/>
      <c r="AX977" s="165"/>
    </row>
    <row r="978" ht="15.75" customHeight="1">
      <c r="A978" s="165"/>
      <c r="B978" s="165"/>
      <c r="C978" s="165"/>
      <c r="D978" s="165"/>
      <c r="E978" s="165"/>
      <c r="F978" s="165"/>
      <c r="G978" s="165"/>
      <c r="H978" s="165"/>
      <c r="I978" s="165"/>
      <c r="J978" s="165"/>
      <c r="K978" s="165"/>
      <c r="L978" s="165"/>
      <c r="M978" s="165"/>
      <c r="N978" s="165"/>
      <c r="O978" s="165"/>
      <c r="P978" s="165"/>
      <c r="Q978" s="165"/>
      <c r="R978" s="165"/>
      <c r="S978" s="165"/>
      <c r="T978" s="165"/>
      <c r="U978" s="165"/>
      <c r="V978" s="165"/>
      <c r="W978" s="165"/>
      <c r="X978" s="165"/>
      <c r="Y978" s="165"/>
      <c r="Z978" s="165"/>
      <c r="AA978" s="165"/>
      <c r="AB978" s="165"/>
      <c r="AC978" s="165"/>
      <c r="AD978" s="165"/>
      <c r="AE978" s="165"/>
      <c r="AF978" s="165"/>
      <c r="AG978" s="165"/>
      <c r="AH978" s="165"/>
      <c r="AI978" s="165"/>
      <c r="AJ978" s="165"/>
      <c r="AK978" s="165"/>
      <c r="AL978" s="165"/>
      <c r="AM978" s="165"/>
      <c r="AN978" s="165"/>
      <c r="AO978" s="165"/>
      <c r="AP978" s="165"/>
      <c r="AQ978" s="165"/>
      <c r="AR978" s="165"/>
      <c r="AS978" s="165"/>
      <c r="AT978" s="165"/>
      <c r="AU978" s="165"/>
      <c r="AV978" s="165"/>
      <c r="AW978" s="165"/>
      <c r="AX978" s="165"/>
    </row>
    <row r="979" ht="15.75" customHeight="1">
      <c r="A979" s="165"/>
      <c r="B979" s="165"/>
      <c r="C979" s="165"/>
      <c r="D979" s="165"/>
      <c r="E979" s="165"/>
      <c r="F979" s="165"/>
      <c r="G979" s="165"/>
      <c r="H979" s="165"/>
      <c r="I979" s="165"/>
      <c r="J979" s="165"/>
      <c r="K979" s="165"/>
      <c r="L979" s="165"/>
      <c r="M979" s="165"/>
      <c r="N979" s="165"/>
      <c r="O979" s="165"/>
      <c r="P979" s="165"/>
      <c r="Q979" s="165"/>
      <c r="R979" s="165"/>
      <c r="S979" s="165"/>
      <c r="T979" s="165"/>
      <c r="U979" s="165"/>
      <c r="V979" s="165"/>
      <c r="W979" s="165"/>
      <c r="X979" s="165"/>
      <c r="Y979" s="165"/>
      <c r="Z979" s="165"/>
      <c r="AA979" s="165"/>
      <c r="AB979" s="165"/>
      <c r="AC979" s="165"/>
      <c r="AD979" s="165"/>
      <c r="AE979" s="165"/>
      <c r="AF979" s="165"/>
      <c r="AG979" s="165"/>
      <c r="AH979" s="165"/>
      <c r="AI979" s="165"/>
      <c r="AJ979" s="165"/>
      <c r="AK979" s="165"/>
      <c r="AL979" s="165"/>
      <c r="AM979" s="165"/>
      <c r="AN979" s="165"/>
      <c r="AO979" s="165"/>
      <c r="AP979" s="165"/>
      <c r="AQ979" s="165"/>
      <c r="AR979" s="165"/>
      <c r="AS979" s="165"/>
      <c r="AT979" s="165"/>
      <c r="AU979" s="165"/>
      <c r="AV979" s="165"/>
      <c r="AW979" s="165"/>
      <c r="AX979" s="165"/>
    </row>
    <row r="980" ht="15.75" customHeight="1">
      <c r="A980" s="165"/>
      <c r="B980" s="165"/>
      <c r="C980" s="165"/>
      <c r="D980" s="165"/>
      <c r="E980" s="165"/>
      <c r="F980" s="165"/>
      <c r="G980" s="165"/>
      <c r="H980" s="165"/>
      <c r="I980" s="165"/>
      <c r="J980" s="165"/>
      <c r="K980" s="165"/>
      <c r="L980" s="165"/>
      <c r="M980" s="165"/>
      <c r="N980" s="165"/>
      <c r="O980" s="165"/>
      <c r="P980" s="165"/>
      <c r="Q980" s="165"/>
      <c r="R980" s="165"/>
      <c r="S980" s="165"/>
      <c r="T980" s="165"/>
      <c r="U980" s="165"/>
      <c r="V980" s="165"/>
      <c r="W980" s="165"/>
      <c r="X980" s="165"/>
      <c r="Y980" s="165"/>
      <c r="Z980" s="165"/>
      <c r="AA980" s="165"/>
      <c r="AB980" s="165"/>
      <c r="AC980" s="165"/>
      <c r="AD980" s="165"/>
      <c r="AE980" s="165"/>
      <c r="AF980" s="165"/>
      <c r="AG980" s="165"/>
      <c r="AH980" s="165"/>
      <c r="AI980" s="165"/>
      <c r="AJ980" s="165"/>
      <c r="AK980" s="165"/>
      <c r="AL980" s="165"/>
      <c r="AM980" s="165"/>
      <c r="AN980" s="165"/>
      <c r="AO980" s="165"/>
      <c r="AP980" s="165"/>
      <c r="AQ980" s="165"/>
      <c r="AR980" s="165"/>
      <c r="AS980" s="165"/>
      <c r="AT980" s="165"/>
      <c r="AU980" s="165"/>
      <c r="AV980" s="165"/>
      <c r="AW980" s="165"/>
      <c r="AX980" s="165"/>
    </row>
    <row r="981" ht="15.75" customHeight="1">
      <c r="A981" s="165"/>
      <c r="B981" s="165"/>
      <c r="C981" s="165"/>
      <c r="D981" s="165"/>
      <c r="E981" s="165"/>
      <c r="F981" s="165"/>
      <c r="G981" s="165"/>
      <c r="H981" s="165"/>
      <c r="I981" s="165"/>
      <c r="J981" s="165"/>
      <c r="K981" s="165"/>
      <c r="L981" s="165"/>
      <c r="M981" s="165"/>
      <c r="N981" s="165"/>
      <c r="O981" s="165"/>
      <c r="P981" s="165"/>
      <c r="Q981" s="165"/>
      <c r="R981" s="165"/>
      <c r="S981" s="165"/>
      <c r="T981" s="165"/>
      <c r="U981" s="165"/>
      <c r="V981" s="165"/>
      <c r="W981" s="165"/>
      <c r="X981" s="165"/>
      <c r="Y981" s="165"/>
      <c r="Z981" s="165"/>
      <c r="AA981" s="165"/>
      <c r="AB981" s="165"/>
      <c r="AC981" s="165"/>
      <c r="AD981" s="165"/>
      <c r="AE981" s="165"/>
      <c r="AF981" s="165"/>
      <c r="AG981" s="165"/>
      <c r="AH981" s="165"/>
      <c r="AI981" s="165"/>
      <c r="AJ981" s="165"/>
      <c r="AK981" s="165"/>
      <c r="AL981" s="165"/>
      <c r="AM981" s="165"/>
      <c r="AN981" s="165"/>
      <c r="AO981" s="165"/>
      <c r="AP981" s="165"/>
      <c r="AQ981" s="165"/>
      <c r="AR981" s="165"/>
      <c r="AS981" s="165"/>
      <c r="AT981" s="165"/>
      <c r="AU981" s="165"/>
      <c r="AV981" s="165"/>
      <c r="AW981" s="165"/>
      <c r="AX981" s="165"/>
    </row>
    <row r="982" ht="15.75" customHeight="1">
      <c r="A982" s="165"/>
      <c r="B982" s="165"/>
      <c r="C982" s="165"/>
      <c r="D982" s="165"/>
      <c r="E982" s="165"/>
      <c r="F982" s="165"/>
      <c r="G982" s="165"/>
      <c r="H982" s="165"/>
      <c r="I982" s="165"/>
      <c r="J982" s="165"/>
      <c r="K982" s="165"/>
      <c r="L982" s="165"/>
      <c r="M982" s="165"/>
      <c r="N982" s="165"/>
      <c r="O982" s="165"/>
      <c r="P982" s="165"/>
      <c r="Q982" s="165"/>
      <c r="R982" s="165"/>
      <c r="S982" s="165"/>
      <c r="T982" s="165"/>
      <c r="U982" s="165"/>
      <c r="V982" s="165"/>
      <c r="W982" s="165"/>
      <c r="X982" s="165"/>
      <c r="Y982" s="165"/>
      <c r="Z982" s="165"/>
      <c r="AA982" s="165"/>
      <c r="AB982" s="165"/>
      <c r="AC982" s="165"/>
      <c r="AD982" s="165"/>
      <c r="AE982" s="165"/>
      <c r="AF982" s="165"/>
      <c r="AG982" s="165"/>
      <c r="AH982" s="165"/>
      <c r="AI982" s="165"/>
      <c r="AJ982" s="165"/>
      <c r="AK982" s="165"/>
      <c r="AL982" s="165"/>
      <c r="AM982" s="165"/>
      <c r="AN982" s="165"/>
      <c r="AO982" s="165"/>
      <c r="AP982" s="165"/>
      <c r="AQ982" s="165"/>
      <c r="AR982" s="165"/>
      <c r="AS982" s="165"/>
      <c r="AT982" s="165"/>
      <c r="AU982" s="165"/>
      <c r="AV982" s="165"/>
      <c r="AW982" s="165"/>
      <c r="AX982" s="165"/>
    </row>
    <row r="983" ht="15.75" customHeight="1">
      <c r="A983" s="165"/>
      <c r="B983" s="165"/>
      <c r="C983" s="165"/>
      <c r="D983" s="165"/>
      <c r="E983" s="165"/>
      <c r="F983" s="165"/>
      <c r="G983" s="165"/>
      <c r="H983" s="165"/>
      <c r="I983" s="165"/>
      <c r="J983" s="165"/>
      <c r="K983" s="165"/>
      <c r="L983" s="165"/>
      <c r="M983" s="165"/>
      <c r="N983" s="165"/>
      <c r="O983" s="165"/>
      <c r="P983" s="165"/>
      <c r="Q983" s="165"/>
      <c r="R983" s="165"/>
      <c r="S983" s="165"/>
      <c r="T983" s="165"/>
      <c r="U983" s="165"/>
      <c r="V983" s="165"/>
      <c r="W983" s="165"/>
      <c r="X983" s="165"/>
      <c r="Y983" s="165"/>
      <c r="Z983" s="165"/>
      <c r="AA983" s="165"/>
      <c r="AB983" s="165"/>
      <c r="AC983" s="165"/>
      <c r="AD983" s="165"/>
      <c r="AE983" s="165"/>
      <c r="AF983" s="165"/>
      <c r="AG983" s="165"/>
      <c r="AH983" s="165"/>
      <c r="AI983" s="165"/>
      <c r="AJ983" s="165"/>
      <c r="AK983" s="165"/>
      <c r="AL983" s="165"/>
      <c r="AM983" s="165"/>
      <c r="AN983" s="165"/>
      <c r="AO983" s="165"/>
      <c r="AP983" s="165"/>
      <c r="AQ983" s="165"/>
      <c r="AR983" s="165"/>
      <c r="AS983" s="165"/>
      <c r="AT983" s="165"/>
      <c r="AU983" s="165"/>
      <c r="AV983" s="165"/>
      <c r="AW983" s="165"/>
      <c r="AX983" s="165"/>
    </row>
    <row r="984" ht="15.75" customHeight="1">
      <c r="A984" s="165"/>
      <c r="B984" s="165"/>
      <c r="C984" s="165"/>
      <c r="D984" s="165"/>
      <c r="E984" s="165"/>
      <c r="F984" s="165"/>
      <c r="G984" s="165"/>
      <c r="H984" s="165"/>
      <c r="I984" s="165"/>
      <c r="J984" s="165"/>
      <c r="K984" s="165"/>
      <c r="L984" s="165"/>
      <c r="M984" s="165"/>
      <c r="N984" s="165"/>
      <c r="O984" s="165"/>
      <c r="P984" s="165"/>
      <c r="Q984" s="165"/>
      <c r="R984" s="165"/>
      <c r="S984" s="165"/>
      <c r="T984" s="165"/>
      <c r="U984" s="165"/>
      <c r="V984" s="165"/>
      <c r="W984" s="165"/>
      <c r="X984" s="165"/>
      <c r="Y984" s="165"/>
      <c r="Z984" s="165"/>
      <c r="AA984" s="165"/>
      <c r="AB984" s="165"/>
      <c r="AC984" s="165"/>
      <c r="AD984" s="165"/>
      <c r="AE984" s="165"/>
      <c r="AF984" s="165"/>
      <c r="AG984" s="165"/>
      <c r="AH984" s="165"/>
      <c r="AI984" s="165"/>
      <c r="AJ984" s="165"/>
      <c r="AK984" s="165"/>
      <c r="AL984" s="165"/>
      <c r="AM984" s="165"/>
      <c r="AN984" s="165"/>
      <c r="AO984" s="165"/>
      <c r="AP984" s="165"/>
      <c r="AQ984" s="165"/>
      <c r="AR984" s="165"/>
      <c r="AS984" s="165"/>
      <c r="AT984" s="165"/>
      <c r="AU984" s="165"/>
      <c r="AV984" s="165"/>
      <c r="AW984" s="165"/>
      <c r="AX984" s="165"/>
    </row>
    <row r="985" ht="15.75" customHeight="1">
      <c r="A985" s="165"/>
      <c r="B985" s="165"/>
      <c r="C985" s="165"/>
      <c r="D985" s="165"/>
      <c r="E985" s="165"/>
      <c r="F985" s="165"/>
      <c r="G985" s="165"/>
      <c r="H985" s="165"/>
      <c r="I985" s="165"/>
      <c r="J985" s="165"/>
      <c r="K985" s="165"/>
      <c r="L985" s="165"/>
      <c r="M985" s="165"/>
      <c r="N985" s="165"/>
      <c r="O985" s="165"/>
      <c r="P985" s="165"/>
      <c r="Q985" s="165"/>
      <c r="R985" s="165"/>
      <c r="S985" s="165"/>
      <c r="T985" s="165"/>
      <c r="U985" s="165"/>
      <c r="V985" s="165"/>
      <c r="W985" s="165"/>
      <c r="X985" s="165"/>
      <c r="Y985" s="165"/>
      <c r="Z985" s="165"/>
      <c r="AA985" s="165"/>
      <c r="AB985" s="165"/>
      <c r="AC985" s="165"/>
      <c r="AD985" s="165"/>
      <c r="AE985" s="165"/>
      <c r="AF985" s="165"/>
      <c r="AG985" s="165"/>
      <c r="AH985" s="165"/>
      <c r="AI985" s="165"/>
      <c r="AJ985" s="165"/>
      <c r="AK985" s="165"/>
      <c r="AL985" s="165"/>
      <c r="AM985" s="165"/>
      <c r="AN985" s="165"/>
      <c r="AO985" s="165"/>
      <c r="AP985" s="165"/>
      <c r="AQ985" s="165"/>
      <c r="AR985" s="165"/>
      <c r="AS985" s="165"/>
      <c r="AT985" s="165"/>
      <c r="AU985" s="165"/>
      <c r="AV985" s="165"/>
      <c r="AW985" s="165"/>
      <c r="AX985" s="165"/>
    </row>
    <row r="986" ht="15.75" customHeight="1">
      <c r="A986" s="165"/>
      <c r="B986" s="165"/>
      <c r="C986" s="165"/>
      <c r="D986" s="165"/>
      <c r="E986" s="165"/>
      <c r="F986" s="165"/>
      <c r="G986" s="165"/>
      <c r="H986" s="165"/>
      <c r="I986" s="165"/>
      <c r="J986" s="165"/>
      <c r="K986" s="165"/>
      <c r="L986" s="165"/>
      <c r="M986" s="165"/>
      <c r="N986" s="165"/>
      <c r="O986" s="165"/>
      <c r="P986" s="165"/>
      <c r="Q986" s="165"/>
      <c r="R986" s="165"/>
      <c r="S986" s="165"/>
      <c r="T986" s="165"/>
      <c r="U986" s="165"/>
      <c r="V986" s="165"/>
      <c r="W986" s="165"/>
      <c r="X986" s="165"/>
      <c r="Y986" s="165"/>
      <c r="Z986" s="165"/>
      <c r="AA986" s="165"/>
      <c r="AB986" s="165"/>
      <c r="AC986" s="165"/>
      <c r="AD986" s="165"/>
      <c r="AE986" s="165"/>
      <c r="AF986" s="165"/>
      <c r="AG986" s="165"/>
      <c r="AH986" s="165"/>
      <c r="AI986" s="165"/>
      <c r="AJ986" s="165"/>
      <c r="AK986" s="165"/>
      <c r="AL986" s="165"/>
      <c r="AM986" s="165"/>
      <c r="AN986" s="165"/>
      <c r="AO986" s="165"/>
      <c r="AP986" s="165"/>
      <c r="AQ986" s="165"/>
      <c r="AR986" s="165"/>
      <c r="AS986" s="165"/>
      <c r="AT986" s="165"/>
      <c r="AU986" s="165"/>
      <c r="AV986" s="165"/>
      <c r="AW986" s="165"/>
      <c r="AX986" s="165"/>
    </row>
    <row r="987" ht="15.75" customHeight="1">
      <c r="A987" s="165"/>
      <c r="B987" s="165"/>
      <c r="C987" s="165"/>
      <c r="D987" s="165"/>
      <c r="E987" s="165"/>
      <c r="F987" s="165"/>
      <c r="G987" s="165"/>
      <c r="H987" s="165"/>
      <c r="I987" s="165"/>
      <c r="J987" s="165"/>
      <c r="K987" s="165"/>
      <c r="L987" s="165"/>
      <c r="M987" s="165"/>
      <c r="N987" s="165"/>
      <c r="O987" s="165"/>
      <c r="P987" s="165"/>
      <c r="Q987" s="165"/>
      <c r="R987" s="165"/>
      <c r="S987" s="165"/>
      <c r="T987" s="165"/>
      <c r="U987" s="165"/>
      <c r="V987" s="165"/>
      <c r="W987" s="165"/>
      <c r="X987" s="165"/>
      <c r="Y987" s="165"/>
      <c r="Z987" s="165"/>
      <c r="AA987" s="165"/>
      <c r="AB987" s="165"/>
      <c r="AC987" s="165"/>
      <c r="AD987" s="165"/>
      <c r="AE987" s="165"/>
      <c r="AF987" s="165"/>
      <c r="AG987" s="165"/>
      <c r="AH987" s="165"/>
      <c r="AI987" s="165"/>
      <c r="AJ987" s="165"/>
      <c r="AK987" s="165"/>
      <c r="AL987" s="165"/>
      <c r="AM987" s="165"/>
      <c r="AN987" s="165"/>
      <c r="AO987" s="165"/>
      <c r="AP987" s="165"/>
      <c r="AQ987" s="165"/>
      <c r="AR987" s="165"/>
      <c r="AS987" s="165"/>
      <c r="AT987" s="165"/>
      <c r="AU987" s="165"/>
      <c r="AV987" s="165"/>
      <c r="AW987" s="165"/>
      <c r="AX987" s="165"/>
    </row>
    <row r="988" ht="15.75" customHeight="1">
      <c r="A988" s="165"/>
      <c r="B988" s="165"/>
      <c r="C988" s="165"/>
      <c r="D988" s="165"/>
      <c r="E988" s="165"/>
      <c r="F988" s="165"/>
      <c r="G988" s="165"/>
      <c r="H988" s="165"/>
      <c r="I988" s="165"/>
      <c r="J988" s="165"/>
      <c r="K988" s="165"/>
      <c r="L988" s="165"/>
      <c r="M988" s="165"/>
      <c r="N988" s="165"/>
      <c r="O988" s="165"/>
      <c r="P988" s="165"/>
      <c r="Q988" s="165"/>
      <c r="R988" s="165"/>
      <c r="S988" s="165"/>
      <c r="T988" s="165"/>
      <c r="U988" s="165"/>
      <c r="V988" s="165"/>
      <c r="W988" s="165"/>
      <c r="X988" s="165"/>
      <c r="Y988" s="165"/>
      <c r="Z988" s="165"/>
      <c r="AA988" s="165"/>
      <c r="AB988" s="165"/>
      <c r="AC988" s="165"/>
      <c r="AD988" s="165"/>
      <c r="AE988" s="165"/>
      <c r="AF988" s="165"/>
      <c r="AG988" s="165"/>
      <c r="AH988" s="165"/>
      <c r="AI988" s="165"/>
      <c r="AJ988" s="165"/>
      <c r="AK988" s="165"/>
      <c r="AL988" s="165"/>
      <c r="AM988" s="165"/>
      <c r="AN988" s="165"/>
      <c r="AO988" s="165"/>
      <c r="AP988" s="165"/>
      <c r="AQ988" s="165"/>
      <c r="AR988" s="165"/>
      <c r="AS988" s="165"/>
      <c r="AT988" s="165"/>
      <c r="AU988" s="165"/>
      <c r="AV988" s="165"/>
      <c r="AW988" s="165"/>
      <c r="AX988" s="165"/>
    </row>
    <row r="989" ht="15.75" customHeight="1">
      <c r="A989" s="165"/>
      <c r="B989" s="165"/>
      <c r="C989" s="165"/>
      <c r="D989" s="165"/>
      <c r="E989" s="165"/>
      <c r="F989" s="165"/>
      <c r="G989" s="165"/>
      <c r="H989" s="165"/>
      <c r="I989" s="165"/>
      <c r="J989" s="165"/>
      <c r="K989" s="165"/>
      <c r="L989" s="165"/>
      <c r="M989" s="165"/>
      <c r="N989" s="165"/>
      <c r="O989" s="165"/>
      <c r="P989" s="165"/>
      <c r="Q989" s="165"/>
      <c r="R989" s="165"/>
      <c r="S989" s="165"/>
      <c r="T989" s="165"/>
      <c r="U989" s="165"/>
      <c r="V989" s="165"/>
      <c r="W989" s="165"/>
      <c r="X989" s="165"/>
      <c r="Y989" s="165"/>
      <c r="Z989" s="165"/>
      <c r="AA989" s="165"/>
      <c r="AB989" s="165"/>
      <c r="AC989" s="165"/>
      <c r="AD989" s="165"/>
      <c r="AE989" s="165"/>
      <c r="AF989" s="165"/>
      <c r="AG989" s="165"/>
      <c r="AH989" s="165"/>
      <c r="AI989" s="165"/>
      <c r="AJ989" s="165"/>
      <c r="AK989" s="165"/>
      <c r="AL989" s="165"/>
      <c r="AM989" s="165"/>
      <c r="AN989" s="165"/>
      <c r="AO989" s="165"/>
      <c r="AP989" s="165"/>
      <c r="AQ989" s="165"/>
      <c r="AR989" s="165"/>
      <c r="AS989" s="165"/>
      <c r="AT989" s="165"/>
      <c r="AU989" s="165"/>
      <c r="AV989" s="165"/>
      <c r="AW989" s="165"/>
      <c r="AX989" s="165"/>
    </row>
    <row r="990" ht="15.75" customHeight="1">
      <c r="A990" s="165"/>
      <c r="B990" s="165"/>
      <c r="C990" s="165"/>
      <c r="D990" s="165"/>
      <c r="E990" s="165"/>
      <c r="F990" s="165"/>
      <c r="G990" s="165"/>
      <c r="H990" s="165"/>
      <c r="I990" s="165"/>
      <c r="J990" s="165"/>
      <c r="K990" s="165"/>
      <c r="L990" s="165"/>
      <c r="M990" s="165"/>
      <c r="N990" s="165"/>
      <c r="O990" s="165"/>
      <c r="P990" s="165"/>
      <c r="Q990" s="165"/>
      <c r="R990" s="165"/>
      <c r="S990" s="165"/>
      <c r="T990" s="165"/>
      <c r="U990" s="165"/>
      <c r="V990" s="165"/>
      <c r="W990" s="165"/>
      <c r="X990" s="165"/>
      <c r="Y990" s="165"/>
      <c r="Z990" s="165"/>
      <c r="AA990" s="165"/>
      <c r="AB990" s="165"/>
      <c r="AC990" s="165"/>
      <c r="AD990" s="165"/>
      <c r="AE990" s="165"/>
      <c r="AF990" s="165"/>
      <c r="AG990" s="165"/>
      <c r="AH990" s="165"/>
      <c r="AI990" s="165"/>
      <c r="AJ990" s="165"/>
      <c r="AK990" s="165"/>
      <c r="AL990" s="165"/>
      <c r="AM990" s="165"/>
      <c r="AN990" s="165"/>
      <c r="AO990" s="165"/>
      <c r="AP990" s="165"/>
      <c r="AQ990" s="165"/>
      <c r="AR990" s="165"/>
      <c r="AS990" s="165"/>
      <c r="AT990" s="165"/>
      <c r="AU990" s="165"/>
      <c r="AV990" s="165"/>
      <c r="AW990" s="165"/>
      <c r="AX990" s="165"/>
    </row>
    <row r="991" ht="15.75" customHeight="1">
      <c r="A991" s="165"/>
      <c r="B991" s="165"/>
      <c r="C991" s="165"/>
      <c r="D991" s="165"/>
      <c r="E991" s="165"/>
      <c r="F991" s="165"/>
      <c r="G991" s="165"/>
      <c r="H991" s="165"/>
      <c r="I991" s="165"/>
      <c r="J991" s="165"/>
      <c r="K991" s="165"/>
      <c r="L991" s="165"/>
      <c r="M991" s="165"/>
      <c r="N991" s="165"/>
      <c r="O991" s="165"/>
      <c r="P991" s="165"/>
      <c r="Q991" s="165"/>
      <c r="R991" s="165"/>
      <c r="S991" s="165"/>
      <c r="T991" s="165"/>
      <c r="U991" s="165"/>
      <c r="V991" s="165"/>
      <c r="W991" s="165"/>
      <c r="X991" s="165"/>
      <c r="Y991" s="165"/>
      <c r="Z991" s="165"/>
      <c r="AA991" s="165"/>
      <c r="AB991" s="165"/>
      <c r="AC991" s="165"/>
      <c r="AD991" s="165"/>
      <c r="AE991" s="165"/>
      <c r="AF991" s="165"/>
      <c r="AG991" s="165"/>
      <c r="AH991" s="165"/>
      <c r="AI991" s="165"/>
      <c r="AJ991" s="165"/>
      <c r="AK991" s="165"/>
      <c r="AL991" s="165"/>
      <c r="AM991" s="165"/>
      <c r="AN991" s="165"/>
      <c r="AO991" s="165"/>
      <c r="AP991" s="165"/>
      <c r="AQ991" s="165"/>
      <c r="AR991" s="165"/>
      <c r="AS991" s="165"/>
      <c r="AT991" s="165"/>
      <c r="AU991" s="165"/>
      <c r="AV991" s="165"/>
      <c r="AW991" s="165"/>
      <c r="AX991" s="165"/>
    </row>
    <row r="992" ht="15.75" customHeight="1">
      <c r="A992" s="165"/>
      <c r="B992" s="165"/>
      <c r="C992" s="165"/>
      <c r="D992" s="165"/>
      <c r="E992" s="165"/>
      <c r="F992" s="165"/>
      <c r="G992" s="165"/>
      <c r="H992" s="165"/>
      <c r="I992" s="165"/>
      <c r="J992" s="165"/>
      <c r="K992" s="165"/>
      <c r="L992" s="165"/>
      <c r="M992" s="165"/>
      <c r="N992" s="165"/>
      <c r="O992" s="165"/>
      <c r="P992" s="165"/>
      <c r="Q992" s="165"/>
      <c r="R992" s="165"/>
      <c r="S992" s="165"/>
      <c r="T992" s="165"/>
      <c r="U992" s="165"/>
      <c r="V992" s="165"/>
      <c r="W992" s="165"/>
      <c r="X992" s="165"/>
      <c r="Y992" s="165"/>
      <c r="Z992" s="165"/>
      <c r="AA992" s="165"/>
      <c r="AB992" s="165"/>
      <c r="AC992" s="165"/>
      <c r="AD992" s="165"/>
      <c r="AE992" s="165"/>
      <c r="AF992" s="165"/>
      <c r="AG992" s="165"/>
      <c r="AH992" s="165"/>
      <c r="AI992" s="165"/>
      <c r="AJ992" s="165"/>
      <c r="AK992" s="165"/>
      <c r="AL992" s="165"/>
      <c r="AM992" s="165"/>
      <c r="AN992" s="165"/>
      <c r="AO992" s="165"/>
      <c r="AP992" s="165"/>
      <c r="AQ992" s="165"/>
      <c r="AR992" s="165"/>
      <c r="AS992" s="165"/>
      <c r="AT992" s="165"/>
      <c r="AU992" s="165"/>
      <c r="AV992" s="165"/>
      <c r="AW992" s="165"/>
      <c r="AX992" s="165"/>
    </row>
    <row r="993" ht="15.75" customHeight="1">
      <c r="A993" s="165"/>
      <c r="B993" s="165"/>
      <c r="C993" s="165"/>
      <c r="D993" s="165"/>
      <c r="E993" s="165"/>
      <c r="F993" s="165"/>
      <c r="G993" s="165"/>
      <c r="H993" s="165"/>
      <c r="I993" s="165"/>
      <c r="J993" s="165"/>
      <c r="K993" s="165"/>
      <c r="L993" s="165"/>
      <c r="M993" s="165"/>
      <c r="N993" s="165"/>
      <c r="O993" s="165"/>
      <c r="P993" s="165"/>
      <c r="Q993" s="165"/>
      <c r="R993" s="165"/>
      <c r="S993" s="165"/>
      <c r="T993" s="165"/>
      <c r="U993" s="165"/>
      <c r="V993" s="165"/>
      <c r="W993" s="165"/>
      <c r="X993" s="165"/>
      <c r="Y993" s="165"/>
      <c r="Z993" s="165"/>
      <c r="AA993" s="165"/>
      <c r="AB993" s="165"/>
      <c r="AC993" s="165"/>
      <c r="AD993" s="165"/>
      <c r="AE993" s="165"/>
      <c r="AF993" s="165"/>
      <c r="AG993" s="165"/>
      <c r="AH993" s="165"/>
      <c r="AI993" s="165"/>
      <c r="AJ993" s="165"/>
      <c r="AK993" s="165"/>
      <c r="AL993" s="165"/>
      <c r="AM993" s="165"/>
      <c r="AN993" s="165"/>
      <c r="AO993" s="165"/>
      <c r="AP993" s="165"/>
      <c r="AQ993" s="165"/>
      <c r="AR993" s="165"/>
      <c r="AS993" s="165"/>
      <c r="AT993" s="165"/>
      <c r="AU993" s="165"/>
      <c r="AV993" s="165"/>
      <c r="AW993" s="165"/>
      <c r="AX993" s="165"/>
    </row>
    <row r="994" ht="15.75" customHeight="1">
      <c r="A994" s="165"/>
      <c r="B994" s="165"/>
      <c r="C994" s="165"/>
      <c r="D994" s="165"/>
      <c r="E994" s="165"/>
      <c r="F994" s="165"/>
      <c r="G994" s="165"/>
      <c r="H994" s="165"/>
      <c r="I994" s="165"/>
      <c r="J994" s="165"/>
      <c r="K994" s="165"/>
      <c r="L994" s="165"/>
      <c r="M994" s="165"/>
      <c r="N994" s="165"/>
      <c r="O994" s="165"/>
      <c r="P994" s="165"/>
      <c r="Q994" s="165"/>
      <c r="R994" s="165"/>
      <c r="S994" s="165"/>
      <c r="T994" s="165"/>
      <c r="U994" s="165"/>
      <c r="V994" s="165"/>
      <c r="W994" s="165"/>
      <c r="X994" s="165"/>
      <c r="Y994" s="165"/>
      <c r="Z994" s="165"/>
      <c r="AA994" s="165"/>
      <c r="AB994" s="165"/>
      <c r="AC994" s="165"/>
      <c r="AD994" s="165"/>
      <c r="AE994" s="165"/>
      <c r="AF994" s="165"/>
      <c r="AG994" s="165"/>
      <c r="AH994" s="165"/>
      <c r="AI994" s="165"/>
      <c r="AJ994" s="165"/>
      <c r="AK994" s="165"/>
      <c r="AL994" s="165"/>
      <c r="AM994" s="165"/>
      <c r="AN994" s="165"/>
      <c r="AO994" s="165"/>
      <c r="AP994" s="165"/>
      <c r="AQ994" s="165"/>
      <c r="AR994" s="165"/>
      <c r="AS994" s="165"/>
      <c r="AT994" s="165"/>
      <c r="AU994" s="165"/>
      <c r="AV994" s="165"/>
      <c r="AW994" s="165"/>
      <c r="AX994" s="165"/>
    </row>
    <row r="995" ht="15.75" customHeight="1">
      <c r="A995" s="165"/>
      <c r="B995" s="165"/>
      <c r="C995" s="165"/>
      <c r="D995" s="165"/>
      <c r="E995" s="165"/>
      <c r="F995" s="165"/>
      <c r="G995" s="165"/>
      <c r="H995" s="165"/>
      <c r="I995" s="165"/>
      <c r="J995" s="165"/>
      <c r="K995" s="165"/>
      <c r="L995" s="165"/>
      <c r="M995" s="165"/>
      <c r="N995" s="165"/>
      <c r="O995" s="165"/>
      <c r="P995" s="165"/>
      <c r="Q995" s="165"/>
      <c r="R995" s="165"/>
      <c r="S995" s="165"/>
      <c r="T995" s="165"/>
      <c r="U995" s="165"/>
      <c r="V995" s="165"/>
      <c r="W995" s="165"/>
      <c r="X995" s="165"/>
      <c r="Y995" s="165"/>
      <c r="Z995" s="165"/>
      <c r="AA995" s="165"/>
      <c r="AB995" s="165"/>
      <c r="AC995" s="165"/>
      <c r="AD995" s="165"/>
      <c r="AE995" s="165"/>
      <c r="AF995" s="165"/>
      <c r="AG995" s="165"/>
      <c r="AH995" s="165"/>
      <c r="AI995" s="165"/>
      <c r="AJ995" s="165"/>
      <c r="AK995" s="165"/>
      <c r="AL995" s="165"/>
      <c r="AM995" s="165"/>
      <c r="AN995" s="165"/>
      <c r="AO995" s="165"/>
      <c r="AP995" s="165"/>
      <c r="AQ995" s="165"/>
      <c r="AR995" s="165"/>
      <c r="AS995" s="165"/>
      <c r="AT995" s="165"/>
      <c r="AU995" s="165"/>
      <c r="AV995" s="165"/>
      <c r="AW995" s="165"/>
      <c r="AX995" s="165"/>
    </row>
    <row r="996" ht="15.75" customHeight="1">
      <c r="A996" s="165"/>
      <c r="B996" s="165"/>
      <c r="C996" s="165"/>
      <c r="D996" s="165"/>
      <c r="E996" s="165"/>
      <c r="F996" s="165"/>
      <c r="G996" s="165"/>
      <c r="H996" s="165"/>
      <c r="I996" s="165"/>
      <c r="J996" s="165"/>
      <c r="K996" s="165"/>
      <c r="L996" s="165"/>
      <c r="M996" s="165"/>
      <c r="N996" s="165"/>
      <c r="O996" s="165"/>
      <c r="P996" s="165"/>
      <c r="Q996" s="165"/>
      <c r="R996" s="165"/>
      <c r="S996" s="165"/>
      <c r="T996" s="165"/>
      <c r="U996" s="165"/>
      <c r="V996" s="165"/>
      <c r="W996" s="165"/>
      <c r="X996" s="165"/>
      <c r="Y996" s="165"/>
      <c r="Z996" s="165"/>
      <c r="AA996" s="165"/>
      <c r="AB996" s="165"/>
      <c r="AC996" s="165"/>
      <c r="AD996" s="165"/>
      <c r="AE996" s="165"/>
      <c r="AF996" s="165"/>
      <c r="AG996" s="165"/>
      <c r="AH996" s="165"/>
      <c r="AI996" s="165"/>
      <c r="AJ996" s="165"/>
      <c r="AK996" s="165"/>
      <c r="AL996" s="165"/>
      <c r="AM996" s="165"/>
      <c r="AN996" s="165"/>
      <c r="AO996" s="165"/>
      <c r="AP996" s="165"/>
      <c r="AQ996" s="165"/>
      <c r="AR996" s="165"/>
      <c r="AS996" s="165"/>
      <c r="AT996" s="165"/>
      <c r="AU996" s="165"/>
      <c r="AV996" s="165"/>
      <c r="AW996" s="165"/>
      <c r="AX996" s="165"/>
    </row>
    <row r="997" ht="15.75" customHeight="1">
      <c r="A997" s="165"/>
      <c r="B997" s="165"/>
      <c r="C997" s="165"/>
      <c r="D997" s="165"/>
      <c r="E997" s="165"/>
      <c r="F997" s="165"/>
      <c r="G997" s="165"/>
      <c r="H997" s="165"/>
      <c r="I997" s="165"/>
      <c r="J997" s="165"/>
      <c r="K997" s="165"/>
      <c r="L997" s="165"/>
      <c r="M997" s="165"/>
      <c r="N997" s="165"/>
      <c r="O997" s="165"/>
      <c r="P997" s="165"/>
      <c r="Q997" s="165"/>
      <c r="R997" s="165"/>
      <c r="S997" s="165"/>
      <c r="T997" s="165"/>
      <c r="U997" s="165"/>
      <c r="V997" s="165"/>
      <c r="W997" s="165"/>
      <c r="X997" s="165"/>
      <c r="Y997" s="165"/>
      <c r="Z997" s="165"/>
      <c r="AA997" s="165"/>
      <c r="AB997" s="165"/>
      <c r="AC997" s="165"/>
      <c r="AD997" s="165"/>
      <c r="AE997" s="165"/>
      <c r="AF997" s="165"/>
      <c r="AG997" s="165"/>
      <c r="AH997" s="165"/>
      <c r="AI997" s="165"/>
      <c r="AJ997" s="165"/>
      <c r="AK997" s="165"/>
      <c r="AL997" s="165"/>
      <c r="AM997" s="165"/>
      <c r="AN997" s="165"/>
      <c r="AO997" s="165"/>
      <c r="AP997" s="165"/>
      <c r="AQ997" s="165"/>
      <c r="AR997" s="165"/>
      <c r="AS997" s="165"/>
      <c r="AT997" s="165"/>
      <c r="AU997" s="165"/>
      <c r="AV997" s="165"/>
      <c r="AW997" s="165"/>
      <c r="AX997" s="165"/>
    </row>
    <row r="998" ht="15.75" customHeight="1">
      <c r="A998" s="165"/>
      <c r="B998" s="165"/>
      <c r="C998" s="165"/>
      <c r="D998" s="165"/>
      <c r="E998" s="165"/>
      <c r="F998" s="165"/>
      <c r="G998" s="165"/>
      <c r="H998" s="165"/>
      <c r="I998" s="165"/>
      <c r="J998" s="165"/>
      <c r="K998" s="165"/>
      <c r="L998" s="165"/>
      <c r="M998" s="165"/>
      <c r="N998" s="165"/>
      <c r="O998" s="165"/>
      <c r="P998" s="165"/>
      <c r="Q998" s="165"/>
      <c r="R998" s="165"/>
      <c r="S998" s="165"/>
      <c r="T998" s="165"/>
      <c r="U998" s="165"/>
      <c r="V998" s="165"/>
      <c r="W998" s="165"/>
      <c r="X998" s="165"/>
      <c r="Y998" s="165"/>
      <c r="Z998" s="165"/>
      <c r="AA998" s="165"/>
      <c r="AB998" s="165"/>
      <c r="AC998" s="165"/>
      <c r="AD998" s="165"/>
      <c r="AE998" s="165"/>
      <c r="AF998" s="165"/>
      <c r="AG998" s="165"/>
      <c r="AH998" s="165"/>
      <c r="AI998" s="165"/>
      <c r="AJ998" s="165"/>
      <c r="AK998" s="165"/>
      <c r="AL998" s="165"/>
      <c r="AM998" s="165"/>
      <c r="AN998" s="165"/>
      <c r="AO998" s="165"/>
      <c r="AP998" s="165"/>
      <c r="AQ998" s="165"/>
      <c r="AR998" s="165"/>
      <c r="AS998" s="165"/>
      <c r="AT998" s="165"/>
      <c r="AU998" s="165"/>
      <c r="AV998" s="165"/>
      <c r="AW998" s="165"/>
      <c r="AX998" s="165"/>
    </row>
    <row r="999" ht="15.75" customHeight="1">
      <c r="A999" s="165"/>
      <c r="B999" s="165"/>
      <c r="C999" s="165"/>
      <c r="D999" s="165"/>
      <c r="E999" s="165"/>
      <c r="F999" s="165"/>
      <c r="G999" s="165"/>
      <c r="H999" s="165"/>
      <c r="I999" s="165"/>
      <c r="J999" s="165"/>
      <c r="K999" s="165"/>
      <c r="L999" s="165"/>
      <c r="M999" s="165"/>
      <c r="N999" s="165"/>
      <c r="O999" s="165"/>
      <c r="P999" s="165"/>
      <c r="Q999" s="165"/>
      <c r="R999" s="165"/>
      <c r="S999" s="165"/>
      <c r="T999" s="165"/>
      <c r="U999" s="165"/>
      <c r="V999" s="165"/>
      <c r="W999" s="165"/>
      <c r="X999" s="165"/>
      <c r="Y999" s="165"/>
      <c r="Z999" s="165"/>
      <c r="AA999" s="165"/>
      <c r="AB999" s="165"/>
      <c r="AC999" s="165"/>
      <c r="AD999" s="165"/>
      <c r="AE999" s="165"/>
      <c r="AF999" s="165"/>
      <c r="AG999" s="165"/>
      <c r="AH999" s="165"/>
      <c r="AI999" s="165"/>
      <c r="AJ999" s="165"/>
      <c r="AK999" s="165"/>
      <c r="AL999" s="165"/>
      <c r="AM999" s="165"/>
      <c r="AN999" s="165"/>
      <c r="AO999" s="165"/>
      <c r="AP999" s="165"/>
      <c r="AQ999" s="165"/>
      <c r="AR999" s="165"/>
      <c r="AS999" s="165"/>
      <c r="AT999" s="165"/>
      <c r="AU999" s="165"/>
      <c r="AV999" s="165"/>
      <c r="AW999" s="165"/>
      <c r="AX999" s="165"/>
    </row>
    <row r="1000" ht="15.75" customHeight="1">
      <c r="A1000" s="165"/>
      <c r="B1000" s="165"/>
      <c r="C1000" s="165"/>
      <c r="D1000" s="165"/>
      <c r="E1000" s="165"/>
      <c r="F1000" s="165"/>
      <c r="G1000" s="165"/>
      <c r="H1000" s="165"/>
      <c r="I1000" s="165"/>
      <c r="J1000" s="165"/>
      <c r="K1000" s="165"/>
      <c r="L1000" s="165"/>
      <c r="M1000" s="165"/>
      <c r="N1000" s="165"/>
      <c r="O1000" s="165"/>
      <c r="P1000" s="165"/>
      <c r="Q1000" s="165"/>
      <c r="R1000" s="165"/>
      <c r="S1000" s="165"/>
      <c r="T1000" s="165"/>
      <c r="U1000" s="165"/>
      <c r="V1000" s="165"/>
      <c r="W1000" s="165"/>
      <c r="X1000" s="165"/>
      <c r="Y1000" s="165"/>
      <c r="Z1000" s="165"/>
      <c r="AA1000" s="165"/>
      <c r="AB1000" s="165"/>
      <c r="AC1000" s="165"/>
      <c r="AD1000" s="165"/>
      <c r="AE1000" s="165"/>
      <c r="AF1000" s="165"/>
      <c r="AG1000" s="165"/>
      <c r="AH1000" s="165"/>
      <c r="AI1000" s="165"/>
      <c r="AJ1000" s="165"/>
      <c r="AK1000" s="165"/>
      <c r="AL1000" s="165"/>
      <c r="AM1000" s="165"/>
      <c r="AN1000" s="165"/>
      <c r="AO1000" s="165"/>
      <c r="AP1000" s="165"/>
      <c r="AQ1000" s="165"/>
      <c r="AR1000" s="165"/>
      <c r="AS1000" s="165"/>
      <c r="AT1000" s="165"/>
      <c r="AU1000" s="165"/>
      <c r="AV1000" s="165"/>
      <c r="AW1000" s="165"/>
      <c r="AX1000" s="165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10.0"/>
    <col customWidth="1" hidden="1" min="2" max="3" width="12.0"/>
    <col customWidth="1" min="4" max="4" width="10.57"/>
    <col customWidth="1" min="5" max="7" width="12.0"/>
    <col customWidth="1" min="8" max="8" width="4.14"/>
    <col customWidth="1" hidden="1" min="9" max="10" width="9.0"/>
    <col customWidth="1" hidden="1" min="11" max="11" width="4.86"/>
    <col customWidth="1" hidden="1" min="12" max="14" width="15.29"/>
    <col customWidth="1" min="15" max="16" width="8.14"/>
    <col customWidth="1" min="17" max="22" width="4.14"/>
    <col customWidth="1" hidden="1" min="23" max="23" width="11.0" outlineLevel="1"/>
    <col customWidth="1" hidden="1" min="24" max="31" width="12.0" outlineLevel="1"/>
    <col customWidth="1" hidden="1" min="32" max="37" width="11.0" outlineLevel="1"/>
    <col customWidth="1" hidden="1" min="38" max="38" width="2.43" outlineLevel="1"/>
    <col customWidth="1" hidden="1" min="39" max="39" width="12.0" outlineLevel="1"/>
    <col customWidth="1" hidden="1" min="40" max="40" width="11.0" outlineLevel="1"/>
    <col customWidth="1" hidden="1" min="41" max="41" width="12.0" outlineLevel="1"/>
    <col customWidth="1" hidden="1" min="42" max="43" width="11.0" outlineLevel="1"/>
    <col customWidth="1" hidden="1" min="44" max="44" width="12.0" outlineLevel="1"/>
    <col customWidth="1" hidden="1" min="45" max="45" width="11.0" outlineLevel="1"/>
    <col customWidth="1" hidden="1" min="46" max="46" width="12.0" outlineLevel="1"/>
    <col customWidth="1" hidden="1" min="47" max="52" width="11.0" outlineLevel="1"/>
    <col collapsed="1" customWidth="1" min="53" max="53" width="4.14"/>
    <col customWidth="1" min="54" max="64" width="9.29"/>
    <col customWidth="1" min="65" max="67" width="9.14"/>
    <col customWidth="1" hidden="1" min="68" max="69" width="9.14"/>
    <col customWidth="1" min="70" max="70" width="9.14"/>
  </cols>
  <sheetData>
    <row r="1" ht="17.25" customHeight="1">
      <c r="A1" s="138" t="s">
        <v>149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1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2"/>
      <c r="AP1" s="222"/>
      <c r="AQ1" s="222"/>
      <c r="AR1" s="222"/>
      <c r="AS1" s="222"/>
      <c r="AT1" s="222"/>
      <c r="AU1" s="222"/>
      <c r="AV1" s="222"/>
      <c r="AW1" s="222"/>
      <c r="AX1" s="222"/>
      <c r="AY1" s="222"/>
      <c r="AZ1" s="222"/>
      <c r="BA1" s="221"/>
      <c r="BB1" s="221"/>
      <c r="BC1" s="221"/>
      <c r="BD1" s="221"/>
      <c r="BE1" s="221"/>
      <c r="BF1" s="221"/>
      <c r="BG1" s="221"/>
      <c r="BH1" s="221"/>
      <c r="BI1" s="221"/>
      <c r="BJ1" s="221"/>
      <c r="BK1" s="221"/>
      <c r="BL1" s="221"/>
      <c r="BM1" s="221"/>
      <c r="BN1" s="221"/>
      <c r="BO1" s="221"/>
      <c r="BP1" s="221"/>
      <c r="BQ1" s="221"/>
      <c r="BR1" s="221"/>
    </row>
    <row r="2" ht="15.0" customHeight="1">
      <c r="A2" s="223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4"/>
      <c r="R2" s="165"/>
      <c r="S2" s="224"/>
      <c r="T2" s="224"/>
      <c r="U2" s="224"/>
      <c r="V2" s="224"/>
      <c r="W2" s="221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1"/>
      <c r="BB2" s="221"/>
      <c r="BC2" s="221"/>
      <c r="BD2" s="221"/>
      <c r="BE2" s="221"/>
      <c r="BF2" s="221"/>
      <c r="BG2" s="221"/>
      <c r="BH2" s="221"/>
      <c r="BI2" s="221"/>
      <c r="BJ2" s="221"/>
      <c r="BK2" s="221"/>
      <c r="BL2" s="221"/>
      <c r="BM2" s="221"/>
      <c r="BN2" s="221"/>
      <c r="BO2" s="221"/>
      <c r="BP2" s="221"/>
      <c r="BQ2" s="221"/>
      <c r="BR2" s="221"/>
    </row>
    <row r="3" ht="15.0" customHeight="1">
      <c r="A3" s="225" t="s">
        <v>43</v>
      </c>
      <c r="B3" s="54"/>
      <c r="C3" s="54"/>
      <c r="D3" s="54"/>
      <c r="E3" s="54"/>
      <c r="F3" s="54"/>
      <c r="G3" s="54"/>
      <c r="H3" s="54"/>
      <c r="I3" s="220"/>
      <c r="J3" s="220"/>
      <c r="K3" s="220"/>
      <c r="L3" s="226" t="s">
        <v>150</v>
      </c>
      <c r="M3" s="54"/>
      <c r="N3" s="54"/>
      <c r="O3" s="227" t="s">
        <v>43</v>
      </c>
      <c r="P3" s="228"/>
      <c r="Q3" s="228"/>
      <c r="R3" s="228"/>
      <c r="S3" s="228"/>
      <c r="T3" s="228"/>
      <c r="U3" s="228"/>
      <c r="V3" s="229"/>
      <c r="W3" s="54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221"/>
      <c r="BO3" s="221"/>
      <c r="BP3" s="221"/>
      <c r="BQ3" s="221"/>
      <c r="BR3" s="221"/>
    </row>
    <row r="4" ht="28.5" customHeight="1">
      <c r="A4" s="231" t="s">
        <v>112</v>
      </c>
      <c r="B4" s="231" t="s">
        <v>113</v>
      </c>
      <c r="C4" s="231" t="s">
        <v>114</v>
      </c>
      <c r="D4" s="232" t="s">
        <v>115</v>
      </c>
      <c r="E4" s="232" t="s">
        <v>116</v>
      </c>
      <c r="F4" s="231" t="s">
        <v>73</v>
      </c>
      <c r="G4" s="233" t="s">
        <v>117</v>
      </c>
      <c r="H4" s="234"/>
      <c r="I4" s="235" t="s">
        <v>151</v>
      </c>
      <c r="J4" s="235" t="s">
        <v>152</v>
      </c>
      <c r="K4" s="220"/>
      <c r="L4" s="236" t="s">
        <v>115</v>
      </c>
      <c r="M4" s="236" t="s">
        <v>116</v>
      </c>
      <c r="N4" s="236" t="s">
        <v>73</v>
      </c>
      <c r="O4" s="237" t="s">
        <v>112</v>
      </c>
      <c r="P4" s="238" t="s">
        <v>115</v>
      </c>
      <c r="Q4" s="239" t="s">
        <v>74</v>
      </c>
      <c r="V4" s="240"/>
      <c r="W4" s="241" t="s">
        <v>118</v>
      </c>
      <c r="X4" s="242" t="s">
        <v>119</v>
      </c>
      <c r="Y4" s="243" t="s">
        <v>120</v>
      </c>
      <c r="Z4" s="243" t="s">
        <v>121</v>
      </c>
      <c r="AA4" s="242" t="s">
        <v>122</v>
      </c>
      <c r="AB4" s="243" t="s">
        <v>123</v>
      </c>
      <c r="AC4" s="244" t="s">
        <v>124</v>
      </c>
      <c r="AD4" s="244" t="s">
        <v>125</v>
      </c>
      <c r="AE4" s="244" t="s">
        <v>126</v>
      </c>
      <c r="AF4" s="245" t="s">
        <v>127</v>
      </c>
      <c r="AG4" s="244" t="s">
        <v>128</v>
      </c>
      <c r="AH4" s="246" t="s">
        <v>129</v>
      </c>
      <c r="AI4" s="247" t="s">
        <v>130</v>
      </c>
      <c r="AJ4" s="247" t="s">
        <v>131</v>
      </c>
      <c r="AK4" s="247" t="s">
        <v>132</v>
      </c>
      <c r="AL4" s="248"/>
      <c r="AM4" s="243" t="s">
        <v>133</v>
      </c>
      <c r="AN4" s="243" t="s">
        <v>134</v>
      </c>
      <c r="AO4" s="243" t="s">
        <v>135</v>
      </c>
      <c r="AP4" s="243" t="s">
        <v>136</v>
      </c>
      <c r="AQ4" s="243" t="s">
        <v>137</v>
      </c>
      <c r="AR4" s="244" t="s">
        <v>138</v>
      </c>
      <c r="AS4" s="244" t="s">
        <v>139</v>
      </c>
      <c r="AT4" s="244" t="s">
        <v>140</v>
      </c>
      <c r="AU4" s="244" t="s">
        <v>141</v>
      </c>
      <c r="AV4" s="244" t="s">
        <v>142</v>
      </c>
      <c r="AW4" s="247" t="s">
        <v>143</v>
      </c>
      <c r="AX4" s="247" t="s">
        <v>144</v>
      </c>
      <c r="AY4" s="247" t="s">
        <v>145</v>
      </c>
      <c r="AZ4" s="247" t="s">
        <v>146</v>
      </c>
      <c r="BA4" s="54"/>
      <c r="BB4" s="142" t="s">
        <v>79</v>
      </c>
      <c r="BC4" s="142" t="s">
        <v>80</v>
      </c>
      <c r="BD4" s="142" t="s">
        <v>81</v>
      </c>
      <c r="BE4" s="142" t="s">
        <v>82</v>
      </c>
      <c r="BF4" s="142" t="s">
        <v>83</v>
      </c>
      <c r="BG4" s="142" t="s">
        <v>84</v>
      </c>
      <c r="BH4" s="142" t="s">
        <v>85</v>
      </c>
      <c r="BI4" s="142" t="s">
        <v>86</v>
      </c>
      <c r="BJ4" s="142" t="s">
        <v>87</v>
      </c>
      <c r="BK4" s="142" t="s">
        <v>88</v>
      </c>
      <c r="BL4" s="142" t="s">
        <v>89</v>
      </c>
      <c r="BM4" s="249" t="s">
        <v>147</v>
      </c>
      <c r="BN4" s="221"/>
      <c r="BO4" s="221"/>
      <c r="BP4" s="120" t="s">
        <v>76</v>
      </c>
      <c r="BQ4" s="120" t="s">
        <v>77</v>
      </c>
      <c r="BR4" s="221"/>
    </row>
    <row r="5" ht="15.0" customHeight="1">
      <c r="A5" s="250">
        <v>1.0</v>
      </c>
      <c r="B5" s="250">
        <v>1.0</v>
      </c>
      <c r="C5" s="250" t="s">
        <v>148</v>
      </c>
      <c r="D5" s="251">
        <f>E5</f>
        <v>2</v>
      </c>
      <c r="E5" s="252">
        <v>2.0</v>
      </c>
      <c r="F5" s="253">
        <v>0.0</v>
      </c>
      <c r="G5" s="254">
        <f t="shared" ref="G5:G7" si="2">F5/E5</f>
        <v>0</v>
      </c>
      <c r="H5" s="255"/>
      <c r="I5" s="256">
        <f t="shared" ref="I5:J5" si="1">1-L5/D5</f>
        <v>-0.5</v>
      </c>
      <c r="J5" s="256">
        <f t="shared" si="1"/>
        <v>-0.5</v>
      </c>
      <c r="K5" s="220"/>
      <c r="L5" s="257">
        <f>M5</f>
        <v>3</v>
      </c>
      <c r="M5" s="258">
        <v>3.0</v>
      </c>
      <c r="N5" s="257">
        <v>5.0</v>
      </c>
      <c r="O5" s="259">
        <f t="shared" ref="O5:O7" si="4">A5</f>
        <v>1</v>
      </c>
      <c r="P5" s="260">
        <f t="shared" ref="P5:P7" si="5">D5</f>
        <v>2</v>
      </c>
      <c r="Q5" s="261" t="str">
        <f>IFERROR(__xludf.DUMMYFUNCTION("LET(
  names, HSTACK(""Coins"", BB$4:BL$4),
  amounts, HSTACK(F5, BB5:BL5),
  lookupNames, $BP$5:$BP$16,
  lookupImages, $BQ$5:$BQ$16,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R5" s="262">
        <f>IFERROR(__xludf.DUMMYFUNCTION("""COMPUTED_VALUE"""),20.0)</f>
        <v>20</v>
      </c>
      <c r="S5" s="261"/>
      <c r="T5" s="262"/>
      <c r="U5" s="261"/>
      <c r="V5" s="263"/>
      <c r="W5" s="264" t="str">
        <f t="shared" ref="W5:W7" si="6">IF(A5=1,"p50",IF(A5=2,"p75","p90"))</f>
        <v>p50</v>
      </c>
      <c r="X5" s="265">
        <f>SUMPRODUCT((data_segment_HC_gains!$A$25:$A$44="0-9")*(data_segment_HC_gains!$B$25:$B$44=W5)*data_segment_HC_gains!$C$25:$C$44)</f>
        <v>1</v>
      </c>
      <c r="Y5" s="266">
        <f>SUMPRODUCT((data_segment_HC_gains!$A$25:$A$44="0-9")*(data_segment_HC_gains!$B$25:$B$44=W5)*data_segment_HC_gains!$E$25:$E$44)</f>
        <v>38.94</v>
      </c>
      <c r="Z5" s="267">
        <f>SUMPRODUCT((data_raw_slopes!$A$2:$A$41="0-9")*(data_raw_slopes!$B$2:$B$41="payer")*(data_raw_slopes!$C$2:$C$41=W5)*data_raw_slopes!$E$2:$E$41)</f>
        <v>24.74</v>
      </c>
      <c r="AA5" s="268">
        <f t="shared" ref="AA5:AA7" si="7">Y5-Z5</f>
        <v>14.2</v>
      </c>
      <c r="AB5" s="266">
        <f>SUMPRODUCT((data_segment_HC_gains!$A$25:$A$44="0-9")*(data_segment_HC_gains!$B$25:$B$44=W5)*data_segment_HC_gains!$G$25:$G$44)</f>
        <v>2.96</v>
      </c>
      <c r="AC5" s="269">
        <f t="shared" ref="AC5:AC7" si="8">X5*1.15</f>
        <v>1.15</v>
      </c>
      <c r="AD5" s="269">
        <f>Y5-AB5*(1-(saga_progression_new!$C$17/saga_progression_old!$C$16))+SUM($F$5:F5)</f>
        <v>37.03714286</v>
      </c>
      <c r="AE5" s="270">
        <f>Z5+(IF(SUMPRODUCT((data_raw_slopes!$A$2:$A$41="0-9")*(data_raw_slopes!$B$2:$B$41="payer")*(data_raw_slopes!$C$2:$C$41=W5)*data_raw_slopes!$F$2:$F$41)&gt;0,SUMPRODUCT((data_raw_slopes!$A$2:$A$41="0-9")*(data_raw_slopes!$B$2:$B$41="payer")*(data_raw_slopes!$C$2:$C$41=W5)*data_raw_slopes!$F$2:$F$41),SUMPRODUCT((data_raw_slopes!$A$2:$A$41="0-9")*(data_raw_slopes!$B$2:$B$41="payer")*(data_raw_slopes!$C$2:$C$41=W5)*data_raw_slopes!$G$2:$G$41)))*X5*0.15</f>
        <v>29.02196</v>
      </c>
      <c r="AF5" s="271">
        <f t="shared" ref="AF5:AF7" si="9">AD5-AE5</f>
        <v>8.015182857</v>
      </c>
      <c r="AG5" s="272">
        <f>AB5*(saga_progression_new!$C$17/saga_progression_old!$C$16)</f>
        <v>1.057142857</v>
      </c>
      <c r="AH5" s="273">
        <f t="shared" ref="AH5:AH7" si="10">AF5-AA5</f>
        <v>-6.184817143</v>
      </c>
      <c r="AI5" s="274">
        <f t="shared" ref="AI5:AI7" si="11">AC5-X5</f>
        <v>0.15</v>
      </c>
      <c r="AJ5" s="275">
        <f t="shared" ref="AJ5:AJ7" si="12">AG5-AB5</f>
        <v>-1.902857143</v>
      </c>
      <c r="AK5" s="275">
        <f t="shared" ref="AK5:AK7" si="13">AE5-Z5</f>
        <v>4.28196</v>
      </c>
      <c r="AL5" s="276"/>
      <c r="AM5" s="277">
        <f>SUMPRODUCT((data_segment_HC_gains!$A$48:$A$67="0-9")*(data_segment_HC_gains!$B$48:$B$67=W5)*data_segment_HC_gains!$C$48:$C$67)</f>
        <v>1</v>
      </c>
      <c r="AN5" s="277">
        <f>SUMPRODUCT((data_segment_HC_gains!$A$48:$A$67="0-9")*(data_segment_HC_gains!$B$48:$B$67=W5)*data_segment_HC_gains!$E$48:$E$67)</f>
        <v>28.55</v>
      </c>
      <c r="AO5" s="277">
        <f>SUMPRODUCT((data_raw_slopes!$A$2:$A$41="0-9")*(data_raw_slopes!$B$2:$B$41="nonpayer")*(data_raw_slopes!$C$2:$C$41=W5)*data_raw_slopes!$E$2:$E$41)</f>
        <v>20.5</v>
      </c>
      <c r="AP5" s="277">
        <f t="shared" ref="AP5:AP7" si="14">AN5-AO5</f>
        <v>8.05</v>
      </c>
      <c r="AQ5" s="277">
        <f>SUMPRODUCT((data_segment_HC_gains!$A$48:$A$67="0-9")*(data_segment_HC_gains!$B$48:$B$67=W5)*data_segment_HC_gains!$G$48:$G$67)</f>
        <v>2.2</v>
      </c>
      <c r="AR5" s="269">
        <f t="shared" ref="AR5:AR7" si="15">AM5*1.15</f>
        <v>1.15</v>
      </c>
      <c r="AS5" s="269">
        <f>AN5-AQ5*(1-(saga_progression_new!$C$17/saga_progression_old!$C$16))+SUM($F$5:F5)</f>
        <v>27.13571429</v>
      </c>
      <c r="AT5" s="269">
        <f>AO5+(IF(SUMPRODUCT((data_raw_slopes!$A$2:$A$41="0-9")*(data_raw_slopes!$B$2:$B$41="nonpayer")*(data_raw_slopes!$C$2:$C$41=W5)*data_raw_slopes!$F$2:$F$41)&gt;0,SUMPRODUCT((data_raw_slopes!$A$2:$A$41="0-9")*(data_raw_slopes!$B$2:$B$41="nonpayer")*(data_raw_slopes!$C$2:$C$41=W5)*data_raw_slopes!$F$2:$F$41),SUMPRODUCT((data_raw_slopes!$A$2:$A$41="0-9")*(data_raw_slopes!$B$2:$B$41="nonpayer")*(data_raw_slopes!$C$2:$C$41=W5)*data_raw_slopes!$G$2:$G$41)))*AM5*0.15</f>
        <v>23.17495</v>
      </c>
      <c r="AU5" s="269">
        <f t="shared" ref="AU5:AU7" si="16">AS5-AT5</f>
        <v>3.960764286</v>
      </c>
      <c r="AV5" s="269">
        <f>AQ5*(saga_progression_new!$C$17/saga_progression_old!$C$16)</f>
        <v>0.7857142857</v>
      </c>
      <c r="AW5" s="275">
        <f t="shared" ref="AW5:AW7" si="17">AU5-AP5</f>
        <v>-4.089235714</v>
      </c>
      <c r="AX5" s="275">
        <f t="shared" ref="AX5:AX7" si="18">AR5-AM5</f>
        <v>0.15</v>
      </c>
      <c r="AY5" s="275">
        <f t="shared" ref="AY5:AY7" si="19">AV5-AQ5</f>
        <v>-1.414285714</v>
      </c>
      <c r="AZ5" s="275">
        <f t="shared" ref="AZ5:AZ7" si="20">AT5-AO5</f>
        <v>2.67495</v>
      </c>
      <c r="BA5" s="54"/>
      <c r="BB5" s="278">
        <v>0.0</v>
      </c>
      <c r="BC5" s="279">
        <v>0.0</v>
      </c>
      <c r="BD5" s="279">
        <v>0.0</v>
      </c>
      <c r="BE5" s="279">
        <v>0.0</v>
      </c>
      <c r="BF5" s="279">
        <v>0.0</v>
      </c>
      <c r="BG5" s="279">
        <v>0.0</v>
      </c>
      <c r="BH5" s="279">
        <v>0.0</v>
      </c>
      <c r="BI5" s="279">
        <v>20.0</v>
      </c>
      <c r="BJ5" s="279">
        <v>0.0</v>
      </c>
      <c r="BK5" s="279">
        <v>0.0</v>
      </c>
      <c r="BL5" s="280">
        <v>0.0</v>
      </c>
      <c r="BM5" s="281">
        <f t="shared" ref="BM5:BM7" si="21">SUMPRODUCT(BB5:BL5, {0,33,50,67,167,67,50,4.17,7.56,12.17,16.22})</f>
        <v>83.4</v>
      </c>
      <c r="BN5" s="221"/>
      <c r="BO5" s="221"/>
      <c r="BP5" s="128" t="s">
        <v>90</v>
      </c>
      <c r="BQ5" s="96"/>
      <c r="BR5" s="221"/>
    </row>
    <row r="6" ht="15.0" customHeight="1">
      <c r="A6" s="250">
        <v>2.0</v>
      </c>
      <c r="B6" s="250">
        <v>1.0</v>
      </c>
      <c r="C6" s="250" t="s">
        <v>148</v>
      </c>
      <c r="D6" s="251">
        <f t="shared" ref="D6:D7" si="22">E6-E5</f>
        <v>3</v>
      </c>
      <c r="E6" s="252">
        <v>5.0</v>
      </c>
      <c r="F6" s="253">
        <v>10.0</v>
      </c>
      <c r="G6" s="254">
        <f t="shared" si="2"/>
        <v>2</v>
      </c>
      <c r="H6" s="255"/>
      <c r="I6" s="256">
        <f t="shared" ref="I6:J6" si="3">1-L6/D6</f>
        <v>0</v>
      </c>
      <c r="J6" s="256">
        <f t="shared" si="3"/>
        <v>-0.2</v>
      </c>
      <c r="K6" s="220"/>
      <c r="L6" s="257">
        <f t="shared" ref="L6:L7" si="24">M6-M5</f>
        <v>3</v>
      </c>
      <c r="M6" s="258">
        <v>6.0</v>
      </c>
      <c r="N6" s="257">
        <v>10.0</v>
      </c>
      <c r="O6" s="259">
        <f t="shared" si="4"/>
        <v>2</v>
      </c>
      <c r="P6" s="260">
        <f t="shared" si="5"/>
        <v>3</v>
      </c>
      <c r="Q6" s="261" t="str">
        <f>IFERROR(__xludf.DUMMYFUNCTION("LET(
  names, HSTACK(""Coins"", BB$4:BL$4),
  amounts, HSTACK(F6, BB6:BL6),
  lookupNames, $BP$5:$BP$16,
  lookupImages, $BQ$5:$BQ$16,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R6" s="262">
        <f>IFERROR(__xludf.DUMMYFUNCTION("""COMPUTED_VALUE"""),10.0)</f>
        <v>10</v>
      </c>
      <c r="S6" s="261" t="str">
        <f>IFERROR(__xludf.DUMMYFUNCTION("""COMPUTED_VALUE"""),"")</f>
        <v/>
      </c>
      <c r="T6" s="262">
        <f>IFERROR(__xludf.DUMMYFUNCTION("""COMPUTED_VALUE"""),1.0)</f>
        <v>1</v>
      </c>
      <c r="U6" s="261"/>
      <c r="V6" s="263"/>
      <c r="W6" s="264" t="str">
        <f t="shared" si="6"/>
        <v>p75</v>
      </c>
      <c r="X6" s="282">
        <f>SUMPRODUCT((data_segment_HC_gains!$A$25:$A$44="0-9")*(data_segment_HC_gains!$B$25:$B$44=W6)*data_segment_HC_gains!$C$25:$C$44)</f>
        <v>3</v>
      </c>
      <c r="Y6" s="266">
        <f>SUMPRODUCT((data_segment_HC_gains!$A$25:$A$44="0-9")*(data_segment_HC_gains!$B$25:$B$44=W6)*data_segment_HC_gains!$E$25:$E$44)</f>
        <v>58.44</v>
      </c>
      <c r="Z6" s="267">
        <f>SUMPRODUCT((data_raw_slopes!$A$2:$A$41="0-9")*(data_raw_slopes!$B$2:$B$41="payer")*(data_raw_slopes!$C$2:$C$41=W6)*data_raw_slopes!$E$2:$E$41)</f>
        <v>56.58</v>
      </c>
      <c r="AA6" s="283">
        <f t="shared" si="7"/>
        <v>1.86</v>
      </c>
      <c r="AB6" s="266">
        <f>SUMPRODUCT((data_segment_HC_gains!$A$25:$A$44="0-9")*(data_segment_HC_gains!$B$25:$B$44=W6)*data_segment_HC_gains!$G$25:$G$44)</f>
        <v>7.56</v>
      </c>
      <c r="AC6" s="269">
        <f t="shared" si="8"/>
        <v>3.45</v>
      </c>
      <c r="AD6" s="269">
        <f>Y6-AB6*(1-(saga_progression_new!$C$17/saga_progression_old!$C$16))+SUM($F$5:F6)</f>
        <v>63.58</v>
      </c>
      <c r="AE6" s="270">
        <f>Z6+(IF(SUMPRODUCT((data_raw_slopes!$A$2:$A$41="0-9")*(data_raw_slopes!$B$2:$B$41="payer")*(data_raw_slopes!$C$2:$C$41=W6)*data_raw_slopes!$F$2:$F$41)&gt;0,SUMPRODUCT((data_raw_slopes!$A$2:$A$41="0-9")*(data_raw_slopes!$B$2:$B$41="payer")*(data_raw_slopes!$C$2:$C$41=W6)*data_raw_slopes!$F$2:$F$41),SUMPRODUCT((data_raw_slopes!$A$2:$A$41="0-9")*(data_raw_slopes!$B$2:$B$41="payer")*(data_raw_slopes!$C$2:$C$41=W6)*data_raw_slopes!$G$2:$G$41)))*X6*0.15</f>
        <v>64.376565</v>
      </c>
      <c r="AF6" s="284">
        <f t="shared" si="9"/>
        <v>-0.796565</v>
      </c>
      <c r="AG6" s="272">
        <f>AB6*(saga_progression_new!$C$17/saga_progression_old!$C$16)</f>
        <v>2.7</v>
      </c>
      <c r="AH6" s="285">
        <f t="shared" si="10"/>
        <v>-2.656565</v>
      </c>
      <c r="AI6" s="274">
        <f t="shared" si="11"/>
        <v>0.45</v>
      </c>
      <c r="AJ6" s="275">
        <f t="shared" si="12"/>
        <v>-4.86</v>
      </c>
      <c r="AK6" s="275">
        <f t="shared" si="13"/>
        <v>7.796565</v>
      </c>
      <c r="AL6" s="276"/>
      <c r="AM6" s="277">
        <f>SUMPRODUCT((data_segment_HC_gains!$A$48:$A$67="0-9")*(data_segment_HC_gains!$B$48:$B$67=W6)*data_segment_HC_gains!$C$48:$C$67)</f>
        <v>3</v>
      </c>
      <c r="AN6" s="277">
        <f>SUMPRODUCT((data_segment_HC_gains!$A$48:$A$67="0-9")*(data_segment_HC_gains!$B$48:$B$67=W6)*data_segment_HC_gains!$E$48:$E$67)</f>
        <v>46.44</v>
      </c>
      <c r="AO6" s="277">
        <f>SUMPRODUCT((data_raw_slopes!$A$2:$A$41="0-9")*(data_raw_slopes!$B$2:$B$41="nonpayer")*(data_raw_slopes!$C$2:$C$41=W6)*data_raw_slopes!$E$2:$E$41)</f>
        <v>43.7</v>
      </c>
      <c r="AP6" s="277">
        <f t="shared" si="14"/>
        <v>2.74</v>
      </c>
      <c r="AQ6" s="277">
        <f>SUMPRODUCT((data_segment_HC_gains!$A$48:$A$67="0-9")*(data_segment_HC_gains!$B$48:$B$67=W6)*data_segment_HC_gains!$G$48:$G$67)</f>
        <v>8.05</v>
      </c>
      <c r="AR6" s="269">
        <f t="shared" si="15"/>
        <v>3.45</v>
      </c>
      <c r="AS6" s="269">
        <f>AN6-AQ6*(1-(saga_progression_new!$C$17/saga_progression_old!$C$16))+SUM($F$5:F6)</f>
        <v>51.265</v>
      </c>
      <c r="AT6" s="269">
        <f>AO6+(IF(SUMPRODUCT((data_raw_slopes!$A$2:$A$41="0-9")*(data_raw_slopes!$B$2:$B$41="nonpayer")*(data_raw_slopes!$C$2:$C$41=W6)*data_raw_slopes!$F$2:$F$41)&gt;0,SUMPRODUCT((data_raw_slopes!$A$2:$A$41="0-9")*(data_raw_slopes!$B$2:$B$41="nonpayer")*(data_raw_slopes!$C$2:$C$41=W6)*data_raw_slopes!$F$2:$F$41),SUMPRODUCT((data_raw_slopes!$A$2:$A$41="0-9")*(data_raw_slopes!$B$2:$B$41="nonpayer")*(data_raw_slopes!$C$2:$C$41=W6)*data_raw_slopes!$G$2:$G$41)))*AM6*0.15</f>
        <v>47.582735</v>
      </c>
      <c r="AU6" s="269">
        <f t="shared" si="16"/>
        <v>3.682265</v>
      </c>
      <c r="AV6" s="269">
        <f>AQ6*(saga_progression_new!$C$17/saga_progression_old!$C$16)</f>
        <v>2.875</v>
      </c>
      <c r="AW6" s="275">
        <f t="shared" si="17"/>
        <v>0.942265</v>
      </c>
      <c r="AX6" s="275">
        <f t="shared" si="18"/>
        <v>0.45</v>
      </c>
      <c r="AY6" s="275">
        <f t="shared" si="19"/>
        <v>-5.175</v>
      </c>
      <c r="AZ6" s="275">
        <f t="shared" si="20"/>
        <v>3.882735</v>
      </c>
      <c r="BA6" s="54"/>
      <c r="BB6" s="278">
        <v>0.0</v>
      </c>
      <c r="BC6" s="279">
        <v>1.0</v>
      </c>
      <c r="BD6" s="279">
        <v>0.0</v>
      </c>
      <c r="BE6" s="279">
        <v>0.0</v>
      </c>
      <c r="BF6" s="279">
        <v>0.0</v>
      </c>
      <c r="BG6" s="279">
        <v>0.0</v>
      </c>
      <c r="BH6" s="279">
        <v>0.0</v>
      </c>
      <c r="BI6" s="279">
        <v>0.0</v>
      </c>
      <c r="BJ6" s="279">
        <v>0.0</v>
      </c>
      <c r="BK6" s="279">
        <v>0.0</v>
      </c>
      <c r="BL6" s="280">
        <v>0.0</v>
      </c>
      <c r="BM6" s="286">
        <f t="shared" si="21"/>
        <v>33</v>
      </c>
      <c r="BN6" s="221"/>
      <c r="BO6" s="221"/>
      <c r="BP6" s="287" t="s">
        <v>79</v>
      </c>
      <c r="BQ6" s="85"/>
      <c r="BR6" s="221"/>
    </row>
    <row r="7" ht="15.0" customHeight="1">
      <c r="A7" s="250">
        <v>3.0</v>
      </c>
      <c r="B7" s="250">
        <v>1.0</v>
      </c>
      <c r="C7" s="250" t="s">
        <v>148</v>
      </c>
      <c r="D7" s="251">
        <f t="shared" si="22"/>
        <v>5</v>
      </c>
      <c r="E7" s="252">
        <v>10.0</v>
      </c>
      <c r="F7" s="253">
        <v>15.0</v>
      </c>
      <c r="G7" s="254">
        <f t="shared" si="2"/>
        <v>1.5</v>
      </c>
      <c r="H7" s="255"/>
      <c r="I7" s="256">
        <f t="shared" ref="I7:J7" si="23">1-L7/D7</f>
        <v>0.2</v>
      </c>
      <c r="J7" s="256">
        <f t="shared" si="23"/>
        <v>0</v>
      </c>
      <c r="K7" s="220"/>
      <c r="L7" s="257">
        <f t="shared" si="24"/>
        <v>4</v>
      </c>
      <c r="M7" s="258">
        <v>10.0</v>
      </c>
      <c r="N7" s="257">
        <v>20.0</v>
      </c>
      <c r="O7" s="288">
        <f t="shared" si="4"/>
        <v>3</v>
      </c>
      <c r="P7" s="289">
        <f t="shared" si="5"/>
        <v>5</v>
      </c>
      <c r="Q7" s="290" t="str">
        <f>IFERROR(__xludf.DUMMYFUNCTION("LET(
  names, HSTACK(""Coins"", BB$4:BL$4),
  amounts, HSTACK(F7, BB7:BL7),
  lookupNames, $BP$5:$BP$16,
  lookupImages, $BQ$5:$BQ$16,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R7" s="291">
        <f>IFERROR(__xludf.DUMMYFUNCTION("""COMPUTED_VALUE"""),15.0)</f>
        <v>15</v>
      </c>
      <c r="S7" s="290" t="str">
        <f>IFERROR(__xludf.DUMMYFUNCTION("""COMPUTED_VALUE"""),"")</f>
        <v/>
      </c>
      <c r="T7" s="291">
        <f>IFERROR(__xludf.DUMMYFUNCTION("""COMPUTED_VALUE"""),1.0)</f>
        <v>1</v>
      </c>
      <c r="U7" s="290" t="str">
        <f>IFERROR(__xludf.DUMMYFUNCTION("""COMPUTED_VALUE"""),"")</f>
        <v/>
      </c>
      <c r="V7" s="292">
        <f>IFERROR(__xludf.DUMMYFUNCTION("""COMPUTED_VALUE"""),1.0)</f>
        <v>1</v>
      </c>
      <c r="W7" s="264" t="str">
        <f t="shared" si="6"/>
        <v>p90</v>
      </c>
      <c r="X7" s="293">
        <f>SUMPRODUCT((data_segment_HC_gains!$A$25:$A$44="0-9")*(data_segment_HC_gains!$B$25:$B$44=W7)*data_segment_HC_gains!$C$25:$C$44)</f>
        <v>6</v>
      </c>
      <c r="Y7" s="266">
        <f>SUMPRODUCT((data_segment_HC_gains!$A$25:$A$44="0-9")*(data_segment_HC_gains!$B$25:$B$44=W7)*data_segment_HC_gains!$E$25:$E$44)</f>
        <v>110.87</v>
      </c>
      <c r="Z7" s="267">
        <f>SUMPRODUCT((data_raw_slopes!$A$2:$A$41="0-9")*(data_raw_slopes!$B$2:$B$41="payer")*(data_raw_slopes!$C$2:$C$41=W7)*data_raw_slopes!$E$2:$E$41)</f>
        <v>121.33</v>
      </c>
      <c r="AA7" s="294">
        <f t="shared" si="7"/>
        <v>-10.46</v>
      </c>
      <c r="AB7" s="266">
        <f>SUMPRODUCT((data_segment_HC_gains!$A$25:$A$44="0-9")*(data_segment_HC_gains!$B$25:$B$44=W7)*data_segment_HC_gains!$G$25:$G$44)</f>
        <v>16.94</v>
      </c>
      <c r="AC7" s="269">
        <f t="shared" si="8"/>
        <v>6.9</v>
      </c>
      <c r="AD7" s="269">
        <f>Y7-AB7*(1-(saga_progression_new!$C$17/saga_progression_old!$C$16))+SUM($F$5:F7)</f>
        <v>124.98</v>
      </c>
      <c r="AE7" s="270">
        <f>Z7+(IF(SUMPRODUCT((data_raw_slopes!$A$2:$A$41="0-9")*(data_raw_slopes!$B$2:$B$41="payer")*(data_raw_slopes!$C$2:$C$41=W7)*data_raw_slopes!$F$2:$F$41)&gt;0,SUMPRODUCT((data_raw_slopes!$A$2:$A$41="0-9")*(data_raw_slopes!$B$2:$B$41="payer")*(data_raw_slopes!$C$2:$C$41=W7)*data_raw_slopes!$F$2:$F$41),SUMPRODUCT((data_raw_slopes!$A$2:$A$41="0-9")*(data_raw_slopes!$B$2:$B$41="payer")*(data_raw_slopes!$C$2:$C$41=W7)*data_raw_slopes!$G$2:$G$41)))*X7*0.15</f>
        <v>134.71012</v>
      </c>
      <c r="AF7" s="295">
        <f t="shared" si="9"/>
        <v>-9.73012</v>
      </c>
      <c r="AG7" s="272">
        <f>AB7*(saga_progression_new!$C$17/saga_progression_old!$C$16)</f>
        <v>6.05</v>
      </c>
      <c r="AH7" s="296">
        <f t="shared" si="10"/>
        <v>0.72988</v>
      </c>
      <c r="AI7" s="274">
        <f t="shared" si="11"/>
        <v>0.9</v>
      </c>
      <c r="AJ7" s="275">
        <f t="shared" si="12"/>
        <v>-10.89</v>
      </c>
      <c r="AK7" s="275">
        <f t="shared" si="13"/>
        <v>13.38012</v>
      </c>
      <c r="AL7" s="276"/>
      <c r="AM7" s="277">
        <f>SUMPRODUCT((data_segment_HC_gains!$A$48:$A$67="0-9")*(data_segment_HC_gains!$B$48:$B$67=W7)*data_segment_HC_gains!$C$48:$C$67)</f>
        <v>7</v>
      </c>
      <c r="AN7" s="277">
        <f>SUMPRODUCT((data_segment_HC_gains!$A$48:$A$67="0-9")*(data_segment_HC_gains!$B$48:$B$67=W7)*data_segment_HC_gains!$E$48:$E$67)</f>
        <v>64.94</v>
      </c>
      <c r="AO7" s="277">
        <f>SUMPRODUCT((data_raw_slopes!$A$2:$A$41="0-9")*(data_raw_slopes!$B$2:$B$41="nonpayer")*(data_raw_slopes!$C$2:$C$41=W7)*data_raw_slopes!$E$2:$E$41)</f>
        <v>79.1</v>
      </c>
      <c r="AP7" s="277">
        <f t="shared" si="14"/>
        <v>-14.16</v>
      </c>
      <c r="AQ7" s="277">
        <f>SUMPRODUCT((data_segment_HC_gains!$A$48:$A$67="0-9")*(data_segment_HC_gains!$B$48:$B$67=W7)*data_segment_HC_gains!$G$48:$G$67)</f>
        <v>15.63</v>
      </c>
      <c r="AR7" s="269">
        <f t="shared" si="15"/>
        <v>8.05</v>
      </c>
      <c r="AS7" s="269">
        <f>AN7-AQ7*(1-(saga_progression_new!$C$17/saga_progression_old!$C$16))+SUM($F$5:F7)</f>
        <v>79.89214286</v>
      </c>
      <c r="AT7" s="269">
        <f>AO7+(IF(SUMPRODUCT((data_raw_slopes!$A$2:$A$41="0-9")*(data_raw_slopes!$B$2:$B$41="nonpayer")*(data_raw_slopes!$C$2:$C$41=W7)*data_raw_slopes!$F$2:$F$41)&gt;0,SUMPRODUCT((data_raw_slopes!$A$2:$A$41="0-9")*(data_raw_slopes!$B$2:$B$41="nonpayer")*(data_raw_slopes!$C$2:$C$41=W7)*data_raw_slopes!$F$2:$F$41),SUMPRODUCT((data_raw_slopes!$A$2:$A$41="0-9")*(data_raw_slopes!$B$2:$B$41="nonpayer")*(data_raw_slopes!$C$2:$C$41=W7)*data_raw_slopes!$G$2:$G$41)))*AM7*0.15</f>
        <v>86.442125</v>
      </c>
      <c r="AU7" s="269">
        <f t="shared" si="16"/>
        <v>-6.549982143</v>
      </c>
      <c r="AV7" s="269">
        <f>AQ7*(saga_progression_new!$C$17/saga_progression_old!$C$16)</f>
        <v>5.582142857</v>
      </c>
      <c r="AW7" s="275">
        <f t="shared" si="17"/>
        <v>7.610017857</v>
      </c>
      <c r="AX7" s="275">
        <f t="shared" si="18"/>
        <v>1.05</v>
      </c>
      <c r="AY7" s="275">
        <f t="shared" si="19"/>
        <v>-10.04785714</v>
      </c>
      <c r="AZ7" s="275">
        <f t="shared" si="20"/>
        <v>7.342125</v>
      </c>
      <c r="BA7" s="54"/>
      <c r="BB7" s="278">
        <v>0.0</v>
      </c>
      <c r="BC7" s="279">
        <v>0.0</v>
      </c>
      <c r="BD7" s="279">
        <v>1.0</v>
      </c>
      <c r="BE7" s="279">
        <v>0.0</v>
      </c>
      <c r="BF7" s="279">
        <v>1.0</v>
      </c>
      <c r="BG7" s="279">
        <v>0.0</v>
      </c>
      <c r="BH7" s="279">
        <v>0.0</v>
      </c>
      <c r="BI7" s="279">
        <v>0.0</v>
      </c>
      <c r="BJ7" s="279">
        <v>0.0</v>
      </c>
      <c r="BK7" s="279">
        <v>0.0</v>
      </c>
      <c r="BL7" s="280">
        <v>0.0</v>
      </c>
      <c r="BM7" s="297">
        <f t="shared" si="21"/>
        <v>217</v>
      </c>
      <c r="BN7" s="221"/>
      <c r="BO7" s="221"/>
      <c r="BP7" s="287" t="s">
        <v>80</v>
      </c>
      <c r="BQ7" s="96"/>
      <c r="BR7" s="221"/>
    </row>
    <row r="8" ht="15.0" customHeight="1">
      <c r="A8" s="54"/>
      <c r="B8" s="54"/>
      <c r="C8" s="54"/>
      <c r="D8" s="54"/>
      <c r="E8" s="54"/>
      <c r="F8" s="54"/>
      <c r="G8" s="298"/>
      <c r="H8" s="298"/>
      <c r="I8" s="220"/>
      <c r="J8" s="220"/>
      <c r="K8" s="220"/>
      <c r="L8" s="215"/>
      <c r="M8" s="215"/>
      <c r="N8" s="215"/>
      <c r="O8" s="298"/>
      <c r="P8" s="298"/>
      <c r="Q8" s="224"/>
      <c r="R8" s="165"/>
      <c r="S8" s="224"/>
      <c r="T8" s="224"/>
      <c r="U8" s="224"/>
      <c r="V8" s="224"/>
      <c r="W8" s="54"/>
      <c r="X8" s="230"/>
      <c r="Y8" s="230"/>
      <c r="Z8" s="230"/>
      <c r="AA8" s="230"/>
      <c r="AB8" s="230"/>
      <c r="AC8" s="299"/>
      <c r="AD8" s="299"/>
      <c r="AE8" s="299"/>
      <c r="AF8" s="299"/>
      <c r="AG8" s="299"/>
      <c r="AH8" s="230"/>
      <c r="AI8" s="230"/>
      <c r="AJ8" s="230"/>
      <c r="AK8" s="230"/>
      <c r="AL8" s="230"/>
      <c r="AM8" s="230"/>
      <c r="AN8" s="230"/>
      <c r="AO8" s="230"/>
      <c r="AP8" s="230"/>
      <c r="AQ8" s="230"/>
      <c r="AR8" s="299"/>
      <c r="AS8" s="299"/>
      <c r="AT8" s="299"/>
      <c r="AU8" s="299"/>
      <c r="AV8" s="299"/>
      <c r="AW8" s="230"/>
      <c r="AX8" s="230"/>
      <c r="AY8" s="230"/>
      <c r="AZ8" s="230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221"/>
      <c r="BO8" s="221"/>
      <c r="BP8" s="287" t="s">
        <v>81</v>
      </c>
      <c r="BQ8" s="96"/>
      <c r="BR8" s="221"/>
    </row>
    <row r="9" ht="15.0" customHeight="1">
      <c r="A9" s="225" t="s">
        <v>44</v>
      </c>
      <c r="B9" s="54"/>
      <c r="C9" s="54"/>
      <c r="D9" s="54"/>
      <c r="E9" s="54"/>
      <c r="F9" s="54"/>
      <c r="G9" s="298"/>
      <c r="H9" s="298"/>
      <c r="I9" s="220"/>
      <c r="J9" s="220"/>
      <c r="K9" s="220"/>
      <c r="L9" s="215"/>
      <c r="M9" s="215"/>
      <c r="N9" s="215"/>
      <c r="O9" s="227" t="s">
        <v>44</v>
      </c>
      <c r="P9" s="228"/>
      <c r="Q9" s="228"/>
      <c r="R9" s="228"/>
      <c r="S9" s="228"/>
      <c r="T9" s="228"/>
      <c r="U9" s="228"/>
      <c r="V9" s="229"/>
      <c r="W9" s="54"/>
      <c r="X9" s="230"/>
      <c r="Y9" s="230"/>
      <c r="Z9" s="230"/>
      <c r="AA9" s="230"/>
      <c r="AB9" s="230"/>
      <c r="AC9" s="299"/>
      <c r="AD9" s="299"/>
      <c r="AE9" s="299"/>
      <c r="AF9" s="299"/>
      <c r="AG9" s="299"/>
      <c r="AH9" s="230"/>
      <c r="AI9" s="230"/>
      <c r="AJ9" s="230"/>
      <c r="AK9" s="230"/>
      <c r="AL9" s="230"/>
      <c r="AM9" s="230"/>
      <c r="AN9" s="230"/>
      <c r="AO9" s="230"/>
      <c r="AP9" s="230"/>
      <c r="AQ9" s="230"/>
      <c r="AR9" s="299"/>
      <c r="AS9" s="299"/>
      <c r="AT9" s="299"/>
      <c r="AU9" s="299"/>
      <c r="AV9" s="299"/>
      <c r="AW9" s="230"/>
      <c r="AX9" s="230"/>
      <c r="AY9" s="230"/>
      <c r="AZ9" s="230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221"/>
      <c r="BO9" s="221"/>
      <c r="BP9" s="287" t="s">
        <v>82</v>
      </c>
      <c r="BQ9" s="96"/>
      <c r="BR9" s="221"/>
    </row>
    <row r="10" ht="30.0" customHeight="1">
      <c r="A10" s="231" t="s">
        <v>112</v>
      </c>
      <c r="B10" s="231" t="s">
        <v>113</v>
      </c>
      <c r="C10" s="231" t="s">
        <v>114</v>
      </c>
      <c r="D10" s="232" t="s">
        <v>115</v>
      </c>
      <c r="E10" s="232" t="s">
        <v>116</v>
      </c>
      <c r="F10" s="231" t="s">
        <v>73</v>
      </c>
      <c r="G10" s="300" t="s">
        <v>117</v>
      </c>
      <c r="H10" s="301"/>
      <c r="I10" s="235" t="s">
        <v>151</v>
      </c>
      <c r="J10" s="235" t="s">
        <v>152</v>
      </c>
      <c r="K10" s="220"/>
      <c r="L10" s="302" t="s">
        <v>115</v>
      </c>
      <c r="M10" s="302" t="s">
        <v>116</v>
      </c>
      <c r="N10" s="302" t="s">
        <v>73</v>
      </c>
      <c r="O10" s="237" t="s">
        <v>112</v>
      </c>
      <c r="P10" s="238" t="s">
        <v>115</v>
      </c>
      <c r="Q10" s="239" t="s">
        <v>74</v>
      </c>
      <c r="V10" s="240"/>
      <c r="W10" s="303" t="s">
        <v>118</v>
      </c>
      <c r="X10" s="242" t="s">
        <v>119</v>
      </c>
      <c r="Y10" s="243" t="s">
        <v>120</v>
      </c>
      <c r="Z10" s="243" t="s">
        <v>121</v>
      </c>
      <c r="AA10" s="242" t="s">
        <v>122</v>
      </c>
      <c r="AB10" s="243" t="s">
        <v>123</v>
      </c>
      <c r="AC10" s="304" t="s">
        <v>124</v>
      </c>
      <c r="AD10" s="304" t="s">
        <v>125</v>
      </c>
      <c r="AE10" s="304" t="s">
        <v>126</v>
      </c>
      <c r="AF10" s="305" t="s">
        <v>127</v>
      </c>
      <c r="AG10" s="304" t="s">
        <v>128</v>
      </c>
      <c r="AH10" s="246" t="s">
        <v>129</v>
      </c>
      <c r="AI10" s="247" t="s">
        <v>130</v>
      </c>
      <c r="AJ10" s="247" t="s">
        <v>131</v>
      </c>
      <c r="AK10" s="247" t="s">
        <v>132</v>
      </c>
      <c r="AL10" s="248"/>
      <c r="AM10" s="243" t="s">
        <v>133</v>
      </c>
      <c r="AN10" s="243" t="s">
        <v>134</v>
      </c>
      <c r="AO10" s="243" t="s">
        <v>135</v>
      </c>
      <c r="AP10" s="243" t="s">
        <v>136</v>
      </c>
      <c r="AQ10" s="243" t="s">
        <v>137</v>
      </c>
      <c r="AR10" s="304" t="s">
        <v>138</v>
      </c>
      <c r="AS10" s="304" t="s">
        <v>139</v>
      </c>
      <c r="AT10" s="304" t="s">
        <v>140</v>
      </c>
      <c r="AU10" s="304" t="s">
        <v>141</v>
      </c>
      <c r="AV10" s="304" t="s">
        <v>142</v>
      </c>
      <c r="AW10" s="247" t="s">
        <v>143</v>
      </c>
      <c r="AX10" s="247" t="s">
        <v>144</v>
      </c>
      <c r="AY10" s="247" t="s">
        <v>145</v>
      </c>
      <c r="AZ10" s="247" t="s">
        <v>146</v>
      </c>
      <c r="BA10" s="54"/>
      <c r="BB10" s="142" t="s">
        <v>79</v>
      </c>
      <c r="BC10" s="142" t="s">
        <v>80</v>
      </c>
      <c r="BD10" s="142" t="s">
        <v>81</v>
      </c>
      <c r="BE10" s="142" t="s">
        <v>82</v>
      </c>
      <c r="BF10" s="142" t="s">
        <v>83</v>
      </c>
      <c r="BG10" s="142" t="s">
        <v>84</v>
      </c>
      <c r="BH10" s="142" t="s">
        <v>85</v>
      </c>
      <c r="BI10" s="142" t="s">
        <v>86</v>
      </c>
      <c r="BJ10" s="142" t="s">
        <v>87</v>
      </c>
      <c r="BK10" s="142" t="s">
        <v>88</v>
      </c>
      <c r="BL10" s="142" t="s">
        <v>89</v>
      </c>
      <c r="BM10" s="249" t="s">
        <v>147</v>
      </c>
      <c r="BN10" s="221"/>
      <c r="BO10" s="221"/>
      <c r="BP10" s="287" t="s">
        <v>83</v>
      </c>
      <c r="BQ10" s="96"/>
      <c r="BR10" s="221"/>
    </row>
    <row r="11">
      <c r="A11" s="250">
        <v>1.0</v>
      </c>
      <c r="B11" s="250">
        <v>1.0</v>
      </c>
      <c r="C11" s="250" t="s">
        <v>148</v>
      </c>
      <c r="D11" s="251">
        <f>E11</f>
        <v>6</v>
      </c>
      <c r="E11" s="252">
        <v>6.0</v>
      </c>
      <c r="F11" s="253">
        <v>10.0</v>
      </c>
      <c r="G11" s="254">
        <f t="shared" ref="G11:G13" si="26">F11/E11</f>
        <v>1.666666667</v>
      </c>
      <c r="H11" s="255"/>
      <c r="I11" s="256">
        <f t="shared" ref="I11:J11" si="25">1-L11/D11</f>
        <v>0.1666666667</v>
      </c>
      <c r="J11" s="256">
        <f t="shared" si="25"/>
        <v>0.1666666667</v>
      </c>
      <c r="K11" s="220"/>
      <c r="L11" s="257">
        <f>M11</f>
        <v>5</v>
      </c>
      <c r="M11" s="258">
        <v>5.0</v>
      </c>
      <c r="N11" s="257">
        <v>5.0</v>
      </c>
      <c r="O11" s="259">
        <f t="shared" ref="O11:O13" si="28">A11</f>
        <v>1</v>
      </c>
      <c r="P11" s="260">
        <f t="shared" ref="P11:P13" si="29">D11</f>
        <v>6</v>
      </c>
      <c r="Q11" s="261" t="str">
        <f>IFERROR(__xludf.DUMMYFUNCTION("LET(
  names, HSTACK(""Coins"", BB$4:BL$4),
  amounts, HSTACK(F11, BB11:BL11),
  lookupNames, $BP$5:$BP$16,
  lookupImages, $BQ$5:$BQ$16,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R11" s="262">
        <f>IFERROR(__xludf.DUMMYFUNCTION("""COMPUTED_VALUE"""),10.0)</f>
        <v>10</v>
      </c>
      <c r="S11" s="261" t="str">
        <f>IFERROR(__xludf.DUMMYFUNCTION("""COMPUTED_VALUE"""),"")</f>
        <v/>
      </c>
      <c r="T11" s="262">
        <f>IFERROR(__xludf.DUMMYFUNCTION("""COMPUTED_VALUE"""),20.0)</f>
        <v>20</v>
      </c>
      <c r="U11" s="261"/>
      <c r="V11" s="263"/>
      <c r="W11" s="264" t="str">
        <f t="shared" ref="W11:W13" si="30">IF(A11=1,"p50",IF(A11=2,"p75","p90"))</f>
        <v>p50</v>
      </c>
      <c r="X11" s="265">
        <f>SUMPRODUCT((data_segment_HC_gains!$A$25:$A$44="10-19")*(data_segment_HC_gains!$B$25:$B$44=W11)*data_segment_HC_gains!$C$25:$C$44)</f>
        <v>6</v>
      </c>
      <c r="Y11" s="266">
        <f>SUMPRODUCT((data_segment_HC_gains!$A$25:$A$44="10-19")*(data_segment_HC_gains!$B$25:$B$44=W11)*data_segment_HC_gains!$E$25:$E$44)</f>
        <v>148.23</v>
      </c>
      <c r="Z11" s="267">
        <f>SUMPRODUCT((data_raw_slopes!$A$2:$A$41="10-19")*(data_raw_slopes!$B$2:$B$41="payer")*(data_raw_slopes!$C$2:$C$41=W11)*data_raw_slopes!$E$2:$E$41)</f>
        <v>151.27</v>
      </c>
      <c r="AA11" s="268">
        <f t="shared" ref="AA11:AA13" si="31">Y11-Z11</f>
        <v>-3.04</v>
      </c>
      <c r="AB11" s="266">
        <f>SUMPRODUCT((data_segment_HC_gains!$A$25:$A$44="10-19")*(data_segment_HC_gains!$B$25:$B$44=W11)*data_segment_HC_gains!$G$25:$G$44)</f>
        <v>25.07</v>
      </c>
      <c r="AC11" s="269">
        <f t="shared" ref="AC11:AC13" si="32">X11*1.15</f>
        <v>6.9</v>
      </c>
      <c r="AD11" s="269">
        <f>Y11-AB11*(1-(saga_progression_new!$E$17/saga_progression_old!$C$16))+SUM($F$11:F11)</f>
        <v>142.1135714</v>
      </c>
      <c r="AE11" s="270">
        <f>Z11+(IF(SUMPRODUCT((data_raw_slopes!$A$2:$A$41="10-19")*(data_raw_slopes!$B$2:$B$41="payer")*(data_raw_slopes!$C$2:$C$41=W11)*data_raw_slopes!$F$2:$F$41)&gt;0,SUMPRODUCT((data_raw_slopes!$A$2:$A$41="10-19")*(data_raw_slopes!$B$2:$B$41="payer")*(data_raw_slopes!$C$2:$C$41=W11)*data_raw_slopes!$F$2:$F$41),SUMPRODUCT((data_raw_slopes!$A$2:$A$41="10-19")*(data_raw_slopes!$B$2:$B$41="payer")*(data_raw_slopes!$C$2:$C$41=W11)*data_raw_slopes!$G$2:$G$41)))*X11*0.15</f>
        <v>163.29202</v>
      </c>
      <c r="AF11" s="271">
        <f t="shared" ref="AF11:AF13" si="33">AD11-AE11</f>
        <v>-21.17844857</v>
      </c>
      <c r="AG11" s="272">
        <f>AB11*(saga_progression_new!$E$17/saga_progression_old!$C$16)</f>
        <v>8.953571429</v>
      </c>
      <c r="AH11" s="273">
        <f t="shared" ref="AH11:AH13" si="34">AF11-AA11</f>
        <v>-18.13844857</v>
      </c>
      <c r="AI11" s="274">
        <f t="shared" ref="AI11:AI13" si="35">AC11-X11</f>
        <v>0.9</v>
      </c>
      <c r="AJ11" s="275">
        <f t="shared" ref="AJ11:AJ13" si="36">AG11-AB11</f>
        <v>-16.11642857</v>
      </c>
      <c r="AK11" s="275">
        <f t="shared" ref="AK11:AK13" si="37">AE11-Z11</f>
        <v>12.02202</v>
      </c>
      <c r="AL11" s="276"/>
      <c r="AM11" s="277">
        <f>SUMPRODUCT((data_segment_HC_gains!$A$48:$A$67="10-19")*(data_segment_HC_gains!$B$48:$B$67=W11)*data_segment_HC_gains!$C$48:$C$67)</f>
        <v>7</v>
      </c>
      <c r="AN11" s="277">
        <f>SUMPRODUCT((data_segment_HC_gains!$A$48:$A$67="10-19")*(data_segment_HC_gains!$B$48:$B$67=W11)*data_segment_HC_gains!$E$48:$E$67)</f>
        <v>92.78</v>
      </c>
      <c r="AO11" s="277">
        <f>SUMPRODUCT((data_raw_slopes!$A$2:$A$41="10-19")*(data_raw_slopes!$B$2:$B$41="nonpayer")*(data_raw_slopes!$C$2:$C$41=W11)*data_raw_slopes!$E$2:$E$41)</f>
        <v>91.46</v>
      </c>
      <c r="AP11" s="277">
        <f t="shared" ref="AP11:AP13" si="38">AN11-AO11</f>
        <v>1.32</v>
      </c>
      <c r="AQ11" s="277">
        <f>SUMPRODUCT((data_segment_HC_gains!$A$48:$A$67="10-19")*(data_segment_HC_gains!$B$48:$B$67=W11)*data_segment_HC_gains!$G$48:$G$67)</f>
        <v>24.86</v>
      </c>
      <c r="AR11" s="269">
        <f t="shared" ref="AR11:AR13" si="39">AM11*1.15</f>
        <v>8.05</v>
      </c>
      <c r="AS11" s="269">
        <f>AN11-AQ11*(1-(saga_progression_new!$E$17/saga_progression_old!$C$16))+SUM($F$11:F11)</f>
        <v>86.79857143</v>
      </c>
      <c r="AT11" s="269">
        <f>AO11+(IF(SUMPRODUCT((data_raw_slopes!$A$2:$A$41="10-19")*(data_raw_slopes!$B$2:$B$41="nonpayer")*(data_raw_slopes!$C$2:$C$41=W11)*data_raw_slopes!$F$2:$F$41)&gt;0,SUMPRODUCT((data_raw_slopes!$A$2:$A$41="10-19")*(data_raw_slopes!$B$2:$B$41="nonpayer")*(data_raw_slopes!$C$2:$C$41=W11)*data_raw_slopes!$F$2:$F$41),SUMPRODUCT((data_raw_slopes!$A$2:$A$41="10-19")*(data_raw_slopes!$B$2:$B$41="nonpayer")*(data_raw_slopes!$C$2:$C$41=W11)*data_raw_slopes!$G$2:$G$41)))*AM11*0.15</f>
        <v>97.093775</v>
      </c>
      <c r="AU11" s="269">
        <f t="shared" ref="AU11:AU13" si="40">AS11-AT11</f>
        <v>-10.29520357</v>
      </c>
      <c r="AV11" s="269">
        <f>AQ11*(saga_progression_new!$E$17/saga_progression_old!$C$16)</f>
        <v>8.878571429</v>
      </c>
      <c r="AW11" s="275">
        <f t="shared" ref="AW11:AW13" si="41">AU11-AP11</f>
        <v>-11.61520357</v>
      </c>
      <c r="AX11" s="275">
        <f t="shared" ref="AX11:AX13" si="42">AR11-AM11</f>
        <v>1.05</v>
      </c>
      <c r="AY11" s="275">
        <f t="shared" ref="AY11:AY13" si="43">AV11-AQ11</f>
        <v>-15.98142857</v>
      </c>
      <c r="AZ11" s="275">
        <f t="shared" ref="AZ11:AZ13" si="44">AT11-AO11</f>
        <v>5.633775</v>
      </c>
      <c r="BA11" s="54"/>
      <c r="BB11" s="278">
        <v>0.0</v>
      </c>
      <c r="BC11" s="279">
        <v>0.0</v>
      </c>
      <c r="BD11" s="279">
        <v>0.0</v>
      </c>
      <c r="BE11" s="279">
        <v>0.0</v>
      </c>
      <c r="BF11" s="279">
        <v>0.0</v>
      </c>
      <c r="BG11" s="279">
        <v>0.0</v>
      </c>
      <c r="BH11" s="279">
        <v>0.0</v>
      </c>
      <c r="BI11" s="279">
        <v>20.0</v>
      </c>
      <c r="BJ11" s="279">
        <v>0.0</v>
      </c>
      <c r="BK11" s="279">
        <v>0.0</v>
      </c>
      <c r="BL11" s="280">
        <v>0.0</v>
      </c>
      <c r="BM11" s="281">
        <f t="shared" ref="BM11:BM13" si="45">SUMPRODUCT(BB11:BL11, {0,33,50,67,167,67,50,4.17,7.56,12.17,16.22})</f>
        <v>83.4</v>
      </c>
      <c r="BN11" s="221"/>
      <c r="BO11" s="221"/>
      <c r="BP11" s="287" t="s">
        <v>84</v>
      </c>
      <c r="BQ11" s="96"/>
      <c r="BR11" s="221"/>
    </row>
    <row r="12" ht="15.0" customHeight="1">
      <c r="A12" s="250">
        <v>2.0</v>
      </c>
      <c r="B12" s="250">
        <v>1.0</v>
      </c>
      <c r="C12" s="250" t="s">
        <v>148</v>
      </c>
      <c r="D12" s="251">
        <f t="shared" ref="D12:D13" si="46">E12-E11</f>
        <v>7</v>
      </c>
      <c r="E12" s="252">
        <v>13.0</v>
      </c>
      <c r="F12" s="253">
        <v>30.0</v>
      </c>
      <c r="G12" s="254">
        <f t="shared" si="26"/>
        <v>2.307692308</v>
      </c>
      <c r="H12" s="255"/>
      <c r="I12" s="256">
        <f t="shared" ref="I12:J12" si="27">1-L12/D12</f>
        <v>0.2857142857</v>
      </c>
      <c r="J12" s="256">
        <f t="shared" si="27"/>
        <v>0.2307692308</v>
      </c>
      <c r="K12" s="220"/>
      <c r="L12" s="257">
        <f t="shared" ref="L12:L13" si="48">M12-M11</f>
        <v>5</v>
      </c>
      <c r="M12" s="258">
        <v>10.0</v>
      </c>
      <c r="N12" s="257">
        <v>20.0</v>
      </c>
      <c r="O12" s="259">
        <f t="shared" si="28"/>
        <v>2</v>
      </c>
      <c r="P12" s="260">
        <f t="shared" si="29"/>
        <v>7</v>
      </c>
      <c r="Q12" s="261" t="str">
        <f>IFERROR(__xludf.DUMMYFUNCTION("LET(
  names, HSTACK(""Coins"", BB$4:BL$4),
  amounts, HSTACK(F12, BB12:BL12),
  lookupNames, $BP$5:$BP$16,
  lookupImages, $BQ$5:$BQ$16,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R12" s="262">
        <f>IFERROR(__xludf.DUMMYFUNCTION("""COMPUTED_VALUE"""),30.0)</f>
        <v>30</v>
      </c>
      <c r="S12" s="261" t="str">
        <f>IFERROR(__xludf.DUMMYFUNCTION("""COMPUTED_VALUE"""),"")</f>
        <v/>
      </c>
      <c r="T12" s="262">
        <f>IFERROR(__xludf.DUMMYFUNCTION("""COMPUTED_VALUE"""),1.0)</f>
        <v>1</v>
      </c>
      <c r="U12" s="261"/>
      <c r="V12" s="263"/>
      <c r="W12" s="264" t="str">
        <f t="shared" si="30"/>
        <v>p75</v>
      </c>
      <c r="X12" s="282">
        <f>SUMPRODUCT((data_segment_HC_gains!$A$25:$A$44="10-19")*(data_segment_HC_gains!$B$25:$B$44=W12)*data_segment_HC_gains!$C$25:$C$44)</f>
        <v>12</v>
      </c>
      <c r="Y12" s="266">
        <f>SUMPRODUCT((data_segment_HC_gains!$A$25:$A$44="10-19")*(data_segment_HC_gains!$B$25:$B$44=W12)*data_segment_HC_gains!$E$25:$E$44)</f>
        <v>200.4</v>
      </c>
      <c r="Z12" s="267">
        <f>SUMPRODUCT((data_raw_slopes!$A$2:$A$41="10-19")*(data_raw_slopes!$B$2:$B$41="payer")*(data_raw_slopes!$C$2:$C$41=W12)*data_raw_slopes!$E$2:$E$41)</f>
        <v>210.6</v>
      </c>
      <c r="AA12" s="283">
        <f t="shared" si="31"/>
        <v>-10.2</v>
      </c>
      <c r="AB12" s="266">
        <f>SUMPRODUCT((data_segment_HC_gains!$A$25:$A$44="10-19")*(data_segment_HC_gains!$B$25:$B$44=W12)*data_segment_HC_gains!$G$25:$G$44)</f>
        <v>32.05</v>
      </c>
      <c r="AC12" s="269">
        <f t="shared" si="32"/>
        <v>13.8</v>
      </c>
      <c r="AD12" s="269">
        <f>Y12-AB12*(1-(saga_progression_new!$E$17/saga_progression_old!$C$16))+SUM($F$11:F12)</f>
        <v>219.7964286</v>
      </c>
      <c r="AE12" s="270">
        <f>Z12+(IF(SUMPRODUCT((data_raw_slopes!$A$2:$A$41="10-19")*(data_raw_slopes!$B$2:$B$41="payer")*(data_raw_slopes!$C$2:$C$41=W12)*data_raw_slopes!$F$2:$F$41)&gt;0,SUMPRODUCT((data_raw_slopes!$A$2:$A$41="10-19")*(data_raw_slopes!$B$2:$B$41="payer")*(data_raw_slopes!$C$2:$C$41=W12)*data_raw_slopes!$F$2:$F$41),SUMPRODUCT((data_raw_slopes!$A$2:$A$41="10-19")*(data_raw_slopes!$B$2:$B$41="payer")*(data_raw_slopes!$C$2:$C$41=W12)*data_raw_slopes!$G$2:$G$41)))*X12*0.15</f>
        <v>232.49736</v>
      </c>
      <c r="AF12" s="284">
        <f t="shared" si="33"/>
        <v>-12.70093143</v>
      </c>
      <c r="AG12" s="272">
        <f>AB12*(saga_progression_new!$E$17/saga_progression_old!$C$16)</f>
        <v>11.44642857</v>
      </c>
      <c r="AH12" s="285">
        <f t="shared" si="34"/>
        <v>-2.500931429</v>
      </c>
      <c r="AI12" s="274">
        <f t="shared" si="35"/>
        <v>1.8</v>
      </c>
      <c r="AJ12" s="275">
        <f t="shared" si="36"/>
        <v>-20.60357143</v>
      </c>
      <c r="AK12" s="275">
        <f t="shared" si="37"/>
        <v>21.89736</v>
      </c>
      <c r="AL12" s="276"/>
      <c r="AM12" s="277">
        <f>SUMPRODUCT((data_segment_HC_gains!$A$48:$A$67="10-19")*(data_segment_HC_gains!$B$48:$B$67=W12)*data_segment_HC_gains!$C$48:$C$67)</f>
        <v>13</v>
      </c>
      <c r="AN12" s="277">
        <f>SUMPRODUCT((data_segment_HC_gains!$A$48:$A$67="10-19")*(data_segment_HC_gains!$B$48:$B$67=W12)*data_segment_HC_gains!$E$48:$E$67)</f>
        <v>104.9</v>
      </c>
      <c r="AO12" s="277">
        <f>SUMPRODUCT((data_raw_slopes!$A$2:$A$41="10-19")*(data_raw_slopes!$B$2:$B$41="nonpayer")*(data_raw_slopes!$C$2:$C$41=W12)*data_raw_slopes!$E$2:$E$41)</f>
        <v>115.5</v>
      </c>
      <c r="AP12" s="277">
        <f t="shared" si="38"/>
        <v>-10.6</v>
      </c>
      <c r="AQ12" s="277">
        <f>SUMPRODUCT((data_segment_HC_gains!$A$48:$A$67="10-19")*(data_segment_HC_gains!$B$48:$B$67=W12)*data_segment_HC_gains!$G$48:$G$67)</f>
        <v>31.52</v>
      </c>
      <c r="AR12" s="269">
        <f t="shared" si="39"/>
        <v>14.95</v>
      </c>
      <c r="AS12" s="269">
        <f>AN12-AQ12*(1-(saga_progression_new!$E$17/saga_progression_old!$C$16))+SUM($F$11:F12)</f>
        <v>124.6371429</v>
      </c>
      <c r="AT12" s="269">
        <f>AO12+(IF(SUMPRODUCT((data_raw_slopes!$A$2:$A$41="10-19")*(data_raw_slopes!$B$2:$B$41="nonpayer")*(data_raw_slopes!$C$2:$C$41=W12)*data_raw_slopes!$F$2:$F$41)&gt;0,SUMPRODUCT((data_raw_slopes!$A$2:$A$41="10-19")*(data_raw_slopes!$B$2:$B$41="nonpayer")*(data_raw_slopes!$C$2:$C$41=W12)*data_raw_slopes!$F$2:$F$41),SUMPRODUCT((data_raw_slopes!$A$2:$A$41="10-19")*(data_raw_slopes!$B$2:$B$41="nonpayer")*(data_raw_slopes!$C$2:$C$41=W12)*data_raw_slopes!$G$2:$G$41)))*AM12*0.15</f>
        <v>127.115565</v>
      </c>
      <c r="AU12" s="269">
        <f t="shared" si="40"/>
        <v>-2.478422143</v>
      </c>
      <c r="AV12" s="269">
        <f>AQ12*(saga_progression_new!$E$17/saga_progression_old!$C$16)</f>
        <v>11.25714286</v>
      </c>
      <c r="AW12" s="275">
        <f t="shared" si="41"/>
        <v>8.121577857</v>
      </c>
      <c r="AX12" s="275">
        <f t="shared" si="42"/>
        <v>1.95</v>
      </c>
      <c r="AY12" s="275">
        <f t="shared" si="43"/>
        <v>-20.26285714</v>
      </c>
      <c r="AZ12" s="275">
        <f t="shared" si="44"/>
        <v>11.615565</v>
      </c>
      <c r="BA12" s="54"/>
      <c r="BB12" s="278">
        <v>0.0</v>
      </c>
      <c r="BC12" s="279">
        <v>1.0</v>
      </c>
      <c r="BD12" s="279">
        <v>0.0</v>
      </c>
      <c r="BE12" s="279">
        <v>0.0</v>
      </c>
      <c r="BF12" s="279">
        <v>0.0</v>
      </c>
      <c r="BG12" s="279">
        <v>0.0</v>
      </c>
      <c r="BH12" s="279">
        <v>0.0</v>
      </c>
      <c r="BI12" s="279">
        <v>0.0</v>
      </c>
      <c r="BJ12" s="279">
        <v>0.0</v>
      </c>
      <c r="BK12" s="279">
        <v>0.0</v>
      </c>
      <c r="BL12" s="280">
        <v>0.0</v>
      </c>
      <c r="BM12" s="286">
        <f t="shared" si="45"/>
        <v>33</v>
      </c>
      <c r="BN12" s="221"/>
      <c r="BO12" s="221"/>
      <c r="BP12" s="287" t="s">
        <v>85</v>
      </c>
      <c r="BQ12" s="96"/>
      <c r="BR12" s="221"/>
    </row>
    <row r="13" ht="15.0" customHeight="1">
      <c r="A13" s="250">
        <v>3.0</v>
      </c>
      <c r="B13" s="250">
        <v>1.0</v>
      </c>
      <c r="C13" s="250" t="s">
        <v>148</v>
      </c>
      <c r="D13" s="251">
        <f t="shared" si="46"/>
        <v>13</v>
      </c>
      <c r="E13" s="252">
        <v>26.0</v>
      </c>
      <c r="F13" s="253">
        <v>60.0</v>
      </c>
      <c r="G13" s="254">
        <f t="shared" si="26"/>
        <v>2.307692308</v>
      </c>
      <c r="H13" s="255"/>
      <c r="I13" s="256">
        <f t="shared" ref="I13:J13" si="47">1-L13/D13</f>
        <v>0.2307692308</v>
      </c>
      <c r="J13" s="256">
        <f t="shared" si="47"/>
        <v>0.2307692308</v>
      </c>
      <c r="K13" s="220"/>
      <c r="L13" s="257">
        <f t="shared" si="48"/>
        <v>10</v>
      </c>
      <c r="M13" s="258">
        <v>20.0</v>
      </c>
      <c r="N13" s="257">
        <v>50.0</v>
      </c>
      <c r="O13" s="288">
        <f t="shared" si="28"/>
        <v>3</v>
      </c>
      <c r="P13" s="289">
        <f t="shared" si="29"/>
        <v>13</v>
      </c>
      <c r="Q13" s="290" t="str">
        <f>IFERROR(__xludf.DUMMYFUNCTION("LET(
  names, HSTACK(""Coins"", BB$4:BL$4),
  amounts, HSTACK(F13, BB13:BL13),
  lookupNames, $BP$5:$BP$16,
  lookupImages, $BQ$5:$BQ$16,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R13" s="291">
        <f>IFERROR(__xludf.DUMMYFUNCTION("""COMPUTED_VALUE"""),60.0)</f>
        <v>60</v>
      </c>
      <c r="S13" s="290" t="str">
        <f>IFERROR(__xludf.DUMMYFUNCTION("""COMPUTED_VALUE"""),"")</f>
        <v/>
      </c>
      <c r="T13" s="291">
        <f>IFERROR(__xludf.DUMMYFUNCTION("""COMPUTED_VALUE"""),1.0)</f>
        <v>1</v>
      </c>
      <c r="U13" s="290" t="str">
        <f>IFERROR(__xludf.DUMMYFUNCTION("""COMPUTED_VALUE"""),"")</f>
        <v/>
      </c>
      <c r="V13" s="292">
        <f>IFERROR(__xludf.DUMMYFUNCTION("""COMPUTED_VALUE"""),1.0)</f>
        <v>1</v>
      </c>
      <c r="W13" s="264" t="str">
        <f t="shared" si="30"/>
        <v>p90</v>
      </c>
      <c r="X13" s="293">
        <f>SUMPRODUCT((data_segment_HC_gains!$A$25:$A$44="10-19")*(data_segment_HC_gains!$B$25:$B$44=W13)*data_segment_HC_gains!$C$25:$C$44)</f>
        <v>20</v>
      </c>
      <c r="Y13" s="266">
        <f>SUMPRODUCT((data_segment_HC_gains!$A$25:$A$44="10-19")*(data_segment_HC_gains!$B$25:$B$44=W13)*data_segment_HC_gains!$E$25:$E$44)</f>
        <v>315.99</v>
      </c>
      <c r="Z13" s="267">
        <f>SUMPRODUCT((data_raw_slopes!$A$2:$A$41="10-19")*(data_raw_slopes!$B$2:$B$41="payer")*(data_raw_slopes!$C$2:$C$41=W13)*data_raw_slopes!$E$2:$E$41)</f>
        <v>343.63</v>
      </c>
      <c r="AA13" s="294">
        <f t="shared" si="31"/>
        <v>-27.64</v>
      </c>
      <c r="AB13" s="266">
        <f>SUMPRODUCT((data_segment_HC_gains!$A$25:$A$44="10-19")*(data_segment_HC_gains!$B$25:$B$44=W13)*data_segment_HC_gains!$G$25:$G$44)</f>
        <v>46.02</v>
      </c>
      <c r="AC13" s="269">
        <f t="shared" si="32"/>
        <v>23</v>
      </c>
      <c r="AD13" s="269">
        <f>Y13-AB13*(1-(saga_progression_new!$E$17/saga_progression_old!$C$16))+SUM($F$11:F13)</f>
        <v>386.4057143</v>
      </c>
      <c r="AE13" s="270">
        <f>Z13+(IF(SUMPRODUCT((data_raw_slopes!$A$2:$A$41="10-19")*(data_raw_slopes!$B$2:$B$41="payer")*(data_raw_slopes!$C$2:$C$41=W13)*data_raw_slopes!$F$2:$F$41)&gt;0,SUMPRODUCT((data_raw_slopes!$A$2:$A$41="10-19")*(data_raw_slopes!$B$2:$B$41="payer")*(data_raw_slopes!$C$2:$C$41=W13)*data_raw_slopes!$F$2:$F$41),SUMPRODUCT((data_raw_slopes!$A$2:$A$41="10-19")*(data_raw_slopes!$B$2:$B$41="payer")*(data_raw_slopes!$C$2:$C$41=W13)*data_raw_slopes!$G$2:$G$41)))*X13*0.15</f>
        <v>394.3387</v>
      </c>
      <c r="AF13" s="295">
        <f t="shared" si="33"/>
        <v>-7.932985714</v>
      </c>
      <c r="AG13" s="272">
        <f>AB13*(saga_progression_new!$E$17/saga_progression_old!$C$16)</f>
        <v>16.43571429</v>
      </c>
      <c r="AH13" s="296">
        <f t="shared" si="34"/>
        <v>19.70701429</v>
      </c>
      <c r="AI13" s="274">
        <f t="shared" si="35"/>
        <v>3</v>
      </c>
      <c r="AJ13" s="275">
        <f t="shared" si="36"/>
        <v>-29.58428571</v>
      </c>
      <c r="AK13" s="275">
        <f t="shared" si="37"/>
        <v>50.7087</v>
      </c>
      <c r="AL13" s="276"/>
      <c r="AM13" s="277">
        <f>SUMPRODUCT((data_segment_HC_gains!$A$48:$A$67="10-19")*(data_segment_HC_gains!$B$48:$B$67=W13)*data_segment_HC_gains!$C$48:$C$67)</f>
        <v>19</v>
      </c>
      <c r="AN13" s="277">
        <f>SUMPRODUCT((data_segment_HC_gains!$A$48:$A$67="10-19")*(data_segment_HC_gains!$B$48:$B$67=W13)*data_segment_HC_gains!$E$48:$E$67)</f>
        <v>142.33</v>
      </c>
      <c r="AO13" s="277">
        <f>SUMPRODUCT((data_raw_slopes!$A$2:$A$41="10-19")*(data_raw_slopes!$B$2:$B$41="nonpayer")*(data_raw_slopes!$C$2:$C$41=W13)*data_raw_slopes!$E$2:$E$41)</f>
        <v>170.28</v>
      </c>
      <c r="AP13" s="277">
        <f t="shared" si="38"/>
        <v>-27.95</v>
      </c>
      <c r="AQ13" s="277">
        <f>SUMPRODUCT((data_segment_HC_gains!$A$48:$A$67="10-19")*(data_segment_HC_gains!$B$48:$B$67=W13)*data_segment_HC_gains!$G$48:$G$67)</f>
        <v>45.45</v>
      </c>
      <c r="AR13" s="269">
        <f t="shared" si="39"/>
        <v>21.85</v>
      </c>
      <c r="AS13" s="269">
        <f>AN13-AQ13*(1-(saga_progression_new!$E$17/saga_progression_old!$C$16))+SUM($F$11:F13)</f>
        <v>213.1121429</v>
      </c>
      <c r="AT13" s="269">
        <f>AO13+(IF(SUMPRODUCT((data_raw_slopes!$A$2:$A$41="10-19")*(data_raw_slopes!$B$2:$B$41="nonpayer")*(data_raw_slopes!$C$2:$C$41=W13)*data_raw_slopes!$F$2:$F$41)&gt;0,SUMPRODUCT((data_raw_slopes!$A$2:$A$41="10-19")*(data_raw_slopes!$B$2:$B$41="nonpayer")*(data_raw_slopes!$C$2:$C$41=W13)*data_raw_slopes!$F$2:$F$41),SUMPRODUCT((data_raw_slopes!$A$2:$A$41="10-19")*(data_raw_slopes!$B$2:$B$41="nonpayer")*(data_raw_slopes!$C$2:$C$41=W13)*data_raw_slopes!$G$2:$G$41)))*AM13*0.15</f>
        <v>188.741445</v>
      </c>
      <c r="AU13" s="269">
        <f t="shared" si="40"/>
        <v>24.37069786</v>
      </c>
      <c r="AV13" s="269">
        <f>AQ13*(saga_progression_new!$E$17/saga_progression_old!$C$16)</f>
        <v>16.23214286</v>
      </c>
      <c r="AW13" s="275">
        <f t="shared" si="41"/>
        <v>52.32069786</v>
      </c>
      <c r="AX13" s="275">
        <f t="shared" si="42"/>
        <v>2.85</v>
      </c>
      <c r="AY13" s="275">
        <f t="shared" si="43"/>
        <v>-29.21785714</v>
      </c>
      <c r="AZ13" s="275">
        <f t="shared" si="44"/>
        <v>18.461445</v>
      </c>
      <c r="BA13" s="54"/>
      <c r="BB13" s="278">
        <v>0.0</v>
      </c>
      <c r="BC13" s="279">
        <v>0.0</v>
      </c>
      <c r="BD13" s="279">
        <v>1.0</v>
      </c>
      <c r="BE13" s="279">
        <v>0.0</v>
      </c>
      <c r="BF13" s="279">
        <v>1.0</v>
      </c>
      <c r="BG13" s="279">
        <v>0.0</v>
      </c>
      <c r="BH13" s="279">
        <v>0.0</v>
      </c>
      <c r="BI13" s="279">
        <v>0.0</v>
      </c>
      <c r="BJ13" s="279">
        <v>0.0</v>
      </c>
      <c r="BK13" s="279">
        <v>0.0</v>
      </c>
      <c r="BL13" s="280">
        <v>0.0</v>
      </c>
      <c r="BM13" s="297">
        <f t="shared" si="45"/>
        <v>217</v>
      </c>
      <c r="BN13" s="221"/>
      <c r="BO13" s="221"/>
      <c r="BP13" s="287" t="s">
        <v>86</v>
      </c>
      <c r="BQ13" s="96"/>
      <c r="BR13" s="221"/>
    </row>
    <row r="14" ht="15.0" customHeight="1">
      <c r="A14" s="54"/>
      <c r="B14" s="54"/>
      <c r="C14" s="54"/>
      <c r="D14" s="54"/>
      <c r="E14" s="54"/>
      <c r="F14" s="54"/>
      <c r="G14" s="298"/>
      <c r="H14" s="298"/>
      <c r="I14" s="220"/>
      <c r="J14" s="220"/>
      <c r="K14" s="220"/>
      <c r="L14" s="215"/>
      <c r="M14" s="215"/>
      <c r="N14" s="215"/>
      <c r="O14" s="298"/>
      <c r="P14" s="298"/>
      <c r="Q14" s="224"/>
      <c r="R14" s="165"/>
      <c r="S14" s="224"/>
      <c r="T14" s="224"/>
      <c r="U14" s="224"/>
      <c r="V14" s="224"/>
      <c r="W14" s="54"/>
      <c r="X14" s="230"/>
      <c r="Y14" s="230"/>
      <c r="Z14" s="230"/>
      <c r="AA14" s="230"/>
      <c r="AB14" s="230"/>
      <c r="AC14" s="299"/>
      <c r="AD14" s="299"/>
      <c r="AE14" s="299"/>
      <c r="AF14" s="299"/>
      <c r="AG14" s="299"/>
      <c r="AH14" s="230"/>
      <c r="AI14" s="230"/>
      <c r="AJ14" s="230"/>
      <c r="AK14" s="230"/>
      <c r="AL14" s="230"/>
      <c r="AM14" s="230"/>
      <c r="AN14" s="230"/>
      <c r="AO14" s="230"/>
      <c r="AP14" s="230"/>
      <c r="AQ14" s="230"/>
      <c r="AR14" s="299"/>
      <c r="AS14" s="299"/>
      <c r="AT14" s="299"/>
      <c r="AU14" s="299"/>
      <c r="AV14" s="299"/>
      <c r="AW14" s="230"/>
      <c r="AX14" s="230"/>
      <c r="AY14" s="230"/>
      <c r="AZ14" s="230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221"/>
      <c r="BO14" s="221"/>
      <c r="BP14" s="287" t="s">
        <v>87</v>
      </c>
      <c r="BQ14" s="96"/>
      <c r="BR14" s="221"/>
    </row>
    <row r="15" ht="15.0" customHeight="1">
      <c r="A15" s="225" t="s">
        <v>45</v>
      </c>
      <c r="B15" s="54"/>
      <c r="C15" s="54"/>
      <c r="D15" s="54"/>
      <c r="E15" s="54"/>
      <c r="F15" s="54"/>
      <c r="G15" s="298"/>
      <c r="H15" s="298"/>
      <c r="I15" s="220"/>
      <c r="J15" s="220"/>
      <c r="K15" s="220"/>
      <c r="L15" s="215"/>
      <c r="M15" s="215"/>
      <c r="N15" s="215"/>
      <c r="O15" s="227" t="s">
        <v>45</v>
      </c>
      <c r="P15" s="228"/>
      <c r="Q15" s="228"/>
      <c r="R15" s="228"/>
      <c r="S15" s="228"/>
      <c r="T15" s="228"/>
      <c r="U15" s="228"/>
      <c r="V15" s="229"/>
      <c r="W15" s="54"/>
      <c r="X15" s="230"/>
      <c r="Y15" s="230"/>
      <c r="Z15" s="230"/>
      <c r="AA15" s="230"/>
      <c r="AB15" s="230"/>
      <c r="AC15" s="299"/>
      <c r="AD15" s="299"/>
      <c r="AE15" s="299"/>
      <c r="AF15" s="299"/>
      <c r="AG15" s="299"/>
      <c r="AH15" s="230"/>
      <c r="AI15" s="230"/>
      <c r="AJ15" s="230"/>
      <c r="AK15" s="230"/>
      <c r="AL15" s="230"/>
      <c r="AM15" s="230"/>
      <c r="AN15" s="230"/>
      <c r="AO15" s="230"/>
      <c r="AP15" s="230"/>
      <c r="AQ15" s="230"/>
      <c r="AR15" s="299"/>
      <c r="AS15" s="299"/>
      <c r="AT15" s="299"/>
      <c r="AU15" s="299"/>
      <c r="AV15" s="299"/>
      <c r="AW15" s="230"/>
      <c r="AX15" s="230"/>
      <c r="AY15" s="230"/>
      <c r="AZ15" s="230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221"/>
      <c r="BO15" s="221"/>
      <c r="BP15" s="287" t="s">
        <v>88</v>
      </c>
      <c r="BQ15" s="96"/>
      <c r="BR15" s="221"/>
    </row>
    <row r="16" ht="30.0" customHeight="1">
      <c r="A16" s="231" t="s">
        <v>112</v>
      </c>
      <c r="B16" s="231" t="s">
        <v>113</v>
      </c>
      <c r="C16" s="231" t="s">
        <v>114</v>
      </c>
      <c r="D16" s="232" t="s">
        <v>115</v>
      </c>
      <c r="E16" s="232" t="s">
        <v>116</v>
      </c>
      <c r="F16" s="231" t="s">
        <v>73</v>
      </c>
      <c r="G16" s="300" t="s">
        <v>117</v>
      </c>
      <c r="H16" s="301"/>
      <c r="I16" s="235" t="s">
        <v>151</v>
      </c>
      <c r="J16" s="235" t="s">
        <v>152</v>
      </c>
      <c r="K16" s="220"/>
      <c r="L16" s="302" t="s">
        <v>115</v>
      </c>
      <c r="M16" s="302" t="s">
        <v>116</v>
      </c>
      <c r="N16" s="302" t="s">
        <v>73</v>
      </c>
      <c r="O16" s="237" t="s">
        <v>112</v>
      </c>
      <c r="P16" s="238" t="s">
        <v>115</v>
      </c>
      <c r="Q16" s="239" t="s">
        <v>74</v>
      </c>
      <c r="V16" s="240"/>
      <c r="W16" s="303" t="s">
        <v>118</v>
      </c>
      <c r="X16" s="242" t="s">
        <v>119</v>
      </c>
      <c r="Y16" s="243" t="s">
        <v>120</v>
      </c>
      <c r="Z16" s="243" t="s">
        <v>121</v>
      </c>
      <c r="AA16" s="242" t="s">
        <v>122</v>
      </c>
      <c r="AB16" s="243" t="s">
        <v>123</v>
      </c>
      <c r="AC16" s="304" t="s">
        <v>124</v>
      </c>
      <c r="AD16" s="304" t="s">
        <v>125</v>
      </c>
      <c r="AE16" s="304" t="s">
        <v>126</v>
      </c>
      <c r="AF16" s="305" t="s">
        <v>127</v>
      </c>
      <c r="AG16" s="304" t="s">
        <v>128</v>
      </c>
      <c r="AH16" s="246" t="s">
        <v>129</v>
      </c>
      <c r="AI16" s="247" t="s">
        <v>130</v>
      </c>
      <c r="AJ16" s="247" t="s">
        <v>131</v>
      </c>
      <c r="AK16" s="247" t="s">
        <v>132</v>
      </c>
      <c r="AL16" s="248"/>
      <c r="AM16" s="243" t="s">
        <v>133</v>
      </c>
      <c r="AN16" s="243" t="s">
        <v>134</v>
      </c>
      <c r="AO16" s="243" t="s">
        <v>135</v>
      </c>
      <c r="AP16" s="243" t="s">
        <v>136</v>
      </c>
      <c r="AQ16" s="243" t="s">
        <v>137</v>
      </c>
      <c r="AR16" s="304" t="s">
        <v>138</v>
      </c>
      <c r="AS16" s="304" t="s">
        <v>139</v>
      </c>
      <c r="AT16" s="304" t="s">
        <v>140</v>
      </c>
      <c r="AU16" s="304" t="s">
        <v>141</v>
      </c>
      <c r="AV16" s="304" t="s">
        <v>142</v>
      </c>
      <c r="AW16" s="247" t="s">
        <v>143</v>
      </c>
      <c r="AX16" s="247" t="s">
        <v>144</v>
      </c>
      <c r="AY16" s="247" t="s">
        <v>145</v>
      </c>
      <c r="AZ16" s="247" t="s">
        <v>146</v>
      </c>
      <c r="BA16" s="54"/>
      <c r="BB16" s="142" t="s">
        <v>79</v>
      </c>
      <c r="BC16" s="142" t="s">
        <v>80</v>
      </c>
      <c r="BD16" s="142" t="s">
        <v>81</v>
      </c>
      <c r="BE16" s="142" t="s">
        <v>82</v>
      </c>
      <c r="BF16" s="142" t="s">
        <v>83</v>
      </c>
      <c r="BG16" s="142" t="s">
        <v>84</v>
      </c>
      <c r="BH16" s="142" t="s">
        <v>85</v>
      </c>
      <c r="BI16" s="142" t="s">
        <v>86</v>
      </c>
      <c r="BJ16" s="142" t="s">
        <v>87</v>
      </c>
      <c r="BK16" s="142" t="s">
        <v>88</v>
      </c>
      <c r="BL16" s="142" t="s">
        <v>89</v>
      </c>
      <c r="BM16" s="249" t="s">
        <v>147</v>
      </c>
      <c r="BN16" s="221"/>
      <c r="BO16" s="221"/>
      <c r="BP16" s="96" t="s">
        <v>89</v>
      </c>
      <c r="BQ16" s="96"/>
      <c r="BR16" s="221"/>
    </row>
    <row r="17" ht="15.0" customHeight="1">
      <c r="A17" s="250">
        <v>1.0</v>
      </c>
      <c r="B17" s="250">
        <v>1.0</v>
      </c>
      <c r="C17" s="250" t="s">
        <v>148</v>
      </c>
      <c r="D17" s="251">
        <f>E17</f>
        <v>11</v>
      </c>
      <c r="E17" s="252">
        <v>11.0</v>
      </c>
      <c r="F17" s="306">
        <v>15.0</v>
      </c>
      <c r="G17" s="254">
        <f t="shared" ref="G17:G19" si="50">F17/E17</f>
        <v>1.363636364</v>
      </c>
      <c r="H17" s="255"/>
      <c r="I17" s="256">
        <f t="shared" ref="I17:J17" si="49">1-L17/D17</f>
        <v>0.09090909091</v>
      </c>
      <c r="J17" s="256">
        <f t="shared" si="49"/>
        <v>0.09090909091</v>
      </c>
      <c r="K17" s="220"/>
      <c r="L17" s="257">
        <f>M17</f>
        <v>10</v>
      </c>
      <c r="M17" s="258">
        <v>10.0</v>
      </c>
      <c r="N17" s="257">
        <v>15.0</v>
      </c>
      <c r="O17" s="259">
        <f t="shared" ref="O17:O19" si="52">A17</f>
        <v>1</v>
      </c>
      <c r="P17" s="260">
        <f t="shared" ref="P17:P19" si="53">D17</f>
        <v>11</v>
      </c>
      <c r="Q17" s="261" t="str">
        <f>IFERROR(__xludf.DUMMYFUNCTION("LET(
  names, HSTACK(""Coins"", BB$4:BL$4),
  amounts, HSTACK(F17, BB17:BL17),
  lookupNames, $BP$5:$BP$16,
  lookupImages, $BQ$5:$BQ$16,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R17" s="262">
        <f>IFERROR(__xludf.DUMMYFUNCTION("""COMPUTED_VALUE"""),15.0)</f>
        <v>15</v>
      </c>
      <c r="S17" s="261" t="str">
        <f>IFERROR(__xludf.DUMMYFUNCTION("""COMPUTED_VALUE"""),"")</f>
        <v/>
      </c>
      <c r="T17" s="262">
        <f>IFERROR(__xludf.DUMMYFUNCTION("""COMPUTED_VALUE"""),20.0)</f>
        <v>20</v>
      </c>
      <c r="U17" s="261"/>
      <c r="V17" s="263"/>
      <c r="W17" s="264" t="str">
        <f t="shared" ref="W17:W19" si="54">IF(A17=1,"p50",IF(A17=2,"p75","p90"))</f>
        <v>p50</v>
      </c>
      <c r="X17" s="265">
        <f>SUMPRODUCT((data_segment_HC_gains!$A$25:$A$44="20-39")*(data_segment_HC_gains!$B$25:$B$44=W17)*data_segment_HC_gains!$C$25:$C$44)</f>
        <v>13</v>
      </c>
      <c r="Y17" s="266">
        <f>SUMPRODUCT((data_segment_HC_gains!$A$25:$A$44="20-39")*(data_segment_HC_gains!$B$25:$B$44=W17)*data_segment_HC_gains!$E$25:$E$44)</f>
        <v>292.33</v>
      </c>
      <c r="Z17" s="267">
        <f>SUMPRODUCT((data_raw_slopes!$A$2:$A$41="20-39")*(data_raw_slopes!$B$2:$B$41="payer")*(data_raw_slopes!$C$2:$C$41=W17)*data_raw_slopes!$E$2:$E$41)</f>
        <v>301.15</v>
      </c>
      <c r="AA17" s="268">
        <f t="shared" ref="AA17:AA19" si="55">Y17-Z17</f>
        <v>-8.82</v>
      </c>
      <c r="AB17" s="266">
        <f>SUMPRODUCT((data_segment_HC_gains!$A$25:$A$44="20-39")*(data_segment_HC_gains!$B$25:$B$44=W17)*data_segment_HC_gains!$G$25:$G$44)</f>
        <v>50.36</v>
      </c>
      <c r="AC17" s="269">
        <f t="shared" ref="AC17:AC19" si="56">X17*1.15</f>
        <v>14.95</v>
      </c>
      <c r="AD17" s="269">
        <f>Y17-AB17*(1-(saga_progression_new!$G$17/saga_progression_old!$C$16))+SUM($F$17:F17)</f>
        <v>274.9557143</v>
      </c>
      <c r="AE17" s="270">
        <f>Z17+(IF(SUMPRODUCT((data_raw_slopes!$A$2:$A$41="20-39")*(data_raw_slopes!$B$2:$B$41="payer")*(data_raw_slopes!$C$2:$C$41=W17)*data_raw_slopes!$F$2:$F$41)&gt;0,SUMPRODUCT((data_raw_slopes!$A$2:$A$41="20-39")*(data_raw_slopes!$B$2:$B$41="payer")*(data_raw_slopes!$C$2:$C$41=W17)*data_raw_slopes!$F$2:$F$41),SUMPRODUCT((data_raw_slopes!$A$2:$A$41="20-39")*(data_raw_slopes!$B$2:$B$41="payer")*(data_raw_slopes!$C$2:$C$41=W17)*data_raw_slopes!$G$2:$G$41)))*X17*0.15</f>
        <v>326.00392</v>
      </c>
      <c r="AF17" s="271">
        <f t="shared" ref="AF17:AF19" si="57">AD17-AE17</f>
        <v>-51.04820571</v>
      </c>
      <c r="AG17" s="272">
        <f>AB17*(saga_progression_new!$G$17/saga_progression_old!$C$16)</f>
        <v>17.98571429</v>
      </c>
      <c r="AH17" s="273">
        <f t="shared" ref="AH17:AH19" si="58">AF17-AA17</f>
        <v>-42.22820571</v>
      </c>
      <c r="AI17" s="274">
        <f t="shared" ref="AI17:AI19" si="59">AC17-X17</f>
        <v>1.95</v>
      </c>
      <c r="AJ17" s="275">
        <f t="shared" ref="AJ17:AJ19" si="60">AG17-AB17</f>
        <v>-32.37428571</v>
      </c>
      <c r="AK17" s="275">
        <f t="shared" ref="AK17:AK19" si="61">AE17-Z17</f>
        <v>24.85392</v>
      </c>
      <c r="AL17" s="276"/>
      <c r="AM17" s="277">
        <f>SUMPRODUCT((data_segment_HC_gains!$A$48:$A$67="20-39")*(data_segment_HC_gains!$B$48:$B$67=W17)*data_segment_HC_gains!$C$48:$C$67)</f>
        <v>14</v>
      </c>
      <c r="AN17" s="277">
        <f>SUMPRODUCT((data_segment_HC_gains!$A$48:$A$67="20-39")*(data_segment_HC_gains!$B$48:$B$67=W17)*data_segment_HC_gains!$E$48:$E$67)</f>
        <v>163.46</v>
      </c>
      <c r="AO17" s="277">
        <f>SUMPRODUCT((data_raw_slopes!$A$2:$A$41="20-39")*(data_raw_slopes!$B$2:$B$41="nonpayer")*(data_raw_slopes!$C$2:$C$41=W17)*data_raw_slopes!$E$2:$E$41)</f>
        <v>158.17</v>
      </c>
      <c r="AP17" s="277">
        <f t="shared" ref="AP17:AP19" si="62">AN17-AO17</f>
        <v>5.29</v>
      </c>
      <c r="AQ17" s="277">
        <f>SUMPRODUCT((data_segment_HC_gains!$A$48:$A$67="20-39")*(data_segment_HC_gains!$B$48:$B$67=W17)*data_segment_HC_gains!$G$48:$G$67)</f>
        <v>51.4</v>
      </c>
      <c r="AR17" s="269">
        <f t="shared" ref="AR17:AR19" si="63">AM17*1.15</f>
        <v>16.1</v>
      </c>
      <c r="AS17" s="269">
        <f>AN17-AQ17*(1-(saga_progression_new!$G$17/saga_progression_old!$C$16))+SUM($F$17:F17)</f>
        <v>145.4171429</v>
      </c>
      <c r="AT17" s="269">
        <f>AO17+(IF(SUMPRODUCT((data_raw_slopes!$A$2:$A$41="20-39")*(data_raw_slopes!$B$2:$B$41="nonpayer")*(data_raw_slopes!$C$2:$C$41=W17)*data_raw_slopes!$F$2:$F$41)&gt;0,SUMPRODUCT((data_raw_slopes!$A$2:$A$41="20-39")*(data_raw_slopes!$B$2:$B$41="nonpayer")*(data_raw_slopes!$C$2:$C$41=W17)*data_raw_slopes!$F$2:$F$41),SUMPRODUCT((data_raw_slopes!$A$2:$A$41="20-39")*(data_raw_slopes!$B$2:$B$41="nonpayer")*(data_raw_slopes!$C$2:$C$41=W17)*data_raw_slopes!$G$2:$G$41)))*AM17*0.15</f>
        <v>169.98733</v>
      </c>
      <c r="AU17" s="269">
        <f t="shared" ref="AU17:AU19" si="64">AS17-AT17</f>
        <v>-24.57018714</v>
      </c>
      <c r="AV17" s="269">
        <f>AQ17*(saga_progression_new!$G$17/saga_progression_old!$C$16)</f>
        <v>18.35714286</v>
      </c>
      <c r="AW17" s="275">
        <f t="shared" ref="AW17:AW19" si="65">AU17-AP17</f>
        <v>-29.86018714</v>
      </c>
      <c r="AX17" s="275">
        <f t="shared" ref="AX17:AX19" si="66">AR17-AM17</f>
        <v>2.1</v>
      </c>
      <c r="AY17" s="275">
        <f t="shared" ref="AY17:AY19" si="67">AV17-AQ17</f>
        <v>-33.04285714</v>
      </c>
      <c r="AZ17" s="275">
        <f t="shared" ref="AZ17:AZ19" si="68">AT17-AO17</f>
        <v>11.81733</v>
      </c>
      <c r="BA17" s="54"/>
      <c r="BB17" s="278">
        <v>0.0</v>
      </c>
      <c r="BC17" s="279">
        <v>0.0</v>
      </c>
      <c r="BD17" s="279">
        <v>0.0</v>
      </c>
      <c r="BE17" s="279">
        <v>0.0</v>
      </c>
      <c r="BF17" s="279">
        <v>0.0</v>
      </c>
      <c r="BG17" s="279">
        <v>0.0</v>
      </c>
      <c r="BH17" s="279">
        <v>0.0</v>
      </c>
      <c r="BI17" s="279">
        <v>20.0</v>
      </c>
      <c r="BJ17" s="279">
        <v>0.0</v>
      </c>
      <c r="BK17" s="279">
        <v>0.0</v>
      </c>
      <c r="BL17" s="280">
        <v>0.0</v>
      </c>
      <c r="BM17" s="281">
        <f t="shared" ref="BM17:BM19" si="69">SUMPRODUCT(BB17:BL17, {0,33,50,67,167,67,50,4.17,7.56,12.17,16.22})</f>
        <v>83.4</v>
      </c>
      <c r="BN17" s="221"/>
      <c r="BO17" s="221"/>
      <c r="BP17" s="221"/>
      <c r="BQ17" s="221"/>
      <c r="BR17" s="221"/>
    </row>
    <row r="18" ht="15.0" customHeight="1">
      <c r="A18" s="250">
        <v>2.0</v>
      </c>
      <c r="B18" s="250">
        <v>1.0</v>
      </c>
      <c r="C18" s="250" t="s">
        <v>148</v>
      </c>
      <c r="D18" s="251">
        <f t="shared" ref="D18:D19" si="70">E18-E17</f>
        <v>15</v>
      </c>
      <c r="E18" s="252">
        <v>26.0</v>
      </c>
      <c r="F18" s="306">
        <v>50.0</v>
      </c>
      <c r="G18" s="254">
        <f t="shared" si="50"/>
        <v>1.923076923</v>
      </c>
      <c r="H18" s="255"/>
      <c r="I18" s="256">
        <f t="shared" ref="I18:J18" si="51">1-L18/D18</f>
        <v>0</v>
      </c>
      <c r="J18" s="256">
        <f t="shared" si="51"/>
        <v>0.03846153846</v>
      </c>
      <c r="K18" s="220"/>
      <c r="L18" s="257">
        <f t="shared" ref="L18:L19" si="72">M18-M17</f>
        <v>15</v>
      </c>
      <c r="M18" s="258">
        <v>25.0</v>
      </c>
      <c r="N18" s="257">
        <v>50.0</v>
      </c>
      <c r="O18" s="259">
        <f t="shared" si="52"/>
        <v>2</v>
      </c>
      <c r="P18" s="260">
        <f t="shared" si="53"/>
        <v>15</v>
      </c>
      <c r="Q18" s="261" t="str">
        <f>IFERROR(__xludf.DUMMYFUNCTION("LET(
  names, HSTACK(""Coins"", BB$4:BL$4),
  amounts, HSTACK(F18, BB18:BL18),
  lookupNames, $BP$5:$BP$16,
  lookupImages, $BQ$5:$BQ$16,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R18" s="262">
        <f>IFERROR(__xludf.DUMMYFUNCTION("""COMPUTED_VALUE"""),50.0)</f>
        <v>50</v>
      </c>
      <c r="S18" s="261" t="str">
        <f>IFERROR(__xludf.DUMMYFUNCTION("""COMPUTED_VALUE"""),"")</f>
        <v/>
      </c>
      <c r="T18" s="262">
        <f>IFERROR(__xludf.DUMMYFUNCTION("""COMPUTED_VALUE"""),1.0)</f>
        <v>1</v>
      </c>
      <c r="U18" s="261"/>
      <c r="V18" s="263"/>
      <c r="W18" s="264" t="str">
        <f t="shared" si="54"/>
        <v>p75</v>
      </c>
      <c r="X18" s="282">
        <f>SUMPRODUCT((data_segment_HC_gains!$A$25:$A$44="20-39")*(data_segment_HC_gains!$B$25:$B$44=W18)*data_segment_HC_gains!$C$25:$C$44)</f>
        <v>24</v>
      </c>
      <c r="Y18" s="266">
        <f>SUMPRODUCT((data_segment_HC_gains!$A$25:$A$44="20-39")*(data_segment_HC_gains!$B$25:$B$44=W18)*data_segment_HC_gains!$E$25:$E$44)</f>
        <v>400.43</v>
      </c>
      <c r="Z18" s="267">
        <f>SUMPRODUCT((data_raw_slopes!$A$2:$A$41="20-39")*(data_raw_slopes!$B$2:$B$41="payer")*(data_raw_slopes!$C$2:$C$41=W18)*data_raw_slopes!$E$2:$E$41)</f>
        <v>425.4</v>
      </c>
      <c r="AA18" s="283">
        <f t="shared" si="55"/>
        <v>-24.97</v>
      </c>
      <c r="AB18" s="266">
        <f>SUMPRODUCT((data_segment_HC_gains!$A$25:$A$44="20-39")*(data_segment_HC_gains!$B$25:$B$44=W18)*data_segment_HC_gains!$G$25:$G$44)</f>
        <v>61.53</v>
      </c>
      <c r="AC18" s="269">
        <f t="shared" si="56"/>
        <v>27.6</v>
      </c>
      <c r="AD18" s="269">
        <f>Y18-AB18*(1-(saga_progression_new!$G$17/saga_progression_old!$C$16))+SUM($F$17:F18)</f>
        <v>425.875</v>
      </c>
      <c r="AE18" s="270">
        <f>Z18+(IF(SUMPRODUCT((data_raw_slopes!$A$2:$A$41="20-39")*(data_raw_slopes!$B$2:$B$41="payer")*(data_raw_slopes!$C$2:$C$41=W18)*data_raw_slopes!$F$2:$F$41)&gt;0,SUMPRODUCT((data_raw_slopes!$A$2:$A$41="20-39")*(data_raw_slopes!$B$2:$B$41="payer")*(data_raw_slopes!$C$2:$C$41=W18)*data_raw_slopes!$F$2:$F$41),SUMPRODUCT((data_raw_slopes!$A$2:$A$41="20-39")*(data_raw_slopes!$B$2:$B$41="payer")*(data_raw_slopes!$C$2:$C$41=W18)*data_raw_slopes!$G$2:$G$41)))*X18*0.15</f>
        <v>473.19792</v>
      </c>
      <c r="AF18" s="284">
        <f t="shared" si="57"/>
        <v>-47.32292</v>
      </c>
      <c r="AG18" s="272">
        <f>AB18*(saga_progression_new!$G$17/saga_progression_old!$C$16)</f>
        <v>21.975</v>
      </c>
      <c r="AH18" s="285">
        <f t="shared" si="58"/>
        <v>-22.35292</v>
      </c>
      <c r="AI18" s="274">
        <f t="shared" si="59"/>
        <v>3.6</v>
      </c>
      <c r="AJ18" s="275">
        <f t="shared" si="60"/>
        <v>-39.555</v>
      </c>
      <c r="AK18" s="275">
        <f t="shared" si="61"/>
        <v>47.79792</v>
      </c>
      <c r="AL18" s="276"/>
      <c r="AM18" s="277">
        <f>SUMPRODUCT((data_segment_HC_gains!$A$48:$A$67="20-39")*(data_segment_HC_gains!$B$48:$B$67=W18)*data_segment_HC_gains!$C$48:$C$67)</f>
        <v>25</v>
      </c>
      <c r="AN18" s="277">
        <f>SUMPRODUCT((data_segment_HC_gains!$A$48:$A$67="20-39")*(data_segment_HC_gains!$B$48:$B$67=W18)*data_segment_HC_gains!$E$48:$E$67)</f>
        <v>184.96</v>
      </c>
      <c r="AO18" s="277">
        <f>SUMPRODUCT((data_raw_slopes!$A$2:$A$41="20-39")*(data_raw_slopes!$B$2:$B$41="nonpayer")*(data_raw_slopes!$C$2:$C$41=W18)*data_raw_slopes!$E$2:$E$41)</f>
        <v>205.98</v>
      </c>
      <c r="AP18" s="277">
        <f t="shared" si="62"/>
        <v>-21.02</v>
      </c>
      <c r="AQ18" s="277">
        <f>SUMPRODUCT((data_segment_HC_gains!$A$48:$A$67="20-39")*(data_segment_HC_gains!$B$48:$B$67=W18)*data_segment_HC_gains!$G$48:$G$67)</f>
        <v>60.44</v>
      </c>
      <c r="AR18" s="269">
        <f t="shared" si="63"/>
        <v>28.75</v>
      </c>
      <c r="AS18" s="269">
        <f>AN18-AQ18*(1-(saga_progression_new!$G$17/saga_progression_old!$C$16))+SUM($F$17:F18)</f>
        <v>211.1057143</v>
      </c>
      <c r="AT18" s="269">
        <f>AO18+(IF(SUMPRODUCT((data_raw_slopes!$A$2:$A$41="20-39")*(data_raw_slopes!$B$2:$B$41="nonpayer")*(data_raw_slopes!$C$2:$C$41=W18)*data_raw_slopes!$F$2:$F$41)&gt;0,SUMPRODUCT((data_raw_slopes!$A$2:$A$41="20-39")*(data_raw_slopes!$B$2:$B$41="nonpayer")*(data_raw_slopes!$C$2:$C$41=W18)*data_raw_slopes!$F$2:$F$41),SUMPRODUCT((data_raw_slopes!$A$2:$A$41="20-39")*(data_raw_slopes!$B$2:$B$41="nonpayer")*(data_raw_slopes!$C$2:$C$41=W18)*data_raw_slopes!$G$2:$G$41)))*AM18*0.15</f>
        <v>226.403625</v>
      </c>
      <c r="AU18" s="269">
        <f t="shared" si="64"/>
        <v>-15.29791071</v>
      </c>
      <c r="AV18" s="269">
        <f>AQ18*(saga_progression_new!$G$17/saga_progression_old!$C$16)</f>
        <v>21.58571429</v>
      </c>
      <c r="AW18" s="275">
        <f t="shared" si="65"/>
        <v>5.722089286</v>
      </c>
      <c r="AX18" s="275">
        <f t="shared" si="66"/>
        <v>3.75</v>
      </c>
      <c r="AY18" s="275">
        <f t="shared" si="67"/>
        <v>-38.85428571</v>
      </c>
      <c r="AZ18" s="275">
        <f t="shared" si="68"/>
        <v>20.423625</v>
      </c>
      <c r="BA18" s="54"/>
      <c r="BB18" s="278">
        <v>0.0</v>
      </c>
      <c r="BC18" s="279">
        <v>1.0</v>
      </c>
      <c r="BD18" s="279">
        <v>0.0</v>
      </c>
      <c r="BE18" s="279">
        <v>0.0</v>
      </c>
      <c r="BF18" s="279">
        <v>0.0</v>
      </c>
      <c r="BG18" s="279">
        <v>0.0</v>
      </c>
      <c r="BH18" s="279">
        <v>0.0</v>
      </c>
      <c r="BI18" s="279">
        <v>0.0</v>
      </c>
      <c r="BJ18" s="279">
        <v>0.0</v>
      </c>
      <c r="BK18" s="279">
        <v>0.0</v>
      </c>
      <c r="BL18" s="280">
        <v>0.0</v>
      </c>
      <c r="BM18" s="286">
        <f t="shared" si="69"/>
        <v>33</v>
      </c>
      <c r="BN18" s="221"/>
      <c r="BO18" s="221"/>
      <c r="BP18" s="221"/>
      <c r="BQ18" s="221"/>
      <c r="BR18" s="221"/>
    </row>
    <row r="19" ht="15.0" customHeight="1">
      <c r="A19" s="250">
        <v>3.0</v>
      </c>
      <c r="B19" s="250">
        <v>1.0</v>
      </c>
      <c r="C19" s="250" t="s">
        <v>148</v>
      </c>
      <c r="D19" s="251">
        <f t="shared" si="70"/>
        <v>16</v>
      </c>
      <c r="E19" s="252">
        <v>42.0</v>
      </c>
      <c r="F19" s="306">
        <v>100.0</v>
      </c>
      <c r="G19" s="254">
        <f t="shared" si="50"/>
        <v>2.380952381</v>
      </c>
      <c r="H19" s="255"/>
      <c r="I19" s="256">
        <f t="shared" ref="I19:J19" si="71">1-L19/D19</f>
        <v>0.0625</v>
      </c>
      <c r="J19" s="256">
        <f t="shared" si="71"/>
        <v>0.04761904762</v>
      </c>
      <c r="K19" s="220"/>
      <c r="L19" s="257">
        <f t="shared" si="72"/>
        <v>15</v>
      </c>
      <c r="M19" s="258">
        <v>40.0</v>
      </c>
      <c r="N19" s="257">
        <v>100.0</v>
      </c>
      <c r="O19" s="288">
        <f t="shared" si="52"/>
        <v>3</v>
      </c>
      <c r="P19" s="289">
        <f t="shared" si="53"/>
        <v>16</v>
      </c>
      <c r="Q19" s="290" t="str">
        <f>IFERROR(__xludf.DUMMYFUNCTION("LET(
  names, HSTACK(""Coins"", BB$4:BL$4),
  amounts, HSTACK(F19, BB19:BL19),
  lookupNames, $BP$5:$BP$16,
  lookupImages, $BQ$5:$BQ$16,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R19" s="291">
        <f>IFERROR(__xludf.DUMMYFUNCTION("""COMPUTED_VALUE"""),100.0)</f>
        <v>100</v>
      </c>
      <c r="S19" s="290" t="str">
        <f>IFERROR(__xludf.DUMMYFUNCTION("""COMPUTED_VALUE"""),"")</f>
        <v/>
      </c>
      <c r="T19" s="291">
        <f>IFERROR(__xludf.DUMMYFUNCTION("""COMPUTED_VALUE"""),1.0)</f>
        <v>1</v>
      </c>
      <c r="U19" s="290" t="str">
        <f>IFERROR(__xludf.DUMMYFUNCTION("""COMPUTED_VALUE"""),"")</f>
        <v/>
      </c>
      <c r="V19" s="292">
        <f>IFERROR(__xludf.DUMMYFUNCTION("""COMPUTED_VALUE"""),1.0)</f>
        <v>1</v>
      </c>
      <c r="W19" s="264" t="str">
        <f t="shared" si="54"/>
        <v>p90</v>
      </c>
      <c r="X19" s="293">
        <f>SUMPRODUCT((data_segment_HC_gains!$A$25:$A$44="20-39")*(data_segment_HC_gains!$B$25:$B$44=W19)*data_segment_HC_gains!$C$25:$C$44)</f>
        <v>37</v>
      </c>
      <c r="Y19" s="266">
        <f>SUMPRODUCT((data_segment_HC_gains!$A$25:$A$44="20-39")*(data_segment_HC_gains!$B$25:$B$44=W19)*data_segment_HC_gains!$E$25:$E$44)</f>
        <v>625.07</v>
      </c>
      <c r="Z19" s="267">
        <f>SUMPRODUCT((data_raw_slopes!$A$2:$A$41="20-39")*(data_raw_slopes!$B$2:$B$41="payer")*(data_raw_slopes!$C$2:$C$41=W19)*data_raw_slopes!$E$2:$E$41)</f>
        <v>677.95</v>
      </c>
      <c r="AA19" s="294">
        <f t="shared" si="55"/>
        <v>-52.88</v>
      </c>
      <c r="AB19" s="266">
        <f>SUMPRODUCT((data_segment_HC_gains!$A$25:$A$44="20-39")*(data_segment_HC_gains!$B$25:$B$44=W19)*data_segment_HC_gains!$G$25:$G$44)</f>
        <v>85.68</v>
      </c>
      <c r="AC19" s="269">
        <f t="shared" si="56"/>
        <v>42.55</v>
      </c>
      <c r="AD19" s="269">
        <f>Y19-AB19*(1-(saga_progression_new!$G$17/saga_progression_old!$C$16))+SUM($F$17:F19)</f>
        <v>734.99</v>
      </c>
      <c r="AE19" s="270">
        <f>Z19+(IF(SUMPRODUCT((data_raw_slopes!$A$2:$A$41="20-39")*(data_raw_slopes!$B$2:$B$41="payer")*(data_raw_slopes!$C$2:$C$41=W19)*data_raw_slopes!$F$2:$F$41)&gt;0,SUMPRODUCT((data_raw_slopes!$A$2:$A$41="20-39")*(data_raw_slopes!$B$2:$B$41="payer")*(data_raw_slopes!$C$2:$C$41=W19)*data_raw_slopes!$F$2:$F$41),SUMPRODUCT((data_raw_slopes!$A$2:$A$41="20-39")*(data_raw_slopes!$B$2:$B$41="payer")*(data_raw_slopes!$C$2:$C$41=W19)*data_raw_slopes!$G$2:$G$41)))*X19*0.15</f>
        <v>773.897845</v>
      </c>
      <c r="AF19" s="295">
        <f t="shared" si="57"/>
        <v>-38.907845</v>
      </c>
      <c r="AG19" s="272">
        <f>AB19*(saga_progression_new!$G$17/saga_progression_old!$C$16)</f>
        <v>30.6</v>
      </c>
      <c r="AH19" s="296">
        <f t="shared" si="58"/>
        <v>13.972155</v>
      </c>
      <c r="AI19" s="274">
        <f t="shared" si="59"/>
        <v>5.55</v>
      </c>
      <c r="AJ19" s="275">
        <f t="shared" si="60"/>
        <v>-55.08</v>
      </c>
      <c r="AK19" s="275">
        <f t="shared" si="61"/>
        <v>95.947845</v>
      </c>
      <c r="AL19" s="276"/>
      <c r="AM19" s="277">
        <f>SUMPRODUCT((data_segment_HC_gains!$A$48:$A$67="20-39")*(data_segment_HC_gains!$B$48:$B$67=W19)*data_segment_HC_gains!$C$48:$C$67)</f>
        <v>36</v>
      </c>
      <c r="AN19" s="277">
        <f>SUMPRODUCT((data_segment_HC_gains!$A$48:$A$67="20-39")*(data_segment_HC_gains!$B$48:$B$67=W19)*data_segment_HC_gains!$E$48:$E$67)</f>
        <v>247.92</v>
      </c>
      <c r="AO19" s="277">
        <f>SUMPRODUCT((data_raw_slopes!$A$2:$A$41="20-39")*(data_raw_slopes!$B$2:$B$41="nonpayer")*(data_raw_slopes!$C$2:$C$41=W19)*data_raw_slopes!$E$2:$E$41)</f>
        <v>295.42</v>
      </c>
      <c r="AP19" s="277">
        <f t="shared" si="62"/>
        <v>-47.5</v>
      </c>
      <c r="AQ19" s="277">
        <f>SUMPRODUCT((data_segment_HC_gains!$A$48:$A$67="20-39")*(data_segment_HC_gains!$B$48:$B$67=W19)*data_segment_HC_gains!$G$48:$G$67)</f>
        <v>84.07</v>
      </c>
      <c r="AR19" s="269">
        <f t="shared" si="63"/>
        <v>41.4</v>
      </c>
      <c r="AS19" s="269">
        <f>AN19-AQ19*(1-(saga_progression_new!$G$17/saga_progression_old!$C$16))+SUM($F$17:F19)</f>
        <v>358.875</v>
      </c>
      <c r="AT19" s="269">
        <f>AO19+(IF(SUMPRODUCT((data_raw_slopes!$A$2:$A$41="20-39")*(data_raw_slopes!$B$2:$B$41="nonpayer")*(data_raw_slopes!$C$2:$C$41=W19)*data_raw_slopes!$F$2:$F$41)&gt;0,SUMPRODUCT((data_raw_slopes!$A$2:$A$41="20-39")*(data_raw_slopes!$B$2:$B$41="nonpayer")*(data_raw_slopes!$C$2:$C$41=W19)*data_raw_slopes!$F$2:$F$41),SUMPRODUCT((data_raw_slopes!$A$2:$A$41="20-39")*(data_raw_slopes!$B$2:$B$41="nonpayer")*(data_raw_slopes!$C$2:$C$41=W19)*data_raw_slopes!$G$2:$G$41)))*AM19*0.15</f>
        <v>325.59898</v>
      </c>
      <c r="AU19" s="269">
        <f t="shared" si="64"/>
        <v>33.27602</v>
      </c>
      <c r="AV19" s="269">
        <f>AQ19*(saga_progression_new!$G$17/saga_progression_old!$C$16)</f>
        <v>30.025</v>
      </c>
      <c r="AW19" s="275">
        <f t="shared" si="65"/>
        <v>80.77602</v>
      </c>
      <c r="AX19" s="275">
        <f t="shared" si="66"/>
        <v>5.4</v>
      </c>
      <c r="AY19" s="275">
        <f t="shared" si="67"/>
        <v>-54.045</v>
      </c>
      <c r="AZ19" s="275">
        <f t="shared" si="68"/>
        <v>30.17898</v>
      </c>
      <c r="BA19" s="54"/>
      <c r="BB19" s="278">
        <v>0.0</v>
      </c>
      <c r="BC19" s="279">
        <v>0.0</v>
      </c>
      <c r="BD19" s="279">
        <v>1.0</v>
      </c>
      <c r="BE19" s="279">
        <v>0.0</v>
      </c>
      <c r="BF19" s="279">
        <v>1.0</v>
      </c>
      <c r="BG19" s="279">
        <v>0.0</v>
      </c>
      <c r="BH19" s="279">
        <v>0.0</v>
      </c>
      <c r="BI19" s="279">
        <v>0.0</v>
      </c>
      <c r="BJ19" s="279">
        <v>0.0</v>
      </c>
      <c r="BK19" s="279">
        <v>0.0</v>
      </c>
      <c r="BL19" s="280">
        <v>0.0</v>
      </c>
      <c r="BM19" s="297">
        <f t="shared" si="69"/>
        <v>217</v>
      </c>
      <c r="BN19" s="221"/>
      <c r="BO19" s="221"/>
      <c r="BP19" s="221"/>
      <c r="BQ19" s="221"/>
      <c r="BR19" s="221"/>
    </row>
    <row r="20" ht="15.0" customHeight="1">
      <c r="A20" s="54"/>
      <c r="B20" s="54"/>
      <c r="C20" s="54"/>
      <c r="D20" s="54"/>
      <c r="E20" s="54"/>
      <c r="F20" s="54"/>
      <c r="G20" s="298"/>
      <c r="H20" s="298"/>
      <c r="I20" s="220"/>
      <c r="J20" s="220"/>
      <c r="K20" s="220"/>
      <c r="L20" s="215"/>
      <c r="M20" s="215"/>
      <c r="N20" s="215"/>
      <c r="O20" s="298"/>
      <c r="P20" s="298"/>
      <c r="Q20" s="224"/>
      <c r="R20" s="165"/>
      <c r="S20" s="224"/>
      <c r="T20" s="224"/>
      <c r="U20" s="224"/>
      <c r="V20" s="224"/>
      <c r="W20" s="54"/>
      <c r="X20" s="230"/>
      <c r="Y20" s="230"/>
      <c r="Z20" s="230"/>
      <c r="AA20" s="230"/>
      <c r="AB20" s="230"/>
      <c r="AC20" s="299"/>
      <c r="AD20" s="299"/>
      <c r="AE20" s="299"/>
      <c r="AF20" s="299"/>
      <c r="AG20" s="299"/>
      <c r="AH20" s="230"/>
      <c r="AI20" s="230"/>
      <c r="AJ20" s="230"/>
      <c r="AK20" s="230"/>
      <c r="AL20" s="230"/>
      <c r="AM20" s="230"/>
      <c r="AN20" s="230"/>
      <c r="AO20" s="230"/>
      <c r="AP20" s="230"/>
      <c r="AQ20" s="230"/>
      <c r="AR20" s="299"/>
      <c r="AS20" s="299"/>
      <c r="AT20" s="299"/>
      <c r="AU20" s="299"/>
      <c r="AV20" s="299"/>
      <c r="AW20" s="230"/>
      <c r="AX20" s="230"/>
      <c r="AY20" s="230"/>
      <c r="AZ20" s="230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221"/>
      <c r="BO20" s="221"/>
      <c r="BP20" s="221"/>
      <c r="BQ20" s="221"/>
      <c r="BR20" s="221"/>
    </row>
    <row r="21" ht="15.0" customHeight="1">
      <c r="A21" s="225" t="s">
        <v>46</v>
      </c>
      <c r="B21" s="54"/>
      <c r="C21" s="54"/>
      <c r="D21" s="54"/>
      <c r="E21" s="54"/>
      <c r="F21" s="54"/>
      <c r="G21" s="298"/>
      <c r="H21" s="298"/>
      <c r="I21" s="220"/>
      <c r="J21" s="220"/>
      <c r="K21" s="220"/>
      <c r="L21" s="215"/>
      <c r="M21" s="215"/>
      <c r="N21" s="215"/>
      <c r="O21" s="227" t="s">
        <v>46</v>
      </c>
      <c r="P21" s="228"/>
      <c r="Q21" s="228"/>
      <c r="R21" s="228"/>
      <c r="S21" s="228"/>
      <c r="T21" s="228"/>
      <c r="U21" s="228"/>
      <c r="V21" s="229"/>
      <c r="W21" s="54"/>
      <c r="X21" s="230"/>
      <c r="Y21" s="230"/>
      <c r="Z21" s="230"/>
      <c r="AA21" s="230"/>
      <c r="AB21" s="230"/>
      <c r="AC21" s="299"/>
      <c r="AD21" s="299"/>
      <c r="AE21" s="299"/>
      <c r="AF21" s="299"/>
      <c r="AG21" s="299"/>
      <c r="AH21" s="230"/>
      <c r="AI21" s="230"/>
      <c r="AJ21" s="230"/>
      <c r="AK21" s="230"/>
      <c r="AL21" s="230"/>
      <c r="AM21" s="230"/>
      <c r="AN21" s="230"/>
      <c r="AO21" s="230"/>
      <c r="AP21" s="230"/>
      <c r="AQ21" s="230"/>
      <c r="AR21" s="299"/>
      <c r="AS21" s="299"/>
      <c r="AT21" s="299"/>
      <c r="AU21" s="299"/>
      <c r="AV21" s="299"/>
      <c r="AW21" s="230"/>
      <c r="AX21" s="230"/>
      <c r="AY21" s="230"/>
      <c r="AZ21" s="230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221"/>
      <c r="BO21" s="221"/>
      <c r="BP21" s="221"/>
      <c r="BQ21" s="221"/>
      <c r="BR21" s="221"/>
    </row>
    <row r="22" ht="30.0" customHeight="1">
      <c r="A22" s="231" t="s">
        <v>112</v>
      </c>
      <c r="B22" s="231" t="s">
        <v>113</v>
      </c>
      <c r="C22" s="231" t="s">
        <v>114</v>
      </c>
      <c r="D22" s="232" t="s">
        <v>115</v>
      </c>
      <c r="E22" s="232" t="s">
        <v>116</v>
      </c>
      <c r="F22" s="231" t="s">
        <v>73</v>
      </c>
      <c r="G22" s="300" t="s">
        <v>117</v>
      </c>
      <c r="H22" s="301"/>
      <c r="I22" s="235" t="s">
        <v>151</v>
      </c>
      <c r="J22" s="235" t="s">
        <v>152</v>
      </c>
      <c r="K22" s="220"/>
      <c r="L22" s="302" t="s">
        <v>115</v>
      </c>
      <c r="M22" s="302" t="s">
        <v>116</v>
      </c>
      <c r="N22" s="302" t="s">
        <v>73</v>
      </c>
      <c r="O22" s="237" t="s">
        <v>112</v>
      </c>
      <c r="P22" s="238" t="s">
        <v>115</v>
      </c>
      <c r="Q22" s="239" t="s">
        <v>74</v>
      </c>
      <c r="V22" s="240"/>
      <c r="W22" s="303" t="s">
        <v>118</v>
      </c>
      <c r="X22" s="242" t="s">
        <v>119</v>
      </c>
      <c r="Y22" s="243" t="s">
        <v>120</v>
      </c>
      <c r="Z22" s="243" t="s">
        <v>121</v>
      </c>
      <c r="AA22" s="242" t="s">
        <v>122</v>
      </c>
      <c r="AB22" s="243" t="s">
        <v>123</v>
      </c>
      <c r="AC22" s="304" t="s">
        <v>124</v>
      </c>
      <c r="AD22" s="304" t="s">
        <v>125</v>
      </c>
      <c r="AE22" s="304" t="s">
        <v>126</v>
      </c>
      <c r="AF22" s="305" t="s">
        <v>127</v>
      </c>
      <c r="AG22" s="304" t="s">
        <v>128</v>
      </c>
      <c r="AH22" s="246" t="s">
        <v>129</v>
      </c>
      <c r="AI22" s="247" t="s">
        <v>130</v>
      </c>
      <c r="AJ22" s="247" t="s">
        <v>131</v>
      </c>
      <c r="AK22" s="247" t="s">
        <v>132</v>
      </c>
      <c r="AL22" s="248"/>
      <c r="AM22" s="243" t="s">
        <v>133</v>
      </c>
      <c r="AN22" s="243" t="s">
        <v>134</v>
      </c>
      <c r="AO22" s="243" t="s">
        <v>135</v>
      </c>
      <c r="AP22" s="243" t="s">
        <v>136</v>
      </c>
      <c r="AQ22" s="243" t="s">
        <v>137</v>
      </c>
      <c r="AR22" s="304" t="s">
        <v>138</v>
      </c>
      <c r="AS22" s="304" t="s">
        <v>139</v>
      </c>
      <c r="AT22" s="304" t="s">
        <v>140</v>
      </c>
      <c r="AU22" s="304" t="s">
        <v>141</v>
      </c>
      <c r="AV22" s="304" t="s">
        <v>142</v>
      </c>
      <c r="AW22" s="247" t="s">
        <v>143</v>
      </c>
      <c r="AX22" s="247" t="s">
        <v>144</v>
      </c>
      <c r="AY22" s="247" t="s">
        <v>145</v>
      </c>
      <c r="AZ22" s="247" t="s">
        <v>146</v>
      </c>
      <c r="BA22" s="54"/>
      <c r="BB22" s="142" t="s">
        <v>79</v>
      </c>
      <c r="BC22" s="142" t="s">
        <v>80</v>
      </c>
      <c r="BD22" s="142" t="s">
        <v>81</v>
      </c>
      <c r="BE22" s="142" t="s">
        <v>82</v>
      </c>
      <c r="BF22" s="142" t="s">
        <v>83</v>
      </c>
      <c r="BG22" s="142" t="s">
        <v>84</v>
      </c>
      <c r="BH22" s="142" t="s">
        <v>85</v>
      </c>
      <c r="BI22" s="142" t="s">
        <v>86</v>
      </c>
      <c r="BJ22" s="142" t="s">
        <v>87</v>
      </c>
      <c r="BK22" s="142" t="s">
        <v>88</v>
      </c>
      <c r="BL22" s="142" t="s">
        <v>89</v>
      </c>
      <c r="BM22" s="249" t="s">
        <v>147</v>
      </c>
      <c r="BN22" s="221"/>
      <c r="BO22" s="221"/>
      <c r="BP22" s="221"/>
      <c r="BQ22" s="221"/>
      <c r="BR22" s="221"/>
    </row>
    <row r="23" ht="15.75" customHeight="1">
      <c r="A23" s="250">
        <v>1.0</v>
      </c>
      <c r="B23" s="250">
        <v>1.0</v>
      </c>
      <c r="C23" s="250" t="s">
        <v>148</v>
      </c>
      <c r="D23" s="251">
        <f>E23</f>
        <v>28</v>
      </c>
      <c r="E23" s="252">
        <v>28.0</v>
      </c>
      <c r="F23" s="253">
        <v>50.0</v>
      </c>
      <c r="G23" s="254">
        <f t="shared" ref="G23:G25" si="74">F23/E23</f>
        <v>1.785714286</v>
      </c>
      <c r="H23" s="255"/>
      <c r="I23" s="256">
        <f t="shared" ref="I23:J23" si="73">1-L23/D23</f>
        <v>0.1071428571</v>
      </c>
      <c r="J23" s="256">
        <f t="shared" si="73"/>
        <v>0.1071428571</v>
      </c>
      <c r="K23" s="220"/>
      <c r="L23" s="257">
        <f>M23</f>
        <v>25</v>
      </c>
      <c r="M23" s="258">
        <v>25.0</v>
      </c>
      <c r="N23" s="257">
        <v>50.0</v>
      </c>
      <c r="O23" s="259">
        <f t="shared" ref="O23:O25" si="76">A23</f>
        <v>1</v>
      </c>
      <c r="P23" s="260">
        <f t="shared" ref="P23:P25" si="77">D23</f>
        <v>28</v>
      </c>
      <c r="Q23" s="261" t="str">
        <f>IFERROR(__xludf.DUMMYFUNCTION("LET(
  names, HSTACK(""Coins"", BB$4:BL$4),
  amounts, HSTACK(F23, BB23:BL23),
  lookupNames, $BP$5:$BP$16,
  lookupImages, $BQ$5:$BQ$16,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R23" s="262">
        <f>IFERROR(__xludf.DUMMYFUNCTION("""COMPUTED_VALUE"""),50.0)</f>
        <v>50</v>
      </c>
      <c r="S23" s="261" t="str">
        <f>IFERROR(__xludf.DUMMYFUNCTION("""COMPUTED_VALUE"""),"")</f>
        <v/>
      </c>
      <c r="T23" s="262">
        <f>IFERROR(__xludf.DUMMYFUNCTION("""COMPUTED_VALUE"""),30.0)</f>
        <v>30</v>
      </c>
      <c r="U23" s="261"/>
      <c r="V23" s="263"/>
      <c r="W23" s="264" t="str">
        <f t="shared" ref="W23:W25" si="78">IF(A23=1,"p50",IF(A23=2,"p75","p90"))</f>
        <v>p50</v>
      </c>
      <c r="X23" s="265">
        <f>SUMPRODUCT((data_segment_HC_gains!$A$25:$A$44="40-99")*(data_segment_HC_gains!$B$25:$B$44=W23)*data_segment_HC_gains!$C$25:$C$44)</f>
        <v>27</v>
      </c>
      <c r="Y23" s="266">
        <f>SUMPRODUCT((data_segment_HC_gains!$A$25:$A$44="40-99")*(data_segment_HC_gains!$B$25:$B$44=W23)*data_segment_HC_gains!$E$25:$E$44)</f>
        <v>607.99</v>
      </c>
      <c r="Z23" s="267">
        <f>SUMPRODUCT((data_raw_slopes!$A$2:$A$41="40-99")*(data_raw_slopes!$B$2:$B$41="payer")*(data_raw_slopes!$C$2:$C$41=W23)*data_raw_slopes!$E$2:$E$41)</f>
        <v>641.78</v>
      </c>
      <c r="AA23" s="268">
        <f t="shared" ref="AA23:AA25" si="79">Y23-Z23</f>
        <v>-33.79</v>
      </c>
      <c r="AB23" s="266">
        <f>SUMPRODUCT((data_segment_HC_gains!$A$25:$A$44="40-99")*(data_segment_HC_gains!$B$25:$B$44=W23)*data_segment_HC_gains!$G$25:$G$44)</f>
        <v>100.23</v>
      </c>
      <c r="AC23" s="269">
        <f t="shared" ref="AC23:AC25" si="80">X23*1.15</f>
        <v>31.05</v>
      </c>
      <c r="AD23" s="269">
        <f>Y23-AB23*(1-(saga_progression_new!$I$17/saga_progression_old!$C$16))+SUM($F$23:F23)</f>
        <v>593.5564286</v>
      </c>
      <c r="AE23" s="270">
        <f>Z23+(IF(SUMPRODUCT((data_raw_slopes!$A$2:$A$41="40-99")*(data_raw_slopes!$B$2:$B$41="payer")*(data_raw_slopes!$C$2:$C$41=W23)*data_raw_slopes!$F$2:$F$41)&gt;0,SUMPRODUCT((data_raw_slopes!$A$2:$A$41="40-99")*(data_raw_slopes!$B$2:$B$41="payer")*(data_raw_slopes!$C$2:$C$41=W23)*data_raw_slopes!$F$2:$F$41),SUMPRODUCT((data_raw_slopes!$A$2:$A$41="40-99")*(data_raw_slopes!$B$2:$B$41="payer")*(data_raw_slopes!$C$2:$C$41=W23)*data_raw_slopes!$G$2:$G$41)))*X23*0.15</f>
        <v>704.429045</v>
      </c>
      <c r="AF23" s="271">
        <f t="shared" ref="AF23:AF25" si="81">AD23-AE23</f>
        <v>-110.8726164</v>
      </c>
      <c r="AG23" s="272">
        <f>AB23*(saga_progression_new!$I$17/saga_progression_old!$C$16)</f>
        <v>35.79642857</v>
      </c>
      <c r="AH23" s="273">
        <f t="shared" ref="AH23:AH25" si="82">AF23-AA23</f>
        <v>-77.08261643</v>
      </c>
      <c r="AI23" s="274">
        <f t="shared" ref="AI23:AI25" si="83">AC23-X23</f>
        <v>4.05</v>
      </c>
      <c r="AJ23" s="275">
        <f t="shared" ref="AJ23:AJ25" si="84">AG23-AB23</f>
        <v>-64.43357143</v>
      </c>
      <c r="AK23" s="275">
        <f t="shared" ref="AK23:AK25" si="85">AE23-Z23</f>
        <v>62.649045</v>
      </c>
      <c r="AL23" s="276"/>
      <c r="AM23" s="277">
        <f>SUMPRODUCT((data_segment_HC_gains!$A$48:$A$67="40-99")*(data_segment_HC_gains!$B$48:$B$67=W23)*data_segment_HC_gains!$C$48:$C$67)</f>
        <v>29</v>
      </c>
      <c r="AN23" s="277">
        <f>SUMPRODUCT((data_segment_HC_gains!$A$48:$A$67="40-99")*(data_segment_HC_gains!$B$48:$B$67=W23)*data_segment_HC_gains!$E$48:$E$67)</f>
        <v>303.92</v>
      </c>
      <c r="AO23" s="277">
        <f>SUMPRODUCT((data_raw_slopes!$A$2:$A$41="40-99")*(data_raw_slopes!$B$2:$B$41="nonpayer")*(data_raw_slopes!$C$2:$C$41=W23)*data_raw_slopes!$E$2:$E$41)</f>
        <v>307.03</v>
      </c>
      <c r="AP23" s="277">
        <f t="shared" ref="AP23:AP25" si="86">AN23-AO23</f>
        <v>-3.11</v>
      </c>
      <c r="AQ23" s="277">
        <f>SUMPRODUCT((data_segment_HC_gains!$A$48:$A$67="40-99")*(data_segment_HC_gains!$B$48:$B$67=W23)*data_segment_HC_gains!$G$48:$G$67)</f>
        <v>102.38</v>
      </c>
      <c r="AR23" s="269">
        <f t="shared" ref="AR23:AR25" si="87">AM23*1.15</f>
        <v>33.35</v>
      </c>
      <c r="AS23" s="269">
        <f>AN23-AQ23*(1-(saga_progression_new!$I$17/saga_progression_old!$C$16))+SUM($F$23:F23)</f>
        <v>288.1042857</v>
      </c>
      <c r="AT23" s="269">
        <f>AO23+(IF(SUMPRODUCT((data_raw_slopes!$A$2:$A$41="40-99")*(data_raw_slopes!$B$2:$B$41="nonpayer")*(data_raw_slopes!$C$2:$C$41=W23)*data_raw_slopes!$F$2:$F$41)&gt;0,SUMPRODUCT((data_raw_slopes!$A$2:$A$41="40-99")*(data_raw_slopes!$B$2:$B$41="nonpayer")*(data_raw_slopes!$C$2:$C$41=W23)*data_raw_slopes!$F$2:$F$41),SUMPRODUCT((data_raw_slopes!$A$2:$A$41="40-99")*(data_raw_slopes!$B$2:$B$41="nonpayer")*(data_raw_slopes!$C$2:$C$41=W23)*data_raw_slopes!$G$2:$G$41)))*AM23*0.15</f>
        <v>329.052745</v>
      </c>
      <c r="AU23" s="269">
        <f t="shared" ref="AU23:AU25" si="88">AS23-AT23</f>
        <v>-40.94845929</v>
      </c>
      <c r="AV23" s="269">
        <f>AQ23*(saga_progression_new!$I$17/saga_progression_old!$C$16)</f>
        <v>36.56428571</v>
      </c>
      <c r="AW23" s="275">
        <f t="shared" ref="AW23:AW25" si="89">AU23-AP23</f>
        <v>-37.83845929</v>
      </c>
      <c r="AX23" s="275">
        <f t="shared" ref="AX23:AX25" si="90">AR23-AM23</f>
        <v>4.35</v>
      </c>
      <c r="AY23" s="275">
        <f t="shared" ref="AY23:AY25" si="91">AV23-AQ23</f>
        <v>-65.81571429</v>
      </c>
      <c r="AZ23" s="275">
        <f t="shared" ref="AZ23:AZ25" si="92">AT23-AO23</f>
        <v>22.022745</v>
      </c>
      <c r="BA23" s="54"/>
      <c r="BB23" s="278">
        <v>0.0</v>
      </c>
      <c r="BC23" s="279">
        <v>0.0</v>
      </c>
      <c r="BD23" s="279">
        <v>0.0</v>
      </c>
      <c r="BE23" s="279">
        <v>0.0</v>
      </c>
      <c r="BF23" s="279">
        <v>0.0</v>
      </c>
      <c r="BG23" s="279">
        <v>0.0</v>
      </c>
      <c r="BH23" s="279">
        <v>0.0</v>
      </c>
      <c r="BI23" s="307">
        <v>30.0</v>
      </c>
      <c r="BJ23" s="279">
        <v>0.0</v>
      </c>
      <c r="BK23" s="279">
        <v>0.0</v>
      </c>
      <c r="BL23" s="280">
        <v>0.0</v>
      </c>
      <c r="BM23" s="281">
        <f t="shared" ref="BM23:BM25" si="93">SUMPRODUCT(BB23:BL23, {0,33,50,67,167,67,50,4.17,7.56,12.17,16.22})</f>
        <v>125.1</v>
      </c>
      <c r="BN23" s="221"/>
      <c r="BO23" s="221"/>
      <c r="BP23" s="221"/>
      <c r="BQ23" s="221"/>
      <c r="BR23" s="221"/>
    </row>
    <row r="24" ht="15.75" customHeight="1">
      <c r="A24" s="250">
        <v>2.0</v>
      </c>
      <c r="B24" s="250">
        <v>1.0</v>
      </c>
      <c r="C24" s="250" t="s">
        <v>148</v>
      </c>
      <c r="D24" s="251">
        <f t="shared" ref="D24:D25" si="94">E24-E23</f>
        <v>32</v>
      </c>
      <c r="E24" s="252">
        <v>60.0</v>
      </c>
      <c r="F24" s="253">
        <v>120.0</v>
      </c>
      <c r="G24" s="254">
        <f t="shared" si="74"/>
        <v>2</v>
      </c>
      <c r="H24" s="255"/>
      <c r="I24" s="256">
        <f t="shared" ref="I24:J24" si="75">1-L24/D24</f>
        <v>0.21875</v>
      </c>
      <c r="J24" s="256">
        <f t="shared" si="75"/>
        <v>0.1666666667</v>
      </c>
      <c r="K24" s="220"/>
      <c r="L24" s="257">
        <f t="shared" ref="L24:L25" si="96">M24-M23</f>
        <v>25</v>
      </c>
      <c r="M24" s="258">
        <v>50.0</v>
      </c>
      <c r="N24" s="257">
        <v>100.0</v>
      </c>
      <c r="O24" s="259">
        <f t="shared" si="76"/>
        <v>2</v>
      </c>
      <c r="P24" s="260">
        <f t="shared" si="77"/>
        <v>32</v>
      </c>
      <c r="Q24" s="261" t="str">
        <f>IFERROR(__xludf.DUMMYFUNCTION("LET(
  names, HSTACK(""Coins"", BB$4:BL$4),
  amounts, HSTACK(F24, BB24:BL24),
  lookupNames, $BP$5:$BP$16,
  lookupImages, $BQ$5:$BQ$16,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R24" s="262">
        <f>IFERROR(__xludf.DUMMYFUNCTION("""COMPUTED_VALUE"""),120.0)</f>
        <v>120</v>
      </c>
      <c r="S24" s="261" t="str">
        <f>IFERROR(__xludf.DUMMYFUNCTION("""COMPUTED_VALUE"""),"")</f>
        <v/>
      </c>
      <c r="T24" s="262">
        <f>IFERROR(__xludf.DUMMYFUNCTION("""COMPUTED_VALUE"""),1.0)</f>
        <v>1</v>
      </c>
      <c r="U24" s="261"/>
      <c r="V24" s="263"/>
      <c r="W24" s="264" t="str">
        <f t="shared" si="78"/>
        <v>p75</v>
      </c>
      <c r="X24" s="282">
        <f>SUMPRODUCT((data_segment_HC_gains!$A$25:$A$44="40-99")*(data_segment_HC_gains!$B$25:$B$44=W24)*data_segment_HC_gains!$C$25:$C$44)</f>
        <v>50</v>
      </c>
      <c r="Y24" s="266">
        <f>SUMPRODUCT((data_segment_HC_gains!$A$25:$A$44="40-99")*(data_segment_HC_gains!$B$25:$B$44=W24)*data_segment_HC_gains!$E$25:$E$44)</f>
        <v>828.58</v>
      </c>
      <c r="Z24" s="267">
        <f>SUMPRODUCT((data_raw_slopes!$A$2:$A$41="40-99")*(data_raw_slopes!$B$2:$B$41="payer")*(data_raw_slopes!$C$2:$C$41=W24)*data_raw_slopes!$E$2:$E$41)</f>
        <v>893.71</v>
      </c>
      <c r="AA24" s="283">
        <f t="shared" si="79"/>
        <v>-65.13</v>
      </c>
      <c r="AB24" s="266">
        <f>SUMPRODUCT((data_segment_HC_gains!$A$25:$A$44="40-99")*(data_segment_HC_gains!$B$25:$B$44=W24)*data_segment_HC_gains!$G$25:$G$44)</f>
        <v>120.7</v>
      </c>
      <c r="AC24" s="269">
        <f t="shared" si="80"/>
        <v>57.5</v>
      </c>
      <c r="AD24" s="269">
        <f>Y24-AB24*(1-(saga_progression_new!$I$17/saga_progression_old!$C$16))+SUM($F$23:F24)</f>
        <v>920.9871429</v>
      </c>
      <c r="AE24" s="270">
        <f>Z24+(IF(SUMPRODUCT((data_raw_slopes!$A$2:$A$41="40-99")*(data_raw_slopes!$B$2:$B$41="payer")*(data_raw_slopes!$C$2:$C$41=W24)*data_raw_slopes!$F$2:$F$41)&gt;0,SUMPRODUCT((data_raw_slopes!$A$2:$A$41="40-99")*(data_raw_slopes!$B$2:$B$41="payer")*(data_raw_slopes!$C$2:$C$41=W24)*data_raw_slopes!$F$2:$F$41),SUMPRODUCT((data_raw_slopes!$A$2:$A$41="40-99")*(data_raw_slopes!$B$2:$B$41="payer")*(data_raw_slopes!$C$2:$C$41=W24)*data_raw_slopes!$G$2:$G$41)))*X24*0.15</f>
        <v>982.2235</v>
      </c>
      <c r="AF24" s="284">
        <f t="shared" si="81"/>
        <v>-61.23635714</v>
      </c>
      <c r="AG24" s="272">
        <f>AB24*(saga_progression_new!$I$17/saga_progression_old!$C$16)</f>
        <v>43.10714286</v>
      </c>
      <c r="AH24" s="285">
        <f t="shared" si="82"/>
        <v>3.893642857</v>
      </c>
      <c r="AI24" s="274">
        <f t="shared" si="83"/>
        <v>7.5</v>
      </c>
      <c r="AJ24" s="275">
        <f t="shared" si="84"/>
        <v>-77.59285714</v>
      </c>
      <c r="AK24" s="275">
        <f t="shared" si="85"/>
        <v>88.5135</v>
      </c>
      <c r="AL24" s="276"/>
      <c r="AM24" s="277">
        <f>SUMPRODUCT((data_segment_HC_gains!$A$48:$A$67="40-99")*(data_segment_HC_gains!$B$48:$B$67=W24)*data_segment_HC_gains!$C$48:$C$67)</f>
        <v>50</v>
      </c>
      <c r="AN24" s="277">
        <f>SUMPRODUCT((data_segment_HC_gains!$A$48:$A$67="40-99")*(data_segment_HC_gains!$B$48:$B$67=W24)*data_segment_HC_gains!$E$48:$E$67)</f>
        <v>352.42</v>
      </c>
      <c r="AO24" s="277">
        <f>SUMPRODUCT((data_raw_slopes!$A$2:$A$41="40-99")*(data_raw_slopes!$B$2:$B$41="nonpayer")*(data_raw_slopes!$C$2:$C$41=W24)*data_raw_slopes!$E$2:$E$41)</f>
        <v>390.26</v>
      </c>
      <c r="AP24" s="277">
        <f t="shared" si="86"/>
        <v>-37.84</v>
      </c>
      <c r="AQ24" s="277">
        <f>SUMPRODUCT((data_segment_HC_gains!$A$48:$A$67="40-99")*(data_segment_HC_gains!$B$48:$B$67=W24)*data_segment_HC_gains!$G$48:$G$67)</f>
        <v>120.97</v>
      </c>
      <c r="AR24" s="269">
        <f t="shared" si="87"/>
        <v>57.5</v>
      </c>
      <c r="AS24" s="269">
        <f>AN24-AQ24*(1-(saga_progression_new!$I$17/saga_progression_old!$C$16))+SUM($F$23:F24)</f>
        <v>444.6535714</v>
      </c>
      <c r="AT24" s="269">
        <f>AO24+(IF(SUMPRODUCT((data_raw_slopes!$A$2:$A$41="40-99")*(data_raw_slopes!$B$2:$B$41="nonpayer")*(data_raw_slopes!$C$2:$C$41=W24)*data_raw_slopes!$F$2:$F$41)&gt;0,SUMPRODUCT((data_raw_slopes!$A$2:$A$41="40-99")*(data_raw_slopes!$B$2:$B$41="nonpayer")*(data_raw_slopes!$C$2:$C$41=W24)*data_raw_slopes!$F$2:$F$41),SUMPRODUCT((data_raw_slopes!$A$2:$A$41="40-99")*(data_raw_slopes!$B$2:$B$41="nonpayer")*(data_raw_slopes!$C$2:$C$41=W24)*data_raw_slopes!$G$2:$G$41)))*AM24*0.15</f>
        <v>421.76825</v>
      </c>
      <c r="AU24" s="269">
        <f t="shared" si="88"/>
        <v>22.88532143</v>
      </c>
      <c r="AV24" s="269">
        <f>AQ24*(saga_progression_new!$I$17/saga_progression_old!$C$16)</f>
        <v>43.20357143</v>
      </c>
      <c r="AW24" s="275">
        <f t="shared" si="89"/>
        <v>60.72532143</v>
      </c>
      <c r="AX24" s="275">
        <f t="shared" si="90"/>
        <v>7.5</v>
      </c>
      <c r="AY24" s="275">
        <f t="shared" si="91"/>
        <v>-77.76642857</v>
      </c>
      <c r="AZ24" s="275">
        <f t="shared" si="92"/>
        <v>31.50825</v>
      </c>
      <c r="BA24" s="54"/>
      <c r="BB24" s="278">
        <v>0.0</v>
      </c>
      <c r="BC24" s="279">
        <v>1.0</v>
      </c>
      <c r="BD24" s="279">
        <v>0.0</v>
      </c>
      <c r="BE24" s="279">
        <v>0.0</v>
      </c>
      <c r="BF24" s="279">
        <v>0.0</v>
      </c>
      <c r="BG24" s="279">
        <v>0.0</v>
      </c>
      <c r="BH24" s="279">
        <v>0.0</v>
      </c>
      <c r="BI24" s="279">
        <v>0.0</v>
      </c>
      <c r="BJ24" s="279">
        <v>0.0</v>
      </c>
      <c r="BK24" s="279">
        <v>0.0</v>
      </c>
      <c r="BL24" s="280">
        <v>0.0</v>
      </c>
      <c r="BM24" s="286">
        <f t="shared" si="93"/>
        <v>33</v>
      </c>
      <c r="BN24" s="221"/>
      <c r="BO24" s="221"/>
      <c r="BP24" s="221"/>
      <c r="BQ24" s="221"/>
      <c r="BR24" s="221"/>
    </row>
    <row r="25" ht="15.75" customHeight="1">
      <c r="A25" s="250">
        <v>3.0</v>
      </c>
      <c r="B25" s="250">
        <v>1.0</v>
      </c>
      <c r="C25" s="250" t="s">
        <v>148</v>
      </c>
      <c r="D25" s="251">
        <f t="shared" si="94"/>
        <v>40</v>
      </c>
      <c r="E25" s="252">
        <v>100.0</v>
      </c>
      <c r="F25" s="253">
        <v>250.0</v>
      </c>
      <c r="G25" s="254">
        <f t="shared" si="74"/>
        <v>2.5</v>
      </c>
      <c r="H25" s="255"/>
      <c r="I25" s="256">
        <f t="shared" ref="I25:J25" si="95">1-L25/D25</f>
        <v>0.125</v>
      </c>
      <c r="J25" s="256">
        <f t="shared" si="95"/>
        <v>0.15</v>
      </c>
      <c r="K25" s="220"/>
      <c r="L25" s="257">
        <f t="shared" si="96"/>
        <v>35</v>
      </c>
      <c r="M25" s="258">
        <v>85.0</v>
      </c>
      <c r="N25" s="257">
        <v>200.0</v>
      </c>
      <c r="O25" s="288">
        <f t="shared" si="76"/>
        <v>3</v>
      </c>
      <c r="P25" s="289">
        <f t="shared" si="77"/>
        <v>40</v>
      </c>
      <c r="Q25" s="290" t="str">
        <f>IFERROR(__xludf.DUMMYFUNCTION("LET(
  names, HSTACK(""Coins"", BB$4:BL$4),
  amounts, HSTACK(F25, BB25:BL25),
  lookupNames, $BP$5:$BP$16,
  lookupImages, $BQ$5:$BQ$16,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R25" s="291">
        <f>IFERROR(__xludf.DUMMYFUNCTION("""COMPUTED_VALUE"""),250.0)</f>
        <v>250</v>
      </c>
      <c r="S25" s="290" t="str">
        <f>IFERROR(__xludf.DUMMYFUNCTION("""COMPUTED_VALUE"""),"")</f>
        <v/>
      </c>
      <c r="T25" s="291">
        <f>IFERROR(__xludf.DUMMYFUNCTION("""COMPUTED_VALUE"""),1.0)</f>
        <v>1</v>
      </c>
      <c r="U25" s="290" t="str">
        <f>IFERROR(__xludf.DUMMYFUNCTION("""COMPUTED_VALUE"""),"")</f>
        <v/>
      </c>
      <c r="V25" s="292">
        <f>IFERROR(__xludf.DUMMYFUNCTION("""COMPUTED_VALUE"""),1.0)</f>
        <v>1</v>
      </c>
      <c r="W25" s="264" t="str">
        <f t="shared" si="78"/>
        <v>p90</v>
      </c>
      <c r="X25" s="293">
        <f>SUMPRODUCT((data_segment_HC_gains!$A$25:$A$44="40-99")*(data_segment_HC_gains!$B$25:$B$44=W25)*data_segment_HC_gains!$C$25:$C$44)</f>
        <v>77</v>
      </c>
      <c r="Y25" s="266">
        <f>SUMPRODUCT((data_segment_HC_gains!$A$25:$A$44="40-99")*(data_segment_HC_gains!$B$25:$B$44=W25)*data_segment_HC_gains!$E$25:$E$44)</f>
        <v>1242.63</v>
      </c>
      <c r="Z25" s="267">
        <f>SUMPRODUCT((data_raw_slopes!$A$2:$A$41="40-99")*(data_raw_slopes!$B$2:$B$41="payer")*(data_raw_slopes!$C$2:$C$41=W25)*data_raw_slopes!$E$2:$E$41)</f>
        <v>1354.72</v>
      </c>
      <c r="AA25" s="294">
        <f t="shared" si="79"/>
        <v>-112.09</v>
      </c>
      <c r="AB25" s="266">
        <f>SUMPRODUCT((data_segment_HC_gains!$A$25:$A$44="40-99")*(data_segment_HC_gains!$B$25:$B$44=W25)*data_segment_HC_gains!$G$25:$G$44)</f>
        <v>176.22</v>
      </c>
      <c r="AC25" s="269">
        <f t="shared" si="80"/>
        <v>88.55</v>
      </c>
      <c r="AD25" s="269">
        <f>Y25-AB25*(1-(saga_progression_new!$I$17/saga_progression_old!$C$16))+SUM($F$23:F25)</f>
        <v>1549.345714</v>
      </c>
      <c r="AE25" s="270">
        <f>Z25+(IF(SUMPRODUCT((data_raw_slopes!$A$2:$A$41="40-99")*(data_raw_slopes!$B$2:$B$41="payer")*(data_raw_slopes!$C$2:$C$41=W25)*data_raw_slopes!$F$2:$F$41)&gt;0,SUMPRODUCT((data_raw_slopes!$A$2:$A$41="40-99")*(data_raw_slopes!$B$2:$B$41="payer")*(data_raw_slopes!$C$2:$C$41=W25)*data_raw_slopes!$F$2:$F$41),SUMPRODUCT((data_raw_slopes!$A$2:$A$41="40-99")*(data_raw_slopes!$B$2:$B$41="payer")*(data_raw_slopes!$C$2:$C$41=W25)*data_raw_slopes!$G$2:$G$41)))*X25*0.15</f>
        <v>1534.002565</v>
      </c>
      <c r="AF25" s="295">
        <f t="shared" si="81"/>
        <v>15.34314929</v>
      </c>
      <c r="AG25" s="272">
        <f>AB25*(saga_progression_new!$I$17/saga_progression_old!$C$16)</f>
        <v>62.93571429</v>
      </c>
      <c r="AH25" s="296">
        <f t="shared" si="82"/>
        <v>127.4331493</v>
      </c>
      <c r="AI25" s="274">
        <f t="shared" si="83"/>
        <v>11.55</v>
      </c>
      <c r="AJ25" s="275">
        <f t="shared" si="84"/>
        <v>-113.2842857</v>
      </c>
      <c r="AK25" s="275">
        <f t="shared" si="85"/>
        <v>179.282565</v>
      </c>
      <c r="AL25" s="276"/>
      <c r="AM25" s="277">
        <f>SUMPRODUCT((data_segment_HC_gains!$A$48:$A$67="40-99")*(data_segment_HC_gains!$B$48:$B$67=W25)*data_segment_HC_gains!$C$48:$C$67)</f>
        <v>76</v>
      </c>
      <c r="AN25" s="277">
        <f>SUMPRODUCT((data_segment_HC_gains!$A$48:$A$67="40-99")*(data_segment_HC_gains!$B$48:$B$67=W25)*data_segment_HC_gains!$E$48:$E$67)</f>
        <v>466.06</v>
      </c>
      <c r="AO25" s="277">
        <f>SUMPRODUCT((data_raw_slopes!$A$2:$A$41="40-99")*(data_raw_slopes!$B$2:$B$41="nonpayer")*(data_raw_slopes!$C$2:$C$41=W25)*data_raw_slopes!$E$2:$E$41)</f>
        <v>547.26</v>
      </c>
      <c r="AP25" s="277">
        <f t="shared" si="86"/>
        <v>-81.2</v>
      </c>
      <c r="AQ25" s="277">
        <f>SUMPRODUCT((data_segment_HC_gains!$A$48:$A$67="40-99")*(data_segment_HC_gains!$B$48:$B$67=W25)*data_segment_HC_gains!$G$48:$G$67)</f>
        <v>170.37</v>
      </c>
      <c r="AR25" s="269">
        <f t="shared" si="87"/>
        <v>87.4</v>
      </c>
      <c r="AS25" s="269">
        <f>AN25-AQ25*(1-(saga_progression_new!$I$17/saga_progression_old!$C$16))+SUM($F$23:F25)</f>
        <v>776.5364286</v>
      </c>
      <c r="AT25" s="269">
        <f>AO25+(IF(SUMPRODUCT((data_raw_slopes!$A$2:$A$41="40-99")*(data_raw_slopes!$B$2:$B$41="nonpayer")*(data_raw_slopes!$C$2:$C$41=W25)*data_raw_slopes!$F$2:$F$41)&gt;0,SUMPRODUCT((data_raw_slopes!$A$2:$A$41="40-99")*(data_raw_slopes!$B$2:$B$41="nonpayer")*(data_raw_slopes!$C$2:$C$41=W25)*data_raw_slopes!$F$2:$F$41),SUMPRODUCT((data_raw_slopes!$A$2:$A$41="40-99")*(data_raw_slopes!$B$2:$B$41="nonpayer")*(data_raw_slopes!$C$2:$C$41=W25)*data_raw_slopes!$G$2:$G$41)))*AM25*0.15</f>
        <v>610.12758</v>
      </c>
      <c r="AU25" s="269">
        <f t="shared" si="88"/>
        <v>166.4088486</v>
      </c>
      <c r="AV25" s="269">
        <f>AQ25*(saga_progression_new!$I$17/saga_progression_old!$C$16)</f>
        <v>60.84642857</v>
      </c>
      <c r="AW25" s="275">
        <f t="shared" si="89"/>
        <v>247.6088486</v>
      </c>
      <c r="AX25" s="275">
        <f t="shared" si="90"/>
        <v>11.4</v>
      </c>
      <c r="AY25" s="275">
        <f t="shared" si="91"/>
        <v>-109.5235714</v>
      </c>
      <c r="AZ25" s="275">
        <f t="shared" si="92"/>
        <v>62.86758</v>
      </c>
      <c r="BA25" s="54"/>
      <c r="BB25" s="278">
        <v>0.0</v>
      </c>
      <c r="BC25" s="279">
        <v>0.0</v>
      </c>
      <c r="BD25" s="307">
        <v>0.0</v>
      </c>
      <c r="BE25" s="279">
        <v>0.0</v>
      </c>
      <c r="BF25" s="279">
        <v>1.0</v>
      </c>
      <c r="BG25" s="279">
        <v>0.0</v>
      </c>
      <c r="BH25" s="307">
        <v>1.0</v>
      </c>
      <c r="BI25" s="279">
        <v>0.0</v>
      </c>
      <c r="BJ25" s="279">
        <v>0.0</v>
      </c>
      <c r="BK25" s="279">
        <v>0.0</v>
      </c>
      <c r="BL25" s="280">
        <v>0.0</v>
      </c>
      <c r="BM25" s="297">
        <f t="shared" si="93"/>
        <v>217</v>
      </c>
      <c r="BN25" s="221"/>
      <c r="BO25" s="221"/>
      <c r="BP25" s="221"/>
      <c r="BQ25" s="221"/>
      <c r="BR25" s="221"/>
    </row>
    <row r="26" ht="15.75" customHeight="1">
      <c r="A26" s="54"/>
      <c r="B26" s="54"/>
      <c r="C26" s="54"/>
      <c r="D26" s="54"/>
      <c r="E26" s="54"/>
      <c r="F26" s="54"/>
      <c r="G26" s="298"/>
      <c r="H26" s="298"/>
      <c r="I26" s="220"/>
      <c r="J26" s="220"/>
      <c r="K26" s="220"/>
      <c r="L26" s="215"/>
      <c r="M26" s="215"/>
      <c r="N26" s="215"/>
      <c r="O26" s="298"/>
      <c r="P26" s="298"/>
      <c r="Q26" s="224"/>
      <c r="R26" s="165"/>
      <c r="S26" s="224"/>
      <c r="T26" s="224"/>
      <c r="U26" s="224"/>
      <c r="V26" s="224"/>
      <c r="W26" s="54"/>
      <c r="X26" s="230"/>
      <c r="Y26" s="230"/>
      <c r="Z26" s="230"/>
      <c r="AA26" s="230"/>
      <c r="AB26" s="230"/>
      <c r="AC26" s="299"/>
      <c r="AD26" s="299"/>
      <c r="AE26" s="299"/>
      <c r="AF26" s="299"/>
      <c r="AG26" s="299"/>
      <c r="AH26" s="230"/>
      <c r="AI26" s="230"/>
      <c r="AJ26" s="230"/>
      <c r="AK26" s="230"/>
      <c r="AL26" s="230"/>
      <c r="AM26" s="230"/>
      <c r="AN26" s="230"/>
      <c r="AO26" s="230"/>
      <c r="AP26" s="230"/>
      <c r="AQ26" s="230"/>
      <c r="AR26" s="299"/>
      <c r="AS26" s="299"/>
      <c r="AT26" s="299"/>
      <c r="AU26" s="299"/>
      <c r="AV26" s="299"/>
      <c r="AW26" s="230"/>
      <c r="AX26" s="230"/>
      <c r="AY26" s="230"/>
      <c r="AZ26" s="230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221"/>
      <c r="BO26" s="221"/>
      <c r="BP26" s="221"/>
      <c r="BQ26" s="221"/>
      <c r="BR26" s="221"/>
    </row>
    <row r="27" ht="15.75" customHeight="1">
      <c r="A27" s="225" t="s">
        <v>47</v>
      </c>
      <c r="B27" s="54"/>
      <c r="C27" s="54"/>
      <c r="D27" s="54"/>
      <c r="E27" s="54"/>
      <c r="F27" s="54"/>
      <c r="G27" s="298"/>
      <c r="H27" s="298"/>
      <c r="I27" s="220"/>
      <c r="J27" s="220"/>
      <c r="K27" s="220"/>
      <c r="L27" s="215"/>
      <c r="M27" s="215"/>
      <c r="N27" s="215"/>
      <c r="O27" s="227" t="s">
        <v>47</v>
      </c>
      <c r="P27" s="228"/>
      <c r="Q27" s="228"/>
      <c r="R27" s="228"/>
      <c r="S27" s="228"/>
      <c r="T27" s="228"/>
      <c r="U27" s="228"/>
      <c r="V27" s="229"/>
      <c r="W27" s="54"/>
      <c r="X27" s="230"/>
      <c r="Y27" s="230"/>
      <c r="Z27" s="230"/>
      <c r="AA27" s="230"/>
      <c r="AB27" s="230"/>
      <c r="AC27" s="299"/>
      <c r="AD27" s="299"/>
      <c r="AE27" s="299"/>
      <c r="AF27" s="299"/>
      <c r="AG27" s="299"/>
      <c r="AH27" s="230"/>
      <c r="AI27" s="230"/>
      <c r="AJ27" s="230"/>
      <c r="AK27" s="230"/>
      <c r="AL27" s="230"/>
      <c r="AM27" s="230"/>
      <c r="AN27" s="230"/>
      <c r="AO27" s="230"/>
      <c r="AP27" s="230"/>
      <c r="AQ27" s="230"/>
      <c r="AR27" s="299"/>
      <c r="AS27" s="299"/>
      <c r="AT27" s="299"/>
      <c r="AU27" s="299"/>
      <c r="AV27" s="299"/>
      <c r="AW27" s="230"/>
      <c r="AX27" s="230"/>
      <c r="AY27" s="230"/>
      <c r="AZ27" s="230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221"/>
      <c r="BO27" s="221"/>
      <c r="BP27" s="221"/>
      <c r="BQ27" s="221"/>
      <c r="BR27" s="221"/>
    </row>
    <row r="28" ht="30.0" customHeight="1">
      <c r="A28" s="231" t="s">
        <v>112</v>
      </c>
      <c r="B28" s="231" t="s">
        <v>113</v>
      </c>
      <c r="C28" s="231" t="s">
        <v>114</v>
      </c>
      <c r="D28" s="232" t="s">
        <v>115</v>
      </c>
      <c r="E28" s="232" t="s">
        <v>116</v>
      </c>
      <c r="F28" s="231" t="s">
        <v>73</v>
      </c>
      <c r="G28" s="300" t="s">
        <v>117</v>
      </c>
      <c r="H28" s="301"/>
      <c r="I28" s="235" t="s">
        <v>151</v>
      </c>
      <c r="J28" s="235" t="s">
        <v>152</v>
      </c>
      <c r="K28" s="220"/>
      <c r="L28" s="302" t="s">
        <v>115</v>
      </c>
      <c r="M28" s="302" t="s">
        <v>116</v>
      </c>
      <c r="N28" s="302" t="s">
        <v>73</v>
      </c>
      <c r="O28" s="237" t="s">
        <v>112</v>
      </c>
      <c r="P28" s="238" t="s">
        <v>115</v>
      </c>
      <c r="Q28" s="239" t="s">
        <v>74</v>
      </c>
      <c r="V28" s="240"/>
      <c r="W28" s="303" t="s">
        <v>118</v>
      </c>
      <c r="X28" s="242" t="s">
        <v>119</v>
      </c>
      <c r="Y28" s="243" t="s">
        <v>120</v>
      </c>
      <c r="Z28" s="243" t="s">
        <v>121</v>
      </c>
      <c r="AA28" s="242" t="s">
        <v>122</v>
      </c>
      <c r="AB28" s="243" t="s">
        <v>123</v>
      </c>
      <c r="AC28" s="304" t="s">
        <v>124</v>
      </c>
      <c r="AD28" s="304" t="s">
        <v>125</v>
      </c>
      <c r="AE28" s="304" t="s">
        <v>126</v>
      </c>
      <c r="AF28" s="305" t="s">
        <v>127</v>
      </c>
      <c r="AG28" s="304" t="s">
        <v>128</v>
      </c>
      <c r="AH28" s="246" t="s">
        <v>129</v>
      </c>
      <c r="AI28" s="247" t="s">
        <v>130</v>
      </c>
      <c r="AJ28" s="247" t="s">
        <v>131</v>
      </c>
      <c r="AK28" s="247" t="s">
        <v>132</v>
      </c>
      <c r="AL28" s="248"/>
      <c r="AM28" s="243" t="s">
        <v>133</v>
      </c>
      <c r="AN28" s="243" t="s">
        <v>134</v>
      </c>
      <c r="AO28" s="243" t="s">
        <v>135</v>
      </c>
      <c r="AP28" s="243" t="s">
        <v>136</v>
      </c>
      <c r="AQ28" s="243" t="s">
        <v>137</v>
      </c>
      <c r="AR28" s="304" t="s">
        <v>138</v>
      </c>
      <c r="AS28" s="304" t="s">
        <v>139</v>
      </c>
      <c r="AT28" s="304" t="s">
        <v>140</v>
      </c>
      <c r="AU28" s="304" t="s">
        <v>141</v>
      </c>
      <c r="AV28" s="304" t="s">
        <v>142</v>
      </c>
      <c r="AW28" s="247" t="s">
        <v>143</v>
      </c>
      <c r="AX28" s="247" t="s">
        <v>144</v>
      </c>
      <c r="AY28" s="247" t="s">
        <v>145</v>
      </c>
      <c r="AZ28" s="247" t="s">
        <v>146</v>
      </c>
      <c r="BA28" s="54"/>
      <c r="BB28" s="142" t="s">
        <v>79</v>
      </c>
      <c r="BC28" s="142" t="s">
        <v>80</v>
      </c>
      <c r="BD28" s="142" t="s">
        <v>81</v>
      </c>
      <c r="BE28" s="142" t="s">
        <v>82</v>
      </c>
      <c r="BF28" s="142" t="s">
        <v>83</v>
      </c>
      <c r="BG28" s="142" t="s">
        <v>84</v>
      </c>
      <c r="BH28" s="142" t="s">
        <v>85</v>
      </c>
      <c r="BI28" s="142" t="s">
        <v>86</v>
      </c>
      <c r="BJ28" s="142" t="s">
        <v>87</v>
      </c>
      <c r="BK28" s="142" t="s">
        <v>88</v>
      </c>
      <c r="BL28" s="142" t="s">
        <v>89</v>
      </c>
      <c r="BM28" s="249" t="s">
        <v>147</v>
      </c>
      <c r="BN28" s="221"/>
      <c r="BO28" s="221"/>
      <c r="BP28" s="221"/>
      <c r="BQ28" s="221"/>
      <c r="BR28" s="221"/>
    </row>
    <row r="29" ht="15.75" customHeight="1">
      <c r="A29" s="250">
        <v>1.0</v>
      </c>
      <c r="B29" s="250">
        <v>1.0</v>
      </c>
      <c r="C29" s="250" t="s">
        <v>148</v>
      </c>
      <c r="D29" s="251">
        <f>E29</f>
        <v>80</v>
      </c>
      <c r="E29" s="252">
        <v>80.0</v>
      </c>
      <c r="F29" s="253">
        <v>100.0</v>
      </c>
      <c r="G29" s="254">
        <f t="shared" ref="G29:G31" si="98">F29/E29</f>
        <v>1.25</v>
      </c>
      <c r="H29" s="255"/>
      <c r="I29" s="256">
        <f t="shared" ref="I29:J29" si="97">1-L29/D29</f>
        <v>0.0625</v>
      </c>
      <c r="J29" s="256">
        <f t="shared" si="97"/>
        <v>0.0625</v>
      </c>
      <c r="K29" s="220"/>
      <c r="L29" s="257">
        <f>M29</f>
        <v>75</v>
      </c>
      <c r="M29" s="258">
        <v>75.0</v>
      </c>
      <c r="N29" s="257">
        <v>100.0</v>
      </c>
      <c r="O29" s="259">
        <f t="shared" ref="O29:O31" si="100">A29</f>
        <v>1</v>
      </c>
      <c r="P29" s="260">
        <f t="shared" ref="P29:P31" si="101">D29</f>
        <v>80</v>
      </c>
      <c r="Q29" s="261" t="str">
        <f>IFERROR(__xludf.DUMMYFUNCTION("LET(
  names, HSTACK(""Coins"", BB$4:BL$4),
  amounts, HSTACK(F29, BB29:BL29),
  lookupNames, $BP$5:$BP$16,
  lookupImages, $BQ$5:$BQ$16,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R29" s="262">
        <f>IFERROR(__xludf.DUMMYFUNCTION("""COMPUTED_VALUE"""),100.0)</f>
        <v>100</v>
      </c>
      <c r="S29" s="261" t="str">
        <f>IFERROR(__xludf.DUMMYFUNCTION("""COMPUTED_VALUE"""),"")</f>
        <v/>
      </c>
      <c r="T29" s="262">
        <f>IFERROR(__xludf.DUMMYFUNCTION("""COMPUTED_VALUE"""),60.0)</f>
        <v>60</v>
      </c>
      <c r="U29" s="261"/>
      <c r="V29" s="263"/>
      <c r="W29" s="264" t="str">
        <f t="shared" ref="W29:W31" si="102">IF(A29=1,"p50",IF(A29=2,"p75","p90"))</f>
        <v>p50</v>
      </c>
      <c r="X29" s="265">
        <f>SUMPRODUCT((data_segment_HC_gains!$A$25:$A$44="100+")*(data_segment_HC_gains!$B$25:$B$44=W29)*data_segment_HC_gains!$C$25:$C$44)</f>
        <v>67</v>
      </c>
      <c r="Y29" s="266">
        <f>SUMPRODUCT((data_segment_HC_gains!$A$25:$A$44="100+")*(data_segment_HC_gains!$B$25:$B$44=W29)*data_segment_HC_gains!$E$25:$E$44)</f>
        <v>1213.14</v>
      </c>
      <c r="Z29" s="267">
        <f>SUMPRODUCT((data_raw_slopes!$A$2:$A$41="100+")*(data_raw_slopes!$B$2:$B$41="payer")*(data_raw_slopes!$C$2:$C$41=W29)*data_raw_slopes!$E$2:$E$41)</f>
        <v>1312.35</v>
      </c>
      <c r="AA29" s="268">
        <f t="shared" ref="AA29:AA31" si="103">Y29-Z29</f>
        <v>-99.21</v>
      </c>
      <c r="AB29" s="266">
        <f>SUMPRODUCT((data_segment_HC_gains!$A$25:$A$44="100+")*(data_segment_HC_gains!$B$25:$B$44=W29)*data_segment_HC_gains!$G$25:$G$44)</f>
        <v>233.68</v>
      </c>
      <c r="AC29" s="269">
        <f t="shared" ref="AC29:AC31" si="104">X29*1.15</f>
        <v>77.05</v>
      </c>
      <c r="AD29" s="269">
        <f>Y29-AB29*(1-(saga_progression_new!$K$17/saga_progression_old!$C$16))+SUM($F$29:F29)</f>
        <v>1162.917143</v>
      </c>
      <c r="AE29" s="270">
        <f>Z29+(IF(SUMPRODUCT((data_raw_slopes!$A$2:$A$41="100+")*(data_raw_slopes!$B$2:$B$41="payer")*(data_raw_slopes!$C$2:$C$41=W29)*data_raw_slopes!$F$2:$F$41)&gt;0,SUMPRODUCT((data_raw_slopes!$A$2:$A$41="100+")*(data_raw_slopes!$B$2:$B$41="payer")*(data_raw_slopes!$C$2:$C$41=W29)*data_raw_slopes!$F$2:$F$41),SUMPRODUCT((data_raw_slopes!$A$2:$A$41="100+")*(data_raw_slopes!$B$2:$B$41="payer")*(data_raw_slopes!$C$2:$C$41=W29)*data_raw_slopes!$G$2:$G$41)))*X29*0.15</f>
        <v>1421.57943</v>
      </c>
      <c r="AF29" s="271">
        <f t="shared" ref="AF29:AF31" si="105">AD29-AE29</f>
        <v>-258.6622871</v>
      </c>
      <c r="AG29" s="272">
        <f>AB29*(saga_progression_new!$K$17/saga_progression_old!$C$16)</f>
        <v>83.45714286</v>
      </c>
      <c r="AH29" s="273">
        <f t="shared" ref="AH29:AH31" si="106">AF29-AA29</f>
        <v>-159.4522871</v>
      </c>
      <c r="AI29" s="274">
        <f t="shared" ref="AI29:AI31" si="107">AC29-X29</f>
        <v>10.05</v>
      </c>
      <c r="AJ29" s="275">
        <f t="shared" ref="AJ29:AJ31" si="108">AG29-AB29</f>
        <v>-150.2228571</v>
      </c>
      <c r="AK29" s="275">
        <f t="shared" ref="AK29:AK31" si="109">AE29-Z29</f>
        <v>109.22943</v>
      </c>
      <c r="AL29" s="276"/>
      <c r="AM29" s="277">
        <f>SUMPRODUCT((data_segment_HC_gains!$A$48:$A$67="100+")*(data_segment_HC_gains!$B$48:$B$67=W29)*data_segment_HC_gains!$C$48:$C$67)</f>
        <v>68</v>
      </c>
      <c r="AN29" s="277">
        <f>SUMPRODUCT((data_segment_HC_gains!$A$48:$A$67="100+")*(data_segment_HC_gains!$B$48:$B$67=W29)*data_segment_HC_gains!$E$48:$E$67)</f>
        <v>624.31</v>
      </c>
      <c r="AO29" s="277">
        <f>SUMPRODUCT((data_raw_slopes!$A$2:$A$41="100+")*(data_raw_slopes!$B$2:$B$41="nonpayer")*(data_raw_slopes!$C$2:$C$41=W29)*data_raw_slopes!$E$2:$E$41)</f>
        <v>634.17</v>
      </c>
      <c r="AP29" s="277">
        <f t="shared" ref="AP29:AP31" si="110">AN29-AO29</f>
        <v>-9.86</v>
      </c>
      <c r="AQ29" s="277">
        <f>SUMPRODUCT((data_segment_HC_gains!$A$48:$A$67="100+")*(data_segment_HC_gains!$B$48:$B$67=W29)*data_segment_HC_gains!$G$48:$G$67)</f>
        <v>247.18</v>
      </c>
      <c r="AR29" s="269">
        <f t="shared" ref="AR29:AR31" si="111">AM29*1.15</f>
        <v>78.2</v>
      </c>
      <c r="AS29" s="269">
        <f>AN29-AQ29*(1-(saga_progression_new!$K$17/saga_progression_old!$C$16))+SUM($F$29:F29)</f>
        <v>565.4085714</v>
      </c>
      <c r="AT29" s="269">
        <f>AO29+(IF(SUMPRODUCT((data_raw_slopes!$A$2:$A$41="100+")*(data_raw_slopes!$B$2:$B$41="nonpayer")*(data_raw_slopes!$C$2:$C$41=W29)*data_raw_slopes!$F$2:$F$41)&gt;0,SUMPRODUCT((data_raw_slopes!$A$2:$A$41="100+")*(data_raw_slopes!$B$2:$B$41="nonpayer")*(data_raw_slopes!$C$2:$C$41=W29)*data_raw_slopes!$F$2:$F$41),SUMPRODUCT((data_raw_slopes!$A$2:$A$41="100+")*(data_raw_slopes!$B$2:$B$41="nonpayer")*(data_raw_slopes!$C$2:$C$41=W29)*data_raw_slopes!$G$2:$G$41)))*AM29*0.15</f>
        <v>674.00304</v>
      </c>
      <c r="AU29" s="269">
        <f t="shared" ref="AU29:AU31" si="112">AS29-AT29</f>
        <v>-108.5944686</v>
      </c>
      <c r="AV29" s="269">
        <f>AQ29*(saga_progression_new!$K$17/saga_progression_old!$C$16)</f>
        <v>88.27857143</v>
      </c>
      <c r="AW29" s="275">
        <f t="shared" ref="AW29:AW31" si="113">AU29-AP29</f>
        <v>-98.73446857</v>
      </c>
      <c r="AX29" s="275">
        <f t="shared" ref="AX29:AX31" si="114">AR29-AM29</f>
        <v>10.2</v>
      </c>
      <c r="AY29" s="275">
        <f t="shared" ref="AY29:AY31" si="115">AV29-AQ29</f>
        <v>-158.9014286</v>
      </c>
      <c r="AZ29" s="275">
        <f t="shared" ref="AZ29:AZ31" si="116">AT29-AO29</f>
        <v>39.83304</v>
      </c>
      <c r="BA29" s="54"/>
      <c r="BB29" s="278">
        <v>0.0</v>
      </c>
      <c r="BC29" s="279">
        <v>0.0</v>
      </c>
      <c r="BD29" s="279">
        <v>0.0</v>
      </c>
      <c r="BE29" s="279">
        <v>0.0</v>
      </c>
      <c r="BF29" s="279">
        <v>0.0</v>
      </c>
      <c r="BG29" s="279">
        <v>0.0</v>
      </c>
      <c r="BH29" s="279">
        <v>0.0</v>
      </c>
      <c r="BI29" s="307">
        <v>60.0</v>
      </c>
      <c r="BJ29" s="279">
        <v>0.0</v>
      </c>
      <c r="BK29" s="279">
        <v>0.0</v>
      </c>
      <c r="BL29" s="280">
        <v>0.0</v>
      </c>
      <c r="BM29" s="281">
        <f t="shared" ref="BM29:BM31" si="117">SUMPRODUCT(BB29:BL29, {0,33,50,67,167,67,50,4.17,7.56,12.17,16.22})</f>
        <v>250.2</v>
      </c>
      <c r="BN29" s="221"/>
      <c r="BO29" s="221"/>
      <c r="BP29" s="221"/>
      <c r="BQ29" s="221"/>
      <c r="BR29" s="221"/>
    </row>
    <row r="30" ht="15.75" customHeight="1">
      <c r="A30" s="250">
        <v>2.0</v>
      </c>
      <c r="B30" s="250">
        <v>1.0</v>
      </c>
      <c r="C30" s="250" t="s">
        <v>148</v>
      </c>
      <c r="D30" s="251">
        <f t="shared" ref="D30:D31" si="118">E30-E29</f>
        <v>95</v>
      </c>
      <c r="E30" s="252">
        <v>175.0</v>
      </c>
      <c r="F30" s="253">
        <v>300.0</v>
      </c>
      <c r="G30" s="254">
        <f t="shared" si="98"/>
        <v>1.714285714</v>
      </c>
      <c r="H30" s="255"/>
      <c r="I30" s="256">
        <f t="shared" ref="I30:J30" si="99">1-L30/D30</f>
        <v>0.2105263158</v>
      </c>
      <c r="J30" s="256">
        <f t="shared" si="99"/>
        <v>0.1428571429</v>
      </c>
      <c r="K30" s="220"/>
      <c r="L30" s="257">
        <f t="shared" ref="L30:L31" si="120">M30-M29</f>
        <v>75</v>
      </c>
      <c r="M30" s="258">
        <v>150.0</v>
      </c>
      <c r="N30" s="257">
        <v>250.0</v>
      </c>
      <c r="O30" s="259">
        <f t="shared" si="100"/>
        <v>2</v>
      </c>
      <c r="P30" s="260">
        <f t="shared" si="101"/>
        <v>95</v>
      </c>
      <c r="Q30" s="261" t="str">
        <f>IFERROR(__xludf.DUMMYFUNCTION("LET(
  names, HSTACK(""Coins"", BB$4:BL$4),
  amounts, HSTACK(F30, BB30:BL30),
  lookupNames, $BP$5:$BP$16,
  lookupImages, $BQ$5:$BQ$16,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R30" s="262">
        <f>IFERROR(__xludf.DUMMYFUNCTION("""COMPUTED_VALUE"""),300.0)</f>
        <v>300</v>
      </c>
      <c r="S30" s="261" t="str">
        <f>IFERROR(__xludf.DUMMYFUNCTION("""COMPUTED_VALUE"""),"")</f>
        <v/>
      </c>
      <c r="T30" s="262">
        <f>IFERROR(__xludf.DUMMYFUNCTION("""COMPUTED_VALUE"""),1.0)</f>
        <v>1</v>
      </c>
      <c r="U30" s="261"/>
      <c r="V30" s="263"/>
      <c r="W30" s="264" t="str">
        <f t="shared" si="102"/>
        <v>p75</v>
      </c>
      <c r="X30" s="282">
        <f>SUMPRODUCT((data_segment_HC_gains!$A$25:$A$44="100+")*(data_segment_HC_gains!$B$25:$B$44=W30)*data_segment_HC_gains!$C$25:$C$44)</f>
        <v>121</v>
      </c>
      <c r="Y30" s="266">
        <f>SUMPRODUCT((data_segment_HC_gains!$A$25:$A$44="100+")*(data_segment_HC_gains!$B$25:$B$44=W30)*data_segment_HC_gains!$E$25:$E$44)</f>
        <v>1602.6</v>
      </c>
      <c r="Z30" s="267">
        <f>SUMPRODUCT((data_raw_slopes!$A$2:$A$41="100+")*(data_raw_slopes!$B$2:$B$41="payer")*(data_raw_slopes!$C$2:$C$41=W30)*data_raw_slopes!$E$2:$E$41)</f>
        <v>1782.22</v>
      </c>
      <c r="AA30" s="283">
        <f t="shared" si="103"/>
        <v>-179.62</v>
      </c>
      <c r="AB30" s="266">
        <f>SUMPRODUCT((data_segment_HC_gains!$A$25:$A$44="100+")*(data_segment_HC_gains!$B$25:$B$44=W30)*data_segment_HC_gains!$G$25:$G$44)</f>
        <v>280.49</v>
      </c>
      <c r="AC30" s="269">
        <f t="shared" si="104"/>
        <v>139.15</v>
      </c>
      <c r="AD30" s="269">
        <f>Y30-AB30*(1-(saga_progression_new!$K$17/saga_progression_old!$C$16))+SUM($F$29:F30)</f>
        <v>1822.285</v>
      </c>
      <c r="AE30" s="270">
        <f>Z30+(IF(SUMPRODUCT((data_raw_slopes!$A$2:$A$41="100+")*(data_raw_slopes!$B$2:$B$41="payer")*(data_raw_slopes!$C$2:$C$41=W30)*data_raw_slopes!$F$2:$F$41)&gt;0,SUMPRODUCT((data_raw_slopes!$A$2:$A$41="100+")*(data_raw_slopes!$B$2:$B$41="payer")*(data_raw_slopes!$C$2:$C$41=W30)*data_raw_slopes!$F$2:$F$41),SUMPRODUCT((data_raw_slopes!$A$2:$A$41="100+")*(data_raw_slopes!$B$2:$B$41="payer")*(data_raw_slopes!$C$2:$C$41=W30)*data_raw_slopes!$G$2:$G$41)))*X30*0.15</f>
        <v>1953.32731</v>
      </c>
      <c r="AF30" s="284">
        <f t="shared" si="105"/>
        <v>-131.04231</v>
      </c>
      <c r="AG30" s="272">
        <f>AB30*(saga_progression_new!$K$17/saga_progression_old!$C$16)</f>
        <v>100.175</v>
      </c>
      <c r="AH30" s="285">
        <f t="shared" si="106"/>
        <v>48.57769</v>
      </c>
      <c r="AI30" s="274">
        <f t="shared" si="107"/>
        <v>18.15</v>
      </c>
      <c r="AJ30" s="275">
        <f t="shared" si="108"/>
        <v>-180.315</v>
      </c>
      <c r="AK30" s="275">
        <f t="shared" si="109"/>
        <v>171.10731</v>
      </c>
      <c r="AL30" s="276"/>
      <c r="AM30" s="277">
        <f>SUMPRODUCT((data_segment_HC_gains!$A$48:$A$67="100+")*(data_segment_HC_gains!$B$48:$B$67=W30)*data_segment_HC_gains!$C$48:$C$67)</f>
        <v>118</v>
      </c>
      <c r="AN30" s="277">
        <f>SUMPRODUCT((data_segment_HC_gains!$A$48:$A$67="100+")*(data_segment_HC_gains!$B$48:$B$67=W30)*data_segment_HC_gains!$E$48:$E$67)</f>
        <v>687.28</v>
      </c>
      <c r="AO30" s="277">
        <f>SUMPRODUCT((data_raw_slopes!$A$2:$A$41="100+")*(data_raw_slopes!$B$2:$B$41="nonpayer")*(data_raw_slopes!$C$2:$C$41=W30)*data_raw_slopes!$E$2:$E$41)</f>
        <v>792.43</v>
      </c>
      <c r="AP30" s="277">
        <f t="shared" si="110"/>
        <v>-105.15</v>
      </c>
      <c r="AQ30" s="277">
        <f>SUMPRODUCT((data_segment_HC_gains!$A$48:$A$67="100+")*(data_segment_HC_gains!$B$48:$B$67=W30)*data_segment_HC_gains!$G$48:$G$67)</f>
        <v>279.6</v>
      </c>
      <c r="AR30" s="269">
        <f t="shared" si="111"/>
        <v>135.7</v>
      </c>
      <c r="AS30" s="269">
        <f>AN30-AQ30*(1-(saga_progression_new!$K$17/saga_progression_old!$C$16))+SUM($F$29:F30)</f>
        <v>907.5371429</v>
      </c>
      <c r="AT30" s="269">
        <f>AO30+(IF(SUMPRODUCT((data_raw_slopes!$A$2:$A$41="100+")*(data_raw_slopes!$B$2:$B$41="nonpayer")*(data_raw_slopes!$C$2:$C$41=W30)*data_raw_slopes!$F$2:$F$41)&gt;0,SUMPRODUCT((data_raw_slopes!$A$2:$A$41="100+")*(data_raw_slopes!$B$2:$B$41="nonpayer")*(data_raw_slopes!$C$2:$C$41=W30)*data_raw_slopes!$F$2:$F$41),SUMPRODUCT((data_raw_slopes!$A$2:$A$41="100+")*(data_raw_slopes!$B$2:$B$41="nonpayer")*(data_raw_slopes!$C$2:$C$41=W30)*data_raw_slopes!$G$2:$G$41)))*AM30*0.15</f>
        <v>864.98053</v>
      </c>
      <c r="AU30" s="269">
        <f t="shared" si="112"/>
        <v>42.55661286</v>
      </c>
      <c r="AV30" s="269">
        <f>AQ30*(saga_progression_new!$K$17/saga_progression_old!$C$16)</f>
        <v>99.85714286</v>
      </c>
      <c r="AW30" s="275">
        <f t="shared" si="113"/>
        <v>147.7066129</v>
      </c>
      <c r="AX30" s="275">
        <f t="shared" si="114"/>
        <v>17.7</v>
      </c>
      <c r="AY30" s="275">
        <f t="shared" si="115"/>
        <v>-179.7428571</v>
      </c>
      <c r="AZ30" s="275">
        <f t="shared" si="116"/>
        <v>72.55053</v>
      </c>
      <c r="BA30" s="54"/>
      <c r="BB30" s="278">
        <v>0.0</v>
      </c>
      <c r="BC30" s="279">
        <v>1.0</v>
      </c>
      <c r="BD30" s="279">
        <v>0.0</v>
      </c>
      <c r="BE30" s="279">
        <v>0.0</v>
      </c>
      <c r="BF30" s="279">
        <v>0.0</v>
      </c>
      <c r="BG30" s="279">
        <v>0.0</v>
      </c>
      <c r="BH30" s="279">
        <v>0.0</v>
      </c>
      <c r="BI30" s="279">
        <v>0.0</v>
      </c>
      <c r="BJ30" s="279">
        <v>0.0</v>
      </c>
      <c r="BK30" s="279">
        <v>0.0</v>
      </c>
      <c r="BL30" s="280">
        <v>0.0</v>
      </c>
      <c r="BM30" s="286">
        <f t="shared" si="117"/>
        <v>33</v>
      </c>
      <c r="BN30" s="221"/>
      <c r="BO30" s="221"/>
      <c r="BP30" s="221"/>
      <c r="BQ30" s="221"/>
      <c r="BR30" s="221"/>
    </row>
    <row r="31" ht="15.75" customHeight="1">
      <c r="A31" s="250">
        <v>3.0</v>
      </c>
      <c r="B31" s="250">
        <v>1.0</v>
      </c>
      <c r="C31" s="250" t="s">
        <v>148</v>
      </c>
      <c r="D31" s="251">
        <f t="shared" si="118"/>
        <v>105</v>
      </c>
      <c r="E31" s="252">
        <v>280.0</v>
      </c>
      <c r="F31" s="253">
        <v>400.0</v>
      </c>
      <c r="G31" s="254">
        <f t="shared" si="98"/>
        <v>1.428571429</v>
      </c>
      <c r="H31" s="255"/>
      <c r="I31" s="256">
        <f t="shared" ref="I31:J31" si="119">1-L31/D31</f>
        <v>0.2857142857</v>
      </c>
      <c r="J31" s="256">
        <f t="shared" si="119"/>
        <v>0.1964285714</v>
      </c>
      <c r="K31" s="220"/>
      <c r="L31" s="257">
        <f t="shared" si="120"/>
        <v>75</v>
      </c>
      <c r="M31" s="258">
        <v>225.0</v>
      </c>
      <c r="N31" s="257">
        <v>300.0</v>
      </c>
      <c r="O31" s="288">
        <f t="shared" si="100"/>
        <v>3</v>
      </c>
      <c r="P31" s="289">
        <f t="shared" si="101"/>
        <v>105</v>
      </c>
      <c r="Q31" s="290" t="str">
        <f>IFERROR(__xludf.DUMMYFUNCTION("LET(
  names, HSTACK(""Coins"", BB$4:BL$4),
  amounts, HSTACK(F31, BB31:BL31),
  lookupNames, $BP$5:$BP$16,
  lookupImages, $BQ$5:$BQ$16,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R31" s="291">
        <f>IFERROR(__xludf.DUMMYFUNCTION("""COMPUTED_VALUE"""),400.0)</f>
        <v>400</v>
      </c>
      <c r="S31" s="290" t="str">
        <f>IFERROR(__xludf.DUMMYFUNCTION("""COMPUTED_VALUE"""),"")</f>
        <v/>
      </c>
      <c r="T31" s="291">
        <f>IFERROR(__xludf.DUMMYFUNCTION("""COMPUTED_VALUE"""),1.0)</f>
        <v>1</v>
      </c>
      <c r="U31" s="290" t="str">
        <f>IFERROR(__xludf.DUMMYFUNCTION("""COMPUTED_VALUE"""),"")</f>
        <v/>
      </c>
      <c r="V31" s="292">
        <f>IFERROR(__xludf.DUMMYFUNCTION("""COMPUTED_VALUE"""),1.0)</f>
        <v>1</v>
      </c>
      <c r="W31" s="308" t="str">
        <f t="shared" si="102"/>
        <v>p90</v>
      </c>
      <c r="X31" s="293">
        <f>SUMPRODUCT((data_segment_HC_gains!$A$25:$A$44="100+")*(data_segment_HC_gains!$B$25:$B$44=W31)*data_segment_HC_gains!$C$25:$C$44)</f>
        <v>179</v>
      </c>
      <c r="Y31" s="266">
        <f>SUMPRODUCT((data_segment_HC_gains!$A$25:$A$44="100+")*(data_segment_HC_gains!$B$25:$B$44=W31)*data_segment_HC_gains!$E$25:$E$44)</f>
        <v>2269.96</v>
      </c>
      <c r="Z31" s="267">
        <f>SUMPRODUCT((data_raw_slopes!$A$2:$A$41="100+")*(data_raw_slopes!$B$2:$B$41="payer")*(data_raw_slopes!$C$2:$C$41=W31)*data_raw_slopes!$E$2:$E$41)</f>
        <v>2566.89</v>
      </c>
      <c r="AA31" s="294">
        <f t="shared" si="103"/>
        <v>-296.93</v>
      </c>
      <c r="AB31" s="266">
        <f>SUMPRODUCT((data_segment_HC_gains!$A$25:$A$44="100+")*(data_segment_HC_gains!$B$25:$B$44=W31)*data_segment_HC_gains!$G$25:$G$44)</f>
        <v>400.43</v>
      </c>
      <c r="AC31" s="269">
        <f t="shared" si="104"/>
        <v>205.85</v>
      </c>
      <c r="AD31" s="269">
        <f>Y31-AB31*(1-(saga_progression_new!$K$17/saga_progression_old!$C$16))+SUM($F$29:F31)</f>
        <v>2812.540714</v>
      </c>
      <c r="AE31" s="270">
        <f>Z31+(IF(SUMPRODUCT((data_raw_slopes!$A$2:$A$41="100+")*(data_raw_slopes!$B$2:$B$41="payer")*(data_raw_slopes!$C$2:$C$41=W31)*data_raw_slopes!$F$2:$F$41)&gt;0,SUMPRODUCT((data_raw_slopes!$A$2:$A$41="100+")*(data_raw_slopes!$B$2:$B$41="payer")*(data_raw_slopes!$C$2:$C$41=W31)*data_raw_slopes!$F$2:$F$41),SUMPRODUCT((data_raw_slopes!$A$2:$A$41="100+")*(data_raw_slopes!$B$2:$B$41="payer")*(data_raw_slopes!$C$2:$C$41=W31)*data_raw_slopes!$G$2:$G$41)))*X31*0.15</f>
        <v>2819.54313</v>
      </c>
      <c r="AF31" s="295">
        <f t="shared" si="105"/>
        <v>-7.002415714</v>
      </c>
      <c r="AG31" s="272">
        <f>AB31*(saga_progression_new!$K$17/saga_progression_old!$C$16)</f>
        <v>143.0107143</v>
      </c>
      <c r="AH31" s="296">
        <f t="shared" si="106"/>
        <v>289.9275843</v>
      </c>
      <c r="AI31" s="274">
        <f t="shared" si="107"/>
        <v>26.85</v>
      </c>
      <c r="AJ31" s="275">
        <f t="shared" si="108"/>
        <v>-257.4192857</v>
      </c>
      <c r="AK31" s="275">
        <f t="shared" si="109"/>
        <v>252.65313</v>
      </c>
      <c r="AL31" s="276"/>
      <c r="AM31" s="277">
        <f>SUMPRODUCT((data_segment_HC_gains!$A$48:$A$67="100+")*(data_segment_HC_gains!$B$48:$B$67=W31)*data_segment_HC_gains!$C$48:$C$67)</f>
        <v>172</v>
      </c>
      <c r="AN31" s="277">
        <f>SUMPRODUCT((data_segment_HC_gains!$A$48:$A$67="100+")*(data_segment_HC_gains!$B$48:$B$67=W31)*data_segment_HC_gains!$E$48:$E$67)</f>
        <v>912.86</v>
      </c>
      <c r="AO31" s="277">
        <f>SUMPRODUCT((data_raw_slopes!$A$2:$A$41="100+")*(data_raw_slopes!$B$2:$B$41="nonpayer")*(data_raw_slopes!$C$2:$C$41=W31)*data_raw_slopes!$E$2:$E$41)</f>
        <v>1103.44</v>
      </c>
      <c r="AP31" s="277">
        <f t="shared" si="110"/>
        <v>-190.58</v>
      </c>
      <c r="AQ31" s="277">
        <f>SUMPRODUCT((data_segment_HC_gains!$A$48:$A$67="100+")*(data_segment_HC_gains!$B$48:$B$67=W31)*data_segment_HC_gains!$G$48:$G$67)</f>
        <v>381.8</v>
      </c>
      <c r="AR31" s="269">
        <f t="shared" si="111"/>
        <v>197.8</v>
      </c>
      <c r="AS31" s="269">
        <f>AN31-AQ31*(1-(saga_progression_new!$K$17/saga_progression_old!$C$16))+SUM($F$29:F31)</f>
        <v>1467.417143</v>
      </c>
      <c r="AT31" s="269">
        <f>AO31+(IF(SUMPRODUCT((data_raw_slopes!$A$2:$A$41="100+")*(data_raw_slopes!$B$2:$B$41="nonpayer")*(data_raw_slopes!$C$2:$C$41=W31)*data_raw_slopes!$F$2:$F$41)&gt;0,SUMPRODUCT((data_raw_slopes!$A$2:$A$41="100+")*(data_raw_slopes!$B$2:$B$41="nonpayer")*(data_raw_slopes!$C$2:$C$41=W31)*data_raw_slopes!$F$2:$F$41),SUMPRODUCT((data_raw_slopes!$A$2:$A$41="100+")*(data_raw_slopes!$B$2:$B$41="nonpayer")*(data_raw_slopes!$C$2:$C$41=W31)*data_raw_slopes!$G$2:$G$41)))*AM31*0.15</f>
        <v>1219.65352</v>
      </c>
      <c r="AU31" s="269">
        <f t="shared" si="112"/>
        <v>247.7636229</v>
      </c>
      <c r="AV31" s="269">
        <f>AQ31*(saga_progression_new!$K$17/saga_progression_old!$C$16)</f>
        <v>136.3571429</v>
      </c>
      <c r="AW31" s="275">
        <f t="shared" si="113"/>
        <v>438.3436229</v>
      </c>
      <c r="AX31" s="275">
        <f t="shared" si="114"/>
        <v>25.8</v>
      </c>
      <c r="AY31" s="275">
        <f t="shared" si="115"/>
        <v>-245.4428571</v>
      </c>
      <c r="AZ31" s="275">
        <f t="shared" si="116"/>
        <v>116.21352</v>
      </c>
      <c r="BA31" s="54"/>
      <c r="BB31" s="278">
        <v>0.0</v>
      </c>
      <c r="BC31" s="279">
        <v>0.0</v>
      </c>
      <c r="BD31" s="307">
        <v>0.0</v>
      </c>
      <c r="BE31" s="279">
        <v>0.0</v>
      </c>
      <c r="BF31" s="279">
        <v>1.0</v>
      </c>
      <c r="BG31" s="279">
        <v>0.0</v>
      </c>
      <c r="BH31" s="307">
        <v>1.0</v>
      </c>
      <c r="BI31" s="279">
        <v>0.0</v>
      </c>
      <c r="BJ31" s="279">
        <v>0.0</v>
      </c>
      <c r="BK31" s="279">
        <v>0.0</v>
      </c>
      <c r="BL31" s="280">
        <v>0.0</v>
      </c>
      <c r="BM31" s="297">
        <f t="shared" si="117"/>
        <v>217</v>
      </c>
      <c r="BN31" s="221"/>
      <c r="BO31" s="221"/>
      <c r="BP31" s="221"/>
      <c r="BQ31" s="221"/>
      <c r="BR31" s="221"/>
    </row>
    <row r="32" ht="15.75" customHeight="1">
      <c r="A32" s="220"/>
      <c r="B32" s="220"/>
      <c r="C32" s="220"/>
      <c r="D32" s="220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1"/>
      <c r="X32" s="222"/>
      <c r="Y32" s="222"/>
      <c r="Z32" s="222"/>
      <c r="AA32" s="222"/>
      <c r="AB32" s="222"/>
      <c r="AC32" s="222"/>
      <c r="AD32" s="222"/>
      <c r="AE32" s="222"/>
      <c r="AF32" s="222"/>
      <c r="AG32" s="222"/>
      <c r="AH32" s="222"/>
      <c r="AI32" s="222"/>
      <c r="AJ32" s="222"/>
      <c r="AK32" s="222"/>
      <c r="AL32" s="222"/>
      <c r="AM32" s="222"/>
      <c r="AN32" s="222"/>
      <c r="AO32" s="222"/>
      <c r="AP32" s="222"/>
      <c r="AQ32" s="222"/>
      <c r="AR32" s="222"/>
      <c r="AS32" s="222"/>
      <c r="AT32" s="222"/>
      <c r="AU32" s="222"/>
      <c r="AV32" s="222"/>
      <c r="AW32" s="222"/>
      <c r="AX32" s="222"/>
      <c r="AY32" s="222"/>
      <c r="AZ32" s="222"/>
      <c r="BA32" s="221"/>
      <c r="BB32" s="221"/>
      <c r="BC32" s="221"/>
      <c r="BD32" s="221"/>
      <c r="BE32" s="221"/>
      <c r="BF32" s="221"/>
      <c r="BG32" s="221"/>
      <c r="BH32" s="221"/>
      <c r="BI32" s="221"/>
      <c r="BJ32" s="221"/>
      <c r="BK32" s="221"/>
      <c r="BL32" s="221"/>
      <c r="BM32" s="221"/>
      <c r="BN32" s="221"/>
      <c r="BO32" s="221"/>
      <c r="BP32" s="221"/>
      <c r="BQ32" s="221"/>
      <c r="BR32" s="221"/>
    </row>
    <row r="33" ht="15.75" customHeight="1">
      <c r="A33" s="220"/>
      <c r="B33" s="220"/>
      <c r="C33" s="22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1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1"/>
      <c r="BB33" s="221"/>
      <c r="BC33" s="221"/>
      <c r="BD33" s="221"/>
      <c r="BE33" s="221"/>
      <c r="BF33" s="221"/>
      <c r="BG33" s="221"/>
      <c r="BH33" s="221"/>
      <c r="BI33" s="221"/>
      <c r="BJ33" s="221"/>
      <c r="BK33" s="221"/>
      <c r="BL33" s="221"/>
      <c r="BM33" s="221"/>
      <c r="BN33" s="221"/>
      <c r="BO33" s="221"/>
      <c r="BP33" s="221"/>
      <c r="BQ33" s="221"/>
      <c r="BR33" s="221"/>
    </row>
    <row r="34" ht="15.75" customHeight="1">
      <c r="A34" s="22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1"/>
      <c r="X34" s="222"/>
      <c r="Y34" s="222"/>
      <c r="Z34" s="222"/>
      <c r="AA34" s="222"/>
      <c r="AB34" s="222"/>
      <c r="AC34" s="222"/>
      <c r="AD34" s="222"/>
      <c r="AE34" s="222"/>
      <c r="AF34" s="222"/>
      <c r="AG34" s="222"/>
      <c r="AH34" s="222"/>
      <c r="AI34" s="222"/>
      <c r="AJ34" s="222"/>
      <c r="AK34" s="222"/>
      <c r="AL34" s="222"/>
      <c r="AM34" s="222"/>
      <c r="AN34" s="222"/>
      <c r="AO34" s="222"/>
      <c r="AP34" s="222"/>
      <c r="AQ34" s="222"/>
      <c r="AR34" s="222"/>
      <c r="AS34" s="222"/>
      <c r="AT34" s="222"/>
      <c r="AU34" s="222"/>
      <c r="AV34" s="222"/>
      <c r="AW34" s="222"/>
      <c r="AX34" s="222"/>
      <c r="AY34" s="222"/>
      <c r="AZ34" s="222"/>
      <c r="BA34" s="221"/>
      <c r="BB34" s="221"/>
      <c r="BC34" s="221"/>
      <c r="BD34" s="221"/>
      <c r="BE34" s="221"/>
      <c r="BF34" s="221"/>
      <c r="BG34" s="221"/>
      <c r="BH34" s="221"/>
      <c r="BI34" s="221"/>
      <c r="BJ34" s="221"/>
      <c r="BK34" s="221"/>
      <c r="BL34" s="221"/>
      <c r="BM34" s="221"/>
      <c r="BN34" s="221"/>
      <c r="BO34" s="221"/>
      <c r="BP34" s="221"/>
      <c r="BQ34" s="221"/>
      <c r="BR34" s="221"/>
    </row>
    <row r="35" ht="15.75" customHeight="1">
      <c r="A35" s="22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1"/>
      <c r="X35" s="222"/>
      <c r="Y35" s="222"/>
      <c r="Z35" s="222"/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2"/>
      <c r="AQ35" s="222"/>
      <c r="AR35" s="222"/>
      <c r="AS35" s="222"/>
      <c r="AT35" s="222"/>
      <c r="AU35" s="222"/>
      <c r="AV35" s="222"/>
      <c r="AW35" s="222"/>
      <c r="AX35" s="222"/>
      <c r="AY35" s="222"/>
      <c r="AZ35" s="222"/>
      <c r="BA35" s="221"/>
      <c r="BB35" s="221"/>
      <c r="BC35" s="221"/>
      <c r="BD35" s="221"/>
      <c r="BE35" s="221"/>
      <c r="BF35" s="221"/>
      <c r="BG35" s="221"/>
      <c r="BH35" s="221"/>
      <c r="BI35" s="221"/>
      <c r="BJ35" s="221"/>
      <c r="BK35" s="221"/>
      <c r="BL35" s="221"/>
      <c r="BM35" s="221"/>
      <c r="BN35" s="221"/>
      <c r="BO35" s="221"/>
      <c r="BP35" s="221"/>
      <c r="BQ35" s="221"/>
      <c r="BR35" s="221"/>
    </row>
    <row r="36" ht="15.75" customHeight="1">
      <c r="A36" s="220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309"/>
      <c r="Y36" s="309"/>
      <c r="Z36" s="309"/>
      <c r="AA36" s="309"/>
      <c r="AB36" s="309"/>
      <c r="AC36" s="309"/>
      <c r="AD36" s="309"/>
      <c r="AE36" s="309"/>
      <c r="AF36" s="309"/>
      <c r="AG36" s="309"/>
      <c r="AH36" s="309"/>
      <c r="AI36" s="309"/>
      <c r="AJ36" s="309"/>
      <c r="AK36" s="309"/>
      <c r="AL36" s="309"/>
      <c r="AM36" s="309"/>
      <c r="AN36" s="309"/>
      <c r="AO36" s="309"/>
      <c r="AP36" s="309"/>
      <c r="AQ36" s="309"/>
      <c r="AR36" s="309"/>
      <c r="AS36" s="309"/>
      <c r="AT36" s="309"/>
      <c r="AU36" s="309"/>
      <c r="AV36" s="309"/>
      <c r="AW36" s="309"/>
      <c r="AX36" s="309"/>
      <c r="AY36" s="309"/>
      <c r="AZ36" s="309"/>
      <c r="BA36" s="310"/>
      <c r="BB36" s="310"/>
      <c r="BC36" s="310"/>
      <c r="BD36" s="310"/>
      <c r="BE36" s="310"/>
      <c r="BF36" s="310"/>
      <c r="BG36" s="310"/>
      <c r="BH36" s="310"/>
      <c r="BI36" s="310"/>
      <c r="BJ36" s="310"/>
      <c r="BK36" s="310"/>
      <c r="BL36" s="310"/>
      <c r="BM36" s="310"/>
      <c r="BN36" s="221"/>
      <c r="BO36" s="221"/>
      <c r="BP36" s="221"/>
      <c r="BQ36" s="221"/>
      <c r="BR36" s="221"/>
    </row>
    <row r="37" ht="15.75" customHeight="1">
      <c r="A37" s="22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309"/>
      <c r="Y37" s="309"/>
      <c r="Z37" s="309"/>
      <c r="AA37" s="309"/>
      <c r="AB37" s="309"/>
      <c r="AC37" s="309"/>
      <c r="AD37" s="309"/>
      <c r="AE37" s="309"/>
      <c r="AF37" s="309"/>
      <c r="AG37" s="309"/>
      <c r="AH37" s="309"/>
      <c r="AI37" s="309"/>
      <c r="AJ37" s="309"/>
      <c r="AK37" s="309"/>
      <c r="AL37" s="309"/>
      <c r="AM37" s="309"/>
      <c r="AN37" s="309"/>
      <c r="AO37" s="309"/>
      <c r="AP37" s="309"/>
      <c r="AQ37" s="309"/>
      <c r="AR37" s="309"/>
      <c r="AS37" s="309"/>
      <c r="AT37" s="309"/>
      <c r="AU37" s="309"/>
      <c r="AV37" s="309"/>
      <c r="AW37" s="309"/>
      <c r="AX37" s="309"/>
      <c r="AY37" s="309"/>
      <c r="AZ37" s="309"/>
      <c r="BA37" s="310"/>
      <c r="BB37" s="310"/>
      <c r="BC37" s="310"/>
      <c r="BD37" s="310"/>
      <c r="BE37" s="310"/>
      <c r="BF37" s="310"/>
      <c r="BG37" s="310"/>
      <c r="BH37" s="310"/>
      <c r="BI37" s="310"/>
      <c r="BJ37" s="310"/>
      <c r="BK37" s="310"/>
      <c r="BL37" s="310"/>
      <c r="BM37" s="310"/>
      <c r="BN37" s="221"/>
      <c r="BO37" s="221"/>
      <c r="BP37" s="221"/>
      <c r="BQ37" s="221"/>
      <c r="BR37" s="221"/>
    </row>
    <row r="38" ht="15.75" customHeight="1">
      <c r="A38" s="220"/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309"/>
      <c r="Y38" s="309"/>
      <c r="Z38" s="309"/>
      <c r="AA38" s="309"/>
      <c r="AB38" s="309"/>
      <c r="AC38" s="309"/>
      <c r="AD38" s="309"/>
      <c r="AE38" s="309"/>
      <c r="AF38" s="309"/>
      <c r="AG38" s="309"/>
      <c r="AH38" s="309"/>
      <c r="AI38" s="309"/>
      <c r="AJ38" s="309"/>
      <c r="AK38" s="309"/>
      <c r="AL38" s="309"/>
      <c r="AM38" s="309"/>
      <c r="AN38" s="309"/>
      <c r="AO38" s="309"/>
      <c r="AP38" s="309"/>
      <c r="AQ38" s="309"/>
      <c r="AR38" s="309"/>
      <c r="AS38" s="309"/>
      <c r="AT38" s="309"/>
      <c r="AU38" s="309"/>
      <c r="AV38" s="309"/>
      <c r="AW38" s="309"/>
      <c r="AX38" s="309"/>
      <c r="AY38" s="309"/>
      <c r="AZ38" s="309"/>
      <c r="BA38" s="310"/>
      <c r="BB38" s="310"/>
      <c r="BC38" s="310"/>
      <c r="BD38" s="310"/>
      <c r="BE38" s="310"/>
      <c r="BF38" s="310"/>
      <c r="BG38" s="310"/>
      <c r="BH38" s="310"/>
      <c r="BI38" s="310"/>
      <c r="BJ38" s="310"/>
      <c r="BK38" s="310"/>
      <c r="BL38" s="310"/>
      <c r="BM38" s="310"/>
      <c r="BN38" s="221"/>
      <c r="BO38" s="221"/>
      <c r="BP38" s="221"/>
      <c r="BQ38" s="221"/>
      <c r="BR38" s="221"/>
    </row>
    <row r="39" ht="15.75" customHeight="1">
      <c r="A39" s="220"/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309"/>
      <c r="Y39" s="309"/>
      <c r="Z39" s="309"/>
      <c r="AA39" s="309"/>
      <c r="AB39" s="309"/>
      <c r="AC39" s="309"/>
      <c r="AD39" s="309"/>
      <c r="AE39" s="309"/>
      <c r="AF39" s="309"/>
      <c r="AG39" s="309"/>
      <c r="AH39" s="309"/>
      <c r="AI39" s="309"/>
      <c r="AJ39" s="309"/>
      <c r="AK39" s="309"/>
      <c r="AL39" s="309"/>
      <c r="AM39" s="309"/>
      <c r="AN39" s="309"/>
      <c r="AO39" s="309"/>
      <c r="AP39" s="309"/>
      <c r="AQ39" s="309"/>
      <c r="AR39" s="309"/>
      <c r="AS39" s="309"/>
      <c r="AT39" s="309"/>
      <c r="AU39" s="309"/>
      <c r="AV39" s="309"/>
      <c r="AW39" s="309"/>
      <c r="AX39" s="309"/>
      <c r="AY39" s="309"/>
      <c r="AZ39" s="309"/>
      <c r="BA39" s="310"/>
      <c r="BB39" s="310"/>
      <c r="BC39" s="310"/>
      <c r="BD39" s="310"/>
      <c r="BE39" s="310"/>
      <c r="BF39" s="310"/>
      <c r="BG39" s="310"/>
      <c r="BH39" s="310"/>
      <c r="BI39" s="310"/>
      <c r="BJ39" s="310"/>
      <c r="BK39" s="310"/>
      <c r="BL39" s="310"/>
      <c r="BM39" s="310"/>
      <c r="BN39" s="221"/>
      <c r="BO39" s="221"/>
      <c r="BP39" s="221"/>
      <c r="BQ39" s="221"/>
      <c r="BR39" s="221"/>
    </row>
    <row r="40" ht="15.75" customHeight="1">
      <c r="A40" s="220"/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309"/>
      <c r="Y40" s="309"/>
      <c r="Z40" s="309"/>
      <c r="AA40" s="309"/>
      <c r="AB40" s="309"/>
      <c r="AC40" s="309"/>
      <c r="AD40" s="309"/>
      <c r="AE40" s="309"/>
      <c r="AF40" s="309"/>
      <c r="AG40" s="309"/>
      <c r="AH40" s="309"/>
      <c r="AI40" s="309"/>
      <c r="AJ40" s="309"/>
      <c r="AK40" s="309"/>
      <c r="AL40" s="309"/>
      <c r="AM40" s="309"/>
      <c r="AN40" s="309"/>
      <c r="AO40" s="309"/>
      <c r="AP40" s="309"/>
      <c r="AQ40" s="309"/>
      <c r="AR40" s="309"/>
      <c r="AS40" s="309"/>
      <c r="AT40" s="309"/>
      <c r="AU40" s="309"/>
      <c r="AV40" s="309"/>
      <c r="AW40" s="309"/>
      <c r="AX40" s="309"/>
      <c r="AY40" s="309"/>
      <c r="AZ40" s="309"/>
      <c r="BA40" s="310"/>
      <c r="BB40" s="310"/>
      <c r="BC40" s="310"/>
      <c r="BD40" s="310"/>
      <c r="BE40" s="310"/>
      <c r="BF40" s="310"/>
      <c r="BG40" s="310"/>
      <c r="BH40" s="310"/>
      <c r="BI40" s="310"/>
      <c r="BJ40" s="310"/>
      <c r="BK40" s="310"/>
      <c r="BL40" s="310"/>
      <c r="BM40" s="310"/>
      <c r="BN40" s="221"/>
      <c r="BO40" s="221"/>
      <c r="BP40" s="221"/>
      <c r="BQ40" s="221"/>
      <c r="BR40" s="221"/>
    </row>
    <row r="41" ht="15.75" customHeight="1">
      <c r="A41" s="22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309"/>
      <c r="Y41" s="309"/>
      <c r="Z41" s="309"/>
      <c r="AA41" s="309"/>
      <c r="AB41" s="309"/>
      <c r="AC41" s="309"/>
      <c r="AD41" s="309"/>
      <c r="AE41" s="309"/>
      <c r="AF41" s="309"/>
      <c r="AG41" s="309"/>
      <c r="AH41" s="309"/>
      <c r="AI41" s="309"/>
      <c r="AJ41" s="309"/>
      <c r="AK41" s="309"/>
      <c r="AL41" s="309"/>
      <c r="AM41" s="309"/>
      <c r="AN41" s="309"/>
      <c r="AO41" s="309"/>
      <c r="AP41" s="309"/>
      <c r="AQ41" s="309"/>
      <c r="AR41" s="309"/>
      <c r="AS41" s="309"/>
      <c r="AT41" s="309"/>
      <c r="AU41" s="309"/>
      <c r="AV41" s="309"/>
      <c r="AW41" s="309"/>
      <c r="AX41" s="309"/>
      <c r="AY41" s="309"/>
      <c r="AZ41" s="309"/>
      <c r="BA41" s="310"/>
      <c r="BB41" s="310"/>
      <c r="BC41" s="310"/>
      <c r="BD41" s="310"/>
      <c r="BE41" s="310"/>
      <c r="BF41" s="310"/>
      <c r="BG41" s="310"/>
      <c r="BH41" s="310"/>
      <c r="BI41" s="310"/>
      <c r="BJ41" s="310"/>
      <c r="BK41" s="310"/>
      <c r="BL41" s="310"/>
      <c r="BM41" s="310"/>
      <c r="BN41" s="221"/>
      <c r="BO41" s="221"/>
      <c r="BP41" s="221"/>
      <c r="BQ41" s="221"/>
      <c r="BR41" s="221"/>
    </row>
    <row r="42" ht="15.75" customHeight="1">
      <c r="A42" s="220"/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309"/>
      <c r="Y42" s="309"/>
      <c r="Z42" s="309"/>
      <c r="AA42" s="309"/>
      <c r="AB42" s="309"/>
      <c r="AC42" s="309"/>
      <c r="AD42" s="309"/>
      <c r="AE42" s="309"/>
      <c r="AF42" s="309"/>
      <c r="AG42" s="309"/>
      <c r="AH42" s="309"/>
      <c r="AI42" s="309"/>
      <c r="AJ42" s="309"/>
      <c r="AK42" s="309"/>
      <c r="AL42" s="309"/>
      <c r="AM42" s="309"/>
      <c r="AN42" s="309"/>
      <c r="AO42" s="309"/>
      <c r="AP42" s="309"/>
      <c r="AQ42" s="309"/>
      <c r="AR42" s="309"/>
      <c r="AS42" s="309"/>
      <c r="AT42" s="309"/>
      <c r="AU42" s="309"/>
      <c r="AV42" s="309"/>
      <c r="AW42" s="309"/>
      <c r="AX42" s="309"/>
      <c r="AY42" s="309"/>
      <c r="AZ42" s="309"/>
      <c r="BA42" s="310"/>
      <c r="BB42" s="310"/>
      <c r="BC42" s="310"/>
      <c r="BD42" s="310"/>
      <c r="BE42" s="310"/>
      <c r="BF42" s="310"/>
      <c r="BG42" s="310"/>
      <c r="BH42" s="310"/>
      <c r="BI42" s="310"/>
      <c r="BJ42" s="310"/>
      <c r="BK42" s="310"/>
      <c r="BL42" s="310"/>
      <c r="BM42" s="310"/>
      <c r="BN42" s="221"/>
      <c r="BO42" s="221"/>
      <c r="BP42" s="221"/>
      <c r="BQ42" s="221"/>
      <c r="BR42" s="221"/>
    </row>
    <row r="43" ht="15.75" customHeight="1">
      <c r="A43" s="22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309"/>
      <c r="Y43" s="309"/>
      <c r="Z43" s="309"/>
      <c r="AA43" s="309"/>
      <c r="AB43" s="309"/>
      <c r="AC43" s="309"/>
      <c r="AD43" s="309"/>
      <c r="AE43" s="309"/>
      <c r="AF43" s="309"/>
      <c r="AG43" s="309"/>
      <c r="AH43" s="309"/>
      <c r="AI43" s="309"/>
      <c r="AJ43" s="309"/>
      <c r="AK43" s="309"/>
      <c r="AL43" s="309"/>
      <c r="AM43" s="309"/>
      <c r="AN43" s="309"/>
      <c r="AO43" s="309"/>
      <c r="AP43" s="309"/>
      <c r="AQ43" s="309"/>
      <c r="AR43" s="309"/>
      <c r="AS43" s="309"/>
      <c r="AT43" s="309"/>
      <c r="AU43" s="309"/>
      <c r="AV43" s="309"/>
      <c r="AW43" s="309"/>
      <c r="AX43" s="309"/>
      <c r="AY43" s="309"/>
      <c r="AZ43" s="309"/>
      <c r="BA43" s="310"/>
      <c r="BB43" s="310"/>
      <c r="BC43" s="310"/>
      <c r="BD43" s="310"/>
      <c r="BE43" s="310"/>
      <c r="BF43" s="310"/>
      <c r="BG43" s="310"/>
      <c r="BH43" s="310"/>
      <c r="BI43" s="310"/>
      <c r="BJ43" s="310"/>
      <c r="BK43" s="310"/>
      <c r="BL43" s="310"/>
      <c r="BM43" s="310"/>
      <c r="BN43" s="221"/>
      <c r="BO43" s="221"/>
      <c r="BP43" s="221"/>
      <c r="BQ43" s="221"/>
      <c r="BR43" s="221"/>
    </row>
    <row r="44" ht="15.75" customHeight="1">
      <c r="A44" s="220"/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309"/>
      <c r="Y44" s="309"/>
      <c r="Z44" s="309"/>
      <c r="AA44" s="309"/>
      <c r="AB44" s="309"/>
      <c r="AC44" s="309"/>
      <c r="AD44" s="309"/>
      <c r="AE44" s="309"/>
      <c r="AF44" s="309"/>
      <c r="AG44" s="309"/>
      <c r="AH44" s="309"/>
      <c r="AI44" s="309"/>
      <c r="AJ44" s="309"/>
      <c r="AK44" s="309"/>
      <c r="AL44" s="309"/>
      <c r="AM44" s="309"/>
      <c r="AN44" s="309"/>
      <c r="AO44" s="309"/>
      <c r="AP44" s="309"/>
      <c r="AQ44" s="309"/>
      <c r="AR44" s="309"/>
      <c r="AS44" s="309"/>
      <c r="AT44" s="309"/>
      <c r="AU44" s="309"/>
      <c r="AV44" s="309"/>
      <c r="AW44" s="309"/>
      <c r="AX44" s="309"/>
      <c r="AY44" s="309"/>
      <c r="AZ44" s="309"/>
      <c r="BA44" s="310"/>
      <c r="BB44" s="310"/>
      <c r="BC44" s="310"/>
      <c r="BD44" s="310"/>
      <c r="BE44" s="310"/>
      <c r="BF44" s="310"/>
      <c r="BG44" s="310"/>
      <c r="BH44" s="310"/>
      <c r="BI44" s="310"/>
      <c r="BJ44" s="310"/>
      <c r="BK44" s="310"/>
      <c r="BL44" s="310"/>
      <c r="BM44" s="310"/>
      <c r="BN44" s="221"/>
      <c r="BO44" s="221"/>
      <c r="BP44" s="221"/>
      <c r="BQ44" s="221"/>
      <c r="BR44" s="221"/>
    </row>
    <row r="45" ht="15.75" customHeight="1">
      <c r="A45" s="220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309"/>
      <c r="Y45" s="309"/>
      <c r="Z45" s="309"/>
      <c r="AA45" s="309"/>
      <c r="AB45" s="309"/>
      <c r="AC45" s="309"/>
      <c r="AD45" s="309"/>
      <c r="AE45" s="309"/>
      <c r="AF45" s="309"/>
      <c r="AG45" s="309"/>
      <c r="AH45" s="309"/>
      <c r="AI45" s="309"/>
      <c r="AJ45" s="309"/>
      <c r="AK45" s="309"/>
      <c r="AL45" s="309"/>
      <c r="AM45" s="309"/>
      <c r="AN45" s="309"/>
      <c r="AO45" s="309"/>
      <c r="AP45" s="309"/>
      <c r="AQ45" s="309"/>
      <c r="AR45" s="309"/>
      <c r="AS45" s="309"/>
      <c r="AT45" s="309"/>
      <c r="AU45" s="309"/>
      <c r="AV45" s="309"/>
      <c r="AW45" s="309"/>
      <c r="AX45" s="309"/>
      <c r="AY45" s="309"/>
      <c r="AZ45" s="309"/>
      <c r="BA45" s="310"/>
      <c r="BB45" s="310"/>
      <c r="BC45" s="310"/>
      <c r="BD45" s="310"/>
      <c r="BE45" s="310"/>
      <c r="BF45" s="310"/>
      <c r="BG45" s="310"/>
      <c r="BH45" s="310"/>
      <c r="BI45" s="310"/>
      <c r="BJ45" s="310"/>
      <c r="BK45" s="310"/>
      <c r="BL45" s="310"/>
      <c r="BM45" s="310"/>
      <c r="BN45" s="221"/>
      <c r="BO45" s="221"/>
      <c r="BP45" s="221"/>
      <c r="BQ45" s="221"/>
      <c r="BR45" s="221"/>
    </row>
    <row r="46" ht="15.75" customHeight="1">
      <c r="A46" s="22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309"/>
      <c r="Y46" s="309"/>
      <c r="Z46" s="309"/>
      <c r="AA46" s="309"/>
      <c r="AB46" s="309"/>
      <c r="AC46" s="309"/>
      <c r="AD46" s="309"/>
      <c r="AE46" s="309"/>
      <c r="AF46" s="309"/>
      <c r="AG46" s="309"/>
      <c r="AH46" s="309"/>
      <c r="AI46" s="309"/>
      <c r="AJ46" s="309"/>
      <c r="AK46" s="309"/>
      <c r="AL46" s="309"/>
      <c r="AM46" s="309"/>
      <c r="AN46" s="309"/>
      <c r="AO46" s="309"/>
      <c r="AP46" s="309"/>
      <c r="AQ46" s="309"/>
      <c r="AR46" s="309"/>
      <c r="AS46" s="309"/>
      <c r="AT46" s="309"/>
      <c r="AU46" s="309"/>
      <c r="AV46" s="309"/>
      <c r="AW46" s="309"/>
      <c r="AX46" s="309"/>
      <c r="AY46" s="309"/>
      <c r="AZ46" s="309"/>
      <c r="BA46" s="310"/>
      <c r="BB46" s="310"/>
      <c r="BC46" s="310"/>
      <c r="BD46" s="310"/>
      <c r="BE46" s="310"/>
      <c r="BF46" s="310"/>
      <c r="BG46" s="310"/>
      <c r="BH46" s="310"/>
      <c r="BI46" s="310"/>
      <c r="BJ46" s="310"/>
      <c r="BK46" s="310"/>
      <c r="BL46" s="310"/>
      <c r="BM46" s="310"/>
      <c r="BN46" s="221"/>
      <c r="BO46" s="221"/>
      <c r="BP46" s="221"/>
      <c r="BQ46" s="221"/>
      <c r="BR46" s="221"/>
    </row>
    <row r="47" ht="15.75" customHeight="1">
      <c r="A47" s="22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309"/>
      <c r="Y47" s="309"/>
      <c r="Z47" s="309"/>
      <c r="AA47" s="309"/>
      <c r="AB47" s="309"/>
      <c r="AC47" s="309"/>
      <c r="AD47" s="309"/>
      <c r="AE47" s="309"/>
      <c r="AF47" s="309"/>
      <c r="AG47" s="309"/>
      <c r="AH47" s="309"/>
      <c r="AI47" s="309"/>
      <c r="AJ47" s="309"/>
      <c r="AK47" s="309"/>
      <c r="AL47" s="309"/>
      <c r="AM47" s="309"/>
      <c r="AN47" s="309"/>
      <c r="AO47" s="309"/>
      <c r="AP47" s="309"/>
      <c r="AQ47" s="309"/>
      <c r="AR47" s="309"/>
      <c r="AS47" s="309"/>
      <c r="AT47" s="309"/>
      <c r="AU47" s="309"/>
      <c r="AV47" s="309"/>
      <c r="AW47" s="309"/>
      <c r="AX47" s="309"/>
      <c r="AY47" s="309"/>
      <c r="AZ47" s="309"/>
      <c r="BA47" s="310"/>
      <c r="BB47" s="310"/>
      <c r="BC47" s="310"/>
      <c r="BD47" s="310"/>
      <c r="BE47" s="310"/>
      <c r="BF47" s="310"/>
      <c r="BG47" s="310"/>
      <c r="BH47" s="310"/>
      <c r="BI47" s="310"/>
      <c r="BJ47" s="310"/>
      <c r="BK47" s="310"/>
      <c r="BL47" s="310"/>
      <c r="BM47" s="310"/>
      <c r="BN47" s="221"/>
      <c r="BO47" s="221"/>
      <c r="BP47" s="221"/>
      <c r="BQ47" s="221"/>
      <c r="BR47" s="221"/>
    </row>
    <row r="48" ht="15.75" customHeight="1">
      <c r="A48" s="220"/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309"/>
      <c r="Y48" s="309"/>
      <c r="Z48" s="309"/>
      <c r="AA48" s="309"/>
      <c r="AB48" s="309"/>
      <c r="AC48" s="309"/>
      <c r="AD48" s="309"/>
      <c r="AE48" s="309"/>
      <c r="AF48" s="309"/>
      <c r="AG48" s="309"/>
      <c r="AH48" s="309"/>
      <c r="AI48" s="309"/>
      <c r="AJ48" s="309"/>
      <c r="AK48" s="309"/>
      <c r="AL48" s="309"/>
      <c r="AM48" s="309"/>
      <c r="AN48" s="309"/>
      <c r="AO48" s="309"/>
      <c r="AP48" s="309"/>
      <c r="AQ48" s="309"/>
      <c r="AR48" s="309"/>
      <c r="AS48" s="309"/>
      <c r="AT48" s="309"/>
      <c r="AU48" s="309"/>
      <c r="AV48" s="309"/>
      <c r="AW48" s="309"/>
      <c r="AX48" s="309"/>
      <c r="AY48" s="309"/>
      <c r="AZ48" s="309"/>
      <c r="BA48" s="310"/>
      <c r="BB48" s="310"/>
      <c r="BC48" s="310"/>
      <c r="BD48" s="310"/>
      <c r="BE48" s="310"/>
      <c r="BF48" s="310"/>
      <c r="BG48" s="310"/>
      <c r="BH48" s="310"/>
      <c r="BI48" s="310"/>
      <c r="BJ48" s="310"/>
      <c r="BK48" s="310"/>
      <c r="BL48" s="310"/>
      <c r="BM48" s="310"/>
      <c r="BN48" s="221"/>
      <c r="BO48" s="221"/>
      <c r="BP48" s="221"/>
      <c r="BQ48" s="221"/>
      <c r="BR48" s="221"/>
    </row>
    <row r="49" ht="15.75" customHeight="1">
      <c r="A49" s="220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309"/>
      <c r="Y49" s="309"/>
      <c r="Z49" s="309"/>
      <c r="AA49" s="309"/>
      <c r="AB49" s="309"/>
      <c r="AC49" s="309"/>
      <c r="AD49" s="309"/>
      <c r="AE49" s="309"/>
      <c r="AF49" s="309"/>
      <c r="AG49" s="309"/>
      <c r="AH49" s="309"/>
      <c r="AI49" s="309"/>
      <c r="AJ49" s="309"/>
      <c r="AK49" s="309"/>
      <c r="AL49" s="309"/>
      <c r="AM49" s="309"/>
      <c r="AN49" s="309"/>
      <c r="AO49" s="309"/>
      <c r="AP49" s="309"/>
      <c r="AQ49" s="309"/>
      <c r="AR49" s="309"/>
      <c r="AS49" s="309"/>
      <c r="AT49" s="309"/>
      <c r="AU49" s="309"/>
      <c r="AV49" s="309"/>
      <c r="AW49" s="309"/>
      <c r="AX49" s="309"/>
      <c r="AY49" s="309"/>
      <c r="AZ49" s="309"/>
      <c r="BA49" s="310"/>
      <c r="BB49" s="310"/>
      <c r="BC49" s="310"/>
      <c r="BD49" s="310"/>
      <c r="BE49" s="310"/>
      <c r="BF49" s="310"/>
      <c r="BG49" s="310"/>
      <c r="BH49" s="310"/>
      <c r="BI49" s="310"/>
      <c r="BJ49" s="310"/>
      <c r="BK49" s="310"/>
      <c r="BL49" s="310"/>
      <c r="BM49" s="310"/>
      <c r="BN49" s="221"/>
      <c r="BO49" s="221"/>
      <c r="BP49" s="221"/>
      <c r="BQ49" s="221"/>
      <c r="BR49" s="221"/>
    </row>
    <row r="50" ht="15.75" customHeight="1">
      <c r="A50" s="220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309"/>
      <c r="Y50" s="309"/>
      <c r="Z50" s="309"/>
      <c r="AA50" s="309"/>
      <c r="AB50" s="309"/>
      <c r="AC50" s="309"/>
      <c r="AD50" s="309"/>
      <c r="AE50" s="309"/>
      <c r="AF50" s="309"/>
      <c r="AG50" s="309"/>
      <c r="AH50" s="309"/>
      <c r="AI50" s="309"/>
      <c r="AJ50" s="309"/>
      <c r="AK50" s="309"/>
      <c r="AL50" s="309"/>
      <c r="AM50" s="309"/>
      <c r="AN50" s="309"/>
      <c r="AO50" s="309"/>
      <c r="AP50" s="309"/>
      <c r="AQ50" s="309"/>
      <c r="AR50" s="309"/>
      <c r="AS50" s="309"/>
      <c r="AT50" s="309"/>
      <c r="AU50" s="309"/>
      <c r="AV50" s="309"/>
      <c r="AW50" s="309"/>
      <c r="AX50" s="309"/>
      <c r="AY50" s="309"/>
      <c r="AZ50" s="309"/>
      <c r="BA50" s="310"/>
      <c r="BB50" s="310"/>
      <c r="BC50" s="310"/>
      <c r="BD50" s="310"/>
      <c r="BE50" s="310"/>
      <c r="BF50" s="310"/>
      <c r="BG50" s="310"/>
      <c r="BH50" s="310"/>
      <c r="BI50" s="310"/>
      <c r="BJ50" s="310"/>
      <c r="BK50" s="310"/>
      <c r="BL50" s="310"/>
      <c r="BM50" s="310"/>
      <c r="BN50" s="221"/>
      <c r="BO50" s="221"/>
      <c r="BP50" s="221"/>
      <c r="BQ50" s="221"/>
      <c r="BR50" s="221"/>
    </row>
    <row r="51" ht="15.75" customHeight="1">
      <c r="A51" s="220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309"/>
      <c r="Y51" s="309"/>
      <c r="Z51" s="309"/>
      <c r="AA51" s="309"/>
      <c r="AB51" s="309"/>
      <c r="AC51" s="309"/>
      <c r="AD51" s="309"/>
      <c r="AE51" s="309"/>
      <c r="AF51" s="309"/>
      <c r="AG51" s="309"/>
      <c r="AH51" s="309"/>
      <c r="AI51" s="309"/>
      <c r="AJ51" s="309"/>
      <c r="AK51" s="309"/>
      <c r="AL51" s="309"/>
      <c r="AM51" s="309"/>
      <c r="AN51" s="309"/>
      <c r="AO51" s="309"/>
      <c r="AP51" s="309"/>
      <c r="AQ51" s="309"/>
      <c r="AR51" s="309"/>
      <c r="AS51" s="309"/>
      <c r="AT51" s="309"/>
      <c r="AU51" s="309"/>
      <c r="AV51" s="309"/>
      <c r="AW51" s="309"/>
      <c r="AX51" s="309"/>
      <c r="AY51" s="309"/>
      <c r="AZ51" s="309"/>
      <c r="BA51" s="310"/>
      <c r="BB51" s="310"/>
      <c r="BC51" s="310"/>
      <c r="BD51" s="310"/>
      <c r="BE51" s="310"/>
      <c r="BF51" s="310"/>
      <c r="BG51" s="310"/>
      <c r="BH51" s="310"/>
      <c r="BI51" s="310"/>
      <c r="BJ51" s="310"/>
      <c r="BK51" s="310"/>
      <c r="BL51" s="310"/>
      <c r="BM51" s="310"/>
      <c r="BN51" s="221"/>
      <c r="BO51" s="221"/>
      <c r="BP51" s="221"/>
      <c r="BQ51" s="221"/>
      <c r="BR51" s="221"/>
    </row>
    <row r="52" ht="15.75" customHeight="1">
      <c r="A52" s="22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309"/>
      <c r="Y52" s="309"/>
      <c r="Z52" s="309"/>
      <c r="AA52" s="309"/>
      <c r="AB52" s="309"/>
      <c r="AC52" s="309"/>
      <c r="AD52" s="309"/>
      <c r="AE52" s="309"/>
      <c r="AF52" s="309"/>
      <c r="AG52" s="309"/>
      <c r="AH52" s="309"/>
      <c r="AI52" s="309"/>
      <c r="AJ52" s="309"/>
      <c r="AK52" s="309"/>
      <c r="AL52" s="309"/>
      <c r="AM52" s="309"/>
      <c r="AN52" s="309"/>
      <c r="AO52" s="309"/>
      <c r="AP52" s="309"/>
      <c r="AQ52" s="309"/>
      <c r="AR52" s="309"/>
      <c r="AS52" s="309"/>
      <c r="AT52" s="309"/>
      <c r="AU52" s="309"/>
      <c r="AV52" s="309"/>
      <c r="AW52" s="309"/>
      <c r="AX52" s="309"/>
      <c r="AY52" s="309"/>
      <c r="AZ52" s="309"/>
      <c r="BA52" s="310"/>
      <c r="BB52" s="310"/>
      <c r="BC52" s="310"/>
      <c r="BD52" s="310"/>
      <c r="BE52" s="310"/>
      <c r="BF52" s="310"/>
      <c r="BG52" s="310"/>
      <c r="BH52" s="310"/>
      <c r="BI52" s="310"/>
      <c r="BJ52" s="310"/>
      <c r="BK52" s="310"/>
      <c r="BL52" s="310"/>
      <c r="BM52" s="310"/>
      <c r="BN52" s="221"/>
      <c r="BO52" s="221"/>
      <c r="BP52" s="221"/>
      <c r="BQ52" s="221"/>
      <c r="BR52" s="221"/>
    </row>
    <row r="53" ht="15.75" customHeight="1">
      <c r="A53" s="220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309"/>
      <c r="Y53" s="309"/>
      <c r="Z53" s="309"/>
      <c r="AA53" s="309"/>
      <c r="AB53" s="309"/>
      <c r="AC53" s="309"/>
      <c r="AD53" s="309"/>
      <c r="AE53" s="309"/>
      <c r="AF53" s="309"/>
      <c r="AG53" s="309"/>
      <c r="AH53" s="309"/>
      <c r="AI53" s="309"/>
      <c r="AJ53" s="309"/>
      <c r="AK53" s="309"/>
      <c r="AL53" s="309"/>
      <c r="AM53" s="309"/>
      <c r="AN53" s="309"/>
      <c r="AO53" s="309"/>
      <c r="AP53" s="309"/>
      <c r="AQ53" s="309"/>
      <c r="AR53" s="309"/>
      <c r="AS53" s="309"/>
      <c r="AT53" s="309"/>
      <c r="AU53" s="309"/>
      <c r="AV53" s="309"/>
      <c r="AW53" s="309"/>
      <c r="AX53" s="309"/>
      <c r="AY53" s="309"/>
      <c r="AZ53" s="309"/>
      <c r="BA53" s="310"/>
      <c r="BB53" s="310"/>
      <c r="BC53" s="310"/>
      <c r="BD53" s="310"/>
      <c r="BE53" s="310"/>
      <c r="BF53" s="310"/>
      <c r="BG53" s="310"/>
      <c r="BH53" s="310"/>
      <c r="BI53" s="310"/>
      <c r="BJ53" s="310"/>
      <c r="BK53" s="310"/>
      <c r="BL53" s="310"/>
      <c r="BM53" s="310"/>
      <c r="BN53" s="221"/>
      <c r="BO53" s="221"/>
      <c r="BP53" s="221"/>
      <c r="BQ53" s="221"/>
      <c r="BR53" s="221"/>
    </row>
    <row r="54" ht="15.75" customHeight="1">
      <c r="A54" s="22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309"/>
      <c r="Y54" s="309"/>
      <c r="Z54" s="309"/>
      <c r="AA54" s="309"/>
      <c r="AB54" s="309"/>
      <c r="AC54" s="309"/>
      <c r="AD54" s="309"/>
      <c r="AE54" s="309"/>
      <c r="AF54" s="309"/>
      <c r="AG54" s="309"/>
      <c r="AH54" s="309"/>
      <c r="AI54" s="309"/>
      <c r="AJ54" s="309"/>
      <c r="AK54" s="309"/>
      <c r="AL54" s="309"/>
      <c r="AM54" s="309"/>
      <c r="AN54" s="309"/>
      <c r="AO54" s="309"/>
      <c r="AP54" s="309"/>
      <c r="AQ54" s="309"/>
      <c r="AR54" s="309"/>
      <c r="AS54" s="309"/>
      <c r="AT54" s="309"/>
      <c r="AU54" s="309"/>
      <c r="AV54" s="309"/>
      <c r="AW54" s="309"/>
      <c r="AX54" s="309"/>
      <c r="AY54" s="309"/>
      <c r="AZ54" s="309"/>
      <c r="BA54" s="310"/>
      <c r="BB54" s="310"/>
      <c r="BC54" s="310"/>
      <c r="BD54" s="310"/>
      <c r="BE54" s="310"/>
      <c r="BF54" s="310"/>
      <c r="BG54" s="310"/>
      <c r="BH54" s="310"/>
      <c r="BI54" s="310"/>
      <c r="BJ54" s="310"/>
      <c r="BK54" s="310"/>
      <c r="BL54" s="310"/>
      <c r="BM54" s="310"/>
      <c r="BN54" s="221"/>
      <c r="BO54" s="221"/>
      <c r="BP54" s="221"/>
      <c r="BQ54" s="221"/>
      <c r="BR54" s="221"/>
    </row>
    <row r="55" ht="15.75" customHeight="1">
      <c r="A55" s="220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309"/>
      <c r="Y55" s="309"/>
      <c r="Z55" s="309"/>
      <c r="AA55" s="309"/>
      <c r="AB55" s="309"/>
      <c r="AC55" s="309"/>
      <c r="AD55" s="309"/>
      <c r="AE55" s="309"/>
      <c r="AF55" s="309"/>
      <c r="AG55" s="309"/>
      <c r="AH55" s="309"/>
      <c r="AI55" s="309"/>
      <c r="AJ55" s="309"/>
      <c r="AK55" s="309"/>
      <c r="AL55" s="309"/>
      <c r="AM55" s="309"/>
      <c r="AN55" s="309"/>
      <c r="AO55" s="309"/>
      <c r="AP55" s="309"/>
      <c r="AQ55" s="309"/>
      <c r="AR55" s="309"/>
      <c r="AS55" s="309"/>
      <c r="AT55" s="309"/>
      <c r="AU55" s="309"/>
      <c r="AV55" s="309"/>
      <c r="AW55" s="309"/>
      <c r="AX55" s="309"/>
      <c r="AY55" s="309"/>
      <c r="AZ55" s="309"/>
      <c r="BA55" s="310"/>
      <c r="BB55" s="310"/>
      <c r="BC55" s="310"/>
      <c r="BD55" s="310"/>
      <c r="BE55" s="310"/>
      <c r="BF55" s="310"/>
      <c r="BG55" s="310"/>
      <c r="BH55" s="310"/>
      <c r="BI55" s="310"/>
      <c r="BJ55" s="310"/>
      <c r="BK55" s="310"/>
      <c r="BL55" s="310"/>
      <c r="BM55" s="310"/>
      <c r="BN55" s="221"/>
      <c r="BO55" s="221"/>
      <c r="BP55" s="221"/>
      <c r="BQ55" s="221"/>
      <c r="BR55" s="221"/>
    </row>
    <row r="56" ht="15.75" customHeight="1">
      <c r="A56" s="22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309"/>
      <c r="Y56" s="309"/>
      <c r="Z56" s="309"/>
      <c r="AA56" s="309"/>
      <c r="AB56" s="309"/>
      <c r="AC56" s="309"/>
      <c r="AD56" s="309"/>
      <c r="AE56" s="309"/>
      <c r="AF56" s="309"/>
      <c r="AG56" s="309"/>
      <c r="AH56" s="309"/>
      <c r="AI56" s="309"/>
      <c r="AJ56" s="309"/>
      <c r="AK56" s="309"/>
      <c r="AL56" s="309"/>
      <c r="AM56" s="309"/>
      <c r="AN56" s="309"/>
      <c r="AO56" s="309"/>
      <c r="AP56" s="309"/>
      <c r="AQ56" s="309"/>
      <c r="AR56" s="309"/>
      <c r="AS56" s="309"/>
      <c r="AT56" s="309"/>
      <c r="AU56" s="309"/>
      <c r="AV56" s="309"/>
      <c r="AW56" s="309"/>
      <c r="AX56" s="309"/>
      <c r="AY56" s="309"/>
      <c r="AZ56" s="309"/>
      <c r="BA56" s="310"/>
      <c r="BB56" s="310"/>
      <c r="BC56" s="310"/>
      <c r="BD56" s="310"/>
      <c r="BE56" s="310"/>
      <c r="BF56" s="310"/>
      <c r="BG56" s="310"/>
      <c r="BH56" s="310"/>
      <c r="BI56" s="310"/>
      <c r="BJ56" s="310"/>
      <c r="BK56" s="310"/>
      <c r="BL56" s="310"/>
      <c r="BM56" s="310"/>
      <c r="BN56" s="221"/>
      <c r="BO56" s="221"/>
      <c r="BP56" s="221"/>
      <c r="BQ56" s="221"/>
      <c r="BR56" s="221"/>
    </row>
    <row r="57" ht="15.75" customHeight="1">
      <c r="A57" s="220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309"/>
      <c r="Y57" s="309"/>
      <c r="Z57" s="309"/>
      <c r="AA57" s="309"/>
      <c r="AB57" s="309"/>
      <c r="AC57" s="309"/>
      <c r="AD57" s="309"/>
      <c r="AE57" s="309"/>
      <c r="AF57" s="309"/>
      <c r="AG57" s="309"/>
      <c r="AH57" s="309"/>
      <c r="AI57" s="309"/>
      <c r="AJ57" s="309"/>
      <c r="AK57" s="309"/>
      <c r="AL57" s="309"/>
      <c r="AM57" s="309"/>
      <c r="AN57" s="309"/>
      <c r="AO57" s="309"/>
      <c r="AP57" s="309"/>
      <c r="AQ57" s="309"/>
      <c r="AR57" s="309"/>
      <c r="AS57" s="309"/>
      <c r="AT57" s="309"/>
      <c r="AU57" s="309"/>
      <c r="AV57" s="309"/>
      <c r="AW57" s="309"/>
      <c r="AX57" s="309"/>
      <c r="AY57" s="309"/>
      <c r="AZ57" s="309"/>
      <c r="BA57" s="310"/>
      <c r="BB57" s="310"/>
      <c r="BC57" s="310"/>
      <c r="BD57" s="310"/>
      <c r="BE57" s="310"/>
      <c r="BF57" s="310"/>
      <c r="BG57" s="310"/>
      <c r="BH57" s="310"/>
      <c r="BI57" s="310"/>
      <c r="BJ57" s="310"/>
      <c r="BK57" s="310"/>
      <c r="BL57" s="310"/>
      <c r="BM57" s="310"/>
      <c r="BN57" s="221"/>
      <c r="BO57" s="221"/>
      <c r="BP57" s="221"/>
      <c r="BQ57" s="221"/>
      <c r="BR57" s="221"/>
    </row>
    <row r="58" ht="15.75" customHeight="1">
      <c r="A58" s="22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309"/>
      <c r="Y58" s="309"/>
      <c r="Z58" s="309"/>
      <c r="AA58" s="309"/>
      <c r="AB58" s="309"/>
      <c r="AC58" s="309"/>
      <c r="AD58" s="309"/>
      <c r="AE58" s="309"/>
      <c r="AF58" s="309"/>
      <c r="AG58" s="309"/>
      <c r="AH58" s="309"/>
      <c r="AI58" s="309"/>
      <c r="AJ58" s="309"/>
      <c r="AK58" s="309"/>
      <c r="AL58" s="309"/>
      <c r="AM58" s="309"/>
      <c r="AN58" s="309"/>
      <c r="AO58" s="309"/>
      <c r="AP58" s="309"/>
      <c r="AQ58" s="309"/>
      <c r="AR58" s="309"/>
      <c r="AS58" s="309"/>
      <c r="AT58" s="309"/>
      <c r="AU58" s="309"/>
      <c r="AV58" s="309"/>
      <c r="AW58" s="309"/>
      <c r="AX58" s="309"/>
      <c r="AY58" s="309"/>
      <c r="AZ58" s="309"/>
      <c r="BA58" s="310"/>
      <c r="BB58" s="310"/>
      <c r="BC58" s="310"/>
      <c r="BD58" s="310"/>
      <c r="BE58" s="310"/>
      <c r="BF58" s="310"/>
      <c r="BG58" s="310"/>
      <c r="BH58" s="310"/>
      <c r="BI58" s="310"/>
      <c r="BJ58" s="310"/>
      <c r="BK58" s="310"/>
      <c r="BL58" s="310"/>
      <c r="BM58" s="310"/>
      <c r="BN58" s="221"/>
      <c r="BO58" s="221"/>
      <c r="BP58" s="221"/>
      <c r="BQ58" s="221"/>
      <c r="BR58" s="221"/>
    </row>
    <row r="59" ht="15.75" customHeight="1">
      <c r="A59" s="220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309"/>
      <c r="Y59" s="309"/>
      <c r="Z59" s="309"/>
      <c r="AA59" s="309"/>
      <c r="AB59" s="309"/>
      <c r="AC59" s="309"/>
      <c r="AD59" s="309"/>
      <c r="AE59" s="309"/>
      <c r="AF59" s="309"/>
      <c r="AG59" s="309"/>
      <c r="AH59" s="309"/>
      <c r="AI59" s="309"/>
      <c r="AJ59" s="309"/>
      <c r="AK59" s="309"/>
      <c r="AL59" s="309"/>
      <c r="AM59" s="309"/>
      <c r="AN59" s="309"/>
      <c r="AO59" s="309"/>
      <c r="AP59" s="309"/>
      <c r="AQ59" s="309"/>
      <c r="AR59" s="309"/>
      <c r="AS59" s="309"/>
      <c r="AT59" s="309"/>
      <c r="AU59" s="309"/>
      <c r="AV59" s="309"/>
      <c r="AW59" s="309"/>
      <c r="AX59" s="309"/>
      <c r="AY59" s="309"/>
      <c r="AZ59" s="309"/>
      <c r="BA59" s="310"/>
      <c r="BB59" s="310"/>
      <c r="BC59" s="310"/>
      <c r="BD59" s="310"/>
      <c r="BE59" s="310"/>
      <c r="BF59" s="310"/>
      <c r="BG59" s="310"/>
      <c r="BH59" s="310"/>
      <c r="BI59" s="310"/>
      <c r="BJ59" s="310"/>
      <c r="BK59" s="310"/>
      <c r="BL59" s="310"/>
      <c r="BM59" s="310"/>
      <c r="BN59" s="221"/>
      <c r="BO59" s="221"/>
      <c r="BP59" s="221"/>
      <c r="BQ59" s="221"/>
      <c r="BR59" s="221"/>
    </row>
    <row r="60" ht="15.75" customHeight="1">
      <c r="A60" s="220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309"/>
      <c r="Y60" s="309"/>
      <c r="Z60" s="309"/>
      <c r="AA60" s="309"/>
      <c r="AB60" s="309"/>
      <c r="AC60" s="309"/>
      <c r="AD60" s="309"/>
      <c r="AE60" s="309"/>
      <c r="AF60" s="309"/>
      <c r="AG60" s="309"/>
      <c r="AH60" s="309"/>
      <c r="AI60" s="309"/>
      <c r="AJ60" s="309"/>
      <c r="AK60" s="309"/>
      <c r="AL60" s="309"/>
      <c r="AM60" s="309"/>
      <c r="AN60" s="309"/>
      <c r="AO60" s="309"/>
      <c r="AP60" s="309"/>
      <c r="AQ60" s="309"/>
      <c r="AR60" s="309"/>
      <c r="AS60" s="309"/>
      <c r="AT60" s="309"/>
      <c r="AU60" s="309"/>
      <c r="AV60" s="309"/>
      <c r="AW60" s="309"/>
      <c r="AX60" s="309"/>
      <c r="AY60" s="309"/>
      <c r="AZ60" s="309"/>
      <c r="BA60" s="310"/>
      <c r="BB60" s="310"/>
      <c r="BC60" s="310"/>
      <c r="BD60" s="310"/>
      <c r="BE60" s="310"/>
      <c r="BF60" s="310"/>
      <c r="BG60" s="310"/>
      <c r="BH60" s="310"/>
      <c r="BI60" s="310"/>
      <c r="BJ60" s="310"/>
      <c r="BK60" s="310"/>
      <c r="BL60" s="310"/>
      <c r="BM60" s="310"/>
      <c r="BN60" s="221"/>
      <c r="BO60" s="221"/>
      <c r="BP60" s="221"/>
      <c r="BQ60" s="221"/>
      <c r="BR60" s="221"/>
    </row>
    <row r="61" ht="15.75" customHeight="1">
      <c r="A61" s="22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309"/>
      <c r="Y61" s="309"/>
      <c r="Z61" s="309"/>
      <c r="AA61" s="309"/>
      <c r="AB61" s="309"/>
      <c r="AC61" s="309"/>
      <c r="AD61" s="309"/>
      <c r="AE61" s="309"/>
      <c r="AF61" s="309"/>
      <c r="AG61" s="309"/>
      <c r="AH61" s="309"/>
      <c r="AI61" s="309"/>
      <c r="AJ61" s="309"/>
      <c r="AK61" s="309"/>
      <c r="AL61" s="309"/>
      <c r="AM61" s="309"/>
      <c r="AN61" s="309"/>
      <c r="AO61" s="309"/>
      <c r="AP61" s="309"/>
      <c r="AQ61" s="309"/>
      <c r="AR61" s="309"/>
      <c r="AS61" s="309"/>
      <c r="AT61" s="309"/>
      <c r="AU61" s="309"/>
      <c r="AV61" s="309"/>
      <c r="AW61" s="309"/>
      <c r="AX61" s="309"/>
      <c r="AY61" s="309"/>
      <c r="AZ61" s="309"/>
      <c r="BA61" s="310"/>
      <c r="BB61" s="310"/>
      <c r="BC61" s="310"/>
      <c r="BD61" s="310"/>
      <c r="BE61" s="310"/>
      <c r="BF61" s="310"/>
      <c r="BG61" s="310"/>
      <c r="BH61" s="310"/>
      <c r="BI61" s="310"/>
      <c r="BJ61" s="310"/>
      <c r="BK61" s="310"/>
      <c r="BL61" s="310"/>
      <c r="BM61" s="310"/>
      <c r="BN61" s="221"/>
      <c r="BO61" s="221"/>
      <c r="BP61" s="221"/>
      <c r="BQ61" s="221"/>
      <c r="BR61" s="221"/>
    </row>
    <row r="62" ht="15.75" customHeight="1">
      <c r="A62" s="220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309"/>
      <c r="Y62" s="309"/>
      <c r="Z62" s="309"/>
      <c r="AA62" s="309"/>
      <c r="AB62" s="309"/>
      <c r="AC62" s="309"/>
      <c r="AD62" s="309"/>
      <c r="AE62" s="309"/>
      <c r="AF62" s="309"/>
      <c r="AG62" s="309"/>
      <c r="AH62" s="309"/>
      <c r="AI62" s="309"/>
      <c r="AJ62" s="309"/>
      <c r="AK62" s="309"/>
      <c r="AL62" s="309"/>
      <c r="AM62" s="309"/>
      <c r="AN62" s="309"/>
      <c r="AO62" s="309"/>
      <c r="AP62" s="309"/>
      <c r="AQ62" s="309"/>
      <c r="AR62" s="309"/>
      <c r="AS62" s="309"/>
      <c r="AT62" s="309"/>
      <c r="AU62" s="309"/>
      <c r="AV62" s="309"/>
      <c r="AW62" s="309"/>
      <c r="AX62" s="309"/>
      <c r="AY62" s="309"/>
      <c r="AZ62" s="309"/>
      <c r="BA62" s="310"/>
      <c r="BB62" s="310"/>
      <c r="BC62" s="310"/>
      <c r="BD62" s="310"/>
      <c r="BE62" s="310"/>
      <c r="BF62" s="310"/>
      <c r="BG62" s="310"/>
      <c r="BH62" s="310"/>
      <c r="BI62" s="310"/>
      <c r="BJ62" s="310"/>
      <c r="BK62" s="310"/>
      <c r="BL62" s="310"/>
      <c r="BM62" s="310"/>
      <c r="BN62" s="221"/>
      <c r="BO62" s="221"/>
      <c r="BP62" s="221"/>
      <c r="BQ62" s="221"/>
      <c r="BR62" s="221"/>
    </row>
    <row r="63" ht="15.75" customHeight="1">
      <c r="A63" s="22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309"/>
      <c r="Y63" s="309"/>
      <c r="Z63" s="309"/>
      <c r="AA63" s="309"/>
      <c r="AB63" s="309"/>
      <c r="AC63" s="309"/>
      <c r="AD63" s="309"/>
      <c r="AE63" s="309"/>
      <c r="AF63" s="309"/>
      <c r="AG63" s="309"/>
      <c r="AH63" s="309"/>
      <c r="AI63" s="309"/>
      <c r="AJ63" s="309"/>
      <c r="AK63" s="309"/>
      <c r="AL63" s="309"/>
      <c r="AM63" s="309"/>
      <c r="AN63" s="309"/>
      <c r="AO63" s="309"/>
      <c r="AP63" s="309"/>
      <c r="AQ63" s="309"/>
      <c r="AR63" s="309"/>
      <c r="AS63" s="309"/>
      <c r="AT63" s="309"/>
      <c r="AU63" s="309"/>
      <c r="AV63" s="309"/>
      <c r="AW63" s="309"/>
      <c r="AX63" s="309"/>
      <c r="AY63" s="309"/>
      <c r="AZ63" s="309"/>
      <c r="BA63" s="310"/>
      <c r="BB63" s="310"/>
      <c r="BC63" s="310"/>
      <c r="BD63" s="310"/>
      <c r="BE63" s="310"/>
      <c r="BF63" s="310"/>
      <c r="BG63" s="310"/>
      <c r="BH63" s="310"/>
      <c r="BI63" s="310"/>
      <c r="BJ63" s="310"/>
      <c r="BK63" s="310"/>
      <c r="BL63" s="310"/>
      <c r="BM63" s="310"/>
      <c r="BN63" s="221"/>
      <c r="BO63" s="221"/>
      <c r="BP63" s="221"/>
      <c r="BQ63" s="221"/>
      <c r="BR63" s="221"/>
    </row>
    <row r="64" ht="15.75" customHeight="1">
      <c r="A64" s="220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309"/>
      <c r="Y64" s="309"/>
      <c r="Z64" s="309"/>
      <c r="AA64" s="309"/>
      <c r="AB64" s="309"/>
      <c r="AC64" s="309"/>
      <c r="AD64" s="309"/>
      <c r="AE64" s="309"/>
      <c r="AF64" s="309"/>
      <c r="AG64" s="309"/>
      <c r="AH64" s="309"/>
      <c r="AI64" s="309"/>
      <c r="AJ64" s="309"/>
      <c r="AK64" s="309"/>
      <c r="AL64" s="309"/>
      <c r="AM64" s="309"/>
      <c r="AN64" s="309"/>
      <c r="AO64" s="309"/>
      <c r="AP64" s="309"/>
      <c r="AQ64" s="309"/>
      <c r="AR64" s="309"/>
      <c r="AS64" s="309"/>
      <c r="AT64" s="309"/>
      <c r="AU64" s="309"/>
      <c r="AV64" s="309"/>
      <c r="AW64" s="309"/>
      <c r="AX64" s="309"/>
      <c r="AY64" s="309"/>
      <c r="AZ64" s="309"/>
      <c r="BA64" s="310"/>
      <c r="BB64" s="310"/>
      <c r="BC64" s="310"/>
      <c r="BD64" s="310"/>
      <c r="BE64" s="310"/>
      <c r="BF64" s="310"/>
      <c r="BG64" s="310"/>
      <c r="BH64" s="310"/>
      <c r="BI64" s="310"/>
      <c r="BJ64" s="310"/>
      <c r="BK64" s="310"/>
      <c r="BL64" s="310"/>
      <c r="BM64" s="310"/>
      <c r="BN64" s="221"/>
      <c r="BO64" s="221"/>
      <c r="BP64" s="221"/>
      <c r="BQ64" s="221"/>
      <c r="BR64" s="221"/>
    </row>
    <row r="65" ht="15.75" customHeight="1">
      <c r="A65" s="220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309"/>
      <c r="Y65" s="309"/>
      <c r="Z65" s="309"/>
      <c r="AA65" s="309"/>
      <c r="AB65" s="309"/>
      <c r="AC65" s="309"/>
      <c r="AD65" s="309"/>
      <c r="AE65" s="309"/>
      <c r="AF65" s="309"/>
      <c r="AG65" s="309"/>
      <c r="AH65" s="309"/>
      <c r="AI65" s="309"/>
      <c r="AJ65" s="309"/>
      <c r="AK65" s="309"/>
      <c r="AL65" s="309"/>
      <c r="AM65" s="309"/>
      <c r="AN65" s="309"/>
      <c r="AO65" s="309"/>
      <c r="AP65" s="309"/>
      <c r="AQ65" s="309"/>
      <c r="AR65" s="309"/>
      <c r="AS65" s="309"/>
      <c r="AT65" s="309"/>
      <c r="AU65" s="309"/>
      <c r="AV65" s="309"/>
      <c r="AW65" s="309"/>
      <c r="AX65" s="309"/>
      <c r="AY65" s="309"/>
      <c r="AZ65" s="309"/>
      <c r="BA65" s="310"/>
      <c r="BB65" s="310"/>
      <c r="BC65" s="310"/>
      <c r="BD65" s="310"/>
      <c r="BE65" s="310"/>
      <c r="BF65" s="310"/>
      <c r="BG65" s="310"/>
      <c r="BH65" s="310"/>
      <c r="BI65" s="310"/>
      <c r="BJ65" s="310"/>
      <c r="BK65" s="310"/>
      <c r="BL65" s="310"/>
      <c r="BM65" s="310"/>
      <c r="BN65" s="221"/>
      <c r="BO65" s="221"/>
      <c r="BP65" s="221"/>
      <c r="BQ65" s="221"/>
      <c r="BR65" s="221"/>
    </row>
    <row r="66" ht="15.75" customHeight="1">
      <c r="A66" s="220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309"/>
      <c r="Y66" s="309"/>
      <c r="Z66" s="309"/>
      <c r="AA66" s="309"/>
      <c r="AB66" s="309"/>
      <c r="AC66" s="309"/>
      <c r="AD66" s="309"/>
      <c r="AE66" s="309"/>
      <c r="AF66" s="309"/>
      <c r="AG66" s="309"/>
      <c r="AH66" s="309"/>
      <c r="AI66" s="309"/>
      <c r="AJ66" s="309"/>
      <c r="AK66" s="309"/>
      <c r="AL66" s="309"/>
      <c r="AM66" s="309"/>
      <c r="AN66" s="309"/>
      <c r="AO66" s="309"/>
      <c r="AP66" s="309"/>
      <c r="AQ66" s="309"/>
      <c r="AR66" s="309"/>
      <c r="AS66" s="309"/>
      <c r="AT66" s="309"/>
      <c r="AU66" s="309"/>
      <c r="AV66" s="309"/>
      <c r="AW66" s="309"/>
      <c r="AX66" s="309"/>
      <c r="AY66" s="309"/>
      <c r="AZ66" s="309"/>
      <c r="BA66" s="310"/>
      <c r="BB66" s="310"/>
      <c r="BC66" s="310"/>
      <c r="BD66" s="310"/>
      <c r="BE66" s="310"/>
      <c r="BF66" s="310"/>
      <c r="BG66" s="310"/>
      <c r="BH66" s="310"/>
      <c r="BI66" s="310"/>
      <c r="BJ66" s="310"/>
      <c r="BK66" s="310"/>
      <c r="BL66" s="310"/>
      <c r="BM66" s="310"/>
      <c r="BN66" s="221"/>
      <c r="BO66" s="221"/>
      <c r="BP66" s="221"/>
      <c r="BQ66" s="221"/>
      <c r="BR66" s="221"/>
    </row>
    <row r="67" ht="15.75" customHeight="1">
      <c r="A67" s="22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309"/>
      <c r="Y67" s="309"/>
      <c r="Z67" s="309"/>
      <c r="AA67" s="309"/>
      <c r="AB67" s="309"/>
      <c r="AC67" s="309"/>
      <c r="AD67" s="309"/>
      <c r="AE67" s="309"/>
      <c r="AF67" s="309"/>
      <c r="AG67" s="309"/>
      <c r="AH67" s="309"/>
      <c r="AI67" s="309"/>
      <c r="AJ67" s="309"/>
      <c r="AK67" s="309"/>
      <c r="AL67" s="309"/>
      <c r="AM67" s="309"/>
      <c r="AN67" s="309"/>
      <c r="AO67" s="309"/>
      <c r="AP67" s="309"/>
      <c r="AQ67" s="309"/>
      <c r="AR67" s="309"/>
      <c r="AS67" s="309"/>
      <c r="AT67" s="309"/>
      <c r="AU67" s="309"/>
      <c r="AV67" s="309"/>
      <c r="AW67" s="309"/>
      <c r="AX67" s="309"/>
      <c r="AY67" s="309"/>
      <c r="AZ67" s="309"/>
      <c r="BA67" s="310"/>
      <c r="BB67" s="310"/>
      <c r="BC67" s="310"/>
      <c r="BD67" s="310"/>
      <c r="BE67" s="310"/>
      <c r="BF67" s="310"/>
      <c r="BG67" s="310"/>
      <c r="BH67" s="310"/>
      <c r="BI67" s="310"/>
      <c r="BJ67" s="310"/>
      <c r="BK67" s="310"/>
      <c r="BL67" s="310"/>
      <c r="BM67" s="310"/>
      <c r="BN67" s="221"/>
      <c r="BO67" s="221"/>
      <c r="BP67" s="221"/>
      <c r="BQ67" s="221"/>
      <c r="BR67" s="221"/>
    </row>
    <row r="68" ht="15.75" customHeight="1">
      <c r="A68" s="220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309"/>
      <c r="Y68" s="309"/>
      <c r="Z68" s="309"/>
      <c r="AA68" s="309"/>
      <c r="AB68" s="309"/>
      <c r="AC68" s="309"/>
      <c r="AD68" s="309"/>
      <c r="AE68" s="309"/>
      <c r="AF68" s="309"/>
      <c r="AG68" s="309"/>
      <c r="AH68" s="309"/>
      <c r="AI68" s="309"/>
      <c r="AJ68" s="309"/>
      <c r="AK68" s="309"/>
      <c r="AL68" s="309"/>
      <c r="AM68" s="309"/>
      <c r="AN68" s="309"/>
      <c r="AO68" s="309"/>
      <c r="AP68" s="309"/>
      <c r="AQ68" s="309"/>
      <c r="AR68" s="309"/>
      <c r="AS68" s="309"/>
      <c r="AT68" s="309"/>
      <c r="AU68" s="309"/>
      <c r="AV68" s="309"/>
      <c r="AW68" s="309"/>
      <c r="AX68" s="309"/>
      <c r="AY68" s="309"/>
      <c r="AZ68" s="309"/>
      <c r="BA68" s="310"/>
      <c r="BB68" s="310"/>
      <c r="BC68" s="310"/>
      <c r="BD68" s="310"/>
      <c r="BE68" s="310"/>
      <c r="BF68" s="310"/>
      <c r="BG68" s="310"/>
      <c r="BH68" s="310"/>
      <c r="BI68" s="310"/>
      <c r="BJ68" s="310"/>
      <c r="BK68" s="310"/>
      <c r="BL68" s="310"/>
      <c r="BM68" s="310"/>
      <c r="BN68" s="221"/>
      <c r="BO68" s="221"/>
      <c r="BP68" s="221"/>
      <c r="BQ68" s="221"/>
      <c r="BR68" s="221"/>
    </row>
    <row r="69" ht="15.75" customHeight="1">
      <c r="A69" s="220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309"/>
      <c r="Y69" s="309"/>
      <c r="Z69" s="309"/>
      <c r="AA69" s="309"/>
      <c r="AB69" s="309"/>
      <c r="AC69" s="309"/>
      <c r="AD69" s="309"/>
      <c r="AE69" s="309"/>
      <c r="AF69" s="309"/>
      <c r="AG69" s="309"/>
      <c r="AH69" s="309"/>
      <c r="AI69" s="309"/>
      <c r="AJ69" s="309"/>
      <c r="AK69" s="309"/>
      <c r="AL69" s="309"/>
      <c r="AM69" s="309"/>
      <c r="AN69" s="309"/>
      <c r="AO69" s="309"/>
      <c r="AP69" s="309"/>
      <c r="AQ69" s="309"/>
      <c r="AR69" s="309"/>
      <c r="AS69" s="309"/>
      <c r="AT69" s="309"/>
      <c r="AU69" s="309"/>
      <c r="AV69" s="309"/>
      <c r="AW69" s="309"/>
      <c r="AX69" s="309"/>
      <c r="AY69" s="309"/>
      <c r="AZ69" s="309"/>
      <c r="BA69" s="310"/>
      <c r="BB69" s="310"/>
      <c r="BC69" s="310"/>
      <c r="BD69" s="310"/>
      <c r="BE69" s="310"/>
      <c r="BF69" s="310"/>
      <c r="BG69" s="310"/>
      <c r="BH69" s="310"/>
      <c r="BI69" s="310"/>
      <c r="BJ69" s="310"/>
      <c r="BK69" s="310"/>
      <c r="BL69" s="310"/>
      <c r="BM69" s="310"/>
      <c r="BN69" s="221"/>
      <c r="BO69" s="221"/>
      <c r="BP69" s="221"/>
      <c r="BQ69" s="221"/>
      <c r="BR69" s="221"/>
    </row>
    <row r="70" ht="15.75" customHeight="1">
      <c r="A70" s="220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309"/>
      <c r="Y70" s="309"/>
      <c r="Z70" s="309"/>
      <c r="AA70" s="309"/>
      <c r="AB70" s="309"/>
      <c r="AC70" s="309"/>
      <c r="AD70" s="309"/>
      <c r="AE70" s="309"/>
      <c r="AF70" s="309"/>
      <c r="AG70" s="309"/>
      <c r="AH70" s="309"/>
      <c r="AI70" s="309"/>
      <c r="AJ70" s="309"/>
      <c r="AK70" s="309"/>
      <c r="AL70" s="309"/>
      <c r="AM70" s="309"/>
      <c r="AN70" s="309"/>
      <c r="AO70" s="309"/>
      <c r="AP70" s="309"/>
      <c r="AQ70" s="309"/>
      <c r="AR70" s="309"/>
      <c r="AS70" s="309"/>
      <c r="AT70" s="309"/>
      <c r="AU70" s="309"/>
      <c r="AV70" s="309"/>
      <c r="AW70" s="309"/>
      <c r="AX70" s="309"/>
      <c r="AY70" s="309"/>
      <c r="AZ70" s="309"/>
      <c r="BA70" s="310"/>
      <c r="BB70" s="310"/>
      <c r="BC70" s="310"/>
      <c r="BD70" s="310"/>
      <c r="BE70" s="310"/>
      <c r="BF70" s="310"/>
      <c r="BG70" s="310"/>
      <c r="BH70" s="310"/>
      <c r="BI70" s="310"/>
      <c r="BJ70" s="310"/>
      <c r="BK70" s="310"/>
      <c r="BL70" s="310"/>
      <c r="BM70" s="310"/>
      <c r="BN70" s="221"/>
      <c r="BO70" s="221"/>
      <c r="BP70" s="221"/>
      <c r="BQ70" s="221"/>
      <c r="BR70" s="221"/>
    </row>
    <row r="71" ht="15.75" customHeight="1">
      <c r="A71" s="22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309"/>
      <c r="Y71" s="309"/>
      <c r="Z71" s="309"/>
      <c r="AA71" s="309"/>
      <c r="AB71" s="309"/>
      <c r="AC71" s="309"/>
      <c r="AD71" s="309"/>
      <c r="AE71" s="309"/>
      <c r="AF71" s="309"/>
      <c r="AG71" s="309"/>
      <c r="AH71" s="309"/>
      <c r="AI71" s="309"/>
      <c r="AJ71" s="309"/>
      <c r="AK71" s="309"/>
      <c r="AL71" s="309"/>
      <c r="AM71" s="309"/>
      <c r="AN71" s="309"/>
      <c r="AO71" s="309"/>
      <c r="AP71" s="309"/>
      <c r="AQ71" s="309"/>
      <c r="AR71" s="309"/>
      <c r="AS71" s="309"/>
      <c r="AT71" s="309"/>
      <c r="AU71" s="309"/>
      <c r="AV71" s="309"/>
      <c r="AW71" s="309"/>
      <c r="AX71" s="309"/>
      <c r="AY71" s="309"/>
      <c r="AZ71" s="309"/>
      <c r="BA71" s="310"/>
      <c r="BB71" s="310"/>
      <c r="BC71" s="310"/>
      <c r="BD71" s="310"/>
      <c r="BE71" s="310"/>
      <c r="BF71" s="310"/>
      <c r="BG71" s="310"/>
      <c r="BH71" s="310"/>
      <c r="BI71" s="310"/>
      <c r="BJ71" s="310"/>
      <c r="BK71" s="310"/>
      <c r="BL71" s="310"/>
      <c r="BM71" s="310"/>
      <c r="BN71" s="221"/>
      <c r="BO71" s="221"/>
      <c r="BP71" s="221"/>
      <c r="BQ71" s="221"/>
      <c r="BR71" s="221"/>
    </row>
    <row r="72" ht="15.75" customHeight="1">
      <c r="A72" s="220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309"/>
      <c r="Y72" s="309"/>
      <c r="Z72" s="309"/>
      <c r="AA72" s="309"/>
      <c r="AB72" s="309"/>
      <c r="AC72" s="309"/>
      <c r="AD72" s="309"/>
      <c r="AE72" s="309"/>
      <c r="AF72" s="309"/>
      <c r="AG72" s="309"/>
      <c r="AH72" s="309"/>
      <c r="AI72" s="309"/>
      <c r="AJ72" s="309"/>
      <c r="AK72" s="309"/>
      <c r="AL72" s="309"/>
      <c r="AM72" s="309"/>
      <c r="AN72" s="309"/>
      <c r="AO72" s="309"/>
      <c r="AP72" s="309"/>
      <c r="AQ72" s="309"/>
      <c r="AR72" s="309"/>
      <c r="AS72" s="309"/>
      <c r="AT72" s="309"/>
      <c r="AU72" s="309"/>
      <c r="AV72" s="309"/>
      <c r="AW72" s="309"/>
      <c r="AX72" s="309"/>
      <c r="AY72" s="309"/>
      <c r="AZ72" s="309"/>
      <c r="BA72" s="310"/>
      <c r="BB72" s="310"/>
      <c r="BC72" s="310"/>
      <c r="BD72" s="310"/>
      <c r="BE72" s="310"/>
      <c r="BF72" s="310"/>
      <c r="BG72" s="310"/>
      <c r="BH72" s="310"/>
      <c r="BI72" s="310"/>
      <c r="BJ72" s="310"/>
      <c r="BK72" s="310"/>
      <c r="BL72" s="310"/>
      <c r="BM72" s="310"/>
      <c r="BN72" s="221"/>
      <c r="BO72" s="221"/>
      <c r="BP72" s="221"/>
      <c r="BQ72" s="221"/>
      <c r="BR72" s="221"/>
    </row>
    <row r="73" ht="15.75" customHeight="1">
      <c r="A73" s="220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309"/>
      <c r="Y73" s="309"/>
      <c r="Z73" s="309"/>
      <c r="AA73" s="309"/>
      <c r="AB73" s="309"/>
      <c r="AC73" s="309"/>
      <c r="AD73" s="309"/>
      <c r="AE73" s="309"/>
      <c r="AF73" s="309"/>
      <c r="AG73" s="309"/>
      <c r="AH73" s="309"/>
      <c r="AI73" s="309"/>
      <c r="AJ73" s="309"/>
      <c r="AK73" s="309"/>
      <c r="AL73" s="309"/>
      <c r="AM73" s="309"/>
      <c r="AN73" s="309"/>
      <c r="AO73" s="309"/>
      <c r="AP73" s="309"/>
      <c r="AQ73" s="309"/>
      <c r="AR73" s="309"/>
      <c r="AS73" s="309"/>
      <c r="AT73" s="309"/>
      <c r="AU73" s="309"/>
      <c r="AV73" s="309"/>
      <c r="AW73" s="309"/>
      <c r="AX73" s="309"/>
      <c r="AY73" s="309"/>
      <c r="AZ73" s="309"/>
      <c r="BA73" s="310"/>
      <c r="BB73" s="310"/>
      <c r="BC73" s="310"/>
      <c r="BD73" s="310"/>
      <c r="BE73" s="310"/>
      <c r="BF73" s="310"/>
      <c r="BG73" s="310"/>
      <c r="BH73" s="310"/>
      <c r="BI73" s="310"/>
      <c r="BJ73" s="310"/>
      <c r="BK73" s="310"/>
      <c r="BL73" s="310"/>
      <c r="BM73" s="310"/>
      <c r="BN73" s="221"/>
      <c r="BO73" s="221"/>
      <c r="BP73" s="221"/>
      <c r="BQ73" s="221"/>
      <c r="BR73" s="221"/>
    </row>
    <row r="74" ht="15.75" customHeight="1">
      <c r="A74" s="220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309"/>
      <c r="Y74" s="309"/>
      <c r="Z74" s="309"/>
      <c r="AA74" s="309"/>
      <c r="AB74" s="309"/>
      <c r="AC74" s="309"/>
      <c r="AD74" s="309"/>
      <c r="AE74" s="309"/>
      <c r="AF74" s="309"/>
      <c r="AG74" s="309"/>
      <c r="AH74" s="309"/>
      <c r="AI74" s="309"/>
      <c r="AJ74" s="309"/>
      <c r="AK74" s="309"/>
      <c r="AL74" s="309"/>
      <c r="AM74" s="309"/>
      <c r="AN74" s="309"/>
      <c r="AO74" s="309"/>
      <c r="AP74" s="309"/>
      <c r="AQ74" s="309"/>
      <c r="AR74" s="309"/>
      <c r="AS74" s="309"/>
      <c r="AT74" s="309"/>
      <c r="AU74" s="309"/>
      <c r="AV74" s="309"/>
      <c r="AW74" s="309"/>
      <c r="AX74" s="309"/>
      <c r="AY74" s="309"/>
      <c r="AZ74" s="309"/>
      <c r="BA74" s="310"/>
      <c r="BB74" s="310"/>
      <c r="BC74" s="310"/>
      <c r="BD74" s="310"/>
      <c r="BE74" s="310"/>
      <c r="BF74" s="310"/>
      <c r="BG74" s="310"/>
      <c r="BH74" s="310"/>
      <c r="BI74" s="310"/>
      <c r="BJ74" s="310"/>
      <c r="BK74" s="310"/>
      <c r="BL74" s="310"/>
      <c r="BM74" s="310"/>
      <c r="BN74" s="221"/>
      <c r="BO74" s="221"/>
      <c r="BP74" s="221"/>
      <c r="BQ74" s="221"/>
      <c r="BR74" s="221"/>
    </row>
    <row r="75" ht="15.75" customHeight="1">
      <c r="A75" s="22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309"/>
      <c r="Y75" s="309"/>
      <c r="Z75" s="309"/>
      <c r="AA75" s="309"/>
      <c r="AB75" s="309"/>
      <c r="AC75" s="309"/>
      <c r="AD75" s="309"/>
      <c r="AE75" s="309"/>
      <c r="AF75" s="309"/>
      <c r="AG75" s="309"/>
      <c r="AH75" s="309"/>
      <c r="AI75" s="309"/>
      <c r="AJ75" s="309"/>
      <c r="AK75" s="309"/>
      <c r="AL75" s="309"/>
      <c r="AM75" s="309"/>
      <c r="AN75" s="309"/>
      <c r="AO75" s="309"/>
      <c r="AP75" s="309"/>
      <c r="AQ75" s="309"/>
      <c r="AR75" s="309"/>
      <c r="AS75" s="309"/>
      <c r="AT75" s="309"/>
      <c r="AU75" s="309"/>
      <c r="AV75" s="309"/>
      <c r="AW75" s="309"/>
      <c r="AX75" s="309"/>
      <c r="AY75" s="309"/>
      <c r="AZ75" s="309"/>
      <c r="BA75" s="310"/>
      <c r="BB75" s="310"/>
      <c r="BC75" s="310"/>
      <c r="BD75" s="310"/>
      <c r="BE75" s="310"/>
      <c r="BF75" s="310"/>
      <c r="BG75" s="310"/>
      <c r="BH75" s="310"/>
      <c r="BI75" s="310"/>
      <c r="BJ75" s="310"/>
      <c r="BK75" s="310"/>
      <c r="BL75" s="310"/>
      <c r="BM75" s="310"/>
      <c r="BN75" s="221"/>
      <c r="BO75" s="221"/>
      <c r="BP75" s="221"/>
      <c r="BQ75" s="221"/>
      <c r="BR75" s="221"/>
    </row>
    <row r="76" ht="15.75" customHeight="1">
      <c r="A76" s="220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309"/>
      <c r="Y76" s="309"/>
      <c r="Z76" s="309"/>
      <c r="AA76" s="309"/>
      <c r="AB76" s="309"/>
      <c r="AC76" s="309"/>
      <c r="AD76" s="309"/>
      <c r="AE76" s="309"/>
      <c r="AF76" s="309"/>
      <c r="AG76" s="309"/>
      <c r="AH76" s="309"/>
      <c r="AI76" s="309"/>
      <c r="AJ76" s="309"/>
      <c r="AK76" s="309"/>
      <c r="AL76" s="309"/>
      <c r="AM76" s="309"/>
      <c r="AN76" s="309"/>
      <c r="AO76" s="309"/>
      <c r="AP76" s="309"/>
      <c r="AQ76" s="309"/>
      <c r="AR76" s="309"/>
      <c r="AS76" s="309"/>
      <c r="AT76" s="309"/>
      <c r="AU76" s="309"/>
      <c r="AV76" s="309"/>
      <c r="AW76" s="309"/>
      <c r="AX76" s="309"/>
      <c r="AY76" s="309"/>
      <c r="AZ76" s="309"/>
      <c r="BA76" s="310"/>
      <c r="BB76" s="310"/>
      <c r="BC76" s="310"/>
      <c r="BD76" s="310"/>
      <c r="BE76" s="310"/>
      <c r="BF76" s="310"/>
      <c r="BG76" s="310"/>
      <c r="BH76" s="310"/>
      <c r="BI76" s="310"/>
      <c r="BJ76" s="310"/>
      <c r="BK76" s="310"/>
      <c r="BL76" s="310"/>
      <c r="BM76" s="310"/>
      <c r="BN76" s="221"/>
      <c r="BO76" s="221"/>
      <c r="BP76" s="221"/>
      <c r="BQ76" s="221"/>
      <c r="BR76" s="221"/>
    </row>
    <row r="77" ht="15.75" customHeight="1">
      <c r="A77" s="220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309"/>
      <c r="Y77" s="309"/>
      <c r="Z77" s="309"/>
      <c r="AA77" s="309"/>
      <c r="AB77" s="309"/>
      <c r="AC77" s="309"/>
      <c r="AD77" s="309"/>
      <c r="AE77" s="309"/>
      <c r="AF77" s="309"/>
      <c r="AG77" s="309"/>
      <c r="AH77" s="309"/>
      <c r="AI77" s="309"/>
      <c r="AJ77" s="309"/>
      <c r="AK77" s="309"/>
      <c r="AL77" s="309"/>
      <c r="AM77" s="309"/>
      <c r="AN77" s="309"/>
      <c r="AO77" s="309"/>
      <c r="AP77" s="309"/>
      <c r="AQ77" s="309"/>
      <c r="AR77" s="309"/>
      <c r="AS77" s="309"/>
      <c r="AT77" s="309"/>
      <c r="AU77" s="309"/>
      <c r="AV77" s="309"/>
      <c r="AW77" s="309"/>
      <c r="AX77" s="309"/>
      <c r="AY77" s="309"/>
      <c r="AZ77" s="309"/>
      <c r="BA77" s="310"/>
      <c r="BB77" s="310"/>
      <c r="BC77" s="310"/>
      <c r="BD77" s="310"/>
      <c r="BE77" s="310"/>
      <c r="BF77" s="310"/>
      <c r="BG77" s="310"/>
      <c r="BH77" s="310"/>
      <c r="BI77" s="310"/>
      <c r="BJ77" s="310"/>
      <c r="BK77" s="310"/>
      <c r="BL77" s="310"/>
      <c r="BM77" s="310"/>
      <c r="BN77" s="221"/>
      <c r="BO77" s="221"/>
      <c r="BP77" s="221"/>
      <c r="BQ77" s="221"/>
      <c r="BR77" s="221"/>
    </row>
    <row r="78" ht="15.75" customHeight="1">
      <c r="A78" s="220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309"/>
      <c r="Y78" s="309"/>
      <c r="Z78" s="309"/>
      <c r="AA78" s="309"/>
      <c r="AB78" s="309"/>
      <c r="AC78" s="309"/>
      <c r="AD78" s="309"/>
      <c r="AE78" s="309"/>
      <c r="AF78" s="309"/>
      <c r="AG78" s="309"/>
      <c r="AH78" s="309"/>
      <c r="AI78" s="309"/>
      <c r="AJ78" s="309"/>
      <c r="AK78" s="309"/>
      <c r="AL78" s="309"/>
      <c r="AM78" s="309"/>
      <c r="AN78" s="309"/>
      <c r="AO78" s="309"/>
      <c r="AP78" s="309"/>
      <c r="AQ78" s="309"/>
      <c r="AR78" s="309"/>
      <c r="AS78" s="309"/>
      <c r="AT78" s="309"/>
      <c r="AU78" s="309"/>
      <c r="AV78" s="309"/>
      <c r="AW78" s="309"/>
      <c r="AX78" s="309"/>
      <c r="AY78" s="309"/>
      <c r="AZ78" s="309"/>
      <c r="BA78" s="310"/>
      <c r="BB78" s="310"/>
      <c r="BC78" s="310"/>
      <c r="BD78" s="310"/>
      <c r="BE78" s="310"/>
      <c r="BF78" s="310"/>
      <c r="BG78" s="310"/>
      <c r="BH78" s="310"/>
      <c r="BI78" s="310"/>
      <c r="BJ78" s="310"/>
      <c r="BK78" s="310"/>
      <c r="BL78" s="310"/>
      <c r="BM78" s="310"/>
      <c r="BN78" s="221"/>
      <c r="BO78" s="221"/>
      <c r="BP78" s="221"/>
      <c r="BQ78" s="221"/>
      <c r="BR78" s="221"/>
    </row>
    <row r="79" ht="15.75" customHeight="1">
      <c r="A79" s="22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309"/>
      <c r="Y79" s="309"/>
      <c r="Z79" s="309"/>
      <c r="AA79" s="309"/>
      <c r="AB79" s="309"/>
      <c r="AC79" s="309"/>
      <c r="AD79" s="309"/>
      <c r="AE79" s="309"/>
      <c r="AF79" s="309"/>
      <c r="AG79" s="309"/>
      <c r="AH79" s="309"/>
      <c r="AI79" s="309"/>
      <c r="AJ79" s="309"/>
      <c r="AK79" s="309"/>
      <c r="AL79" s="309"/>
      <c r="AM79" s="309"/>
      <c r="AN79" s="309"/>
      <c r="AO79" s="309"/>
      <c r="AP79" s="309"/>
      <c r="AQ79" s="309"/>
      <c r="AR79" s="309"/>
      <c r="AS79" s="309"/>
      <c r="AT79" s="309"/>
      <c r="AU79" s="309"/>
      <c r="AV79" s="309"/>
      <c r="AW79" s="309"/>
      <c r="AX79" s="309"/>
      <c r="AY79" s="309"/>
      <c r="AZ79" s="309"/>
      <c r="BA79" s="310"/>
      <c r="BB79" s="310"/>
      <c r="BC79" s="310"/>
      <c r="BD79" s="310"/>
      <c r="BE79" s="310"/>
      <c r="BF79" s="310"/>
      <c r="BG79" s="310"/>
      <c r="BH79" s="310"/>
      <c r="BI79" s="310"/>
      <c r="BJ79" s="310"/>
      <c r="BK79" s="310"/>
      <c r="BL79" s="310"/>
      <c r="BM79" s="310"/>
      <c r="BN79" s="221"/>
      <c r="BO79" s="221"/>
      <c r="BP79" s="221"/>
      <c r="BQ79" s="221"/>
      <c r="BR79" s="221"/>
    </row>
    <row r="80" ht="15.75" customHeight="1">
      <c r="A80" s="220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309"/>
      <c r="Y80" s="309"/>
      <c r="Z80" s="309"/>
      <c r="AA80" s="309"/>
      <c r="AB80" s="309"/>
      <c r="AC80" s="309"/>
      <c r="AD80" s="309"/>
      <c r="AE80" s="309"/>
      <c r="AF80" s="309"/>
      <c r="AG80" s="309"/>
      <c r="AH80" s="309"/>
      <c r="AI80" s="309"/>
      <c r="AJ80" s="309"/>
      <c r="AK80" s="309"/>
      <c r="AL80" s="309"/>
      <c r="AM80" s="309"/>
      <c r="AN80" s="309"/>
      <c r="AO80" s="309"/>
      <c r="AP80" s="309"/>
      <c r="AQ80" s="309"/>
      <c r="AR80" s="309"/>
      <c r="AS80" s="309"/>
      <c r="AT80" s="309"/>
      <c r="AU80" s="309"/>
      <c r="AV80" s="309"/>
      <c r="AW80" s="309"/>
      <c r="AX80" s="309"/>
      <c r="AY80" s="309"/>
      <c r="AZ80" s="309"/>
      <c r="BA80" s="310"/>
      <c r="BB80" s="310"/>
      <c r="BC80" s="310"/>
      <c r="BD80" s="310"/>
      <c r="BE80" s="310"/>
      <c r="BF80" s="310"/>
      <c r="BG80" s="310"/>
      <c r="BH80" s="310"/>
      <c r="BI80" s="310"/>
      <c r="BJ80" s="310"/>
      <c r="BK80" s="310"/>
      <c r="BL80" s="310"/>
      <c r="BM80" s="310"/>
      <c r="BN80" s="221"/>
      <c r="BO80" s="221"/>
      <c r="BP80" s="221"/>
      <c r="BQ80" s="221"/>
      <c r="BR80" s="221"/>
    </row>
    <row r="81" ht="15.75" customHeight="1">
      <c r="A81" s="220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309"/>
      <c r="Y81" s="309"/>
      <c r="Z81" s="309"/>
      <c r="AA81" s="309"/>
      <c r="AB81" s="309"/>
      <c r="AC81" s="309"/>
      <c r="AD81" s="309"/>
      <c r="AE81" s="309"/>
      <c r="AF81" s="309"/>
      <c r="AG81" s="309"/>
      <c r="AH81" s="309"/>
      <c r="AI81" s="309"/>
      <c r="AJ81" s="309"/>
      <c r="AK81" s="309"/>
      <c r="AL81" s="309"/>
      <c r="AM81" s="309"/>
      <c r="AN81" s="309"/>
      <c r="AO81" s="309"/>
      <c r="AP81" s="309"/>
      <c r="AQ81" s="309"/>
      <c r="AR81" s="309"/>
      <c r="AS81" s="309"/>
      <c r="AT81" s="309"/>
      <c r="AU81" s="309"/>
      <c r="AV81" s="309"/>
      <c r="AW81" s="309"/>
      <c r="AX81" s="309"/>
      <c r="AY81" s="309"/>
      <c r="AZ81" s="309"/>
      <c r="BA81" s="310"/>
      <c r="BB81" s="310"/>
      <c r="BC81" s="310"/>
      <c r="BD81" s="310"/>
      <c r="BE81" s="310"/>
      <c r="BF81" s="310"/>
      <c r="BG81" s="310"/>
      <c r="BH81" s="310"/>
      <c r="BI81" s="310"/>
      <c r="BJ81" s="310"/>
      <c r="BK81" s="310"/>
      <c r="BL81" s="310"/>
      <c r="BM81" s="310"/>
      <c r="BN81" s="221"/>
      <c r="BO81" s="221"/>
      <c r="BP81" s="221"/>
      <c r="BQ81" s="221"/>
      <c r="BR81" s="221"/>
    </row>
    <row r="82" ht="15.75" customHeight="1">
      <c r="A82" s="220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309"/>
      <c r="Y82" s="309"/>
      <c r="Z82" s="309"/>
      <c r="AA82" s="309"/>
      <c r="AB82" s="309"/>
      <c r="AC82" s="309"/>
      <c r="AD82" s="309"/>
      <c r="AE82" s="309"/>
      <c r="AF82" s="309"/>
      <c r="AG82" s="309"/>
      <c r="AH82" s="309"/>
      <c r="AI82" s="309"/>
      <c r="AJ82" s="309"/>
      <c r="AK82" s="309"/>
      <c r="AL82" s="309"/>
      <c r="AM82" s="309"/>
      <c r="AN82" s="309"/>
      <c r="AO82" s="309"/>
      <c r="AP82" s="309"/>
      <c r="AQ82" s="309"/>
      <c r="AR82" s="309"/>
      <c r="AS82" s="309"/>
      <c r="AT82" s="309"/>
      <c r="AU82" s="309"/>
      <c r="AV82" s="309"/>
      <c r="AW82" s="309"/>
      <c r="AX82" s="309"/>
      <c r="AY82" s="309"/>
      <c r="AZ82" s="309"/>
      <c r="BA82" s="310"/>
      <c r="BB82" s="310"/>
      <c r="BC82" s="310"/>
      <c r="BD82" s="310"/>
      <c r="BE82" s="310"/>
      <c r="BF82" s="310"/>
      <c r="BG82" s="310"/>
      <c r="BH82" s="310"/>
      <c r="BI82" s="310"/>
      <c r="BJ82" s="310"/>
      <c r="BK82" s="310"/>
      <c r="BL82" s="310"/>
      <c r="BM82" s="310"/>
      <c r="BN82" s="221"/>
      <c r="BO82" s="221"/>
      <c r="BP82" s="221"/>
      <c r="BQ82" s="221"/>
      <c r="BR82" s="221"/>
    </row>
    <row r="83" ht="15.75" customHeight="1">
      <c r="A83" s="22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309"/>
      <c r="Y83" s="309"/>
      <c r="Z83" s="309"/>
      <c r="AA83" s="309"/>
      <c r="AB83" s="309"/>
      <c r="AC83" s="309"/>
      <c r="AD83" s="309"/>
      <c r="AE83" s="309"/>
      <c r="AF83" s="309"/>
      <c r="AG83" s="309"/>
      <c r="AH83" s="309"/>
      <c r="AI83" s="309"/>
      <c r="AJ83" s="309"/>
      <c r="AK83" s="309"/>
      <c r="AL83" s="309"/>
      <c r="AM83" s="309"/>
      <c r="AN83" s="309"/>
      <c r="AO83" s="309"/>
      <c r="AP83" s="309"/>
      <c r="AQ83" s="309"/>
      <c r="AR83" s="309"/>
      <c r="AS83" s="309"/>
      <c r="AT83" s="309"/>
      <c r="AU83" s="309"/>
      <c r="AV83" s="309"/>
      <c r="AW83" s="309"/>
      <c r="AX83" s="309"/>
      <c r="AY83" s="309"/>
      <c r="AZ83" s="309"/>
      <c r="BA83" s="310"/>
      <c r="BB83" s="310"/>
      <c r="BC83" s="310"/>
      <c r="BD83" s="310"/>
      <c r="BE83" s="310"/>
      <c r="BF83" s="310"/>
      <c r="BG83" s="310"/>
      <c r="BH83" s="310"/>
      <c r="BI83" s="310"/>
      <c r="BJ83" s="310"/>
      <c r="BK83" s="310"/>
      <c r="BL83" s="310"/>
      <c r="BM83" s="310"/>
      <c r="BN83" s="221"/>
      <c r="BO83" s="221"/>
      <c r="BP83" s="221"/>
      <c r="BQ83" s="221"/>
      <c r="BR83" s="221"/>
    </row>
    <row r="84" ht="15.75" customHeight="1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309"/>
      <c r="Y84" s="309"/>
      <c r="Z84" s="309"/>
      <c r="AA84" s="309"/>
      <c r="AB84" s="309"/>
      <c r="AC84" s="309"/>
      <c r="AD84" s="309"/>
      <c r="AE84" s="309"/>
      <c r="AF84" s="309"/>
      <c r="AG84" s="309"/>
      <c r="AH84" s="309"/>
      <c r="AI84" s="309"/>
      <c r="AJ84" s="309"/>
      <c r="AK84" s="309"/>
      <c r="AL84" s="309"/>
      <c r="AM84" s="309"/>
      <c r="AN84" s="309"/>
      <c r="AO84" s="309"/>
      <c r="AP84" s="309"/>
      <c r="AQ84" s="309"/>
      <c r="AR84" s="309"/>
      <c r="AS84" s="309"/>
      <c r="AT84" s="309"/>
      <c r="AU84" s="309"/>
      <c r="AV84" s="309"/>
      <c r="AW84" s="309"/>
      <c r="AX84" s="309"/>
      <c r="AY84" s="309"/>
      <c r="AZ84" s="309"/>
      <c r="BA84" s="310"/>
      <c r="BB84" s="310"/>
      <c r="BC84" s="310"/>
      <c r="BD84" s="310"/>
      <c r="BE84" s="310"/>
      <c r="BF84" s="310"/>
      <c r="BG84" s="310"/>
      <c r="BH84" s="310"/>
      <c r="BI84" s="310"/>
      <c r="BJ84" s="310"/>
      <c r="BK84" s="310"/>
      <c r="BL84" s="310"/>
      <c r="BM84" s="310"/>
      <c r="BN84" s="221"/>
      <c r="BO84" s="221"/>
      <c r="BP84" s="221"/>
      <c r="BQ84" s="221"/>
      <c r="BR84" s="221"/>
    </row>
    <row r="85" ht="15.75" customHeight="1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309"/>
      <c r="Y85" s="309"/>
      <c r="Z85" s="309"/>
      <c r="AA85" s="309"/>
      <c r="AB85" s="309"/>
      <c r="AC85" s="309"/>
      <c r="AD85" s="309"/>
      <c r="AE85" s="309"/>
      <c r="AF85" s="309"/>
      <c r="AG85" s="309"/>
      <c r="AH85" s="309"/>
      <c r="AI85" s="309"/>
      <c r="AJ85" s="309"/>
      <c r="AK85" s="309"/>
      <c r="AL85" s="309"/>
      <c r="AM85" s="309"/>
      <c r="AN85" s="309"/>
      <c r="AO85" s="309"/>
      <c r="AP85" s="309"/>
      <c r="AQ85" s="309"/>
      <c r="AR85" s="309"/>
      <c r="AS85" s="309"/>
      <c r="AT85" s="309"/>
      <c r="AU85" s="309"/>
      <c r="AV85" s="309"/>
      <c r="AW85" s="309"/>
      <c r="AX85" s="309"/>
      <c r="AY85" s="309"/>
      <c r="AZ85" s="309"/>
      <c r="BA85" s="310"/>
      <c r="BB85" s="310"/>
      <c r="BC85" s="310"/>
      <c r="BD85" s="310"/>
      <c r="BE85" s="310"/>
      <c r="BF85" s="310"/>
      <c r="BG85" s="310"/>
      <c r="BH85" s="310"/>
      <c r="BI85" s="310"/>
      <c r="BJ85" s="310"/>
      <c r="BK85" s="310"/>
      <c r="BL85" s="310"/>
      <c r="BM85" s="310"/>
      <c r="BN85" s="221"/>
      <c r="BO85" s="221"/>
      <c r="BP85" s="221"/>
      <c r="BQ85" s="221"/>
      <c r="BR85" s="221"/>
    </row>
    <row r="86" ht="15.75" customHeight="1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309"/>
      <c r="Y86" s="309"/>
      <c r="Z86" s="309"/>
      <c r="AA86" s="309"/>
      <c r="AB86" s="309"/>
      <c r="AC86" s="309"/>
      <c r="AD86" s="309"/>
      <c r="AE86" s="309"/>
      <c r="AF86" s="309"/>
      <c r="AG86" s="309"/>
      <c r="AH86" s="309"/>
      <c r="AI86" s="309"/>
      <c r="AJ86" s="309"/>
      <c r="AK86" s="309"/>
      <c r="AL86" s="309"/>
      <c r="AM86" s="309"/>
      <c r="AN86" s="309"/>
      <c r="AO86" s="309"/>
      <c r="AP86" s="309"/>
      <c r="AQ86" s="309"/>
      <c r="AR86" s="309"/>
      <c r="AS86" s="309"/>
      <c r="AT86" s="309"/>
      <c r="AU86" s="309"/>
      <c r="AV86" s="309"/>
      <c r="AW86" s="309"/>
      <c r="AX86" s="309"/>
      <c r="AY86" s="309"/>
      <c r="AZ86" s="309"/>
      <c r="BA86" s="310"/>
      <c r="BB86" s="310"/>
      <c r="BC86" s="310"/>
      <c r="BD86" s="310"/>
      <c r="BE86" s="310"/>
      <c r="BF86" s="310"/>
      <c r="BG86" s="310"/>
      <c r="BH86" s="310"/>
      <c r="BI86" s="310"/>
      <c r="BJ86" s="310"/>
      <c r="BK86" s="310"/>
      <c r="BL86" s="310"/>
      <c r="BM86" s="310"/>
      <c r="BN86" s="221"/>
      <c r="BO86" s="221"/>
      <c r="BP86" s="221"/>
      <c r="BQ86" s="221"/>
      <c r="BR86" s="221"/>
    </row>
    <row r="87" ht="15.75" customHeight="1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309"/>
      <c r="Y87" s="309"/>
      <c r="Z87" s="309"/>
      <c r="AA87" s="309"/>
      <c r="AB87" s="309"/>
      <c r="AC87" s="309"/>
      <c r="AD87" s="309"/>
      <c r="AE87" s="309"/>
      <c r="AF87" s="309"/>
      <c r="AG87" s="309"/>
      <c r="AH87" s="309"/>
      <c r="AI87" s="309"/>
      <c r="AJ87" s="309"/>
      <c r="AK87" s="309"/>
      <c r="AL87" s="309"/>
      <c r="AM87" s="309"/>
      <c r="AN87" s="309"/>
      <c r="AO87" s="309"/>
      <c r="AP87" s="309"/>
      <c r="AQ87" s="309"/>
      <c r="AR87" s="309"/>
      <c r="AS87" s="309"/>
      <c r="AT87" s="309"/>
      <c r="AU87" s="309"/>
      <c r="AV87" s="309"/>
      <c r="AW87" s="309"/>
      <c r="AX87" s="309"/>
      <c r="AY87" s="309"/>
      <c r="AZ87" s="309"/>
      <c r="BA87" s="310"/>
      <c r="BB87" s="310"/>
      <c r="BC87" s="310"/>
      <c r="BD87" s="310"/>
      <c r="BE87" s="310"/>
      <c r="BF87" s="310"/>
      <c r="BG87" s="310"/>
      <c r="BH87" s="310"/>
      <c r="BI87" s="310"/>
      <c r="BJ87" s="310"/>
      <c r="BK87" s="310"/>
      <c r="BL87" s="310"/>
      <c r="BM87" s="310"/>
      <c r="BN87" s="221"/>
      <c r="BO87" s="221"/>
      <c r="BP87" s="221"/>
      <c r="BQ87" s="221"/>
      <c r="BR87" s="221"/>
    </row>
    <row r="88" ht="15.75" customHeight="1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309"/>
      <c r="Y88" s="309"/>
      <c r="Z88" s="309"/>
      <c r="AA88" s="309"/>
      <c r="AB88" s="309"/>
      <c r="AC88" s="309"/>
      <c r="AD88" s="309"/>
      <c r="AE88" s="309"/>
      <c r="AF88" s="309"/>
      <c r="AG88" s="309"/>
      <c r="AH88" s="309"/>
      <c r="AI88" s="309"/>
      <c r="AJ88" s="309"/>
      <c r="AK88" s="309"/>
      <c r="AL88" s="309"/>
      <c r="AM88" s="309"/>
      <c r="AN88" s="309"/>
      <c r="AO88" s="309"/>
      <c r="AP88" s="309"/>
      <c r="AQ88" s="309"/>
      <c r="AR88" s="309"/>
      <c r="AS88" s="309"/>
      <c r="AT88" s="309"/>
      <c r="AU88" s="309"/>
      <c r="AV88" s="309"/>
      <c r="AW88" s="309"/>
      <c r="AX88" s="309"/>
      <c r="AY88" s="309"/>
      <c r="AZ88" s="309"/>
      <c r="BA88" s="310"/>
      <c r="BB88" s="310"/>
      <c r="BC88" s="310"/>
      <c r="BD88" s="310"/>
      <c r="BE88" s="310"/>
      <c r="BF88" s="310"/>
      <c r="BG88" s="310"/>
      <c r="BH88" s="310"/>
      <c r="BI88" s="310"/>
      <c r="BJ88" s="310"/>
      <c r="BK88" s="310"/>
      <c r="BL88" s="310"/>
      <c r="BM88" s="310"/>
      <c r="BN88" s="221"/>
      <c r="BO88" s="221"/>
      <c r="BP88" s="221"/>
      <c r="BQ88" s="221"/>
      <c r="BR88" s="221"/>
    </row>
    <row r="89" ht="15.75" customHeight="1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309"/>
      <c r="Y89" s="309"/>
      <c r="Z89" s="309"/>
      <c r="AA89" s="309"/>
      <c r="AB89" s="309"/>
      <c r="AC89" s="309"/>
      <c r="AD89" s="309"/>
      <c r="AE89" s="309"/>
      <c r="AF89" s="309"/>
      <c r="AG89" s="309"/>
      <c r="AH89" s="309"/>
      <c r="AI89" s="309"/>
      <c r="AJ89" s="309"/>
      <c r="AK89" s="309"/>
      <c r="AL89" s="309"/>
      <c r="AM89" s="309"/>
      <c r="AN89" s="309"/>
      <c r="AO89" s="309"/>
      <c r="AP89" s="309"/>
      <c r="AQ89" s="309"/>
      <c r="AR89" s="309"/>
      <c r="AS89" s="309"/>
      <c r="AT89" s="309"/>
      <c r="AU89" s="309"/>
      <c r="AV89" s="309"/>
      <c r="AW89" s="309"/>
      <c r="AX89" s="309"/>
      <c r="AY89" s="309"/>
      <c r="AZ89" s="309"/>
      <c r="BA89" s="310"/>
      <c r="BB89" s="310"/>
      <c r="BC89" s="310"/>
      <c r="BD89" s="310"/>
      <c r="BE89" s="310"/>
      <c r="BF89" s="310"/>
      <c r="BG89" s="310"/>
      <c r="BH89" s="310"/>
      <c r="BI89" s="310"/>
      <c r="BJ89" s="310"/>
      <c r="BK89" s="310"/>
      <c r="BL89" s="310"/>
      <c r="BM89" s="310"/>
      <c r="BN89" s="221"/>
      <c r="BO89" s="221"/>
      <c r="BP89" s="221"/>
      <c r="BQ89" s="221"/>
      <c r="BR89" s="221"/>
    </row>
    <row r="90" ht="15.75" customHeight="1">
      <c r="A90" s="220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309"/>
      <c r="Y90" s="309"/>
      <c r="Z90" s="309"/>
      <c r="AA90" s="309"/>
      <c r="AB90" s="309"/>
      <c r="AC90" s="309"/>
      <c r="AD90" s="309"/>
      <c r="AE90" s="309"/>
      <c r="AF90" s="309"/>
      <c r="AG90" s="309"/>
      <c r="AH90" s="309"/>
      <c r="AI90" s="309"/>
      <c r="AJ90" s="309"/>
      <c r="AK90" s="309"/>
      <c r="AL90" s="309"/>
      <c r="AM90" s="309"/>
      <c r="AN90" s="309"/>
      <c r="AO90" s="309"/>
      <c r="AP90" s="309"/>
      <c r="AQ90" s="309"/>
      <c r="AR90" s="309"/>
      <c r="AS90" s="309"/>
      <c r="AT90" s="309"/>
      <c r="AU90" s="309"/>
      <c r="AV90" s="309"/>
      <c r="AW90" s="309"/>
      <c r="AX90" s="309"/>
      <c r="AY90" s="309"/>
      <c r="AZ90" s="309"/>
      <c r="BA90" s="310"/>
      <c r="BB90" s="310"/>
      <c r="BC90" s="310"/>
      <c r="BD90" s="310"/>
      <c r="BE90" s="310"/>
      <c r="BF90" s="310"/>
      <c r="BG90" s="310"/>
      <c r="BH90" s="310"/>
      <c r="BI90" s="310"/>
      <c r="BJ90" s="310"/>
      <c r="BK90" s="310"/>
      <c r="BL90" s="310"/>
      <c r="BM90" s="310"/>
      <c r="BN90" s="221"/>
      <c r="BO90" s="221"/>
      <c r="BP90" s="221"/>
      <c r="BQ90" s="221"/>
      <c r="BR90" s="221"/>
    </row>
    <row r="91" ht="15.75" customHeight="1">
      <c r="A91" s="22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309"/>
      <c r="Y91" s="309"/>
      <c r="Z91" s="309"/>
      <c r="AA91" s="309"/>
      <c r="AB91" s="309"/>
      <c r="AC91" s="309"/>
      <c r="AD91" s="309"/>
      <c r="AE91" s="309"/>
      <c r="AF91" s="309"/>
      <c r="AG91" s="309"/>
      <c r="AH91" s="309"/>
      <c r="AI91" s="309"/>
      <c r="AJ91" s="309"/>
      <c r="AK91" s="309"/>
      <c r="AL91" s="309"/>
      <c r="AM91" s="309"/>
      <c r="AN91" s="309"/>
      <c r="AO91" s="309"/>
      <c r="AP91" s="309"/>
      <c r="AQ91" s="309"/>
      <c r="AR91" s="309"/>
      <c r="AS91" s="309"/>
      <c r="AT91" s="309"/>
      <c r="AU91" s="309"/>
      <c r="AV91" s="309"/>
      <c r="AW91" s="309"/>
      <c r="AX91" s="309"/>
      <c r="AY91" s="309"/>
      <c r="AZ91" s="309"/>
      <c r="BA91" s="310"/>
      <c r="BB91" s="310"/>
      <c r="BC91" s="310"/>
      <c r="BD91" s="310"/>
      <c r="BE91" s="310"/>
      <c r="BF91" s="310"/>
      <c r="BG91" s="310"/>
      <c r="BH91" s="310"/>
      <c r="BI91" s="310"/>
      <c r="BJ91" s="310"/>
      <c r="BK91" s="310"/>
      <c r="BL91" s="310"/>
      <c r="BM91" s="310"/>
      <c r="BN91" s="221"/>
      <c r="BO91" s="221"/>
      <c r="BP91" s="221"/>
      <c r="BQ91" s="221"/>
      <c r="BR91" s="221"/>
    </row>
    <row r="92" ht="15.75" customHeight="1">
      <c r="A92" s="220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309"/>
      <c r="Y92" s="309"/>
      <c r="Z92" s="309"/>
      <c r="AA92" s="309"/>
      <c r="AB92" s="309"/>
      <c r="AC92" s="309"/>
      <c r="AD92" s="309"/>
      <c r="AE92" s="309"/>
      <c r="AF92" s="309"/>
      <c r="AG92" s="309"/>
      <c r="AH92" s="309"/>
      <c r="AI92" s="309"/>
      <c r="AJ92" s="309"/>
      <c r="AK92" s="309"/>
      <c r="AL92" s="309"/>
      <c r="AM92" s="309"/>
      <c r="AN92" s="309"/>
      <c r="AO92" s="309"/>
      <c r="AP92" s="309"/>
      <c r="AQ92" s="309"/>
      <c r="AR92" s="309"/>
      <c r="AS92" s="309"/>
      <c r="AT92" s="309"/>
      <c r="AU92" s="309"/>
      <c r="AV92" s="309"/>
      <c r="AW92" s="309"/>
      <c r="AX92" s="309"/>
      <c r="AY92" s="309"/>
      <c r="AZ92" s="309"/>
      <c r="BA92" s="310"/>
      <c r="BB92" s="310"/>
      <c r="BC92" s="310"/>
      <c r="BD92" s="310"/>
      <c r="BE92" s="310"/>
      <c r="BF92" s="310"/>
      <c r="BG92" s="310"/>
      <c r="BH92" s="310"/>
      <c r="BI92" s="310"/>
      <c r="BJ92" s="310"/>
      <c r="BK92" s="310"/>
      <c r="BL92" s="310"/>
      <c r="BM92" s="310"/>
      <c r="BN92" s="221"/>
      <c r="BO92" s="221"/>
      <c r="BP92" s="221"/>
      <c r="BQ92" s="221"/>
      <c r="BR92" s="221"/>
    </row>
    <row r="93" ht="15.75" customHeight="1">
      <c r="A93" s="220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309"/>
      <c r="Y93" s="309"/>
      <c r="Z93" s="309"/>
      <c r="AA93" s="309"/>
      <c r="AB93" s="309"/>
      <c r="AC93" s="309"/>
      <c r="AD93" s="309"/>
      <c r="AE93" s="309"/>
      <c r="AF93" s="309"/>
      <c r="AG93" s="309"/>
      <c r="AH93" s="309"/>
      <c r="AI93" s="309"/>
      <c r="AJ93" s="309"/>
      <c r="AK93" s="309"/>
      <c r="AL93" s="309"/>
      <c r="AM93" s="309"/>
      <c r="AN93" s="309"/>
      <c r="AO93" s="309"/>
      <c r="AP93" s="309"/>
      <c r="AQ93" s="309"/>
      <c r="AR93" s="309"/>
      <c r="AS93" s="309"/>
      <c r="AT93" s="309"/>
      <c r="AU93" s="309"/>
      <c r="AV93" s="309"/>
      <c r="AW93" s="309"/>
      <c r="AX93" s="309"/>
      <c r="AY93" s="309"/>
      <c r="AZ93" s="309"/>
      <c r="BA93" s="310"/>
      <c r="BB93" s="310"/>
      <c r="BC93" s="310"/>
      <c r="BD93" s="310"/>
      <c r="BE93" s="310"/>
      <c r="BF93" s="310"/>
      <c r="BG93" s="310"/>
      <c r="BH93" s="310"/>
      <c r="BI93" s="310"/>
      <c r="BJ93" s="310"/>
      <c r="BK93" s="310"/>
      <c r="BL93" s="310"/>
      <c r="BM93" s="310"/>
      <c r="BN93" s="221"/>
      <c r="BO93" s="221"/>
      <c r="BP93" s="221"/>
      <c r="BQ93" s="221"/>
      <c r="BR93" s="221"/>
    </row>
    <row r="94" ht="15.75" customHeight="1">
      <c r="A94" s="220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309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09"/>
      <c r="AQ94" s="309"/>
      <c r="AR94" s="309"/>
      <c r="AS94" s="309"/>
      <c r="AT94" s="309"/>
      <c r="AU94" s="309"/>
      <c r="AV94" s="309"/>
      <c r="AW94" s="309"/>
      <c r="AX94" s="309"/>
      <c r="AY94" s="309"/>
      <c r="AZ94" s="309"/>
      <c r="BA94" s="310"/>
      <c r="BB94" s="310"/>
      <c r="BC94" s="310"/>
      <c r="BD94" s="310"/>
      <c r="BE94" s="310"/>
      <c r="BF94" s="310"/>
      <c r="BG94" s="310"/>
      <c r="BH94" s="310"/>
      <c r="BI94" s="310"/>
      <c r="BJ94" s="310"/>
      <c r="BK94" s="310"/>
      <c r="BL94" s="310"/>
      <c r="BM94" s="310"/>
      <c r="BN94" s="221"/>
      <c r="BO94" s="221"/>
      <c r="BP94" s="221"/>
      <c r="BQ94" s="221"/>
      <c r="BR94" s="221"/>
    </row>
    <row r="95" ht="15.75" customHeight="1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309"/>
      <c r="Y95" s="309"/>
      <c r="Z95" s="309"/>
      <c r="AA95" s="309"/>
      <c r="AB95" s="309"/>
      <c r="AC95" s="309"/>
      <c r="AD95" s="309"/>
      <c r="AE95" s="309"/>
      <c r="AF95" s="309"/>
      <c r="AG95" s="309"/>
      <c r="AH95" s="309"/>
      <c r="AI95" s="309"/>
      <c r="AJ95" s="309"/>
      <c r="AK95" s="309"/>
      <c r="AL95" s="309"/>
      <c r="AM95" s="309"/>
      <c r="AN95" s="309"/>
      <c r="AO95" s="309"/>
      <c r="AP95" s="309"/>
      <c r="AQ95" s="309"/>
      <c r="AR95" s="309"/>
      <c r="AS95" s="309"/>
      <c r="AT95" s="309"/>
      <c r="AU95" s="309"/>
      <c r="AV95" s="309"/>
      <c r="AW95" s="309"/>
      <c r="AX95" s="309"/>
      <c r="AY95" s="309"/>
      <c r="AZ95" s="309"/>
      <c r="BA95" s="310"/>
      <c r="BB95" s="310"/>
      <c r="BC95" s="310"/>
      <c r="BD95" s="310"/>
      <c r="BE95" s="310"/>
      <c r="BF95" s="310"/>
      <c r="BG95" s="310"/>
      <c r="BH95" s="310"/>
      <c r="BI95" s="310"/>
      <c r="BJ95" s="310"/>
      <c r="BK95" s="310"/>
      <c r="BL95" s="310"/>
      <c r="BM95" s="310"/>
      <c r="BN95" s="221"/>
      <c r="BO95" s="221"/>
      <c r="BP95" s="221"/>
      <c r="BQ95" s="221"/>
      <c r="BR95" s="221"/>
    </row>
    <row r="96" ht="15.75" customHeight="1">
      <c r="A96" s="220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309"/>
      <c r="Y96" s="309"/>
      <c r="Z96" s="309"/>
      <c r="AA96" s="309"/>
      <c r="AB96" s="309"/>
      <c r="AC96" s="309"/>
      <c r="AD96" s="309"/>
      <c r="AE96" s="309"/>
      <c r="AF96" s="309"/>
      <c r="AG96" s="309"/>
      <c r="AH96" s="309"/>
      <c r="AI96" s="309"/>
      <c r="AJ96" s="309"/>
      <c r="AK96" s="309"/>
      <c r="AL96" s="309"/>
      <c r="AM96" s="309"/>
      <c r="AN96" s="309"/>
      <c r="AO96" s="309"/>
      <c r="AP96" s="309"/>
      <c r="AQ96" s="309"/>
      <c r="AR96" s="309"/>
      <c r="AS96" s="309"/>
      <c r="AT96" s="309"/>
      <c r="AU96" s="309"/>
      <c r="AV96" s="309"/>
      <c r="AW96" s="309"/>
      <c r="AX96" s="309"/>
      <c r="AY96" s="309"/>
      <c r="AZ96" s="309"/>
      <c r="BA96" s="310"/>
      <c r="BB96" s="310"/>
      <c r="BC96" s="310"/>
      <c r="BD96" s="310"/>
      <c r="BE96" s="310"/>
      <c r="BF96" s="310"/>
      <c r="BG96" s="310"/>
      <c r="BH96" s="310"/>
      <c r="BI96" s="310"/>
      <c r="BJ96" s="310"/>
      <c r="BK96" s="310"/>
      <c r="BL96" s="310"/>
      <c r="BM96" s="310"/>
      <c r="BN96" s="221"/>
      <c r="BO96" s="221"/>
      <c r="BP96" s="221"/>
      <c r="BQ96" s="221"/>
      <c r="BR96" s="221"/>
    </row>
    <row r="97" ht="15.75" customHeight="1">
      <c r="A97" s="220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309"/>
      <c r="Y97" s="309"/>
      <c r="Z97" s="309"/>
      <c r="AA97" s="309"/>
      <c r="AB97" s="309"/>
      <c r="AC97" s="309"/>
      <c r="AD97" s="309"/>
      <c r="AE97" s="309"/>
      <c r="AF97" s="309"/>
      <c r="AG97" s="309"/>
      <c r="AH97" s="309"/>
      <c r="AI97" s="309"/>
      <c r="AJ97" s="309"/>
      <c r="AK97" s="309"/>
      <c r="AL97" s="309"/>
      <c r="AM97" s="309"/>
      <c r="AN97" s="309"/>
      <c r="AO97" s="309"/>
      <c r="AP97" s="309"/>
      <c r="AQ97" s="309"/>
      <c r="AR97" s="309"/>
      <c r="AS97" s="309"/>
      <c r="AT97" s="309"/>
      <c r="AU97" s="309"/>
      <c r="AV97" s="309"/>
      <c r="AW97" s="309"/>
      <c r="AX97" s="309"/>
      <c r="AY97" s="309"/>
      <c r="AZ97" s="309"/>
      <c r="BA97" s="310"/>
      <c r="BB97" s="310"/>
      <c r="BC97" s="310"/>
      <c r="BD97" s="310"/>
      <c r="BE97" s="310"/>
      <c r="BF97" s="310"/>
      <c r="BG97" s="310"/>
      <c r="BH97" s="310"/>
      <c r="BI97" s="310"/>
      <c r="BJ97" s="310"/>
      <c r="BK97" s="310"/>
      <c r="BL97" s="310"/>
      <c r="BM97" s="310"/>
      <c r="BN97" s="221"/>
      <c r="BO97" s="221"/>
      <c r="BP97" s="221"/>
      <c r="BQ97" s="221"/>
      <c r="BR97" s="221"/>
    </row>
    <row r="98" ht="15.75" customHeight="1">
      <c r="A98" s="220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309"/>
      <c r="Y98" s="309"/>
      <c r="Z98" s="309"/>
      <c r="AA98" s="309"/>
      <c r="AB98" s="309"/>
      <c r="AC98" s="309"/>
      <c r="AD98" s="309"/>
      <c r="AE98" s="309"/>
      <c r="AF98" s="309"/>
      <c r="AG98" s="309"/>
      <c r="AH98" s="309"/>
      <c r="AI98" s="309"/>
      <c r="AJ98" s="309"/>
      <c r="AK98" s="309"/>
      <c r="AL98" s="309"/>
      <c r="AM98" s="309"/>
      <c r="AN98" s="309"/>
      <c r="AO98" s="309"/>
      <c r="AP98" s="309"/>
      <c r="AQ98" s="309"/>
      <c r="AR98" s="309"/>
      <c r="AS98" s="309"/>
      <c r="AT98" s="309"/>
      <c r="AU98" s="309"/>
      <c r="AV98" s="309"/>
      <c r="AW98" s="309"/>
      <c r="AX98" s="309"/>
      <c r="AY98" s="309"/>
      <c r="AZ98" s="309"/>
      <c r="BA98" s="310"/>
      <c r="BB98" s="310"/>
      <c r="BC98" s="310"/>
      <c r="BD98" s="310"/>
      <c r="BE98" s="310"/>
      <c r="BF98" s="310"/>
      <c r="BG98" s="310"/>
      <c r="BH98" s="310"/>
      <c r="BI98" s="310"/>
      <c r="BJ98" s="310"/>
      <c r="BK98" s="310"/>
      <c r="BL98" s="310"/>
      <c r="BM98" s="310"/>
      <c r="BN98" s="221"/>
      <c r="BO98" s="221"/>
      <c r="BP98" s="221"/>
      <c r="BQ98" s="221"/>
      <c r="BR98" s="221"/>
    </row>
    <row r="99" ht="15.75" customHeight="1">
      <c r="A99" s="22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309"/>
      <c r="Y99" s="309"/>
      <c r="Z99" s="309"/>
      <c r="AA99" s="309"/>
      <c r="AB99" s="309"/>
      <c r="AC99" s="309"/>
      <c r="AD99" s="309"/>
      <c r="AE99" s="309"/>
      <c r="AF99" s="309"/>
      <c r="AG99" s="309"/>
      <c r="AH99" s="309"/>
      <c r="AI99" s="309"/>
      <c r="AJ99" s="309"/>
      <c r="AK99" s="309"/>
      <c r="AL99" s="309"/>
      <c r="AM99" s="309"/>
      <c r="AN99" s="309"/>
      <c r="AO99" s="309"/>
      <c r="AP99" s="309"/>
      <c r="AQ99" s="309"/>
      <c r="AR99" s="309"/>
      <c r="AS99" s="309"/>
      <c r="AT99" s="309"/>
      <c r="AU99" s="309"/>
      <c r="AV99" s="309"/>
      <c r="AW99" s="309"/>
      <c r="AX99" s="309"/>
      <c r="AY99" s="309"/>
      <c r="AZ99" s="309"/>
      <c r="BA99" s="310"/>
      <c r="BB99" s="310"/>
      <c r="BC99" s="310"/>
      <c r="BD99" s="310"/>
      <c r="BE99" s="310"/>
      <c r="BF99" s="310"/>
      <c r="BG99" s="310"/>
      <c r="BH99" s="310"/>
      <c r="BI99" s="310"/>
      <c r="BJ99" s="310"/>
      <c r="BK99" s="310"/>
      <c r="BL99" s="310"/>
      <c r="BM99" s="310"/>
      <c r="BN99" s="221"/>
      <c r="BO99" s="221"/>
      <c r="BP99" s="221"/>
      <c r="BQ99" s="221"/>
      <c r="BR99" s="221"/>
    </row>
    <row r="100" ht="15.75" customHeight="1">
      <c r="A100" s="220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309"/>
      <c r="Y100" s="309"/>
      <c r="Z100" s="309"/>
      <c r="AA100" s="309"/>
      <c r="AB100" s="309"/>
      <c r="AC100" s="309"/>
      <c r="AD100" s="309"/>
      <c r="AE100" s="309"/>
      <c r="AF100" s="309"/>
      <c r="AG100" s="309"/>
      <c r="AH100" s="309"/>
      <c r="AI100" s="309"/>
      <c r="AJ100" s="309"/>
      <c r="AK100" s="309"/>
      <c r="AL100" s="309"/>
      <c r="AM100" s="309"/>
      <c r="AN100" s="309"/>
      <c r="AO100" s="309"/>
      <c r="AP100" s="309"/>
      <c r="AQ100" s="309"/>
      <c r="AR100" s="309"/>
      <c r="AS100" s="309"/>
      <c r="AT100" s="309"/>
      <c r="AU100" s="309"/>
      <c r="AV100" s="309"/>
      <c r="AW100" s="309"/>
      <c r="AX100" s="309"/>
      <c r="AY100" s="309"/>
      <c r="AZ100" s="309"/>
      <c r="BA100" s="310"/>
      <c r="BB100" s="310"/>
      <c r="BC100" s="310"/>
      <c r="BD100" s="310"/>
      <c r="BE100" s="310"/>
      <c r="BF100" s="310"/>
      <c r="BG100" s="310"/>
      <c r="BH100" s="310"/>
      <c r="BI100" s="310"/>
      <c r="BJ100" s="310"/>
      <c r="BK100" s="310"/>
      <c r="BL100" s="310"/>
      <c r="BM100" s="310"/>
      <c r="BN100" s="221"/>
      <c r="BO100" s="221"/>
      <c r="BP100" s="221"/>
      <c r="BQ100" s="221"/>
      <c r="BR100" s="221"/>
    </row>
    <row r="101" ht="15.75" customHeight="1">
      <c r="A101" s="220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309"/>
      <c r="Y101" s="309"/>
      <c r="Z101" s="309"/>
      <c r="AA101" s="309"/>
      <c r="AB101" s="309"/>
      <c r="AC101" s="309"/>
      <c r="AD101" s="309"/>
      <c r="AE101" s="309"/>
      <c r="AF101" s="309"/>
      <c r="AG101" s="309"/>
      <c r="AH101" s="309"/>
      <c r="AI101" s="309"/>
      <c r="AJ101" s="309"/>
      <c r="AK101" s="309"/>
      <c r="AL101" s="309"/>
      <c r="AM101" s="309"/>
      <c r="AN101" s="309"/>
      <c r="AO101" s="309"/>
      <c r="AP101" s="309"/>
      <c r="AQ101" s="309"/>
      <c r="AR101" s="309"/>
      <c r="AS101" s="309"/>
      <c r="AT101" s="309"/>
      <c r="AU101" s="309"/>
      <c r="AV101" s="309"/>
      <c r="AW101" s="309"/>
      <c r="AX101" s="309"/>
      <c r="AY101" s="309"/>
      <c r="AZ101" s="309"/>
      <c r="BA101" s="310"/>
      <c r="BB101" s="310"/>
      <c r="BC101" s="310"/>
      <c r="BD101" s="310"/>
      <c r="BE101" s="310"/>
      <c r="BF101" s="310"/>
      <c r="BG101" s="310"/>
      <c r="BH101" s="310"/>
      <c r="BI101" s="310"/>
      <c r="BJ101" s="310"/>
      <c r="BK101" s="310"/>
      <c r="BL101" s="310"/>
      <c r="BM101" s="310"/>
      <c r="BN101" s="221"/>
      <c r="BO101" s="221"/>
      <c r="BP101" s="221"/>
      <c r="BQ101" s="221"/>
      <c r="BR101" s="221"/>
    </row>
    <row r="102" ht="15.75" customHeight="1">
      <c r="A102" s="220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309"/>
      <c r="Y102" s="309"/>
      <c r="Z102" s="309"/>
      <c r="AA102" s="309"/>
      <c r="AB102" s="309"/>
      <c r="AC102" s="309"/>
      <c r="AD102" s="309"/>
      <c r="AE102" s="309"/>
      <c r="AF102" s="309"/>
      <c r="AG102" s="309"/>
      <c r="AH102" s="309"/>
      <c r="AI102" s="309"/>
      <c r="AJ102" s="309"/>
      <c r="AK102" s="309"/>
      <c r="AL102" s="309"/>
      <c r="AM102" s="309"/>
      <c r="AN102" s="309"/>
      <c r="AO102" s="309"/>
      <c r="AP102" s="309"/>
      <c r="AQ102" s="309"/>
      <c r="AR102" s="309"/>
      <c r="AS102" s="309"/>
      <c r="AT102" s="309"/>
      <c r="AU102" s="309"/>
      <c r="AV102" s="309"/>
      <c r="AW102" s="309"/>
      <c r="AX102" s="309"/>
      <c r="AY102" s="309"/>
      <c r="AZ102" s="309"/>
      <c r="BA102" s="310"/>
      <c r="BB102" s="310"/>
      <c r="BC102" s="310"/>
      <c r="BD102" s="310"/>
      <c r="BE102" s="310"/>
      <c r="BF102" s="310"/>
      <c r="BG102" s="310"/>
      <c r="BH102" s="310"/>
      <c r="BI102" s="310"/>
      <c r="BJ102" s="310"/>
      <c r="BK102" s="310"/>
      <c r="BL102" s="310"/>
      <c r="BM102" s="310"/>
      <c r="BN102" s="221"/>
      <c r="BO102" s="221"/>
      <c r="BP102" s="221"/>
      <c r="BQ102" s="221"/>
      <c r="BR102" s="221"/>
    </row>
    <row r="103" ht="15.75" customHeight="1">
      <c r="A103" s="22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309"/>
      <c r="Y103" s="309"/>
      <c r="Z103" s="309"/>
      <c r="AA103" s="309"/>
      <c r="AB103" s="309"/>
      <c r="AC103" s="309"/>
      <c r="AD103" s="309"/>
      <c r="AE103" s="309"/>
      <c r="AF103" s="309"/>
      <c r="AG103" s="309"/>
      <c r="AH103" s="309"/>
      <c r="AI103" s="309"/>
      <c r="AJ103" s="309"/>
      <c r="AK103" s="309"/>
      <c r="AL103" s="309"/>
      <c r="AM103" s="309"/>
      <c r="AN103" s="309"/>
      <c r="AO103" s="309"/>
      <c r="AP103" s="309"/>
      <c r="AQ103" s="309"/>
      <c r="AR103" s="309"/>
      <c r="AS103" s="309"/>
      <c r="AT103" s="309"/>
      <c r="AU103" s="309"/>
      <c r="AV103" s="309"/>
      <c r="AW103" s="309"/>
      <c r="AX103" s="309"/>
      <c r="AY103" s="309"/>
      <c r="AZ103" s="309"/>
      <c r="BA103" s="310"/>
      <c r="BB103" s="310"/>
      <c r="BC103" s="310"/>
      <c r="BD103" s="310"/>
      <c r="BE103" s="310"/>
      <c r="BF103" s="310"/>
      <c r="BG103" s="310"/>
      <c r="BH103" s="310"/>
      <c r="BI103" s="310"/>
      <c r="BJ103" s="310"/>
      <c r="BK103" s="310"/>
      <c r="BL103" s="310"/>
      <c r="BM103" s="310"/>
      <c r="BN103" s="221"/>
      <c r="BO103" s="221"/>
      <c r="BP103" s="221"/>
      <c r="BQ103" s="221"/>
      <c r="BR103" s="221"/>
    </row>
    <row r="104" ht="15.75" customHeight="1">
      <c r="A104" s="220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309"/>
      <c r="Y104" s="309"/>
      <c r="Z104" s="309"/>
      <c r="AA104" s="309"/>
      <c r="AB104" s="309"/>
      <c r="AC104" s="309"/>
      <c r="AD104" s="309"/>
      <c r="AE104" s="309"/>
      <c r="AF104" s="309"/>
      <c r="AG104" s="309"/>
      <c r="AH104" s="309"/>
      <c r="AI104" s="309"/>
      <c r="AJ104" s="309"/>
      <c r="AK104" s="309"/>
      <c r="AL104" s="309"/>
      <c r="AM104" s="309"/>
      <c r="AN104" s="309"/>
      <c r="AO104" s="309"/>
      <c r="AP104" s="309"/>
      <c r="AQ104" s="309"/>
      <c r="AR104" s="309"/>
      <c r="AS104" s="309"/>
      <c r="AT104" s="309"/>
      <c r="AU104" s="309"/>
      <c r="AV104" s="309"/>
      <c r="AW104" s="309"/>
      <c r="AX104" s="309"/>
      <c r="AY104" s="309"/>
      <c r="AZ104" s="309"/>
      <c r="BA104" s="310"/>
      <c r="BB104" s="310"/>
      <c r="BC104" s="310"/>
      <c r="BD104" s="310"/>
      <c r="BE104" s="310"/>
      <c r="BF104" s="310"/>
      <c r="BG104" s="310"/>
      <c r="BH104" s="310"/>
      <c r="BI104" s="310"/>
      <c r="BJ104" s="310"/>
      <c r="BK104" s="310"/>
      <c r="BL104" s="310"/>
      <c r="BM104" s="310"/>
      <c r="BN104" s="221"/>
      <c r="BO104" s="221"/>
      <c r="BP104" s="221"/>
      <c r="BQ104" s="221"/>
      <c r="BR104" s="221"/>
    </row>
    <row r="105" ht="15.75" customHeight="1">
      <c r="A105" s="220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309"/>
      <c r="Y105" s="309"/>
      <c r="Z105" s="309"/>
      <c r="AA105" s="309"/>
      <c r="AB105" s="309"/>
      <c r="AC105" s="309"/>
      <c r="AD105" s="309"/>
      <c r="AE105" s="309"/>
      <c r="AF105" s="309"/>
      <c r="AG105" s="309"/>
      <c r="AH105" s="309"/>
      <c r="AI105" s="309"/>
      <c r="AJ105" s="309"/>
      <c r="AK105" s="309"/>
      <c r="AL105" s="309"/>
      <c r="AM105" s="309"/>
      <c r="AN105" s="309"/>
      <c r="AO105" s="309"/>
      <c r="AP105" s="309"/>
      <c r="AQ105" s="309"/>
      <c r="AR105" s="309"/>
      <c r="AS105" s="309"/>
      <c r="AT105" s="309"/>
      <c r="AU105" s="309"/>
      <c r="AV105" s="309"/>
      <c r="AW105" s="309"/>
      <c r="AX105" s="309"/>
      <c r="AY105" s="309"/>
      <c r="AZ105" s="309"/>
      <c r="BA105" s="310"/>
      <c r="BB105" s="310"/>
      <c r="BC105" s="310"/>
      <c r="BD105" s="310"/>
      <c r="BE105" s="310"/>
      <c r="BF105" s="310"/>
      <c r="BG105" s="310"/>
      <c r="BH105" s="310"/>
      <c r="BI105" s="310"/>
      <c r="BJ105" s="310"/>
      <c r="BK105" s="310"/>
      <c r="BL105" s="310"/>
      <c r="BM105" s="310"/>
      <c r="BN105" s="221"/>
      <c r="BO105" s="221"/>
      <c r="BP105" s="221"/>
      <c r="BQ105" s="221"/>
      <c r="BR105" s="221"/>
    </row>
    <row r="106" ht="15.75" customHeight="1">
      <c r="A106" s="220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309"/>
      <c r="Y106" s="309"/>
      <c r="Z106" s="309"/>
      <c r="AA106" s="309"/>
      <c r="AB106" s="309"/>
      <c r="AC106" s="309"/>
      <c r="AD106" s="309"/>
      <c r="AE106" s="309"/>
      <c r="AF106" s="309"/>
      <c r="AG106" s="309"/>
      <c r="AH106" s="309"/>
      <c r="AI106" s="309"/>
      <c r="AJ106" s="309"/>
      <c r="AK106" s="309"/>
      <c r="AL106" s="309"/>
      <c r="AM106" s="309"/>
      <c r="AN106" s="309"/>
      <c r="AO106" s="309"/>
      <c r="AP106" s="309"/>
      <c r="AQ106" s="309"/>
      <c r="AR106" s="309"/>
      <c r="AS106" s="309"/>
      <c r="AT106" s="309"/>
      <c r="AU106" s="309"/>
      <c r="AV106" s="309"/>
      <c r="AW106" s="309"/>
      <c r="AX106" s="309"/>
      <c r="AY106" s="309"/>
      <c r="AZ106" s="309"/>
      <c r="BA106" s="310"/>
      <c r="BB106" s="310"/>
      <c r="BC106" s="310"/>
      <c r="BD106" s="310"/>
      <c r="BE106" s="310"/>
      <c r="BF106" s="310"/>
      <c r="BG106" s="310"/>
      <c r="BH106" s="310"/>
      <c r="BI106" s="310"/>
      <c r="BJ106" s="310"/>
      <c r="BK106" s="310"/>
      <c r="BL106" s="310"/>
      <c r="BM106" s="310"/>
      <c r="BN106" s="221"/>
      <c r="BO106" s="221"/>
      <c r="BP106" s="221"/>
      <c r="BQ106" s="221"/>
      <c r="BR106" s="221"/>
    </row>
    <row r="107" ht="15.75" customHeight="1">
      <c r="A107" s="22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309"/>
      <c r="Y107" s="309"/>
      <c r="Z107" s="309"/>
      <c r="AA107" s="309"/>
      <c r="AB107" s="309"/>
      <c r="AC107" s="309"/>
      <c r="AD107" s="309"/>
      <c r="AE107" s="309"/>
      <c r="AF107" s="309"/>
      <c r="AG107" s="309"/>
      <c r="AH107" s="309"/>
      <c r="AI107" s="309"/>
      <c r="AJ107" s="309"/>
      <c r="AK107" s="309"/>
      <c r="AL107" s="309"/>
      <c r="AM107" s="309"/>
      <c r="AN107" s="309"/>
      <c r="AO107" s="309"/>
      <c r="AP107" s="309"/>
      <c r="AQ107" s="309"/>
      <c r="AR107" s="309"/>
      <c r="AS107" s="309"/>
      <c r="AT107" s="309"/>
      <c r="AU107" s="309"/>
      <c r="AV107" s="309"/>
      <c r="AW107" s="309"/>
      <c r="AX107" s="309"/>
      <c r="AY107" s="309"/>
      <c r="AZ107" s="309"/>
      <c r="BA107" s="310"/>
      <c r="BB107" s="310"/>
      <c r="BC107" s="310"/>
      <c r="BD107" s="310"/>
      <c r="BE107" s="310"/>
      <c r="BF107" s="310"/>
      <c r="BG107" s="310"/>
      <c r="BH107" s="310"/>
      <c r="BI107" s="310"/>
      <c r="BJ107" s="310"/>
      <c r="BK107" s="310"/>
      <c r="BL107" s="310"/>
      <c r="BM107" s="310"/>
      <c r="BN107" s="221"/>
      <c r="BO107" s="221"/>
      <c r="BP107" s="221"/>
      <c r="BQ107" s="221"/>
      <c r="BR107" s="221"/>
    </row>
    <row r="108" ht="15.75" customHeight="1">
      <c r="A108" s="220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309"/>
      <c r="Y108" s="309"/>
      <c r="Z108" s="309"/>
      <c r="AA108" s="309"/>
      <c r="AB108" s="309"/>
      <c r="AC108" s="309"/>
      <c r="AD108" s="309"/>
      <c r="AE108" s="309"/>
      <c r="AF108" s="309"/>
      <c r="AG108" s="309"/>
      <c r="AH108" s="309"/>
      <c r="AI108" s="309"/>
      <c r="AJ108" s="309"/>
      <c r="AK108" s="309"/>
      <c r="AL108" s="309"/>
      <c r="AM108" s="309"/>
      <c r="AN108" s="309"/>
      <c r="AO108" s="309"/>
      <c r="AP108" s="309"/>
      <c r="AQ108" s="309"/>
      <c r="AR108" s="309"/>
      <c r="AS108" s="309"/>
      <c r="AT108" s="309"/>
      <c r="AU108" s="309"/>
      <c r="AV108" s="309"/>
      <c r="AW108" s="309"/>
      <c r="AX108" s="309"/>
      <c r="AY108" s="309"/>
      <c r="AZ108" s="309"/>
      <c r="BA108" s="310"/>
      <c r="BB108" s="310"/>
      <c r="BC108" s="310"/>
      <c r="BD108" s="310"/>
      <c r="BE108" s="310"/>
      <c r="BF108" s="310"/>
      <c r="BG108" s="310"/>
      <c r="BH108" s="310"/>
      <c r="BI108" s="310"/>
      <c r="BJ108" s="310"/>
      <c r="BK108" s="310"/>
      <c r="BL108" s="310"/>
      <c r="BM108" s="310"/>
      <c r="BN108" s="221"/>
      <c r="BO108" s="221"/>
      <c r="BP108" s="221"/>
      <c r="BQ108" s="221"/>
      <c r="BR108" s="221"/>
    </row>
    <row r="109" ht="15.75" customHeight="1">
      <c r="A109" s="220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309"/>
      <c r="Y109" s="309"/>
      <c r="Z109" s="309"/>
      <c r="AA109" s="309"/>
      <c r="AB109" s="309"/>
      <c r="AC109" s="309"/>
      <c r="AD109" s="309"/>
      <c r="AE109" s="309"/>
      <c r="AF109" s="309"/>
      <c r="AG109" s="309"/>
      <c r="AH109" s="309"/>
      <c r="AI109" s="309"/>
      <c r="AJ109" s="309"/>
      <c r="AK109" s="309"/>
      <c r="AL109" s="309"/>
      <c r="AM109" s="309"/>
      <c r="AN109" s="309"/>
      <c r="AO109" s="309"/>
      <c r="AP109" s="309"/>
      <c r="AQ109" s="309"/>
      <c r="AR109" s="309"/>
      <c r="AS109" s="309"/>
      <c r="AT109" s="309"/>
      <c r="AU109" s="309"/>
      <c r="AV109" s="309"/>
      <c r="AW109" s="309"/>
      <c r="AX109" s="309"/>
      <c r="AY109" s="309"/>
      <c r="AZ109" s="309"/>
      <c r="BA109" s="310"/>
      <c r="BB109" s="310"/>
      <c r="BC109" s="310"/>
      <c r="BD109" s="310"/>
      <c r="BE109" s="310"/>
      <c r="BF109" s="310"/>
      <c r="BG109" s="310"/>
      <c r="BH109" s="310"/>
      <c r="BI109" s="310"/>
      <c r="BJ109" s="310"/>
      <c r="BK109" s="310"/>
      <c r="BL109" s="310"/>
      <c r="BM109" s="310"/>
      <c r="BN109" s="221"/>
      <c r="BO109" s="221"/>
      <c r="BP109" s="221"/>
      <c r="BQ109" s="221"/>
      <c r="BR109" s="221"/>
    </row>
    <row r="110" ht="15.75" customHeight="1">
      <c r="A110" s="220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309"/>
      <c r="Y110" s="309"/>
      <c r="Z110" s="309"/>
      <c r="AA110" s="309"/>
      <c r="AB110" s="309"/>
      <c r="AC110" s="309"/>
      <c r="AD110" s="309"/>
      <c r="AE110" s="309"/>
      <c r="AF110" s="309"/>
      <c r="AG110" s="309"/>
      <c r="AH110" s="309"/>
      <c r="AI110" s="309"/>
      <c r="AJ110" s="309"/>
      <c r="AK110" s="309"/>
      <c r="AL110" s="309"/>
      <c r="AM110" s="309"/>
      <c r="AN110" s="309"/>
      <c r="AO110" s="309"/>
      <c r="AP110" s="309"/>
      <c r="AQ110" s="309"/>
      <c r="AR110" s="309"/>
      <c r="AS110" s="309"/>
      <c r="AT110" s="309"/>
      <c r="AU110" s="309"/>
      <c r="AV110" s="309"/>
      <c r="AW110" s="309"/>
      <c r="AX110" s="309"/>
      <c r="AY110" s="309"/>
      <c r="AZ110" s="309"/>
      <c r="BA110" s="310"/>
      <c r="BB110" s="310"/>
      <c r="BC110" s="310"/>
      <c r="BD110" s="310"/>
      <c r="BE110" s="310"/>
      <c r="BF110" s="310"/>
      <c r="BG110" s="310"/>
      <c r="BH110" s="310"/>
      <c r="BI110" s="310"/>
      <c r="BJ110" s="310"/>
      <c r="BK110" s="310"/>
      <c r="BL110" s="310"/>
      <c r="BM110" s="310"/>
      <c r="BN110" s="221"/>
      <c r="BO110" s="221"/>
      <c r="BP110" s="221"/>
      <c r="BQ110" s="221"/>
      <c r="BR110" s="221"/>
    </row>
    <row r="111" ht="15.75" customHeight="1">
      <c r="A111" s="22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309"/>
      <c r="Y111" s="309"/>
      <c r="Z111" s="309"/>
      <c r="AA111" s="309"/>
      <c r="AB111" s="309"/>
      <c r="AC111" s="309"/>
      <c r="AD111" s="309"/>
      <c r="AE111" s="309"/>
      <c r="AF111" s="309"/>
      <c r="AG111" s="309"/>
      <c r="AH111" s="309"/>
      <c r="AI111" s="309"/>
      <c r="AJ111" s="309"/>
      <c r="AK111" s="309"/>
      <c r="AL111" s="309"/>
      <c r="AM111" s="309"/>
      <c r="AN111" s="309"/>
      <c r="AO111" s="309"/>
      <c r="AP111" s="309"/>
      <c r="AQ111" s="309"/>
      <c r="AR111" s="309"/>
      <c r="AS111" s="309"/>
      <c r="AT111" s="309"/>
      <c r="AU111" s="309"/>
      <c r="AV111" s="309"/>
      <c r="AW111" s="309"/>
      <c r="AX111" s="309"/>
      <c r="AY111" s="309"/>
      <c r="AZ111" s="309"/>
      <c r="BA111" s="310"/>
      <c r="BB111" s="310"/>
      <c r="BC111" s="310"/>
      <c r="BD111" s="310"/>
      <c r="BE111" s="310"/>
      <c r="BF111" s="310"/>
      <c r="BG111" s="310"/>
      <c r="BH111" s="310"/>
      <c r="BI111" s="310"/>
      <c r="BJ111" s="310"/>
      <c r="BK111" s="310"/>
      <c r="BL111" s="310"/>
      <c r="BM111" s="310"/>
      <c r="BN111" s="221"/>
      <c r="BO111" s="221"/>
      <c r="BP111" s="221"/>
      <c r="BQ111" s="221"/>
      <c r="BR111" s="221"/>
    </row>
    <row r="112" ht="15.75" customHeight="1">
      <c r="A112" s="220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309"/>
      <c r="Y112" s="309"/>
      <c r="Z112" s="309"/>
      <c r="AA112" s="309"/>
      <c r="AB112" s="309"/>
      <c r="AC112" s="309"/>
      <c r="AD112" s="309"/>
      <c r="AE112" s="309"/>
      <c r="AF112" s="309"/>
      <c r="AG112" s="309"/>
      <c r="AH112" s="309"/>
      <c r="AI112" s="309"/>
      <c r="AJ112" s="309"/>
      <c r="AK112" s="309"/>
      <c r="AL112" s="309"/>
      <c r="AM112" s="309"/>
      <c r="AN112" s="309"/>
      <c r="AO112" s="309"/>
      <c r="AP112" s="309"/>
      <c r="AQ112" s="309"/>
      <c r="AR112" s="309"/>
      <c r="AS112" s="309"/>
      <c r="AT112" s="309"/>
      <c r="AU112" s="309"/>
      <c r="AV112" s="309"/>
      <c r="AW112" s="309"/>
      <c r="AX112" s="309"/>
      <c r="AY112" s="309"/>
      <c r="AZ112" s="309"/>
      <c r="BA112" s="310"/>
      <c r="BB112" s="310"/>
      <c r="BC112" s="310"/>
      <c r="BD112" s="310"/>
      <c r="BE112" s="310"/>
      <c r="BF112" s="310"/>
      <c r="BG112" s="310"/>
      <c r="BH112" s="310"/>
      <c r="BI112" s="310"/>
      <c r="BJ112" s="310"/>
      <c r="BK112" s="310"/>
      <c r="BL112" s="310"/>
      <c r="BM112" s="310"/>
      <c r="BN112" s="221"/>
      <c r="BO112" s="221"/>
      <c r="BP112" s="221"/>
      <c r="BQ112" s="221"/>
      <c r="BR112" s="221"/>
    </row>
    <row r="113" ht="15.75" customHeight="1">
      <c r="A113" s="220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309"/>
      <c r="Y113" s="309"/>
      <c r="Z113" s="309"/>
      <c r="AA113" s="309"/>
      <c r="AB113" s="309"/>
      <c r="AC113" s="309"/>
      <c r="AD113" s="309"/>
      <c r="AE113" s="309"/>
      <c r="AF113" s="309"/>
      <c r="AG113" s="309"/>
      <c r="AH113" s="309"/>
      <c r="AI113" s="309"/>
      <c r="AJ113" s="309"/>
      <c r="AK113" s="309"/>
      <c r="AL113" s="309"/>
      <c r="AM113" s="309"/>
      <c r="AN113" s="309"/>
      <c r="AO113" s="309"/>
      <c r="AP113" s="309"/>
      <c r="AQ113" s="309"/>
      <c r="AR113" s="309"/>
      <c r="AS113" s="309"/>
      <c r="AT113" s="309"/>
      <c r="AU113" s="309"/>
      <c r="AV113" s="309"/>
      <c r="AW113" s="309"/>
      <c r="AX113" s="309"/>
      <c r="AY113" s="309"/>
      <c r="AZ113" s="309"/>
      <c r="BA113" s="310"/>
      <c r="BB113" s="310"/>
      <c r="BC113" s="310"/>
      <c r="BD113" s="310"/>
      <c r="BE113" s="310"/>
      <c r="BF113" s="310"/>
      <c r="BG113" s="310"/>
      <c r="BH113" s="310"/>
      <c r="BI113" s="310"/>
      <c r="BJ113" s="310"/>
      <c r="BK113" s="310"/>
      <c r="BL113" s="310"/>
      <c r="BM113" s="310"/>
      <c r="BN113" s="221"/>
      <c r="BO113" s="221"/>
      <c r="BP113" s="221"/>
      <c r="BQ113" s="221"/>
      <c r="BR113" s="221"/>
    </row>
    <row r="114" ht="15.75" customHeight="1">
      <c r="A114" s="220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309"/>
      <c r="Y114" s="309"/>
      <c r="Z114" s="309"/>
      <c r="AA114" s="309"/>
      <c r="AB114" s="309"/>
      <c r="AC114" s="309"/>
      <c r="AD114" s="309"/>
      <c r="AE114" s="309"/>
      <c r="AF114" s="309"/>
      <c r="AG114" s="309"/>
      <c r="AH114" s="309"/>
      <c r="AI114" s="309"/>
      <c r="AJ114" s="309"/>
      <c r="AK114" s="309"/>
      <c r="AL114" s="309"/>
      <c r="AM114" s="309"/>
      <c r="AN114" s="309"/>
      <c r="AO114" s="309"/>
      <c r="AP114" s="309"/>
      <c r="AQ114" s="309"/>
      <c r="AR114" s="309"/>
      <c r="AS114" s="309"/>
      <c r="AT114" s="309"/>
      <c r="AU114" s="309"/>
      <c r="AV114" s="309"/>
      <c r="AW114" s="309"/>
      <c r="AX114" s="309"/>
      <c r="AY114" s="309"/>
      <c r="AZ114" s="309"/>
      <c r="BA114" s="310"/>
      <c r="BB114" s="310"/>
      <c r="BC114" s="310"/>
      <c r="BD114" s="310"/>
      <c r="BE114" s="310"/>
      <c r="BF114" s="310"/>
      <c r="BG114" s="310"/>
      <c r="BH114" s="310"/>
      <c r="BI114" s="310"/>
      <c r="BJ114" s="310"/>
      <c r="BK114" s="310"/>
      <c r="BL114" s="310"/>
      <c r="BM114" s="310"/>
      <c r="BN114" s="221"/>
      <c r="BO114" s="221"/>
      <c r="BP114" s="221"/>
      <c r="BQ114" s="221"/>
      <c r="BR114" s="221"/>
    </row>
    <row r="115" ht="15.75" customHeight="1">
      <c r="A115" s="22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309"/>
      <c r="Y115" s="309"/>
      <c r="Z115" s="309"/>
      <c r="AA115" s="309"/>
      <c r="AB115" s="309"/>
      <c r="AC115" s="309"/>
      <c r="AD115" s="309"/>
      <c r="AE115" s="309"/>
      <c r="AF115" s="309"/>
      <c r="AG115" s="309"/>
      <c r="AH115" s="309"/>
      <c r="AI115" s="309"/>
      <c r="AJ115" s="309"/>
      <c r="AK115" s="309"/>
      <c r="AL115" s="309"/>
      <c r="AM115" s="309"/>
      <c r="AN115" s="309"/>
      <c r="AO115" s="309"/>
      <c r="AP115" s="309"/>
      <c r="AQ115" s="309"/>
      <c r="AR115" s="309"/>
      <c r="AS115" s="309"/>
      <c r="AT115" s="309"/>
      <c r="AU115" s="309"/>
      <c r="AV115" s="309"/>
      <c r="AW115" s="309"/>
      <c r="AX115" s="309"/>
      <c r="AY115" s="309"/>
      <c r="AZ115" s="309"/>
      <c r="BA115" s="310"/>
      <c r="BB115" s="310"/>
      <c r="BC115" s="310"/>
      <c r="BD115" s="310"/>
      <c r="BE115" s="310"/>
      <c r="BF115" s="310"/>
      <c r="BG115" s="310"/>
      <c r="BH115" s="310"/>
      <c r="BI115" s="310"/>
      <c r="BJ115" s="310"/>
      <c r="BK115" s="310"/>
      <c r="BL115" s="310"/>
      <c r="BM115" s="310"/>
      <c r="BN115" s="221"/>
      <c r="BO115" s="221"/>
      <c r="BP115" s="221"/>
      <c r="BQ115" s="221"/>
      <c r="BR115" s="221"/>
    </row>
    <row r="116" ht="15.75" customHeight="1">
      <c r="A116" s="220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309"/>
      <c r="Y116" s="309"/>
      <c r="Z116" s="309"/>
      <c r="AA116" s="309"/>
      <c r="AB116" s="309"/>
      <c r="AC116" s="309"/>
      <c r="AD116" s="309"/>
      <c r="AE116" s="309"/>
      <c r="AF116" s="309"/>
      <c r="AG116" s="309"/>
      <c r="AH116" s="309"/>
      <c r="AI116" s="309"/>
      <c r="AJ116" s="309"/>
      <c r="AK116" s="309"/>
      <c r="AL116" s="309"/>
      <c r="AM116" s="309"/>
      <c r="AN116" s="309"/>
      <c r="AO116" s="309"/>
      <c r="AP116" s="309"/>
      <c r="AQ116" s="309"/>
      <c r="AR116" s="309"/>
      <c r="AS116" s="309"/>
      <c r="AT116" s="309"/>
      <c r="AU116" s="309"/>
      <c r="AV116" s="309"/>
      <c r="AW116" s="309"/>
      <c r="AX116" s="309"/>
      <c r="AY116" s="309"/>
      <c r="AZ116" s="309"/>
      <c r="BA116" s="310"/>
      <c r="BB116" s="310"/>
      <c r="BC116" s="310"/>
      <c r="BD116" s="310"/>
      <c r="BE116" s="310"/>
      <c r="BF116" s="310"/>
      <c r="BG116" s="310"/>
      <c r="BH116" s="310"/>
      <c r="BI116" s="310"/>
      <c r="BJ116" s="310"/>
      <c r="BK116" s="310"/>
      <c r="BL116" s="310"/>
      <c r="BM116" s="310"/>
      <c r="BN116" s="221"/>
      <c r="BO116" s="221"/>
      <c r="BP116" s="221"/>
      <c r="BQ116" s="221"/>
      <c r="BR116" s="221"/>
    </row>
    <row r="117" ht="15.75" customHeight="1">
      <c r="A117" s="220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309"/>
      <c r="Y117" s="309"/>
      <c r="Z117" s="309"/>
      <c r="AA117" s="309"/>
      <c r="AB117" s="309"/>
      <c r="AC117" s="309"/>
      <c r="AD117" s="309"/>
      <c r="AE117" s="309"/>
      <c r="AF117" s="309"/>
      <c r="AG117" s="309"/>
      <c r="AH117" s="309"/>
      <c r="AI117" s="309"/>
      <c r="AJ117" s="309"/>
      <c r="AK117" s="309"/>
      <c r="AL117" s="309"/>
      <c r="AM117" s="309"/>
      <c r="AN117" s="309"/>
      <c r="AO117" s="309"/>
      <c r="AP117" s="309"/>
      <c r="AQ117" s="309"/>
      <c r="AR117" s="309"/>
      <c r="AS117" s="309"/>
      <c r="AT117" s="309"/>
      <c r="AU117" s="309"/>
      <c r="AV117" s="309"/>
      <c r="AW117" s="309"/>
      <c r="AX117" s="309"/>
      <c r="AY117" s="309"/>
      <c r="AZ117" s="309"/>
      <c r="BA117" s="310"/>
      <c r="BB117" s="310"/>
      <c r="BC117" s="310"/>
      <c r="BD117" s="310"/>
      <c r="BE117" s="310"/>
      <c r="BF117" s="310"/>
      <c r="BG117" s="310"/>
      <c r="BH117" s="310"/>
      <c r="BI117" s="310"/>
      <c r="BJ117" s="310"/>
      <c r="BK117" s="310"/>
      <c r="BL117" s="310"/>
      <c r="BM117" s="310"/>
      <c r="BN117" s="221"/>
      <c r="BO117" s="221"/>
      <c r="BP117" s="221"/>
      <c r="BQ117" s="221"/>
      <c r="BR117" s="221"/>
    </row>
    <row r="118" ht="15.75" customHeight="1">
      <c r="A118" s="220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309"/>
      <c r="Y118" s="309"/>
      <c r="Z118" s="309"/>
      <c r="AA118" s="309"/>
      <c r="AB118" s="309"/>
      <c r="AC118" s="309"/>
      <c r="AD118" s="309"/>
      <c r="AE118" s="309"/>
      <c r="AF118" s="309"/>
      <c r="AG118" s="309"/>
      <c r="AH118" s="309"/>
      <c r="AI118" s="309"/>
      <c r="AJ118" s="309"/>
      <c r="AK118" s="309"/>
      <c r="AL118" s="309"/>
      <c r="AM118" s="309"/>
      <c r="AN118" s="309"/>
      <c r="AO118" s="309"/>
      <c r="AP118" s="309"/>
      <c r="AQ118" s="309"/>
      <c r="AR118" s="309"/>
      <c r="AS118" s="309"/>
      <c r="AT118" s="309"/>
      <c r="AU118" s="309"/>
      <c r="AV118" s="309"/>
      <c r="AW118" s="309"/>
      <c r="AX118" s="309"/>
      <c r="AY118" s="309"/>
      <c r="AZ118" s="309"/>
      <c r="BA118" s="310"/>
      <c r="BB118" s="310"/>
      <c r="BC118" s="310"/>
      <c r="BD118" s="310"/>
      <c r="BE118" s="310"/>
      <c r="BF118" s="310"/>
      <c r="BG118" s="310"/>
      <c r="BH118" s="310"/>
      <c r="BI118" s="310"/>
      <c r="BJ118" s="310"/>
      <c r="BK118" s="310"/>
      <c r="BL118" s="310"/>
      <c r="BM118" s="310"/>
      <c r="BN118" s="221"/>
      <c r="BO118" s="221"/>
      <c r="BP118" s="221"/>
      <c r="BQ118" s="221"/>
      <c r="BR118" s="221"/>
    </row>
    <row r="119" ht="15.75" customHeight="1">
      <c r="A119" s="22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309"/>
      <c r="Y119" s="309"/>
      <c r="Z119" s="309"/>
      <c r="AA119" s="309"/>
      <c r="AB119" s="309"/>
      <c r="AC119" s="309"/>
      <c r="AD119" s="309"/>
      <c r="AE119" s="309"/>
      <c r="AF119" s="309"/>
      <c r="AG119" s="309"/>
      <c r="AH119" s="309"/>
      <c r="AI119" s="309"/>
      <c r="AJ119" s="309"/>
      <c r="AK119" s="309"/>
      <c r="AL119" s="309"/>
      <c r="AM119" s="309"/>
      <c r="AN119" s="309"/>
      <c r="AO119" s="309"/>
      <c r="AP119" s="309"/>
      <c r="AQ119" s="309"/>
      <c r="AR119" s="309"/>
      <c r="AS119" s="309"/>
      <c r="AT119" s="309"/>
      <c r="AU119" s="309"/>
      <c r="AV119" s="309"/>
      <c r="AW119" s="309"/>
      <c r="AX119" s="309"/>
      <c r="AY119" s="309"/>
      <c r="AZ119" s="309"/>
      <c r="BA119" s="310"/>
      <c r="BB119" s="310"/>
      <c r="BC119" s="310"/>
      <c r="BD119" s="310"/>
      <c r="BE119" s="310"/>
      <c r="BF119" s="310"/>
      <c r="BG119" s="310"/>
      <c r="BH119" s="310"/>
      <c r="BI119" s="310"/>
      <c r="BJ119" s="310"/>
      <c r="BK119" s="310"/>
      <c r="BL119" s="310"/>
      <c r="BM119" s="310"/>
      <c r="BN119" s="221"/>
      <c r="BO119" s="221"/>
      <c r="BP119" s="221"/>
      <c r="BQ119" s="221"/>
      <c r="BR119" s="221"/>
    </row>
    <row r="120" ht="15.75" customHeight="1">
      <c r="A120" s="220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309"/>
      <c r="Y120" s="309"/>
      <c r="Z120" s="309"/>
      <c r="AA120" s="309"/>
      <c r="AB120" s="309"/>
      <c r="AC120" s="309"/>
      <c r="AD120" s="309"/>
      <c r="AE120" s="309"/>
      <c r="AF120" s="309"/>
      <c r="AG120" s="309"/>
      <c r="AH120" s="309"/>
      <c r="AI120" s="309"/>
      <c r="AJ120" s="309"/>
      <c r="AK120" s="309"/>
      <c r="AL120" s="309"/>
      <c r="AM120" s="309"/>
      <c r="AN120" s="309"/>
      <c r="AO120" s="309"/>
      <c r="AP120" s="309"/>
      <c r="AQ120" s="309"/>
      <c r="AR120" s="309"/>
      <c r="AS120" s="309"/>
      <c r="AT120" s="309"/>
      <c r="AU120" s="309"/>
      <c r="AV120" s="309"/>
      <c r="AW120" s="309"/>
      <c r="AX120" s="309"/>
      <c r="AY120" s="309"/>
      <c r="AZ120" s="309"/>
      <c r="BA120" s="310"/>
      <c r="BB120" s="310"/>
      <c r="BC120" s="310"/>
      <c r="BD120" s="310"/>
      <c r="BE120" s="310"/>
      <c r="BF120" s="310"/>
      <c r="BG120" s="310"/>
      <c r="BH120" s="310"/>
      <c r="BI120" s="310"/>
      <c r="BJ120" s="310"/>
      <c r="BK120" s="310"/>
      <c r="BL120" s="310"/>
      <c r="BM120" s="310"/>
      <c r="BN120" s="221"/>
      <c r="BO120" s="221"/>
      <c r="BP120" s="221"/>
      <c r="BQ120" s="221"/>
      <c r="BR120" s="221"/>
    </row>
    <row r="121" ht="15.75" customHeight="1">
      <c r="A121" s="220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309"/>
      <c r="Y121" s="309"/>
      <c r="Z121" s="309"/>
      <c r="AA121" s="309"/>
      <c r="AB121" s="309"/>
      <c r="AC121" s="309"/>
      <c r="AD121" s="309"/>
      <c r="AE121" s="309"/>
      <c r="AF121" s="309"/>
      <c r="AG121" s="309"/>
      <c r="AH121" s="309"/>
      <c r="AI121" s="309"/>
      <c r="AJ121" s="309"/>
      <c r="AK121" s="309"/>
      <c r="AL121" s="309"/>
      <c r="AM121" s="309"/>
      <c r="AN121" s="309"/>
      <c r="AO121" s="309"/>
      <c r="AP121" s="309"/>
      <c r="AQ121" s="309"/>
      <c r="AR121" s="309"/>
      <c r="AS121" s="309"/>
      <c r="AT121" s="309"/>
      <c r="AU121" s="309"/>
      <c r="AV121" s="309"/>
      <c r="AW121" s="309"/>
      <c r="AX121" s="309"/>
      <c r="AY121" s="309"/>
      <c r="AZ121" s="309"/>
      <c r="BA121" s="310"/>
      <c r="BB121" s="310"/>
      <c r="BC121" s="310"/>
      <c r="BD121" s="310"/>
      <c r="BE121" s="310"/>
      <c r="BF121" s="310"/>
      <c r="BG121" s="310"/>
      <c r="BH121" s="310"/>
      <c r="BI121" s="310"/>
      <c r="BJ121" s="310"/>
      <c r="BK121" s="310"/>
      <c r="BL121" s="310"/>
      <c r="BM121" s="310"/>
      <c r="BN121" s="221"/>
      <c r="BO121" s="221"/>
      <c r="BP121" s="221"/>
      <c r="BQ121" s="221"/>
      <c r="BR121" s="221"/>
    </row>
    <row r="122" ht="15.75" customHeight="1">
      <c r="A122" s="220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309"/>
      <c r="Y122" s="309"/>
      <c r="Z122" s="309"/>
      <c r="AA122" s="309"/>
      <c r="AB122" s="309"/>
      <c r="AC122" s="309"/>
      <c r="AD122" s="309"/>
      <c r="AE122" s="309"/>
      <c r="AF122" s="309"/>
      <c r="AG122" s="309"/>
      <c r="AH122" s="309"/>
      <c r="AI122" s="309"/>
      <c r="AJ122" s="309"/>
      <c r="AK122" s="309"/>
      <c r="AL122" s="309"/>
      <c r="AM122" s="309"/>
      <c r="AN122" s="309"/>
      <c r="AO122" s="309"/>
      <c r="AP122" s="309"/>
      <c r="AQ122" s="309"/>
      <c r="AR122" s="309"/>
      <c r="AS122" s="309"/>
      <c r="AT122" s="309"/>
      <c r="AU122" s="309"/>
      <c r="AV122" s="309"/>
      <c r="AW122" s="309"/>
      <c r="AX122" s="309"/>
      <c r="AY122" s="309"/>
      <c r="AZ122" s="309"/>
      <c r="BA122" s="310"/>
      <c r="BB122" s="310"/>
      <c r="BC122" s="310"/>
      <c r="BD122" s="310"/>
      <c r="BE122" s="310"/>
      <c r="BF122" s="310"/>
      <c r="BG122" s="310"/>
      <c r="BH122" s="310"/>
      <c r="BI122" s="310"/>
      <c r="BJ122" s="310"/>
      <c r="BK122" s="310"/>
      <c r="BL122" s="310"/>
      <c r="BM122" s="310"/>
      <c r="BN122" s="221"/>
      <c r="BO122" s="221"/>
      <c r="BP122" s="221"/>
      <c r="BQ122" s="221"/>
      <c r="BR122" s="221"/>
    </row>
    <row r="123" ht="15.75" customHeight="1">
      <c r="A123" s="220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309"/>
      <c r="Y123" s="309"/>
      <c r="Z123" s="309"/>
      <c r="AA123" s="309"/>
      <c r="AB123" s="309"/>
      <c r="AC123" s="309"/>
      <c r="AD123" s="309"/>
      <c r="AE123" s="309"/>
      <c r="AF123" s="309"/>
      <c r="AG123" s="309"/>
      <c r="AH123" s="309"/>
      <c r="AI123" s="309"/>
      <c r="AJ123" s="309"/>
      <c r="AK123" s="309"/>
      <c r="AL123" s="309"/>
      <c r="AM123" s="309"/>
      <c r="AN123" s="309"/>
      <c r="AO123" s="309"/>
      <c r="AP123" s="309"/>
      <c r="AQ123" s="309"/>
      <c r="AR123" s="309"/>
      <c r="AS123" s="309"/>
      <c r="AT123" s="309"/>
      <c r="AU123" s="309"/>
      <c r="AV123" s="309"/>
      <c r="AW123" s="309"/>
      <c r="AX123" s="309"/>
      <c r="AY123" s="309"/>
      <c r="AZ123" s="309"/>
      <c r="BA123" s="310"/>
      <c r="BB123" s="310"/>
      <c r="BC123" s="310"/>
      <c r="BD123" s="310"/>
      <c r="BE123" s="310"/>
      <c r="BF123" s="310"/>
      <c r="BG123" s="310"/>
      <c r="BH123" s="310"/>
      <c r="BI123" s="310"/>
      <c r="BJ123" s="310"/>
      <c r="BK123" s="310"/>
      <c r="BL123" s="310"/>
      <c r="BM123" s="310"/>
      <c r="BN123" s="221"/>
      <c r="BO123" s="221"/>
      <c r="BP123" s="221"/>
      <c r="BQ123" s="221"/>
      <c r="BR123" s="221"/>
    </row>
    <row r="124" ht="15.75" customHeight="1">
      <c r="A124" s="220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309"/>
      <c r="Y124" s="309"/>
      <c r="Z124" s="309"/>
      <c r="AA124" s="309"/>
      <c r="AB124" s="309"/>
      <c r="AC124" s="309"/>
      <c r="AD124" s="309"/>
      <c r="AE124" s="309"/>
      <c r="AF124" s="309"/>
      <c r="AG124" s="309"/>
      <c r="AH124" s="309"/>
      <c r="AI124" s="309"/>
      <c r="AJ124" s="309"/>
      <c r="AK124" s="309"/>
      <c r="AL124" s="309"/>
      <c r="AM124" s="309"/>
      <c r="AN124" s="309"/>
      <c r="AO124" s="309"/>
      <c r="AP124" s="309"/>
      <c r="AQ124" s="309"/>
      <c r="AR124" s="309"/>
      <c r="AS124" s="309"/>
      <c r="AT124" s="309"/>
      <c r="AU124" s="309"/>
      <c r="AV124" s="309"/>
      <c r="AW124" s="309"/>
      <c r="AX124" s="309"/>
      <c r="AY124" s="309"/>
      <c r="AZ124" s="309"/>
      <c r="BA124" s="310"/>
      <c r="BB124" s="310"/>
      <c r="BC124" s="310"/>
      <c r="BD124" s="310"/>
      <c r="BE124" s="310"/>
      <c r="BF124" s="310"/>
      <c r="BG124" s="310"/>
      <c r="BH124" s="310"/>
      <c r="BI124" s="310"/>
      <c r="BJ124" s="310"/>
      <c r="BK124" s="310"/>
      <c r="BL124" s="310"/>
      <c r="BM124" s="310"/>
      <c r="BN124" s="221"/>
      <c r="BO124" s="221"/>
      <c r="BP124" s="221"/>
      <c r="BQ124" s="221"/>
      <c r="BR124" s="221"/>
    </row>
    <row r="125" ht="15.75" customHeight="1">
      <c r="A125" s="220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309"/>
      <c r="Y125" s="309"/>
      <c r="Z125" s="309"/>
      <c r="AA125" s="309"/>
      <c r="AB125" s="309"/>
      <c r="AC125" s="309"/>
      <c r="AD125" s="309"/>
      <c r="AE125" s="309"/>
      <c r="AF125" s="309"/>
      <c r="AG125" s="309"/>
      <c r="AH125" s="309"/>
      <c r="AI125" s="309"/>
      <c r="AJ125" s="309"/>
      <c r="AK125" s="309"/>
      <c r="AL125" s="309"/>
      <c r="AM125" s="309"/>
      <c r="AN125" s="309"/>
      <c r="AO125" s="309"/>
      <c r="AP125" s="309"/>
      <c r="AQ125" s="309"/>
      <c r="AR125" s="309"/>
      <c r="AS125" s="309"/>
      <c r="AT125" s="309"/>
      <c r="AU125" s="309"/>
      <c r="AV125" s="309"/>
      <c r="AW125" s="309"/>
      <c r="AX125" s="309"/>
      <c r="AY125" s="309"/>
      <c r="AZ125" s="309"/>
      <c r="BA125" s="310"/>
      <c r="BB125" s="310"/>
      <c r="BC125" s="310"/>
      <c r="BD125" s="310"/>
      <c r="BE125" s="310"/>
      <c r="BF125" s="310"/>
      <c r="BG125" s="310"/>
      <c r="BH125" s="310"/>
      <c r="BI125" s="310"/>
      <c r="BJ125" s="310"/>
      <c r="BK125" s="310"/>
      <c r="BL125" s="310"/>
      <c r="BM125" s="310"/>
      <c r="BN125" s="221"/>
      <c r="BO125" s="221"/>
      <c r="BP125" s="221"/>
      <c r="BQ125" s="221"/>
      <c r="BR125" s="221"/>
    </row>
    <row r="126" ht="15.75" customHeight="1">
      <c r="A126" s="220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309"/>
      <c r="Y126" s="309"/>
      <c r="Z126" s="309"/>
      <c r="AA126" s="309"/>
      <c r="AB126" s="309"/>
      <c r="AC126" s="309"/>
      <c r="AD126" s="309"/>
      <c r="AE126" s="309"/>
      <c r="AF126" s="309"/>
      <c r="AG126" s="309"/>
      <c r="AH126" s="309"/>
      <c r="AI126" s="309"/>
      <c r="AJ126" s="309"/>
      <c r="AK126" s="309"/>
      <c r="AL126" s="309"/>
      <c r="AM126" s="309"/>
      <c r="AN126" s="309"/>
      <c r="AO126" s="309"/>
      <c r="AP126" s="309"/>
      <c r="AQ126" s="309"/>
      <c r="AR126" s="309"/>
      <c r="AS126" s="309"/>
      <c r="AT126" s="309"/>
      <c r="AU126" s="309"/>
      <c r="AV126" s="309"/>
      <c r="AW126" s="309"/>
      <c r="AX126" s="309"/>
      <c r="AY126" s="309"/>
      <c r="AZ126" s="309"/>
      <c r="BA126" s="310"/>
      <c r="BB126" s="310"/>
      <c r="BC126" s="310"/>
      <c r="BD126" s="310"/>
      <c r="BE126" s="310"/>
      <c r="BF126" s="310"/>
      <c r="BG126" s="310"/>
      <c r="BH126" s="310"/>
      <c r="BI126" s="310"/>
      <c r="BJ126" s="310"/>
      <c r="BK126" s="310"/>
      <c r="BL126" s="310"/>
      <c r="BM126" s="310"/>
      <c r="BN126" s="221"/>
      <c r="BO126" s="221"/>
      <c r="BP126" s="221"/>
      <c r="BQ126" s="221"/>
      <c r="BR126" s="221"/>
    </row>
    <row r="127" ht="15.75" customHeight="1">
      <c r="A127" s="220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309"/>
      <c r="Y127" s="309"/>
      <c r="Z127" s="309"/>
      <c r="AA127" s="309"/>
      <c r="AB127" s="309"/>
      <c r="AC127" s="309"/>
      <c r="AD127" s="309"/>
      <c r="AE127" s="309"/>
      <c r="AF127" s="309"/>
      <c r="AG127" s="309"/>
      <c r="AH127" s="309"/>
      <c r="AI127" s="309"/>
      <c r="AJ127" s="309"/>
      <c r="AK127" s="309"/>
      <c r="AL127" s="309"/>
      <c r="AM127" s="309"/>
      <c r="AN127" s="309"/>
      <c r="AO127" s="309"/>
      <c r="AP127" s="309"/>
      <c r="AQ127" s="309"/>
      <c r="AR127" s="309"/>
      <c r="AS127" s="309"/>
      <c r="AT127" s="309"/>
      <c r="AU127" s="309"/>
      <c r="AV127" s="309"/>
      <c r="AW127" s="309"/>
      <c r="AX127" s="309"/>
      <c r="AY127" s="309"/>
      <c r="AZ127" s="309"/>
      <c r="BA127" s="310"/>
      <c r="BB127" s="310"/>
      <c r="BC127" s="310"/>
      <c r="BD127" s="310"/>
      <c r="BE127" s="310"/>
      <c r="BF127" s="310"/>
      <c r="BG127" s="310"/>
      <c r="BH127" s="310"/>
      <c r="BI127" s="310"/>
      <c r="BJ127" s="310"/>
      <c r="BK127" s="310"/>
      <c r="BL127" s="310"/>
      <c r="BM127" s="310"/>
      <c r="BN127" s="221"/>
      <c r="BO127" s="221"/>
      <c r="BP127" s="221"/>
      <c r="BQ127" s="221"/>
      <c r="BR127" s="221"/>
    </row>
    <row r="128" ht="15.75" customHeight="1">
      <c r="A128" s="220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309"/>
      <c r="Y128" s="309"/>
      <c r="Z128" s="309"/>
      <c r="AA128" s="309"/>
      <c r="AB128" s="309"/>
      <c r="AC128" s="309"/>
      <c r="AD128" s="309"/>
      <c r="AE128" s="309"/>
      <c r="AF128" s="309"/>
      <c r="AG128" s="309"/>
      <c r="AH128" s="309"/>
      <c r="AI128" s="309"/>
      <c r="AJ128" s="309"/>
      <c r="AK128" s="309"/>
      <c r="AL128" s="309"/>
      <c r="AM128" s="309"/>
      <c r="AN128" s="309"/>
      <c r="AO128" s="309"/>
      <c r="AP128" s="309"/>
      <c r="AQ128" s="309"/>
      <c r="AR128" s="309"/>
      <c r="AS128" s="309"/>
      <c r="AT128" s="309"/>
      <c r="AU128" s="309"/>
      <c r="AV128" s="309"/>
      <c r="AW128" s="309"/>
      <c r="AX128" s="309"/>
      <c r="AY128" s="309"/>
      <c r="AZ128" s="309"/>
      <c r="BA128" s="310"/>
      <c r="BB128" s="310"/>
      <c r="BC128" s="310"/>
      <c r="BD128" s="310"/>
      <c r="BE128" s="310"/>
      <c r="BF128" s="310"/>
      <c r="BG128" s="310"/>
      <c r="BH128" s="310"/>
      <c r="BI128" s="310"/>
      <c r="BJ128" s="310"/>
      <c r="BK128" s="310"/>
      <c r="BL128" s="310"/>
      <c r="BM128" s="310"/>
      <c r="BN128" s="221"/>
      <c r="BO128" s="221"/>
      <c r="BP128" s="221"/>
      <c r="BQ128" s="221"/>
      <c r="BR128" s="221"/>
    </row>
    <row r="129" ht="15.75" customHeight="1">
      <c r="A129" s="220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309"/>
      <c r="Y129" s="309"/>
      <c r="Z129" s="309"/>
      <c r="AA129" s="309"/>
      <c r="AB129" s="309"/>
      <c r="AC129" s="309"/>
      <c r="AD129" s="309"/>
      <c r="AE129" s="309"/>
      <c r="AF129" s="309"/>
      <c r="AG129" s="309"/>
      <c r="AH129" s="309"/>
      <c r="AI129" s="309"/>
      <c r="AJ129" s="309"/>
      <c r="AK129" s="309"/>
      <c r="AL129" s="309"/>
      <c r="AM129" s="309"/>
      <c r="AN129" s="309"/>
      <c r="AO129" s="309"/>
      <c r="AP129" s="309"/>
      <c r="AQ129" s="309"/>
      <c r="AR129" s="309"/>
      <c r="AS129" s="309"/>
      <c r="AT129" s="309"/>
      <c r="AU129" s="309"/>
      <c r="AV129" s="309"/>
      <c r="AW129" s="309"/>
      <c r="AX129" s="309"/>
      <c r="AY129" s="309"/>
      <c r="AZ129" s="309"/>
      <c r="BA129" s="310"/>
      <c r="BB129" s="310"/>
      <c r="BC129" s="310"/>
      <c r="BD129" s="310"/>
      <c r="BE129" s="310"/>
      <c r="BF129" s="310"/>
      <c r="BG129" s="310"/>
      <c r="BH129" s="310"/>
      <c r="BI129" s="310"/>
      <c r="BJ129" s="310"/>
      <c r="BK129" s="310"/>
      <c r="BL129" s="310"/>
      <c r="BM129" s="310"/>
      <c r="BN129" s="221"/>
      <c r="BO129" s="221"/>
      <c r="BP129" s="221"/>
      <c r="BQ129" s="221"/>
      <c r="BR129" s="221"/>
    </row>
    <row r="130" ht="15.75" customHeight="1">
      <c r="A130" s="220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309"/>
      <c r="Y130" s="309"/>
      <c r="Z130" s="309"/>
      <c r="AA130" s="309"/>
      <c r="AB130" s="309"/>
      <c r="AC130" s="309"/>
      <c r="AD130" s="309"/>
      <c r="AE130" s="309"/>
      <c r="AF130" s="309"/>
      <c r="AG130" s="309"/>
      <c r="AH130" s="309"/>
      <c r="AI130" s="309"/>
      <c r="AJ130" s="309"/>
      <c r="AK130" s="309"/>
      <c r="AL130" s="309"/>
      <c r="AM130" s="309"/>
      <c r="AN130" s="309"/>
      <c r="AO130" s="309"/>
      <c r="AP130" s="309"/>
      <c r="AQ130" s="309"/>
      <c r="AR130" s="309"/>
      <c r="AS130" s="309"/>
      <c r="AT130" s="309"/>
      <c r="AU130" s="309"/>
      <c r="AV130" s="309"/>
      <c r="AW130" s="309"/>
      <c r="AX130" s="309"/>
      <c r="AY130" s="309"/>
      <c r="AZ130" s="309"/>
      <c r="BA130" s="310"/>
      <c r="BB130" s="310"/>
      <c r="BC130" s="310"/>
      <c r="BD130" s="310"/>
      <c r="BE130" s="310"/>
      <c r="BF130" s="310"/>
      <c r="BG130" s="310"/>
      <c r="BH130" s="310"/>
      <c r="BI130" s="310"/>
      <c r="BJ130" s="310"/>
      <c r="BK130" s="310"/>
      <c r="BL130" s="310"/>
      <c r="BM130" s="310"/>
      <c r="BN130" s="221"/>
      <c r="BO130" s="221"/>
      <c r="BP130" s="221"/>
      <c r="BQ130" s="221"/>
      <c r="BR130" s="221"/>
    </row>
    <row r="131" ht="15.75" customHeight="1">
      <c r="A131" s="220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309"/>
      <c r="Y131" s="309"/>
      <c r="Z131" s="309"/>
      <c r="AA131" s="309"/>
      <c r="AB131" s="309"/>
      <c r="AC131" s="309"/>
      <c r="AD131" s="309"/>
      <c r="AE131" s="309"/>
      <c r="AF131" s="309"/>
      <c r="AG131" s="309"/>
      <c r="AH131" s="309"/>
      <c r="AI131" s="309"/>
      <c r="AJ131" s="309"/>
      <c r="AK131" s="309"/>
      <c r="AL131" s="309"/>
      <c r="AM131" s="309"/>
      <c r="AN131" s="309"/>
      <c r="AO131" s="309"/>
      <c r="AP131" s="309"/>
      <c r="AQ131" s="309"/>
      <c r="AR131" s="309"/>
      <c r="AS131" s="309"/>
      <c r="AT131" s="309"/>
      <c r="AU131" s="309"/>
      <c r="AV131" s="309"/>
      <c r="AW131" s="309"/>
      <c r="AX131" s="309"/>
      <c r="AY131" s="309"/>
      <c r="AZ131" s="309"/>
      <c r="BA131" s="310"/>
      <c r="BB131" s="310"/>
      <c r="BC131" s="310"/>
      <c r="BD131" s="310"/>
      <c r="BE131" s="310"/>
      <c r="BF131" s="310"/>
      <c r="BG131" s="310"/>
      <c r="BH131" s="310"/>
      <c r="BI131" s="310"/>
      <c r="BJ131" s="310"/>
      <c r="BK131" s="310"/>
      <c r="BL131" s="310"/>
      <c r="BM131" s="310"/>
      <c r="BN131" s="221"/>
      <c r="BO131" s="221"/>
      <c r="BP131" s="221"/>
      <c r="BQ131" s="221"/>
      <c r="BR131" s="221"/>
    </row>
    <row r="132" ht="15.75" customHeight="1">
      <c r="A132" s="220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309"/>
      <c r="Y132" s="309"/>
      <c r="Z132" s="309"/>
      <c r="AA132" s="309"/>
      <c r="AB132" s="309"/>
      <c r="AC132" s="309"/>
      <c r="AD132" s="309"/>
      <c r="AE132" s="309"/>
      <c r="AF132" s="309"/>
      <c r="AG132" s="309"/>
      <c r="AH132" s="309"/>
      <c r="AI132" s="309"/>
      <c r="AJ132" s="309"/>
      <c r="AK132" s="309"/>
      <c r="AL132" s="309"/>
      <c r="AM132" s="309"/>
      <c r="AN132" s="309"/>
      <c r="AO132" s="309"/>
      <c r="AP132" s="309"/>
      <c r="AQ132" s="309"/>
      <c r="AR132" s="309"/>
      <c r="AS132" s="309"/>
      <c r="AT132" s="309"/>
      <c r="AU132" s="309"/>
      <c r="AV132" s="309"/>
      <c r="AW132" s="309"/>
      <c r="AX132" s="309"/>
      <c r="AY132" s="309"/>
      <c r="AZ132" s="309"/>
      <c r="BA132" s="310"/>
      <c r="BB132" s="310"/>
      <c r="BC132" s="310"/>
      <c r="BD132" s="310"/>
      <c r="BE132" s="310"/>
      <c r="BF132" s="310"/>
      <c r="BG132" s="310"/>
      <c r="BH132" s="310"/>
      <c r="BI132" s="310"/>
      <c r="BJ132" s="310"/>
      <c r="BK132" s="310"/>
      <c r="BL132" s="310"/>
      <c r="BM132" s="310"/>
      <c r="BN132" s="221"/>
      <c r="BO132" s="221"/>
      <c r="BP132" s="221"/>
      <c r="BQ132" s="221"/>
      <c r="BR132" s="221"/>
    </row>
    <row r="133" ht="15.75" customHeight="1">
      <c r="A133" s="220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309"/>
      <c r="Y133" s="309"/>
      <c r="Z133" s="309"/>
      <c r="AA133" s="309"/>
      <c r="AB133" s="309"/>
      <c r="AC133" s="309"/>
      <c r="AD133" s="309"/>
      <c r="AE133" s="309"/>
      <c r="AF133" s="309"/>
      <c r="AG133" s="309"/>
      <c r="AH133" s="309"/>
      <c r="AI133" s="309"/>
      <c r="AJ133" s="309"/>
      <c r="AK133" s="309"/>
      <c r="AL133" s="309"/>
      <c r="AM133" s="309"/>
      <c r="AN133" s="309"/>
      <c r="AO133" s="309"/>
      <c r="AP133" s="309"/>
      <c r="AQ133" s="309"/>
      <c r="AR133" s="309"/>
      <c r="AS133" s="309"/>
      <c r="AT133" s="309"/>
      <c r="AU133" s="309"/>
      <c r="AV133" s="309"/>
      <c r="AW133" s="309"/>
      <c r="AX133" s="309"/>
      <c r="AY133" s="309"/>
      <c r="AZ133" s="309"/>
      <c r="BA133" s="310"/>
      <c r="BB133" s="310"/>
      <c r="BC133" s="310"/>
      <c r="BD133" s="310"/>
      <c r="BE133" s="310"/>
      <c r="BF133" s="310"/>
      <c r="BG133" s="310"/>
      <c r="BH133" s="310"/>
      <c r="BI133" s="310"/>
      <c r="BJ133" s="310"/>
      <c r="BK133" s="310"/>
      <c r="BL133" s="310"/>
      <c r="BM133" s="310"/>
      <c r="BN133" s="221"/>
      <c r="BO133" s="221"/>
      <c r="BP133" s="221"/>
      <c r="BQ133" s="221"/>
      <c r="BR133" s="221"/>
    </row>
    <row r="134" ht="15.75" customHeight="1">
      <c r="A134" s="220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309"/>
      <c r="Y134" s="309"/>
      <c r="Z134" s="309"/>
      <c r="AA134" s="309"/>
      <c r="AB134" s="309"/>
      <c r="AC134" s="309"/>
      <c r="AD134" s="309"/>
      <c r="AE134" s="309"/>
      <c r="AF134" s="309"/>
      <c r="AG134" s="309"/>
      <c r="AH134" s="309"/>
      <c r="AI134" s="309"/>
      <c r="AJ134" s="309"/>
      <c r="AK134" s="309"/>
      <c r="AL134" s="309"/>
      <c r="AM134" s="309"/>
      <c r="AN134" s="309"/>
      <c r="AO134" s="309"/>
      <c r="AP134" s="309"/>
      <c r="AQ134" s="309"/>
      <c r="AR134" s="309"/>
      <c r="AS134" s="309"/>
      <c r="AT134" s="309"/>
      <c r="AU134" s="309"/>
      <c r="AV134" s="309"/>
      <c r="AW134" s="309"/>
      <c r="AX134" s="309"/>
      <c r="AY134" s="309"/>
      <c r="AZ134" s="309"/>
      <c r="BA134" s="310"/>
      <c r="BB134" s="310"/>
      <c r="BC134" s="310"/>
      <c r="BD134" s="310"/>
      <c r="BE134" s="310"/>
      <c r="BF134" s="310"/>
      <c r="BG134" s="310"/>
      <c r="BH134" s="310"/>
      <c r="BI134" s="310"/>
      <c r="BJ134" s="310"/>
      <c r="BK134" s="310"/>
      <c r="BL134" s="310"/>
      <c r="BM134" s="310"/>
      <c r="BN134" s="221"/>
      <c r="BO134" s="221"/>
      <c r="BP134" s="221"/>
      <c r="BQ134" s="221"/>
      <c r="BR134" s="221"/>
    </row>
    <row r="135" ht="15.75" customHeight="1">
      <c r="A135" s="220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309"/>
      <c r="Y135" s="309"/>
      <c r="Z135" s="309"/>
      <c r="AA135" s="309"/>
      <c r="AB135" s="309"/>
      <c r="AC135" s="309"/>
      <c r="AD135" s="309"/>
      <c r="AE135" s="309"/>
      <c r="AF135" s="309"/>
      <c r="AG135" s="309"/>
      <c r="AH135" s="309"/>
      <c r="AI135" s="309"/>
      <c r="AJ135" s="309"/>
      <c r="AK135" s="309"/>
      <c r="AL135" s="309"/>
      <c r="AM135" s="309"/>
      <c r="AN135" s="309"/>
      <c r="AO135" s="309"/>
      <c r="AP135" s="309"/>
      <c r="AQ135" s="309"/>
      <c r="AR135" s="309"/>
      <c r="AS135" s="309"/>
      <c r="AT135" s="309"/>
      <c r="AU135" s="309"/>
      <c r="AV135" s="309"/>
      <c r="AW135" s="309"/>
      <c r="AX135" s="309"/>
      <c r="AY135" s="309"/>
      <c r="AZ135" s="309"/>
      <c r="BA135" s="310"/>
      <c r="BB135" s="310"/>
      <c r="BC135" s="310"/>
      <c r="BD135" s="310"/>
      <c r="BE135" s="310"/>
      <c r="BF135" s="310"/>
      <c r="BG135" s="310"/>
      <c r="BH135" s="310"/>
      <c r="BI135" s="310"/>
      <c r="BJ135" s="310"/>
      <c r="BK135" s="310"/>
      <c r="BL135" s="310"/>
      <c r="BM135" s="310"/>
      <c r="BN135" s="221"/>
      <c r="BO135" s="221"/>
      <c r="BP135" s="221"/>
      <c r="BQ135" s="221"/>
      <c r="BR135" s="221"/>
    </row>
    <row r="136" ht="15.75" customHeight="1">
      <c r="A136" s="220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309"/>
      <c r="Y136" s="309"/>
      <c r="Z136" s="309"/>
      <c r="AA136" s="309"/>
      <c r="AB136" s="309"/>
      <c r="AC136" s="309"/>
      <c r="AD136" s="309"/>
      <c r="AE136" s="309"/>
      <c r="AF136" s="309"/>
      <c r="AG136" s="309"/>
      <c r="AH136" s="309"/>
      <c r="AI136" s="309"/>
      <c r="AJ136" s="309"/>
      <c r="AK136" s="309"/>
      <c r="AL136" s="309"/>
      <c r="AM136" s="309"/>
      <c r="AN136" s="309"/>
      <c r="AO136" s="309"/>
      <c r="AP136" s="309"/>
      <c r="AQ136" s="309"/>
      <c r="AR136" s="309"/>
      <c r="AS136" s="309"/>
      <c r="AT136" s="309"/>
      <c r="AU136" s="309"/>
      <c r="AV136" s="309"/>
      <c r="AW136" s="309"/>
      <c r="AX136" s="309"/>
      <c r="AY136" s="309"/>
      <c r="AZ136" s="309"/>
      <c r="BA136" s="310"/>
      <c r="BB136" s="310"/>
      <c r="BC136" s="310"/>
      <c r="BD136" s="310"/>
      <c r="BE136" s="310"/>
      <c r="BF136" s="310"/>
      <c r="BG136" s="310"/>
      <c r="BH136" s="310"/>
      <c r="BI136" s="310"/>
      <c r="BJ136" s="310"/>
      <c r="BK136" s="310"/>
      <c r="BL136" s="310"/>
      <c r="BM136" s="310"/>
      <c r="BN136" s="221"/>
      <c r="BO136" s="221"/>
      <c r="BP136" s="221"/>
      <c r="BQ136" s="221"/>
      <c r="BR136" s="221"/>
    </row>
    <row r="137" ht="15.75" customHeight="1">
      <c r="A137" s="220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309"/>
      <c r="Y137" s="309"/>
      <c r="Z137" s="309"/>
      <c r="AA137" s="309"/>
      <c r="AB137" s="309"/>
      <c r="AC137" s="309"/>
      <c r="AD137" s="309"/>
      <c r="AE137" s="309"/>
      <c r="AF137" s="309"/>
      <c r="AG137" s="309"/>
      <c r="AH137" s="309"/>
      <c r="AI137" s="309"/>
      <c r="AJ137" s="309"/>
      <c r="AK137" s="309"/>
      <c r="AL137" s="309"/>
      <c r="AM137" s="309"/>
      <c r="AN137" s="309"/>
      <c r="AO137" s="309"/>
      <c r="AP137" s="309"/>
      <c r="AQ137" s="309"/>
      <c r="AR137" s="309"/>
      <c r="AS137" s="309"/>
      <c r="AT137" s="309"/>
      <c r="AU137" s="309"/>
      <c r="AV137" s="309"/>
      <c r="AW137" s="309"/>
      <c r="AX137" s="309"/>
      <c r="AY137" s="309"/>
      <c r="AZ137" s="309"/>
      <c r="BA137" s="310"/>
      <c r="BB137" s="310"/>
      <c r="BC137" s="310"/>
      <c r="BD137" s="310"/>
      <c r="BE137" s="310"/>
      <c r="BF137" s="310"/>
      <c r="BG137" s="310"/>
      <c r="BH137" s="310"/>
      <c r="BI137" s="310"/>
      <c r="BJ137" s="310"/>
      <c r="BK137" s="310"/>
      <c r="BL137" s="310"/>
      <c r="BM137" s="310"/>
      <c r="BN137" s="221"/>
      <c r="BO137" s="221"/>
      <c r="BP137" s="221"/>
      <c r="BQ137" s="221"/>
      <c r="BR137" s="221"/>
    </row>
    <row r="138" ht="15.75" customHeight="1">
      <c r="A138" s="220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309"/>
      <c r="Y138" s="309"/>
      <c r="Z138" s="309"/>
      <c r="AA138" s="309"/>
      <c r="AB138" s="309"/>
      <c r="AC138" s="309"/>
      <c r="AD138" s="309"/>
      <c r="AE138" s="309"/>
      <c r="AF138" s="309"/>
      <c r="AG138" s="309"/>
      <c r="AH138" s="309"/>
      <c r="AI138" s="309"/>
      <c r="AJ138" s="309"/>
      <c r="AK138" s="309"/>
      <c r="AL138" s="309"/>
      <c r="AM138" s="309"/>
      <c r="AN138" s="309"/>
      <c r="AO138" s="309"/>
      <c r="AP138" s="309"/>
      <c r="AQ138" s="309"/>
      <c r="AR138" s="309"/>
      <c r="AS138" s="309"/>
      <c r="AT138" s="309"/>
      <c r="AU138" s="309"/>
      <c r="AV138" s="309"/>
      <c r="AW138" s="309"/>
      <c r="AX138" s="309"/>
      <c r="AY138" s="309"/>
      <c r="AZ138" s="309"/>
      <c r="BA138" s="310"/>
      <c r="BB138" s="310"/>
      <c r="BC138" s="310"/>
      <c r="BD138" s="310"/>
      <c r="BE138" s="310"/>
      <c r="BF138" s="310"/>
      <c r="BG138" s="310"/>
      <c r="BH138" s="310"/>
      <c r="BI138" s="310"/>
      <c r="BJ138" s="310"/>
      <c r="BK138" s="310"/>
      <c r="BL138" s="310"/>
      <c r="BM138" s="310"/>
      <c r="BN138" s="221"/>
      <c r="BO138" s="221"/>
      <c r="BP138" s="221"/>
      <c r="BQ138" s="221"/>
      <c r="BR138" s="221"/>
    </row>
    <row r="139" ht="15.75" customHeight="1">
      <c r="A139" s="220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309"/>
      <c r="Y139" s="309"/>
      <c r="Z139" s="309"/>
      <c r="AA139" s="309"/>
      <c r="AB139" s="309"/>
      <c r="AC139" s="309"/>
      <c r="AD139" s="309"/>
      <c r="AE139" s="309"/>
      <c r="AF139" s="309"/>
      <c r="AG139" s="309"/>
      <c r="AH139" s="309"/>
      <c r="AI139" s="309"/>
      <c r="AJ139" s="309"/>
      <c r="AK139" s="309"/>
      <c r="AL139" s="309"/>
      <c r="AM139" s="309"/>
      <c r="AN139" s="309"/>
      <c r="AO139" s="309"/>
      <c r="AP139" s="309"/>
      <c r="AQ139" s="309"/>
      <c r="AR139" s="309"/>
      <c r="AS139" s="309"/>
      <c r="AT139" s="309"/>
      <c r="AU139" s="309"/>
      <c r="AV139" s="309"/>
      <c r="AW139" s="309"/>
      <c r="AX139" s="309"/>
      <c r="AY139" s="309"/>
      <c r="AZ139" s="309"/>
      <c r="BA139" s="310"/>
      <c r="BB139" s="310"/>
      <c r="BC139" s="310"/>
      <c r="BD139" s="310"/>
      <c r="BE139" s="310"/>
      <c r="BF139" s="310"/>
      <c r="BG139" s="310"/>
      <c r="BH139" s="310"/>
      <c r="BI139" s="310"/>
      <c r="BJ139" s="310"/>
      <c r="BK139" s="310"/>
      <c r="BL139" s="310"/>
      <c r="BM139" s="310"/>
      <c r="BN139" s="221"/>
      <c r="BO139" s="221"/>
      <c r="BP139" s="221"/>
      <c r="BQ139" s="221"/>
      <c r="BR139" s="221"/>
    </row>
    <row r="140" ht="15.75" customHeight="1">
      <c r="A140" s="22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309"/>
      <c r="Y140" s="309"/>
      <c r="Z140" s="309"/>
      <c r="AA140" s="309"/>
      <c r="AB140" s="309"/>
      <c r="AC140" s="309"/>
      <c r="AD140" s="309"/>
      <c r="AE140" s="309"/>
      <c r="AF140" s="309"/>
      <c r="AG140" s="309"/>
      <c r="AH140" s="309"/>
      <c r="AI140" s="309"/>
      <c r="AJ140" s="309"/>
      <c r="AK140" s="309"/>
      <c r="AL140" s="309"/>
      <c r="AM140" s="309"/>
      <c r="AN140" s="309"/>
      <c r="AO140" s="309"/>
      <c r="AP140" s="309"/>
      <c r="AQ140" s="309"/>
      <c r="AR140" s="309"/>
      <c r="AS140" s="309"/>
      <c r="AT140" s="309"/>
      <c r="AU140" s="309"/>
      <c r="AV140" s="309"/>
      <c r="AW140" s="309"/>
      <c r="AX140" s="309"/>
      <c r="AY140" s="309"/>
      <c r="AZ140" s="309"/>
      <c r="BA140" s="310"/>
      <c r="BB140" s="310"/>
      <c r="BC140" s="310"/>
      <c r="BD140" s="310"/>
      <c r="BE140" s="310"/>
      <c r="BF140" s="310"/>
      <c r="BG140" s="310"/>
      <c r="BH140" s="310"/>
      <c r="BI140" s="310"/>
      <c r="BJ140" s="310"/>
      <c r="BK140" s="310"/>
      <c r="BL140" s="310"/>
      <c r="BM140" s="310"/>
      <c r="BN140" s="221"/>
      <c r="BO140" s="221"/>
      <c r="BP140" s="221"/>
      <c r="BQ140" s="221"/>
      <c r="BR140" s="221"/>
    </row>
    <row r="141" ht="15.75" customHeight="1">
      <c r="A141" s="220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309"/>
      <c r="Y141" s="309"/>
      <c r="Z141" s="309"/>
      <c r="AA141" s="309"/>
      <c r="AB141" s="309"/>
      <c r="AC141" s="309"/>
      <c r="AD141" s="309"/>
      <c r="AE141" s="309"/>
      <c r="AF141" s="309"/>
      <c r="AG141" s="309"/>
      <c r="AH141" s="309"/>
      <c r="AI141" s="309"/>
      <c r="AJ141" s="309"/>
      <c r="AK141" s="309"/>
      <c r="AL141" s="309"/>
      <c r="AM141" s="309"/>
      <c r="AN141" s="309"/>
      <c r="AO141" s="309"/>
      <c r="AP141" s="309"/>
      <c r="AQ141" s="309"/>
      <c r="AR141" s="309"/>
      <c r="AS141" s="309"/>
      <c r="AT141" s="309"/>
      <c r="AU141" s="309"/>
      <c r="AV141" s="309"/>
      <c r="AW141" s="309"/>
      <c r="AX141" s="309"/>
      <c r="AY141" s="309"/>
      <c r="AZ141" s="309"/>
      <c r="BA141" s="310"/>
      <c r="BB141" s="310"/>
      <c r="BC141" s="310"/>
      <c r="BD141" s="310"/>
      <c r="BE141" s="310"/>
      <c r="BF141" s="310"/>
      <c r="BG141" s="310"/>
      <c r="BH141" s="310"/>
      <c r="BI141" s="310"/>
      <c r="BJ141" s="310"/>
      <c r="BK141" s="310"/>
      <c r="BL141" s="310"/>
      <c r="BM141" s="310"/>
      <c r="BN141" s="221"/>
      <c r="BO141" s="221"/>
      <c r="BP141" s="221"/>
      <c r="BQ141" s="221"/>
      <c r="BR141" s="221"/>
    </row>
    <row r="142" ht="15.75" customHeight="1">
      <c r="A142" s="220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309"/>
      <c r="Y142" s="309"/>
      <c r="Z142" s="309"/>
      <c r="AA142" s="309"/>
      <c r="AB142" s="309"/>
      <c r="AC142" s="309"/>
      <c r="AD142" s="309"/>
      <c r="AE142" s="309"/>
      <c r="AF142" s="309"/>
      <c r="AG142" s="309"/>
      <c r="AH142" s="309"/>
      <c r="AI142" s="309"/>
      <c r="AJ142" s="309"/>
      <c r="AK142" s="309"/>
      <c r="AL142" s="309"/>
      <c r="AM142" s="309"/>
      <c r="AN142" s="309"/>
      <c r="AO142" s="309"/>
      <c r="AP142" s="309"/>
      <c r="AQ142" s="309"/>
      <c r="AR142" s="309"/>
      <c r="AS142" s="309"/>
      <c r="AT142" s="309"/>
      <c r="AU142" s="309"/>
      <c r="AV142" s="309"/>
      <c r="AW142" s="309"/>
      <c r="AX142" s="309"/>
      <c r="AY142" s="309"/>
      <c r="AZ142" s="309"/>
      <c r="BA142" s="310"/>
      <c r="BB142" s="310"/>
      <c r="BC142" s="310"/>
      <c r="BD142" s="310"/>
      <c r="BE142" s="310"/>
      <c r="BF142" s="310"/>
      <c r="BG142" s="310"/>
      <c r="BH142" s="310"/>
      <c r="BI142" s="310"/>
      <c r="BJ142" s="310"/>
      <c r="BK142" s="310"/>
      <c r="BL142" s="310"/>
      <c r="BM142" s="310"/>
      <c r="BN142" s="221"/>
      <c r="BO142" s="221"/>
      <c r="BP142" s="221"/>
      <c r="BQ142" s="221"/>
      <c r="BR142" s="221"/>
    </row>
    <row r="143" ht="15.75" customHeight="1">
      <c r="A143" s="220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309"/>
      <c r="Y143" s="309"/>
      <c r="Z143" s="309"/>
      <c r="AA143" s="309"/>
      <c r="AB143" s="309"/>
      <c r="AC143" s="309"/>
      <c r="AD143" s="309"/>
      <c r="AE143" s="309"/>
      <c r="AF143" s="309"/>
      <c r="AG143" s="309"/>
      <c r="AH143" s="309"/>
      <c r="AI143" s="309"/>
      <c r="AJ143" s="309"/>
      <c r="AK143" s="309"/>
      <c r="AL143" s="309"/>
      <c r="AM143" s="309"/>
      <c r="AN143" s="309"/>
      <c r="AO143" s="309"/>
      <c r="AP143" s="309"/>
      <c r="AQ143" s="309"/>
      <c r="AR143" s="309"/>
      <c r="AS143" s="309"/>
      <c r="AT143" s="309"/>
      <c r="AU143" s="309"/>
      <c r="AV143" s="309"/>
      <c r="AW143" s="309"/>
      <c r="AX143" s="309"/>
      <c r="AY143" s="309"/>
      <c r="AZ143" s="309"/>
      <c r="BA143" s="310"/>
      <c r="BB143" s="310"/>
      <c r="BC143" s="310"/>
      <c r="BD143" s="310"/>
      <c r="BE143" s="310"/>
      <c r="BF143" s="310"/>
      <c r="BG143" s="310"/>
      <c r="BH143" s="310"/>
      <c r="BI143" s="310"/>
      <c r="BJ143" s="310"/>
      <c r="BK143" s="310"/>
      <c r="BL143" s="310"/>
      <c r="BM143" s="310"/>
      <c r="BN143" s="221"/>
      <c r="BO143" s="221"/>
      <c r="BP143" s="221"/>
      <c r="BQ143" s="221"/>
      <c r="BR143" s="221"/>
    </row>
    <row r="144" ht="15.75" customHeight="1">
      <c r="A144" s="220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309"/>
      <c r="Y144" s="309"/>
      <c r="Z144" s="309"/>
      <c r="AA144" s="309"/>
      <c r="AB144" s="309"/>
      <c r="AC144" s="309"/>
      <c r="AD144" s="309"/>
      <c r="AE144" s="309"/>
      <c r="AF144" s="309"/>
      <c r="AG144" s="309"/>
      <c r="AH144" s="309"/>
      <c r="AI144" s="309"/>
      <c r="AJ144" s="309"/>
      <c r="AK144" s="309"/>
      <c r="AL144" s="309"/>
      <c r="AM144" s="309"/>
      <c r="AN144" s="309"/>
      <c r="AO144" s="309"/>
      <c r="AP144" s="309"/>
      <c r="AQ144" s="309"/>
      <c r="AR144" s="309"/>
      <c r="AS144" s="309"/>
      <c r="AT144" s="309"/>
      <c r="AU144" s="309"/>
      <c r="AV144" s="309"/>
      <c r="AW144" s="309"/>
      <c r="AX144" s="309"/>
      <c r="AY144" s="309"/>
      <c r="AZ144" s="309"/>
      <c r="BA144" s="310"/>
      <c r="BB144" s="310"/>
      <c r="BC144" s="310"/>
      <c r="BD144" s="310"/>
      <c r="BE144" s="310"/>
      <c r="BF144" s="310"/>
      <c r="BG144" s="310"/>
      <c r="BH144" s="310"/>
      <c r="BI144" s="310"/>
      <c r="BJ144" s="310"/>
      <c r="BK144" s="310"/>
      <c r="BL144" s="310"/>
      <c r="BM144" s="310"/>
      <c r="BN144" s="221"/>
      <c r="BO144" s="221"/>
      <c r="BP144" s="221"/>
      <c r="BQ144" s="221"/>
      <c r="BR144" s="221"/>
    </row>
    <row r="145" ht="15.75" customHeight="1">
      <c r="A145" s="22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309"/>
      <c r="Y145" s="309"/>
      <c r="Z145" s="309"/>
      <c r="AA145" s="309"/>
      <c r="AB145" s="309"/>
      <c r="AC145" s="309"/>
      <c r="AD145" s="309"/>
      <c r="AE145" s="309"/>
      <c r="AF145" s="309"/>
      <c r="AG145" s="309"/>
      <c r="AH145" s="309"/>
      <c r="AI145" s="309"/>
      <c r="AJ145" s="309"/>
      <c r="AK145" s="309"/>
      <c r="AL145" s="309"/>
      <c r="AM145" s="309"/>
      <c r="AN145" s="309"/>
      <c r="AO145" s="309"/>
      <c r="AP145" s="309"/>
      <c r="AQ145" s="309"/>
      <c r="AR145" s="309"/>
      <c r="AS145" s="309"/>
      <c r="AT145" s="309"/>
      <c r="AU145" s="309"/>
      <c r="AV145" s="309"/>
      <c r="AW145" s="309"/>
      <c r="AX145" s="309"/>
      <c r="AY145" s="309"/>
      <c r="AZ145" s="309"/>
      <c r="BA145" s="310"/>
      <c r="BB145" s="310"/>
      <c r="BC145" s="310"/>
      <c r="BD145" s="310"/>
      <c r="BE145" s="310"/>
      <c r="BF145" s="310"/>
      <c r="BG145" s="310"/>
      <c r="BH145" s="310"/>
      <c r="BI145" s="310"/>
      <c r="BJ145" s="310"/>
      <c r="BK145" s="310"/>
      <c r="BL145" s="310"/>
      <c r="BM145" s="310"/>
      <c r="BN145" s="221"/>
      <c r="BO145" s="221"/>
      <c r="BP145" s="221"/>
      <c r="BQ145" s="221"/>
      <c r="BR145" s="221"/>
    </row>
    <row r="146" ht="15.75" customHeight="1">
      <c r="A146" s="220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309"/>
      <c r="Y146" s="309"/>
      <c r="Z146" s="309"/>
      <c r="AA146" s="309"/>
      <c r="AB146" s="309"/>
      <c r="AC146" s="309"/>
      <c r="AD146" s="309"/>
      <c r="AE146" s="309"/>
      <c r="AF146" s="309"/>
      <c r="AG146" s="309"/>
      <c r="AH146" s="309"/>
      <c r="AI146" s="309"/>
      <c r="AJ146" s="309"/>
      <c r="AK146" s="309"/>
      <c r="AL146" s="309"/>
      <c r="AM146" s="309"/>
      <c r="AN146" s="309"/>
      <c r="AO146" s="309"/>
      <c r="AP146" s="309"/>
      <c r="AQ146" s="309"/>
      <c r="AR146" s="309"/>
      <c r="AS146" s="309"/>
      <c r="AT146" s="309"/>
      <c r="AU146" s="309"/>
      <c r="AV146" s="309"/>
      <c r="AW146" s="309"/>
      <c r="AX146" s="309"/>
      <c r="AY146" s="309"/>
      <c r="AZ146" s="309"/>
      <c r="BA146" s="310"/>
      <c r="BB146" s="310"/>
      <c r="BC146" s="310"/>
      <c r="BD146" s="310"/>
      <c r="BE146" s="310"/>
      <c r="BF146" s="310"/>
      <c r="BG146" s="310"/>
      <c r="BH146" s="310"/>
      <c r="BI146" s="310"/>
      <c r="BJ146" s="310"/>
      <c r="BK146" s="310"/>
      <c r="BL146" s="310"/>
      <c r="BM146" s="310"/>
      <c r="BN146" s="221"/>
      <c r="BO146" s="221"/>
      <c r="BP146" s="221"/>
      <c r="BQ146" s="221"/>
      <c r="BR146" s="221"/>
    </row>
    <row r="147" ht="15.75" customHeight="1">
      <c r="A147" s="220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309"/>
      <c r="Y147" s="309"/>
      <c r="Z147" s="309"/>
      <c r="AA147" s="309"/>
      <c r="AB147" s="309"/>
      <c r="AC147" s="309"/>
      <c r="AD147" s="309"/>
      <c r="AE147" s="309"/>
      <c r="AF147" s="309"/>
      <c r="AG147" s="309"/>
      <c r="AH147" s="309"/>
      <c r="AI147" s="309"/>
      <c r="AJ147" s="309"/>
      <c r="AK147" s="309"/>
      <c r="AL147" s="309"/>
      <c r="AM147" s="309"/>
      <c r="AN147" s="309"/>
      <c r="AO147" s="309"/>
      <c r="AP147" s="309"/>
      <c r="AQ147" s="309"/>
      <c r="AR147" s="309"/>
      <c r="AS147" s="309"/>
      <c r="AT147" s="309"/>
      <c r="AU147" s="309"/>
      <c r="AV147" s="309"/>
      <c r="AW147" s="309"/>
      <c r="AX147" s="309"/>
      <c r="AY147" s="309"/>
      <c r="AZ147" s="309"/>
      <c r="BA147" s="310"/>
      <c r="BB147" s="310"/>
      <c r="BC147" s="310"/>
      <c r="BD147" s="310"/>
      <c r="BE147" s="310"/>
      <c r="BF147" s="310"/>
      <c r="BG147" s="310"/>
      <c r="BH147" s="310"/>
      <c r="BI147" s="310"/>
      <c r="BJ147" s="310"/>
      <c r="BK147" s="310"/>
      <c r="BL147" s="310"/>
      <c r="BM147" s="310"/>
      <c r="BN147" s="221"/>
      <c r="BO147" s="221"/>
      <c r="BP147" s="221"/>
      <c r="BQ147" s="221"/>
      <c r="BR147" s="221"/>
    </row>
    <row r="148" ht="15.75" customHeight="1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309"/>
      <c r="Y148" s="309"/>
      <c r="Z148" s="309"/>
      <c r="AA148" s="309"/>
      <c r="AB148" s="309"/>
      <c r="AC148" s="309"/>
      <c r="AD148" s="309"/>
      <c r="AE148" s="309"/>
      <c r="AF148" s="309"/>
      <c r="AG148" s="309"/>
      <c r="AH148" s="309"/>
      <c r="AI148" s="309"/>
      <c r="AJ148" s="309"/>
      <c r="AK148" s="309"/>
      <c r="AL148" s="309"/>
      <c r="AM148" s="309"/>
      <c r="AN148" s="309"/>
      <c r="AO148" s="309"/>
      <c r="AP148" s="309"/>
      <c r="AQ148" s="309"/>
      <c r="AR148" s="309"/>
      <c r="AS148" s="309"/>
      <c r="AT148" s="309"/>
      <c r="AU148" s="309"/>
      <c r="AV148" s="309"/>
      <c r="AW148" s="309"/>
      <c r="AX148" s="309"/>
      <c r="AY148" s="309"/>
      <c r="AZ148" s="309"/>
      <c r="BA148" s="310"/>
      <c r="BB148" s="310"/>
      <c r="BC148" s="310"/>
      <c r="BD148" s="310"/>
      <c r="BE148" s="310"/>
      <c r="BF148" s="310"/>
      <c r="BG148" s="310"/>
      <c r="BH148" s="310"/>
      <c r="BI148" s="310"/>
      <c r="BJ148" s="310"/>
      <c r="BK148" s="310"/>
      <c r="BL148" s="310"/>
      <c r="BM148" s="310"/>
      <c r="BN148" s="221"/>
      <c r="BO148" s="221"/>
      <c r="BP148" s="221"/>
      <c r="BQ148" s="221"/>
      <c r="BR148" s="221"/>
    </row>
    <row r="149" ht="15.75" customHeight="1">
      <c r="A149" s="220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309"/>
      <c r="Y149" s="309"/>
      <c r="Z149" s="309"/>
      <c r="AA149" s="309"/>
      <c r="AB149" s="309"/>
      <c r="AC149" s="309"/>
      <c r="AD149" s="309"/>
      <c r="AE149" s="309"/>
      <c r="AF149" s="309"/>
      <c r="AG149" s="309"/>
      <c r="AH149" s="309"/>
      <c r="AI149" s="309"/>
      <c r="AJ149" s="309"/>
      <c r="AK149" s="309"/>
      <c r="AL149" s="309"/>
      <c r="AM149" s="309"/>
      <c r="AN149" s="309"/>
      <c r="AO149" s="309"/>
      <c r="AP149" s="309"/>
      <c r="AQ149" s="309"/>
      <c r="AR149" s="309"/>
      <c r="AS149" s="309"/>
      <c r="AT149" s="309"/>
      <c r="AU149" s="309"/>
      <c r="AV149" s="309"/>
      <c r="AW149" s="309"/>
      <c r="AX149" s="309"/>
      <c r="AY149" s="309"/>
      <c r="AZ149" s="309"/>
      <c r="BA149" s="310"/>
      <c r="BB149" s="310"/>
      <c r="BC149" s="310"/>
      <c r="BD149" s="310"/>
      <c r="BE149" s="310"/>
      <c r="BF149" s="310"/>
      <c r="BG149" s="310"/>
      <c r="BH149" s="310"/>
      <c r="BI149" s="310"/>
      <c r="BJ149" s="310"/>
      <c r="BK149" s="310"/>
      <c r="BL149" s="310"/>
      <c r="BM149" s="310"/>
      <c r="BN149" s="221"/>
      <c r="BO149" s="221"/>
      <c r="BP149" s="221"/>
      <c r="BQ149" s="221"/>
      <c r="BR149" s="221"/>
    </row>
    <row r="150" ht="15.75" customHeight="1">
      <c r="A150" s="220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309"/>
      <c r="Y150" s="309"/>
      <c r="Z150" s="309"/>
      <c r="AA150" s="309"/>
      <c r="AB150" s="309"/>
      <c r="AC150" s="309"/>
      <c r="AD150" s="309"/>
      <c r="AE150" s="309"/>
      <c r="AF150" s="309"/>
      <c r="AG150" s="309"/>
      <c r="AH150" s="309"/>
      <c r="AI150" s="309"/>
      <c r="AJ150" s="309"/>
      <c r="AK150" s="309"/>
      <c r="AL150" s="309"/>
      <c r="AM150" s="309"/>
      <c r="AN150" s="309"/>
      <c r="AO150" s="309"/>
      <c r="AP150" s="309"/>
      <c r="AQ150" s="309"/>
      <c r="AR150" s="309"/>
      <c r="AS150" s="309"/>
      <c r="AT150" s="309"/>
      <c r="AU150" s="309"/>
      <c r="AV150" s="309"/>
      <c r="AW150" s="309"/>
      <c r="AX150" s="309"/>
      <c r="AY150" s="309"/>
      <c r="AZ150" s="309"/>
      <c r="BA150" s="310"/>
      <c r="BB150" s="310"/>
      <c r="BC150" s="310"/>
      <c r="BD150" s="310"/>
      <c r="BE150" s="310"/>
      <c r="BF150" s="310"/>
      <c r="BG150" s="310"/>
      <c r="BH150" s="310"/>
      <c r="BI150" s="310"/>
      <c r="BJ150" s="310"/>
      <c r="BK150" s="310"/>
      <c r="BL150" s="310"/>
      <c r="BM150" s="310"/>
      <c r="BN150" s="221"/>
      <c r="BO150" s="221"/>
      <c r="BP150" s="221"/>
      <c r="BQ150" s="221"/>
      <c r="BR150" s="221"/>
    </row>
    <row r="151" ht="15.75" customHeight="1">
      <c r="A151" s="220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309"/>
      <c r="Y151" s="309"/>
      <c r="Z151" s="309"/>
      <c r="AA151" s="309"/>
      <c r="AB151" s="309"/>
      <c r="AC151" s="309"/>
      <c r="AD151" s="309"/>
      <c r="AE151" s="309"/>
      <c r="AF151" s="309"/>
      <c r="AG151" s="309"/>
      <c r="AH151" s="309"/>
      <c r="AI151" s="309"/>
      <c r="AJ151" s="309"/>
      <c r="AK151" s="309"/>
      <c r="AL151" s="309"/>
      <c r="AM151" s="309"/>
      <c r="AN151" s="309"/>
      <c r="AO151" s="309"/>
      <c r="AP151" s="309"/>
      <c r="AQ151" s="309"/>
      <c r="AR151" s="309"/>
      <c r="AS151" s="309"/>
      <c r="AT151" s="309"/>
      <c r="AU151" s="309"/>
      <c r="AV151" s="309"/>
      <c r="AW151" s="309"/>
      <c r="AX151" s="309"/>
      <c r="AY151" s="309"/>
      <c r="AZ151" s="309"/>
      <c r="BA151" s="310"/>
      <c r="BB151" s="310"/>
      <c r="BC151" s="310"/>
      <c r="BD151" s="310"/>
      <c r="BE151" s="310"/>
      <c r="BF151" s="310"/>
      <c r="BG151" s="310"/>
      <c r="BH151" s="310"/>
      <c r="BI151" s="310"/>
      <c r="BJ151" s="310"/>
      <c r="BK151" s="310"/>
      <c r="BL151" s="310"/>
      <c r="BM151" s="310"/>
      <c r="BN151" s="221"/>
      <c r="BO151" s="221"/>
      <c r="BP151" s="221"/>
      <c r="BQ151" s="221"/>
      <c r="BR151" s="221"/>
    </row>
    <row r="152" ht="15.75" customHeight="1">
      <c r="A152" s="220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309"/>
      <c r="Y152" s="309"/>
      <c r="Z152" s="309"/>
      <c r="AA152" s="309"/>
      <c r="AB152" s="309"/>
      <c r="AC152" s="309"/>
      <c r="AD152" s="309"/>
      <c r="AE152" s="309"/>
      <c r="AF152" s="309"/>
      <c r="AG152" s="309"/>
      <c r="AH152" s="309"/>
      <c r="AI152" s="309"/>
      <c r="AJ152" s="309"/>
      <c r="AK152" s="309"/>
      <c r="AL152" s="309"/>
      <c r="AM152" s="309"/>
      <c r="AN152" s="309"/>
      <c r="AO152" s="309"/>
      <c r="AP152" s="309"/>
      <c r="AQ152" s="309"/>
      <c r="AR152" s="309"/>
      <c r="AS152" s="309"/>
      <c r="AT152" s="309"/>
      <c r="AU152" s="309"/>
      <c r="AV152" s="309"/>
      <c r="AW152" s="309"/>
      <c r="AX152" s="309"/>
      <c r="AY152" s="309"/>
      <c r="AZ152" s="309"/>
      <c r="BA152" s="310"/>
      <c r="BB152" s="310"/>
      <c r="BC152" s="310"/>
      <c r="BD152" s="310"/>
      <c r="BE152" s="310"/>
      <c r="BF152" s="310"/>
      <c r="BG152" s="310"/>
      <c r="BH152" s="310"/>
      <c r="BI152" s="310"/>
      <c r="BJ152" s="310"/>
      <c r="BK152" s="310"/>
      <c r="BL152" s="310"/>
      <c r="BM152" s="310"/>
      <c r="BN152" s="221"/>
      <c r="BO152" s="221"/>
      <c r="BP152" s="221"/>
      <c r="BQ152" s="221"/>
      <c r="BR152" s="221"/>
    </row>
    <row r="153" ht="15.75" customHeight="1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309"/>
      <c r="Y153" s="309"/>
      <c r="Z153" s="309"/>
      <c r="AA153" s="309"/>
      <c r="AB153" s="309"/>
      <c r="AC153" s="309"/>
      <c r="AD153" s="309"/>
      <c r="AE153" s="309"/>
      <c r="AF153" s="309"/>
      <c r="AG153" s="309"/>
      <c r="AH153" s="309"/>
      <c r="AI153" s="309"/>
      <c r="AJ153" s="309"/>
      <c r="AK153" s="309"/>
      <c r="AL153" s="309"/>
      <c r="AM153" s="309"/>
      <c r="AN153" s="309"/>
      <c r="AO153" s="309"/>
      <c r="AP153" s="309"/>
      <c r="AQ153" s="309"/>
      <c r="AR153" s="309"/>
      <c r="AS153" s="309"/>
      <c r="AT153" s="309"/>
      <c r="AU153" s="309"/>
      <c r="AV153" s="309"/>
      <c r="AW153" s="309"/>
      <c r="AX153" s="309"/>
      <c r="AY153" s="309"/>
      <c r="AZ153" s="309"/>
      <c r="BA153" s="310"/>
      <c r="BB153" s="310"/>
      <c r="BC153" s="310"/>
      <c r="BD153" s="310"/>
      <c r="BE153" s="310"/>
      <c r="BF153" s="310"/>
      <c r="BG153" s="310"/>
      <c r="BH153" s="310"/>
      <c r="BI153" s="310"/>
      <c r="BJ153" s="310"/>
      <c r="BK153" s="310"/>
      <c r="BL153" s="310"/>
      <c r="BM153" s="310"/>
      <c r="BN153" s="221"/>
      <c r="BO153" s="221"/>
      <c r="BP153" s="221"/>
      <c r="BQ153" s="221"/>
      <c r="BR153" s="221"/>
    </row>
    <row r="154" ht="15.75" customHeight="1">
      <c r="A154" s="220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309"/>
      <c r="Y154" s="309"/>
      <c r="Z154" s="309"/>
      <c r="AA154" s="309"/>
      <c r="AB154" s="309"/>
      <c r="AC154" s="309"/>
      <c r="AD154" s="309"/>
      <c r="AE154" s="309"/>
      <c r="AF154" s="309"/>
      <c r="AG154" s="309"/>
      <c r="AH154" s="309"/>
      <c r="AI154" s="309"/>
      <c r="AJ154" s="309"/>
      <c r="AK154" s="309"/>
      <c r="AL154" s="309"/>
      <c r="AM154" s="309"/>
      <c r="AN154" s="309"/>
      <c r="AO154" s="309"/>
      <c r="AP154" s="309"/>
      <c r="AQ154" s="309"/>
      <c r="AR154" s="309"/>
      <c r="AS154" s="309"/>
      <c r="AT154" s="309"/>
      <c r="AU154" s="309"/>
      <c r="AV154" s="309"/>
      <c r="AW154" s="309"/>
      <c r="AX154" s="309"/>
      <c r="AY154" s="309"/>
      <c r="AZ154" s="309"/>
      <c r="BA154" s="310"/>
      <c r="BB154" s="310"/>
      <c r="BC154" s="310"/>
      <c r="BD154" s="310"/>
      <c r="BE154" s="310"/>
      <c r="BF154" s="310"/>
      <c r="BG154" s="310"/>
      <c r="BH154" s="310"/>
      <c r="BI154" s="310"/>
      <c r="BJ154" s="310"/>
      <c r="BK154" s="310"/>
      <c r="BL154" s="310"/>
      <c r="BM154" s="310"/>
      <c r="BN154" s="221"/>
      <c r="BO154" s="221"/>
      <c r="BP154" s="221"/>
      <c r="BQ154" s="221"/>
      <c r="BR154" s="221"/>
    </row>
    <row r="155" ht="15.75" customHeight="1">
      <c r="A155" s="220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309"/>
      <c r="Y155" s="309"/>
      <c r="Z155" s="309"/>
      <c r="AA155" s="309"/>
      <c r="AB155" s="309"/>
      <c r="AC155" s="309"/>
      <c r="AD155" s="309"/>
      <c r="AE155" s="309"/>
      <c r="AF155" s="309"/>
      <c r="AG155" s="309"/>
      <c r="AH155" s="309"/>
      <c r="AI155" s="309"/>
      <c r="AJ155" s="309"/>
      <c r="AK155" s="309"/>
      <c r="AL155" s="309"/>
      <c r="AM155" s="309"/>
      <c r="AN155" s="309"/>
      <c r="AO155" s="309"/>
      <c r="AP155" s="309"/>
      <c r="AQ155" s="309"/>
      <c r="AR155" s="309"/>
      <c r="AS155" s="309"/>
      <c r="AT155" s="309"/>
      <c r="AU155" s="309"/>
      <c r="AV155" s="309"/>
      <c r="AW155" s="309"/>
      <c r="AX155" s="309"/>
      <c r="AY155" s="309"/>
      <c r="AZ155" s="309"/>
      <c r="BA155" s="310"/>
      <c r="BB155" s="310"/>
      <c r="BC155" s="310"/>
      <c r="BD155" s="310"/>
      <c r="BE155" s="310"/>
      <c r="BF155" s="310"/>
      <c r="BG155" s="310"/>
      <c r="BH155" s="310"/>
      <c r="BI155" s="310"/>
      <c r="BJ155" s="310"/>
      <c r="BK155" s="310"/>
      <c r="BL155" s="310"/>
      <c r="BM155" s="310"/>
      <c r="BN155" s="221"/>
      <c r="BO155" s="221"/>
      <c r="BP155" s="221"/>
      <c r="BQ155" s="221"/>
      <c r="BR155" s="221"/>
    </row>
    <row r="156" ht="15.75" customHeight="1">
      <c r="A156" s="220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309"/>
      <c r="Y156" s="309"/>
      <c r="Z156" s="309"/>
      <c r="AA156" s="309"/>
      <c r="AB156" s="309"/>
      <c r="AC156" s="309"/>
      <c r="AD156" s="309"/>
      <c r="AE156" s="309"/>
      <c r="AF156" s="309"/>
      <c r="AG156" s="309"/>
      <c r="AH156" s="309"/>
      <c r="AI156" s="309"/>
      <c r="AJ156" s="309"/>
      <c r="AK156" s="309"/>
      <c r="AL156" s="309"/>
      <c r="AM156" s="309"/>
      <c r="AN156" s="309"/>
      <c r="AO156" s="309"/>
      <c r="AP156" s="309"/>
      <c r="AQ156" s="309"/>
      <c r="AR156" s="309"/>
      <c r="AS156" s="309"/>
      <c r="AT156" s="309"/>
      <c r="AU156" s="309"/>
      <c r="AV156" s="309"/>
      <c r="AW156" s="309"/>
      <c r="AX156" s="309"/>
      <c r="AY156" s="309"/>
      <c r="AZ156" s="309"/>
      <c r="BA156" s="310"/>
      <c r="BB156" s="310"/>
      <c r="BC156" s="310"/>
      <c r="BD156" s="310"/>
      <c r="BE156" s="310"/>
      <c r="BF156" s="310"/>
      <c r="BG156" s="310"/>
      <c r="BH156" s="310"/>
      <c r="BI156" s="310"/>
      <c r="BJ156" s="310"/>
      <c r="BK156" s="310"/>
      <c r="BL156" s="310"/>
      <c r="BM156" s="310"/>
      <c r="BN156" s="221"/>
      <c r="BO156" s="221"/>
      <c r="BP156" s="221"/>
      <c r="BQ156" s="221"/>
      <c r="BR156" s="221"/>
    </row>
    <row r="157" ht="15.75" customHeight="1">
      <c r="A157" s="220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309"/>
      <c r="Y157" s="309"/>
      <c r="Z157" s="309"/>
      <c r="AA157" s="309"/>
      <c r="AB157" s="309"/>
      <c r="AC157" s="309"/>
      <c r="AD157" s="309"/>
      <c r="AE157" s="309"/>
      <c r="AF157" s="309"/>
      <c r="AG157" s="309"/>
      <c r="AH157" s="309"/>
      <c r="AI157" s="309"/>
      <c r="AJ157" s="309"/>
      <c r="AK157" s="309"/>
      <c r="AL157" s="309"/>
      <c r="AM157" s="309"/>
      <c r="AN157" s="309"/>
      <c r="AO157" s="309"/>
      <c r="AP157" s="309"/>
      <c r="AQ157" s="309"/>
      <c r="AR157" s="309"/>
      <c r="AS157" s="309"/>
      <c r="AT157" s="309"/>
      <c r="AU157" s="309"/>
      <c r="AV157" s="309"/>
      <c r="AW157" s="309"/>
      <c r="AX157" s="309"/>
      <c r="AY157" s="309"/>
      <c r="AZ157" s="309"/>
      <c r="BA157" s="310"/>
      <c r="BB157" s="310"/>
      <c r="BC157" s="310"/>
      <c r="BD157" s="310"/>
      <c r="BE157" s="310"/>
      <c r="BF157" s="310"/>
      <c r="BG157" s="310"/>
      <c r="BH157" s="310"/>
      <c r="BI157" s="310"/>
      <c r="BJ157" s="310"/>
      <c r="BK157" s="310"/>
      <c r="BL157" s="310"/>
      <c r="BM157" s="310"/>
      <c r="BN157" s="221"/>
      <c r="BO157" s="221"/>
      <c r="BP157" s="221"/>
      <c r="BQ157" s="221"/>
      <c r="BR157" s="221"/>
    </row>
    <row r="158" ht="15.75" customHeight="1">
      <c r="A158" s="220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309"/>
      <c r="Y158" s="309"/>
      <c r="Z158" s="309"/>
      <c r="AA158" s="309"/>
      <c r="AB158" s="309"/>
      <c r="AC158" s="309"/>
      <c r="AD158" s="309"/>
      <c r="AE158" s="309"/>
      <c r="AF158" s="309"/>
      <c r="AG158" s="309"/>
      <c r="AH158" s="309"/>
      <c r="AI158" s="309"/>
      <c r="AJ158" s="309"/>
      <c r="AK158" s="309"/>
      <c r="AL158" s="309"/>
      <c r="AM158" s="309"/>
      <c r="AN158" s="309"/>
      <c r="AO158" s="309"/>
      <c r="AP158" s="309"/>
      <c r="AQ158" s="309"/>
      <c r="AR158" s="309"/>
      <c r="AS158" s="309"/>
      <c r="AT158" s="309"/>
      <c r="AU158" s="309"/>
      <c r="AV158" s="309"/>
      <c r="AW158" s="309"/>
      <c r="AX158" s="309"/>
      <c r="AY158" s="309"/>
      <c r="AZ158" s="309"/>
      <c r="BA158" s="310"/>
      <c r="BB158" s="310"/>
      <c r="BC158" s="310"/>
      <c r="BD158" s="310"/>
      <c r="BE158" s="310"/>
      <c r="BF158" s="310"/>
      <c r="BG158" s="310"/>
      <c r="BH158" s="310"/>
      <c r="BI158" s="310"/>
      <c r="BJ158" s="310"/>
      <c r="BK158" s="310"/>
      <c r="BL158" s="310"/>
      <c r="BM158" s="310"/>
      <c r="BN158" s="221"/>
      <c r="BO158" s="221"/>
      <c r="BP158" s="221"/>
      <c r="BQ158" s="221"/>
      <c r="BR158" s="221"/>
    </row>
    <row r="159" ht="15.75" customHeight="1">
      <c r="A159" s="220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309"/>
      <c r="Y159" s="309"/>
      <c r="Z159" s="309"/>
      <c r="AA159" s="309"/>
      <c r="AB159" s="309"/>
      <c r="AC159" s="309"/>
      <c r="AD159" s="309"/>
      <c r="AE159" s="309"/>
      <c r="AF159" s="309"/>
      <c r="AG159" s="309"/>
      <c r="AH159" s="309"/>
      <c r="AI159" s="309"/>
      <c r="AJ159" s="309"/>
      <c r="AK159" s="309"/>
      <c r="AL159" s="309"/>
      <c r="AM159" s="309"/>
      <c r="AN159" s="309"/>
      <c r="AO159" s="309"/>
      <c r="AP159" s="309"/>
      <c r="AQ159" s="309"/>
      <c r="AR159" s="309"/>
      <c r="AS159" s="309"/>
      <c r="AT159" s="309"/>
      <c r="AU159" s="309"/>
      <c r="AV159" s="309"/>
      <c r="AW159" s="309"/>
      <c r="AX159" s="309"/>
      <c r="AY159" s="309"/>
      <c r="AZ159" s="309"/>
      <c r="BA159" s="310"/>
      <c r="BB159" s="310"/>
      <c r="BC159" s="310"/>
      <c r="BD159" s="310"/>
      <c r="BE159" s="310"/>
      <c r="BF159" s="310"/>
      <c r="BG159" s="310"/>
      <c r="BH159" s="310"/>
      <c r="BI159" s="310"/>
      <c r="BJ159" s="310"/>
      <c r="BK159" s="310"/>
      <c r="BL159" s="310"/>
      <c r="BM159" s="310"/>
      <c r="BN159" s="221"/>
      <c r="BO159" s="221"/>
      <c r="BP159" s="221"/>
      <c r="BQ159" s="221"/>
      <c r="BR159" s="221"/>
    </row>
    <row r="160" ht="15.75" customHeight="1">
      <c r="A160" s="220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309"/>
      <c r="Y160" s="309"/>
      <c r="Z160" s="309"/>
      <c r="AA160" s="309"/>
      <c r="AB160" s="309"/>
      <c r="AC160" s="309"/>
      <c r="AD160" s="309"/>
      <c r="AE160" s="309"/>
      <c r="AF160" s="309"/>
      <c r="AG160" s="309"/>
      <c r="AH160" s="309"/>
      <c r="AI160" s="309"/>
      <c r="AJ160" s="309"/>
      <c r="AK160" s="309"/>
      <c r="AL160" s="309"/>
      <c r="AM160" s="309"/>
      <c r="AN160" s="309"/>
      <c r="AO160" s="309"/>
      <c r="AP160" s="309"/>
      <c r="AQ160" s="309"/>
      <c r="AR160" s="309"/>
      <c r="AS160" s="309"/>
      <c r="AT160" s="309"/>
      <c r="AU160" s="309"/>
      <c r="AV160" s="309"/>
      <c r="AW160" s="309"/>
      <c r="AX160" s="309"/>
      <c r="AY160" s="309"/>
      <c r="AZ160" s="309"/>
      <c r="BA160" s="310"/>
      <c r="BB160" s="310"/>
      <c r="BC160" s="310"/>
      <c r="BD160" s="310"/>
      <c r="BE160" s="310"/>
      <c r="BF160" s="310"/>
      <c r="BG160" s="310"/>
      <c r="BH160" s="310"/>
      <c r="BI160" s="310"/>
      <c r="BJ160" s="310"/>
      <c r="BK160" s="310"/>
      <c r="BL160" s="310"/>
      <c r="BM160" s="310"/>
      <c r="BN160" s="221"/>
      <c r="BO160" s="221"/>
      <c r="BP160" s="221"/>
      <c r="BQ160" s="221"/>
      <c r="BR160" s="221"/>
    </row>
    <row r="161" ht="15.75" customHeight="1">
      <c r="A161" s="220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309"/>
      <c r="Y161" s="309"/>
      <c r="Z161" s="309"/>
      <c r="AA161" s="309"/>
      <c r="AB161" s="309"/>
      <c r="AC161" s="309"/>
      <c r="AD161" s="309"/>
      <c r="AE161" s="309"/>
      <c r="AF161" s="309"/>
      <c r="AG161" s="309"/>
      <c r="AH161" s="309"/>
      <c r="AI161" s="309"/>
      <c r="AJ161" s="309"/>
      <c r="AK161" s="309"/>
      <c r="AL161" s="309"/>
      <c r="AM161" s="309"/>
      <c r="AN161" s="309"/>
      <c r="AO161" s="309"/>
      <c r="AP161" s="309"/>
      <c r="AQ161" s="309"/>
      <c r="AR161" s="309"/>
      <c r="AS161" s="309"/>
      <c r="AT161" s="309"/>
      <c r="AU161" s="309"/>
      <c r="AV161" s="309"/>
      <c r="AW161" s="309"/>
      <c r="AX161" s="309"/>
      <c r="AY161" s="309"/>
      <c r="AZ161" s="309"/>
      <c r="BA161" s="310"/>
      <c r="BB161" s="310"/>
      <c r="BC161" s="310"/>
      <c r="BD161" s="310"/>
      <c r="BE161" s="310"/>
      <c r="BF161" s="310"/>
      <c r="BG161" s="310"/>
      <c r="BH161" s="310"/>
      <c r="BI161" s="310"/>
      <c r="BJ161" s="310"/>
      <c r="BK161" s="310"/>
      <c r="BL161" s="310"/>
      <c r="BM161" s="310"/>
      <c r="BN161" s="221"/>
      <c r="BO161" s="221"/>
      <c r="BP161" s="221"/>
      <c r="BQ161" s="221"/>
      <c r="BR161" s="221"/>
    </row>
    <row r="162" ht="15.75" customHeight="1">
      <c r="A162" s="220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309"/>
      <c r="Y162" s="309"/>
      <c r="Z162" s="309"/>
      <c r="AA162" s="309"/>
      <c r="AB162" s="309"/>
      <c r="AC162" s="309"/>
      <c r="AD162" s="309"/>
      <c r="AE162" s="309"/>
      <c r="AF162" s="309"/>
      <c r="AG162" s="309"/>
      <c r="AH162" s="309"/>
      <c r="AI162" s="309"/>
      <c r="AJ162" s="309"/>
      <c r="AK162" s="309"/>
      <c r="AL162" s="309"/>
      <c r="AM162" s="309"/>
      <c r="AN162" s="309"/>
      <c r="AO162" s="309"/>
      <c r="AP162" s="309"/>
      <c r="AQ162" s="309"/>
      <c r="AR162" s="309"/>
      <c r="AS162" s="309"/>
      <c r="AT162" s="309"/>
      <c r="AU162" s="309"/>
      <c r="AV162" s="309"/>
      <c r="AW162" s="309"/>
      <c r="AX162" s="309"/>
      <c r="AY162" s="309"/>
      <c r="AZ162" s="309"/>
      <c r="BA162" s="310"/>
      <c r="BB162" s="310"/>
      <c r="BC162" s="310"/>
      <c r="BD162" s="310"/>
      <c r="BE162" s="310"/>
      <c r="BF162" s="310"/>
      <c r="BG162" s="310"/>
      <c r="BH162" s="310"/>
      <c r="BI162" s="310"/>
      <c r="BJ162" s="310"/>
      <c r="BK162" s="310"/>
      <c r="BL162" s="310"/>
      <c r="BM162" s="310"/>
      <c r="BN162" s="221"/>
      <c r="BO162" s="221"/>
      <c r="BP162" s="221"/>
      <c r="BQ162" s="221"/>
      <c r="BR162" s="221"/>
    </row>
    <row r="163" ht="15.75" customHeight="1">
      <c r="A163" s="220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309"/>
      <c r="Y163" s="309"/>
      <c r="Z163" s="309"/>
      <c r="AA163" s="309"/>
      <c r="AB163" s="309"/>
      <c r="AC163" s="309"/>
      <c r="AD163" s="309"/>
      <c r="AE163" s="309"/>
      <c r="AF163" s="309"/>
      <c r="AG163" s="309"/>
      <c r="AH163" s="309"/>
      <c r="AI163" s="309"/>
      <c r="AJ163" s="309"/>
      <c r="AK163" s="309"/>
      <c r="AL163" s="309"/>
      <c r="AM163" s="309"/>
      <c r="AN163" s="309"/>
      <c r="AO163" s="309"/>
      <c r="AP163" s="309"/>
      <c r="AQ163" s="309"/>
      <c r="AR163" s="309"/>
      <c r="AS163" s="309"/>
      <c r="AT163" s="309"/>
      <c r="AU163" s="309"/>
      <c r="AV163" s="309"/>
      <c r="AW163" s="309"/>
      <c r="AX163" s="309"/>
      <c r="AY163" s="309"/>
      <c r="AZ163" s="309"/>
      <c r="BA163" s="310"/>
      <c r="BB163" s="310"/>
      <c r="BC163" s="310"/>
      <c r="BD163" s="310"/>
      <c r="BE163" s="310"/>
      <c r="BF163" s="310"/>
      <c r="BG163" s="310"/>
      <c r="BH163" s="310"/>
      <c r="BI163" s="310"/>
      <c r="BJ163" s="310"/>
      <c r="BK163" s="310"/>
      <c r="BL163" s="310"/>
      <c r="BM163" s="310"/>
      <c r="BN163" s="221"/>
      <c r="BO163" s="221"/>
      <c r="BP163" s="221"/>
      <c r="BQ163" s="221"/>
      <c r="BR163" s="221"/>
    </row>
    <row r="164" ht="15.75" customHeight="1">
      <c r="A164" s="220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309"/>
      <c r="Y164" s="309"/>
      <c r="Z164" s="309"/>
      <c r="AA164" s="309"/>
      <c r="AB164" s="309"/>
      <c r="AC164" s="309"/>
      <c r="AD164" s="309"/>
      <c r="AE164" s="309"/>
      <c r="AF164" s="309"/>
      <c r="AG164" s="309"/>
      <c r="AH164" s="309"/>
      <c r="AI164" s="309"/>
      <c r="AJ164" s="309"/>
      <c r="AK164" s="309"/>
      <c r="AL164" s="309"/>
      <c r="AM164" s="309"/>
      <c r="AN164" s="309"/>
      <c r="AO164" s="309"/>
      <c r="AP164" s="309"/>
      <c r="AQ164" s="309"/>
      <c r="AR164" s="309"/>
      <c r="AS164" s="309"/>
      <c r="AT164" s="309"/>
      <c r="AU164" s="309"/>
      <c r="AV164" s="309"/>
      <c r="AW164" s="309"/>
      <c r="AX164" s="309"/>
      <c r="AY164" s="309"/>
      <c r="AZ164" s="309"/>
      <c r="BA164" s="310"/>
      <c r="BB164" s="310"/>
      <c r="BC164" s="310"/>
      <c r="BD164" s="310"/>
      <c r="BE164" s="310"/>
      <c r="BF164" s="310"/>
      <c r="BG164" s="310"/>
      <c r="BH164" s="310"/>
      <c r="BI164" s="310"/>
      <c r="BJ164" s="310"/>
      <c r="BK164" s="310"/>
      <c r="BL164" s="310"/>
      <c r="BM164" s="310"/>
      <c r="BN164" s="221"/>
      <c r="BO164" s="221"/>
      <c r="BP164" s="221"/>
      <c r="BQ164" s="221"/>
      <c r="BR164" s="221"/>
    </row>
    <row r="165" ht="15.75" customHeight="1">
      <c r="A165" s="220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309"/>
      <c r="Y165" s="309"/>
      <c r="Z165" s="309"/>
      <c r="AA165" s="309"/>
      <c r="AB165" s="309"/>
      <c r="AC165" s="309"/>
      <c r="AD165" s="309"/>
      <c r="AE165" s="309"/>
      <c r="AF165" s="309"/>
      <c r="AG165" s="309"/>
      <c r="AH165" s="309"/>
      <c r="AI165" s="309"/>
      <c r="AJ165" s="309"/>
      <c r="AK165" s="309"/>
      <c r="AL165" s="309"/>
      <c r="AM165" s="309"/>
      <c r="AN165" s="309"/>
      <c r="AO165" s="309"/>
      <c r="AP165" s="309"/>
      <c r="AQ165" s="309"/>
      <c r="AR165" s="309"/>
      <c r="AS165" s="309"/>
      <c r="AT165" s="309"/>
      <c r="AU165" s="309"/>
      <c r="AV165" s="309"/>
      <c r="AW165" s="309"/>
      <c r="AX165" s="309"/>
      <c r="AY165" s="309"/>
      <c r="AZ165" s="309"/>
      <c r="BA165" s="310"/>
      <c r="BB165" s="310"/>
      <c r="BC165" s="310"/>
      <c r="BD165" s="310"/>
      <c r="BE165" s="310"/>
      <c r="BF165" s="310"/>
      <c r="BG165" s="310"/>
      <c r="BH165" s="310"/>
      <c r="BI165" s="310"/>
      <c r="BJ165" s="310"/>
      <c r="BK165" s="310"/>
      <c r="BL165" s="310"/>
      <c r="BM165" s="310"/>
      <c r="BN165" s="221"/>
      <c r="BO165" s="221"/>
      <c r="BP165" s="221"/>
      <c r="BQ165" s="221"/>
      <c r="BR165" s="221"/>
    </row>
    <row r="166" ht="15.75" customHeight="1">
      <c r="A166" s="220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309"/>
      <c r="Y166" s="309"/>
      <c r="Z166" s="309"/>
      <c r="AA166" s="309"/>
      <c r="AB166" s="309"/>
      <c r="AC166" s="309"/>
      <c r="AD166" s="309"/>
      <c r="AE166" s="309"/>
      <c r="AF166" s="309"/>
      <c r="AG166" s="309"/>
      <c r="AH166" s="309"/>
      <c r="AI166" s="309"/>
      <c r="AJ166" s="309"/>
      <c r="AK166" s="309"/>
      <c r="AL166" s="309"/>
      <c r="AM166" s="309"/>
      <c r="AN166" s="309"/>
      <c r="AO166" s="309"/>
      <c r="AP166" s="309"/>
      <c r="AQ166" s="309"/>
      <c r="AR166" s="309"/>
      <c r="AS166" s="309"/>
      <c r="AT166" s="309"/>
      <c r="AU166" s="309"/>
      <c r="AV166" s="309"/>
      <c r="AW166" s="309"/>
      <c r="AX166" s="309"/>
      <c r="AY166" s="309"/>
      <c r="AZ166" s="309"/>
      <c r="BA166" s="310"/>
      <c r="BB166" s="310"/>
      <c r="BC166" s="310"/>
      <c r="BD166" s="310"/>
      <c r="BE166" s="310"/>
      <c r="BF166" s="310"/>
      <c r="BG166" s="310"/>
      <c r="BH166" s="310"/>
      <c r="BI166" s="310"/>
      <c r="BJ166" s="310"/>
      <c r="BK166" s="310"/>
      <c r="BL166" s="310"/>
      <c r="BM166" s="310"/>
      <c r="BN166" s="221"/>
      <c r="BO166" s="221"/>
      <c r="BP166" s="221"/>
      <c r="BQ166" s="221"/>
      <c r="BR166" s="221"/>
    </row>
    <row r="167" ht="15.75" customHeight="1">
      <c r="A167" s="220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309"/>
      <c r="Y167" s="309"/>
      <c r="Z167" s="309"/>
      <c r="AA167" s="309"/>
      <c r="AB167" s="309"/>
      <c r="AC167" s="309"/>
      <c r="AD167" s="309"/>
      <c r="AE167" s="309"/>
      <c r="AF167" s="309"/>
      <c r="AG167" s="309"/>
      <c r="AH167" s="309"/>
      <c r="AI167" s="309"/>
      <c r="AJ167" s="309"/>
      <c r="AK167" s="309"/>
      <c r="AL167" s="309"/>
      <c r="AM167" s="309"/>
      <c r="AN167" s="309"/>
      <c r="AO167" s="309"/>
      <c r="AP167" s="309"/>
      <c r="AQ167" s="309"/>
      <c r="AR167" s="309"/>
      <c r="AS167" s="309"/>
      <c r="AT167" s="309"/>
      <c r="AU167" s="309"/>
      <c r="AV167" s="309"/>
      <c r="AW167" s="309"/>
      <c r="AX167" s="309"/>
      <c r="AY167" s="309"/>
      <c r="AZ167" s="309"/>
      <c r="BA167" s="310"/>
      <c r="BB167" s="310"/>
      <c r="BC167" s="310"/>
      <c r="BD167" s="310"/>
      <c r="BE167" s="310"/>
      <c r="BF167" s="310"/>
      <c r="BG167" s="310"/>
      <c r="BH167" s="310"/>
      <c r="BI167" s="310"/>
      <c r="BJ167" s="310"/>
      <c r="BK167" s="310"/>
      <c r="BL167" s="310"/>
      <c r="BM167" s="310"/>
      <c r="BN167" s="221"/>
      <c r="BO167" s="221"/>
      <c r="BP167" s="221"/>
      <c r="BQ167" s="221"/>
      <c r="BR167" s="221"/>
    </row>
    <row r="168" ht="15.75" customHeight="1">
      <c r="A168" s="220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309"/>
      <c r="Y168" s="309"/>
      <c r="Z168" s="309"/>
      <c r="AA168" s="309"/>
      <c r="AB168" s="309"/>
      <c r="AC168" s="309"/>
      <c r="AD168" s="309"/>
      <c r="AE168" s="309"/>
      <c r="AF168" s="309"/>
      <c r="AG168" s="309"/>
      <c r="AH168" s="309"/>
      <c r="AI168" s="309"/>
      <c r="AJ168" s="309"/>
      <c r="AK168" s="309"/>
      <c r="AL168" s="309"/>
      <c r="AM168" s="309"/>
      <c r="AN168" s="309"/>
      <c r="AO168" s="309"/>
      <c r="AP168" s="309"/>
      <c r="AQ168" s="309"/>
      <c r="AR168" s="309"/>
      <c r="AS168" s="309"/>
      <c r="AT168" s="309"/>
      <c r="AU168" s="309"/>
      <c r="AV168" s="309"/>
      <c r="AW168" s="309"/>
      <c r="AX168" s="309"/>
      <c r="AY168" s="309"/>
      <c r="AZ168" s="309"/>
      <c r="BA168" s="310"/>
      <c r="BB168" s="310"/>
      <c r="BC168" s="310"/>
      <c r="BD168" s="310"/>
      <c r="BE168" s="310"/>
      <c r="BF168" s="310"/>
      <c r="BG168" s="310"/>
      <c r="BH168" s="310"/>
      <c r="BI168" s="310"/>
      <c r="BJ168" s="310"/>
      <c r="BK168" s="310"/>
      <c r="BL168" s="310"/>
      <c r="BM168" s="310"/>
      <c r="BN168" s="221"/>
      <c r="BO168" s="221"/>
      <c r="BP168" s="221"/>
      <c r="BQ168" s="221"/>
      <c r="BR168" s="221"/>
    </row>
    <row r="169" ht="15.75" customHeight="1">
      <c r="A169" s="220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309"/>
      <c r="Y169" s="309"/>
      <c r="Z169" s="309"/>
      <c r="AA169" s="309"/>
      <c r="AB169" s="309"/>
      <c r="AC169" s="309"/>
      <c r="AD169" s="309"/>
      <c r="AE169" s="309"/>
      <c r="AF169" s="309"/>
      <c r="AG169" s="309"/>
      <c r="AH169" s="309"/>
      <c r="AI169" s="309"/>
      <c r="AJ169" s="309"/>
      <c r="AK169" s="309"/>
      <c r="AL169" s="309"/>
      <c r="AM169" s="309"/>
      <c r="AN169" s="309"/>
      <c r="AO169" s="309"/>
      <c r="AP169" s="309"/>
      <c r="AQ169" s="309"/>
      <c r="AR169" s="309"/>
      <c r="AS169" s="309"/>
      <c r="AT169" s="309"/>
      <c r="AU169" s="309"/>
      <c r="AV169" s="309"/>
      <c r="AW169" s="309"/>
      <c r="AX169" s="309"/>
      <c r="AY169" s="309"/>
      <c r="AZ169" s="309"/>
      <c r="BA169" s="310"/>
      <c r="BB169" s="310"/>
      <c r="BC169" s="310"/>
      <c r="BD169" s="310"/>
      <c r="BE169" s="310"/>
      <c r="BF169" s="310"/>
      <c r="BG169" s="310"/>
      <c r="BH169" s="310"/>
      <c r="BI169" s="310"/>
      <c r="BJ169" s="310"/>
      <c r="BK169" s="310"/>
      <c r="BL169" s="310"/>
      <c r="BM169" s="310"/>
      <c r="BN169" s="221"/>
      <c r="BO169" s="221"/>
      <c r="BP169" s="221"/>
      <c r="BQ169" s="221"/>
      <c r="BR169" s="221"/>
    </row>
    <row r="170" ht="15.75" customHeight="1">
      <c r="A170" s="22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309"/>
      <c r="Y170" s="309"/>
      <c r="Z170" s="309"/>
      <c r="AA170" s="309"/>
      <c r="AB170" s="309"/>
      <c r="AC170" s="309"/>
      <c r="AD170" s="309"/>
      <c r="AE170" s="309"/>
      <c r="AF170" s="309"/>
      <c r="AG170" s="309"/>
      <c r="AH170" s="309"/>
      <c r="AI170" s="309"/>
      <c r="AJ170" s="309"/>
      <c r="AK170" s="309"/>
      <c r="AL170" s="309"/>
      <c r="AM170" s="309"/>
      <c r="AN170" s="309"/>
      <c r="AO170" s="309"/>
      <c r="AP170" s="309"/>
      <c r="AQ170" s="309"/>
      <c r="AR170" s="309"/>
      <c r="AS170" s="309"/>
      <c r="AT170" s="309"/>
      <c r="AU170" s="309"/>
      <c r="AV170" s="309"/>
      <c r="AW170" s="309"/>
      <c r="AX170" s="309"/>
      <c r="AY170" s="309"/>
      <c r="AZ170" s="309"/>
      <c r="BA170" s="310"/>
      <c r="BB170" s="310"/>
      <c r="BC170" s="310"/>
      <c r="BD170" s="310"/>
      <c r="BE170" s="310"/>
      <c r="BF170" s="310"/>
      <c r="BG170" s="310"/>
      <c r="BH170" s="310"/>
      <c r="BI170" s="310"/>
      <c r="BJ170" s="310"/>
      <c r="BK170" s="310"/>
      <c r="BL170" s="310"/>
      <c r="BM170" s="310"/>
      <c r="BN170" s="221"/>
      <c r="BO170" s="221"/>
      <c r="BP170" s="221"/>
      <c r="BQ170" s="221"/>
      <c r="BR170" s="221"/>
    </row>
    <row r="171" ht="15.75" customHeight="1">
      <c r="A171" s="220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309"/>
      <c r="Y171" s="309"/>
      <c r="Z171" s="309"/>
      <c r="AA171" s="309"/>
      <c r="AB171" s="309"/>
      <c r="AC171" s="309"/>
      <c r="AD171" s="309"/>
      <c r="AE171" s="309"/>
      <c r="AF171" s="309"/>
      <c r="AG171" s="309"/>
      <c r="AH171" s="309"/>
      <c r="AI171" s="309"/>
      <c r="AJ171" s="309"/>
      <c r="AK171" s="309"/>
      <c r="AL171" s="309"/>
      <c r="AM171" s="309"/>
      <c r="AN171" s="309"/>
      <c r="AO171" s="309"/>
      <c r="AP171" s="309"/>
      <c r="AQ171" s="309"/>
      <c r="AR171" s="309"/>
      <c r="AS171" s="309"/>
      <c r="AT171" s="309"/>
      <c r="AU171" s="309"/>
      <c r="AV171" s="309"/>
      <c r="AW171" s="309"/>
      <c r="AX171" s="309"/>
      <c r="AY171" s="309"/>
      <c r="AZ171" s="309"/>
      <c r="BA171" s="310"/>
      <c r="BB171" s="310"/>
      <c r="BC171" s="310"/>
      <c r="BD171" s="310"/>
      <c r="BE171" s="310"/>
      <c r="BF171" s="310"/>
      <c r="BG171" s="310"/>
      <c r="BH171" s="310"/>
      <c r="BI171" s="310"/>
      <c r="BJ171" s="310"/>
      <c r="BK171" s="310"/>
      <c r="BL171" s="310"/>
      <c r="BM171" s="310"/>
      <c r="BN171" s="221"/>
      <c r="BO171" s="221"/>
      <c r="BP171" s="221"/>
      <c r="BQ171" s="221"/>
      <c r="BR171" s="221"/>
    </row>
    <row r="172" ht="15.75" customHeight="1">
      <c r="A172" s="220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309"/>
      <c r="Y172" s="309"/>
      <c r="Z172" s="309"/>
      <c r="AA172" s="309"/>
      <c r="AB172" s="309"/>
      <c r="AC172" s="309"/>
      <c r="AD172" s="309"/>
      <c r="AE172" s="309"/>
      <c r="AF172" s="309"/>
      <c r="AG172" s="309"/>
      <c r="AH172" s="309"/>
      <c r="AI172" s="309"/>
      <c r="AJ172" s="309"/>
      <c r="AK172" s="309"/>
      <c r="AL172" s="309"/>
      <c r="AM172" s="309"/>
      <c r="AN172" s="309"/>
      <c r="AO172" s="309"/>
      <c r="AP172" s="309"/>
      <c r="AQ172" s="309"/>
      <c r="AR172" s="309"/>
      <c r="AS172" s="309"/>
      <c r="AT172" s="309"/>
      <c r="AU172" s="309"/>
      <c r="AV172" s="309"/>
      <c r="AW172" s="309"/>
      <c r="AX172" s="309"/>
      <c r="AY172" s="309"/>
      <c r="AZ172" s="309"/>
      <c r="BA172" s="310"/>
      <c r="BB172" s="310"/>
      <c r="BC172" s="310"/>
      <c r="BD172" s="310"/>
      <c r="BE172" s="310"/>
      <c r="BF172" s="310"/>
      <c r="BG172" s="310"/>
      <c r="BH172" s="310"/>
      <c r="BI172" s="310"/>
      <c r="BJ172" s="310"/>
      <c r="BK172" s="310"/>
      <c r="BL172" s="310"/>
      <c r="BM172" s="310"/>
      <c r="BN172" s="221"/>
      <c r="BO172" s="221"/>
      <c r="BP172" s="221"/>
      <c r="BQ172" s="221"/>
      <c r="BR172" s="221"/>
    </row>
    <row r="173" ht="15.75" customHeight="1">
      <c r="A173" s="220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309"/>
      <c r="Y173" s="309"/>
      <c r="Z173" s="309"/>
      <c r="AA173" s="309"/>
      <c r="AB173" s="309"/>
      <c r="AC173" s="309"/>
      <c r="AD173" s="309"/>
      <c r="AE173" s="309"/>
      <c r="AF173" s="309"/>
      <c r="AG173" s="309"/>
      <c r="AH173" s="309"/>
      <c r="AI173" s="309"/>
      <c r="AJ173" s="309"/>
      <c r="AK173" s="309"/>
      <c r="AL173" s="309"/>
      <c r="AM173" s="309"/>
      <c r="AN173" s="309"/>
      <c r="AO173" s="309"/>
      <c r="AP173" s="309"/>
      <c r="AQ173" s="309"/>
      <c r="AR173" s="309"/>
      <c r="AS173" s="309"/>
      <c r="AT173" s="309"/>
      <c r="AU173" s="309"/>
      <c r="AV173" s="309"/>
      <c r="AW173" s="309"/>
      <c r="AX173" s="309"/>
      <c r="AY173" s="309"/>
      <c r="AZ173" s="309"/>
      <c r="BA173" s="310"/>
      <c r="BB173" s="310"/>
      <c r="BC173" s="310"/>
      <c r="BD173" s="310"/>
      <c r="BE173" s="310"/>
      <c r="BF173" s="310"/>
      <c r="BG173" s="310"/>
      <c r="BH173" s="310"/>
      <c r="BI173" s="310"/>
      <c r="BJ173" s="310"/>
      <c r="BK173" s="310"/>
      <c r="BL173" s="310"/>
      <c r="BM173" s="310"/>
      <c r="BN173" s="221"/>
      <c r="BO173" s="221"/>
      <c r="BP173" s="221"/>
      <c r="BQ173" s="221"/>
      <c r="BR173" s="221"/>
    </row>
    <row r="174" ht="15.75" customHeight="1">
      <c r="A174" s="220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309"/>
      <c r="Y174" s="309"/>
      <c r="Z174" s="309"/>
      <c r="AA174" s="309"/>
      <c r="AB174" s="309"/>
      <c r="AC174" s="309"/>
      <c r="AD174" s="309"/>
      <c r="AE174" s="309"/>
      <c r="AF174" s="309"/>
      <c r="AG174" s="309"/>
      <c r="AH174" s="309"/>
      <c r="AI174" s="309"/>
      <c r="AJ174" s="309"/>
      <c r="AK174" s="309"/>
      <c r="AL174" s="309"/>
      <c r="AM174" s="309"/>
      <c r="AN174" s="309"/>
      <c r="AO174" s="309"/>
      <c r="AP174" s="309"/>
      <c r="AQ174" s="309"/>
      <c r="AR174" s="309"/>
      <c r="AS174" s="309"/>
      <c r="AT174" s="309"/>
      <c r="AU174" s="309"/>
      <c r="AV174" s="309"/>
      <c r="AW174" s="309"/>
      <c r="AX174" s="309"/>
      <c r="AY174" s="309"/>
      <c r="AZ174" s="309"/>
      <c r="BA174" s="310"/>
      <c r="BB174" s="310"/>
      <c r="BC174" s="310"/>
      <c r="BD174" s="310"/>
      <c r="BE174" s="310"/>
      <c r="BF174" s="310"/>
      <c r="BG174" s="310"/>
      <c r="BH174" s="310"/>
      <c r="BI174" s="310"/>
      <c r="BJ174" s="310"/>
      <c r="BK174" s="310"/>
      <c r="BL174" s="310"/>
      <c r="BM174" s="310"/>
      <c r="BN174" s="221"/>
      <c r="BO174" s="221"/>
      <c r="BP174" s="221"/>
      <c r="BQ174" s="221"/>
      <c r="BR174" s="221"/>
    </row>
    <row r="175" ht="15.75" customHeight="1">
      <c r="A175" s="22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309"/>
      <c r="Y175" s="309"/>
      <c r="Z175" s="309"/>
      <c r="AA175" s="309"/>
      <c r="AB175" s="309"/>
      <c r="AC175" s="309"/>
      <c r="AD175" s="309"/>
      <c r="AE175" s="309"/>
      <c r="AF175" s="309"/>
      <c r="AG175" s="309"/>
      <c r="AH175" s="309"/>
      <c r="AI175" s="309"/>
      <c r="AJ175" s="309"/>
      <c r="AK175" s="309"/>
      <c r="AL175" s="309"/>
      <c r="AM175" s="309"/>
      <c r="AN175" s="309"/>
      <c r="AO175" s="309"/>
      <c r="AP175" s="309"/>
      <c r="AQ175" s="309"/>
      <c r="AR175" s="309"/>
      <c r="AS175" s="309"/>
      <c r="AT175" s="309"/>
      <c r="AU175" s="309"/>
      <c r="AV175" s="309"/>
      <c r="AW175" s="309"/>
      <c r="AX175" s="309"/>
      <c r="AY175" s="309"/>
      <c r="AZ175" s="309"/>
      <c r="BA175" s="310"/>
      <c r="BB175" s="310"/>
      <c r="BC175" s="310"/>
      <c r="BD175" s="310"/>
      <c r="BE175" s="310"/>
      <c r="BF175" s="310"/>
      <c r="BG175" s="310"/>
      <c r="BH175" s="310"/>
      <c r="BI175" s="310"/>
      <c r="BJ175" s="310"/>
      <c r="BK175" s="310"/>
      <c r="BL175" s="310"/>
      <c r="BM175" s="310"/>
      <c r="BN175" s="221"/>
      <c r="BO175" s="221"/>
      <c r="BP175" s="221"/>
      <c r="BQ175" s="221"/>
      <c r="BR175" s="221"/>
    </row>
    <row r="176" ht="15.75" customHeight="1">
      <c r="A176" s="220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309"/>
      <c r="Y176" s="309"/>
      <c r="Z176" s="309"/>
      <c r="AA176" s="309"/>
      <c r="AB176" s="309"/>
      <c r="AC176" s="309"/>
      <c r="AD176" s="309"/>
      <c r="AE176" s="309"/>
      <c r="AF176" s="309"/>
      <c r="AG176" s="309"/>
      <c r="AH176" s="309"/>
      <c r="AI176" s="309"/>
      <c r="AJ176" s="309"/>
      <c r="AK176" s="309"/>
      <c r="AL176" s="309"/>
      <c r="AM176" s="309"/>
      <c r="AN176" s="309"/>
      <c r="AO176" s="309"/>
      <c r="AP176" s="309"/>
      <c r="AQ176" s="309"/>
      <c r="AR176" s="309"/>
      <c r="AS176" s="309"/>
      <c r="AT176" s="309"/>
      <c r="AU176" s="309"/>
      <c r="AV176" s="309"/>
      <c r="AW176" s="309"/>
      <c r="AX176" s="309"/>
      <c r="AY176" s="309"/>
      <c r="AZ176" s="309"/>
      <c r="BA176" s="310"/>
      <c r="BB176" s="310"/>
      <c r="BC176" s="310"/>
      <c r="BD176" s="310"/>
      <c r="BE176" s="310"/>
      <c r="BF176" s="310"/>
      <c r="BG176" s="310"/>
      <c r="BH176" s="310"/>
      <c r="BI176" s="310"/>
      <c r="BJ176" s="310"/>
      <c r="BK176" s="310"/>
      <c r="BL176" s="310"/>
      <c r="BM176" s="310"/>
      <c r="BN176" s="221"/>
      <c r="BO176" s="221"/>
      <c r="BP176" s="221"/>
      <c r="BQ176" s="221"/>
      <c r="BR176" s="221"/>
    </row>
    <row r="177" ht="15.75" customHeight="1">
      <c r="A177" s="220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309"/>
      <c r="Y177" s="309"/>
      <c r="Z177" s="309"/>
      <c r="AA177" s="309"/>
      <c r="AB177" s="309"/>
      <c r="AC177" s="309"/>
      <c r="AD177" s="309"/>
      <c r="AE177" s="309"/>
      <c r="AF177" s="309"/>
      <c r="AG177" s="309"/>
      <c r="AH177" s="309"/>
      <c r="AI177" s="309"/>
      <c r="AJ177" s="309"/>
      <c r="AK177" s="309"/>
      <c r="AL177" s="309"/>
      <c r="AM177" s="309"/>
      <c r="AN177" s="309"/>
      <c r="AO177" s="309"/>
      <c r="AP177" s="309"/>
      <c r="AQ177" s="309"/>
      <c r="AR177" s="309"/>
      <c r="AS177" s="309"/>
      <c r="AT177" s="309"/>
      <c r="AU177" s="309"/>
      <c r="AV177" s="309"/>
      <c r="AW177" s="309"/>
      <c r="AX177" s="309"/>
      <c r="AY177" s="309"/>
      <c r="AZ177" s="309"/>
      <c r="BA177" s="310"/>
      <c r="BB177" s="310"/>
      <c r="BC177" s="310"/>
      <c r="BD177" s="310"/>
      <c r="BE177" s="310"/>
      <c r="BF177" s="310"/>
      <c r="BG177" s="310"/>
      <c r="BH177" s="310"/>
      <c r="BI177" s="310"/>
      <c r="BJ177" s="310"/>
      <c r="BK177" s="310"/>
      <c r="BL177" s="310"/>
      <c r="BM177" s="310"/>
      <c r="BN177" s="221"/>
      <c r="BO177" s="221"/>
      <c r="BP177" s="221"/>
      <c r="BQ177" s="221"/>
      <c r="BR177" s="221"/>
    </row>
    <row r="178" ht="15.75" customHeight="1">
      <c r="A178" s="220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309"/>
      <c r="Y178" s="309"/>
      <c r="Z178" s="309"/>
      <c r="AA178" s="309"/>
      <c r="AB178" s="309"/>
      <c r="AC178" s="309"/>
      <c r="AD178" s="309"/>
      <c r="AE178" s="309"/>
      <c r="AF178" s="309"/>
      <c r="AG178" s="309"/>
      <c r="AH178" s="309"/>
      <c r="AI178" s="309"/>
      <c r="AJ178" s="309"/>
      <c r="AK178" s="309"/>
      <c r="AL178" s="309"/>
      <c r="AM178" s="309"/>
      <c r="AN178" s="309"/>
      <c r="AO178" s="309"/>
      <c r="AP178" s="309"/>
      <c r="AQ178" s="309"/>
      <c r="AR178" s="309"/>
      <c r="AS178" s="309"/>
      <c r="AT178" s="309"/>
      <c r="AU178" s="309"/>
      <c r="AV178" s="309"/>
      <c r="AW178" s="309"/>
      <c r="AX178" s="309"/>
      <c r="AY178" s="309"/>
      <c r="AZ178" s="309"/>
      <c r="BA178" s="310"/>
      <c r="BB178" s="310"/>
      <c r="BC178" s="310"/>
      <c r="BD178" s="310"/>
      <c r="BE178" s="310"/>
      <c r="BF178" s="310"/>
      <c r="BG178" s="310"/>
      <c r="BH178" s="310"/>
      <c r="BI178" s="310"/>
      <c r="BJ178" s="310"/>
      <c r="BK178" s="310"/>
      <c r="BL178" s="310"/>
      <c r="BM178" s="310"/>
      <c r="BN178" s="221"/>
      <c r="BO178" s="221"/>
      <c r="BP178" s="221"/>
      <c r="BQ178" s="221"/>
      <c r="BR178" s="221"/>
    </row>
    <row r="179" ht="15.75" customHeight="1">
      <c r="A179" s="220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309"/>
      <c r="Y179" s="309"/>
      <c r="Z179" s="309"/>
      <c r="AA179" s="309"/>
      <c r="AB179" s="309"/>
      <c r="AC179" s="309"/>
      <c r="AD179" s="309"/>
      <c r="AE179" s="309"/>
      <c r="AF179" s="309"/>
      <c r="AG179" s="309"/>
      <c r="AH179" s="309"/>
      <c r="AI179" s="309"/>
      <c r="AJ179" s="309"/>
      <c r="AK179" s="309"/>
      <c r="AL179" s="309"/>
      <c r="AM179" s="309"/>
      <c r="AN179" s="309"/>
      <c r="AO179" s="309"/>
      <c r="AP179" s="309"/>
      <c r="AQ179" s="309"/>
      <c r="AR179" s="309"/>
      <c r="AS179" s="309"/>
      <c r="AT179" s="309"/>
      <c r="AU179" s="309"/>
      <c r="AV179" s="309"/>
      <c r="AW179" s="309"/>
      <c r="AX179" s="309"/>
      <c r="AY179" s="309"/>
      <c r="AZ179" s="309"/>
      <c r="BA179" s="310"/>
      <c r="BB179" s="310"/>
      <c r="BC179" s="310"/>
      <c r="BD179" s="310"/>
      <c r="BE179" s="310"/>
      <c r="BF179" s="310"/>
      <c r="BG179" s="310"/>
      <c r="BH179" s="310"/>
      <c r="BI179" s="310"/>
      <c r="BJ179" s="310"/>
      <c r="BK179" s="310"/>
      <c r="BL179" s="310"/>
      <c r="BM179" s="310"/>
      <c r="BN179" s="221"/>
      <c r="BO179" s="221"/>
      <c r="BP179" s="221"/>
      <c r="BQ179" s="221"/>
      <c r="BR179" s="221"/>
    </row>
    <row r="180" ht="15.75" customHeight="1">
      <c r="A180" s="220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309"/>
      <c r="Y180" s="309"/>
      <c r="Z180" s="309"/>
      <c r="AA180" s="309"/>
      <c r="AB180" s="309"/>
      <c r="AC180" s="309"/>
      <c r="AD180" s="309"/>
      <c r="AE180" s="309"/>
      <c r="AF180" s="309"/>
      <c r="AG180" s="309"/>
      <c r="AH180" s="309"/>
      <c r="AI180" s="309"/>
      <c r="AJ180" s="309"/>
      <c r="AK180" s="309"/>
      <c r="AL180" s="309"/>
      <c r="AM180" s="309"/>
      <c r="AN180" s="309"/>
      <c r="AO180" s="309"/>
      <c r="AP180" s="309"/>
      <c r="AQ180" s="309"/>
      <c r="AR180" s="309"/>
      <c r="AS180" s="309"/>
      <c r="AT180" s="309"/>
      <c r="AU180" s="309"/>
      <c r="AV180" s="309"/>
      <c r="AW180" s="309"/>
      <c r="AX180" s="309"/>
      <c r="AY180" s="309"/>
      <c r="AZ180" s="309"/>
      <c r="BA180" s="310"/>
      <c r="BB180" s="310"/>
      <c r="BC180" s="310"/>
      <c r="BD180" s="310"/>
      <c r="BE180" s="310"/>
      <c r="BF180" s="310"/>
      <c r="BG180" s="310"/>
      <c r="BH180" s="310"/>
      <c r="BI180" s="310"/>
      <c r="BJ180" s="310"/>
      <c r="BK180" s="310"/>
      <c r="BL180" s="310"/>
      <c r="BM180" s="310"/>
      <c r="BN180" s="221"/>
      <c r="BO180" s="221"/>
      <c r="BP180" s="221"/>
      <c r="BQ180" s="221"/>
      <c r="BR180" s="221"/>
    </row>
    <row r="181" ht="15.75" customHeight="1">
      <c r="A181" s="220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309"/>
      <c r="Y181" s="309"/>
      <c r="Z181" s="309"/>
      <c r="AA181" s="309"/>
      <c r="AB181" s="309"/>
      <c r="AC181" s="309"/>
      <c r="AD181" s="309"/>
      <c r="AE181" s="309"/>
      <c r="AF181" s="309"/>
      <c r="AG181" s="309"/>
      <c r="AH181" s="309"/>
      <c r="AI181" s="309"/>
      <c r="AJ181" s="309"/>
      <c r="AK181" s="309"/>
      <c r="AL181" s="309"/>
      <c r="AM181" s="309"/>
      <c r="AN181" s="309"/>
      <c r="AO181" s="309"/>
      <c r="AP181" s="309"/>
      <c r="AQ181" s="309"/>
      <c r="AR181" s="309"/>
      <c r="AS181" s="309"/>
      <c r="AT181" s="309"/>
      <c r="AU181" s="309"/>
      <c r="AV181" s="309"/>
      <c r="AW181" s="309"/>
      <c r="AX181" s="309"/>
      <c r="AY181" s="309"/>
      <c r="AZ181" s="309"/>
      <c r="BA181" s="310"/>
      <c r="BB181" s="310"/>
      <c r="BC181" s="310"/>
      <c r="BD181" s="310"/>
      <c r="BE181" s="310"/>
      <c r="BF181" s="310"/>
      <c r="BG181" s="310"/>
      <c r="BH181" s="310"/>
      <c r="BI181" s="310"/>
      <c r="BJ181" s="310"/>
      <c r="BK181" s="310"/>
      <c r="BL181" s="310"/>
      <c r="BM181" s="310"/>
      <c r="BN181" s="221"/>
      <c r="BO181" s="221"/>
      <c r="BP181" s="221"/>
      <c r="BQ181" s="221"/>
      <c r="BR181" s="221"/>
    </row>
    <row r="182" ht="15.75" customHeight="1">
      <c r="A182" s="220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309"/>
      <c r="Y182" s="309"/>
      <c r="Z182" s="309"/>
      <c r="AA182" s="309"/>
      <c r="AB182" s="309"/>
      <c r="AC182" s="309"/>
      <c r="AD182" s="309"/>
      <c r="AE182" s="309"/>
      <c r="AF182" s="309"/>
      <c r="AG182" s="309"/>
      <c r="AH182" s="309"/>
      <c r="AI182" s="309"/>
      <c r="AJ182" s="309"/>
      <c r="AK182" s="309"/>
      <c r="AL182" s="309"/>
      <c r="AM182" s="309"/>
      <c r="AN182" s="309"/>
      <c r="AO182" s="309"/>
      <c r="AP182" s="309"/>
      <c r="AQ182" s="309"/>
      <c r="AR182" s="309"/>
      <c r="AS182" s="309"/>
      <c r="AT182" s="309"/>
      <c r="AU182" s="309"/>
      <c r="AV182" s="309"/>
      <c r="AW182" s="309"/>
      <c r="AX182" s="309"/>
      <c r="AY182" s="309"/>
      <c r="AZ182" s="309"/>
      <c r="BA182" s="310"/>
      <c r="BB182" s="310"/>
      <c r="BC182" s="310"/>
      <c r="BD182" s="310"/>
      <c r="BE182" s="310"/>
      <c r="BF182" s="310"/>
      <c r="BG182" s="310"/>
      <c r="BH182" s="310"/>
      <c r="BI182" s="310"/>
      <c r="BJ182" s="310"/>
      <c r="BK182" s="310"/>
      <c r="BL182" s="310"/>
      <c r="BM182" s="310"/>
      <c r="BN182" s="221"/>
      <c r="BO182" s="221"/>
      <c r="BP182" s="221"/>
      <c r="BQ182" s="221"/>
      <c r="BR182" s="221"/>
    </row>
    <row r="183" ht="15.75" customHeight="1">
      <c r="A183" s="220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309"/>
      <c r="Y183" s="309"/>
      <c r="Z183" s="309"/>
      <c r="AA183" s="309"/>
      <c r="AB183" s="309"/>
      <c r="AC183" s="309"/>
      <c r="AD183" s="309"/>
      <c r="AE183" s="309"/>
      <c r="AF183" s="309"/>
      <c r="AG183" s="309"/>
      <c r="AH183" s="309"/>
      <c r="AI183" s="309"/>
      <c r="AJ183" s="309"/>
      <c r="AK183" s="309"/>
      <c r="AL183" s="309"/>
      <c r="AM183" s="309"/>
      <c r="AN183" s="309"/>
      <c r="AO183" s="309"/>
      <c r="AP183" s="309"/>
      <c r="AQ183" s="309"/>
      <c r="AR183" s="309"/>
      <c r="AS183" s="309"/>
      <c r="AT183" s="309"/>
      <c r="AU183" s="309"/>
      <c r="AV183" s="309"/>
      <c r="AW183" s="309"/>
      <c r="AX183" s="309"/>
      <c r="AY183" s="309"/>
      <c r="AZ183" s="309"/>
      <c r="BA183" s="310"/>
      <c r="BB183" s="310"/>
      <c r="BC183" s="310"/>
      <c r="BD183" s="310"/>
      <c r="BE183" s="310"/>
      <c r="BF183" s="310"/>
      <c r="BG183" s="310"/>
      <c r="BH183" s="310"/>
      <c r="BI183" s="310"/>
      <c r="BJ183" s="310"/>
      <c r="BK183" s="310"/>
      <c r="BL183" s="310"/>
      <c r="BM183" s="310"/>
      <c r="BN183" s="221"/>
      <c r="BO183" s="221"/>
      <c r="BP183" s="221"/>
      <c r="BQ183" s="221"/>
      <c r="BR183" s="221"/>
    </row>
    <row r="184" ht="15.75" customHeight="1">
      <c r="A184" s="220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309"/>
      <c r="Y184" s="309"/>
      <c r="Z184" s="309"/>
      <c r="AA184" s="309"/>
      <c r="AB184" s="309"/>
      <c r="AC184" s="309"/>
      <c r="AD184" s="309"/>
      <c r="AE184" s="309"/>
      <c r="AF184" s="309"/>
      <c r="AG184" s="309"/>
      <c r="AH184" s="309"/>
      <c r="AI184" s="309"/>
      <c r="AJ184" s="309"/>
      <c r="AK184" s="309"/>
      <c r="AL184" s="309"/>
      <c r="AM184" s="309"/>
      <c r="AN184" s="309"/>
      <c r="AO184" s="309"/>
      <c r="AP184" s="309"/>
      <c r="AQ184" s="309"/>
      <c r="AR184" s="309"/>
      <c r="AS184" s="309"/>
      <c r="AT184" s="309"/>
      <c r="AU184" s="309"/>
      <c r="AV184" s="309"/>
      <c r="AW184" s="309"/>
      <c r="AX184" s="309"/>
      <c r="AY184" s="309"/>
      <c r="AZ184" s="309"/>
      <c r="BA184" s="310"/>
      <c r="BB184" s="310"/>
      <c r="BC184" s="310"/>
      <c r="BD184" s="310"/>
      <c r="BE184" s="310"/>
      <c r="BF184" s="310"/>
      <c r="BG184" s="310"/>
      <c r="BH184" s="310"/>
      <c r="BI184" s="310"/>
      <c r="BJ184" s="310"/>
      <c r="BK184" s="310"/>
      <c r="BL184" s="310"/>
      <c r="BM184" s="310"/>
      <c r="BN184" s="221"/>
      <c r="BO184" s="221"/>
      <c r="BP184" s="221"/>
      <c r="BQ184" s="221"/>
      <c r="BR184" s="221"/>
    </row>
    <row r="185" ht="15.75" customHeight="1">
      <c r="A185" s="220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309"/>
      <c r="Y185" s="309"/>
      <c r="Z185" s="309"/>
      <c r="AA185" s="309"/>
      <c r="AB185" s="309"/>
      <c r="AC185" s="309"/>
      <c r="AD185" s="309"/>
      <c r="AE185" s="309"/>
      <c r="AF185" s="309"/>
      <c r="AG185" s="309"/>
      <c r="AH185" s="309"/>
      <c r="AI185" s="309"/>
      <c r="AJ185" s="309"/>
      <c r="AK185" s="309"/>
      <c r="AL185" s="309"/>
      <c r="AM185" s="309"/>
      <c r="AN185" s="309"/>
      <c r="AO185" s="309"/>
      <c r="AP185" s="309"/>
      <c r="AQ185" s="309"/>
      <c r="AR185" s="309"/>
      <c r="AS185" s="309"/>
      <c r="AT185" s="309"/>
      <c r="AU185" s="309"/>
      <c r="AV185" s="309"/>
      <c r="AW185" s="309"/>
      <c r="AX185" s="309"/>
      <c r="AY185" s="309"/>
      <c r="AZ185" s="309"/>
      <c r="BA185" s="310"/>
      <c r="BB185" s="310"/>
      <c r="BC185" s="310"/>
      <c r="BD185" s="310"/>
      <c r="BE185" s="310"/>
      <c r="BF185" s="310"/>
      <c r="BG185" s="310"/>
      <c r="BH185" s="310"/>
      <c r="BI185" s="310"/>
      <c r="BJ185" s="310"/>
      <c r="BK185" s="310"/>
      <c r="BL185" s="310"/>
      <c r="BM185" s="310"/>
      <c r="BN185" s="221"/>
      <c r="BO185" s="221"/>
      <c r="BP185" s="221"/>
      <c r="BQ185" s="221"/>
      <c r="BR185" s="221"/>
    </row>
    <row r="186" ht="15.75" customHeight="1">
      <c r="A186" s="220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309"/>
      <c r="Y186" s="309"/>
      <c r="Z186" s="309"/>
      <c r="AA186" s="309"/>
      <c r="AB186" s="309"/>
      <c r="AC186" s="309"/>
      <c r="AD186" s="309"/>
      <c r="AE186" s="309"/>
      <c r="AF186" s="309"/>
      <c r="AG186" s="309"/>
      <c r="AH186" s="309"/>
      <c r="AI186" s="309"/>
      <c r="AJ186" s="309"/>
      <c r="AK186" s="309"/>
      <c r="AL186" s="309"/>
      <c r="AM186" s="309"/>
      <c r="AN186" s="309"/>
      <c r="AO186" s="309"/>
      <c r="AP186" s="309"/>
      <c r="AQ186" s="309"/>
      <c r="AR186" s="309"/>
      <c r="AS186" s="309"/>
      <c r="AT186" s="309"/>
      <c r="AU186" s="309"/>
      <c r="AV186" s="309"/>
      <c r="AW186" s="309"/>
      <c r="AX186" s="309"/>
      <c r="AY186" s="309"/>
      <c r="AZ186" s="309"/>
      <c r="BA186" s="310"/>
      <c r="BB186" s="310"/>
      <c r="BC186" s="310"/>
      <c r="BD186" s="310"/>
      <c r="BE186" s="310"/>
      <c r="BF186" s="310"/>
      <c r="BG186" s="310"/>
      <c r="BH186" s="310"/>
      <c r="BI186" s="310"/>
      <c r="BJ186" s="310"/>
      <c r="BK186" s="310"/>
      <c r="BL186" s="310"/>
      <c r="BM186" s="310"/>
      <c r="BN186" s="221"/>
      <c r="BO186" s="221"/>
      <c r="BP186" s="221"/>
      <c r="BQ186" s="221"/>
      <c r="BR186" s="221"/>
    </row>
    <row r="187" ht="15.75" customHeight="1">
      <c r="A187" s="220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309"/>
      <c r="Y187" s="309"/>
      <c r="Z187" s="309"/>
      <c r="AA187" s="309"/>
      <c r="AB187" s="309"/>
      <c r="AC187" s="309"/>
      <c r="AD187" s="309"/>
      <c r="AE187" s="309"/>
      <c r="AF187" s="309"/>
      <c r="AG187" s="309"/>
      <c r="AH187" s="309"/>
      <c r="AI187" s="309"/>
      <c r="AJ187" s="309"/>
      <c r="AK187" s="309"/>
      <c r="AL187" s="309"/>
      <c r="AM187" s="309"/>
      <c r="AN187" s="309"/>
      <c r="AO187" s="309"/>
      <c r="AP187" s="309"/>
      <c r="AQ187" s="309"/>
      <c r="AR187" s="309"/>
      <c r="AS187" s="309"/>
      <c r="AT187" s="309"/>
      <c r="AU187" s="309"/>
      <c r="AV187" s="309"/>
      <c r="AW187" s="309"/>
      <c r="AX187" s="309"/>
      <c r="AY187" s="309"/>
      <c r="AZ187" s="309"/>
      <c r="BA187" s="310"/>
      <c r="BB187" s="310"/>
      <c r="BC187" s="310"/>
      <c r="BD187" s="310"/>
      <c r="BE187" s="310"/>
      <c r="BF187" s="310"/>
      <c r="BG187" s="310"/>
      <c r="BH187" s="310"/>
      <c r="BI187" s="310"/>
      <c r="BJ187" s="310"/>
      <c r="BK187" s="310"/>
      <c r="BL187" s="310"/>
      <c r="BM187" s="310"/>
      <c r="BN187" s="221"/>
      <c r="BO187" s="221"/>
      <c r="BP187" s="221"/>
      <c r="BQ187" s="221"/>
      <c r="BR187" s="221"/>
    </row>
    <row r="188" ht="15.75" customHeight="1">
      <c r="A188" s="220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309"/>
      <c r="Y188" s="309"/>
      <c r="Z188" s="309"/>
      <c r="AA188" s="309"/>
      <c r="AB188" s="309"/>
      <c r="AC188" s="309"/>
      <c r="AD188" s="309"/>
      <c r="AE188" s="309"/>
      <c r="AF188" s="309"/>
      <c r="AG188" s="309"/>
      <c r="AH188" s="309"/>
      <c r="AI188" s="309"/>
      <c r="AJ188" s="309"/>
      <c r="AK188" s="309"/>
      <c r="AL188" s="309"/>
      <c r="AM188" s="309"/>
      <c r="AN188" s="309"/>
      <c r="AO188" s="309"/>
      <c r="AP188" s="309"/>
      <c r="AQ188" s="309"/>
      <c r="AR188" s="309"/>
      <c r="AS188" s="309"/>
      <c r="AT188" s="309"/>
      <c r="AU188" s="309"/>
      <c r="AV188" s="309"/>
      <c r="AW188" s="309"/>
      <c r="AX188" s="309"/>
      <c r="AY188" s="309"/>
      <c r="AZ188" s="309"/>
      <c r="BA188" s="310"/>
      <c r="BB188" s="310"/>
      <c r="BC188" s="310"/>
      <c r="BD188" s="310"/>
      <c r="BE188" s="310"/>
      <c r="BF188" s="310"/>
      <c r="BG188" s="310"/>
      <c r="BH188" s="310"/>
      <c r="BI188" s="310"/>
      <c r="BJ188" s="310"/>
      <c r="BK188" s="310"/>
      <c r="BL188" s="310"/>
      <c r="BM188" s="310"/>
      <c r="BN188" s="221"/>
      <c r="BO188" s="221"/>
      <c r="BP188" s="221"/>
      <c r="BQ188" s="221"/>
      <c r="BR188" s="221"/>
    </row>
    <row r="189" ht="15.75" customHeight="1">
      <c r="A189" s="220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309"/>
      <c r="Y189" s="309"/>
      <c r="Z189" s="309"/>
      <c r="AA189" s="309"/>
      <c r="AB189" s="309"/>
      <c r="AC189" s="309"/>
      <c r="AD189" s="309"/>
      <c r="AE189" s="309"/>
      <c r="AF189" s="309"/>
      <c r="AG189" s="309"/>
      <c r="AH189" s="309"/>
      <c r="AI189" s="309"/>
      <c r="AJ189" s="309"/>
      <c r="AK189" s="309"/>
      <c r="AL189" s="309"/>
      <c r="AM189" s="309"/>
      <c r="AN189" s="309"/>
      <c r="AO189" s="309"/>
      <c r="AP189" s="309"/>
      <c r="AQ189" s="309"/>
      <c r="AR189" s="309"/>
      <c r="AS189" s="309"/>
      <c r="AT189" s="309"/>
      <c r="AU189" s="309"/>
      <c r="AV189" s="309"/>
      <c r="AW189" s="309"/>
      <c r="AX189" s="309"/>
      <c r="AY189" s="309"/>
      <c r="AZ189" s="309"/>
      <c r="BA189" s="310"/>
      <c r="BB189" s="310"/>
      <c r="BC189" s="310"/>
      <c r="BD189" s="310"/>
      <c r="BE189" s="310"/>
      <c r="BF189" s="310"/>
      <c r="BG189" s="310"/>
      <c r="BH189" s="310"/>
      <c r="BI189" s="310"/>
      <c r="BJ189" s="310"/>
      <c r="BK189" s="310"/>
      <c r="BL189" s="310"/>
      <c r="BM189" s="310"/>
      <c r="BN189" s="221"/>
      <c r="BO189" s="221"/>
      <c r="BP189" s="221"/>
      <c r="BQ189" s="221"/>
      <c r="BR189" s="221"/>
    </row>
    <row r="190" ht="15.75" customHeight="1">
      <c r="A190" s="220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309"/>
      <c r="Y190" s="309"/>
      <c r="Z190" s="309"/>
      <c r="AA190" s="309"/>
      <c r="AB190" s="309"/>
      <c r="AC190" s="309"/>
      <c r="AD190" s="309"/>
      <c r="AE190" s="309"/>
      <c r="AF190" s="309"/>
      <c r="AG190" s="309"/>
      <c r="AH190" s="309"/>
      <c r="AI190" s="309"/>
      <c r="AJ190" s="309"/>
      <c r="AK190" s="309"/>
      <c r="AL190" s="309"/>
      <c r="AM190" s="309"/>
      <c r="AN190" s="309"/>
      <c r="AO190" s="309"/>
      <c r="AP190" s="309"/>
      <c r="AQ190" s="309"/>
      <c r="AR190" s="309"/>
      <c r="AS190" s="309"/>
      <c r="AT190" s="309"/>
      <c r="AU190" s="309"/>
      <c r="AV190" s="309"/>
      <c r="AW190" s="309"/>
      <c r="AX190" s="309"/>
      <c r="AY190" s="309"/>
      <c r="AZ190" s="309"/>
      <c r="BA190" s="310"/>
      <c r="BB190" s="310"/>
      <c r="BC190" s="310"/>
      <c r="BD190" s="310"/>
      <c r="BE190" s="310"/>
      <c r="BF190" s="310"/>
      <c r="BG190" s="310"/>
      <c r="BH190" s="310"/>
      <c r="BI190" s="310"/>
      <c r="BJ190" s="310"/>
      <c r="BK190" s="310"/>
      <c r="BL190" s="310"/>
      <c r="BM190" s="310"/>
      <c r="BN190" s="221"/>
      <c r="BO190" s="221"/>
      <c r="BP190" s="221"/>
      <c r="BQ190" s="221"/>
      <c r="BR190" s="221"/>
    </row>
    <row r="191" ht="15.75" customHeight="1">
      <c r="A191" s="220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309"/>
      <c r="Y191" s="309"/>
      <c r="Z191" s="309"/>
      <c r="AA191" s="309"/>
      <c r="AB191" s="309"/>
      <c r="AC191" s="309"/>
      <c r="AD191" s="309"/>
      <c r="AE191" s="309"/>
      <c r="AF191" s="309"/>
      <c r="AG191" s="309"/>
      <c r="AH191" s="309"/>
      <c r="AI191" s="309"/>
      <c r="AJ191" s="309"/>
      <c r="AK191" s="309"/>
      <c r="AL191" s="309"/>
      <c r="AM191" s="309"/>
      <c r="AN191" s="309"/>
      <c r="AO191" s="309"/>
      <c r="AP191" s="309"/>
      <c r="AQ191" s="309"/>
      <c r="AR191" s="309"/>
      <c r="AS191" s="309"/>
      <c r="AT191" s="309"/>
      <c r="AU191" s="309"/>
      <c r="AV191" s="309"/>
      <c r="AW191" s="309"/>
      <c r="AX191" s="309"/>
      <c r="AY191" s="309"/>
      <c r="AZ191" s="309"/>
      <c r="BA191" s="310"/>
      <c r="BB191" s="310"/>
      <c r="BC191" s="310"/>
      <c r="BD191" s="310"/>
      <c r="BE191" s="310"/>
      <c r="BF191" s="310"/>
      <c r="BG191" s="310"/>
      <c r="BH191" s="310"/>
      <c r="BI191" s="310"/>
      <c r="BJ191" s="310"/>
      <c r="BK191" s="310"/>
      <c r="BL191" s="310"/>
      <c r="BM191" s="310"/>
      <c r="BN191" s="221"/>
      <c r="BO191" s="221"/>
      <c r="BP191" s="221"/>
      <c r="BQ191" s="221"/>
      <c r="BR191" s="221"/>
    </row>
    <row r="192" ht="15.75" customHeight="1">
      <c r="A192" s="220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309"/>
      <c r="Y192" s="309"/>
      <c r="Z192" s="309"/>
      <c r="AA192" s="309"/>
      <c r="AB192" s="309"/>
      <c r="AC192" s="309"/>
      <c r="AD192" s="309"/>
      <c r="AE192" s="309"/>
      <c r="AF192" s="309"/>
      <c r="AG192" s="309"/>
      <c r="AH192" s="309"/>
      <c r="AI192" s="309"/>
      <c r="AJ192" s="309"/>
      <c r="AK192" s="309"/>
      <c r="AL192" s="309"/>
      <c r="AM192" s="309"/>
      <c r="AN192" s="309"/>
      <c r="AO192" s="309"/>
      <c r="AP192" s="309"/>
      <c r="AQ192" s="309"/>
      <c r="AR192" s="309"/>
      <c r="AS192" s="309"/>
      <c r="AT192" s="309"/>
      <c r="AU192" s="309"/>
      <c r="AV192" s="309"/>
      <c r="AW192" s="309"/>
      <c r="AX192" s="309"/>
      <c r="AY192" s="309"/>
      <c r="AZ192" s="309"/>
      <c r="BA192" s="310"/>
      <c r="BB192" s="310"/>
      <c r="BC192" s="310"/>
      <c r="BD192" s="310"/>
      <c r="BE192" s="310"/>
      <c r="BF192" s="310"/>
      <c r="BG192" s="310"/>
      <c r="BH192" s="310"/>
      <c r="BI192" s="310"/>
      <c r="BJ192" s="310"/>
      <c r="BK192" s="310"/>
      <c r="BL192" s="310"/>
      <c r="BM192" s="310"/>
      <c r="BN192" s="221"/>
      <c r="BO192" s="221"/>
      <c r="BP192" s="221"/>
      <c r="BQ192" s="221"/>
      <c r="BR192" s="221"/>
    </row>
    <row r="193" ht="15.75" customHeight="1">
      <c r="A193" s="220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309"/>
      <c r="Y193" s="309"/>
      <c r="Z193" s="309"/>
      <c r="AA193" s="309"/>
      <c r="AB193" s="309"/>
      <c r="AC193" s="309"/>
      <c r="AD193" s="309"/>
      <c r="AE193" s="309"/>
      <c r="AF193" s="309"/>
      <c r="AG193" s="309"/>
      <c r="AH193" s="309"/>
      <c r="AI193" s="309"/>
      <c r="AJ193" s="309"/>
      <c r="AK193" s="309"/>
      <c r="AL193" s="309"/>
      <c r="AM193" s="309"/>
      <c r="AN193" s="309"/>
      <c r="AO193" s="309"/>
      <c r="AP193" s="309"/>
      <c r="AQ193" s="309"/>
      <c r="AR193" s="309"/>
      <c r="AS193" s="309"/>
      <c r="AT193" s="309"/>
      <c r="AU193" s="309"/>
      <c r="AV193" s="309"/>
      <c r="AW193" s="309"/>
      <c r="AX193" s="309"/>
      <c r="AY193" s="309"/>
      <c r="AZ193" s="309"/>
      <c r="BA193" s="310"/>
      <c r="BB193" s="310"/>
      <c r="BC193" s="310"/>
      <c r="BD193" s="310"/>
      <c r="BE193" s="310"/>
      <c r="BF193" s="310"/>
      <c r="BG193" s="310"/>
      <c r="BH193" s="310"/>
      <c r="BI193" s="310"/>
      <c r="BJ193" s="310"/>
      <c r="BK193" s="310"/>
      <c r="BL193" s="310"/>
      <c r="BM193" s="310"/>
      <c r="BN193" s="221"/>
      <c r="BO193" s="221"/>
      <c r="BP193" s="221"/>
      <c r="BQ193" s="221"/>
      <c r="BR193" s="221"/>
    </row>
    <row r="194" ht="15.75" customHeight="1">
      <c r="A194" s="220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309"/>
      <c r="Y194" s="309"/>
      <c r="Z194" s="309"/>
      <c r="AA194" s="309"/>
      <c r="AB194" s="309"/>
      <c r="AC194" s="309"/>
      <c r="AD194" s="309"/>
      <c r="AE194" s="309"/>
      <c r="AF194" s="309"/>
      <c r="AG194" s="309"/>
      <c r="AH194" s="309"/>
      <c r="AI194" s="309"/>
      <c r="AJ194" s="309"/>
      <c r="AK194" s="309"/>
      <c r="AL194" s="309"/>
      <c r="AM194" s="309"/>
      <c r="AN194" s="309"/>
      <c r="AO194" s="309"/>
      <c r="AP194" s="309"/>
      <c r="AQ194" s="309"/>
      <c r="AR194" s="309"/>
      <c r="AS194" s="309"/>
      <c r="AT194" s="309"/>
      <c r="AU194" s="309"/>
      <c r="AV194" s="309"/>
      <c r="AW194" s="309"/>
      <c r="AX194" s="309"/>
      <c r="AY194" s="309"/>
      <c r="AZ194" s="309"/>
      <c r="BA194" s="310"/>
      <c r="BB194" s="310"/>
      <c r="BC194" s="310"/>
      <c r="BD194" s="310"/>
      <c r="BE194" s="310"/>
      <c r="BF194" s="310"/>
      <c r="BG194" s="310"/>
      <c r="BH194" s="310"/>
      <c r="BI194" s="310"/>
      <c r="BJ194" s="310"/>
      <c r="BK194" s="310"/>
      <c r="BL194" s="310"/>
      <c r="BM194" s="310"/>
      <c r="BN194" s="221"/>
      <c r="BO194" s="221"/>
      <c r="BP194" s="221"/>
      <c r="BQ194" s="221"/>
      <c r="BR194" s="221"/>
    </row>
    <row r="195" ht="15.75" customHeight="1">
      <c r="A195" s="220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309"/>
      <c r="Y195" s="309"/>
      <c r="Z195" s="309"/>
      <c r="AA195" s="309"/>
      <c r="AB195" s="309"/>
      <c r="AC195" s="309"/>
      <c r="AD195" s="309"/>
      <c r="AE195" s="309"/>
      <c r="AF195" s="309"/>
      <c r="AG195" s="309"/>
      <c r="AH195" s="309"/>
      <c r="AI195" s="309"/>
      <c r="AJ195" s="309"/>
      <c r="AK195" s="309"/>
      <c r="AL195" s="309"/>
      <c r="AM195" s="309"/>
      <c r="AN195" s="309"/>
      <c r="AO195" s="309"/>
      <c r="AP195" s="309"/>
      <c r="AQ195" s="309"/>
      <c r="AR195" s="309"/>
      <c r="AS195" s="309"/>
      <c r="AT195" s="309"/>
      <c r="AU195" s="309"/>
      <c r="AV195" s="309"/>
      <c r="AW195" s="309"/>
      <c r="AX195" s="309"/>
      <c r="AY195" s="309"/>
      <c r="AZ195" s="309"/>
      <c r="BA195" s="310"/>
      <c r="BB195" s="310"/>
      <c r="BC195" s="310"/>
      <c r="BD195" s="310"/>
      <c r="BE195" s="310"/>
      <c r="BF195" s="310"/>
      <c r="BG195" s="310"/>
      <c r="BH195" s="310"/>
      <c r="BI195" s="310"/>
      <c r="BJ195" s="310"/>
      <c r="BK195" s="310"/>
      <c r="BL195" s="310"/>
      <c r="BM195" s="310"/>
      <c r="BN195" s="221"/>
      <c r="BO195" s="221"/>
      <c r="BP195" s="221"/>
      <c r="BQ195" s="221"/>
      <c r="BR195" s="221"/>
    </row>
    <row r="196" ht="15.75" customHeight="1">
      <c r="A196" s="220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309"/>
      <c r="Y196" s="309"/>
      <c r="Z196" s="309"/>
      <c r="AA196" s="309"/>
      <c r="AB196" s="309"/>
      <c r="AC196" s="309"/>
      <c r="AD196" s="309"/>
      <c r="AE196" s="309"/>
      <c r="AF196" s="309"/>
      <c r="AG196" s="309"/>
      <c r="AH196" s="309"/>
      <c r="AI196" s="309"/>
      <c r="AJ196" s="309"/>
      <c r="AK196" s="309"/>
      <c r="AL196" s="309"/>
      <c r="AM196" s="309"/>
      <c r="AN196" s="309"/>
      <c r="AO196" s="309"/>
      <c r="AP196" s="309"/>
      <c r="AQ196" s="309"/>
      <c r="AR196" s="309"/>
      <c r="AS196" s="309"/>
      <c r="AT196" s="309"/>
      <c r="AU196" s="309"/>
      <c r="AV196" s="309"/>
      <c r="AW196" s="309"/>
      <c r="AX196" s="309"/>
      <c r="AY196" s="309"/>
      <c r="AZ196" s="309"/>
      <c r="BA196" s="310"/>
      <c r="BB196" s="310"/>
      <c r="BC196" s="310"/>
      <c r="BD196" s="310"/>
      <c r="BE196" s="310"/>
      <c r="BF196" s="310"/>
      <c r="BG196" s="310"/>
      <c r="BH196" s="310"/>
      <c r="BI196" s="310"/>
      <c r="BJ196" s="310"/>
      <c r="BK196" s="310"/>
      <c r="BL196" s="310"/>
      <c r="BM196" s="310"/>
      <c r="BN196" s="221"/>
      <c r="BO196" s="221"/>
      <c r="BP196" s="221"/>
      <c r="BQ196" s="221"/>
      <c r="BR196" s="221"/>
    </row>
    <row r="197" ht="15.75" customHeight="1">
      <c r="A197" s="220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309"/>
      <c r="Y197" s="309"/>
      <c r="Z197" s="309"/>
      <c r="AA197" s="309"/>
      <c r="AB197" s="309"/>
      <c r="AC197" s="309"/>
      <c r="AD197" s="309"/>
      <c r="AE197" s="309"/>
      <c r="AF197" s="309"/>
      <c r="AG197" s="309"/>
      <c r="AH197" s="309"/>
      <c r="AI197" s="309"/>
      <c r="AJ197" s="309"/>
      <c r="AK197" s="309"/>
      <c r="AL197" s="309"/>
      <c r="AM197" s="309"/>
      <c r="AN197" s="309"/>
      <c r="AO197" s="309"/>
      <c r="AP197" s="309"/>
      <c r="AQ197" s="309"/>
      <c r="AR197" s="309"/>
      <c r="AS197" s="309"/>
      <c r="AT197" s="309"/>
      <c r="AU197" s="309"/>
      <c r="AV197" s="309"/>
      <c r="AW197" s="309"/>
      <c r="AX197" s="309"/>
      <c r="AY197" s="309"/>
      <c r="AZ197" s="309"/>
      <c r="BA197" s="310"/>
      <c r="BB197" s="310"/>
      <c r="BC197" s="310"/>
      <c r="BD197" s="310"/>
      <c r="BE197" s="310"/>
      <c r="BF197" s="310"/>
      <c r="BG197" s="310"/>
      <c r="BH197" s="310"/>
      <c r="BI197" s="310"/>
      <c r="BJ197" s="310"/>
      <c r="BK197" s="310"/>
      <c r="BL197" s="310"/>
      <c r="BM197" s="310"/>
      <c r="BN197" s="221"/>
      <c r="BO197" s="221"/>
      <c r="BP197" s="221"/>
      <c r="BQ197" s="221"/>
      <c r="BR197" s="221"/>
    </row>
    <row r="198" ht="15.75" customHeight="1">
      <c r="A198" s="220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309"/>
      <c r="Y198" s="309"/>
      <c r="Z198" s="309"/>
      <c r="AA198" s="309"/>
      <c r="AB198" s="309"/>
      <c r="AC198" s="309"/>
      <c r="AD198" s="309"/>
      <c r="AE198" s="309"/>
      <c r="AF198" s="309"/>
      <c r="AG198" s="309"/>
      <c r="AH198" s="309"/>
      <c r="AI198" s="309"/>
      <c r="AJ198" s="309"/>
      <c r="AK198" s="309"/>
      <c r="AL198" s="309"/>
      <c r="AM198" s="309"/>
      <c r="AN198" s="309"/>
      <c r="AO198" s="309"/>
      <c r="AP198" s="309"/>
      <c r="AQ198" s="309"/>
      <c r="AR198" s="309"/>
      <c r="AS198" s="309"/>
      <c r="AT198" s="309"/>
      <c r="AU198" s="309"/>
      <c r="AV198" s="309"/>
      <c r="AW198" s="309"/>
      <c r="AX198" s="309"/>
      <c r="AY198" s="309"/>
      <c r="AZ198" s="309"/>
      <c r="BA198" s="310"/>
      <c r="BB198" s="310"/>
      <c r="BC198" s="310"/>
      <c r="BD198" s="310"/>
      <c r="BE198" s="310"/>
      <c r="BF198" s="310"/>
      <c r="BG198" s="310"/>
      <c r="BH198" s="310"/>
      <c r="BI198" s="310"/>
      <c r="BJ198" s="310"/>
      <c r="BK198" s="310"/>
      <c r="BL198" s="310"/>
      <c r="BM198" s="310"/>
      <c r="BN198" s="221"/>
      <c r="BO198" s="221"/>
      <c r="BP198" s="221"/>
      <c r="BQ198" s="221"/>
      <c r="BR198" s="221"/>
    </row>
    <row r="199" ht="15.75" customHeight="1">
      <c r="A199" s="220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309"/>
      <c r="Y199" s="309"/>
      <c r="Z199" s="309"/>
      <c r="AA199" s="309"/>
      <c r="AB199" s="309"/>
      <c r="AC199" s="309"/>
      <c r="AD199" s="309"/>
      <c r="AE199" s="309"/>
      <c r="AF199" s="309"/>
      <c r="AG199" s="309"/>
      <c r="AH199" s="309"/>
      <c r="AI199" s="309"/>
      <c r="AJ199" s="309"/>
      <c r="AK199" s="309"/>
      <c r="AL199" s="309"/>
      <c r="AM199" s="309"/>
      <c r="AN199" s="309"/>
      <c r="AO199" s="309"/>
      <c r="AP199" s="309"/>
      <c r="AQ199" s="309"/>
      <c r="AR199" s="309"/>
      <c r="AS199" s="309"/>
      <c r="AT199" s="309"/>
      <c r="AU199" s="309"/>
      <c r="AV199" s="309"/>
      <c r="AW199" s="309"/>
      <c r="AX199" s="309"/>
      <c r="AY199" s="309"/>
      <c r="AZ199" s="309"/>
      <c r="BA199" s="310"/>
      <c r="BB199" s="310"/>
      <c r="BC199" s="310"/>
      <c r="BD199" s="310"/>
      <c r="BE199" s="310"/>
      <c r="BF199" s="310"/>
      <c r="BG199" s="310"/>
      <c r="BH199" s="310"/>
      <c r="BI199" s="310"/>
      <c r="BJ199" s="310"/>
      <c r="BK199" s="310"/>
      <c r="BL199" s="310"/>
      <c r="BM199" s="310"/>
      <c r="BN199" s="221"/>
      <c r="BO199" s="221"/>
      <c r="BP199" s="221"/>
      <c r="BQ199" s="221"/>
      <c r="BR199" s="221"/>
    </row>
    <row r="200" ht="15.75" customHeight="1">
      <c r="A200" s="220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309"/>
      <c r="Y200" s="309"/>
      <c r="Z200" s="309"/>
      <c r="AA200" s="309"/>
      <c r="AB200" s="309"/>
      <c r="AC200" s="309"/>
      <c r="AD200" s="309"/>
      <c r="AE200" s="309"/>
      <c r="AF200" s="309"/>
      <c r="AG200" s="309"/>
      <c r="AH200" s="309"/>
      <c r="AI200" s="309"/>
      <c r="AJ200" s="309"/>
      <c r="AK200" s="309"/>
      <c r="AL200" s="309"/>
      <c r="AM200" s="309"/>
      <c r="AN200" s="309"/>
      <c r="AO200" s="309"/>
      <c r="AP200" s="309"/>
      <c r="AQ200" s="309"/>
      <c r="AR200" s="309"/>
      <c r="AS200" s="309"/>
      <c r="AT200" s="309"/>
      <c r="AU200" s="309"/>
      <c r="AV200" s="309"/>
      <c r="AW200" s="309"/>
      <c r="AX200" s="309"/>
      <c r="AY200" s="309"/>
      <c r="AZ200" s="309"/>
      <c r="BA200" s="310"/>
      <c r="BB200" s="310"/>
      <c r="BC200" s="310"/>
      <c r="BD200" s="310"/>
      <c r="BE200" s="310"/>
      <c r="BF200" s="310"/>
      <c r="BG200" s="310"/>
      <c r="BH200" s="310"/>
      <c r="BI200" s="310"/>
      <c r="BJ200" s="310"/>
      <c r="BK200" s="310"/>
      <c r="BL200" s="310"/>
      <c r="BM200" s="310"/>
      <c r="BN200" s="221"/>
      <c r="BO200" s="221"/>
      <c r="BP200" s="221"/>
      <c r="BQ200" s="221"/>
      <c r="BR200" s="221"/>
    </row>
    <row r="201" ht="15.75" customHeight="1">
      <c r="A201" s="220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309"/>
      <c r="Y201" s="309"/>
      <c r="Z201" s="309"/>
      <c r="AA201" s="309"/>
      <c r="AB201" s="309"/>
      <c r="AC201" s="309"/>
      <c r="AD201" s="309"/>
      <c r="AE201" s="309"/>
      <c r="AF201" s="309"/>
      <c r="AG201" s="309"/>
      <c r="AH201" s="309"/>
      <c r="AI201" s="309"/>
      <c r="AJ201" s="309"/>
      <c r="AK201" s="309"/>
      <c r="AL201" s="309"/>
      <c r="AM201" s="309"/>
      <c r="AN201" s="309"/>
      <c r="AO201" s="309"/>
      <c r="AP201" s="309"/>
      <c r="AQ201" s="309"/>
      <c r="AR201" s="309"/>
      <c r="AS201" s="309"/>
      <c r="AT201" s="309"/>
      <c r="AU201" s="309"/>
      <c r="AV201" s="309"/>
      <c r="AW201" s="309"/>
      <c r="AX201" s="309"/>
      <c r="AY201" s="309"/>
      <c r="AZ201" s="309"/>
      <c r="BA201" s="310"/>
      <c r="BB201" s="310"/>
      <c r="BC201" s="310"/>
      <c r="BD201" s="310"/>
      <c r="BE201" s="310"/>
      <c r="BF201" s="310"/>
      <c r="BG201" s="310"/>
      <c r="BH201" s="310"/>
      <c r="BI201" s="310"/>
      <c r="BJ201" s="310"/>
      <c r="BK201" s="310"/>
      <c r="BL201" s="310"/>
      <c r="BM201" s="310"/>
      <c r="BN201" s="221"/>
      <c r="BO201" s="221"/>
      <c r="BP201" s="221"/>
      <c r="BQ201" s="221"/>
      <c r="BR201" s="221"/>
    </row>
    <row r="202" ht="15.75" customHeight="1">
      <c r="A202" s="22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309"/>
      <c r="Y202" s="309"/>
      <c r="Z202" s="309"/>
      <c r="AA202" s="309"/>
      <c r="AB202" s="309"/>
      <c r="AC202" s="309"/>
      <c r="AD202" s="309"/>
      <c r="AE202" s="309"/>
      <c r="AF202" s="309"/>
      <c r="AG202" s="309"/>
      <c r="AH202" s="309"/>
      <c r="AI202" s="309"/>
      <c r="AJ202" s="309"/>
      <c r="AK202" s="309"/>
      <c r="AL202" s="309"/>
      <c r="AM202" s="309"/>
      <c r="AN202" s="309"/>
      <c r="AO202" s="309"/>
      <c r="AP202" s="309"/>
      <c r="AQ202" s="309"/>
      <c r="AR202" s="309"/>
      <c r="AS202" s="309"/>
      <c r="AT202" s="309"/>
      <c r="AU202" s="309"/>
      <c r="AV202" s="309"/>
      <c r="AW202" s="309"/>
      <c r="AX202" s="309"/>
      <c r="AY202" s="309"/>
      <c r="AZ202" s="309"/>
      <c r="BA202" s="310"/>
      <c r="BB202" s="310"/>
      <c r="BC202" s="310"/>
      <c r="BD202" s="310"/>
      <c r="BE202" s="310"/>
      <c r="BF202" s="310"/>
      <c r="BG202" s="310"/>
      <c r="BH202" s="310"/>
      <c r="BI202" s="310"/>
      <c r="BJ202" s="310"/>
      <c r="BK202" s="310"/>
      <c r="BL202" s="310"/>
      <c r="BM202" s="310"/>
      <c r="BN202" s="221"/>
      <c r="BO202" s="221"/>
      <c r="BP202" s="221"/>
      <c r="BQ202" s="221"/>
      <c r="BR202" s="221"/>
    </row>
    <row r="203" ht="15.75" customHeight="1">
      <c r="A203" s="220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309"/>
      <c r="Y203" s="309"/>
      <c r="Z203" s="309"/>
      <c r="AA203" s="309"/>
      <c r="AB203" s="309"/>
      <c r="AC203" s="309"/>
      <c r="AD203" s="309"/>
      <c r="AE203" s="309"/>
      <c r="AF203" s="309"/>
      <c r="AG203" s="309"/>
      <c r="AH203" s="309"/>
      <c r="AI203" s="309"/>
      <c r="AJ203" s="309"/>
      <c r="AK203" s="309"/>
      <c r="AL203" s="309"/>
      <c r="AM203" s="309"/>
      <c r="AN203" s="309"/>
      <c r="AO203" s="309"/>
      <c r="AP203" s="309"/>
      <c r="AQ203" s="309"/>
      <c r="AR203" s="309"/>
      <c r="AS203" s="309"/>
      <c r="AT203" s="309"/>
      <c r="AU203" s="309"/>
      <c r="AV203" s="309"/>
      <c r="AW203" s="309"/>
      <c r="AX203" s="309"/>
      <c r="AY203" s="309"/>
      <c r="AZ203" s="309"/>
      <c r="BA203" s="310"/>
      <c r="BB203" s="310"/>
      <c r="BC203" s="310"/>
      <c r="BD203" s="310"/>
      <c r="BE203" s="310"/>
      <c r="BF203" s="310"/>
      <c r="BG203" s="310"/>
      <c r="BH203" s="310"/>
      <c r="BI203" s="310"/>
      <c r="BJ203" s="310"/>
      <c r="BK203" s="310"/>
      <c r="BL203" s="310"/>
      <c r="BM203" s="310"/>
      <c r="BN203" s="221"/>
      <c r="BO203" s="221"/>
      <c r="BP203" s="221"/>
      <c r="BQ203" s="221"/>
      <c r="BR203" s="221"/>
    </row>
    <row r="204" ht="15.75" customHeight="1">
      <c r="A204" s="220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309"/>
      <c r="Y204" s="309"/>
      <c r="Z204" s="309"/>
      <c r="AA204" s="309"/>
      <c r="AB204" s="309"/>
      <c r="AC204" s="309"/>
      <c r="AD204" s="309"/>
      <c r="AE204" s="309"/>
      <c r="AF204" s="309"/>
      <c r="AG204" s="309"/>
      <c r="AH204" s="309"/>
      <c r="AI204" s="309"/>
      <c r="AJ204" s="309"/>
      <c r="AK204" s="309"/>
      <c r="AL204" s="309"/>
      <c r="AM204" s="309"/>
      <c r="AN204" s="309"/>
      <c r="AO204" s="309"/>
      <c r="AP204" s="309"/>
      <c r="AQ204" s="309"/>
      <c r="AR204" s="309"/>
      <c r="AS204" s="309"/>
      <c r="AT204" s="309"/>
      <c r="AU204" s="309"/>
      <c r="AV204" s="309"/>
      <c r="AW204" s="309"/>
      <c r="AX204" s="309"/>
      <c r="AY204" s="309"/>
      <c r="AZ204" s="309"/>
      <c r="BA204" s="310"/>
      <c r="BB204" s="310"/>
      <c r="BC204" s="310"/>
      <c r="BD204" s="310"/>
      <c r="BE204" s="310"/>
      <c r="BF204" s="310"/>
      <c r="BG204" s="310"/>
      <c r="BH204" s="310"/>
      <c r="BI204" s="310"/>
      <c r="BJ204" s="310"/>
      <c r="BK204" s="310"/>
      <c r="BL204" s="310"/>
      <c r="BM204" s="310"/>
      <c r="BN204" s="221"/>
      <c r="BO204" s="221"/>
      <c r="BP204" s="221"/>
      <c r="BQ204" s="221"/>
      <c r="BR204" s="221"/>
    </row>
    <row r="205" ht="15.75" customHeight="1">
      <c r="A205" s="220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309"/>
      <c r="Y205" s="309"/>
      <c r="Z205" s="309"/>
      <c r="AA205" s="309"/>
      <c r="AB205" s="309"/>
      <c r="AC205" s="309"/>
      <c r="AD205" s="309"/>
      <c r="AE205" s="309"/>
      <c r="AF205" s="309"/>
      <c r="AG205" s="309"/>
      <c r="AH205" s="309"/>
      <c r="AI205" s="309"/>
      <c r="AJ205" s="309"/>
      <c r="AK205" s="309"/>
      <c r="AL205" s="309"/>
      <c r="AM205" s="309"/>
      <c r="AN205" s="309"/>
      <c r="AO205" s="309"/>
      <c r="AP205" s="309"/>
      <c r="AQ205" s="309"/>
      <c r="AR205" s="309"/>
      <c r="AS205" s="309"/>
      <c r="AT205" s="309"/>
      <c r="AU205" s="309"/>
      <c r="AV205" s="309"/>
      <c r="AW205" s="309"/>
      <c r="AX205" s="309"/>
      <c r="AY205" s="309"/>
      <c r="AZ205" s="309"/>
      <c r="BA205" s="310"/>
      <c r="BB205" s="310"/>
      <c r="BC205" s="310"/>
      <c r="BD205" s="310"/>
      <c r="BE205" s="310"/>
      <c r="BF205" s="310"/>
      <c r="BG205" s="310"/>
      <c r="BH205" s="310"/>
      <c r="BI205" s="310"/>
      <c r="BJ205" s="310"/>
      <c r="BK205" s="310"/>
      <c r="BL205" s="310"/>
      <c r="BM205" s="310"/>
      <c r="BN205" s="221"/>
      <c r="BO205" s="221"/>
      <c r="BP205" s="221"/>
      <c r="BQ205" s="221"/>
      <c r="BR205" s="221"/>
    </row>
    <row r="206" ht="15.75" customHeight="1">
      <c r="A206" s="220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309"/>
      <c r="Y206" s="309"/>
      <c r="Z206" s="309"/>
      <c r="AA206" s="309"/>
      <c r="AB206" s="309"/>
      <c r="AC206" s="309"/>
      <c r="AD206" s="309"/>
      <c r="AE206" s="309"/>
      <c r="AF206" s="309"/>
      <c r="AG206" s="309"/>
      <c r="AH206" s="309"/>
      <c r="AI206" s="309"/>
      <c r="AJ206" s="309"/>
      <c r="AK206" s="309"/>
      <c r="AL206" s="309"/>
      <c r="AM206" s="309"/>
      <c r="AN206" s="309"/>
      <c r="AO206" s="309"/>
      <c r="AP206" s="309"/>
      <c r="AQ206" s="309"/>
      <c r="AR206" s="309"/>
      <c r="AS206" s="309"/>
      <c r="AT206" s="309"/>
      <c r="AU206" s="309"/>
      <c r="AV206" s="309"/>
      <c r="AW206" s="309"/>
      <c r="AX206" s="309"/>
      <c r="AY206" s="309"/>
      <c r="AZ206" s="309"/>
      <c r="BA206" s="310"/>
      <c r="BB206" s="310"/>
      <c r="BC206" s="310"/>
      <c r="BD206" s="310"/>
      <c r="BE206" s="310"/>
      <c r="BF206" s="310"/>
      <c r="BG206" s="310"/>
      <c r="BH206" s="310"/>
      <c r="BI206" s="310"/>
      <c r="BJ206" s="310"/>
      <c r="BK206" s="310"/>
      <c r="BL206" s="310"/>
      <c r="BM206" s="310"/>
      <c r="BN206" s="221"/>
      <c r="BO206" s="221"/>
      <c r="BP206" s="221"/>
      <c r="BQ206" s="221"/>
      <c r="BR206" s="221"/>
    </row>
    <row r="207" ht="15.75" customHeight="1">
      <c r="A207" s="22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309"/>
      <c r="Y207" s="309"/>
      <c r="Z207" s="309"/>
      <c r="AA207" s="309"/>
      <c r="AB207" s="309"/>
      <c r="AC207" s="309"/>
      <c r="AD207" s="309"/>
      <c r="AE207" s="309"/>
      <c r="AF207" s="309"/>
      <c r="AG207" s="309"/>
      <c r="AH207" s="309"/>
      <c r="AI207" s="309"/>
      <c r="AJ207" s="309"/>
      <c r="AK207" s="309"/>
      <c r="AL207" s="309"/>
      <c r="AM207" s="309"/>
      <c r="AN207" s="309"/>
      <c r="AO207" s="309"/>
      <c r="AP207" s="309"/>
      <c r="AQ207" s="309"/>
      <c r="AR207" s="309"/>
      <c r="AS207" s="309"/>
      <c r="AT207" s="309"/>
      <c r="AU207" s="309"/>
      <c r="AV207" s="309"/>
      <c r="AW207" s="309"/>
      <c r="AX207" s="309"/>
      <c r="AY207" s="309"/>
      <c r="AZ207" s="309"/>
      <c r="BA207" s="310"/>
      <c r="BB207" s="310"/>
      <c r="BC207" s="310"/>
      <c r="BD207" s="310"/>
      <c r="BE207" s="310"/>
      <c r="BF207" s="310"/>
      <c r="BG207" s="310"/>
      <c r="BH207" s="310"/>
      <c r="BI207" s="310"/>
      <c r="BJ207" s="310"/>
      <c r="BK207" s="310"/>
      <c r="BL207" s="310"/>
      <c r="BM207" s="310"/>
      <c r="BN207" s="221"/>
      <c r="BO207" s="221"/>
      <c r="BP207" s="221"/>
      <c r="BQ207" s="221"/>
      <c r="BR207" s="221"/>
    </row>
    <row r="208" ht="15.75" customHeight="1">
      <c r="A208" s="220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309"/>
      <c r="Y208" s="309"/>
      <c r="Z208" s="309"/>
      <c r="AA208" s="309"/>
      <c r="AB208" s="309"/>
      <c r="AC208" s="309"/>
      <c r="AD208" s="309"/>
      <c r="AE208" s="309"/>
      <c r="AF208" s="309"/>
      <c r="AG208" s="309"/>
      <c r="AH208" s="309"/>
      <c r="AI208" s="309"/>
      <c r="AJ208" s="309"/>
      <c r="AK208" s="309"/>
      <c r="AL208" s="309"/>
      <c r="AM208" s="309"/>
      <c r="AN208" s="309"/>
      <c r="AO208" s="309"/>
      <c r="AP208" s="309"/>
      <c r="AQ208" s="309"/>
      <c r="AR208" s="309"/>
      <c r="AS208" s="309"/>
      <c r="AT208" s="309"/>
      <c r="AU208" s="309"/>
      <c r="AV208" s="309"/>
      <c r="AW208" s="309"/>
      <c r="AX208" s="309"/>
      <c r="AY208" s="309"/>
      <c r="AZ208" s="309"/>
      <c r="BA208" s="310"/>
      <c r="BB208" s="310"/>
      <c r="BC208" s="310"/>
      <c r="BD208" s="310"/>
      <c r="BE208" s="310"/>
      <c r="BF208" s="310"/>
      <c r="BG208" s="310"/>
      <c r="BH208" s="310"/>
      <c r="BI208" s="310"/>
      <c r="BJ208" s="310"/>
      <c r="BK208" s="310"/>
      <c r="BL208" s="310"/>
      <c r="BM208" s="310"/>
      <c r="BN208" s="221"/>
      <c r="BO208" s="221"/>
      <c r="BP208" s="221"/>
      <c r="BQ208" s="221"/>
      <c r="BR208" s="221"/>
    </row>
    <row r="209" ht="15.75" customHeight="1">
      <c r="A209" s="220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309"/>
      <c r="Y209" s="309"/>
      <c r="Z209" s="309"/>
      <c r="AA209" s="309"/>
      <c r="AB209" s="309"/>
      <c r="AC209" s="309"/>
      <c r="AD209" s="309"/>
      <c r="AE209" s="309"/>
      <c r="AF209" s="309"/>
      <c r="AG209" s="309"/>
      <c r="AH209" s="309"/>
      <c r="AI209" s="309"/>
      <c r="AJ209" s="309"/>
      <c r="AK209" s="309"/>
      <c r="AL209" s="309"/>
      <c r="AM209" s="309"/>
      <c r="AN209" s="309"/>
      <c r="AO209" s="309"/>
      <c r="AP209" s="309"/>
      <c r="AQ209" s="309"/>
      <c r="AR209" s="309"/>
      <c r="AS209" s="309"/>
      <c r="AT209" s="309"/>
      <c r="AU209" s="309"/>
      <c r="AV209" s="309"/>
      <c r="AW209" s="309"/>
      <c r="AX209" s="309"/>
      <c r="AY209" s="309"/>
      <c r="AZ209" s="309"/>
      <c r="BA209" s="310"/>
      <c r="BB209" s="310"/>
      <c r="BC209" s="310"/>
      <c r="BD209" s="310"/>
      <c r="BE209" s="310"/>
      <c r="BF209" s="310"/>
      <c r="BG209" s="310"/>
      <c r="BH209" s="310"/>
      <c r="BI209" s="310"/>
      <c r="BJ209" s="310"/>
      <c r="BK209" s="310"/>
      <c r="BL209" s="310"/>
      <c r="BM209" s="310"/>
      <c r="BN209" s="221"/>
      <c r="BO209" s="221"/>
      <c r="BP209" s="221"/>
      <c r="BQ209" s="221"/>
      <c r="BR209" s="221"/>
    </row>
    <row r="210" ht="15.75" customHeight="1">
      <c r="A210" s="220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309"/>
      <c r="Y210" s="309"/>
      <c r="Z210" s="309"/>
      <c r="AA210" s="309"/>
      <c r="AB210" s="309"/>
      <c r="AC210" s="309"/>
      <c r="AD210" s="309"/>
      <c r="AE210" s="309"/>
      <c r="AF210" s="309"/>
      <c r="AG210" s="309"/>
      <c r="AH210" s="309"/>
      <c r="AI210" s="309"/>
      <c r="AJ210" s="309"/>
      <c r="AK210" s="309"/>
      <c r="AL210" s="309"/>
      <c r="AM210" s="309"/>
      <c r="AN210" s="309"/>
      <c r="AO210" s="309"/>
      <c r="AP210" s="309"/>
      <c r="AQ210" s="309"/>
      <c r="AR210" s="309"/>
      <c r="AS210" s="309"/>
      <c r="AT210" s="309"/>
      <c r="AU210" s="309"/>
      <c r="AV210" s="309"/>
      <c r="AW210" s="309"/>
      <c r="AX210" s="309"/>
      <c r="AY210" s="309"/>
      <c r="AZ210" s="309"/>
      <c r="BA210" s="310"/>
      <c r="BB210" s="310"/>
      <c r="BC210" s="310"/>
      <c r="BD210" s="310"/>
      <c r="BE210" s="310"/>
      <c r="BF210" s="310"/>
      <c r="BG210" s="310"/>
      <c r="BH210" s="310"/>
      <c r="BI210" s="310"/>
      <c r="BJ210" s="310"/>
      <c r="BK210" s="310"/>
      <c r="BL210" s="310"/>
      <c r="BM210" s="310"/>
      <c r="BN210" s="221"/>
      <c r="BO210" s="221"/>
      <c r="BP210" s="221"/>
      <c r="BQ210" s="221"/>
      <c r="BR210" s="221"/>
    </row>
    <row r="211" ht="15.75" customHeight="1">
      <c r="A211" s="220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309"/>
      <c r="Y211" s="309"/>
      <c r="Z211" s="309"/>
      <c r="AA211" s="309"/>
      <c r="AB211" s="309"/>
      <c r="AC211" s="309"/>
      <c r="AD211" s="309"/>
      <c r="AE211" s="309"/>
      <c r="AF211" s="309"/>
      <c r="AG211" s="309"/>
      <c r="AH211" s="309"/>
      <c r="AI211" s="309"/>
      <c r="AJ211" s="309"/>
      <c r="AK211" s="309"/>
      <c r="AL211" s="309"/>
      <c r="AM211" s="309"/>
      <c r="AN211" s="309"/>
      <c r="AO211" s="309"/>
      <c r="AP211" s="309"/>
      <c r="AQ211" s="309"/>
      <c r="AR211" s="309"/>
      <c r="AS211" s="309"/>
      <c r="AT211" s="309"/>
      <c r="AU211" s="309"/>
      <c r="AV211" s="309"/>
      <c r="AW211" s="309"/>
      <c r="AX211" s="309"/>
      <c r="AY211" s="309"/>
      <c r="AZ211" s="309"/>
      <c r="BA211" s="310"/>
      <c r="BB211" s="310"/>
      <c r="BC211" s="310"/>
      <c r="BD211" s="310"/>
      <c r="BE211" s="310"/>
      <c r="BF211" s="310"/>
      <c r="BG211" s="310"/>
      <c r="BH211" s="310"/>
      <c r="BI211" s="310"/>
      <c r="BJ211" s="310"/>
      <c r="BK211" s="310"/>
      <c r="BL211" s="310"/>
      <c r="BM211" s="310"/>
      <c r="BN211" s="221"/>
      <c r="BO211" s="221"/>
      <c r="BP211" s="221"/>
      <c r="BQ211" s="221"/>
      <c r="BR211" s="221"/>
    </row>
    <row r="212" ht="15.75" customHeight="1">
      <c r="A212" s="220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309"/>
      <c r="Y212" s="309"/>
      <c r="Z212" s="309"/>
      <c r="AA212" s="309"/>
      <c r="AB212" s="309"/>
      <c r="AC212" s="309"/>
      <c r="AD212" s="309"/>
      <c r="AE212" s="309"/>
      <c r="AF212" s="309"/>
      <c r="AG212" s="309"/>
      <c r="AH212" s="309"/>
      <c r="AI212" s="309"/>
      <c r="AJ212" s="309"/>
      <c r="AK212" s="309"/>
      <c r="AL212" s="309"/>
      <c r="AM212" s="309"/>
      <c r="AN212" s="309"/>
      <c r="AO212" s="309"/>
      <c r="AP212" s="309"/>
      <c r="AQ212" s="309"/>
      <c r="AR212" s="309"/>
      <c r="AS212" s="309"/>
      <c r="AT212" s="309"/>
      <c r="AU212" s="309"/>
      <c r="AV212" s="309"/>
      <c r="AW212" s="309"/>
      <c r="AX212" s="309"/>
      <c r="AY212" s="309"/>
      <c r="AZ212" s="309"/>
      <c r="BA212" s="310"/>
      <c r="BB212" s="310"/>
      <c r="BC212" s="310"/>
      <c r="BD212" s="310"/>
      <c r="BE212" s="310"/>
      <c r="BF212" s="310"/>
      <c r="BG212" s="310"/>
      <c r="BH212" s="310"/>
      <c r="BI212" s="310"/>
      <c r="BJ212" s="310"/>
      <c r="BK212" s="310"/>
      <c r="BL212" s="310"/>
      <c r="BM212" s="310"/>
      <c r="BN212" s="221"/>
      <c r="BO212" s="221"/>
      <c r="BP212" s="221"/>
      <c r="BQ212" s="221"/>
      <c r="BR212" s="221"/>
    </row>
    <row r="213" ht="15.75" customHeight="1">
      <c r="A213" s="220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309"/>
      <c r="Y213" s="309"/>
      <c r="Z213" s="309"/>
      <c r="AA213" s="309"/>
      <c r="AB213" s="309"/>
      <c r="AC213" s="309"/>
      <c r="AD213" s="309"/>
      <c r="AE213" s="309"/>
      <c r="AF213" s="309"/>
      <c r="AG213" s="309"/>
      <c r="AH213" s="309"/>
      <c r="AI213" s="309"/>
      <c r="AJ213" s="309"/>
      <c r="AK213" s="309"/>
      <c r="AL213" s="309"/>
      <c r="AM213" s="309"/>
      <c r="AN213" s="309"/>
      <c r="AO213" s="309"/>
      <c r="AP213" s="309"/>
      <c r="AQ213" s="309"/>
      <c r="AR213" s="309"/>
      <c r="AS213" s="309"/>
      <c r="AT213" s="309"/>
      <c r="AU213" s="309"/>
      <c r="AV213" s="309"/>
      <c r="AW213" s="309"/>
      <c r="AX213" s="309"/>
      <c r="AY213" s="309"/>
      <c r="AZ213" s="309"/>
      <c r="BA213" s="310"/>
      <c r="BB213" s="310"/>
      <c r="BC213" s="310"/>
      <c r="BD213" s="310"/>
      <c r="BE213" s="310"/>
      <c r="BF213" s="310"/>
      <c r="BG213" s="310"/>
      <c r="BH213" s="310"/>
      <c r="BI213" s="310"/>
      <c r="BJ213" s="310"/>
      <c r="BK213" s="310"/>
      <c r="BL213" s="310"/>
      <c r="BM213" s="310"/>
      <c r="BN213" s="221"/>
      <c r="BO213" s="221"/>
      <c r="BP213" s="221"/>
      <c r="BQ213" s="221"/>
      <c r="BR213" s="221"/>
    </row>
    <row r="214" ht="15.75" customHeight="1">
      <c r="A214" s="220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309"/>
      <c r="Y214" s="309"/>
      <c r="Z214" s="309"/>
      <c r="AA214" s="309"/>
      <c r="AB214" s="309"/>
      <c r="AC214" s="309"/>
      <c r="AD214" s="309"/>
      <c r="AE214" s="309"/>
      <c r="AF214" s="309"/>
      <c r="AG214" s="309"/>
      <c r="AH214" s="309"/>
      <c r="AI214" s="309"/>
      <c r="AJ214" s="309"/>
      <c r="AK214" s="309"/>
      <c r="AL214" s="309"/>
      <c r="AM214" s="309"/>
      <c r="AN214" s="309"/>
      <c r="AO214" s="309"/>
      <c r="AP214" s="309"/>
      <c r="AQ214" s="309"/>
      <c r="AR214" s="309"/>
      <c r="AS214" s="309"/>
      <c r="AT214" s="309"/>
      <c r="AU214" s="309"/>
      <c r="AV214" s="309"/>
      <c r="AW214" s="309"/>
      <c r="AX214" s="309"/>
      <c r="AY214" s="309"/>
      <c r="AZ214" s="309"/>
      <c r="BA214" s="310"/>
      <c r="BB214" s="310"/>
      <c r="BC214" s="310"/>
      <c r="BD214" s="310"/>
      <c r="BE214" s="310"/>
      <c r="BF214" s="310"/>
      <c r="BG214" s="310"/>
      <c r="BH214" s="310"/>
      <c r="BI214" s="310"/>
      <c r="BJ214" s="310"/>
      <c r="BK214" s="310"/>
      <c r="BL214" s="310"/>
      <c r="BM214" s="310"/>
      <c r="BN214" s="221"/>
      <c r="BO214" s="221"/>
      <c r="BP214" s="221"/>
      <c r="BQ214" s="221"/>
      <c r="BR214" s="221"/>
    </row>
    <row r="215" ht="15.75" customHeight="1">
      <c r="A215" s="220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309"/>
      <c r="Y215" s="309"/>
      <c r="Z215" s="309"/>
      <c r="AA215" s="309"/>
      <c r="AB215" s="309"/>
      <c r="AC215" s="309"/>
      <c r="AD215" s="309"/>
      <c r="AE215" s="309"/>
      <c r="AF215" s="309"/>
      <c r="AG215" s="309"/>
      <c r="AH215" s="309"/>
      <c r="AI215" s="309"/>
      <c r="AJ215" s="309"/>
      <c r="AK215" s="309"/>
      <c r="AL215" s="309"/>
      <c r="AM215" s="309"/>
      <c r="AN215" s="309"/>
      <c r="AO215" s="309"/>
      <c r="AP215" s="309"/>
      <c r="AQ215" s="309"/>
      <c r="AR215" s="309"/>
      <c r="AS215" s="309"/>
      <c r="AT215" s="309"/>
      <c r="AU215" s="309"/>
      <c r="AV215" s="309"/>
      <c r="AW215" s="309"/>
      <c r="AX215" s="309"/>
      <c r="AY215" s="309"/>
      <c r="AZ215" s="309"/>
      <c r="BA215" s="310"/>
      <c r="BB215" s="310"/>
      <c r="BC215" s="310"/>
      <c r="BD215" s="310"/>
      <c r="BE215" s="310"/>
      <c r="BF215" s="310"/>
      <c r="BG215" s="310"/>
      <c r="BH215" s="310"/>
      <c r="BI215" s="310"/>
      <c r="BJ215" s="310"/>
      <c r="BK215" s="310"/>
      <c r="BL215" s="310"/>
      <c r="BM215" s="310"/>
      <c r="BN215" s="221"/>
      <c r="BO215" s="221"/>
      <c r="BP215" s="221"/>
      <c r="BQ215" s="221"/>
      <c r="BR215" s="221"/>
    </row>
    <row r="216" ht="15.75" customHeight="1">
      <c r="A216" s="220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309"/>
      <c r="Y216" s="309"/>
      <c r="Z216" s="309"/>
      <c r="AA216" s="309"/>
      <c r="AB216" s="309"/>
      <c r="AC216" s="309"/>
      <c r="AD216" s="309"/>
      <c r="AE216" s="309"/>
      <c r="AF216" s="309"/>
      <c r="AG216" s="309"/>
      <c r="AH216" s="309"/>
      <c r="AI216" s="309"/>
      <c r="AJ216" s="309"/>
      <c r="AK216" s="309"/>
      <c r="AL216" s="309"/>
      <c r="AM216" s="309"/>
      <c r="AN216" s="309"/>
      <c r="AO216" s="309"/>
      <c r="AP216" s="309"/>
      <c r="AQ216" s="309"/>
      <c r="AR216" s="309"/>
      <c r="AS216" s="309"/>
      <c r="AT216" s="309"/>
      <c r="AU216" s="309"/>
      <c r="AV216" s="309"/>
      <c r="AW216" s="309"/>
      <c r="AX216" s="309"/>
      <c r="AY216" s="309"/>
      <c r="AZ216" s="309"/>
      <c r="BA216" s="310"/>
      <c r="BB216" s="310"/>
      <c r="BC216" s="310"/>
      <c r="BD216" s="310"/>
      <c r="BE216" s="310"/>
      <c r="BF216" s="310"/>
      <c r="BG216" s="310"/>
      <c r="BH216" s="310"/>
      <c r="BI216" s="310"/>
      <c r="BJ216" s="310"/>
      <c r="BK216" s="310"/>
      <c r="BL216" s="310"/>
      <c r="BM216" s="310"/>
      <c r="BN216" s="221"/>
      <c r="BO216" s="221"/>
      <c r="BP216" s="221"/>
      <c r="BQ216" s="221"/>
      <c r="BR216" s="221"/>
    </row>
    <row r="217" ht="15.75" customHeight="1">
      <c r="A217" s="220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309"/>
      <c r="Y217" s="309"/>
      <c r="Z217" s="309"/>
      <c r="AA217" s="309"/>
      <c r="AB217" s="309"/>
      <c r="AC217" s="309"/>
      <c r="AD217" s="309"/>
      <c r="AE217" s="309"/>
      <c r="AF217" s="309"/>
      <c r="AG217" s="309"/>
      <c r="AH217" s="309"/>
      <c r="AI217" s="309"/>
      <c r="AJ217" s="309"/>
      <c r="AK217" s="309"/>
      <c r="AL217" s="309"/>
      <c r="AM217" s="309"/>
      <c r="AN217" s="309"/>
      <c r="AO217" s="309"/>
      <c r="AP217" s="309"/>
      <c r="AQ217" s="309"/>
      <c r="AR217" s="309"/>
      <c r="AS217" s="309"/>
      <c r="AT217" s="309"/>
      <c r="AU217" s="309"/>
      <c r="AV217" s="309"/>
      <c r="AW217" s="309"/>
      <c r="AX217" s="309"/>
      <c r="AY217" s="309"/>
      <c r="AZ217" s="309"/>
      <c r="BA217" s="310"/>
      <c r="BB217" s="310"/>
      <c r="BC217" s="310"/>
      <c r="BD217" s="310"/>
      <c r="BE217" s="310"/>
      <c r="BF217" s="310"/>
      <c r="BG217" s="310"/>
      <c r="BH217" s="310"/>
      <c r="BI217" s="310"/>
      <c r="BJ217" s="310"/>
      <c r="BK217" s="310"/>
      <c r="BL217" s="310"/>
      <c r="BM217" s="310"/>
      <c r="BN217" s="221"/>
      <c r="BO217" s="221"/>
      <c r="BP217" s="221"/>
      <c r="BQ217" s="221"/>
      <c r="BR217" s="221"/>
    </row>
    <row r="218" ht="15.75" customHeight="1">
      <c r="A218" s="220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309"/>
      <c r="Y218" s="309"/>
      <c r="Z218" s="309"/>
      <c r="AA218" s="309"/>
      <c r="AB218" s="309"/>
      <c r="AC218" s="309"/>
      <c r="AD218" s="309"/>
      <c r="AE218" s="309"/>
      <c r="AF218" s="309"/>
      <c r="AG218" s="309"/>
      <c r="AH218" s="309"/>
      <c r="AI218" s="309"/>
      <c r="AJ218" s="309"/>
      <c r="AK218" s="309"/>
      <c r="AL218" s="309"/>
      <c r="AM218" s="309"/>
      <c r="AN218" s="309"/>
      <c r="AO218" s="309"/>
      <c r="AP218" s="309"/>
      <c r="AQ218" s="309"/>
      <c r="AR218" s="309"/>
      <c r="AS218" s="309"/>
      <c r="AT218" s="309"/>
      <c r="AU218" s="309"/>
      <c r="AV218" s="309"/>
      <c r="AW218" s="309"/>
      <c r="AX218" s="309"/>
      <c r="AY218" s="309"/>
      <c r="AZ218" s="309"/>
      <c r="BA218" s="310"/>
      <c r="BB218" s="310"/>
      <c r="BC218" s="310"/>
      <c r="BD218" s="310"/>
      <c r="BE218" s="310"/>
      <c r="BF218" s="310"/>
      <c r="BG218" s="310"/>
      <c r="BH218" s="310"/>
      <c r="BI218" s="310"/>
      <c r="BJ218" s="310"/>
      <c r="BK218" s="310"/>
      <c r="BL218" s="310"/>
      <c r="BM218" s="310"/>
      <c r="BN218" s="221"/>
      <c r="BO218" s="221"/>
      <c r="BP218" s="221"/>
      <c r="BQ218" s="221"/>
      <c r="BR218" s="221"/>
    </row>
    <row r="219" ht="15.75" customHeight="1">
      <c r="A219" s="220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309"/>
      <c r="Y219" s="309"/>
      <c r="Z219" s="309"/>
      <c r="AA219" s="309"/>
      <c r="AB219" s="309"/>
      <c r="AC219" s="309"/>
      <c r="AD219" s="309"/>
      <c r="AE219" s="309"/>
      <c r="AF219" s="309"/>
      <c r="AG219" s="309"/>
      <c r="AH219" s="309"/>
      <c r="AI219" s="309"/>
      <c r="AJ219" s="309"/>
      <c r="AK219" s="309"/>
      <c r="AL219" s="309"/>
      <c r="AM219" s="309"/>
      <c r="AN219" s="309"/>
      <c r="AO219" s="309"/>
      <c r="AP219" s="309"/>
      <c r="AQ219" s="309"/>
      <c r="AR219" s="309"/>
      <c r="AS219" s="309"/>
      <c r="AT219" s="309"/>
      <c r="AU219" s="309"/>
      <c r="AV219" s="309"/>
      <c r="AW219" s="309"/>
      <c r="AX219" s="309"/>
      <c r="AY219" s="309"/>
      <c r="AZ219" s="309"/>
      <c r="BA219" s="310"/>
      <c r="BB219" s="310"/>
      <c r="BC219" s="310"/>
      <c r="BD219" s="310"/>
      <c r="BE219" s="310"/>
      <c r="BF219" s="310"/>
      <c r="BG219" s="310"/>
      <c r="BH219" s="310"/>
      <c r="BI219" s="310"/>
      <c r="BJ219" s="310"/>
      <c r="BK219" s="310"/>
      <c r="BL219" s="310"/>
      <c r="BM219" s="310"/>
      <c r="BN219" s="221"/>
      <c r="BO219" s="221"/>
      <c r="BP219" s="221"/>
      <c r="BQ219" s="221"/>
      <c r="BR219" s="221"/>
    </row>
    <row r="220" ht="15.75" customHeight="1">
      <c r="A220" s="22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309"/>
      <c r="Y220" s="309"/>
      <c r="Z220" s="309"/>
      <c r="AA220" s="309"/>
      <c r="AB220" s="309"/>
      <c r="AC220" s="309"/>
      <c r="AD220" s="309"/>
      <c r="AE220" s="309"/>
      <c r="AF220" s="309"/>
      <c r="AG220" s="309"/>
      <c r="AH220" s="309"/>
      <c r="AI220" s="309"/>
      <c r="AJ220" s="309"/>
      <c r="AK220" s="309"/>
      <c r="AL220" s="309"/>
      <c r="AM220" s="309"/>
      <c r="AN220" s="309"/>
      <c r="AO220" s="309"/>
      <c r="AP220" s="309"/>
      <c r="AQ220" s="309"/>
      <c r="AR220" s="309"/>
      <c r="AS220" s="309"/>
      <c r="AT220" s="309"/>
      <c r="AU220" s="309"/>
      <c r="AV220" s="309"/>
      <c r="AW220" s="309"/>
      <c r="AX220" s="309"/>
      <c r="AY220" s="309"/>
      <c r="AZ220" s="309"/>
      <c r="BA220" s="310"/>
      <c r="BB220" s="310"/>
      <c r="BC220" s="310"/>
      <c r="BD220" s="310"/>
      <c r="BE220" s="310"/>
      <c r="BF220" s="310"/>
      <c r="BG220" s="310"/>
      <c r="BH220" s="310"/>
      <c r="BI220" s="310"/>
      <c r="BJ220" s="310"/>
      <c r="BK220" s="310"/>
      <c r="BL220" s="310"/>
      <c r="BM220" s="310"/>
      <c r="BN220" s="221"/>
      <c r="BO220" s="221"/>
      <c r="BP220" s="221"/>
      <c r="BQ220" s="221"/>
      <c r="BR220" s="221"/>
    </row>
    <row r="221" ht="15.75" customHeight="1">
      <c r="A221" s="220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309"/>
      <c r="Y221" s="309"/>
      <c r="Z221" s="309"/>
      <c r="AA221" s="309"/>
      <c r="AB221" s="309"/>
      <c r="AC221" s="309"/>
      <c r="AD221" s="309"/>
      <c r="AE221" s="309"/>
      <c r="AF221" s="309"/>
      <c r="AG221" s="309"/>
      <c r="AH221" s="309"/>
      <c r="AI221" s="309"/>
      <c r="AJ221" s="309"/>
      <c r="AK221" s="309"/>
      <c r="AL221" s="309"/>
      <c r="AM221" s="309"/>
      <c r="AN221" s="309"/>
      <c r="AO221" s="309"/>
      <c r="AP221" s="309"/>
      <c r="AQ221" s="309"/>
      <c r="AR221" s="309"/>
      <c r="AS221" s="309"/>
      <c r="AT221" s="309"/>
      <c r="AU221" s="309"/>
      <c r="AV221" s="309"/>
      <c r="AW221" s="309"/>
      <c r="AX221" s="309"/>
      <c r="AY221" s="309"/>
      <c r="AZ221" s="309"/>
      <c r="BA221" s="310"/>
      <c r="BB221" s="310"/>
      <c r="BC221" s="310"/>
      <c r="BD221" s="310"/>
      <c r="BE221" s="310"/>
      <c r="BF221" s="310"/>
      <c r="BG221" s="310"/>
      <c r="BH221" s="310"/>
      <c r="BI221" s="310"/>
      <c r="BJ221" s="310"/>
      <c r="BK221" s="310"/>
      <c r="BL221" s="310"/>
      <c r="BM221" s="310"/>
      <c r="BN221" s="221"/>
      <c r="BO221" s="221"/>
      <c r="BP221" s="221"/>
      <c r="BQ221" s="221"/>
      <c r="BR221" s="221"/>
    </row>
    <row r="222" ht="15.75" customHeight="1">
      <c r="A222" s="220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309"/>
      <c r="Y222" s="309"/>
      <c r="Z222" s="309"/>
      <c r="AA222" s="309"/>
      <c r="AB222" s="309"/>
      <c r="AC222" s="309"/>
      <c r="AD222" s="309"/>
      <c r="AE222" s="309"/>
      <c r="AF222" s="309"/>
      <c r="AG222" s="309"/>
      <c r="AH222" s="309"/>
      <c r="AI222" s="309"/>
      <c r="AJ222" s="309"/>
      <c r="AK222" s="309"/>
      <c r="AL222" s="309"/>
      <c r="AM222" s="309"/>
      <c r="AN222" s="309"/>
      <c r="AO222" s="309"/>
      <c r="AP222" s="309"/>
      <c r="AQ222" s="309"/>
      <c r="AR222" s="309"/>
      <c r="AS222" s="309"/>
      <c r="AT222" s="309"/>
      <c r="AU222" s="309"/>
      <c r="AV222" s="309"/>
      <c r="AW222" s="309"/>
      <c r="AX222" s="309"/>
      <c r="AY222" s="309"/>
      <c r="AZ222" s="309"/>
      <c r="BA222" s="310"/>
      <c r="BB222" s="310"/>
      <c r="BC222" s="310"/>
      <c r="BD222" s="310"/>
      <c r="BE222" s="310"/>
      <c r="BF222" s="310"/>
      <c r="BG222" s="310"/>
      <c r="BH222" s="310"/>
      <c r="BI222" s="310"/>
      <c r="BJ222" s="310"/>
      <c r="BK222" s="310"/>
      <c r="BL222" s="310"/>
      <c r="BM222" s="310"/>
      <c r="BN222" s="221"/>
      <c r="BO222" s="221"/>
      <c r="BP222" s="221"/>
      <c r="BQ222" s="221"/>
      <c r="BR222" s="221"/>
    </row>
    <row r="223" ht="15.75" customHeight="1">
      <c r="A223" s="220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309"/>
      <c r="Y223" s="309"/>
      <c r="Z223" s="309"/>
      <c r="AA223" s="309"/>
      <c r="AB223" s="309"/>
      <c r="AC223" s="309"/>
      <c r="AD223" s="309"/>
      <c r="AE223" s="309"/>
      <c r="AF223" s="309"/>
      <c r="AG223" s="309"/>
      <c r="AH223" s="309"/>
      <c r="AI223" s="309"/>
      <c r="AJ223" s="309"/>
      <c r="AK223" s="309"/>
      <c r="AL223" s="309"/>
      <c r="AM223" s="309"/>
      <c r="AN223" s="309"/>
      <c r="AO223" s="309"/>
      <c r="AP223" s="309"/>
      <c r="AQ223" s="309"/>
      <c r="AR223" s="309"/>
      <c r="AS223" s="309"/>
      <c r="AT223" s="309"/>
      <c r="AU223" s="309"/>
      <c r="AV223" s="309"/>
      <c r="AW223" s="309"/>
      <c r="AX223" s="309"/>
      <c r="AY223" s="309"/>
      <c r="AZ223" s="309"/>
      <c r="BA223" s="310"/>
      <c r="BB223" s="310"/>
      <c r="BC223" s="310"/>
      <c r="BD223" s="310"/>
      <c r="BE223" s="310"/>
      <c r="BF223" s="310"/>
      <c r="BG223" s="310"/>
      <c r="BH223" s="310"/>
      <c r="BI223" s="310"/>
      <c r="BJ223" s="310"/>
      <c r="BK223" s="310"/>
      <c r="BL223" s="310"/>
      <c r="BM223" s="310"/>
      <c r="BN223" s="221"/>
      <c r="BO223" s="221"/>
      <c r="BP223" s="221"/>
      <c r="BQ223" s="221"/>
      <c r="BR223" s="221"/>
    </row>
    <row r="224" ht="15.75" customHeight="1">
      <c r="A224" s="220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309"/>
      <c r="Y224" s="309"/>
      <c r="Z224" s="309"/>
      <c r="AA224" s="309"/>
      <c r="AB224" s="309"/>
      <c r="AC224" s="309"/>
      <c r="AD224" s="309"/>
      <c r="AE224" s="309"/>
      <c r="AF224" s="309"/>
      <c r="AG224" s="309"/>
      <c r="AH224" s="309"/>
      <c r="AI224" s="309"/>
      <c r="AJ224" s="309"/>
      <c r="AK224" s="309"/>
      <c r="AL224" s="309"/>
      <c r="AM224" s="309"/>
      <c r="AN224" s="309"/>
      <c r="AO224" s="309"/>
      <c r="AP224" s="309"/>
      <c r="AQ224" s="309"/>
      <c r="AR224" s="309"/>
      <c r="AS224" s="309"/>
      <c r="AT224" s="309"/>
      <c r="AU224" s="309"/>
      <c r="AV224" s="309"/>
      <c r="AW224" s="309"/>
      <c r="AX224" s="309"/>
      <c r="AY224" s="309"/>
      <c r="AZ224" s="309"/>
      <c r="BA224" s="310"/>
      <c r="BB224" s="310"/>
      <c r="BC224" s="310"/>
      <c r="BD224" s="310"/>
      <c r="BE224" s="310"/>
      <c r="BF224" s="310"/>
      <c r="BG224" s="310"/>
      <c r="BH224" s="310"/>
      <c r="BI224" s="310"/>
      <c r="BJ224" s="310"/>
      <c r="BK224" s="310"/>
      <c r="BL224" s="310"/>
      <c r="BM224" s="310"/>
      <c r="BN224" s="221"/>
      <c r="BO224" s="221"/>
      <c r="BP224" s="221"/>
      <c r="BQ224" s="221"/>
      <c r="BR224" s="221"/>
    </row>
    <row r="225" ht="15.75" customHeight="1">
      <c r="A225" s="220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309"/>
      <c r="Y225" s="309"/>
      <c r="Z225" s="309"/>
      <c r="AA225" s="309"/>
      <c r="AB225" s="309"/>
      <c r="AC225" s="309"/>
      <c r="AD225" s="309"/>
      <c r="AE225" s="309"/>
      <c r="AF225" s="309"/>
      <c r="AG225" s="309"/>
      <c r="AH225" s="309"/>
      <c r="AI225" s="309"/>
      <c r="AJ225" s="309"/>
      <c r="AK225" s="309"/>
      <c r="AL225" s="309"/>
      <c r="AM225" s="309"/>
      <c r="AN225" s="309"/>
      <c r="AO225" s="309"/>
      <c r="AP225" s="309"/>
      <c r="AQ225" s="309"/>
      <c r="AR225" s="309"/>
      <c r="AS225" s="309"/>
      <c r="AT225" s="309"/>
      <c r="AU225" s="309"/>
      <c r="AV225" s="309"/>
      <c r="AW225" s="309"/>
      <c r="AX225" s="309"/>
      <c r="AY225" s="309"/>
      <c r="AZ225" s="309"/>
      <c r="BA225" s="310"/>
      <c r="BB225" s="310"/>
      <c r="BC225" s="310"/>
      <c r="BD225" s="310"/>
      <c r="BE225" s="310"/>
      <c r="BF225" s="310"/>
      <c r="BG225" s="310"/>
      <c r="BH225" s="310"/>
      <c r="BI225" s="310"/>
      <c r="BJ225" s="310"/>
      <c r="BK225" s="310"/>
      <c r="BL225" s="310"/>
      <c r="BM225" s="310"/>
      <c r="BN225" s="221"/>
      <c r="BO225" s="221"/>
      <c r="BP225" s="221"/>
      <c r="BQ225" s="221"/>
      <c r="BR225" s="221"/>
    </row>
    <row r="226" ht="15.75" customHeight="1">
      <c r="A226" s="220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309"/>
      <c r="Y226" s="309"/>
      <c r="Z226" s="309"/>
      <c r="AA226" s="309"/>
      <c r="AB226" s="309"/>
      <c r="AC226" s="309"/>
      <c r="AD226" s="309"/>
      <c r="AE226" s="309"/>
      <c r="AF226" s="309"/>
      <c r="AG226" s="309"/>
      <c r="AH226" s="309"/>
      <c r="AI226" s="309"/>
      <c r="AJ226" s="309"/>
      <c r="AK226" s="309"/>
      <c r="AL226" s="309"/>
      <c r="AM226" s="309"/>
      <c r="AN226" s="309"/>
      <c r="AO226" s="309"/>
      <c r="AP226" s="309"/>
      <c r="AQ226" s="309"/>
      <c r="AR226" s="309"/>
      <c r="AS226" s="309"/>
      <c r="AT226" s="309"/>
      <c r="AU226" s="309"/>
      <c r="AV226" s="309"/>
      <c r="AW226" s="309"/>
      <c r="AX226" s="309"/>
      <c r="AY226" s="309"/>
      <c r="AZ226" s="309"/>
      <c r="BA226" s="310"/>
      <c r="BB226" s="310"/>
      <c r="BC226" s="310"/>
      <c r="BD226" s="310"/>
      <c r="BE226" s="310"/>
      <c r="BF226" s="310"/>
      <c r="BG226" s="310"/>
      <c r="BH226" s="310"/>
      <c r="BI226" s="310"/>
      <c r="BJ226" s="310"/>
      <c r="BK226" s="310"/>
      <c r="BL226" s="310"/>
      <c r="BM226" s="310"/>
      <c r="BN226" s="221"/>
      <c r="BO226" s="221"/>
      <c r="BP226" s="221"/>
      <c r="BQ226" s="221"/>
      <c r="BR226" s="221"/>
    </row>
    <row r="227" ht="15.75" customHeight="1">
      <c r="A227" s="220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309"/>
      <c r="Y227" s="309"/>
      <c r="Z227" s="309"/>
      <c r="AA227" s="309"/>
      <c r="AB227" s="309"/>
      <c r="AC227" s="309"/>
      <c r="AD227" s="309"/>
      <c r="AE227" s="309"/>
      <c r="AF227" s="309"/>
      <c r="AG227" s="309"/>
      <c r="AH227" s="309"/>
      <c r="AI227" s="309"/>
      <c r="AJ227" s="309"/>
      <c r="AK227" s="309"/>
      <c r="AL227" s="309"/>
      <c r="AM227" s="309"/>
      <c r="AN227" s="309"/>
      <c r="AO227" s="309"/>
      <c r="AP227" s="309"/>
      <c r="AQ227" s="309"/>
      <c r="AR227" s="309"/>
      <c r="AS227" s="309"/>
      <c r="AT227" s="309"/>
      <c r="AU227" s="309"/>
      <c r="AV227" s="309"/>
      <c r="AW227" s="309"/>
      <c r="AX227" s="309"/>
      <c r="AY227" s="309"/>
      <c r="AZ227" s="309"/>
      <c r="BA227" s="310"/>
      <c r="BB227" s="310"/>
      <c r="BC227" s="310"/>
      <c r="BD227" s="310"/>
      <c r="BE227" s="310"/>
      <c r="BF227" s="310"/>
      <c r="BG227" s="310"/>
      <c r="BH227" s="310"/>
      <c r="BI227" s="310"/>
      <c r="BJ227" s="310"/>
      <c r="BK227" s="310"/>
      <c r="BL227" s="310"/>
      <c r="BM227" s="310"/>
      <c r="BN227" s="221"/>
      <c r="BO227" s="221"/>
      <c r="BP227" s="221"/>
      <c r="BQ227" s="221"/>
      <c r="BR227" s="221"/>
    </row>
    <row r="228" ht="15.75" customHeight="1">
      <c r="A228" s="220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309"/>
      <c r="Y228" s="309"/>
      <c r="Z228" s="309"/>
      <c r="AA228" s="309"/>
      <c r="AB228" s="309"/>
      <c r="AC228" s="309"/>
      <c r="AD228" s="309"/>
      <c r="AE228" s="309"/>
      <c r="AF228" s="309"/>
      <c r="AG228" s="309"/>
      <c r="AH228" s="309"/>
      <c r="AI228" s="309"/>
      <c r="AJ228" s="309"/>
      <c r="AK228" s="309"/>
      <c r="AL228" s="309"/>
      <c r="AM228" s="309"/>
      <c r="AN228" s="309"/>
      <c r="AO228" s="309"/>
      <c r="AP228" s="309"/>
      <c r="AQ228" s="309"/>
      <c r="AR228" s="309"/>
      <c r="AS228" s="309"/>
      <c r="AT228" s="309"/>
      <c r="AU228" s="309"/>
      <c r="AV228" s="309"/>
      <c r="AW228" s="309"/>
      <c r="AX228" s="309"/>
      <c r="AY228" s="309"/>
      <c r="AZ228" s="309"/>
      <c r="BA228" s="310"/>
      <c r="BB228" s="310"/>
      <c r="BC228" s="310"/>
      <c r="BD228" s="310"/>
      <c r="BE228" s="310"/>
      <c r="BF228" s="310"/>
      <c r="BG228" s="310"/>
      <c r="BH228" s="310"/>
      <c r="BI228" s="310"/>
      <c r="BJ228" s="310"/>
      <c r="BK228" s="310"/>
      <c r="BL228" s="310"/>
      <c r="BM228" s="310"/>
      <c r="BN228" s="221"/>
      <c r="BO228" s="221"/>
      <c r="BP228" s="221"/>
      <c r="BQ228" s="221"/>
      <c r="BR228" s="221"/>
    </row>
    <row r="229" ht="15.75" customHeight="1">
      <c r="A229" s="220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309"/>
      <c r="Y229" s="309"/>
      <c r="Z229" s="309"/>
      <c r="AA229" s="309"/>
      <c r="AB229" s="309"/>
      <c r="AC229" s="309"/>
      <c r="AD229" s="309"/>
      <c r="AE229" s="309"/>
      <c r="AF229" s="309"/>
      <c r="AG229" s="309"/>
      <c r="AH229" s="309"/>
      <c r="AI229" s="309"/>
      <c r="AJ229" s="309"/>
      <c r="AK229" s="309"/>
      <c r="AL229" s="309"/>
      <c r="AM229" s="309"/>
      <c r="AN229" s="309"/>
      <c r="AO229" s="309"/>
      <c r="AP229" s="309"/>
      <c r="AQ229" s="309"/>
      <c r="AR229" s="309"/>
      <c r="AS229" s="309"/>
      <c r="AT229" s="309"/>
      <c r="AU229" s="309"/>
      <c r="AV229" s="309"/>
      <c r="AW229" s="309"/>
      <c r="AX229" s="309"/>
      <c r="AY229" s="309"/>
      <c r="AZ229" s="309"/>
      <c r="BA229" s="310"/>
      <c r="BB229" s="310"/>
      <c r="BC229" s="310"/>
      <c r="BD229" s="310"/>
      <c r="BE229" s="310"/>
      <c r="BF229" s="310"/>
      <c r="BG229" s="310"/>
      <c r="BH229" s="310"/>
      <c r="BI229" s="310"/>
      <c r="BJ229" s="310"/>
      <c r="BK229" s="310"/>
      <c r="BL229" s="310"/>
      <c r="BM229" s="310"/>
      <c r="BN229" s="221"/>
      <c r="BO229" s="221"/>
      <c r="BP229" s="221"/>
      <c r="BQ229" s="221"/>
      <c r="BR229" s="221"/>
    </row>
    <row r="230" ht="15.75" customHeight="1">
      <c r="A230" s="220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309"/>
      <c r="Y230" s="309"/>
      <c r="Z230" s="309"/>
      <c r="AA230" s="309"/>
      <c r="AB230" s="309"/>
      <c r="AC230" s="309"/>
      <c r="AD230" s="309"/>
      <c r="AE230" s="309"/>
      <c r="AF230" s="309"/>
      <c r="AG230" s="309"/>
      <c r="AH230" s="309"/>
      <c r="AI230" s="309"/>
      <c r="AJ230" s="309"/>
      <c r="AK230" s="309"/>
      <c r="AL230" s="309"/>
      <c r="AM230" s="309"/>
      <c r="AN230" s="309"/>
      <c r="AO230" s="309"/>
      <c r="AP230" s="309"/>
      <c r="AQ230" s="309"/>
      <c r="AR230" s="309"/>
      <c r="AS230" s="309"/>
      <c r="AT230" s="309"/>
      <c r="AU230" s="309"/>
      <c r="AV230" s="309"/>
      <c r="AW230" s="309"/>
      <c r="AX230" s="309"/>
      <c r="AY230" s="309"/>
      <c r="AZ230" s="309"/>
      <c r="BA230" s="310"/>
      <c r="BB230" s="310"/>
      <c r="BC230" s="310"/>
      <c r="BD230" s="310"/>
      <c r="BE230" s="310"/>
      <c r="BF230" s="310"/>
      <c r="BG230" s="310"/>
      <c r="BH230" s="310"/>
      <c r="BI230" s="310"/>
      <c r="BJ230" s="310"/>
      <c r="BK230" s="310"/>
      <c r="BL230" s="310"/>
      <c r="BM230" s="310"/>
      <c r="BN230" s="221"/>
      <c r="BO230" s="221"/>
      <c r="BP230" s="221"/>
      <c r="BQ230" s="221"/>
      <c r="BR230" s="221"/>
    </row>
    <row r="231" ht="15.75" customHeight="1">
      <c r="A231" s="220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309"/>
      <c r="Y231" s="309"/>
      <c r="Z231" s="309"/>
      <c r="AA231" s="309"/>
      <c r="AB231" s="309"/>
      <c r="AC231" s="309"/>
      <c r="AD231" s="309"/>
      <c r="AE231" s="309"/>
      <c r="AF231" s="309"/>
      <c r="AG231" s="309"/>
      <c r="AH231" s="309"/>
      <c r="AI231" s="309"/>
      <c r="AJ231" s="309"/>
      <c r="AK231" s="309"/>
      <c r="AL231" s="309"/>
      <c r="AM231" s="309"/>
      <c r="AN231" s="309"/>
      <c r="AO231" s="309"/>
      <c r="AP231" s="309"/>
      <c r="AQ231" s="309"/>
      <c r="AR231" s="309"/>
      <c r="AS231" s="309"/>
      <c r="AT231" s="309"/>
      <c r="AU231" s="309"/>
      <c r="AV231" s="309"/>
      <c r="AW231" s="309"/>
      <c r="AX231" s="309"/>
      <c r="AY231" s="309"/>
      <c r="AZ231" s="309"/>
      <c r="BA231" s="310"/>
      <c r="BB231" s="310"/>
      <c r="BC231" s="310"/>
      <c r="BD231" s="310"/>
      <c r="BE231" s="310"/>
      <c r="BF231" s="310"/>
      <c r="BG231" s="310"/>
      <c r="BH231" s="310"/>
      <c r="BI231" s="310"/>
      <c r="BJ231" s="310"/>
      <c r="BK231" s="310"/>
      <c r="BL231" s="310"/>
      <c r="BM231" s="310"/>
      <c r="BN231" s="221"/>
      <c r="BO231" s="221"/>
      <c r="BP231" s="221"/>
      <c r="BQ231" s="221"/>
      <c r="BR231" s="221"/>
    </row>
    <row r="232" ht="15.75" customHeight="1">
      <c r="A232" s="220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309"/>
      <c r="Y232" s="309"/>
      <c r="Z232" s="309"/>
      <c r="AA232" s="309"/>
      <c r="AB232" s="309"/>
      <c r="AC232" s="309"/>
      <c r="AD232" s="309"/>
      <c r="AE232" s="309"/>
      <c r="AF232" s="309"/>
      <c r="AG232" s="309"/>
      <c r="AH232" s="309"/>
      <c r="AI232" s="309"/>
      <c r="AJ232" s="309"/>
      <c r="AK232" s="309"/>
      <c r="AL232" s="309"/>
      <c r="AM232" s="309"/>
      <c r="AN232" s="309"/>
      <c r="AO232" s="309"/>
      <c r="AP232" s="309"/>
      <c r="AQ232" s="309"/>
      <c r="AR232" s="309"/>
      <c r="AS232" s="309"/>
      <c r="AT232" s="309"/>
      <c r="AU232" s="309"/>
      <c r="AV232" s="309"/>
      <c r="AW232" s="309"/>
      <c r="AX232" s="309"/>
      <c r="AY232" s="309"/>
      <c r="AZ232" s="309"/>
      <c r="BA232" s="310"/>
      <c r="BB232" s="310"/>
      <c r="BC232" s="310"/>
      <c r="BD232" s="310"/>
      <c r="BE232" s="310"/>
      <c r="BF232" s="310"/>
      <c r="BG232" s="310"/>
      <c r="BH232" s="310"/>
      <c r="BI232" s="310"/>
      <c r="BJ232" s="310"/>
      <c r="BK232" s="310"/>
      <c r="BL232" s="310"/>
      <c r="BM232" s="310"/>
      <c r="BN232" s="221"/>
      <c r="BO232" s="221"/>
      <c r="BP232" s="221"/>
      <c r="BQ232" s="221"/>
      <c r="BR232" s="221"/>
    </row>
    <row r="233" ht="15.75" customHeight="1">
      <c r="A233" s="220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309"/>
      <c r="Y233" s="309"/>
      <c r="Z233" s="309"/>
      <c r="AA233" s="309"/>
      <c r="AB233" s="309"/>
      <c r="AC233" s="309"/>
      <c r="AD233" s="309"/>
      <c r="AE233" s="309"/>
      <c r="AF233" s="309"/>
      <c r="AG233" s="309"/>
      <c r="AH233" s="309"/>
      <c r="AI233" s="309"/>
      <c r="AJ233" s="309"/>
      <c r="AK233" s="309"/>
      <c r="AL233" s="309"/>
      <c r="AM233" s="309"/>
      <c r="AN233" s="309"/>
      <c r="AO233" s="309"/>
      <c r="AP233" s="309"/>
      <c r="AQ233" s="309"/>
      <c r="AR233" s="309"/>
      <c r="AS233" s="309"/>
      <c r="AT233" s="309"/>
      <c r="AU233" s="309"/>
      <c r="AV233" s="309"/>
      <c r="AW233" s="309"/>
      <c r="AX233" s="309"/>
      <c r="AY233" s="309"/>
      <c r="AZ233" s="309"/>
      <c r="BA233" s="310"/>
      <c r="BB233" s="310"/>
      <c r="BC233" s="310"/>
      <c r="BD233" s="310"/>
      <c r="BE233" s="310"/>
      <c r="BF233" s="310"/>
      <c r="BG233" s="310"/>
      <c r="BH233" s="310"/>
      <c r="BI233" s="310"/>
      <c r="BJ233" s="310"/>
      <c r="BK233" s="310"/>
      <c r="BL233" s="310"/>
      <c r="BM233" s="310"/>
      <c r="BN233" s="221"/>
      <c r="BO233" s="221"/>
      <c r="BP233" s="221"/>
      <c r="BQ233" s="221"/>
      <c r="BR233" s="221"/>
    </row>
    <row r="234" ht="15.75" customHeight="1">
      <c r="A234" s="220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309"/>
      <c r="Y234" s="309"/>
      <c r="Z234" s="309"/>
      <c r="AA234" s="309"/>
      <c r="AB234" s="309"/>
      <c r="AC234" s="309"/>
      <c r="AD234" s="309"/>
      <c r="AE234" s="309"/>
      <c r="AF234" s="309"/>
      <c r="AG234" s="309"/>
      <c r="AH234" s="309"/>
      <c r="AI234" s="309"/>
      <c r="AJ234" s="309"/>
      <c r="AK234" s="309"/>
      <c r="AL234" s="309"/>
      <c r="AM234" s="309"/>
      <c r="AN234" s="309"/>
      <c r="AO234" s="309"/>
      <c r="AP234" s="309"/>
      <c r="AQ234" s="309"/>
      <c r="AR234" s="309"/>
      <c r="AS234" s="309"/>
      <c r="AT234" s="309"/>
      <c r="AU234" s="309"/>
      <c r="AV234" s="309"/>
      <c r="AW234" s="309"/>
      <c r="AX234" s="309"/>
      <c r="AY234" s="309"/>
      <c r="AZ234" s="309"/>
      <c r="BA234" s="310"/>
      <c r="BB234" s="310"/>
      <c r="BC234" s="310"/>
      <c r="BD234" s="310"/>
      <c r="BE234" s="310"/>
      <c r="BF234" s="310"/>
      <c r="BG234" s="310"/>
      <c r="BH234" s="310"/>
      <c r="BI234" s="310"/>
      <c r="BJ234" s="310"/>
      <c r="BK234" s="310"/>
      <c r="BL234" s="310"/>
      <c r="BM234" s="310"/>
      <c r="BN234" s="221"/>
      <c r="BO234" s="221"/>
      <c r="BP234" s="221"/>
      <c r="BQ234" s="221"/>
      <c r="BR234" s="221"/>
    </row>
    <row r="235" ht="15.75" customHeight="1">
      <c r="A235" s="220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309"/>
      <c r="Y235" s="309"/>
      <c r="Z235" s="309"/>
      <c r="AA235" s="309"/>
      <c r="AB235" s="309"/>
      <c r="AC235" s="309"/>
      <c r="AD235" s="309"/>
      <c r="AE235" s="309"/>
      <c r="AF235" s="309"/>
      <c r="AG235" s="309"/>
      <c r="AH235" s="309"/>
      <c r="AI235" s="309"/>
      <c r="AJ235" s="309"/>
      <c r="AK235" s="309"/>
      <c r="AL235" s="309"/>
      <c r="AM235" s="309"/>
      <c r="AN235" s="309"/>
      <c r="AO235" s="309"/>
      <c r="AP235" s="309"/>
      <c r="AQ235" s="309"/>
      <c r="AR235" s="309"/>
      <c r="AS235" s="309"/>
      <c r="AT235" s="309"/>
      <c r="AU235" s="309"/>
      <c r="AV235" s="309"/>
      <c r="AW235" s="309"/>
      <c r="AX235" s="309"/>
      <c r="AY235" s="309"/>
      <c r="AZ235" s="309"/>
      <c r="BA235" s="310"/>
      <c r="BB235" s="310"/>
      <c r="BC235" s="310"/>
      <c r="BD235" s="310"/>
      <c r="BE235" s="310"/>
      <c r="BF235" s="310"/>
      <c r="BG235" s="310"/>
      <c r="BH235" s="310"/>
      <c r="BI235" s="310"/>
      <c r="BJ235" s="310"/>
      <c r="BK235" s="310"/>
      <c r="BL235" s="310"/>
      <c r="BM235" s="310"/>
      <c r="BN235" s="221"/>
      <c r="BO235" s="221"/>
      <c r="BP235" s="221"/>
      <c r="BQ235" s="221"/>
      <c r="BR235" s="221"/>
    </row>
    <row r="236" ht="15.75" customHeight="1">
      <c r="A236" s="220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309"/>
      <c r="Y236" s="309"/>
      <c r="Z236" s="309"/>
      <c r="AA236" s="309"/>
      <c r="AB236" s="309"/>
      <c r="AC236" s="309"/>
      <c r="AD236" s="309"/>
      <c r="AE236" s="309"/>
      <c r="AF236" s="309"/>
      <c r="AG236" s="309"/>
      <c r="AH236" s="309"/>
      <c r="AI236" s="309"/>
      <c r="AJ236" s="309"/>
      <c r="AK236" s="309"/>
      <c r="AL236" s="309"/>
      <c r="AM236" s="309"/>
      <c r="AN236" s="309"/>
      <c r="AO236" s="309"/>
      <c r="AP236" s="309"/>
      <c r="AQ236" s="309"/>
      <c r="AR236" s="309"/>
      <c r="AS236" s="309"/>
      <c r="AT236" s="309"/>
      <c r="AU236" s="309"/>
      <c r="AV236" s="309"/>
      <c r="AW236" s="309"/>
      <c r="AX236" s="309"/>
      <c r="AY236" s="309"/>
      <c r="AZ236" s="309"/>
      <c r="BA236" s="310"/>
      <c r="BB236" s="310"/>
      <c r="BC236" s="310"/>
      <c r="BD236" s="310"/>
      <c r="BE236" s="310"/>
      <c r="BF236" s="310"/>
      <c r="BG236" s="310"/>
      <c r="BH236" s="310"/>
      <c r="BI236" s="310"/>
      <c r="BJ236" s="310"/>
      <c r="BK236" s="310"/>
      <c r="BL236" s="310"/>
      <c r="BM236" s="310"/>
      <c r="BN236" s="221"/>
      <c r="BO236" s="221"/>
      <c r="BP236" s="221"/>
      <c r="BQ236" s="221"/>
      <c r="BR236" s="221"/>
    </row>
    <row r="237" ht="15.75" customHeight="1">
      <c r="A237" s="220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309"/>
      <c r="Y237" s="309"/>
      <c r="Z237" s="309"/>
      <c r="AA237" s="309"/>
      <c r="AB237" s="309"/>
      <c r="AC237" s="309"/>
      <c r="AD237" s="309"/>
      <c r="AE237" s="309"/>
      <c r="AF237" s="309"/>
      <c r="AG237" s="309"/>
      <c r="AH237" s="309"/>
      <c r="AI237" s="309"/>
      <c r="AJ237" s="309"/>
      <c r="AK237" s="309"/>
      <c r="AL237" s="309"/>
      <c r="AM237" s="309"/>
      <c r="AN237" s="309"/>
      <c r="AO237" s="309"/>
      <c r="AP237" s="309"/>
      <c r="AQ237" s="309"/>
      <c r="AR237" s="309"/>
      <c r="AS237" s="309"/>
      <c r="AT237" s="309"/>
      <c r="AU237" s="309"/>
      <c r="AV237" s="309"/>
      <c r="AW237" s="309"/>
      <c r="AX237" s="309"/>
      <c r="AY237" s="309"/>
      <c r="AZ237" s="309"/>
      <c r="BA237" s="310"/>
      <c r="BB237" s="310"/>
      <c r="BC237" s="310"/>
      <c r="BD237" s="310"/>
      <c r="BE237" s="310"/>
      <c r="BF237" s="310"/>
      <c r="BG237" s="310"/>
      <c r="BH237" s="310"/>
      <c r="BI237" s="310"/>
      <c r="BJ237" s="310"/>
      <c r="BK237" s="310"/>
      <c r="BL237" s="310"/>
      <c r="BM237" s="310"/>
      <c r="BN237" s="221"/>
      <c r="BO237" s="221"/>
      <c r="BP237" s="221"/>
      <c r="BQ237" s="221"/>
      <c r="BR237" s="221"/>
    </row>
    <row r="238" ht="15.75" customHeight="1">
      <c r="A238" s="22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309"/>
      <c r="Y238" s="309"/>
      <c r="Z238" s="309"/>
      <c r="AA238" s="309"/>
      <c r="AB238" s="309"/>
      <c r="AC238" s="309"/>
      <c r="AD238" s="309"/>
      <c r="AE238" s="309"/>
      <c r="AF238" s="309"/>
      <c r="AG238" s="309"/>
      <c r="AH238" s="309"/>
      <c r="AI238" s="309"/>
      <c r="AJ238" s="309"/>
      <c r="AK238" s="309"/>
      <c r="AL238" s="309"/>
      <c r="AM238" s="309"/>
      <c r="AN238" s="309"/>
      <c r="AO238" s="309"/>
      <c r="AP238" s="309"/>
      <c r="AQ238" s="309"/>
      <c r="AR238" s="309"/>
      <c r="AS238" s="309"/>
      <c r="AT238" s="309"/>
      <c r="AU238" s="309"/>
      <c r="AV238" s="309"/>
      <c r="AW238" s="309"/>
      <c r="AX238" s="309"/>
      <c r="AY238" s="309"/>
      <c r="AZ238" s="309"/>
      <c r="BA238" s="310"/>
      <c r="BB238" s="310"/>
      <c r="BC238" s="310"/>
      <c r="BD238" s="310"/>
      <c r="BE238" s="310"/>
      <c r="BF238" s="310"/>
      <c r="BG238" s="310"/>
      <c r="BH238" s="310"/>
      <c r="BI238" s="310"/>
      <c r="BJ238" s="310"/>
      <c r="BK238" s="310"/>
      <c r="BL238" s="310"/>
      <c r="BM238" s="310"/>
      <c r="BN238" s="221"/>
      <c r="BO238" s="221"/>
      <c r="BP238" s="221"/>
      <c r="BQ238" s="221"/>
      <c r="BR238" s="221"/>
    </row>
    <row r="239" ht="15.75" customHeight="1">
      <c r="A239" s="220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309"/>
      <c r="Y239" s="309"/>
      <c r="Z239" s="309"/>
      <c r="AA239" s="309"/>
      <c r="AB239" s="309"/>
      <c r="AC239" s="309"/>
      <c r="AD239" s="309"/>
      <c r="AE239" s="309"/>
      <c r="AF239" s="309"/>
      <c r="AG239" s="309"/>
      <c r="AH239" s="309"/>
      <c r="AI239" s="309"/>
      <c r="AJ239" s="309"/>
      <c r="AK239" s="309"/>
      <c r="AL239" s="309"/>
      <c r="AM239" s="309"/>
      <c r="AN239" s="309"/>
      <c r="AO239" s="309"/>
      <c r="AP239" s="309"/>
      <c r="AQ239" s="309"/>
      <c r="AR239" s="309"/>
      <c r="AS239" s="309"/>
      <c r="AT239" s="309"/>
      <c r="AU239" s="309"/>
      <c r="AV239" s="309"/>
      <c r="AW239" s="309"/>
      <c r="AX239" s="309"/>
      <c r="AY239" s="309"/>
      <c r="AZ239" s="309"/>
      <c r="BA239" s="310"/>
      <c r="BB239" s="310"/>
      <c r="BC239" s="310"/>
      <c r="BD239" s="310"/>
      <c r="BE239" s="310"/>
      <c r="BF239" s="310"/>
      <c r="BG239" s="310"/>
      <c r="BH239" s="310"/>
      <c r="BI239" s="310"/>
      <c r="BJ239" s="310"/>
      <c r="BK239" s="310"/>
      <c r="BL239" s="310"/>
      <c r="BM239" s="310"/>
      <c r="BN239" s="221"/>
      <c r="BO239" s="221"/>
      <c r="BP239" s="221"/>
      <c r="BQ239" s="221"/>
      <c r="BR239" s="221"/>
    </row>
    <row r="240" ht="15.75" customHeight="1">
      <c r="A240" s="220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309"/>
      <c r="Y240" s="309"/>
      <c r="Z240" s="309"/>
      <c r="AA240" s="309"/>
      <c r="AB240" s="309"/>
      <c r="AC240" s="309"/>
      <c r="AD240" s="309"/>
      <c r="AE240" s="309"/>
      <c r="AF240" s="309"/>
      <c r="AG240" s="309"/>
      <c r="AH240" s="309"/>
      <c r="AI240" s="309"/>
      <c r="AJ240" s="309"/>
      <c r="AK240" s="309"/>
      <c r="AL240" s="309"/>
      <c r="AM240" s="309"/>
      <c r="AN240" s="309"/>
      <c r="AO240" s="309"/>
      <c r="AP240" s="309"/>
      <c r="AQ240" s="309"/>
      <c r="AR240" s="309"/>
      <c r="AS240" s="309"/>
      <c r="AT240" s="309"/>
      <c r="AU240" s="309"/>
      <c r="AV240" s="309"/>
      <c r="AW240" s="309"/>
      <c r="AX240" s="309"/>
      <c r="AY240" s="309"/>
      <c r="AZ240" s="309"/>
      <c r="BA240" s="310"/>
      <c r="BB240" s="310"/>
      <c r="BC240" s="310"/>
      <c r="BD240" s="310"/>
      <c r="BE240" s="310"/>
      <c r="BF240" s="310"/>
      <c r="BG240" s="310"/>
      <c r="BH240" s="310"/>
      <c r="BI240" s="310"/>
      <c r="BJ240" s="310"/>
      <c r="BK240" s="310"/>
      <c r="BL240" s="310"/>
      <c r="BM240" s="310"/>
      <c r="BN240" s="221"/>
      <c r="BO240" s="221"/>
      <c r="BP240" s="221"/>
      <c r="BQ240" s="221"/>
      <c r="BR240" s="221"/>
    </row>
    <row r="241" ht="15.75" customHeight="1">
      <c r="A241" s="220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309"/>
      <c r="Y241" s="309"/>
      <c r="Z241" s="309"/>
      <c r="AA241" s="309"/>
      <c r="AB241" s="309"/>
      <c r="AC241" s="309"/>
      <c r="AD241" s="309"/>
      <c r="AE241" s="309"/>
      <c r="AF241" s="309"/>
      <c r="AG241" s="309"/>
      <c r="AH241" s="309"/>
      <c r="AI241" s="309"/>
      <c r="AJ241" s="309"/>
      <c r="AK241" s="309"/>
      <c r="AL241" s="309"/>
      <c r="AM241" s="309"/>
      <c r="AN241" s="309"/>
      <c r="AO241" s="309"/>
      <c r="AP241" s="309"/>
      <c r="AQ241" s="309"/>
      <c r="AR241" s="309"/>
      <c r="AS241" s="309"/>
      <c r="AT241" s="309"/>
      <c r="AU241" s="309"/>
      <c r="AV241" s="309"/>
      <c r="AW241" s="309"/>
      <c r="AX241" s="309"/>
      <c r="AY241" s="309"/>
      <c r="AZ241" s="309"/>
      <c r="BA241" s="310"/>
      <c r="BB241" s="310"/>
      <c r="BC241" s="310"/>
      <c r="BD241" s="310"/>
      <c r="BE241" s="310"/>
      <c r="BF241" s="310"/>
      <c r="BG241" s="310"/>
      <c r="BH241" s="310"/>
      <c r="BI241" s="310"/>
      <c r="BJ241" s="310"/>
      <c r="BK241" s="310"/>
      <c r="BL241" s="310"/>
      <c r="BM241" s="310"/>
      <c r="BN241" s="221"/>
      <c r="BO241" s="221"/>
      <c r="BP241" s="221"/>
      <c r="BQ241" s="221"/>
      <c r="BR241" s="221"/>
    </row>
    <row r="242" ht="15.75" customHeight="1">
      <c r="A242" s="22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309"/>
      <c r="Y242" s="309"/>
      <c r="Z242" s="309"/>
      <c r="AA242" s="309"/>
      <c r="AB242" s="309"/>
      <c r="AC242" s="309"/>
      <c r="AD242" s="309"/>
      <c r="AE242" s="309"/>
      <c r="AF242" s="309"/>
      <c r="AG242" s="309"/>
      <c r="AH242" s="309"/>
      <c r="AI242" s="309"/>
      <c r="AJ242" s="309"/>
      <c r="AK242" s="309"/>
      <c r="AL242" s="309"/>
      <c r="AM242" s="309"/>
      <c r="AN242" s="309"/>
      <c r="AO242" s="309"/>
      <c r="AP242" s="309"/>
      <c r="AQ242" s="309"/>
      <c r="AR242" s="309"/>
      <c r="AS242" s="309"/>
      <c r="AT242" s="309"/>
      <c r="AU242" s="309"/>
      <c r="AV242" s="309"/>
      <c r="AW242" s="309"/>
      <c r="AX242" s="309"/>
      <c r="AY242" s="309"/>
      <c r="AZ242" s="309"/>
      <c r="BA242" s="310"/>
      <c r="BB242" s="310"/>
      <c r="BC242" s="310"/>
      <c r="BD242" s="310"/>
      <c r="BE242" s="310"/>
      <c r="BF242" s="310"/>
      <c r="BG242" s="310"/>
      <c r="BH242" s="310"/>
      <c r="BI242" s="310"/>
      <c r="BJ242" s="310"/>
      <c r="BK242" s="310"/>
      <c r="BL242" s="310"/>
      <c r="BM242" s="310"/>
      <c r="BN242" s="221"/>
      <c r="BO242" s="221"/>
      <c r="BP242" s="221"/>
      <c r="BQ242" s="221"/>
      <c r="BR242" s="221"/>
    </row>
    <row r="243" ht="15.75" customHeight="1">
      <c r="A243" s="220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309"/>
      <c r="Y243" s="309"/>
      <c r="Z243" s="309"/>
      <c r="AA243" s="309"/>
      <c r="AB243" s="309"/>
      <c r="AC243" s="309"/>
      <c r="AD243" s="309"/>
      <c r="AE243" s="309"/>
      <c r="AF243" s="309"/>
      <c r="AG243" s="309"/>
      <c r="AH243" s="309"/>
      <c r="AI243" s="309"/>
      <c r="AJ243" s="309"/>
      <c r="AK243" s="309"/>
      <c r="AL243" s="309"/>
      <c r="AM243" s="309"/>
      <c r="AN243" s="309"/>
      <c r="AO243" s="309"/>
      <c r="AP243" s="309"/>
      <c r="AQ243" s="309"/>
      <c r="AR243" s="309"/>
      <c r="AS243" s="309"/>
      <c r="AT243" s="309"/>
      <c r="AU243" s="309"/>
      <c r="AV243" s="309"/>
      <c r="AW243" s="309"/>
      <c r="AX243" s="309"/>
      <c r="AY243" s="309"/>
      <c r="AZ243" s="309"/>
      <c r="BA243" s="310"/>
      <c r="BB243" s="310"/>
      <c r="BC243" s="310"/>
      <c r="BD243" s="310"/>
      <c r="BE243" s="310"/>
      <c r="BF243" s="310"/>
      <c r="BG243" s="310"/>
      <c r="BH243" s="310"/>
      <c r="BI243" s="310"/>
      <c r="BJ243" s="310"/>
      <c r="BK243" s="310"/>
      <c r="BL243" s="310"/>
      <c r="BM243" s="310"/>
      <c r="BN243" s="221"/>
      <c r="BO243" s="221"/>
      <c r="BP243" s="221"/>
      <c r="BQ243" s="221"/>
      <c r="BR243" s="221"/>
    </row>
    <row r="244" ht="15.75" customHeight="1">
      <c r="A244" s="220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309"/>
      <c r="Y244" s="309"/>
      <c r="Z244" s="309"/>
      <c r="AA244" s="309"/>
      <c r="AB244" s="309"/>
      <c r="AC244" s="309"/>
      <c r="AD244" s="309"/>
      <c r="AE244" s="309"/>
      <c r="AF244" s="309"/>
      <c r="AG244" s="309"/>
      <c r="AH244" s="309"/>
      <c r="AI244" s="309"/>
      <c r="AJ244" s="309"/>
      <c r="AK244" s="309"/>
      <c r="AL244" s="309"/>
      <c r="AM244" s="309"/>
      <c r="AN244" s="309"/>
      <c r="AO244" s="309"/>
      <c r="AP244" s="309"/>
      <c r="AQ244" s="309"/>
      <c r="AR244" s="309"/>
      <c r="AS244" s="309"/>
      <c r="AT244" s="309"/>
      <c r="AU244" s="309"/>
      <c r="AV244" s="309"/>
      <c r="AW244" s="309"/>
      <c r="AX244" s="309"/>
      <c r="AY244" s="309"/>
      <c r="AZ244" s="309"/>
      <c r="BA244" s="310"/>
      <c r="BB244" s="310"/>
      <c r="BC244" s="310"/>
      <c r="BD244" s="310"/>
      <c r="BE244" s="310"/>
      <c r="BF244" s="310"/>
      <c r="BG244" s="310"/>
      <c r="BH244" s="310"/>
      <c r="BI244" s="310"/>
      <c r="BJ244" s="310"/>
      <c r="BK244" s="310"/>
      <c r="BL244" s="310"/>
      <c r="BM244" s="310"/>
      <c r="BN244" s="221"/>
      <c r="BO244" s="221"/>
      <c r="BP244" s="221"/>
      <c r="BQ244" s="221"/>
      <c r="BR244" s="221"/>
    </row>
    <row r="245" ht="15.75" customHeight="1">
      <c r="A245" s="220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309"/>
      <c r="Y245" s="309"/>
      <c r="Z245" s="309"/>
      <c r="AA245" s="309"/>
      <c r="AB245" s="309"/>
      <c r="AC245" s="309"/>
      <c r="AD245" s="309"/>
      <c r="AE245" s="309"/>
      <c r="AF245" s="309"/>
      <c r="AG245" s="309"/>
      <c r="AH245" s="309"/>
      <c r="AI245" s="309"/>
      <c r="AJ245" s="309"/>
      <c r="AK245" s="309"/>
      <c r="AL245" s="309"/>
      <c r="AM245" s="309"/>
      <c r="AN245" s="309"/>
      <c r="AO245" s="309"/>
      <c r="AP245" s="309"/>
      <c r="AQ245" s="309"/>
      <c r="AR245" s="309"/>
      <c r="AS245" s="309"/>
      <c r="AT245" s="309"/>
      <c r="AU245" s="309"/>
      <c r="AV245" s="309"/>
      <c r="AW245" s="309"/>
      <c r="AX245" s="309"/>
      <c r="AY245" s="309"/>
      <c r="AZ245" s="309"/>
      <c r="BA245" s="310"/>
      <c r="BB245" s="310"/>
      <c r="BC245" s="310"/>
      <c r="BD245" s="310"/>
      <c r="BE245" s="310"/>
      <c r="BF245" s="310"/>
      <c r="BG245" s="310"/>
      <c r="BH245" s="310"/>
      <c r="BI245" s="310"/>
      <c r="BJ245" s="310"/>
      <c r="BK245" s="310"/>
      <c r="BL245" s="310"/>
      <c r="BM245" s="310"/>
      <c r="BN245" s="221"/>
      <c r="BO245" s="221"/>
      <c r="BP245" s="221"/>
      <c r="BQ245" s="221"/>
      <c r="BR245" s="221"/>
    </row>
    <row r="246" ht="15.75" customHeight="1">
      <c r="A246" s="22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309"/>
      <c r="Y246" s="309"/>
      <c r="Z246" s="309"/>
      <c r="AA246" s="309"/>
      <c r="AB246" s="309"/>
      <c r="AC246" s="309"/>
      <c r="AD246" s="309"/>
      <c r="AE246" s="309"/>
      <c r="AF246" s="309"/>
      <c r="AG246" s="309"/>
      <c r="AH246" s="309"/>
      <c r="AI246" s="309"/>
      <c r="AJ246" s="309"/>
      <c r="AK246" s="309"/>
      <c r="AL246" s="309"/>
      <c r="AM246" s="309"/>
      <c r="AN246" s="309"/>
      <c r="AO246" s="309"/>
      <c r="AP246" s="309"/>
      <c r="AQ246" s="309"/>
      <c r="AR246" s="309"/>
      <c r="AS246" s="309"/>
      <c r="AT246" s="309"/>
      <c r="AU246" s="309"/>
      <c r="AV246" s="309"/>
      <c r="AW246" s="309"/>
      <c r="AX246" s="309"/>
      <c r="AY246" s="309"/>
      <c r="AZ246" s="309"/>
      <c r="BA246" s="310"/>
      <c r="BB246" s="310"/>
      <c r="BC246" s="310"/>
      <c r="BD246" s="310"/>
      <c r="BE246" s="310"/>
      <c r="BF246" s="310"/>
      <c r="BG246" s="310"/>
      <c r="BH246" s="310"/>
      <c r="BI246" s="310"/>
      <c r="BJ246" s="310"/>
      <c r="BK246" s="310"/>
      <c r="BL246" s="310"/>
      <c r="BM246" s="310"/>
      <c r="BN246" s="221"/>
      <c r="BO246" s="221"/>
      <c r="BP246" s="221"/>
      <c r="BQ246" s="221"/>
      <c r="BR246" s="221"/>
    </row>
    <row r="247" ht="15.75" customHeight="1">
      <c r="A247" s="220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309"/>
      <c r="Y247" s="309"/>
      <c r="Z247" s="309"/>
      <c r="AA247" s="309"/>
      <c r="AB247" s="309"/>
      <c r="AC247" s="309"/>
      <c r="AD247" s="309"/>
      <c r="AE247" s="309"/>
      <c r="AF247" s="309"/>
      <c r="AG247" s="309"/>
      <c r="AH247" s="309"/>
      <c r="AI247" s="309"/>
      <c r="AJ247" s="309"/>
      <c r="AK247" s="309"/>
      <c r="AL247" s="309"/>
      <c r="AM247" s="309"/>
      <c r="AN247" s="309"/>
      <c r="AO247" s="309"/>
      <c r="AP247" s="309"/>
      <c r="AQ247" s="309"/>
      <c r="AR247" s="309"/>
      <c r="AS247" s="309"/>
      <c r="AT247" s="309"/>
      <c r="AU247" s="309"/>
      <c r="AV247" s="309"/>
      <c r="AW247" s="309"/>
      <c r="AX247" s="309"/>
      <c r="AY247" s="309"/>
      <c r="AZ247" s="309"/>
      <c r="BA247" s="310"/>
      <c r="BB247" s="310"/>
      <c r="BC247" s="310"/>
      <c r="BD247" s="310"/>
      <c r="BE247" s="310"/>
      <c r="BF247" s="310"/>
      <c r="BG247" s="310"/>
      <c r="BH247" s="310"/>
      <c r="BI247" s="310"/>
      <c r="BJ247" s="310"/>
      <c r="BK247" s="310"/>
      <c r="BL247" s="310"/>
      <c r="BM247" s="310"/>
      <c r="BN247" s="221"/>
      <c r="BO247" s="221"/>
      <c r="BP247" s="221"/>
      <c r="BQ247" s="221"/>
      <c r="BR247" s="221"/>
    </row>
    <row r="248" ht="15.75" customHeight="1">
      <c r="A248" s="220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309"/>
      <c r="Y248" s="309"/>
      <c r="Z248" s="309"/>
      <c r="AA248" s="309"/>
      <c r="AB248" s="309"/>
      <c r="AC248" s="309"/>
      <c r="AD248" s="309"/>
      <c r="AE248" s="309"/>
      <c r="AF248" s="309"/>
      <c r="AG248" s="309"/>
      <c r="AH248" s="309"/>
      <c r="AI248" s="309"/>
      <c r="AJ248" s="309"/>
      <c r="AK248" s="309"/>
      <c r="AL248" s="309"/>
      <c r="AM248" s="309"/>
      <c r="AN248" s="309"/>
      <c r="AO248" s="309"/>
      <c r="AP248" s="309"/>
      <c r="AQ248" s="309"/>
      <c r="AR248" s="309"/>
      <c r="AS248" s="309"/>
      <c r="AT248" s="309"/>
      <c r="AU248" s="309"/>
      <c r="AV248" s="309"/>
      <c r="AW248" s="309"/>
      <c r="AX248" s="309"/>
      <c r="AY248" s="309"/>
      <c r="AZ248" s="309"/>
      <c r="BA248" s="310"/>
      <c r="BB248" s="310"/>
      <c r="BC248" s="310"/>
      <c r="BD248" s="310"/>
      <c r="BE248" s="310"/>
      <c r="BF248" s="310"/>
      <c r="BG248" s="310"/>
      <c r="BH248" s="310"/>
      <c r="BI248" s="310"/>
      <c r="BJ248" s="310"/>
      <c r="BK248" s="310"/>
      <c r="BL248" s="310"/>
      <c r="BM248" s="310"/>
      <c r="BN248" s="221"/>
      <c r="BO248" s="221"/>
      <c r="BP248" s="221"/>
      <c r="BQ248" s="221"/>
      <c r="BR248" s="221"/>
    </row>
    <row r="249" ht="15.75" customHeight="1">
      <c r="A249" s="220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309"/>
      <c r="Y249" s="309"/>
      <c r="Z249" s="309"/>
      <c r="AA249" s="309"/>
      <c r="AB249" s="309"/>
      <c r="AC249" s="309"/>
      <c r="AD249" s="309"/>
      <c r="AE249" s="309"/>
      <c r="AF249" s="309"/>
      <c r="AG249" s="309"/>
      <c r="AH249" s="309"/>
      <c r="AI249" s="309"/>
      <c r="AJ249" s="309"/>
      <c r="AK249" s="309"/>
      <c r="AL249" s="309"/>
      <c r="AM249" s="309"/>
      <c r="AN249" s="309"/>
      <c r="AO249" s="309"/>
      <c r="AP249" s="309"/>
      <c r="AQ249" s="309"/>
      <c r="AR249" s="309"/>
      <c r="AS249" s="309"/>
      <c r="AT249" s="309"/>
      <c r="AU249" s="309"/>
      <c r="AV249" s="309"/>
      <c r="AW249" s="309"/>
      <c r="AX249" s="309"/>
      <c r="AY249" s="309"/>
      <c r="AZ249" s="309"/>
      <c r="BA249" s="310"/>
      <c r="BB249" s="310"/>
      <c r="BC249" s="310"/>
      <c r="BD249" s="310"/>
      <c r="BE249" s="310"/>
      <c r="BF249" s="310"/>
      <c r="BG249" s="310"/>
      <c r="BH249" s="310"/>
      <c r="BI249" s="310"/>
      <c r="BJ249" s="310"/>
      <c r="BK249" s="310"/>
      <c r="BL249" s="310"/>
      <c r="BM249" s="310"/>
      <c r="BN249" s="221"/>
      <c r="BO249" s="221"/>
      <c r="BP249" s="221"/>
      <c r="BQ249" s="221"/>
      <c r="BR249" s="221"/>
    </row>
    <row r="250" ht="15.75" customHeight="1">
      <c r="A250" s="22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309"/>
      <c r="Y250" s="309"/>
      <c r="Z250" s="309"/>
      <c r="AA250" s="309"/>
      <c r="AB250" s="309"/>
      <c r="AC250" s="309"/>
      <c r="AD250" s="309"/>
      <c r="AE250" s="309"/>
      <c r="AF250" s="309"/>
      <c r="AG250" s="309"/>
      <c r="AH250" s="309"/>
      <c r="AI250" s="309"/>
      <c r="AJ250" s="309"/>
      <c r="AK250" s="309"/>
      <c r="AL250" s="309"/>
      <c r="AM250" s="309"/>
      <c r="AN250" s="309"/>
      <c r="AO250" s="309"/>
      <c r="AP250" s="309"/>
      <c r="AQ250" s="309"/>
      <c r="AR250" s="309"/>
      <c r="AS250" s="309"/>
      <c r="AT250" s="309"/>
      <c r="AU250" s="309"/>
      <c r="AV250" s="309"/>
      <c r="AW250" s="309"/>
      <c r="AX250" s="309"/>
      <c r="AY250" s="309"/>
      <c r="AZ250" s="309"/>
      <c r="BA250" s="310"/>
      <c r="BB250" s="310"/>
      <c r="BC250" s="310"/>
      <c r="BD250" s="310"/>
      <c r="BE250" s="310"/>
      <c r="BF250" s="310"/>
      <c r="BG250" s="310"/>
      <c r="BH250" s="310"/>
      <c r="BI250" s="310"/>
      <c r="BJ250" s="310"/>
      <c r="BK250" s="310"/>
      <c r="BL250" s="310"/>
      <c r="BM250" s="310"/>
      <c r="BN250" s="221"/>
      <c r="BO250" s="221"/>
      <c r="BP250" s="221"/>
      <c r="BQ250" s="221"/>
      <c r="BR250" s="221"/>
    </row>
    <row r="251" ht="15.75" customHeight="1">
      <c r="A251" s="220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309"/>
      <c r="Y251" s="309"/>
      <c r="Z251" s="309"/>
      <c r="AA251" s="309"/>
      <c r="AB251" s="309"/>
      <c r="AC251" s="309"/>
      <c r="AD251" s="309"/>
      <c r="AE251" s="309"/>
      <c r="AF251" s="309"/>
      <c r="AG251" s="309"/>
      <c r="AH251" s="309"/>
      <c r="AI251" s="309"/>
      <c r="AJ251" s="309"/>
      <c r="AK251" s="309"/>
      <c r="AL251" s="309"/>
      <c r="AM251" s="309"/>
      <c r="AN251" s="309"/>
      <c r="AO251" s="309"/>
      <c r="AP251" s="309"/>
      <c r="AQ251" s="309"/>
      <c r="AR251" s="309"/>
      <c r="AS251" s="309"/>
      <c r="AT251" s="309"/>
      <c r="AU251" s="309"/>
      <c r="AV251" s="309"/>
      <c r="AW251" s="309"/>
      <c r="AX251" s="309"/>
      <c r="AY251" s="309"/>
      <c r="AZ251" s="309"/>
      <c r="BA251" s="310"/>
      <c r="BB251" s="310"/>
      <c r="BC251" s="310"/>
      <c r="BD251" s="310"/>
      <c r="BE251" s="310"/>
      <c r="BF251" s="310"/>
      <c r="BG251" s="310"/>
      <c r="BH251" s="310"/>
      <c r="BI251" s="310"/>
      <c r="BJ251" s="310"/>
      <c r="BK251" s="310"/>
      <c r="BL251" s="310"/>
      <c r="BM251" s="310"/>
      <c r="BN251" s="221"/>
      <c r="BO251" s="221"/>
      <c r="BP251" s="221"/>
      <c r="BQ251" s="221"/>
      <c r="BR251" s="221"/>
    </row>
    <row r="252" ht="15.75" customHeight="1">
      <c r="A252" s="220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309"/>
      <c r="Y252" s="309"/>
      <c r="Z252" s="309"/>
      <c r="AA252" s="309"/>
      <c r="AB252" s="309"/>
      <c r="AC252" s="309"/>
      <c r="AD252" s="309"/>
      <c r="AE252" s="309"/>
      <c r="AF252" s="309"/>
      <c r="AG252" s="309"/>
      <c r="AH252" s="309"/>
      <c r="AI252" s="309"/>
      <c r="AJ252" s="309"/>
      <c r="AK252" s="309"/>
      <c r="AL252" s="309"/>
      <c r="AM252" s="309"/>
      <c r="AN252" s="309"/>
      <c r="AO252" s="309"/>
      <c r="AP252" s="309"/>
      <c r="AQ252" s="309"/>
      <c r="AR252" s="309"/>
      <c r="AS252" s="309"/>
      <c r="AT252" s="309"/>
      <c r="AU252" s="309"/>
      <c r="AV252" s="309"/>
      <c r="AW252" s="309"/>
      <c r="AX252" s="309"/>
      <c r="AY252" s="309"/>
      <c r="AZ252" s="309"/>
      <c r="BA252" s="310"/>
      <c r="BB252" s="310"/>
      <c r="BC252" s="310"/>
      <c r="BD252" s="310"/>
      <c r="BE252" s="310"/>
      <c r="BF252" s="310"/>
      <c r="BG252" s="310"/>
      <c r="BH252" s="310"/>
      <c r="BI252" s="310"/>
      <c r="BJ252" s="310"/>
      <c r="BK252" s="310"/>
      <c r="BL252" s="310"/>
      <c r="BM252" s="310"/>
      <c r="BN252" s="221"/>
      <c r="BO252" s="221"/>
      <c r="BP252" s="221"/>
      <c r="BQ252" s="221"/>
      <c r="BR252" s="221"/>
    </row>
    <row r="253" ht="15.75" customHeight="1">
      <c r="A253" s="220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309"/>
      <c r="Y253" s="309"/>
      <c r="Z253" s="309"/>
      <c r="AA253" s="309"/>
      <c r="AB253" s="309"/>
      <c r="AC253" s="309"/>
      <c r="AD253" s="309"/>
      <c r="AE253" s="309"/>
      <c r="AF253" s="309"/>
      <c r="AG253" s="309"/>
      <c r="AH253" s="309"/>
      <c r="AI253" s="309"/>
      <c r="AJ253" s="309"/>
      <c r="AK253" s="309"/>
      <c r="AL253" s="309"/>
      <c r="AM253" s="309"/>
      <c r="AN253" s="309"/>
      <c r="AO253" s="309"/>
      <c r="AP253" s="309"/>
      <c r="AQ253" s="309"/>
      <c r="AR253" s="309"/>
      <c r="AS253" s="309"/>
      <c r="AT253" s="309"/>
      <c r="AU253" s="309"/>
      <c r="AV253" s="309"/>
      <c r="AW253" s="309"/>
      <c r="AX253" s="309"/>
      <c r="AY253" s="309"/>
      <c r="AZ253" s="309"/>
      <c r="BA253" s="310"/>
      <c r="BB253" s="310"/>
      <c r="BC253" s="310"/>
      <c r="BD253" s="310"/>
      <c r="BE253" s="310"/>
      <c r="BF253" s="310"/>
      <c r="BG253" s="310"/>
      <c r="BH253" s="310"/>
      <c r="BI253" s="310"/>
      <c r="BJ253" s="310"/>
      <c r="BK253" s="310"/>
      <c r="BL253" s="310"/>
      <c r="BM253" s="310"/>
      <c r="BN253" s="221"/>
      <c r="BO253" s="221"/>
      <c r="BP253" s="221"/>
      <c r="BQ253" s="221"/>
      <c r="BR253" s="221"/>
    </row>
    <row r="254" ht="15.75" customHeight="1">
      <c r="A254" s="22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309"/>
      <c r="Y254" s="309"/>
      <c r="Z254" s="309"/>
      <c r="AA254" s="309"/>
      <c r="AB254" s="309"/>
      <c r="AC254" s="309"/>
      <c r="AD254" s="309"/>
      <c r="AE254" s="309"/>
      <c r="AF254" s="309"/>
      <c r="AG254" s="309"/>
      <c r="AH254" s="309"/>
      <c r="AI254" s="309"/>
      <c r="AJ254" s="309"/>
      <c r="AK254" s="309"/>
      <c r="AL254" s="309"/>
      <c r="AM254" s="309"/>
      <c r="AN254" s="309"/>
      <c r="AO254" s="309"/>
      <c r="AP254" s="309"/>
      <c r="AQ254" s="309"/>
      <c r="AR254" s="309"/>
      <c r="AS254" s="309"/>
      <c r="AT254" s="309"/>
      <c r="AU254" s="309"/>
      <c r="AV254" s="309"/>
      <c r="AW254" s="309"/>
      <c r="AX254" s="309"/>
      <c r="AY254" s="309"/>
      <c r="AZ254" s="309"/>
      <c r="BA254" s="310"/>
      <c r="BB254" s="310"/>
      <c r="BC254" s="310"/>
      <c r="BD254" s="310"/>
      <c r="BE254" s="310"/>
      <c r="BF254" s="310"/>
      <c r="BG254" s="310"/>
      <c r="BH254" s="310"/>
      <c r="BI254" s="310"/>
      <c r="BJ254" s="310"/>
      <c r="BK254" s="310"/>
      <c r="BL254" s="310"/>
      <c r="BM254" s="310"/>
      <c r="BN254" s="221"/>
      <c r="BO254" s="221"/>
      <c r="BP254" s="221"/>
      <c r="BQ254" s="221"/>
      <c r="BR254" s="221"/>
    </row>
    <row r="255" ht="15.75" customHeight="1">
      <c r="A255" s="220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309"/>
      <c r="Y255" s="309"/>
      <c r="Z255" s="309"/>
      <c r="AA255" s="309"/>
      <c r="AB255" s="309"/>
      <c r="AC255" s="309"/>
      <c r="AD255" s="309"/>
      <c r="AE255" s="309"/>
      <c r="AF255" s="309"/>
      <c r="AG255" s="309"/>
      <c r="AH255" s="309"/>
      <c r="AI255" s="309"/>
      <c r="AJ255" s="309"/>
      <c r="AK255" s="309"/>
      <c r="AL255" s="309"/>
      <c r="AM255" s="309"/>
      <c r="AN255" s="309"/>
      <c r="AO255" s="309"/>
      <c r="AP255" s="309"/>
      <c r="AQ255" s="309"/>
      <c r="AR255" s="309"/>
      <c r="AS255" s="309"/>
      <c r="AT255" s="309"/>
      <c r="AU255" s="309"/>
      <c r="AV255" s="309"/>
      <c r="AW255" s="309"/>
      <c r="AX255" s="309"/>
      <c r="AY255" s="309"/>
      <c r="AZ255" s="309"/>
      <c r="BA255" s="310"/>
      <c r="BB255" s="310"/>
      <c r="BC255" s="310"/>
      <c r="BD255" s="310"/>
      <c r="BE255" s="310"/>
      <c r="BF255" s="310"/>
      <c r="BG255" s="310"/>
      <c r="BH255" s="310"/>
      <c r="BI255" s="310"/>
      <c r="BJ255" s="310"/>
      <c r="BK255" s="310"/>
      <c r="BL255" s="310"/>
      <c r="BM255" s="310"/>
      <c r="BN255" s="221"/>
      <c r="BO255" s="221"/>
      <c r="BP255" s="221"/>
      <c r="BQ255" s="221"/>
      <c r="BR255" s="221"/>
    </row>
    <row r="256" ht="15.75" customHeight="1">
      <c r="A256" s="220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309"/>
      <c r="Y256" s="309"/>
      <c r="Z256" s="309"/>
      <c r="AA256" s="309"/>
      <c r="AB256" s="309"/>
      <c r="AC256" s="309"/>
      <c r="AD256" s="309"/>
      <c r="AE256" s="309"/>
      <c r="AF256" s="309"/>
      <c r="AG256" s="309"/>
      <c r="AH256" s="309"/>
      <c r="AI256" s="309"/>
      <c r="AJ256" s="309"/>
      <c r="AK256" s="309"/>
      <c r="AL256" s="309"/>
      <c r="AM256" s="309"/>
      <c r="AN256" s="309"/>
      <c r="AO256" s="309"/>
      <c r="AP256" s="309"/>
      <c r="AQ256" s="309"/>
      <c r="AR256" s="309"/>
      <c r="AS256" s="309"/>
      <c r="AT256" s="309"/>
      <c r="AU256" s="309"/>
      <c r="AV256" s="309"/>
      <c r="AW256" s="309"/>
      <c r="AX256" s="309"/>
      <c r="AY256" s="309"/>
      <c r="AZ256" s="309"/>
      <c r="BA256" s="310"/>
      <c r="BB256" s="310"/>
      <c r="BC256" s="310"/>
      <c r="BD256" s="310"/>
      <c r="BE256" s="310"/>
      <c r="BF256" s="310"/>
      <c r="BG256" s="310"/>
      <c r="BH256" s="310"/>
      <c r="BI256" s="310"/>
      <c r="BJ256" s="310"/>
      <c r="BK256" s="310"/>
      <c r="BL256" s="310"/>
      <c r="BM256" s="310"/>
      <c r="BN256" s="221"/>
      <c r="BO256" s="221"/>
      <c r="BP256" s="221"/>
      <c r="BQ256" s="221"/>
      <c r="BR256" s="221"/>
    </row>
    <row r="257" ht="15.75" customHeight="1">
      <c r="A257" s="220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309"/>
      <c r="Y257" s="309"/>
      <c r="Z257" s="309"/>
      <c r="AA257" s="309"/>
      <c r="AB257" s="309"/>
      <c r="AC257" s="309"/>
      <c r="AD257" s="309"/>
      <c r="AE257" s="309"/>
      <c r="AF257" s="309"/>
      <c r="AG257" s="309"/>
      <c r="AH257" s="309"/>
      <c r="AI257" s="309"/>
      <c r="AJ257" s="309"/>
      <c r="AK257" s="309"/>
      <c r="AL257" s="309"/>
      <c r="AM257" s="309"/>
      <c r="AN257" s="309"/>
      <c r="AO257" s="309"/>
      <c r="AP257" s="309"/>
      <c r="AQ257" s="309"/>
      <c r="AR257" s="309"/>
      <c r="AS257" s="309"/>
      <c r="AT257" s="309"/>
      <c r="AU257" s="309"/>
      <c r="AV257" s="309"/>
      <c r="AW257" s="309"/>
      <c r="AX257" s="309"/>
      <c r="AY257" s="309"/>
      <c r="AZ257" s="309"/>
      <c r="BA257" s="310"/>
      <c r="BB257" s="310"/>
      <c r="BC257" s="310"/>
      <c r="BD257" s="310"/>
      <c r="BE257" s="310"/>
      <c r="BF257" s="310"/>
      <c r="BG257" s="310"/>
      <c r="BH257" s="310"/>
      <c r="BI257" s="310"/>
      <c r="BJ257" s="310"/>
      <c r="BK257" s="310"/>
      <c r="BL257" s="310"/>
      <c r="BM257" s="310"/>
      <c r="BN257" s="221"/>
      <c r="BO257" s="221"/>
      <c r="BP257" s="221"/>
      <c r="BQ257" s="221"/>
      <c r="BR257" s="221"/>
    </row>
    <row r="258" ht="15.75" customHeight="1">
      <c r="A258" s="22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309"/>
      <c r="Y258" s="309"/>
      <c r="Z258" s="309"/>
      <c r="AA258" s="309"/>
      <c r="AB258" s="309"/>
      <c r="AC258" s="309"/>
      <c r="AD258" s="309"/>
      <c r="AE258" s="309"/>
      <c r="AF258" s="309"/>
      <c r="AG258" s="309"/>
      <c r="AH258" s="309"/>
      <c r="AI258" s="309"/>
      <c r="AJ258" s="309"/>
      <c r="AK258" s="309"/>
      <c r="AL258" s="309"/>
      <c r="AM258" s="309"/>
      <c r="AN258" s="309"/>
      <c r="AO258" s="309"/>
      <c r="AP258" s="309"/>
      <c r="AQ258" s="309"/>
      <c r="AR258" s="309"/>
      <c r="AS258" s="309"/>
      <c r="AT258" s="309"/>
      <c r="AU258" s="309"/>
      <c r="AV258" s="309"/>
      <c r="AW258" s="309"/>
      <c r="AX258" s="309"/>
      <c r="AY258" s="309"/>
      <c r="AZ258" s="309"/>
      <c r="BA258" s="310"/>
      <c r="BB258" s="310"/>
      <c r="BC258" s="310"/>
      <c r="BD258" s="310"/>
      <c r="BE258" s="310"/>
      <c r="BF258" s="310"/>
      <c r="BG258" s="310"/>
      <c r="BH258" s="310"/>
      <c r="BI258" s="310"/>
      <c r="BJ258" s="310"/>
      <c r="BK258" s="310"/>
      <c r="BL258" s="310"/>
      <c r="BM258" s="310"/>
      <c r="BN258" s="221"/>
      <c r="BO258" s="221"/>
      <c r="BP258" s="221"/>
      <c r="BQ258" s="221"/>
      <c r="BR258" s="221"/>
    </row>
    <row r="259" ht="15.75" customHeight="1">
      <c r="A259" s="220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309"/>
      <c r="Y259" s="309"/>
      <c r="Z259" s="309"/>
      <c r="AA259" s="309"/>
      <c r="AB259" s="309"/>
      <c r="AC259" s="309"/>
      <c r="AD259" s="309"/>
      <c r="AE259" s="309"/>
      <c r="AF259" s="309"/>
      <c r="AG259" s="309"/>
      <c r="AH259" s="309"/>
      <c r="AI259" s="309"/>
      <c r="AJ259" s="309"/>
      <c r="AK259" s="309"/>
      <c r="AL259" s="309"/>
      <c r="AM259" s="309"/>
      <c r="AN259" s="309"/>
      <c r="AO259" s="309"/>
      <c r="AP259" s="309"/>
      <c r="AQ259" s="309"/>
      <c r="AR259" s="309"/>
      <c r="AS259" s="309"/>
      <c r="AT259" s="309"/>
      <c r="AU259" s="309"/>
      <c r="AV259" s="309"/>
      <c r="AW259" s="309"/>
      <c r="AX259" s="309"/>
      <c r="AY259" s="309"/>
      <c r="AZ259" s="309"/>
      <c r="BA259" s="310"/>
      <c r="BB259" s="310"/>
      <c r="BC259" s="310"/>
      <c r="BD259" s="310"/>
      <c r="BE259" s="310"/>
      <c r="BF259" s="310"/>
      <c r="BG259" s="310"/>
      <c r="BH259" s="310"/>
      <c r="BI259" s="310"/>
      <c r="BJ259" s="310"/>
      <c r="BK259" s="310"/>
      <c r="BL259" s="310"/>
      <c r="BM259" s="310"/>
      <c r="BN259" s="221"/>
      <c r="BO259" s="221"/>
      <c r="BP259" s="221"/>
      <c r="BQ259" s="221"/>
      <c r="BR259" s="221"/>
    </row>
    <row r="260" ht="15.75" customHeight="1">
      <c r="A260" s="220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309"/>
      <c r="Y260" s="309"/>
      <c r="Z260" s="309"/>
      <c r="AA260" s="309"/>
      <c r="AB260" s="309"/>
      <c r="AC260" s="309"/>
      <c r="AD260" s="309"/>
      <c r="AE260" s="309"/>
      <c r="AF260" s="309"/>
      <c r="AG260" s="309"/>
      <c r="AH260" s="309"/>
      <c r="AI260" s="309"/>
      <c r="AJ260" s="309"/>
      <c r="AK260" s="309"/>
      <c r="AL260" s="309"/>
      <c r="AM260" s="309"/>
      <c r="AN260" s="309"/>
      <c r="AO260" s="309"/>
      <c r="AP260" s="309"/>
      <c r="AQ260" s="309"/>
      <c r="AR260" s="309"/>
      <c r="AS260" s="309"/>
      <c r="AT260" s="309"/>
      <c r="AU260" s="309"/>
      <c r="AV260" s="309"/>
      <c r="AW260" s="309"/>
      <c r="AX260" s="309"/>
      <c r="AY260" s="309"/>
      <c r="AZ260" s="309"/>
      <c r="BA260" s="310"/>
      <c r="BB260" s="310"/>
      <c r="BC260" s="310"/>
      <c r="BD260" s="310"/>
      <c r="BE260" s="310"/>
      <c r="BF260" s="310"/>
      <c r="BG260" s="310"/>
      <c r="BH260" s="310"/>
      <c r="BI260" s="310"/>
      <c r="BJ260" s="310"/>
      <c r="BK260" s="310"/>
      <c r="BL260" s="310"/>
      <c r="BM260" s="310"/>
      <c r="BN260" s="221"/>
      <c r="BO260" s="221"/>
      <c r="BP260" s="221"/>
      <c r="BQ260" s="221"/>
      <c r="BR260" s="221"/>
    </row>
    <row r="261" ht="15.75" customHeight="1">
      <c r="A261" s="220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309"/>
      <c r="Y261" s="309"/>
      <c r="Z261" s="309"/>
      <c r="AA261" s="309"/>
      <c r="AB261" s="309"/>
      <c r="AC261" s="309"/>
      <c r="AD261" s="309"/>
      <c r="AE261" s="309"/>
      <c r="AF261" s="309"/>
      <c r="AG261" s="309"/>
      <c r="AH261" s="309"/>
      <c r="AI261" s="309"/>
      <c r="AJ261" s="309"/>
      <c r="AK261" s="309"/>
      <c r="AL261" s="309"/>
      <c r="AM261" s="309"/>
      <c r="AN261" s="309"/>
      <c r="AO261" s="309"/>
      <c r="AP261" s="309"/>
      <c r="AQ261" s="309"/>
      <c r="AR261" s="309"/>
      <c r="AS261" s="309"/>
      <c r="AT261" s="309"/>
      <c r="AU261" s="309"/>
      <c r="AV261" s="309"/>
      <c r="AW261" s="309"/>
      <c r="AX261" s="309"/>
      <c r="AY261" s="309"/>
      <c r="AZ261" s="309"/>
      <c r="BA261" s="310"/>
      <c r="BB261" s="310"/>
      <c r="BC261" s="310"/>
      <c r="BD261" s="310"/>
      <c r="BE261" s="310"/>
      <c r="BF261" s="310"/>
      <c r="BG261" s="310"/>
      <c r="BH261" s="310"/>
      <c r="BI261" s="310"/>
      <c r="BJ261" s="310"/>
      <c r="BK261" s="310"/>
      <c r="BL261" s="310"/>
      <c r="BM261" s="310"/>
      <c r="BN261" s="221"/>
      <c r="BO261" s="221"/>
      <c r="BP261" s="221"/>
      <c r="BQ261" s="221"/>
      <c r="BR261" s="221"/>
    </row>
    <row r="262" ht="15.75" customHeight="1">
      <c r="A262" s="22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309"/>
      <c r="Y262" s="309"/>
      <c r="Z262" s="309"/>
      <c r="AA262" s="309"/>
      <c r="AB262" s="309"/>
      <c r="AC262" s="309"/>
      <c r="AD262" s="309"/>
      <c r="AE262" s="309"/>
      <c r="AF262" s="309"/>
      <c r="AG262" s="309"/>
      <c r="AH262" s="309"/>
      <c r="AI262" s="309"/>
      <c r="AJ262" s="309"/>
      <c r="AK262" s="309"/>
      <c r="AL262" s="309"/>
      <c r="AM262" s="309"/>
      <c r="AN262" s="309"/>
      <c r="AO262" s="309"/>
      <c r="AP262" s="309"/>
      <c r="AQ262" s="309"/>
      <c r="AR262" s="309"/>
      <c r="AS262" s="309"/>
      <c r="AT262" s="309"/>
      <c r="AU262" s="309"/>
      <c r="AV262" s="309"/>
      <c r="AW262" s="309"/>
      <c r="AX262" s="309"/>
      <c r="AY262" s="309"/>
      <c r="AZ262" s="309"/>
      <c r="BA262" s="310"/>
      <c r="BB262" s="310"/>
      <c r="BC262" s="310"/>
      <c r="BD262" s="310"/>
      <c r="BE262" s="310"/>
      <c r="BF262" s="310"/>
      <c r="BG262" s="310"/>
      <c r="BH262" s="310"/>
      <c r="BI262" s="310"/>
      <c r="BJ262" s="310"/>
      <c r="BK262" s="310"/>
      <c r="BL262" s="310"/>
      <c r="BM262" s="310"/>
      <c r="BN262" s="221"/>
      <c r="BO262" s="221"/>
      <c r="BP262" s="221"/>
      <c r="BQ262" s="221"/>
      <c r="BR262" s="221"/>
    </row>
    <row r="263" ht="15.75" customHeight="1">
      <c r="A263" s="220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309"/>
      <c r="Y263" s="309"/>
      <c r="Z263" s="309"/>
      <c r="AA263" s="309"/>
      <c r="AB263" s="309"/>
      <c r="AC263" s="309"/>
      <c r="AD263" s="309"/>
      <c r="AE263" s="309"/>
      <c r="AF263" s="309"/>
      <c r="AG263" s="309"/>
      <c r="AH263" s="309"/>
      <c r="AI263" s="309"/>
      <c r="AJ263" s="309"/>
      <c r="AK263" s="309"/>
      <c r="AL263" s="309"/>
      <c r="AM263" s="309"/>
      <c r="AN263" s="309"/>
      <c r="AO263" s="309"/>
      <c r="AP263" s="309"/>
      <c r="AQ263" s="309"/>
      <c r="AR263" s="309"/>
      <c r="AS263" s="309"/>
      <c r="AT263" s="309"/>
      <c r="AU263" s="309"/>
      <c r="AV263" s="309"/>
      <c r="AW263" s="309"/>
      <c r="AX263" s="309"/>
      <c r="AY263" s="309"/>
      <c r="AZ263" s="309"/>
      <c r="BA263" s="310"/>
      <c r="BB263" s="310"/>
      <c r="BC263" s="310"/>
      <c r="BD263" s="310"/>
      <c r="BE263" s="310"/>
      <c r="BF263" s="310"/>
      <c r="BG263" s="310"/>
      <c r="BH263" s="310"/>
      <c r="BI263" s="310"/>
      <c r="BJ263" s="310"/>
      <c r="BK263" s="310"/>
      <c r="BL263" s="310"/>
      <c r="BM263" s="310"/>
      <c r="BN263" s="221"/>
      <c r="BO263" s="221"/>
      <c r="BP263" s="221"/>
      <c r="BQ263" s="221"/>
      <c r="BR263" s="221"/>
    </row>
    <row r="264" ht="15.75" customHeight="1">
      <c r="A264" s="220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309"/>
      <c r="Y264" s="309"/>
      <c r="Z264" s="309"/>
      <c r="AA264" s="309"/>
      <c r="AB264" s="309"/>
      <c r="AC264" s="309"/>
      <c r="AD264" s="309"/>
      <c r="AE264" s="309"/>
      <c r="AF264" s="309"/>
      <c r="AG264" s="309"/>
      <c r="AH264" s="309"/>
      <c r="AI264" s="309"/>
      <c r="AJ264" s="309"/>
      <c r="AK264" s="309"/>
      <c r="AL264" s="309"/>
      <c r="AM264" s="309"/>
      <c r="AN264" s="309"/>
      <c r="AO264" s="309"/>
      <c r="AP264" s="309"/>
      <c r="AQ264" s="309"/>
      <c r="AR264" s="309"/>
      <c r="AS264" s="309"/>
      <c r="AT264" s="309"/>
      <c r="AU264" s="309"/>
      <c r="AV264" s="309"/>
      <c r="AW264" s="309"/>
      <c r="AX264" s="309"/>
      <c r="AY264" s="309"/>
      <c r="AZ264" s="309"/>
      <c r="BA264" s="310"/>
      <c r="BB264" s="310"/>
      <c r="BC264" s="310"/>
      <c r="BD264" s="310"/>
      <c r="BE264" s="310"/>
      <c r="BF264" s="310"/>
      <c r="BG264" s="310"/>
      <c r="BH264" s="310"/>
      <c r="BI264" s="310"/>
      <c r="BJ264" s="310"/>
      <c r="BK264" s="310"/>
      <c r="BL264" s="310"/>
      <c r="BM264" s="310"/>
      <c r="BN264" s="221"/>
      <c r="BO264" s="221"/>
      <c r="BP264" s="221"/>
      <c r="BQ264" s="221"/>
      <c r="BR264" s="221"/>
    </row>
    <row r="265" ht="15.75" customHeight="1">
      <c r="A265" s="220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309"/>
      <c r="Y265" s="309"/>
      <c r="Z265" s="309"/>
      <c r="AA265" s="309"/>
      <c r="AB265" s="309"/>
      <c r="AC265" s="309"/>
      <c r="AD265" s="309"/>
      <c r="AE265" s="309"/>
      <c r="AF265" s="309"/>
      <c r="AG265" s="309"/>
      <c r="AH265" s="309"/>
      <c r="AI265" s="309"/>
      <c r="AJ265" s="309"/>
      <c r="AK265" s="309"/>
      <c r="AL265" s="309"/>
      <c r="AM265" s="309"/>
      <c r="AN265" s="309"/>
      <c r="AO265" s="309"/>
      <c r="AP265" s="309"/>
      <c r="AQ265" s="309"/>
      <c r="AR265" s="309"/>
      <c r="AS265" s="309"/>
      <c r="AT265" s="309"/>
      <c r="AU265" s="309"/>
      <c r="AV265" s="309"/>
      <c r="AW265" s="309"/>
      <c r="AX265" s="309"/>
      <c r="AY265" s="309"/>
      <c r="AZ265" s="309"/>
      <c r="BA265" s="310"/>
      <c r="BB265" s="310"/>
      <c r="BC265" s="310"/>
      <c r="BD265" s="310"/>
      <c r="BE265" s="310"/>
      <c r="BF265" s="310"/>
      <c r="BG265" s="310"/>
      <c r="BH265" s="310"/>
      <c r="BI265" s="310"/>
      <c r="BJ265" s="310"/>
      <c r="BK265" s="310"/>
      <c r="BL265" s="310"/>
      <c r="BM265" s="310"/>
      <c r="BN265" s="221"/>
      <c r="BO265" s="221"/>
      <c r="BP265" s="221"/>
      <c r="BQ265" s="221"/>
      <c r="BR265" s="221"/>
    </row>
    <row r="266" ht="15.75" customHeight="1">
      <c r="A266" s="22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309"/>
      <c r="Y266" s="309"/>
      <c r="Z266" s="309"/>
      <c r="AA266" s="309"/>
      <c r="AB266" s="309"/>
      <c r="AC266" s="309"/>
      <c r="AD266" s="309"/>
      <c r="AE266" s="309"/>
      <c r="AF266" s="309"/>
      <c r="AG266" s="309"/>
      <c r="AH266" s="309"/>
      <c r="AI266" s="309"/>
      <c r="AJ266" s="309"/>
      <c r="AK266" s="309"/>
      <c r="AL266" s="309"/>
      <c r="AM266" s="309"/>
      <c r="AN266" s="309"/>
      <c r="AO266" s="309"/>
      <c r="AP266" s="309"/>
      <c r="AQ266" s="309"/>
      <c r="AR266" s="309"/>
      <c r="AS266" s="309"/>
      <c r="AT266" s="309"/>
      <c r="AU266" s="309"/>
      <c r="AV266" s="309"/>
      <c r="AW266" s="309"/>
      <c r="AX266" s="309"/>
      <c r="AY266" s="309"/>
      <c r="AZ266" s="309"/>
      <c r="BA266" s="310"/>
      <c r="BB266" s="310"/>
      <c r="BC266" s="310"/>
      <c r="BD266" s="310"/>
      <c r="BE266" s="310"/>
      <c r="BF266" s="310"/>
      <c r="BG266" s="310"/>
      <c r="BH266" s="310"/>
      <c r="BI266" s="310"/>
      <c r="BJ266" s="310"/>
      <c r="BK266" s="310"/>
      <c r="BL266" s="310"/>
      <c r="BM266" s="310"/>
      <c r="BN266" s="221"/>
      <c r="BO266" s="221"/>
      <c r="BP266" s="221"/>
      <c r="BQ266" s="221"/>
      <c r="BR266" s="221"/>
    </row>
    <row r="267" ht="15.75" customHeight="1">
      <c r="A267" s="220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309"/>
      <c r="Y267" s="309"/>
      <c r="Z267" s="309"/>
      <c r="AA267" s="309"/>
      <c r="AB267" s="309"/>
      <c r="AC267" s="309"/>
      <c r="AD267" s="309"/>
      <c r="AE267" s="309"/>
      <c r="AF267" s="309"/>
      <c r="AG267" s="309"/>
      <c r="AH267" s="309"/>
      <c r="AI267" s="309"/>
      <c r="AJ267" s="309"/>
      <c r="AK267" s="309"/>
      <c r="AL267" s="309"/>
      <c r="AM267" s="309"/>
      <c r="AN267" s="309"/>
      <c r="AO267" s="309"/>
      <c r="AP267" s="309"/>
      <c r="AQ267" s="309"/>
      <c r="AR267" s="309"/>
      <c r="AS267" s="309"/>
      <c r="AT267" s="309"/>
      <c r="AU267" s="309"/>
      <c r="AV267" s="309"/>
      <c r="AW267" s="309"/>
      <c r="AX267" s="309"/>
      <c r="AY267" s="309"/>
      <c r="AZ267" s="309"/>
      <c r="BA267" s="310"/>
      <c r="BB267" s="310"/>
      <c r="BC267" s="310"/>
      <c r="BD267" s="310"/>
      <c r="BE267" s="310"/>
      <c r="BF267" s="310"/>
      <c r="BG267" s="310"/>
      <c r="BH267" s="310"/>
      <c r="BI267" s="310"/>
      <c r="BJ267" s="310"/>
      <c r="BK267" s="310"/>
      <c r="BL267" s="310"/>
      <c r="BM267" s="310"/>
      <c r="BN267" s="221"/>
      <c r="BO267" s="221"/>
      <c r="BP267" s="221"/>
      <c r="BQ267" s="221"/>
      <c r="BR267" s="221"/>
    </row>
    <row r="268" ht="15.75" customHeight="1">
      <c r="A268" s="220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309"/>
      <c r="Y268" s="309"/>
      <c r="Z268" s="309"/>
      <c r="AA268" s="309"/>
      <c r="AB268" s="309"/>
      <c r="AC268" s="309"/>
      <c r="AD268" s="309"/>
      <c r="AE268" s="309"/>
      <c r="AF268" s="309"/>
      <c r="AG268" s="309"/>
      <c r="AH268" s="309"/>
      <c r="AI268" s="309"/>
      <c r="AJ268" s="309"/>
      <c r="AK268" s="309"/>
      <c r="AL268" s="309"/>
      <c r="AM268" s="309"/>
      <c r="AN268" s="309"/>
      <c r="AO268" s="309"/>
      <c r="AP268" s="309"/>
      <c r="AQ268" s="309"/>
      <c r="AR268" s="309"/>
      <c r="AS268" s="309"/>
      <c r="AT268" s="309"/>
      <c r="AU268" s="309"/>
      <c r="AV268" s="309"/>
      <c r="AW268" s="309"/>
      <c r="AX268" s="309"/>
      <c r="AY268" s="309"/>
      <c r="AZ268" s="309"/>
      <c r="BA268" s="310"/>
      <c r="BB268" s="310"/>
      <c r="BC268" s="310"/>
      <c r="BD268" s="310"/>
      <c r="BE268" s="310"/>
      <c r="BF268" s="310"/>
      <c r="BG268" s="310"/>
      <c r="BH268" s="310"/>
      <c r="BI268" s="310"/>
      <c r="BJ268" s="310"/>
      <c r="BK268" s="310"/>
      <c r="BL268" s="310"/>
      <c r="BM268" s="310"/>
      <c r="BN268" s="221"/>
      <c r="BO268" s="221"/>
      <c r="BP268" s="221"/>
      <c r="BQ268" s="221"/>
      <c r="BR268" s="221"/>
    </row>
    <row r="269" ht="15.75" customHeight="1">
      <c r="A269" s="220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309"/>
      <c r="Y269" s="309"/>
      <c r="Z269" s="309"/>
      <c r="AA269" s="309"/>
      <c r="AB269" s="309"/>
      <c r="AC269" s="309"/>
      <c r="AD269" s="309"/>
      <c r="AE269" s="309"/>
      <c r="AF269" s="309"/>
      <c r="AG269" s="309"/>
      <c r="AH269" s="309"/>
      <c r="AI269" s="309"/>
      <c r="AJ269" s="309"/>
      <c r="AK269" s="309"/>
      <c r="AL269" s="309"/>
      <c r="AM269" s="309"/>
      <c r="AN269" s="309"/>
      <c r="AO269" s="309"/>
      <c r="AP269" s="309"/>
      <c r="AQ269" s="309"/>
      <c r="AR269" s="309"/>
      <c r="AS269" s="309"/>
      <c r="AT269" s="309"/>
      <c r="AU269" s="309"/>
      <c r="AV269" s="309"/>
      <c r="AW269" s="309"/>
      <c r="AX269" s="309"/>
      <c r="AY269" s="309"/>
      <c r="AZ269" s="309"/>
      <c r="BA269" s="310"/>
      <c r="BB269" s="310"/>
      <c r="BC269" s="310"/>
      <c r="BD269" s="310"/>
      <c r="BE269" s="310"/>
      <c r="BF269" s="310"/>
      <c r="BG269" s="310"/>
      <c r="BH269" s="310"/>
      <c r="BI269" s="310"/>
      <c r="BJ269" s="310"/>
      <c r="BK269" s="310"/>
      <c r="BL269" s="310"/>
      <c r="BM269" s="310"/>
      <c r="BN269" s="221"/>
      <c r="BO269" s="221"/>
      <c r="BP269" s="221"/>
      <c r="BQ269" s="221"/>
      <c r="BR269" s="221"/>
    </row>
    <row r="270" ht="15.75" customHeight="1">
      <c r="A270" s="22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309"/>
      <c r="Y270" s="309"/>
      <c r="Z270" s="309"/>
      <c r="AA270" s="309"/>
      <c r="AB270" s="309"/>
      <c r="AC270" s="309"/>
      <c r="AD270" s="309"/>
      <c r="AE270" s="309"/>
      <c r="AF270" s="309"/>
      <c r="AG270" s="309"/>
      <c r="AH270" s="309"/>
      <c r="AI270" s="309"/>
      <c r="AJ270" s="309"/>
      <c r="AK270" s="309"/>
      <c r="AL270" s="309"/>
      <c r="AM270" s="309"/>
      <c r="AN270" s="309"/>
      <c r="AO270" s="309"/>
      <c r="AP270" s="309"/>
      <c r="AQ270" s="309"/>
      <c r="AR270" s="309"/>
      <c r="AS270" s="309"/>
      <c r="AT270" s="309"/>
      <c r="AU270" s="309"/>
      <c r="AV270" s="309"/>
      <c r="AW270" s="309"/>
      <c r="AX270" s="309"/>
      <c r="AY270" s="309"/>
      <c r="AZ270" s="309"/>
      <c r="BA270" s="310"/>
      <c r="BB270" s="310"/>
      <c r="BC270" s="310"/>
      <c r="BD270" s="310"/>
      <c r="BE270" s="310"/>
      <c r="BF270" s="310"/>
      <c r="BG270" s="310"/>
      <c r="BH270" s="310"/>
      <c r="BI270" s="310"/>
      <c r="BJ270" s="310"/>
      <c r="BK270" s="310"/>
      <c r="BL270" s="310"/>
      <c r="BM270" s="310"/>
      <c r="BN270" s="221"/>
      <c r="BO270" s="221"/>
      <c r="BP270" s="221"/>
      <c r="BQ270" s="221"/>
      <c r="BR270" s="221"/>
    </row>
    <row r="271" ht="15.75" customHeight="1">
      <c r="A271" s="220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309"/>
      <c r="Y271" s="309"/>
      <c r="Z271" s="309"/>
      <c r="AA271" s="309"/>
      <c r="AB271" s="309"/>
      <c r="AC271" s="309"/>
      <c r="AD271" s="309"/>
      <c r="AE271" s="309"/>
      <c r="AF271" s="309"/>
      <c r="AG271" s="309"/>
      <c r="AH271" s="309"/>
      <c r="AI271" s="309"/>
      <c r="AJ271" s="309"/>
      <c r="AK271" s="309"/>
      <c r="AL271" s="309"/>
      <c r="AM271" s="309"/>
      <c r="AN271" s="309"/>
      <c r="AO271" s="309"/>
      <c r="AP271" s="309"/>
      <c r="AQ271" s="309"/>
      <c r="AR271" s="309"/>
      <c r="AS271" s="309"/>
      <c r="AT271" s="309"/>
      <c r="AU271" s="309"/>
      <c r="AV271" s="309"/>
      <c r="AW271" s="309"/>
      <c r="AX271" s="309"/>
      <c r="AY271" s="309"/>
      <c r="AZ271" s="309"/>
      <c r="BA271" s="310"/>
      <c r="BB271" s="310"/>
      <c r="BC271" s="310"/>
      <c r="BD271" s="310"/>
      <c r="BE271" s="310"/>
      <c r="BF271" s="310"/>
      <c r="BG271" s="310"/>
      <c r="BH271" s="310"/>
      <c r="BI271" s="310"/>
      <c r="BJ271" s="310"/>
      <c r="BK271" s="310"/>
      <c r="BL271" s="310"/>
      <c r="BM271" s="310"/>
      <c r="BN271" s="221"/>
      <c r="BO271" s="221"/>
      <c r="BP271" s="221"/>
      <c r="BQ271" s="221"/>
      <c r="BR271" s="221"/>
    </row>
    <row r="272" ht="15.75" customHeight="1">
      <c r="A272" s="220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309"/>
      <c r="Y272" s="309"/>
      <c r="Z272" s="309"/>
      <c r="AA272" s="309"/>
      <c r="AB272" s="309"/>
      <c r="AC272" s="309"/>
      <c r="AD272" s="309"/>
      <c r="AE272" s="309"/>
      <c r="AF272" s="309"/>
      <c r="AG272" s="309"/>
      <c r="AH272" s="309"/>
      <c r="AI272" s="309"/>
      <c r="AJ272" s="309"/>
      <c r="AK272" s="309"/>
      <c r="AL272" s="309"/>
      <c r="AM272" s="309"/>
      <c r="AN272" s="309"/>
      <c r="AO272" s="309"/>
      <c r="AP272" s="309"/>
      <c r="AQ272" s="309"/>
      <c r="AR272" s="309"/>
      <c r="AS272" s="309"/>
      <c r="AT272" s="309"/>
      <c r="AU272" s="309"/>
      <c r="AV272" s="309"/>
      <c r="AW272" s="309"/>
      <c r="AX272" s="309"/>
      <c r="AY272" s="309"/>
      <c r="AZ272" s="309"/>
      <c r="BA272" s="310"/>
      <c r="BB272" s="310"/>
      <c r="BC272" s="310"/>
      <c r="BD272" s="310"/>
      <c r="BE272" s="310"/>
      <c r="BF272" s="310"/>
      <c r="BG272" s="310"/>
      <c r="BH272" s="310"/>
      <c r="BI272" s="310"/>
      <c r="BJ272" s="310"/>
      <c r="BK272" s="310"/>
      <c r="BL272" s="310"/>
      <c r="BM272" s="310"/>
      <c r="BN272" s="221"/>
      <c r="BO272" s="221"/>
      <c r="BP272" s="221"/>
      <c r="BQ272" s="221"/>
      <c r="BR272" s="221"/>
    </row>
    <row r="273" ht="15.75" customHeight="1">
      <c r="A273" s="220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309"/>
      <c r="Y273" s="309"/>
      <c r="Z273" s="309"/>
      <c r="AA273" s="309"/>
      <c r="AB273" s="309"/>
      <c r="AC273" s="309"/>
      <c r="AD273" s="309"/>
      <c r="AE273" s="309"/>
      <c r="AF273" s="309"/>
      <c r="AG273" s="309"/>
      <c r="AH273" s="309"/>
      <c r="AI273" s="309"/>
      <c r="AJ273" s="309"/>
      <c r="AK273" s="309"/>
      <c r="AL273" s="309"/>
      <c r="AM273" s="309"/>
      <c r="AN273" s="309"/>
      <c r="AO273" s="309"/>
      <c r="AP273" s="309"/>
      <c r="AQ273" s="309"/>
      <c r="AR273" s="309"/>
      <c r="AS273" s="309"/>
      <c r="AT273" s="309"/>
      <c r="AU273" s="309"/>
      <c r="AV273" s="309"/>
      <c r="AW273" s="309"/>
      <c r="AX273" s="309"/>
      <c r="AY273" s="309"/>
      <c r="AZ273" s="309"/>
      <c r="BA273" s="310"/>
      <c r="BB273" s="310"/>
      <c r="BC273" s="310"/>
      <c r="BD273" s="310"/>
      <c r="BE273" s="310"/>
      <c r="BF273" s="310"/>
      <c r="BG273" s="310"/>
      <c r="BH273" s="310"/>
      <c r="BI273" s="310"/>
      <c r="BJ273" s="310"/>
      <c r="BK273" s="310"/>
      <c r="BL273" s="310"/>
      <c r="BM273" s="310"/>
      <c r="BN273" s="221"/>
      <c r="BO273" s="221"/>
      <c r="BP273" s="221"/>
      <c r="BQ273" s="221"/>
      <c r="BR273" s="221"/>
    </row>
    <row r="274" ht="15.75" customHeight="1">
      <c r="A274" s="220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309"/>
      <c r="Y274" s="309"/>
      <c r="Z274" s="309"/>
      <c r="AA274" s="309"/>
      <c r="AB274" s="309"/>
      <c r="AC274" s="309"/>
      <c r="AD274" s="309"/>
      <c r="AE274" s="309"/>
      <c r="AF274" s="309"/>
      <c r="AG274" s="309"/>
      <c r="AH274" s="309"/>
      <c r="AI274" s="309"/>
      <c r="AJ274" s="309"/>
      <c r="AK274" s="309"/>
      <c r="AL274" s="309"/>
      <c r="AM274" s="309"/>
      <c r="AN274" s="309"/>
      <c r="AO274" s="309"/>
      <c r="AP274" s="309"/>
      <c r="AQ274" s="309"/>
      <c r="AR274" s="309"/>
      <c r="AS274" s="309"/>
      <c r="AT274" s="309"/>
      <c r="AU274" s="309"/>
      <c r="AV274" s="309"/>
      <c r="AW274" s="309"/>
      <c r="AX274" s="309"/>
      <c r="AY274" s="309"/>
      <c r="AZ274" s="309"/>
      <c r="BA274" s="310"/>
      <c r="BB274" s="310"/>
      <c r="BC274" s="310"/>
      <c r="BD274" s="310"/>
      <c r="BE274" s="310"/>
      <c r="BF274" s="310"/>
      <c r="BG274" s="310"/>
      <c r="BH274" s="310"/>
      <c r="BI274" s="310"/>
      <c r="BJ274" s="310"/>
      <c r="BK274" s="310"/>
      <c r="BL274" s="310"/>
      <c r="BM274" s="310"/>
      <c r="BN274" s="221"/>
      <c r="BO274" s="221"/>
      <c r="BP274" s="221"/>
      <c r="BQ274" s="221"/>
      <c r="BR274" s="221"/>
    </row>
    <row r="275" ht="15.75" customHeight="1">
      <c r="A275" s="220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309"/>
      <c r="Y275" s="309"/>
      <c r="Z275" s="309"/>
      <c r="AA275" s="309"/>
      <c r="AB275" s="309"/>
      <c r="AC275" s="309"/>
      <c r="AD275" s="309"/>
      <c r="AE275" s="309"/>
      <c r="AF275" s="309"/>
      <c r="AG275" s="309"/>
      <c r="AH275" s="309"/>
      <c r="AI275" s="309"/>
      <c r="AJ275" s="309"/>
      <c r="AK275" s="309"/>
      <c r="AL275" s="309"/>
      <c r="AM275" s="309"/>
      <c r="AN275" s="309"/>
      <c r="AO275" s="309"/>
      <c r="AP275" s="309"/>
      <c r="AQ275" s="309"/>
      <c r="AR275" s="309"/>
      <c r="AS275" s="309"/>
      <c r="AT275" s="309"/>
      <c r="AU275" s="309"/>
      <c r="AV275" s="309"/>
      <c r="AW275" s="309"/>
      <c r="AX275" s="309"/>
      <c r="AY275" s="309"/>
      <c r="AZ275" s="309"/>
      <c r="BA275" s="310"/>
      <c r="BB275" s="310"/>
      <c r="BC275" s="310"/>
      <c r="BD275" s="310"/>
      <c r="BE275" s="310"/>
      <c r="BF275" s="310"/>
      <c r="BG275" s="310"/>
      <c r="BH275" s="310"/>
      <c r="BI275" s="310"/>
      <c r="BJ275" s="310"/>
      <c r="BK275" s="310"/>
      <c r="BL275" s="310"/>
      <c r="BM275" s="310"/>
      <c r="BN275" s="221"/>
      <c r="BO275" s="221"/>
      <c r="BP275" s="221"/>
      <c r="BQ275" s="221"/>
      <c r="BR275" s="221"/>
    </row>
    <row r="276" ht="15.75" customHeight="1">
      <c r="A276" s="220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309"/>
      <c r="Y276" s="309"/>
      <c r="Z276" s="309"/>
      <c r="AA276" s="309"/>
      <c r="AB276" s="309"/>
      <c r="AC276" s="309"/>
      <c r="AD276" s="309"/>
      <c r="AE276" s="309"/>
      <c r="AF276" s="309"/>
      <c r="AG276" s="309"/>
      <c r="AH276" s="309"/>
      <c r="AI276" s="309"/>
      <c r="AJ276" s="309"/>
      <c r="AK276" s="309"/>
      <c r="AL276" s="309"/>
      <c r="AM276" s="309"/>
      <c r="AN276" s="309"/>
      <c r="AO276" s="309"/>
      <c r="AP276" s="309"/>
      <c r="AQ276" s="309"/>
      <c r="AR276" s="309"/>
      <c r="AS276" s="309"/>
      <c r="AT276" s="309"/>
      <c r="AU276" s="309"/>
      <c r="AV276" s="309"/>
      <c r="AW276" s="309"/>
      <c r="AX276" s="309"/>
      <c r="AY276" s="309"/>
      <c r="AZ276" s="309"/>
      <c r="BA276" s="310"/>
      <c r="BB276" s="310"/>
      <c r="BC276" s="310"/>
      <c r="BD276" s="310"/>
      <c r="BE276" s="310"/>
      <c r="BF276" s="310"/>
      <c r="BG276" s="310"/>
      <c r="BH276" s="310"/>
      <c r="BI276" s="310"/>
      <c r="BJ276" s="310"/>
      <c r="BK276" s="310"/>
      <c r="BL276" s="310"/>
      <c r="BM276" s="310"/>
      <c r="BN276" s="221"/>
      <c r="BO276" s="221"/>
      <c r="BP276" s="221"/>
      <c r="BQ276" s="221"/>
      <c r="BR276" s="221"/>
    </row>
    <row r="277" ht="15.75" customHeight="1">
      <c r="A277" s="220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309"/>
      <c r="Y277" s="309"/>
      <c r="Z277" s="309"/>
      <c r="AA277" s="309"/>
      <c r="AB277" s="309"/>
      <c r="AC277" s="309"/>
      <c r="AD277" s="309"/>
      <c r="AE277" s="309"/>
      <c r="AF277" s="309"/>
      <c r="AG277" s="309"/>
      <c r="AH277" s="309"/>
      <c r="AI277" s="309"/>
      <c r="AJ277" s="309"/>
      <c r="AK277" s="309"/>
      <c r="AL277" s="309"/>
      <c r="AM277" s="309"/>
      <c r="AN277" s="309"/>
      <c r="AO277" s="309"/>
      <c r="AP277" s="309"/>
      <c r="AQ277" s="309"/>
      <c r="AR277" s="309"/>
      <c r="AS277" s="309"/>
      <c r="AT277" s="309"/>
      <c r="AU277" s="309"/>
      <c r="AV277" s="309"/>
      <c r="AW277" s="309"/>
      <c r="AX277" s="309"/>
      <c r="AY277" s="309"/>
      <c r="AZ277" s="309"/>
      <c r="BA277" s="310"/>
      <c r="BB277" s="310"/>
      <c r="BC277" s="310"/>
      <c r="BD277" s="310"/>
      <c r="BE277" s="310"/>
      <c r="BF277" s="310"/>
      <c r="BG277" s="310"/>
      <c r="BH277" s="310"/>
      <c r="BI277" s="310"/>
      <c r="BJ277" s="310"/>
      <c r="BK277" s="310"/>
      <c r="BL277" s="310"/>
      <c r="BM277" s="310"/>
      <c r="BN277" s="221"/>
      <c r="BO277" s="221"/>
      <c r="BP277" s="221"/>
      <c r="BQ277" s="221"/>
      <c r="BR277" s="221"/>
    </row>
    <row r="278" ht="15.75" customHeight="1">
      <c r="A278" s="220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309"/>
      <c r="Y278" s="309"/>
      <c r="Z278" s="309"/>
      <c r="AA278" s="309"/>
      <c r="AB278" s="309"/>
      <c r="AC278" s="309"/>
      <c r="AD278" s="309"/>
      <c r="AE278" s="309"/>
      <c r="AF278" s="309"/>
      <c r="AG278" s="309"/>
      <c r="AH278" s="309"/>
      <c r="AI278" s="309"/>
      <c r="AJ278" s="309"/>
      <c r="AK278" s="309"/>
      <c r="AL278" s="309"/>
      <c r="AM278" s="309"/>
      <c r="AN278" s="309"/>
      <c r="AO278" s="309"/>
      <c r="AP278" s="309"/>
      <c r="AQ278" s="309"/>
      <c r="AR278" s="309"/>
      <c r="AS278" s="309"/>
      <c r="AT278" s="309"/>
      <c r="AU278" s="309"/>
      <c r="AV278" s="309"/>
      <c r="AW278" s="309"/>
      <c r="AX278" s="309"/>
      <c r="AY278" s="309"/>
      <c r="AZ278" s="309"/>
      <c r="BA278" s="310"/>
      <c r="BB278" s="310"/>
      <c r="BC278" s="310"/>
      <c r="BD278" s="310"/>
      <c r="BE278" s="310"/>
      <c r="BF278" s="310"/>
      <c r="BG278" s="310"/>
      <c r="BH278" s="310"/>
      <c r="BI278" s="310"/>
      <c r="BJ278" s="310"/>
      <c r="BK278" s="310"/>
      <c r="BL278" s="310"/>
      <c r="BM278" s="310"/>
      <c r="BN278" s="221"/>
      <c r="BO278" s="221"/>
      <c r="BP278" s="221"/>
      <c r="BQ278" s="221"/>
      <c r="BR278" s="221"/>
    </row>
    <row r="279" ht="15.75" customHeight="1">
      <c r="A279" s="220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309"/>
      <c r="Y279" s="309"/>
      <c r="Z279" s="309"/>
      <c r="AA279" s="309"/>
      <c r="AB279" s="309"/>
      <c r="AC279" s="309"/>
      <c r="AD279" s="309"/>
      <c r="AE279" s="309"/>
      <c r="AF279" s="309"/>
      <c r="AG279" s="309"/>
      <c r="AH279" s="309"/>
      <c r="AI279" s="309"/>
      <c r="AJ279" s="309"/>
      <c r="AK279" s="309"/>
      <c r="AL279" s="309"/>
      <c r="AM279" s="309"/>
      <c r="AN279" s="309"/>
      <c r="AO279" s="309"/>
      <c r="AP279" s="309"/>
      <c r="AQ279" s="309"/>
      <c r="AR279" s="309"/>
      <c r="AS279" s="309"/>
      <c r="AT279" s="309"/>
      <c r="AU279" s="309"/>
      <c r="AV279" s="309"/>
      <c r="AW279" s="309"/>
      <c r="AX279" s="309"/>
      <c r="AY279" s="309"/>
      <c r="AZ279" s="309"/>
      <c r="BA279" s="310"/>
      <c r="BB279" s="310"/>
      <c r="BC279" s="310"/>
      <c r="BD279" s="310"/>
      <c r="BE279" s="310"/>
      <c r="BF279" s="310"/>
      <c r="BG279" s="310"/>
      <c r="BH279" s="310"/>
      <c r="BI279" s="310"/>
      <c r="BJ279" s="310"/>
      <c r="BK279" s="310"/>
      <c r="BL279" s="310"/>
      <c r="BM279" s="310"/>
      <c r="BN279" s="221"/>
      <c r="BO279" s="221"/>
      <c r="BP279" s="221"/>
      <c r="BQ279" s="221"/>
      <c r="BR279" s="221"/>
    </row>
    <row r="280" ht="15.75" customHeight="1">
      <c r="A280" s="220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309"/>
      <c r="Y280" s="309"/>
      <c r="Z280" s="309"/>
      <c r="AA280" s="309"/>
      <c r="AB280" s="309"/>
      <c r="AC280" s="309"/>
      <c r="AD280" s="309"/>
      <c r="AE280" s="309"/>
      <c r="AF280" s="309"/>
      <c r="AG280" s="309"/>
      <c r="AH280" s="309"/>
      <c r="AI280" s="309"/>
      <c r="AJ280" s="309"/>
      <c r="AK280" s="309"/>
      <c r="AL280" s="309"/>
      <c r="AM280" s="309"/>
      <c r="AN280" s="309"/>
      <c r="AO280" s="309"/>
      <c r="AP280" s="309"/>
      <c r="AQ280" s="309"/>
      <c r="AR280" s="309"/>
      <c r="AS280" s="309"/>
      <c r="AT280" s="309"/>
      <c r="AU280" s="309"/>
      <c r="AV280" s="309"/>
      <c r="AW280" s="309"/>
      <c r="AX280" s="309"/>
      <c r="AY280" s="309"/>
      <c r="AZ280" s="309"/>
      <c r="BA280" s="310"/>
      <c r="BB280" s="310"/>
      <c r="BC280" s="310"/>
      <c r="BD280" s="310"/>
      <c r="BE280" s="310"/>
      <c r="BF280" s="310"/>
      <c r="BG280" s="310"/>
      <c r="BH280" s="310"/>
      <c r="BI280" s="310"/>
      <c r="BJ280" s="310"/>
      <c r="BK280" s="310"/>
      <c r="BL280" s="310"/>
      <c r="BM280" s="310"/>
      <c r="BN280" s="221"/>
      <c r="BO280" s="221"/>
      <c r="BP280" s="221"/>
      <c r="BQ280" s="221"/>
      <c r="BR280" s="221"/>
    </row>
    <row r="281" ht="15.75" customHeight="1">
      <c r="A281" s="220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309"/>
      <c r="Y281" s="309"/>
      <c r="Z281" s="309"/>
      <c r="AA281" s="309"/>
      <c r="AB281" s="309"/>
      <c r="AC281" s="309"/>
      <c r="AD281" s="309"/>
      <c r="AE281" s="309"/>
      <c r="AF281" s="309"/>
      <c r="AG281" s="309"/>
      <c r="AH281" s="309"/>
      <c r="AI281" s="309"/>
      <c r="AJ281" s="309"/>
      <c r="AK281" s="309"/>
      <c r="AL281" s="309"/>
      <c r="AM281" s="309"/>
      <c r="AN281" s="309"/>
      <c r="AO281" s="309"/>
      <c r="AP281" s="309"/>
      <c r="AQ281" s="309"/>
      <c r="AR281" s="309"/>
      <c r="AS281" s="309"/>
      <c r="AT281" s="309"/>
      <c r="AU281" s="309"/>
      <c r="AV281" s="309"/>
      <c r="AW281" s="309"/>
      <c r="AX281" s="309"/>
      <c r="AY281" s="309"/>
      <c r="AZ281" s="309"/>
      <c r="BA281" s="310"/>
      <c r="BB281" s="310"/>
      <c r="BC281" s="310"/>
      <c r="BD281" s="310"/>
      <c r="BE281" s="310"/>
      <c r="BF281" s="310"/>
      <c r="BG281" s="310"/>
      <c r="BH281" s="310"/>
      <c r="BI281" s="310"/>
      <c r="BJ281" s="310"/>
      <c r="BK281" s="310"/>
      <c r="BL281" s="310"/>
      <c r="BM281" s="310"/>
      <c r="BN281" s="221"/>
      <c r="BO281" s="221"/>
      <c r="BP281" s="221"/>
      <c r="BQ281" s="221"/>
      <c r="BR281" s="221"/>
    </row>
    <row r="282" ht="15.75" customHeight="1">
      <c r="A282" s="220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309"/>
      <c r="Y282" s="309"/>
      <c r="Z282" s="309"/>
      <c r="AA282" s="309"/>
      <c r="AB282" s="309"/>
      <c r="AC282" s="309"/>
      <c r="AD282" s="309"/>
      <c r="AE282" s="309"/>
      <c r="AF282" s="309"/>
      <c r="AG282" s="309"/>
      <c r="AH282" s="309"/>
      <c r="AI282" s="309"/>
      <c r="AJ282" s="309"/>
      <c r="AK282" s="309"/>
      <c r="AL282" s="309"/>
      <c r="AM282" s="309"/>
      <c r="AN282" s="309"/>
      <c r="AO282" s="309"/>
      <c r="AP282" s="309"/>
      <c r="AQ282" s="309"/>
      <c r="AR282" s="309"/>
      <c r="AS282" s="309"/>
      <c r="AT282" s="309"/>
      <c r="AU282" s="309"/>
      <c r="AV282" s="309"/>
      <c r="AW282" s="309"/>
      <c r="AX282" s="309"/>
      <c r="AY282" s="309"/>
      <c r="AZ282" s="309"/>
      <c r="BA282" s="310"/>
      <c r="BB282" s="310"/>
      <c r="BC282" s="310"/>
      <c r="BD282" s="310"/>
      <c r="BE282" s="310"/>
      <c r="BF282" s="310"/>
      <c r="BG282" s="310"/>
      <c r="BH282" s="310"/>
      <c r="BI282" s="310"/>
      <c r="BJ282" s="310"/>
      <c r="BK282" s="310"/>
      <c r="BL282" s="310"/>
      <c r="BM282" s="310"/>
      <c r="BN282" s="221"/>
      <c r="BO282" s="221"/>
      <c r="BP282" s="221"/>
      <c r="BQ282" s="221"/>
      <c r="BR282" s="221"/>
    </row>
    <row r="283" ht="15.75" customHeight="1">
      <c r="A283" s="220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309"/>
      <c r="Y283" s="309"/>
      <c r="Z283" s="309"/>
      <c r="AA283" s="309"/>
      <c r="AB283" s="309"/>
      <c r="AC283" s="309"/>
      <c r="AD283" s="309"/>
      <c r="AE283" s="309"/>
      <c r="AF283" s="309"/>
      <c r="AG283" s="309"/>
      <c r="AH283" s="309"/>
      <c r="AI283" s="309"/>
      <c r="AJ283" s="309"/>
      <c r="AK283" s="309"/>
      <c r="AL283" s="309"/>
      <c r="AM283" s="309"/>
      <c r="AN283" s="309"/>
      <c r="AO283" s="309"/>
      <c r="AP283" s="309"/>
      <c r="AQ283" s="309"/>
      <c r="AR283" s="309"/>
      <c r="AS283" s="309"/>
      <c r="AT283" s="309"/>
      <c r="AU283" s="309"/>
      <c r="AV283" s="309"/>
      <c r="AW283" s="309"/>
      <c r="AX283" s="309"/>
      <c r="AY283" s="309"/>
      <c r="AZ283" s="309"/>
      <c r="BA283" s="310"/>
      <c r="BB283" s="310"/>
      <c r="BC283" s="310"/>
      <c r="BD283" s="310"/>
      <c r="BE283" s="310"/>
      <c r="BF283" s="310"/>
      <c r="BG283" s="310"/>
      <c r="BH283" s="310"/>
      <c r="BI283" s="310"/>
      <c r="BJ283" s="310"/>
      <c r="BK283" s="310"/>
      <c r="BL283" s="310"/>
      <c r="BM283" s="310"/>
      <c r="BN283" s="221"/>
      <c r="BO283" s="221"/>
      <c r="BP283" s="221"/>
      <c r="BQ283" s="221"/>
      <c r="BR283" s="221"/>
    </row>
    <row r="284" ht="15.75" customHeight="1">
      <c r="A284" s="220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309"/>
      <c r="Y284" s="309"/>
      <c r="Z284" s="309"/>
      <c r="AA284" s="309"/>
      <c r="AB284" s="309"/>
      <c r="AC284" s="309"/>
      <c r="AD284" s="309"/>
      <c r="AE284" s="309"/>
      <c r="AF284" s="309"/>
      <c r="AG284" s="309"/>
      <c r="AH284" s="309"/>
      <c r="AI284" s="309"/>
      <c r="AJ284" s="309"/>
      <c r="AK284" s="309"/>
      <c r="AL284" s="309"/>
      <c r="AM284" s="309"/>
      <c r="AN284" s="309"/>
      <c r="AO284" s="309"/>
      <c r="AP284" s="309"/>
      <c r="AQ284" s="309"/>
      <c r="AR284" s="309"/>
      <c r="AS284" s="309"/>
      <c r="AT284" s="309"/>
      <c r="AU284" s="309"/>
      <c r="AV284" s="309"/>
      <c r="AW284" s="309"/>
      <c r="AX284" s="309"/>
      <c r="AY284" s="309"/>
      <c r="AZ284" s="309"/>
      <c r="BA284" s="310"/>
      <c r="BB284" s="310"/>
      <c r="BC284" s="310"/>
      <c r="BD284" s="310"/>
      <c r="BE284" s="310"/>
      <c r="BF284" s="310"/>
      <c r="BG284" s="310"/>
      <c r="BH284" s="310"/>
      <c r="BI284" s="310"/>
      <c r="BJ284" s="310"/>
      <c r="BK284" s="310"/>
      <c r="BL284" s="310"/>
      <c r="BM284" s="310"/>
      <c r="BN284" s="221"/>
      <c r="BO284" s="221"/>
      <c r="BP284" s="221"/>
      <c r="BQ284" s="221"/>
      <c r="BR284" s="221"/>
    </row>
    <row r="285" ht="15.75" customHeight="1">
      <c r="A285" s="22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309"/>
      <c r="Y285" s="309"/>
      <c r="Z285" s="309"/>
      <c r="AA285" s="309"/>
      <c r="AB285" s="309"/>
      <c r="AC285" s="309"/>
      <c r="AD285" s="309"/>
      <c r="AE285" s="309"/>
      <c r="AF285" s="309"/>
      <c r="AG285" s="309"/>
      <c r="AH285" s="309"/>
      <c r="AI285" s="309"/>
      <c r="AJ285" s="309"/>
      <c r="AK285" s="309"/>
      <c r="AL285" s="309"/>
      <c r="AM285" s="309"/>
      <c r="AN285" s="309"/>
      <c r="AO285" s="309"/>
      <c r="AP285" s="309"/>
      <c r="AQ285" s="309"/>
      <c r="AR285" s="309"/>
      <c r="AS285" s="309"/>
      <c r="AT285" s="309"/>
      <c r="AU285" s="309"/>
      <c r="AV285" s="309"/>
      <c r="AW285" s="309"/>
      <c r="AX285" s="309"/>
      <c r="AY285" s="309"/>
      <c r="AZ285" s="309"/>
      <c r="BA285" s="310"/>
      <c r="BB285" s="310"/>
      <c r="BC285" s="310"/>
      <c r="BD285" s="310"/>
      <c r="BE285" s="310"/>
      <c r="BF285" s="310"/>
      <c r="BG285" s="310"/>
      <c r="BH285" s="310"/>
      <c r="BI285" s="310"/>
      <c r="BJ285" s="310"/>
      <c r="BK285" s="310"/>
      <c r="BL285" s="310"/>
      <c r="BM285" s="310"/>
      <c r="BN285" s="221"/>
      <c r="BO285" s="221"/>
      <c r="BP285" s="221"/>
      <c r="BQ285" s="221"/>
      <c r="BR285" s="221"/>
    </row>
    <row r="286" ht="15.75" customHeight="1">
      <c r="A286" s="220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309"/>
      <c r="Y286" s="309"/>
      <c r="Z286" s="309"/>
      <c r="AA286" s="309"/>
      <c r="AB286" s="309"/>
      <c r="AC286" s="309"/>
      <c r="AD286" s="309"/>
      <c r="AE286" s="309"/>
      <c r="AF286" s="309"/>
      <c r="AG286" s="309"/>
      <c r="AH286" s="309"/>
      <c r="AI286" s="309"/>
      <c r="AJ286" s="309"/>
      <c r="AK286" s="309"/>
      <c r="AL286" s="309"/>
      <c r="AM286" s="309"/>
      <c r="AN286" s="309"/>
      <c r="AO286" s="309"/>
      <c r="AP286" s="309"/>
      <c r="AQ286" s="309"/>
      <c r="AR286" s="309"/>
      <c r="AS286" s="309"/>
      <c r="AT286" s="309"/>
      <c r="AU286" s="309"/>
      <c r="AV286" s="309"/>
      <c r="AW286" s="309"/>
      <c r="AX286" s="309"/>
      <c r="AY286" s="309"/>
      <c r="AZ286" s="309"/>
      <c r="BA286" s="310"/>
      <c r="BB286" s="310"/>
      <c r="BC286" s="310"/>
      <c r="BD286" s="310"/>
      <c r="BE286" s="310"/>
      <c r="BF286" s="310"/>
      <c r="BG286" s="310"/>
      <c r="BH286" s="310"/>
      <c r="BI286" s="310"/>
      <c r="BJ286" s="310"/>
      <c r="BK286" s="310"/>
      <c r="BL286" s="310"/>
      <c r="BM286" s="310"/>
      <c r="BN286" s="221"/>
      <c r="BO286" s="221"/>
      <c r="BP286" s="221"/>
      <c r="BQ286" s="221"/>
      <c r="BR286" s="221"/>
    </row>
    <row r="287" ht="15.75" customHeight="1">
      <c r="A287" s="22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309"/>
      <c r="Y287" s="309"/>
      <c r="Z287" s="309"/>
      <c r="AA287" s="309"/>
      <c r="AB287" s="309"/>
      <c r="AC287" s="309"/>
      <c r="AD287" s="309"/>
      <c r="AE287" s="309"/>
      <c r="AF287" s="309"/>
      <c r="AG287" s="309"/>
      <c r="AH287" s="309"/>
      <c r="AI287" s="309"/>
      <c r="AJ287" s="309"/>
      <c r="AK287" s="309"/>
      <c r="AL287" s="309"/>
      <c r="AM287" s="309"/>
      <c r="AN287" s="309"/>
      <c r="AO287" s="309"/>
      <c r="AP287" s="309"/>
      <c r="AQ287" s="309"/>
      <c r="AR287" s="309"/>
      <c r="AS287" s="309"/>
      <c r="AT287" s="309"/>
      <c r="AU287" s="309"/>
      <c r="AV287" s="309"/>
      <c r="AW287" s="309"/>
      <c r="AX287" s="309"/>
      <c r="AY287" s="309"/>
      <c r="AZ287" s="309"/>
      <c r="BA287" s="310"/>
      <c r="BB287" s="310"/>
      <c r="BC287" s="310"/>
      <c r="BD287" s="310"/>
      <c r="BE287" s="310"/>
      <c r="BF287" s="310"/>
      <c r="BG287" s="310"/>
      <c r="BH287" s="310"/>
      <c r="BI287" s="310"/>
      <c r="BJ287" s="310"/>
      <c r="BK287" s="310"/>
      <c r="BL287" s="310"/>
      <c r="BM287" s="310"/>
      <c r="BN287" s="221"/>
      <c r="BO287" s="221"/>
      <c r="BP287" s="221"/>
      <c r="BQ287" s="221"/>
      <c r="BR287" s="221"/>
    </row>
    <row r="288" ht="15.75" customHeight="1">
      <c r="A288" s="220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309"/>
      <c r="Y288" s="309"/>
      <c r="Z288" s="309"/>
      <c r="AA288" s="309"/>
      <c r="AB288" s="309"/>
      <c r="AC288" s="309"/>
      <c r="AD288" s="309"/>
      <c r="AE288" s="309"/>
      <c r="AF288" s="309"/>
      <c r="AG288" s="309"/>
      <c r="AH288" s="309"/>
      <c r="AI288" s="309"/>
      <c r="AJ288" s="309"/>
      <c r="AK288" s="309"/>
      <c r="AL288" s="309"/>
      <c r="AM288" s="309"/>
      <c r="AN288" s="309"/>
      <c r="AO288" s="309"/>
      <c r="AP288" s="309"/>
      <c r="AQ288" s="309"/>
      <c r="AR288" s="309"/>
      <c r="AS288" s="309"/>
      <c r="AT288" s="309"/>
      <c r="AU288" s="309"/>
      <c r="AV288" s="309"/>
      <c r="AW288" s="309"/>
      <c r="AX288" s="309"/>
      <c r="AY288" s="309"/>
      <c r="AZ288" s="309"/>
      <c r="BA288" s="310"/>
      <c r="BB288" s="310"/>
      <c r="BC288" s="310"/>
      <c r="BD288" s="310"/>
      <c r="BE288" s="310"/>
      <c r="BF288" s="310"/>
      <c r="BG288" s="310"/>
      <c r="BH288" s="310"/>
      <c r="BI288" s="310"/>
      <c r="BJ288" s="310"/>
      <c r="BK288" s="310"/>
      <c r="BL288" s="310"/>
      <c r="BM288" s="310"/>
      <c r="BN288" s="221"/>
      <c r="BO288" s="221"/>
      <c r="BP288" s="221"/>
      <c r="BQ288" s="221"/>
      <c r="BR288" s="221"/>
    </row>
    <row r="289" ht="15.75" customHeight="1">
      <c r="A289" s="220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309"/>
      <c r="Y289" s="309"/>
      <c r="Z289" s="309"/>
      <c r="AA289" s="309"/>
      <c r="AB289" s="309"/>
      <c r="AC289" s="309"/>
      <c r="AD289" s="309"/>
      <c r="AE289" s="309"/>
      <c r="AF289" s="309"/>
      <c r="AG289" s="309"/>
      <c r="AH289" s="309"/>
      <c r="AI289" s="309"/>
      <c r="AJ289" s="309"/>
      <c r="AK289" s="309"/>
      <c r="AL289" s="309"/>
      <c r="AM289" s="309"/>
      <c r="AN289" s="309"/>
      <c r="AO289" s="309"/>
      <c r="AP289" s="309"/>
      <c r="AQ289" s="309"/>
      <c r="AR289" s="309"/>
      <c r="AS289" s="309"/>
      <c r="AT289" s="309"/>
      <c r="AU289" s="309"/>
      <c r="AV289" s="309"/>
      <c r="AW289" s="309"/>
      <c r="AX289" s="309"/>
      <c r="AY289" s="309"/>
      <c r="AZ289" s="309"/>
      <c r="BA289" s="310"/>
      <c r="BB289" s="310"/>
      <c r="BC289" s="310"/>
      <c r="BD289" s="310"/>
      <c r="BE289" s="310"/>
      <c r="BF289" s="310"/>
      <c r="BG289" s="310"/>
      <c r="BH289" s="310"/>
      <c r="BI289" s="310"/>
      <c r="BJ289" s="310"/>
      <c r="BK289" s="310"/>
      <c r="BL289" s="310"/>
      <c r="BM289" s="310"/>
      <c r="BN289" s="221"/>
      <c r="BO289" s="221"/>
      <c r="BP289" s="221"/>
      <c r="BQ289" s="221"/>
      <c r="BR289" s="221"/>
    </row>
    <row r="290" ht="15.75" customHeight="1">
      <c r="A290" s="22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309"/>
      <c r="Y290" s="309"/>
      <c r="Z290" s="309"/>
      <c r="AA290" s="309"/>
      <c r="AB290" s="309"/>
      <c r="AC290" s="309"/>
      <c r="AD290" s="309"/>
      <c r="AE290" s="309"/>
      <c r="AF290" s="309"/>
      <c r="AG290" s="309"/>
      <c r="AH290" s="309"/>
      <c r="AI290" s="309"/>
      <c r="AJ290" s="309"/>
      <c r="AK290" s="309"/>
      <c r="AL290" s="309"/>
      <c r="AM290" s="309"/>
      <c r="AN290" s="309"/>
      <c r="AO290" s="309"/>
      <c r="AP290" s="309"/>
      <c r="AQ290" s="309"/>
      <c r="AR290" s="309"/>
      <c r="AS290" s="309"/>
      <c r="AT290" s="309"/>
      <c r="AU290" s="309"/>
      <c r="AV290" s="309"/>
      <c r="AW290" s="309"/>
      <c r="AX290" s="309"/>
      <c r="AY290" s="309"/>
      <c r="AZ290" s="309"/>
      <c r="BA290" s="310"/>
      <c r="BB290" s="310"/>
      <c r="BC290" s="310"/>
      <c r="BD290" s="310"/>
      <c r="BE290" s="310"/>
      <c r="BF290" s="310"/>
      <c r="BG290" s="310"/>
      <c r="BH290" s="310"/>
      <c r="BI290" s="310"/>
      <c r="BJ290" s="310"/>
      <c r="BK290" s="310"/>
      <c r="BL290" s="310"/>
      <c r="BM290" s="310"/>
      <c r="BN290" s="221"/>
      <c r="BO290" s="221"/>
      <c r="BP290" s="221"/>
      <c r="BQ290" s="221"/>
      <c r="BR290" s="221"/>
    </row>
    <row r="291" ht="15.75" customHeight="1">
      <c r="A291" s="22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309"/>
      <c r="Y291" s="309"/>
      <c r="Z291" s="309"/>
      <c r="AA291" s="309"/>
      <c r="AB291" s="309"/>
      <c r="AC291" s="309"/>
      <c r="AD291" s="309"/>
      <c r="AE291" s="309"/>
      <c r="AF291" s="309"/>
      <c r="AG291" s="309"/>
      <c r="AH291" s="309"/>
      <c r="AI291" s="309"/>
      <c r="AJ291" s="309"/>
      <c r="AK291" s="309"/>
      <c r="AL291" s="309"/>
      <c r="AM291" s="309"/>
      <c r="AN291" s="309"/>
      <c r="AO291" s="309"/>
      <c r="AP291" s="309"/>
      <c r="AQ291" s="309"/>
      <c r="AR291" s="309"/>
      <c r="AS291" s="309"/>
      <c r="AT291" s="309"/>
      <c r="AU291" s="309"/>
      <c r="AV291" s="309"/>
      <c r="AW291" s="309"/>
      <c r="AX291" s="309"/>
      <c r="AY291" s="309"/>
      <c r="AZ291" s="309"/>
      <c r="BA291" s="310"/>
      <c r="BB291" s="310"/>
      <c r="BC291" s="310"/>
      <c r="BD291" s="310"/>
      <c r="BE291" s="310"/>
      <c r="BF291" s="310"/>
      <c r="BG291" s="310"/>
      <c r="BH291" s="310"/>
      <c r="BI291" s="310"/>
      <c r="BJ291" s="310"/>
      <c r="BK291" s="310"/>
      <c r="BL291" s="310"/>
      <c r="BM291" s="310"/>
      <c r="BN291" s="221"/>
      <c r="BO291" s="221"/>
      <c r="BP291" s="221"/>
      <c r="BQ291" s="221"/>
      <c r="BR291" s="221"/>
    </row>
    <row r="292" ht="15.75" customHeight="1">
      <c r="A292" s="220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309"/>
      <c r="Y292" s="309"/>
      <c r="Z292" s="309"/>
      <c r="AA292" s="309"/>
      <c r="AB292" s="309"/>
      <c r="AC292" s="309"/>
      <c r="AD292" s="309"/>
      <c r="AE292" s="309"/>
      <c r="AF292" s="309"/>
      <c r="AG292" s="309"/>
      <c r="AH292" s="309"/>
      <c r="AI292" s="309"/>
      <c r="AJ292" s="309"/>
      <c r="AK292" s="309"/>
      <c r="AL292" s="309"/>
      <c r="AM292" s="309"/>
      <c r="AN292" s="309"/>
      <c r="AO292" s="309"/>
      <c r="AP292" s="309"/>
      <c r="AQ292" s="309"/>
      <c r="AR292" s="309"/>
      <c r="AS292" s="309"/>
      <c r="AT292" s="309"/>
      <c r="AU292" s="309"/>
      <c r="AV292" s="309"/>
      <c r="AW292" s="309"/>
      <c r="AX292" s="309"/>
      <c r="AY292" s="309"/>
      <c r="AZ292" s="309"/>
      <c r="BA292" s="310"/>
      <c r="BB292" s="310"/>
      <c r="BC292" s="310"/>
      <c r="BD292" s="310"/>
      <c r="BE292" s="310"/>
      <c r="BF292" s="310"/>
      <c r="BG292" s="310"/>
      <c r="BH292" s="310"/>
      <c r="BI292" s="310"/>
      <c r="BJ292" s="310"/>
      <c r="BK292" s="310"/>
      <c r="BL292" s="310"/>
      <c r="BM292" s="310"/>
      <c r="BN292" s="221"/>
      <c r="BO292" s="221"/>
      <c r="BP292" s="221"/>
      <c r="BQ292" s="221"/>
      <c r="BR292" s="221"/>
    </row>
    <row r="293" ht="15.75" customHeight="1">
      <c r="A293" s="220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309"/>
      <c r="Y293" s="309"/>
      <c r="Z293" s="309"/>
      <c r="AA293" s="309"/>
      <c r="AB293" s="309"/>
      <c r="AC293" s="309"/>
      <c r="AD293" s="309"/>
      <c r="AE293" s="309"/>
      <c r="AF293" s="309"/>
      <c r="AG293" s="309"/>
      <c r="AH293" s="309"/>
      <c r="AI293" s="309"/>
      <c r="AJ293" s="309"/>
      <c r="AK293" s="309"/>
      <c r="AL293" s="309"/>
      <c r="AM293" s="309"/>
      <c r="AN293" s="309"/>
      <c r="AO293" s="309"/>
      <c r="AP293" s="309"/>
      <c r="AQ293" s="309"/>
      <c r="AR293" s="309"/>
      <c r="AS293" s="309"/>
      <c r="AT293" s="309"/>
      <c r="AU293" s="309"/>
      <c r="AV293" s="309"/>
      <c r="AW293" s="309"/>
      <c r="AX293" s="309"/>
      <c r="AY293" s="309"/>
      <c r="AZ293" s="309"/>
      <c r="BA293" s="310"/>
      <c r="BB293" s="310"/>
      <c r="BC293" s="310"/>
      <c r="BD293" s="310"/>
      <c r="BE293" s="310"/>
      <c r="BF293" s="310"/>
      <c r="BG293" s="310"/>
      <c r="BH293" s="310"/>
      <c r="BI293" s="310"/>
      <c r="BJ293" s="310"/>
      <c r="BK293" s="310"/>
      <c r="BL293" s="310"/>
      <c r="BM293" s="310"/>
      <c r="BN293" s="221"/>
      <c r="BO293" s="221"/>
      <c r="BP293" s="221"/>
      <c r="BQ293" s="221"/>
      <c r="BR293" s="221"/>
    </row>
    <row r="294" ht="15.75" customHeight="1">
      <c r="A294" s="220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309"/>
      <c r="Y294" s="309"/>
      <c r="Z294" s="309"/>
      <c r="AA294" s="309"/>
      <c r="AB294" s="309"/>
      <c r="AC294" s="309"/>
      <c r="AD294" s="309"/>
      <c r="AE294" s="309"/>
      <c r="AF294" s="309"/>
      <c r="AG294" s="309"/>
      <c r="AH294" s="309"/>
      <c r="AI294" s="309"/>
      <c r="AJ294" s="309"/>
      <c r="AK294" s="309"/>
      <c r="AL294" s="309"/>
      <c r="AM294" s="309"/>
      <c r="AN294" s="309"/>
      <c r="AO294" s="309"/>
      <c r="AP294" s="309"/>
      <c r="AQ294" s="309"/>
      <c r="AR294" s="309"/>
      <c r="AS294" s="309"/>
      <c r="AT294" s="309"/>
      <c r="AU294" s="309"/>
      <c r="AV294" s="309"/>
      <c r="AW294" s="309"/>
      <c r="AX294" s="309"/>
      <c r="AY294" s="309"/>
      <c r="AZ294" s="309"/>
      <c r="BA294" s="310"/>
      <c r="BB294" s="310"/>
      <c r="BC294" s="310"/>
      <c r="BD294" s="310"/>
      <c r="BE294" s="310"/>
      <c r="BF294" s="310"/>
      <c r="BG294" s="310"/>
      <c r="BH294" s="310"/>
      <c r="BI294" s="310"/>
      <c r="BJ294" s="310"/>
      <c r="BK294" s="310"/>
      <c r="BL294" s="310"/>
      <c r="BM294" s="310"/>
      <c r="BN294" s="221"/>
      <c r="BO294" s="221"/>
      <c r="BP294" s="221"/>
      <c r="BQ294" s="221"/>
      <c r="BR294" s="221"/>
    </row>
    <row r="295" ht="15.75" customHeight="1">
      <c r="A295" s="220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309"/>
      <c r="Y295" s="309"/>
      <c r="Z295" s="309"/>
      <c r="AA295" s="309"/>
      <c r="AB295" s="309"/>
      <c r="AC295" s="309"/>
      <c r="AD295" s="309"/>
      <c r="AE295" s="309"/>
      <c r="AF295" s="309"/>
      <c r="AG295" s="309"/>
      <c r="AH295" s="309"/>
      <c r="AI295" s="309"/>
      <c r="AJ295" s="309"/>
      <c r="AK295" s="309"/>
      <c r="AL295" s="309"/>
      <c r="AM295" s="309"/>
      <c r="AN295" s="309"/>
      <c r="AO295" s="309"/>
      <c r="AP295" s="309"/>
      <c r="AQ295" s="309"/>
      <c r="AR295" s="309"/>
      <c r="AS295" s="309"/>
      <c r="AT295" s="309"/>
      <c r="AU295" s="309"/>
      <c r="AV295" s="309"/>
      <c r="AW295" s="309"/>
      <c r="AX295" s="309"/>
      <c r="AY295" s="309"/>
      <c r="AZ295" s="309"/>
      <c r="BA295" s="310"/>
      <c r="BB295" s="310"/>
      <c r="BC295" s="310"/>
      <c r="BD295" s="310"/>
      <c r="BE295" s="310"/>
      <c r="BF295" s="310"/>
      <c r="BG295" s="310"/>
      <c r="BH295" s="310"/>
      <c r="BI295" s="310"/>
      <c r="BJ295" s="310"/>
      <c r="BK295" s="310"/>
      <c r="BL295" s="310"/>
      <c r="BM295" s="310"/>
      <c r="BN295" s="221"/>
      <c r="BO295" s="221"/>
      <c r="BP295" s="221"/>
      <c r="BQ295" s="221"/>
      <c r="BR295" s="221"/>
    </row>
    <row r="296" ht="15.75" customHeight="1">
      <c r="A296" s="220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309"/>
      <c r="Y296" s="309"/>
      <c r="Z296" s="309"/>
      <c r="AA296" s="309"/>
      <c r="AB296" s="309"/>
      <c r="AC296" s="309"/>
      <c r="AD296" s="309"/>
      <c r="AE296" s="309"/>
      <c r="AF296" s="309"/>
      <c r="AG296" s="309"/>
      <c r="AH296" s="309"/>
      <c r="AI296" s="309"/>
      <c r="AJ296" s="309"/>
      <c r="AK296" s="309"/>
      <c r="AL296" s="309"/>
      <c r="AM296" s="309"/>
      <c r="AN296" s="309"/>
      <c r="AO296" s="309"/>
      <c r="AP296" s="309"/>
      <c r="AQ296" s="309"/>
      <c r="AR296" s="309"/>
      <c r="AS296" s="309"/>
      <c r="AT296" s="309"/>
      <c r="AU296" s="309"/>
      <c r="AV296" s="309"/>
      <c r="AW296" s="309"/>
      <c r="AX296" s="309"/>
      <c r="AY296" s="309"/>
      <c r="AZ296" s="309"/>
      <c r="BA296" s="310"/>
      <c r="BB296" s="310"/>
      <c r="BC296" s="310"/>
      <c r="BD296" s="310"/>
      <c r="BE296" s="310"/>
      <c r="BF296" s="310"/>
      <c r="BG296" s="310"/>
      <c r="BH296" s="310"/>
      <c r="BI296" s="310"/>
      <c r="BJ296" s="310"/>
      <c r="BK296" s="310"/>
      <c r="BL296" s="310"/>
      <c r="BM296" s="310"/>
      <c r="BN296" s="221"/>
      <c r="BO296" s="221"/>
      <c r="BP296" s="221"/>
      <c r="BQ296" s="221"/>
      <c r="BR296" s="221"/>
    </row>
    <row r="297" ht="15.75" customHeight="1">
      <c r="A297" s="22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309"/>
      <c r="Y297" s="309"/>
      <c r="Z297" s="309"/>
      <c r="AA297" s="309"/>
      <c r="AB297" s="309"/>
      <c r="AC297" s="309"/>
      <c r="AD297" s="309"/>
      <c r="AE297" s="309"/>
      <c r="AF297" s="309"/>
      <c r="AG297" s="309"/>
      <c r="AH297" s="309"/>
      <c r="AI297" s="309"/>
      <c r="AJ297" s="309"/>
      <c r="AK297" s="309"/>
      <c r="AL297" s="309"/>
      <c r="AM297" s="309"/>
      <c r="AN297" s="309"/>
      <c r="AO297" s="309"/>
      <c r="AP297" s="309"/>
      <c r="AQ297" s="309"/>
      <c r="AR297" s="309"/>
      <c r="AS297" s="309"/>
      <c r="AT297" s="309"/>
      <c r="AU297" s="309"/>
      <c r="AV297" s="309"/>
      <c r="AW297" s="309"/>
      <c r="AX297" s="309"/>
      <c r="AY297" s="309"/>
      <c r="AZ297" s="309"/>
      <c r="BA297" s="310"/>
      <c r="BB297" s="310"/>
      <c r="BC297" s="310"/>
      <c r="BD297" s="310"/>
      <c r="BE297" s="310"/>
      <c r="BF297" s="310"/>
      <c r="BG297" s="310"/>
      <c r="BH297" s="310"/>
      <c r="BI297" s="310"/>
      <c r="BJ297" s="310"/>
      <c r="BK297" s="310"/>
      <c r="BL297" s="310"/>
      <c r="BM297" s="310"/>
      <c r="BN297" s="221"/>
      <c r="BO297" s="221"/>
      <c r="BP297" s="221"/>
      <c r="BQ297" s="221"/>
      <c r="BR297" s="221"/>
    </row>
    <row r="298" ht="15.75" customHeight="1">
      <c r="A298" s="220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309"/>
      <c r="Y298" s="309"/>
      <c r="Z298" s="309"/>
      <c r="AA298" s="309"/>
      <c r="AB298" s="309"/>
      <c r="AC298" s="309"/>
      <c r="AD298" s="309"/>
      <c r="AE298" s="309"/>
      <c r="AF298" s="309"/>
      <c r="AG298" s="309"/>
      <c r="AH298" s="309"/>
      <c r="AI298" s="309"/>
      <c r="AJ298" s="309"/>
      <c r="AK298" s="309"/>
      <c r="AL298" s="309"/>
      <c r="AM298" s="309"/>
      <c r="AN298" s="309"/>
      <c r="AO298" s="309"/>
      <c r="AP298" s="309"/>
      <c r="AQ298" s="309"/>
      <c r="AR298" s="309"/>
      <c r="AS298" s="309"/>
      <c r="AT298" s="309"/>
      <c r="AU298" s="309"/>
      <c r="AV298" s="309"/>
      <c r="AW298" s="309"/>
      <c r="AX298" s="309"/>
      <c r="AY298" s="309"/>
      <c r="AZ298" s="309"/>
      <c r="BA298" s="310"/>
      <c r="BB298" s="310"/>
      <c r="BC298" s="310"/>
      <c r="BD298" s="310"/>
      <c r="BE298" s="310"/>
      <c r="BF298" s="310"/>
      <c r="BG298" s="310"/>
      <c r="BH298" s="310"/>
      <c r="BI298" s="310"/>
      <c r="BJ298" s="310"/>
      <c r="BK298" s="310"/>
      <c r="BL298" s="310"/>
      <c r="BM298" s="310"/>
      <c r="BN298" s="221"/>
      <c r="BO298" s="221"/>
      <c r="BP298" s="221"/>
      <c r="BQ298" s="221"/>
      <c r="BR298" s="221"/>
    </row>
    <row r="299" ht="15.75" customHeight="1">
      <c r="A299" s="220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309"/>
      <c r="Y299" s="309"/>
      <c r="Z299" s="309"/>
      <c r="AA299" s="309"/>
      <c r="AB299" s="309"/>
      <c r="AC299" s="309"/>
      <c r="AD299" s="309"/>
      <c r="AE299" s="309"/>
      <c r="AF299" s="309"/>
      <c r="AG299" s="309"/>
      <c r="AH299" s="309"/>
      <c r="AI299" s="309"/>
      <c r="AJ299" s="309"/>
      <c r="AK299" s="309"/>
      <c r="AL299" s="309"/>
      <c r="AM299" s="309"/>
      <c r="AN299" s="309"/>
      <c r="AO299" s="309"/>
      <c r="AP299" s="309"/>
      <c r="AQ299" s="309"/>
      <c r="AR299" s="309"/>
      <c r="AS299" s="309"/>
      <c r="AT299" s="309"/>
      <c r="AU299" s="309"/>
      <c r="AV299" s="309"/>
      <c r="AW299" s="309"/>
      <c r="AX299" s="309"/>
      <c r="AY299" s="309"/>
      <c r="AZ299" s="309"/>
      <c r="BA299" s="310"/>
      <c r="BB299" s="310"/>
      <c r="BC299" s="310"/>
      <c r="BD299" s="310"/>
      <c r="BE299" s="310"/>
      <c r="BF299" s="310"/>
      <c r="BG299" s="310"/>
      <c r="BH299" s="310"/>
      <c r="BI299" s="310"/>
      <c r="BJ299" s="310"/>
      <c r="BK299" s="310"/>
      <c r="BL299" s="310"/>
      <c r="BM299" s="310"/>
      <c r="BN299" s="221"/>
      <c r="BO299" s="221"/>
      <c r="BP299" s="221"/>
      <c r="BQ299" s="221"/>
      <c r="BR299" s="221"/>
    </row>
    <row r="300" ht="15.75" customHeight="1">
      <c r="A300" s="220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309"/>
      <c r="Y300" s="309"/>
      <c r="Z300" s="309"/>
      <c r="AA300" s="309"/>
      <c r="AB300" s="309"/>
      <c r="AC300" s="309"/>
      <c r="AD300" s="309"/>
      <c r="AE300" s="309"/>
      <c r="AF300" s="309"/>
      <c r="AG300" s="309"/>
      <c r="AH300" s="309"/>
      <c r="AI300" s="309"/>
      <c r="AJ300" s="309"/>
      <c r="AK300" s="309"/>
      <c r="AL300" s="309"/>
      <c r="AM300" s="309"/>
      <c r="AN300" s="309"/>
      <c r="AO300" s="309"/>
      <c r="AP300" s="309"/>
      <c r="AQ300" s="309"/>
      <c r="AR300" s="309"/>
      <c r="AS300" s="309"/>
      <c r="AT300" s="309"/>
      <c r="AU300" s="309"/>
      <c r="AV300" s="309"/>
      <c r="AW300" s="309"/>
      <c r="AX300" s="309"/>
      <c r="AY300" s="309"/>
      <c r="AZ300" s="309"/>
      <c r="BA300" s="310"/>
      <c r="BB300" s="310"/>
      <c r="BC300" s="310"/>
      <c r="BD300" s="310"/>
      <c r="BE300" s="310"/>
      <c r="BF300" s="310"/>
      <c r="BG300" s="310"/>
      <c r="BH300" s="310"/>
      <c r="BI300" s="310"/>
      <c r="BJ300" s="310"/>
      <c r="BK300" s="310"/>
      <c r="BL300" s="310"/>
      <c r="BM300" s="310"/>
      <c r="BN300" s="221"/>
      <c r="BO300" s="221"/>
      <c r="BP300" s="221"/>
      <c r="BQ300" s="221"/>
      <c r="BR300" s="221"/>
    </row>
    <row r="301" ht="15.75" customHeight="1">
      <c r="A301" s="220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309"/>
      <c r="Y301" s="309"/>
      <c r="Z301" s="309"/>
      <c r="AA301" s="309"/>
      <c r="AB301" s="309"/>
      <c r="AC301" s="309"/>
      <c r="AD301" s="309"/>
      <c r="AE301" s="309"/>
      <c r="AF301" s="309"/>
      <c r="AG301" s="309"/>
      <c r="AH301" s="309"/>
      <c r="AI301" s="309"/>
      <c r="AJ301" s="309"/>
      <c r="AK301" s="309"/>
      <c r="AL301" s="309"/>
      <c r="AM301" s="309"/>
      <c r="AN301" s="309"/>
      <c r="AO301" s="309"/>
      <c r="AP301" s="309"/>
      <c r="AQ301" s="309"/>
      <c r="AR301" s="309"/>
      <c r="AS301" s="309"/>
      <c r="AT301" s="309"/>
      <c r="AU301" s="309"/>
      <c r="AV301" s="309"/>
      <c r="AW301" s="309"/>
      <c r="AX301" s="309"/>
      <c r="AY301" s="309"/>
      <c r="AZ301" s="309"/>
      <c r="BA301" s="310"/>
      <c r="BB301" s="310"/>
      <c r="BC301" s="310"/>
      <c r="BD301" s="310"/>
      <c r="BE301" s="310"/>
      <c r="BF301" s="310"/>
      <c r="BG301" s="310"/>
      <c r="BH301" s="310"/>
      <c r="BI301" s="310"/>
      <c r="BJ301" s="310"/>
      <c r="BK301" s="310"/>
      <c r="BL301" s="310"/>
      <c r="BM301" s="310"/>
      <c r="BN301" s="221"/>
      <c r="BO301" s="221"/>
      <c r="BP301" s="221"/>
      <c r="BQ301" s="221"/>
      <c r="BR301" s="221"/>
    </row>
    <row r="302" ht="15.75" customHeight="1">
      <c r="A302" s="220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309"/>
      <c r="Y302" s="309"/>
      <c r="Z302" s="309"/>
      <c r="AA302" s="309"/>
      <c r="AB302" s="309"/>
      <c r="AC302" s="309"/>
      <c r="AD302" s="309"/>
      <c r="AE302" s="309"/>
      <c r="AF302" s="309"/>
      <c r="AG302" s="309"/>
      <c r="AH302" s="309"/>
      <c r="AI302" s="309"/>
      <c r="AJ302" s="309"/>
      <c r="AK302" s="309"/>
      <c r="AL302" s="309"/>
      <c r="AM302" s="309"/>
      <c r="AN302" s="309"/>
      <c r="AO302" s="309"/>
      <c r="AP302" s="309"/>
      <c r="AQ302" s="309"/>
      <c r="AR302" s="309"/>
      <c r="AS302" s="309"/>
      <c r="AT302" s="309"/>
      <c r="AU302" s="309"/>
      <c r="AV302" s="309"/>
      <c r="AW302" s="309"/>
      <c r="AX302" s="309"/>
      <c r="AY302" s="309"/>
      <c r="AZ302" s="309"/>
      <c r="BA302" s="310"/>
      <c r="BB302" s="310"/>
      <c r="BC302" s="310"/>
      <c r="BD302" s="310"/>
      <c r="BE302" s="310"/>
      <c r="BF302" s="310"/>
      <c r="BG302" s="310"/>
      <c r="BH302" s="310"/>
      <c r="BI302" s="310"/>
      <c r="BJ302" s="310"/>
      <c r="BK302" s="310"/>
      <c r="BL302" s="310"/>
      <c r="BM302" s="310"/>
      <c r="BN302" s="221"/>
      <c r="BO302" s="221"/>
      <c r="BP302" s="221"/>
      <c r="BQ302" s="221"/>
      <c r="BR302" s="221"/>
    </row>
    <row r="303" ht="15.75" customHeight="1">
      <c r="A303" s="220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309"/>
      <c r="Y303" s="309"/>
      <c r="Z303" s="309"/>
      <c r="AA303" s="309"/>
      <c r="AB303" s="309"/>
      <c r="AC303" s="309"/>
      <c r="AD303" s="309"/>
      <c r="AE303" s="309"/>
      <c r="AF303" s="309"/>
      <c r="AG303" s="309"/>
      <c r="AH303" s="309"/>
      <c r="AI303" s="309"/>
      <c r="AJ303" s="309"/>
      <c r="AK303" s="309"/>
      <c r="AL303" s="309"/>
      <c r="AM303" s="309"/>
      <c r="AN303" s="309"/>
      <c r="AO303" s="309"/>
      <c r="AP303" s="309"/>
      <c r="AQ303" s="309"/>
      <c r="AR303" s="309"/>
      <c r="AS303" s="309"/>
      <c r="AT303" s="309"/>
      <c r="AU303" s="309"/>
      <c r="AV303" s="309"/>
      <c r="AW303" s="309"/>
      <c r="AX303" s="309"/>
      <c r="AY303" s="309"/>
      <c r="AZ303" s="309"/>
      <c r="BA303" s="310"/>
      <c r="BB303" s="310"/>
      <c r="BC303" s="310"/>
      <c r="BD303" s="310"/>
      <c r="BE303" s="310"/>
      <c r="BF303" s="310"/>
      <c r="BG303" s="310"/>
      <c r="BH303" s="310"/>
      <c r="BI303" s="310"/>
      <c r="BJ303" s="310"/>
      <c r="BK303" s="310"/>
      <c r="BL303" s="310"/>
      <c r="BM303" s="310"/>
      <c r="BN303" s="221"/>
      <c r="BO303" s="221"/>
      <c r="BP303" s="221"/>
      <c r="BQ303" s="221"/>
      <c r="BR303" s="221"/>
    </row>
    <row r="304" ht="15.75" customHeight="1">
      <c r="A304" s="220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309"/>
      <c r="Y304" s="309"/>
      <c r="Z304" s="309"/>
      <c r="AA304" s="309"/>
      <c r="AB304" s="309"/>
      <c r="AC304" s="309"/>
      <c r="AD304" s="309"/>
      <c r="AE304" s="309"/>
      <c r="AF304" s="309"/>
      <c r="AG304" s="309"/>
      <c r="AH304" s="309"/>
      <c r="AI304" s="309"/>
      <c r="AJ304" s="309"/>
      <c r="AK304" s="309"/>
      <c r="AL304" s="309"/>
      <c r="AM304" s="309"/>
      <c r="AN304" s="309"/>
      <c r="AO304" s="309"/>
      <c r="AP304" s="309"/>
      <c r="AQ304" s="309"/>
      <c r="AR304" s="309"/>
      <c r="AS304" s="309"/>
      <c r="AT304" s="309"/>
      <c r="AU304" s="309"/>
      <c r="AV304" s="309"/>
      <c r="AW304" s="309"/>
      <c r="AX304" s="309"/>
      <c r="AY304" s="309"/>
      <c r="AZ304" s="309"/>
      <c r="BA304" s="310"/>
      <c r="BB304" s="310"/>
      <c r="BC304" s="310"/>
      <c r="BD304" s="310"/>
      <c r="BE304" s="310"/>
      <c r="BF304" s="310"/>
      <c r="BG304" s="310"/>
      <c r="BH304" s="310"/>
      <c r="BI304" s="310"/>
      <c r="BJ304" s="310"/>
      <c r="BK304" s="310"/>
      <c r="BL304" s="310"/>
      <c r="BM304" s="310"/>
      <c r="BN304" s="221"/>
      <c r="BO304" s="221"/>
      <c r="BP304" s="221"/>
      <c r="BQ304" s="221"/>
      <c r="BR304" s="221"/>
    </row>
    <row r="305" ht="15.75" customHeight="1">
      <c r="A305" s="220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309"/>
      <c r="Y305" s="309"/>
      <c r="Z305" s="309"/>
      <c r="AA305" s="309"/>
      <c r="AB305" s="309"/>
      <c r="AC305" s="309"/>
      <c r="AD305" s="309"/>
      <c r="AE305" s="309"/>
      <c r="AF305" s="309"/>
      <c r="AG305" s="309"/>
      <c r="AH305" s="309"/>
      <c r="AI305" s="309"/>
      <c r="AJ305" s="309"/>
      <c r="AK305" s="309"/>
      <c r="AL305" s="309"/>
      <c r="AM305" s="309"/>
      <c r="AN305" s="309"/>
      <c r="AO305" s="309"/>
      <c r="AP305" s="309"/>
      <c r="AQ305" s="309"/>
      <c r="AR305" s="309"/>
      <c r="AS305" s="309"/>
      <c r="AT305" s="309"/>
      <c r="AU305" s="309"/>
      <c r="AV305" s="309"/>
      <c r="AW305" s="309"/>
      <c r="AX305" s="309"/>
      <c r="AY305" s="309"/>
      <c r="AZ305" s="309"/>
      <c r="BA305" s="310"/>
      <c r="BB305" s="310"/>
      <c r="BC305" s="310"/>
      <c r="BD305" s="310"/>
      <c r="BE305" s="310"/>
      <c r="BF305" s="310"/>
      <c r="BG305" s="310"/>
      <c r="BH305" s="310"/>
      <c r="BI305" s="310"/>
      <c r="BJ305" s="310"/>
      <c r="BK305" s="310"/>
      <c r="BL305" s="310"/>
      <c r="BM305" s="310"/>
      <c r="BN305" s="221"/>
      <c r="BO305" s="221"/>
      <c r="BP305" s="221"/>
      <c r="BQ305" s="221"/>
      <c r="BR305" s="221"/>
    </row>
    <row r="306" ht="15.75" customHeight="1">
      <c r="A306" s="220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309"/>
      <c r="Y306" s="309"/>
      <c r="Z306" s="309"/>
      <c r="AA306" s="309"/>
      <c r="AB306" s="309"/>
      <c r="AC306" s="309"/>
      <c r="AD306" s="309"/>
      <c r="AE306" s="309"/>
      <c r="AF306" s="309"/>
      <c r="AG306" s="309"/>
      <c r="AH306" s="309"/>
      <c r="AI306" s="309"/>
      <c r="AJ306" s="309"/>
      <c r="AK306" s="309"/>
      <c r="AL306" s="309"/>
      <c r="AM306" s="309"/>
      <c r="AN306" s="309"/>
      <c r="AO306" s="309"/>
      <c r="AP306" s="309"/>
      <c r="AQ306" s="309"/>
      <c r="AR306" s="309"/>
      <c r="AS306" s="309"/>
      <c r="AT306" s="309"/>
      <c r="AU306" s="309"/>
      <c r="AV306" s="309"/>
      <c r="AW306" s="309"/>
      <c r="AX306" s="309"/>
      <c r="AY306" s="309"/>
      <c r="AZ306" s="309"/>
      <c r="BA306" s="310"/>
      <c r="BB306" s="310"/>
      <c r="BC306" s="310"/>
      <c r="BD306" s="310"/>
      <c r="BE306" s="310"/>
      <c r="BF306" s="310"/>
      <c r="BG306" s="310"/>
      <c r="BH306" s="310"/>
      <c r="BI306" s="310"/>
      <c r="BJ306" s="310"/>
      <c r="BK306" s="310"/>
      <c r="BL306" s="310"/>
      <c r="BM306" s="310"/>
      <c r="BN306" s="221"/>
      <c r="BO306" s="221"/>
      <c r="BP306" s="221"/>
      <c r="BQ306" s="221"/>
      <c r="BR306" s="221"/>
    </row>
    <row r="307" ht="15.75" customHeight="1">
      <c r="A307" s="220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309"/>
      <c r="Y307" s="309"/>
      <c r="Z307" s="309"/>
      <c r="AA307" s="309"/>
      <c r="AB307" s="309"/>
      <c r="AC307" s="309"/>
      <c r="AD307" s="309"/>
      <c r="AE307" s="309"/>
      <c r="AF307" s="309"/>
      <c r="AG307" s="309"/>
      <c r="AH307" s="309"/>
      <c r="AI307" s="309"/>
      <c r="AJ307" s="309"/>
      <c r="AK307" s="309"/>
      <c r="AL307" s="309"/>
      <c r="AM307" s="309"/>
      <c r="AN307" s="309"/>
      <c r="AO307" s="309"/>
      <c r="AP307" s="309"/>
      <c r="AQ307" s="309"/>
      <c r="AR307" s="309"/>
      <c r="AS307" s="309"/>
      <c r="AT307" s="309"/>
      <c r="AU307" s="309"/>
      <c r="AV307" s="309"/>
      <c r="AW307" s="309"/>
      <c r="AX307" s="309"/>
      <c r="AY307" s="309"/>
      <c r="AZ307" s="309"/>
      <c r="BA307" s="310"/>
      <c r="BB307" s="310"/>
      <c r="BC307" s="310"/>
      <c r="BD307" s="310"/>
      <c r="BE307" s="310"/>
      <c r="BF307" s="310"/>
      <c r="BG307" s="310"/>
      <c r="BH307" s="310"/>
      <c r="BI307" s="310"/>
      <c r="BJ307" s="310"/>
      <c r="BK307" s="310"/>
      <c r="BL307" s="310"/>
      <c r="BM307" s="310"/>
      <c r="BN307" s="221"/>
      <c r="BO307" s="221"/>
      <c r="BP307" s="221"/>
      <c r="BQ307" s="221"/>
      <c r="BR307" s="221"/>
    </row>
    <row r="308" ht="15.75" customHeight="1">
      <c r="A308" s="220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309"/>
      <c r="Y308" s="309"/>
      <c r="Z308" s="309"/>
      <c r="AA308" s="309"/>
      <c r="AB308" s="309"/>
      <c r="AC308" s="309"/>
      <c r="AD308" s="309"/>
      <c r="AE308" s="309"/>
      <c r="AF308" s="309"/>
      <c r="AG308" s="309"/>
      <c r="AH308" s="309"/>
      <c r="AI308" s="309"/>
      <c r="AJ308" s="309"/>
      <c r="AK308" s="309"/>
      <c r="AL308" s="309"/>
      <c r="AM308" s="309"/>
      <c r="AN308" s="309"/>
      <c r="AO308" s="309"/>
      <c r="AP308" s="309"/>
      <c r="AQ308" s="309"/>
      <c r="AR308" s="309"/>
      <c r="AS308" s="309"/>
      <c r="AT308" s="309"/>
      <c r="AU308" s="309"/>
      <c r="AV308" s="309"/>
      <c r="AW308" s="309"/>
      <c r="AX308" s="309"/>
      <c r="AY308" s="309"/>
      <c r="AZ308" s="309"/>
      <c r="BA308" s="310"/>
      <c r="BB308" s="310"/>
      <c r="BC308" s="310"/>
      <c r="BD308" s="310"/>
      <c r="BE308" s="310"/>
      <c r="BF308" s="310"/>
      <c r="BG308" s="310"/>
      <c r="BH308" s="310"/>
      <c r="BI308" s="310"/>
      <c r="BJ308" s="310"/>
      <c r="BK308" s="310"/>
      <c r="BL308" s="310"/>
      <c r="BM308" s="310"/>
      <c r="BN308" s="221"/>
      <c r="BO308" s="221"/>
      <c r="BP308" s="221"/>
      <c r="BQ308" s="221"/>
      <c r="BR308" s="221"/>
    </row>
    <row r="309" ht="15.75" customHeight="1">
      <c r="A309" s="220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309"/>
      <c r="Y309" s="309"/>
      <c r="Z309" s="309"/>
      <c r="AA309" s="309"/>
      <c r="AB309" s="309"/>
      <c r="AC309" s="309"/>
      <c r="AD309" s="309"/>
      <c r="AE309" s="309"/>
      <c r="AF309" s="309"/>
      <c r="AG309" s="309"/>
      <c r="AH309" s="309"/>
      <c r="AI309" s="309"/>
      <c r="AJ309" s="309"/>
      <c r="AK309" s="309"/>
      <c r="AL309" s="309"/>
      <c r="AM309" s="309"/>
      <c r="AN309" s="309"/>
      <c r="AO309" s="309"/>
      <c r="AP309" s="309"/>
      <c r="AQ309" s="309"/>
      <c r="AR309" s="309"/>
      <c r="AS309" s="309"/>
      <c r="AT309" s="309"/>
      <c r="AU309" s="309"/>
      <c r="AV309" s="309"/>
      <c r="AW309" s="309"/>
      <c r="AX309" s="309"/>
      <c r="AY309" s="309"/>
      <c r="AZ309" s="309"/>
      <c r="BA309" s="310"/>
      <c r="BB309" s="310"/>
      <c r="BC309" s="310"/>
      <c r="BD309" s="310"/>
      <c r="BE309" s="310"/>
      <c r="BF309" s="310"/>
      <c r="BG309" s="310"/>
      <c r="BH309" s="310"/>
      <c r="BI309" s="310"/>
      <c r="BJ309" s="310"/>
      <c r="BK309" s="310"/>
      <c r="BL309" s="310"/>
      <c r="BM309" s="310"/>
      <c r="BN309" s="221"/>
      <c r="BO309" s="221"/>
      <c r="BP309" s="221"/>
      <c r="BQ309" s="221"/>
      <c r="BR309" s="221"/>
    </row>
    <row r="310" ht="15.75" customHeight="1">
      <c r="A310" s="220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309"/>
      <c r="Y310" s="309"/>
      <c r="Z310" s="309"/>
      <c r="AA310" s="309"/>
      <c r="AB310" s="309"/>
      <c r="AC310" s="309"/>
      <c r="AD310" s="309"/>
      <c r="AE310" s="309"/>
      <c r="AF310" s="309"/>
      <c r="AG310" s="309"/>
      <c r="AH310" s="309"/>
      <c r="AI310" s="309"/>
      <c r="AJ310" s="309"/>
      <c r="AK310" s="309"/>
      <c r="AL310" s="309"/>
      <c r="AM310" s="309"/>
      <c r="AN310" s="309"/>
      <c r="AO310" s="309"/>
      <c r="AP310" s="309"/>
      <c r="AQ310" s="309"/>
      <c r="AR310" s="309"/>
      <c r="AS310" s="309"/>
      <c r="AT310" s="309"/>
      <c r="AU310" s="309"/>
      <c r="AV310" s="309"/>
      <c r="AW310" s="309"/>
      <c r="AX310" s="309"/>
      <c r="AY310" s="309"/>
      <c r="AZ310" s="309"/>
      <c r="BA310" s="310"/>
      <c r="BB310" s="310"/>
      <c r="BC310" s="310"/>
      <c r="BD310" s="310"/>
      <c r="BE310" s="310"/>
      <c r="BF310" s="310"/>
      <c r="BG310" s="310"/>
      <c r="BH310" s="310"/>
      <c r="BI310" s="310"/>
      <c r="BJ310" s="310"/>
      <c r="BK310" s="310"/>
      <c r="BL310" s="310"/>
      <c r="BM310" s="310"/>
      <c r="BN310" s="221"/>
      <c r="BO310" s="221"/>
      <c r="BP310" s="221"/>
      <c r="BQ310" s="221"/>
      <c r="BR310" s="221"/>
    </row>
    <row r="311" ht="15.75" customHeight="1">
      <c r="A311" s="220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309"/>
      <c r="Y311" s="309"/>
      <c r="Z311" s="309"/>
      <c r="AA311" s="309"/>
      <c r="AB311" s="309"/>
      <c r="AC311" s="309"/>
      <c r="AD311" s="309"/>
      <c r="AE311" s="309"/>
      <c r="AF311" s="309"/>
      <c r="AG311" s="309"/>
      <c r="AH311" s="309"/>
      <c r="AI311" s="309"/>
      <c r="AJ311" s="309"/>
      <c r="AK311" s="309"/>
      <c r="AL311" s="309"/>
      <c r="AM311" s="309"/>
      <c r="AN311" s="309"/>
      <c r="AO311" s="309"/>
      <c r="AP311" s="309"/>
      <c r="AQ311" s="309"/>
      <c r="AR311" s="309"/>
      <c r="AS311" s="309"/>
      <c r="AT311" s="309"/>
      <c r="AU311" s="309"/>
      <c r="AV311" s="309"/>
      <c r="AW311" s="309"/>
      <c r="AX311" s="309"/>
      <c r="AY311" s="309"/>
      <c r="AZ311" s="309"/>
      <c r="BA311" s="310"/>
      <c r="BB311" s="310"/>
      <c r="BC311" s="310"/>
      <c r="BD311" s="310"/>
      <c r="BE311" s="310"/>
      <c r="BF311" s="310"/>
      <c r="BG311" s="310"/>
      <c r="BH311" s="310"/>
      <c r="BI311" s="310"/>
      <c r="BJ311" s="310"/>
      <c r="BK311" s="310"/>
      <c r="BL311" s="310"/>
      <c r="BM311" s="310"/>
      <c r="BN311" s="221"/>
      <c r="BO311" s="221"/>
      <c r="BP311" s="221"/>
      <c r="BQ311" s="221"/>
      <c r="BR311" s="221"/>
    </row>
    <row r="312" ht="15.75" customHeight="1">
      <c r="A312" s="220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309"/>
      <c r="Y312" s="309"/>
      <c r="Z312" s="309"/>
      <c r="AA312" s="309"/>
      <c r="AB312" s="309"/>
      <c r="AC312" s="309"/>
      <c r="AD312" s="309"/>
      <c r="AE312" s="309"/>
      <c r="AF312" s="309"/>
      <c r="AG312" s="309"/>
      <c r="AH312" s="309"/>
      <c r="AI312" s="309"/>
      <c r="AJ312" s="309"/>
      <c r="AK312" s="309"/>
      <c r="AL312" s="309"/>
      <c r="AM312" s="309"/>
      <c r="AN312" s="309"/>
      <c r="AO312" s="309"/>
      <c r="AP312" s="309"/>
      <c r="AQ312" s="309"/>
      <c r="AR312" s="309"/>
      <c r="AS312" s="309"/>
      <c r="AT312" s="309"/>
      <c r="AU312" s="309"/>
      <c r="AV312" s="309"/>
      <c r="AW312" s="309"/>
      <c r="AX312" s="309"/>
      <c r="AY312" s="309"/>
      <c r="AZ312" s="309"/>
      <c r="BA312" s="310"/>
      <c r="BB312" s="310"/>
      <c r="BC312" s="310"/>
      <c r="BD312" s="310"/>
      <c r="BE312" s="310"/>
      <c r="BF312" s="310"/>
      <c r="BG312" s="310"/>
      <c r="BH312" s="310"/>
      <c r="BI312" s="310"/>
      <c r="BJ312" s="310"/>
      <c r="BK312" s="310"/>
      <c r="BL312" s="310"/>
      <c r="BM312" s="310"/>
      <c r="BN312" s="221"/>
      <c r="BO312" s="221"/>
      <c r="BP312" s="221"/>
      <c r="BQ312" s="221"/>
      <c r="BR312" s="221"/>
    </row>
    <row r="313" ht="15.75" customHeight="1">
      <c r="A313" s="220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309"/>
      <c r="Y313" s="309"/>
      <c r="Z313" s="309"/>
      <c r="AA313" s="309"/>
      <c r="AB313" s="309"/>
      <c r="AC313" s="309"/>
      <c r="AD313" s="309"/>
      <c r="AE313" s="309"/>
      <c r="AF313" s="309"/>
      <c r="AG313" s="309"/>
      <c r="AH313" s="309"/>
      <c r="AI313" s="309"/>
      <c r="AJ313" s="309"/>
      <c r="AK313" s="309"/>
      <c r="AL313" s="309"/>
      <c r="AM313" s="309"/>
      <c r="AN313" s="309"/>
      <c r="AO313" s="309"/>
      <c r="AP313" s="309"/>
      <c r="AQ313" s="309"/>
      <c r="AR313" s="309"/>
      <c r="AS313" s="309"/>
      <c r="AT313" s="309"/>
      <c r="AU313" s="309"/>
      <c r="AV313" s="309"/>
      <c r="AW313" s="309"/>
      <c r="AX313" s="309"/>
      <c r="AY313" s="309"/>
      <c r="AZ313" s="309"/>
      <c r="BA313" s="310"/>
      <c r="BB313" s="310"/>
      <c r="BC313" s="310"/>
      <c r="BD313" s="310"/>
      <c r="BE313" s="310"/>
      <c r="BF313" s="310"/>
      <c r="BG313" s="310"/>
      <c r="BH313" s="310"/>
      <c r="BI313" s="310"/>
      <c r="BJ313" s="310"/>
      <c r="BK313" s="310"/>
      <c r="BL313" s="310"/>
      <c r="BM313" s="310"/>
      <c r="BN313" s="221"/>
      <c r="BO313" s="221"/>
      <c r="BP313" s="221"/>
      <c r="BQ313" s="221"/>
      <c r="BR313" s="221"/>
    </row>
    <row r="314" ht="15.75" customHeight="1">
      <c r="A314" s="220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309"/>
      <c r="Y314" s="309"/>
      <c r="Z314" s="309"/>
      <c r="AA314" s="309"/>
      <c r="AB314" s="309"/>
      <c r="AC314" s="309"/>
      <c r="AD314" s="309"/>
      <c r="AE314" s="309"/>
      <c r="AF314" s="309"/>
      <c r="AG314" s="309"/>
      <c r="AH314" s="309"/>
      <c r="AI314" s="309"/>
      <c r="AJ314" s="309"/>
      <c r="AK314" s="309"/>
      <c r="AL314" s="309"/>
      <c r="AM314" s="309"/>
      <c r="AN314" s="309"/>
      <c r="AO314" s="309"/>
      <c r="AP314" s="309"/>
      <c r="AQ314" s="309"/>
      <c r="AR314" s="309"/>
      <c r="AS314" s="309"/>
      <c r="AT314" s="309"/>
      <c r="AU314" s="309"/>
      <c r="AV314" s="309"/>
      <c r="AW314" s="309"/>
      <c r="AX314" s="309"/>
      <c r="AY314" s="309"/>
      <c r="AZ314" s="309"/>
      <c r="BA314" s="310"/>
      <c r="BB314" s="310"/>
      <c r="BC314" s="310"/>
      <c r="BD314" s="310"/>
      <c r="BE314" s="310"/>
      <c r="BF314" s="310"/>
      <c r="BG314" s="310"/>
      <c r="BH314" s="310"/>
      <c r="BI314" s="310"/>
      <c r="BJ314" s="310"/>
      <c r="BK314" s="310"/>
      <c r="BL314" s="310"/>
      <c r="BM314" s="310"/>
      <c r="BN314" s="221"/>
      <c r="BO314" s="221"/>
      <c r="BP314" s="221"/>
      <c r="BQ314" s="221"/>
      <c r="BR314" s="221"/>
    </row>
    <row r="315" ht="15.75" customHeight="1">
      <c r="A315" s="220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309"/>
      <c r="Y315" s="309"/>
      <c r="Z315" s="309"/>
      <c r="AA315" s="309"/>
      <c r="AB315" s="309"/>
      <c r="AC315" s="309"/>
      <c r="AD315" s="309"/>
      <c r="AE315" s="309"/>
      <c r="AF315" s="309"/>
      <c r="AG315" s="309"/>
      <c r="AH315" s="309"/>
      <c r="AI315" s="309"/>
      <c r="AJ315" s="309"/>
      <c r="AK315" s="309"/>
      <c r="AL315" s="309"/>
      <c r="AM315" s="309"/>
      <c r="AN315" s="309"/>
      <c r="AO315" s="309"/>
      <c r="AP315" s="309"/>
      <c r="AQ315" s="309"/>
      <c r="AR315" s="309"/>
      <c r="AS315" s="309"/>
      <c r="AT315" s="309"/>
      <c r="AU315" s="309"/>
      <c r="AV315" s="309"/>
      <c r="AW315" s="309"/>
      <c r="AX315" s="309"/>
      <c r="AY315" s="309"/>
      <c r="AZ315" s="309"/>
      <c r="BA315" s="310"/>
      <c r="BB315" s="310"/>
      <c r="BC315" s="310"/>
      <c r="BD315" s="310"/>
      <c r="BE315" s="310"/>
      <c r="BF315" s="310"/>
      <c r="BG315" s="310"/>
      <c r="BH315" s="310"/>
      <c r="BI315" s="310"/>
      <c r="BJ315" s="310"/>
      <c r="BK315" s="310"/>
      <c r="BL315" s="310"/>
      <c r="BM315" s="310"/>
      <c r="BN315" s="221"/>
      <c r="BO315" s="221"/>
      <c r="BP315" s="221"/>
      <c r="BQ315" s="221"/>
      <c r="BR315" s="221"/>
    </row>
    <row r="316" ht="15.75" customHeight="1">
      <c r="A316" s="220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309"/>
      <c r="Y316" s="309"/>
      <c r="Z316" s="309"/>
      <c r="AA316" s="309"/>
      <c r="AB316" s="309"/>
      <c r="AC316" s="309"/>
      <c r="AD316" s="309"/>
      <c r="AE316" s="309"/>
      <c r="AF316" s="309"/>
      <c r="AG316" s="309"/>
      <c r="AH316" s="309"/>
      <c r="AI316" s="309"/>
      <c r="AJ316" s="309"/>
      <c r="AK316" s="309"/>
      <c r="AL316" s="309"/>
      <c r="AM316" s="309"/>
      <c r="AN316" s="309"/>
      <c r="AO316" s="309"/>
      <c r="AP316" s="309"/>
      <c r="AQ316" s="309"/>
      <c r="AR316" s="309"/>
      <c r="AS316" s="309"/>
      <c r="AT316" s="309"/>
      <c r="AU316" s="309"/>
      <c r="AV316" s="309"/>
      <c r="AW316" s="309"/>
      <c r="AX316" s="309"/>
      <c r="AY316" s="309"/>
      <c r="AZ316" s="309"/>
      <c r="BA316" s="310"/>
      <c r="BB316" s="310"/>
      <c r="BC316" s="310"/>
      <c r="BD316" s="310"/>
      <c r="BE316" s="310"/>
      <c r="BF316" s="310"/>
      <c r="BG316" s="310"/>
      <c r="BH316" s="310"/>
      <c r="BI316" s="310"/>
      <c r="BJ316" s="310"/>
      <c r="BK316" s="310"/>
      <c r="BL316" s="310"/>
      <c r="BM316" s="310"/>
      <c r="BN316" s="221"/>
      <c r="BO316" s="221"/>
      <c r="BP316" s="221"/>
      <c r="BQ316" s="221"/>
      <c r="BR316" s="221"/>
    </row>
    <row r="317" ht="15.75" customHeight="1">
      <c r="A317" s="220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309"/>
      <c r="Y317" s="309"/>
      <c r="Z317" s="309"/>
      <c r="AA317" s="309"/>
      <c r="AB317" s="309"/>
      <c r="AC317" s="309"/>
      <c r="AD317" s="309"/>
      <c r="AE317" s="309"/>
      <c r="AF317" s="309"/>
      <c r="AG317" s="309"/>
      <c r="AH317" s="309"/>
      <c r="AI317" s="309"/>
      <c r="AJ317" s="309"/>
      <c r="AK317" s="309"/>
      <c r="AL317" s="309"/>
      <c r="AM317" s="309"/>
      <c r="AN317" s="309"/>
      <c r="AO317" s="309"/>
      <c r="AP317" s="309"/>
      <c r="AQ317" s="309"/>
      <c r="AR317" s="309"/>
      <c r="AS317" s="309"/>
      <c r="AT317" s="309"/>
      <c r="AU317" s="309"/>
      <c r="AV317" s="309"/>
      <c r="AW317" s="309"/>
      <c r="AX317" s="309"/>
      <c r="AY317" s="309"/>
      <c r="AZ317" s="309"/>
      <c r="BA317" s="310"/>
      <c r="BB317" s="310"/>
      <c r="BC317" s="310"/>
      <c r="BD317" s="310"/>
      <c r="BE317" s="310"/>
      <c r="BF317" s="310"/>
      <c r="BG317" s="310"/>
      <c r="BH317" s="310"/>
      <c r="BI317" s="310"/>
      <c r="BJ317" s="310"/>
      <c r="BK317" s="310"/>
      <c r="BL317" s="310"/>
      <c r="BM317" s="310"/>
      <c r="BN317" s="221"/>
      <c r="BO317" s="221"/>
      <c r="BP317" s="221"/>
      <c r="BQ317" s="221"/>
      <c r="BR317" s="221"/>
    </row>
    <row r="318" ht="15.75" customHeight="1">
      <c r="A318" s="220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309"/>
      <c r="Y318" s="309"/>
      <c r="Z318" s="309"/>
      <c r="AA318" s="309"/>
      <c r="AB318" s="309"/>
      <c r="AC318" s="309"/>
      <c r="AD318" s="309"/>
      <c r="AE318" s="309"/>
      <c r="AF318" s="309"/>
      <c r="AG318" s="309"/>
      <c r="AH318" s="309"/>
      <c r="AI318" s="309"/>
      <c r="AJ318" s="309"/>
      <c r="AK318" s="309"/>
      <c r="AL318" s="309"/>
      <c r="AM318" s="309"/>
      <c r="AN318" s="309"/>
      <c r="AO318" s="309"/>
      <c r="AP318" s="309"/>
      <c r="AQ318" s="309"/>
      <c r="AR318" s="309"/>
      <c r="AS318" s="309"/>
      <c r="AT318" s="309"/>
      <c r="AU318" s="309"/>
      <c r="AV318" s="309"/>
      <c r="AW318" s="309"/>
      <c r="AX318" s="309"/>
      <c r="AY318" s="309"/>
      <c r="AZ318" s="309"/>
      <c r="BA318" s="310"/>
      <c r="BB318" s="310"/>
      <c r="BC318" s="310"/>
      <c r="BD318" s="310"/>
      <c r="BE318" s="310"/>
      <c r="BF318" s="310"/>
      <c r="BG318" s="310"/>
      <c r="BH318" s="310"/>
      <c r="BI318" s="310"/>
      <c r="BJ318" s="310"/>
      <c r="BK318" s="310"/>
      <c r="BL318" s="310"/>
      <c r="BM318" s="310"/>
      <c r="BN318" s="221"/>
      <c r="BO318" s="221"/>
      <c r="BP318" s="221"/>
      <c r="BQ318" s="221"/>
      <c r="BR318" s="221"/>
    </row>
    <row r="319" ht="15.75" customHeight="1">
      <c r="A319" s="220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309"/>
      <c r="Y319" s="309"/>
      <c r="Z319" s="309"/>
      <c r="AA319" s="309"/>
      <c r="AB319" s="309"/>
      <c r="AC319" s="309"/>
      <c r="AD319" s="309"/>
      <c r="AE319" s="309"/>
      <c r="AF319" s="309"/>
      <c r="AG319" s="309"/>
      <c r="AH319" s="309"/>
      <c r="AI319" s="309"/>
      <c r="AJ319" s="309"/>
      <c r="AK319" s="309"/>
      <c r="AL319" s="309"/>
      <c r="AM319" s="309"/>
      <c r="AN319" s="309"/>
      <c r="AO319" s="309"/>
      <c r="AP319" s="309"/>
      <c r="AQ319" s="309"/>
      <c r="AR319" s="309"/>
      <c r="AS319" s="309"/>
      <c r="AT319" s="309"/>
      <c r="AU319" s="309"/>
      <c r="AV319" s="309"/>
      <c r="AW319" s="309"/>
      <c r="AX319" s="309"/>
      <c r="AY319" s="309"/>
      <c r="AZ319" s="309"/>
      <c r="BA319" s="310"/>
      <c r="BB319" s="310"/>
      <c r="BC319" s="310"/>
      <c r="BD319" s="310"/>
      <c r="BE319" s="310"/>
      <c r="BF319" s="310"/>
      <c r="BG319" s="310"/>
      <c r="BH319" s="310"/>
      <c r="BI319" s="310"/>
      <c r="BJ319" s="310"/>
      <c r="BK319" s="310"/>
      <c r="BL319" s="310"/>
      <c r="BM319" s="310"/>
      <c r="BN319" s="221"/>
      <c r="BO319" s="221"/>
      <c r="BP319" s="221"/>
      <c r="BQ319" s="221"/>
      <c r="BR319" s="221"/>
    </row>
    <row r="320" ht="15.75" customHeight="1">
      <c r="A320" s="220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309"/>
      <c r="Y320" s="309"/>
      <c r="Z320" s="309"/>
      <c r="AA320" s="309"/>
      <c r="AB320" s="309"/>
      <c r="AC320" s="309"/>
      <c r="AD320" s="309"/>
      <c r="AE320" s="309"/>
      <c r="AF320" s="309"/>
      <c r="AG320" s="309"/>
      <c r="AH320" s="309"/>
      <c r="AI320" s="309"/>
      <c r="AJ320" s="309"/>
      <c r="AK320" s="309"/>
      <c r="AL320" s="309"/>
      <c r="AM320" s="309"/>
      <c r="AN320" s="309"/>
      <c r="AO320" s="309"/>
      <c r="AP320" s="309"/>
      <c r="AQ320" s="309"/>
      <c r="AR320" s="309"/>
      <c r="AS320" s="309"/>
      <c r="AT320" s="309"/>
      <c r="AU320" s="309"/>
      <c r="AV320" s="309"/>
      <c r="AW320" s="309"/>
      <c r="AX320" s="309"/>
      <c r="AY320" s="309"/>
      <c r="AZ320" s="309"/>
      <c r="BA320" s="310"/>
      <c r="BB320" s="310"/>
      <c r="BC320" s="310"/>
      <c r="BD320" s="310"/>
      <c r="BE320" s="310"/>
      <c r="BF320" s="310"/>
      <c r="BG320" s="310"/>
      <c r="BH320" s="310"/>
      <c r="BI320" s="310"/>
      <c r="BJ320" s="310"/>
      <c r="BK320" s="310"/>
      <c r="BL320" s="310"/>
      <c r="BM320" s="310"/>
      <c r="BN320" s="221"/>
      <c r="BO320" s="221"/>
      <c r="BP320" s="221"/>
      <c r="BQ320" s="221"/>
      <c r="BR320" s="221"/>
    </row>
    <row r="321" ht="15.75" customHeight="1">
      <c r="A321" s="220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309"/>
      <c r="Y321" s="309"/>
      <c r="Z321" s="309"/>
      <c r="AA321" s="309"/>
      <c r="AB321" s="309"/>
      <c r="AC321" s="309"/>
      <c r="AD321" s="309"/>
      <c r="AE321" s="309"/>
      <c r="AF321" s="309"/>
      <c r="AG321" s="309"/>
      <c r="AH321" s="309"/>
      <c r="AI321" s="309"/>
      <c r="AJ321" s="309"/>
      <c r="AK321" s="309"/>
      <c r="AL321" s="309"/>
      <c r="AM321" s="309"/>
      <c r="AN321" s="309"/>
      <c r="AO321" s="309"/>
      <c r="AP321" s="309"/>
      <c r="AQ321" s="309"/>
      <c r="AR321" s="309"/>
      <c r="AS321" s="309"/>
      <c r="AT321" s="309"/>
      <c r="AU321" s="309"/>
      <c r="AV321" s="309"/>
      <c r="AW321" s="309"/>
      <c r="AX321" s="309"/>
      <c r="AY321" s="309"/>
      <c r="AZ321" s="309"/>
      <c r="BA321" s="310"/>
      <c r="BB321" s="310"/>
      <c r="BC321" s="310"/>
      <c r="BD321" s="310"/>
      <c r="BE321" s="310"/>
      <c r="BF321" s="310"/>
      <c r="BG321" s="310"/>
      <c r="BH321" s="310"/>
      <c r="BI321" s="310"/>
      <c r="BJ321" s="310"/>
      <c r="BK321" s="310"/>
      <c r="BL321" s="310"/>
      <c r="BM321" s="310"/>
      <c r="BN321" s="221"/>
      <c r="BO321" s="221"/>
      <c r="BP321" s="221"/>
      <c r="BQ321" s="221"/>
      <c r="BR321" s="221"/>
    </row>
    <row r="322" ht="15.75" customHeight="1">
      <c r="A322" s="220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309"/>
      <c r="Y322" s="309"/>
      <c r="Z322" s="309"/>
      <c r="AA322" s="309"/>
      <c r="AB322" s="309"/>
      <c r="AC322" s="309"/>
      <c r="AD322" s="309"/>
      <c r="AE322" s="309"/>
      <c r="AF322" s="309"/>
      <c r="AG322" s="309"/>
      <c r="AH322" s="309"/>
      <c r="AI322" s="309"/>
      <c r="AJ322" s="309"/>
      <c r="AK322" s="309"/>
      <c r="AL322" s="309"/>
      <c r="AM322" s="309"/>
      <c r="AN322" s="309"/>
      <c r="AO322" s="309"/>
      <c r="AP322" s="309"/>
      <c r="AQ322" s="309"/>
      <c r="AR322" s="309"/>
      <c r="AS322" s="309"/>
      <c r="AT322" s="309"/>
      <c r="AU322" s="309"/>
      <c r="AV322" s="309"/>
      <c r="AW322" s="309"/>
      <c r="AX322" s="309"/>
      <c r="AY322" s="309"/>
      <c r="AZ322" s="309"/>
      <c r="BA322" s="310"/>
      <c r="BB322" s="310"/>
      <c r="BC322" s="310"/>
      <c r="BD322" s="310"/>
      <c r="BE322" s="310"/>
      <c r="BF322" s="310"/>
      <c r="BG322" s="310"/>
      <c r="BH322" s="310"/>
      <c r="BI322" s="310"/>
      <c r="BJ322" s="310"/>
      <c r="BK322" s="310"/>
      <c r="BL322" s="310"/>
      <c r="BM322" s="310"/>
      <c r="BN322" s="221"/>
      <c r="BO322" s="221"/>
      <c r="BP322" s="221"/>
      <c r="BQ322" s="221"/>
      <c r="BR322" s="221"/>
    </row>
    <row r="323" ht="15.75" customHeight="1">
      <c r="A323" s="220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309"/>
      <c r="Y323" s="309"/>
      <c r="Z323" s="309"/>
      <c r="AA323" s="309"/>
      <c r="AB323" s="309"/>
      <c r="AC323" s="309"/>
      <c r="AD323" s="309"/>
      <c r="AE323" s="309"/>
      <c r="AF323" s="309"/>
      <c r="AG323" s="309"/>
      <c r="AH323" s="309"/>
      <c r="AI323" s="309"/>
      <c r="AJ323" s="309"/>
      <c r="AK323" s="309"/>
      <c r="AL323" s="309"/>
      <c r="AM323" s="309"/>
      <c r="AN323" s="309"/>
      <c r="AO323" s="309"/>
      <c r="AP323" s="309"/>
      <c r="AQ323" s="309"/>
      <c r="AR323" s="309"/>
      <c r="AS323" s="309"/>
      <c r="AT323" s="309"/>
      <c r="AU323" s="309"/>
      <c r="AV323" s="309"/>
      <c r="AW323" s="309"/>
      <c r="AX323" s="309"/>
      <c r="AY323" s="309"/>
      <c r="AZ323" s="309"/>
      <c r="BA323" s="310"/>
      <c r="BB323" s="310"/>
      <c r="BC323" s="310"/>
      <c r="BD323" s="310"/>
      <c r="BE323" s="310"/>
      <c r="BF323" s="310"/>
      <c r="BG323" s="310"/>
      <c r="BH323" s="310"/>
      <c r="BI323" s="310"/>
      <c r="BJ323" s="310"/>
      <c r="BK323" s="310"/>
      <c r="BL323" s="310"/>
      <c r="BM323" s="310"/>
      <c r="BN323" s="221"/>
      <c r="BO323" s="221"/>
      <c r="BP323" s="221"/>
      <c r="BQ323" s="221"/>
      <c r="BR323" s="221"/>
    </row>
    <row r="324" ht="15.75" customHeight="1">
      <c r="A324" s="220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309"/>
      <c r="Y324" s="309"/>
      <c r="Z324" s="309"/>
      <c r="AA324" s="309"/>
      <c r="AB324" s="309"/>
      <c r="AC324" s="309"/>
      <c r="AD324" s="309"/>
      <c r="AE324" s="309"/>
      <c r="AF324" s="309"/>
      <c r="AG324" s="309"/>
      <c r="AH324" s="309"/>
      <c r="AI324" s="309"/>
      <c r="AJ324" s="309"/>
      <c r="AK324" s="309"/>
      <c r="AL324" s="309"/>
      <c r="AM324" s="309"/>
      <c r="AN324" s="309"/>
      <c r="AO324" s="309"/>
      <c r="AP324" s="309"/>
      <c r="AQ324" s="309"/>
      <c r="AR324" s="309"/>
      <c r="AS324" s="309"/>
      <c r="AT324" s="309"/>
      <c r="AU324" s="309"/>
      <c r="AV324" s="309"/>
      <c r="AW324" s="309"/>
      <c r="AX324" s="309"/>
      <c r="AY324" s="309"/>
      <c r="AZ324" s="309"/>
      <c r="BA324" s="310"/>
      <c r="BB324" s="310"/>
      <c r="BC324" s="310"/>
      <c r="BD324" s="310"/>
      <c r="BE324" s="310"/>
      <c r="BF324" s="310"/>
      <c r="BG324" s="310"/>
      <c r="BH324" s="310"/>
      <c r="BI324" s="310"/>
      <c r="BJ324" s="310"/>
      <c r="BK324" s="310"/>
      <c r="BL324" s="310"/>
      <c r="BM324" s="310"/>
      <c r="BN324" s="221"/>
      <c r="BO324" s="221"/>
      <c r="BP324" s="221"/>
      <c r="BQ324" s="221"/>
      <c r="BR324" s="221"/>
    </row>
    <row r="325" ht="15.75" customHeight="1">
      <c r="A325" s="220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309"/>
      <c r="Y325" s="309"/>
      <c r="Z325" s="309"/>
      <c r="AA325" s="309"/>
      <c r="AB325" s="309"/>
      <c r="AC325" s="309"/>
      <c r="AD325" s="309"/>
      <c r="AE325" s="309"/>
      <c r="AF325" s="309"/>
      <c r="AG325" s="309"/>
      <c r="AH325" s="309"/>
      <c r="AI325" s="309"/>
      <c r="AJ325" s="309"/>
      <c r="AK325" s="309"/>
      <c r="AL325" s="309"/>
      <c r="AM325" s="309"/>
      <c r="AN325" s="309"/>
      <c r="AO325" s="309"/>
      <c r="AP325" s="309"/>
      <c r="AQ325" s="309"/>
      <c r="AR325" s="309"/>
      <c r="AS325" s="309"/>
      <c r="AT325" s="309"/>
      <c r="AU325" s="309"/>
      <c r="AV325" s="309"/>
      <c r="AW325" s="309"/>
      <c r="AX325" s="309"/>
      <c r="AY325" s="309"/>
      <c r="AZ325" s="309"/>
      <c r="BA325" s="310"/>
      <c r="BB325" s="310"/>
      <c r="BC325" s="310"/>
      <c r="BD325" s="310"/>
      <c r="BE325" s="310"/>
      <c r="BF325" s="310"/>
      <c r="BG325" s="310"/>
      <c r="BH325" s="310"/>
      <c r="BI325" s="310"/>
      <c r="BJ325" s="310"/>
      <c r="BK325" s="310"/>
      <c r="BL325" s="310"/>
      <c r="BM325" s="310"/>
      <c r="BN325" s="221"/>
      <c r="BO325" s="221"/>
      <c r="BP325" s="221"/>
      <c r="BQ325" s="221"/>
      <c r="BR325" s="221"/>
    </row>
    <row r="326" ht="15.75" customHeight="1">
      <c r="A326" s="220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309"/>
      <c r="Y326" s="309"/>
      <c r="Z326" s="309"/>
      <c r="AA326" s="309"/>
      <c r="AB326" s="309"/>
      <c r="AC326" s="309"/>
      <c r="AD326" s="309"/>
      <c r="AE326" s="309"/>
      <c r="AF326" s="309"/>
      <c r="AG326" s="309"/>
      <c r="AH326" s="309"/>
      <c r="AI326" s="309"/>
      <c r="AJ326" s="309"/>
      <c r="AK326" s="309"/>
      <c r="AL326" s="309"/>
      <c r="AM326" s="309"/>
      <c r="AN326" s="309"/>
      <c r="AO326" s="309"/>
      <c r="AP326" s="309"/>
      <c r="AQ326" s="309"/>
      <c r="AR326" s="309"/>
      <c r="AS326" s="309"/>
      <c r="AT326" s="309"/>
      <c r="AU326" s="309"/>
      <c r="AV326" s="309"/>
      <c r="AW326" s="309"/>
      <c r="AX326" s="309"/>
      <c r="AY326" s="309"/>
      <c r="AZ326" s="309"/>
      <c r="BA326" s="310"/>
      <c r="BB326" s="310"/>
      <c r="BC326" s="310"/>
      <c r="BD326" s="310"/>
      <c r="BE326" s="310"/>
      <c r="BF326" s="310"/>
      <c r="BG326" s="310"/>
      <c r="BH326" s="310"/>
      <c r="BI326" s="310"/>
      <c r="BJ326" s="310"/>
      <c r="BK326" s="310"/>
      <c r="BL326" s="310"/>
      <c r="BM326" s="310"/>
      <c r="BN326" s="221"/>
      <c r="BO326" s="221"/>
      <c r="BP326" s="221"/>
      <c r="BQ326" s="221"/>
      <c r="BR326" s="221"/>
    </row>
    <row r="327" ht="15.75" customHeight="1">
      <c r="A327" s="220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309"/>
      <c r="Y327" s="309"/>
      <c r="Z327" s="309"/>
      <c r="AA327" s="309"/>
      <c r="AB327" s="309"/>
      <c r="AC327" s="309"/>
      <c r="AD327" s="309"/>
      <c r="AE327" s="309"/>
      <c r="AF327" s="309"/>
      <c r="AG327" s="309"/>
      <c r="AH327" s="309"/>
      <c r="AI327" s="309"/>
      <c r="AJ327" s="309"/>
      <c r="AK327" s="309"/>
      <c r="AL327" s="309"/>
      <c r="AM327" s="309"/>
      <c r="AN327" s="309"/>
      <c r="AO327" s="309"/>
      <c r="AP327" s="309"/>
      <c r="AQ327" s="309"/>
      <c r="AR327" s="309"/>
      <c r="AS327" s="309"/>
      <c r="AT327" s="309"/>
      <c r="AU327" s="309"/>
      <c r="AV327" s="309"/>
      <c r="AW327" s="309"/>
      <c r="AX327" s="309"/>
      <c r="AY327" s="309"/>
      <c r="AZ327" s="309"/>
      <c r="BA327" s="310"/>
      <c r="BB327" s="310"/>
      <c r="BC327" s="310"/>
      <c r="BD327" s="310"/>
      <c r="BE327" s="310"/>
      <c r="BF327" s="310"/>
      <c r="BG327" s="310"/>
      <c r="BH327" s="310"/>
      <c r="BI327" s="310"/>
      <c r="BJ327" s="310"/>
      <c r="BK327" s="310"/>
      <c r="BL327" s="310"/>
      <c r="BM327" s="310"/>
      <c r="BN327" s="221"/>
      <c r="BO327" s="221"/>
      <c r="BP327" s="221"/>
      <c r="BQ327" s="221"/>
      <c r="BR327" s="221"/>
    </row>
    <row r="328" ht="15.75" customHeight="1">
      <c r="A328" s="220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309"/>
      <c r="Y328" s="309"/>
      <c r="Z328" s="309"/>
      <c r="AA328" s="309"/>
      <c r="AB328" s="309"/>
      <c r="AC328" s="309"/>
      <c r="AD328" s="309"/>
      <c r="AE328" s="309"/>
      <c r="AF328" s="309"/>
      <c r="AG328" s="309"/>
      <c r="AH328" s="309"/>
      <c r="AI328" s="309"/>
      <c r="AJ328" s="309"/>
      <c r="AK328" s="309"/>
      <c r="AL328" s="309"/>
      <c r="AM328" s="309"/>
      <c r="AN328" s="309"/>
      <c r="AO328" s="309"/>
      <c r="AP328" s="309"/>
      <c r="AQ328" s="309"/>
      <c r="AR328" s="309"/>
      <c r="AS328" s="309"/>
      <c r="AT328" s="309"/>
      <c r="AU328" s="309"/>
      <c r="AV328" s="309"/>
      <c r="AW328" s="309"/>
      <c r="AX328" s="309"/>
      <c r="AY328" s="309"/>
      <c r="AZ328" s="309"/>
      <c r="BA328" s="310"/>
      <c r="BB328" s="310"/>
      <c r="BC328" s="310"/>
      <c r="BD328" s="310"/>
      <c r="BE328" s="310"/>
      <c r="BF328" s="310"/>
      <c r="BG328" s="310"/>
      <c r="BH328" s="310"/>
      <c r="BI328" s="310"/>
      <c r="BJ328" s="310"/>
      <c r="BK328" s="310"/>
      <c r="BL328" s="310"/>
      <c r="BM328" s="310"/>
      <c r="BN328" s="221"/>
      <c r="BO328" s="221"/>
      <c r="BP328" s="221"/>
      <c r="BQ328" s="221"/>
      <c r="BR328" s="221"/>
    </row>
    <row r="329" ht="15.75" customHeight="1">
      <c r="A329" s="220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309"/>
      <c r="Y329" s="309"/>
      <c r="Z329" s="309"/>
      <c r="AA329" s="309"/>
      <c r="AB329" s="309"/>
      <c r="AC329" s="309"/>
      <c r="AD329" s="309"/>
      <c r="AE329" s="309"/>
      <c r="AF329" s="309"/>
      <c r="AG329" s="309"/>
      <c r="AH329" s="309"/>
      <c r="AI329" s="309"/>
      <c r="AJ329" s="309"/>
      <c r="AK329" s="309"/>
      <c r="AL329" s="309"/>
      <c r="AM329" s="309"/>
      <c r="AN329" s="309"/>
      <c r="AO329" s="309"/>
      <c r="AP329" s="309"/>
      <c r="AQ329" s="309"/>
      <c r="AR329" s="309"/>
      <c r="AS329" s="309"/>
      <c r="AT329" s="309"/>
      <c r="AU329" s="309"/>
      <c r="AV329" s="309"/>
      <c r="AW329" s="309"/>
      <c r="AX329" s="309"/>
      <c r="AY329" s="309"/>
      <c r="AZ329" s="309"/>
      <c r="BA329" s="310"/>
      <c r="BB329" s="310"/>
      <c r="BC329" s="310"/>
      <c r="BD329" s="310"/>
      <c r="BE329" s="310"/>
      <c r="BF329" s="310"/>
      <c r="BG329" s="310"/>
      <c r="BH329" s="310"/>
      <c r="BI329" s="310"/>
      <c r="BJ329" s="310"/>
      <c r="BK329" s="310"/>
      <c r="BL329" s="310"/>
      <c r="BM329" s="310"/>
      <c r="BN329" s="221"/>
      <c r="BO329" s="221"/>
      <c r="BP329" s="221"/>
      <c r="BQ329" s="221"/>
      <c r="BR329" s="221"/>
    </row>
    <row r="330" ht="15.75" customHeight="1">
      <c r="A330" s="220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309"/>
      <c r="Y330" s="309"/>
      <c r="Z330" s="309"/>
      <c r="AA330" s="309"/>
      <c r="AB330" s="309"/>
      <c r="AC330" s="309"/>
      <c r="AD330" s="309"/>
      <c r="AE330" s="309"/>
      <c r="AF330" s="309"/>
      <c r="AG330" s="309"/>
      <c r="AH330" s="309"/>
      <c r="AI330" s="309"/>
      <c r="AJ330" s="309"/>
      <c r="AK330" s="309"/>
      <c r="AL330" s="309"/>
      <c r="AM330" s="309"/>
      <c r="AN330" s="309"/>
      <c r="AO330" s="309"/>
      <c r="AP330" s="309"/>
      <c r="AQ330" s="309"/>
      <c r="AR330" s="309"/>
      <c r="AS330" s="309"/>
      <c r="AT330" s="309"/>
      <c r="AU330" s="309"/>
      <c r="AV330" s="309"/>
      <c r="AW330" s="309"/>
      <c r="AX330" s="309"/>
      <c r="AY330" s="309"/>
      <c r="AZ330" s="309"/>
      <c r="BA330" s="310"/>
      <c r="BB330" s="310"/>
      <c r="BC330" s="310"/>
      <c r="BD330" s="310"/>
      <c r="BE330" s="310"/>
      <c r="BF330" s="310"/>
      <c r="BG330" s="310"/>
      <c r="BH330" s="310"/>
      <c r="BI330" s="310"/>
      <c r="BJ330" s="310"/>
      <c r="BK330" s="310"/>
      <c r="BL330" s="310"/>
      <c r="BM330" s="310"/>
      <c r="BN330" s="221"/>
      <c r="BO330" s="221"/>
      <c r="BP330" s="221"/>
      <c r="BQ330" s="221"/>
      <c r="BR330" s="221"/>
    </row>
    <row r="331" ht="15.75" customHeight="1">
      <c r="A331" s="220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309"/>
      <c r="Y331" s="309"/>
      <c r="Z331" s="309"/>
      <c r="AA331" s="309"/>
      <c r="AB331" s="309"/>
      <c r="AC331" s="309"/>
      <c r="AD331" s="309"/>
      <c r="AE331" s="309"/>
      <c r="AF331" s="309"/>
      <c r="AG331" s="309"/>
      <c r="AH331" s="309"/>
      <c r="AI331" s="309"/>
      <c r="AJ331" s="309"/>
      <c r="AK331" s="309"/>
      <c r="AL331" s="309"/>
      <c r="AM331" s="309"/>
      <c r="AN331" s="309"/>
      <c r="AO331" s="309"/>
      <c r="AP331" s="309"/>
      <c r="AQ331" s="309"/>
      <c r="AR331" s="309"/>
      <c r="AS331" s="309"/>
      <c r="AT331" s="309"/>
      <c r="AU331" s="309"/>
      <c r="AV331" s="309"/>
      <c r="AW331" s="309"/>
      <c r="AX331" s="309"/>
      <c r="AY331" s="309"/>
      <c r="AZ331" s="309"/>
      <c r="BA331" s="310"/>
      <c r="BB331" s="310"/>
      <c r="BC331" s="310"/>
      <c r="BD331" s="310"/>
      <c r="BE331" s="310"/>
      <c r="BF331" s="310"/>
      <c r="BG331" s="310"/>
      <c r="BH331" s="310"/>
      <c r="BI331" s="310"/>
      <c r="BJ331" s="310"/>
      <c r="BK331" s="310"/>
      <c r="BL331" s="310"/>
      <c r="BM331" s="310"/>
      <c r="BN331" s="221"/>
      <c r="BO331" s="221"/>
      <c r="BP331" s="221"/>
      <c r="BQ331" s="221"/>
      <c r="BR331" s="221"/>
    </row>
    <row r="332" ht="15.75" customHeight="1">
      <c r="A332" s="220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309"/>
      <c r="Y332" s="309"/>
      <c r="Z332" s="309"/>
      <c r="AA332" s="309"/>
      <c r="AB332" s="309"/>
      <c r="AC332" s="309"/>
      <c r="AD332" s="309"/>
      <c r="AE332" s="309"/>
      <c r="AF332" s="309"/>
      <c r="AG332" s="309"/>
      <c r="AH332" s="309"/>
      <c r="AI332" s="309"/>
      <c r="AJ332" s="309"/>
      <c r="AK332" s="309"/>
      <c r="AL332" s="309"/>
      <c r="AM332" s="309"/>
      <c r="AN332" s="309"/>
      <c r="AO332" s="309"/>
      <c r="AP332" s="309"/>
      <c r="AQ332" s="309"/>
      <c r="AR332" s="309"/>
      <c r="AS332" s="309"/>
      <c r="AT332" s="309"/>
      <c r="AU332" s="309"/>
      <c r="AV332" s="309"/>
      <c r="AW332" s="309"/>
      <c r="AX332" s="309"/>
      <c r="AY332" s="309"/>
      <c r="AZ332" s="309"/>
      <c r="BA332" s="310"/>
      <c r="BB332" s="310"/>
      <c r="BC332" s="310"/>
      <c r="BD332" s="310"/>
      <c r="BE332" s="310"/>
      <c r="BF332" s="310"/>
      <c r="BG332" s="310"/>
      <c r="BH332" s="310"/>
      <c r="BI332" s="310"/>
      <c r="BJ332" s="310"/>
      <c r="BK332" s="310"/>
      <c r="BL332" s="310"/>
      <c r="BM332" s="310"/>
      <c r="BN332" s="221"/>
      <c r="BO332" s="221"/>
      <c r="BP332" s="221"/>
      <c r="BQ332" s="221"/>
      <c r="BR332" s="221"/>
    </row>
    <row r="333" ht="15.75" customHeight="1">
      <c r="A333" s="220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309"/>
      <c r="Y333" s="309"/>
      <c r="Z333" s="309"/>
      <c r="AA333" s="309"/>
      <c r="AB333" s="309"/>
      <c r="AC333" s="309"/>
      <c r="AD333" s="309"/>
      <c r="AE333" s="309"/>
      <c r="AF333" s="309"/>
      <c r="AG333" s="309"/>
      <c r="AH333" s="309"/>
      <c r="AI333" s="309"/>
      <c r="AJ333" s="309"/>
      <c r="AK333" s="309"/>
      <c r="AL333" s="309"/>
      <c r="AM333" s="309"/>
      <c r="AN333" s="309"/>
      <c r="AO333" s="309"/>
      <c r="AP333" s="309"/>
      <c r="AQ333" s="309"/>
      <c r="AR333" s="309"/>
      <c r="AS333" s="309"/>
      <c r="AT333" s="309"/>
      <c r="AU333" s="309"/>
      <c r="AV333" s="309"/>
      <c r="AW333" s="309"/>
      <c r="AX333" s="309"/>
      <c r="AY333" s="309"/>
      <c r="AZ333" s="309"/>
      <c r="BA333" s="310"/>
      <c r="BB333" s="310"/>
      <c r="BC333" s="310"/>
      <c r="BD333" s="310"/>
      <c r="BE333" s="310"/>
      <c r="BF333" s="310"/>
      <c r="BG333" s="310"/>
      <c r="BH333" s="310"/>
      <c r="BI333" s="310"/>
      <c r="BJ333" s="310"/>
      <c r="BK333" s="310"/>
      <c r="BL333" s="310"/>
      <c r="BM333" s="310"/>
      <c r="BN333" s="221"/>
      <c r="BO333" s="221"/>
      <c r="BP333" s="221"/>
      <c r="BQ333" s="221"/>
      <c r="BR333" s="221"/>
    </row>
    <row r="334" ht="15.75" customHeight="1">
      <c r="A334" s="220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309"/>
      <c r="Y334" s="309"/>
      <c r="Z334" s="309"/>
      <c r="AA334" s="309"/>
      <c r="AB334" s="309"/>
      <c r="AC334" s="309"/>
      <c r="AD334" s="309"/>
      <c r="AE334" s="309"/>
      <c r="AF334" s="309"/>
      <c r="AG334" s="309"/>
      <c r="AH334" s="309"/>
      <c r="AI334" s="309"/>
      <c r="AJ334" s="309"/>
      <c r="AK334" s="309"/>
      <c r="AL334" s="309"/>
      <c r="AM334" s="309"/>
      <c r="AN334" s="309"/>
      <c r="AO334" s="309"/>
      <c r="AP334" s="309"/>
      <c r="AQ334" s="309"/>
      <c r="AR334" s="309"/>
      <c r="AS334" s="309"/>
      <c r="AT334" s="309"/>
      <c r="AU334" s="309"/>
      <c r="AV334" s="309"/>
      <c r="AW334" s="309"/>
      <c r="AX334" s="309"/>
      <c r="AY334" s="309"/>
      <c r="AZ334" s="309"/>
      <c r="BA334" s="310"/>
      <c r="BB334" s="310"/>
      <c r="BC334" s="310"/>
      <c r="BD334" s="310"/>
      <c r="BE334" s="310"/>
      <c r="BF334" s="310"/>
      <c r="BG334" s="310"/>
      <c r="BH334" s="310"/>
      <c r="BI334" s="310"/>
      <c r="BJ334" s="310"/>
      <c r="BK334" s="310"/>
      <c r="BL334" s="310"/>
      <c r="BM334" s="310"/>
      <c r="BN334" s="221"/>
      <c r="BO334" s="221"/>
      <c r="BP334" s="221"/>
      <c r="BQ334" s="221"/>
      <c r="BR334" s="221"/>
    </row>
    <row r="335" ht="15.75" customHeight="1">
      <c r="A335" s="220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309"/>
      <c r="Y335" s="309"/>
      <c r="Z335" s="309"/>
      <c r="AA335" s="309"/>
      <c r="AB335" s="309"/>
      <c r="AC335" s="309"/>
      <c r="AD335" s="309"/>
      <c r="AE335" s="309"/>
      <c r="AF335" s="309"/>
      <c r="AG335" s="309"/>
      <c r="AH335" s="309"/>
      <c r="AI335" s="309"/>
      <c r="AJ335" s="309"/>
      <c r="AK335" s="309"/>
      <c r="AL335" s="309"/>
      <c r="AM335" s="309"/>
      <c r="AN335" s="309"/>
      <c r="AO335" s="309"/>
      <c r="AP335" s="309"/>
      <c r="AQ335" s="309"/>
      <c r="AR335" s="309"/>
      <c r="AS335" s="309"/>
      <c r="AT335" s="309"/>
      <c r="AU335" s="309"/>
      <c r="AV335" s="309"/>
      <c r="AW335" s="309"/>
      <c r="AX335" s="309"/>
      <c r="AY335" s="309"/>
      <c r="AZ335" s="309"/>
      <c r="BA335" s="310"/>
      <c r="BB335" s="310"/>
      <c r="BC335" s="310"/>
      <c r="BD335" s="310"/>
      <c r="BE335" s="310"/>
      <c r="BF335" s="310"/>
      <c r="BG335" s="310"/>
      <c r="BH335" s="310"/>
      <c r="BI335" s="310"/>
      <c r="BJ335" s="310"/>
      <c r="BK335" s="310"/>
      <c r="BL335" s="310"/>
      <c r="BM335" s="310"/>
      <c r="BN335" s="221"/>
      <c r="BO335" s="221"/>
      <c r="BP335" s="221"/>
      <c r="BQ335" s="221"/>
      <c r="BR335" s="221"/>
    </row>
    <row r="336" ht="15.75" customHeight="1">
      <c r="A336" s="220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309"/>
      <c r="Y336" s="309"/>
      <c r="Z336" s="309"/>
      <c r="AA336" s="309"/>
      <c r="AB336" s="309"/>
      <c r="AC336" s="309"/>
      <c r="AD336" s="309"/>
      <c r="AE336" s="309"/>
      <c r="AF336" s="309"/>
      <c r="AG336" s="309"/>
      <c r="AH336" s="309"/>
      <c r="AI336" s="309"/>
      <c r="AJ336" s="309"/>
      <c r="AK336" s="309"/>
      <c r="AL336" s="309"/>
      <c r="AM336" s="309"/>
      <c r="AN336" s="309"/>
      <c r="AO336" s="309"/>
      <c r="AP336" s="309"/>
      <c r="AQ336" s="309"/>
      <c r="AR336" s="309"/>
      <c r="AS336" s="309"/>
      <c r="AT336" s="309"/>
      <c r="AU336" s="309"/>
      <c r="AV336" s="309"/>
      <c r="AW336" s="309"/>
      <c r="AX336" s="309"/>
      <c r="AY336" s="309"/>
      <c r="AZ336" s="309"/>
      <c r="BA336" s="310"/>
      <c r="BB336" s="310"/>
      <c r="BC336" s="310"/>
      <c r="BD336" s="310"/>
      <c r="BE336" s="310"/>
      <c r="BF336" s="310"/>
      <c r="BG336" s="310"/>
      <c r="BH336" s="310"/>
      <c r="BI336" s="310"/>
      <c r="BJ336" s="310"/>
      <c r="BK336" s="310"/>
      <c r="BL336" s="310"/>
      <c r="BM336" s="310"/>
      <c r="BN336" s="221"/>
      <c r="BO336" s="221"/>
      <c r="BP336" s="221"/>
      <c r="BQ336" s="221"/>
      <c r="BR336" s="221"/>
    </row>
    <row r="337" ht="15.75" customHeight="1">
      <c r="A337" s="220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309"/>
      <c r="Y337" s="309"/>
      <c r="Z337" s="309"/>
      <c r="AA337" s="309"/>
      <c r="AB337" s="309"/>
      <c r="AC337" s="309"/>
      <c r="AD337" s="309"/>
      <c r="AE337" s="309"/>
      <c r="AF337" s="309"/>
      <c r="AG337" s="309"/>
      <c r="AH337" s="309"/>
      <c r="AI337" s="309"/>
      <c r="AJ337" s="309"/>
      <c r="AK337" s="309"/>
      <c r="AL337" s="309"/>
      <c r="AM337" s="309"/>
      <c r="AN337" s="309"/>
      <c r="AO337" s="309"/>
      <c r="AP337" s="309"/>
      <c r="AQ337" s="309"/>
      <c r="AR337" s="309"/>
      <c r="AS337" s="309"/>
      <c r="AT337" s="309"/>
      <c r="AU337" s="309"/>
      <c r="AV337" s="309"/>
      <c r="AW337" s="309"/>
      <c r="AX337" s="309"/>
      <c r="AY337" s="309"/>
      <c r="AZ337" s="309"/>
      <c r="BA337" s="310"/>
      <c r="BB337" s="310"/>
      <c r="BC337" s="310"/>
      <c r="BD337" s="310"/>
      <c r="BE337" s="310"/>
      <c r="BF337" s="310"/>
      <c r="BG337" s="310"/>
      <c r="BH337" s="310"/>
      <c r="BI337" s="310"/>
      <c r="BJ337" s="310"/>
      <c r="BK337" s="310"/>
      <c r="BL337" s="310"/>
      <c r="BM337" s="310"/>
      <c r="BN337" s="221"/>
      <c r="BO337" s="221"/>
      <c r="BP337" s="221"/>
      <c r="BQ337" s="221"/>
      <c r="BR337" s="221"/>
    </row>
    <row r="338" ht="15.75" customHeight="1">
      <c r="A338" s="220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309"/>
      <c r="Y338" s="309"/>
      <c r="Z338" s="309"/>
      <c r="AA338" s="309"/>
      <c r="AB338" s="309"/>
      <c r="AC338" s="309"/>
      <c r="AD338" s="309"/>
      <c r="AE338" s="309"/>
      <c r="AF338" s="309"/>
      <c r="AG338" s="309"/>
      <c r="AH338" s="309"/>
      <c r="AI338" s="309"/>
      <c r="AJ338" s="309"/>
      <c r="AK338" s="309"/>
      <c r="AL338" s="309"/>
      <c r="AM338" s="309"/>
      <c r="AN338" s="309"/>
      <c r="AO338" s="309"/>
      <c r="AP338" s="309"/>
      <c r="AQ338" s="309"/>
      <c r="AR338" s="309"/>
      <c r="AS338" s="309"/>
      <c r="AT338" s="309"/>
      <c r="AU338" s="309"/>
      <c r="AV338" s="309"/>
      <c r="AW338" s="309"/>
      <c r="AX338" s="309"/>
      <c r="AY338" s="309"/>
      <c r="AZ338" s="309"/>
      <c r="BA338" s="310"/>
      <c r="BB338" s="310"/>
      <c r="BC338" s="310"/>
      <c r="BD338" s="310"/>
      <c r="BE338" s="310"/>
      <c r="BF338" s="310"/>
      <c r="BG338" s="310"/>
      <c r="BH338" s="310"/>
      <c r="BI338" s="310"/>
      <c r="BJ338" s="310"/>
      <c r="BK338" s="310"/>
      <c r="BL338" s="310"/>
      <c r="BM338" s="310"/>
      <c r="BN338" s="221"/>
      <c r="BO338" s="221"/>
      <c r="BP338" s="221"/>
      <c r="BQ338" s="221"/>
      <c r="BR338" s="221"/>
    </row>
    <row r="339" ht="15.75" customHeight="1">
      <c r="A339" s="220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309"/>
      <c r="Y339" s="309"/>
      <c r="Z339" s="309"/>
      <c r="AA339" s="309"/>
      <c r="AB339" s="309"/>
      <c r="AC339" s="309"/>
      <c r="AD339" s="309"/>
      <c r="AE339" s="309"/>
      <c r="AF339" s="309"/>
      <c r="AG339" s="309"/>
      <c r="AH339" s="309"/>
      <c r="AI339" s="309"/>
      <c r="AJ339" s="309"/>
      <c r="AK339" s="309"/>
      <c r="AL339" s="309"/>
      <c r="AM339" s="309"/>
      <c r="AN339" s="309"/>
      <c r="AO339" s="309"/>
      <c r="AP339" s="309"/>
      <c r="AQ339" s="309"/>
      <c r="AR339" s="309"/>
      <c r="AS339" s="309"/>
      <c r="AT339" s="309"/>
      <c r="AU339" s="309"/>
      <c r="AV339" s="309"/>
      <c r="AW339" s="309"/>
      <c r="AX339" s="309"/>
      <c r="AY339" s="309"/>
      <c r="AZ339" s="309"/>
      <c r="BA339" s="310"/>
      <c r="BB339" s="310"/>
      <c r="BC339" s="310"/>
      <c r="BD339" s="310"/>
      <c r="BE339" s="310"/>
      <c r="BF339" s="310"/>
      <c r="BG339" s="310"/>
      <c r="BH339" s="310"/>
      <c r="BI339" s="310"/>
      <c r="BJ339" s="310"/>
      <c r="BK339" s="310"/>
      <c r="BL339" s="310"/>
      <c r="BM339" s="310"/>
      <c r="BN339" s="221"/>
      <c r="BO339" s="221"/>
      <c r="BP339" s="221"/>
      <c r="BQ339" s="221"/>
      <c r="BR339" s="221"/>
    </row>
    <row r="340" ht="15.75" customHeight="1">
      <c r="A340" s="220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309"/>
      <c r="Y340" s="309"/>
      <c r="Z340" s="309"/>
      <c r="AA340" s="309"/>
      <c r="AB340" s="309"/>
      <c r="AC340" s="309"/>
      <c r="AD340" s="309"/>
      <c r="AE340" s="309"/>
      <c r="AF340" s="309"/>
      <c r="AG340" s="309"/>
      <c r="AH340" s="309"/>
      <c r="AI340" s="309"/>
      <c r="AJ340" s="309"/>
      <c r="AK340" s="309"/>
      <c r="AL340" s="309"/>
      <c r="AM340" s="309"/>
      <c r="AN340" s="309"/>
      <c r="AO340" s="309"/>
      <c r="AP340" s="309"/>
      <c r="AQ340" s="309"/>
      <c r="AR340" s="309"/>
      <c r="AS340" s="309"/>
      <c r="AT340" s="309"/>
      <c r="AU340" s="309"/>
      <c r="AV340" s="309"/>
      <c r="AW340" s="309"/>
      <c r="AX340" s="309"/>
      <c r="AY340" s="309"/>
      <c r="AZ340" s="309"/>
      <c r="BA340" s="310"/>
      <c r="BB340" s="310"/>
      <c r="BC340" s="310"/>
      <c r="BD340" s="310"/>
      <c r="BE340" s="310"/>
      <c r="BF340" s="310"/>
      <c r="BG340" s="310"/>
      <c r="BH340" s="310"/>
      <c r="BI340" s="310"/>
      <c r="BJ340" s="310"/>
      <c r="BK340" s="310"/>
      <c r="BL340" s="310"/>
      <c r="BM340" s="310"/>
      <c r="BN340" s="221"/>
      <c r="BO340" s="221"/>
      <c r="BP340" s="221"/>
      <c r="BQ340" s="221"/>
      <c r="BR340" s="221"/>
    </row>
    <row r="341" ht="15.75" customHeight="1">
      <c r="A341" s="220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309"/>
      <c r="Y341" s="309"/>
      <c r="Z341" s="309"/>
      <c r="AA341" s="309"/>
      <c r="AB341" s="309"/>
      <c r="AC341" s="309"/>
      <c r="AD341" s="309"/>
      <c r="AE341" s="309"/>
      <c r="AF341" s="309"/>
      <c r="AG341" s="309"/>
      <c r="AH341" s="309"/>
      <c r="AI341" s="309"/>
      <c r="AJ341" s="309"/>
      <c r="AK341" s="309"/>
      <c r="AL341" s="309"/>
      <c r="AM341" s="309"/>
      <c r="AN341" s="309"/>
      <c r="AO341" s="309"/>
      <c r="AP341" s="309"/>
      <c r="AQ341" s="309"/>
      <c r="AR341" s="309"/>
      <c r="AS341" s="309"/>
      <c r="AT341" s="309"/>
      <c r="AU341" s="309"/>
      <c r="AV341" s="309"/>
      <c r="AW341" s="309"/>
      <c r="AX341" s="309"/>
      <c r="AY341" s="309"/>
      <c r="AZ341" s="309"/>
      <c r="BA341" s="310"/>
      <c r="BB341" s="310"/>
      <c r="BC341" s="310"/>
      <c r="BD341" s="310"/>
      <c r="BE341" s="310"/>
      <c r="BF341" s="310"/>
      <c r="BG341" s="310"/>
      <c r="BH341" s="310"/>
      <c r="BI341" s="310"/>
      <c r="BJ341" s="310"/>
      <c r="BK341" s="310"/>
      <c r="BL341" s="310"/>
      <c r="BM341" s="310"/>
      <c r="BN341" s="221"/>
      <c r="BO341" s="221"/>
      <c r="BP341" s="221"/>
      <c r="BQ341" s="221"/>
      <c r="BR341" s="221"/>
    </row>
    <row r="342" ht="15.75" customHeight="1">
      <c r="A342" s="220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309"/>
      <c r="Y342" s="309"/>
      <c r="Z342" s="309"/>
      <c r="AA342" s="309"/>
      <c r="AB342" s="309"/>
      <c r="AC342" s="309"/>
      <c r="AD342" s="309"/>
      <c r="AE342" s="309"/>
      <c r="AF342" s="309"/>
      <c r="AG342" s="309"/>
      <c r="AH342" s="309"/>
      <c r="AI342" s="309"/>
      <c r="AJ342" s="309"/>
      <c r="AK342" s="309"/>
      <c r="AL342" s="309"/>
      <c r="AM342" s="309"/>
      <c r="AN342" s="309"/>
      <c r="AO342" s="309"/>
      <c r="AP342" s="309"/>
      <c r="AQ342" s="309"/>
      <c r="AR342" s="309"/>
      <c r="AS342" s="309"/>
      <c r="AT342" s="309"/>
      <c r="AU342" s="309"/>
      <c r="AV342" s="309"/>
      <c r="AW342" s="309"/>
      <c r="AX342" s="309"/>
      <c r="AY342" s="309"/>
      <c r="AZ342" s="309"/>
      <c r="BA342" s="310"/>
      <c r="BB342" s="310"/>
      <c r="BC342" s="310"/>
      <c r="BD342" s="310"/>
      <c r="BE342" s="310"/>
      <c r="BF342" s="310"/>
      <c r="BG342" s="310"/>
      <c r="BH342" s="310"/>
      <c r="BI342" s="310"/>
      <c r="BJ342" s="310"/>
      <c r="BK342" s="310"/>
      <c r="BL342" s="310"/>
      <c r="BM342" s="310"/>
      <c r="BN342" s="221"/>
      <c r="BO342" s="221"/>
      <c r="BP342" s="221"/>
      <c r="BQ342" s="221"/>
      <c r="BR342" s="221"/>
    </row>
    <row r="343" ht="15.75" customHeight="1">
      <c r="A343" s="220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309"/>
      <c r="Y343" s="309"/>
      <c r="Z343" s="309"/>
      <c r="AA343" s="309"/>
      <c r="AB343" s="309"/>
      <c r="AC343" s="309"/>
      <c r="AD343" s="309"/>
      <c r="AE343" s="309"/>
      <c r="AF343" s="309"/>
      <c r="AG343" s="309"/>
      <c r="AH343" s="309"/>
      <c r="AI343" s="309"/>
      <c r="AJ343" s="309"/>
      <c r="AK343" s="309"/>
      <c r="AL343" s="309"/>
      <c r="AM343" s="309"/>
      <c r="AN343" s="309"/>
      <c r="AO343" s="309"/>
      <c r="AP343" s="309"/>
      <c r="AQ343" s="309"/>
      <c r="AR343" s="309"/>
      <c r="AS343" s="309"/>
      <c r="AT343" s="309"/>
      <c r="AU343" s="309"/>
      <c r="AV343" s="309"/>
      <c r="AW343" s="309"/>
      <c r="AX343" s="309"/>
      <c r="AY343" s="309"/>
      <c r="AZ343" s="309"/>
      <c r="BA343" s="310"/>
      <c r="BB343" s="310"/>
      <c r="BC343" s="310"/>
      <c r="BD343" s="310"/>
      <c r="BE343" s="310"/>
      <c r="BF343" s="310"/>
      <c r="BG343" s="310"/>
      <c r="BH343" s="310"/>
      <c r="BI343" s="310"/>
      <c r="BJ343" s="310"/>
      <c r="BK343" s="310"/>
      <c r="BL343" s="310"/>
      <c r="BM343" s="310"/>
      <c r="BN343" s="221"/>
      <c r="BO343" s="221"/>
      <c r="BP343" s="221"/>
      <c r="BQ343" s="221"/>
      <c r="BR343" s="221"/>
    </row>
    <row r="344" ht="15.75" customHeight="1">
      <c r="A344" s="220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309"/>
      <c r="Y344" s="309"/>
      <c r="Z344" s="309"/>
      <c r="AA344" s="309"/>
      <c r="AB344" s="309"/>
      <c r="AC344" s="309"/>
      <c r="AD344" s="309"/>
      <c r="AE344" s="309"/>
      <c r="AF344" s="309"/>
      <c r="AG344" s="309"/>
      <c r="AH344" s="309"/>
      <c r="AI344" s="309"/>
      <c r="AJ344" s="309"/>
      <c r="AK344" s="309"/>
      <c r="AL344" s="309"/>
      <c r="AM344" s="309"/>
      <c r="AN344" s="309"/>
      <c r="AO344" s="309"/>
      <c r="AP344" s="309"/>
      <c r="AQ344" s="309"/>
      <c r="AR344" s="309"/>
      <c r="AS344" s="309"/>
      <c r="AT344" s="309"/>
      <c r="AU344" s="309"/>
      <c r="AV344" s="309"/>
      <c r="AW344" s="309"/>
      <c r="AX344" s="309"/>
      <c r="AY344" s="309"/>
      <c r="AZ344" s="309"/>
      <c r="BA344" s="310"/>
      <c r="BB344" s="310"/>
      <c r="BC344" s="310"/>
      <c r="BD344" s="310"/>
      <c r="BE344" s="310"/>
      <c r="BF344" s="310"/>
      <c r="BG344" s="310"/>
      <c r="BH344" s="310"/>
      <c r="BI344" s="310"/>
      <c r="BJ344" s="310"/>
      <c r="BK344" s="310"/>
      <c r="BL344" s="310"/>
      <c r="BM344" s="310"/>
      <c r="BN344" s="221"/>
      <c r="BO344" s="221"/>
      <c r="BP344" s="221"/>
      <c r="BQ344" s="221"/>
      <c r="BR344" s="221"/>
    </row>
    <row r="345" ht="15.75" customHeight="1">
      <c r="A345" s="220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309"/>
      <c r="Y345" s="309"/>
      <c r="Z345" s="309"/>
      <c r="AA345" s="309"/>
      <c r="AB345" s="309"/>
      <c r="AC345" s="309"/>
      <c r="AD345" s="309"/>
      <c r="AE345" s="309"/>
      <c r="AF345" s="309"/>
      <c r="AG345" s="309"/>
      <c r="AH345" s="309"/>
      <c r="AI345" s="309"/>
      <c r="AJ345" s="309"/>
      <c r="AK345" s="309"/>
      <c r="AL345" s="309"/>
      <c r="AM345" s="309"/>
      <c r="AN345" s="309"/>
      <c r="AO345" s="309"/>
      <c r="AP345" s="309"/>
      <c r="AQ345" s="309"/>
      <c r="AR345" s="309"/>
      <c r="AS345" s="309"/>
      <c r="AT345" s="309"/>
      <c r="AU345" s="309"/>
      <c r="AV345" s="309"/>
      <c r="AW345" s="309"/>
      <c r="AX345" s="309"/>
      <c r="AY345" s="309"/>
      <c r="AZ345" s="309"/>
      <c r="BA345" s="310"/>
      <c r="BB345" s="310"/>
      <c r="BC345" s="310"/>
      <c r="BD345" s="310"/>
      <c r="BE345" s="310"/>
      <c r="BF345" s="310"/>
      <c r="BG345" s="310"/>
      <c r="BH345" s="310"/>
      <c r="BI345" s="310"/>
      <c r="BJ345" s="310"/>
      <c r="BK345" s="310"/>
      <c r="BL345" s="310"/>
      <c r="BM345" s="310"/>
      <c r="BN345" s="221"/>
      <c r="BO345" s="221"/>
      <c r="BP345" s="221"/>
      <c r="BQ345" s="221"/>
      <c r="BR345" s="221"/>
    </row>
    <row r="346" ht="15.75" customHeight="1">
      <c r="A346" s="220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309"/>
      <c r="Y346" s="309"/>
      <c r="Z346" s="309"/>
      <c r="AA346" s="309"/>
      <c r="AB346" s="309"/>
      <c r="AC346" s="309"/>
      <c r="AD346" s="309"/>
      <c r="AE346" s="309"/>
      <c r="AF346" s="309"/>
      <c r="AG346" s="309"/>
      <c r="AH346" s="309"/>
      <c r="AI346" s="309"/>
      <c r="AJ346" s="309"/>
      <c r="AK346" s="309"/>
      <c r="AL346" s="309"/>
      <c r="AM346" s="309"/>
      <c r="AN346" s="309"/>
      <c r="AO346" s="309"/>
      <c r="AP346" s="309"/>
      <c r="AQ346" s="309"/>
      <c r="AR346" s="309"/>
      <c r="AS346" s="309"/>
      <c r="AT346" s="309"/>
      <c r="AU346" s="309"/>
      <c r="AV346" s="309"/>
      <c r="AW346" s="309"/>
      <c r="AX346" s="309"/>
      <c r="AY346" s="309"/>
      <c r="AZ346" s="309"/>
      <c r="BA346" s="310"/>
      <c r="BB346" s="310"/>
      <c r="BC346" s="310"/>
      <c r="BD346" s="310"/>
      <c r="BE346" s="310"/>
      <c r="BF346" s="310"/>
      <c r="BG346" s="310"/>
      <c r="BH346" s="310"/>
      <c r="BI346" s="310"/>
      <c r="BJ346" s="310"/>
      <c r="BK346" s="310"/>
      <c r="BL346" s="310"/>
      <c r="BM346" s="310"/>
      <c r="BN346" s="221"/>
      <c r="BO346" s="221"/>
      <c r="BP346" s="221"/>
      <c r="BQ346" s="221"/>
      <c r="BR346" s="221"/>
    </row>
    <row r="347" ht="15.75" customHeight="1">
      <c r="A347" s="220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309"/>
      <c r="Y347" s="309"/>
      <c r="Z347" s="309"/>
      <c r="AA347" s="309"/>
      <c r="AB347" s="309"/>
      <c r="AC347" s="309"/>
      <c r="AD347" s="309"/>
      <c r="AE347" s="309"/>
      <c r="AF347" s="309"/>
      <c r="AG347" s="309"/>
      <c r="AH347" s="309"/>
      <c r="AI347" s="309"/>
      <c r="AJ347" s="309"/>
      <c r="AK347" s="309"/>
      <c r="AL347" s="309"/>
      <c r="AM347" s="309"/>
      <c r="AN347" s="309"/>
      <c r="AO347" s="309"/>
      <c r="AP347" s="309"/>
      <c r="AQ347" s="309"/>
      <c r="AR347" s="309"/>
      <c r="AS347" s="309"/>
      <c r="AT347" s="309"/>
      <c r="AU347" s="309"/>
      <c r="AV347" s="309"/>
      <c r="AW347" s="309"/>
      <c r="AX347" s="309"/>
      <c r="AY347" s="309"/>
      <c r="AZ347" s="309"/>
      <c r="BA347" s="310"/>
      <c r="BB347" s="310"/>
      <c r="BC347" s="310"/>
      <c r="BD347" s="310"/>
      <c r="BE347" s="310"/>
      <c r="BF347" s="310"/>
      <c r="BG347" s="310"/>
      <c r="BH347" s="310"/>
      <c r="BI347" s="310"/>
      <c r="BJ347" s="310"/>
      <c r="BK347" s="310"/>
      <c r="BL347" s="310"/>
      <c r="BM347" s="310"/>
      <c r="BN347" s="221"/>
      <c r="BO347" s="221"/>
      <c r="BP347" s="221"/>
      <c r="BQ347" s="221"/>
      <c r="BR347" s="221"/>
    </row>
    <row r="348" ht="15.75" customHeight="1">
      <c r="A348" s="220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309"/>
      <c r="Y348" s="309"/>
      <c r="Z348" s="309"/>
      <c r="AA348" s="309"/>
      <c r="AB348" s="309"/>
      <c r="AC348" s="309"/>
      <c r="AD348" s="309"/>
      <c r="AE348" s="309"/>
      <c r="AF348" s="309"/>
      <c r="AG348" s="309"/>
      <c r="AH348" s="309"/>
      <c r="AI348" s="309"/>
      <c r="AJ348" s="309"/>
      <c r="AK348" s="309"/>
      <c r="AL348" s="309"/>
      <c r="AM348" s="309"/>
      <c r="AN348" s="309"/>
      <c r="AO348" s="309"/>
      <c r="AP348" s="309"/>
      <c r="AQ348" s="309"/>
      <c r="AR348" s="309"/>
      <c r="AS348" s="309"/>
      <c r="AT348" s="309"/>
      <c r="AU348" s="309"/>
      <c r="AV348" s="309"/>
      <c r="AW348" s="309"/>
      <c r="AX348" s="309"/>
      <c r="AY348" s="309"/>
      <c r="AZ348" s="309"/>
      <c r="BA348" s="310"/>
      <c r="BB348" s="310"/>
      <c r="BC348" s="310"/>
      <c r="BD348" s="310"/>
      <c r="BE348" s="310"/>
      <c r="BF348" s="310"/>
      <c r="BG348" s="310"/>
      <c r="BH348" s="310"/>
      <c r="BI348" s="310"/>
      <c r="BJ348" s="310"/>
      <c r="BK348" s="310"/>
      <c r="BL348" s="310"/>
      <c r="BM348" s="310"/>
      <c r="BN348" s="221"/>
      <c r="BO348" s="221"/>
      <c r="BP348" s="221"/>
      <c r="BQ348" s="221"/>
      <c r="BR348" s="221"/>
    </row>
    <row r="349" ht="15.75" customHeight="1">
      <c r="A349" s="220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309"/>
      <c r="Y349" s="309"/>
      <c r="Z349" s="309"/>
      <c r="AA349" s="309"/>
      <c r="AB349" s="309"/>
      <c r="AC349" s="309"/>
      <c r="AD349" s="309"/>
      <c r="AE349" s="309"/>
      <c r="AF349" s="309"/>
      <c r="AG349" s="309"/>
      <c r="AH349" s="309"/>
      <c r="AI349" s="309"/>
      <c r="AJ349" s="309"/>
      <c r="AK349" s="309"/>
      <c r="AL349" s="309"/>
      <c r="AM349" s="309"/>
      <c r="AN349" s="309"/>
      <c r="AO349" s="309"/>
      <c r="AP349" s="309"/>
      <c r="AQ349" s="309"/>
      <c r="AR349" s="309"/>
      <c r="AS349" s="309"/>
      <c r="AT349" s="309"/>
      <c r="AU349" s="309"/>
      <c r="AV349" s="309"/>
      <c r="AW349" s="309"/>
      <c r="AX349" s="309"/>
      <c r="AY349" s="309"/>
      <c r="AZ349" s="309"/>
      <c r="BA349" s="310"/>
      <c r="BB349" s="310"/>
      <c r="BC349" s="310"/>
      <c r="BD349" s="310"/>
      <c r="BE349" s="310"/>
      <c r="BF349" s="310"/>
      <c r="BG349" s="310"/>
      <c r="BH349" s="310"/>
      <c r="BI349" s="310"/>
      <c r="BJ349" s="310"/>
      <c r="BK349" s="310"/>
      <c r="BL349" s="310"/>
      <c r="BM349" s="310"/>
      <c r="BN349" s="221"/>
      <c r="BO349" s="221"/>
      <c r="BP349" s="221"/>
      <c r="BQ349" s="221"/>
      <c r="BR349" s="221"/>
    </row>
    <row r="350" ht="15.75" customHeight="1">
      <c r="A350" s="220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309"/>
      <c r="Y350" s="309"/>
      <c r="Z350" s="309"/>
      <c r="AA350" s="309"/>
      <c r="AB350" s="309"/>
      <c r="AC350" s="309"/>
      <c r="AD350" s="309"/>
      <c r="AE350" s="309"/>
      <c r="AF350" s="309"/>
      <c r="AG350" s="309"/>
      <c r="AH350" s="309"/>
      <c r="AI350" s="309"/>
      <c r="AJ350" s="309"/>
      <c r="AK350" s="309"/>
      <c r="AL350" s="309"/>
      <c r="AM350" s="309"/>
      <c r="AN350" s="309"/>
      <c r="AO350" s="309"/>
      <c r="AP350" s="309"/>
      <c r="AQ350" s="309"/>
      <c r="AR350" s="309"/>
      <c r="AS350" s="309"/>
      <c r="AT350" s="309"/>
      <c r="AU350" s="309"/>
      <c r="AV350" s="309"/>
      <c r="AW350" s="309"/>
      <c r="AX350" s="309"/>
      <c r="AY350" s="309"/>
      <c r="AZ350" s="309"/>
      <c r="BA350" s="310"/>
      <c r="BB350" s="310"/>
      <c r="BC350" s="310"/>
      <c r="BD350" s="310"/>
      <c r="BE350" s="310"/>
      <c r="BF350" s="310"/>
      <c r="BG350" s="310"/>
      <c r="BH350" s="310"/>
      <c r="BI350" s="310"/>
      <c r="BJ350" s="310"/>
      <c r="BK350" s="310"/>
      <c r="BL350" s="310"/>
      <c r="BM350" s="310"/>
      <c r="BN350" s="221"/>
      <c r="BO350" s="221"/>
      <c r="BP350" s="221"/>
      <c r="BQ350" s="221"/>
      <c r="BR350" s="221"/>
    </row>
    <row r="351" ht="15.75" customHeight="1">
      <c r="A351" s="220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309"/>
      <c r="Y351" s="309"/>
      <c r="Z351" s="309"/>
      <c r="AA351" s="309"/>
      <c r="AB351" s="309"/>
      <c r="AC351" s="309"/>
      <c r="AD351" s="309"/>
      <c r="AE351" s="309"/>
      <c r="AF351" s="309"/>
      <c r="AG351" s="309"/>
      <c r="AH351" s="309"/>
      <c r="AI351" s="309"/>
      <c r="AJ351" s="309"/>
      <c r="AK351" s="309"/>
      <c r="AL351" s="309"/>
      <c r="AM351" s="309"/>
      <c r="AN351" s="309"/>
      <c r="AO351" s="309"/>
      <c r="AP351" s="309"/>
      <c r="AQ351" s="309"/>
      <c r="AR351" s="309"/>
      <c r="AS351" s="309"/>
      <c r="AT351" s="309"/>
      <c r="AU351" s="309"/>
      <c r="AV351" s="309"/>
      <c r="AW351" s="309"/>
      <c r="AX351" s="309"/>
      <c r="AY351" s="309"/>
      <c r="AZ351" s="309"/>
      <c r="BA351" s="310"/>
      <c r="BB351" s="310"/>
      <c r="BC351" s="310"/>
      <c r="BD351" s="310"/>
      <c r="BE351" s="310"/>
      <c r="BF351" s="310"/>
      <c r="BG351" s="310"/>
      <c r="BH351" s="310"/>
      <c r="BI351" s="310"/>
      <c r="BJ351" s="310"/>
      <c r="BK351" s="310"/>
      <c r="BL351" s="310"/>
      <c r="BM351" s="310"/>
      <c r="BN351" s="221"/>
      <c r="BO351" s="221"/>
      <c r="BP351" s="221"/>
      <c r="BQ351" s="221"/>
      <c r="BR351" s="221"/>
    </row>
    <row r="352" ht="15.75" customHeight="1">
      <c r="A352" s="220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309"/>
      <c r="Y352" s="309"/>
      <c r="Z352" s="309"/>
      <c r="AA352" s="309"/>
      <c r="AB352" s="309"/>
      <c r="AC352" s="309"/>
      <c r="AD352" s="309"/>
      <c r="AE352" s="309"/>
      <c r="AF352" s="309"/>
      <c r="AG352" s="309"/>
      <c r="AH352" s="309"/>
      <c r="AI352" s="309"/>
      <c r="AJ352" s="309"/>
      <c r="AK352" s="309"/>
      <c r="AL352" s="309"/>
      <c r="AM352" s="309"/>
      <c r="AN352" s="309"/>
      <c r="AO352" s="309"/>
      <c r="AP352" s="309"/>
      <c r="AQ352" s="309"/>
      <c r="AR352" s="309"/>
      <c r="AS352" s="309"/>
      <c r="AT352" s="309"/>
      <c r="AU352" s="309"/>
      <c r="AV352" s="309"/>
      <c r="AW352" s="309"/>
      <c r="AX352" s="309"/>
      <c r="AY352" s="309"/>
      <c r="AZ352" s="309"/>
      <c r="BA352" s="310"/>
      <c r="BB352" s="310"/>
      <c r="BC352" s="310"/>
      <c r="BD352" s="310"/>
      <c r="BE352" s="310"/>
      <c r="BF352" s="310"/>
      <c r="BG352" s="310"/>
      <c r="BH352" s="310"/>
      <c r="BI352" s="310"/>
      <c r="BJ352" s="310"/>
      <c r="BK352" s="310"/>
      <c r="BL352" s="310"/>
      <c r="BM352" s="310"/>
      <c r="BN352" s="221"/>
      <c r="BO352" s="221"/>
      <c r="BP352" s="221"/>
      <c r="BQ352" s="221"/>
      <c r="BR352" s="221"/>
    </row>
    <row r="353" ht="15.75" customHeight="1">
      <c r="A353" s="220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309"/>
      <c r="Y353" s="309"/>
      <c r="Z353" s="309"/>
      <c r="AA353" s="309"/>
      <c r="AB353" s="309"/>
      <c r="AC353" s="309"/>
      <c r="AD353" s="309"/>
      <c r="AE353" s="309"/>
      <c r="AF353" s="309"/>
      <c r="AG353" s="309"/>
      <c r="AH353" s="309"/>
      <c r="AI353" s="309"/>
      <c r="AJ353" s="309"/>
      <c r="AK353" s="309"/>
      <c r="AL353" s="309"/>
      <c r="AM353" s="309"/>
      <c r="AN353" s="309"/>
      <c r="AO353" s="309"/>
      <c r="AP353" s="309"/>
      <c r="AQ353" s="309"/>
      <c r="AR353" s="309"/>
      <c r="AS353" s="309"/>
      <c r="AT353" s="309"/>
      <c r="AU353" s="309"/>
      <c r="AV353" s="309"/>
      <c r="AW353" s="309"/>
      <c r="AX353" s="309"/>
      <c r="AY353" s="309"/>
      <c r="AZ353" s="309"/>
      <c r="BA353" s="310"/>
      <c r="BB353" s="310"/>
      <c r="BC353" s="310"/>
      <c r="BD353" s="310"/>
      <c r="BE353" s="310"/>
      <c r="BF353" s="310"/>
      <c r="BG353" s="310"/>
      <c r="BH353" s="310"/>
      <c r="BI353" s="310"/>
      <c r="BJ353" s="310"/>
      <c r="BK353" s="310"/>
      <c r="BL353" s="310"/>
      <c r="BM353" s="310"/>
      <c r="BN353" s="221"/>
      <c r="BO353" s="221"/>
      <c r="BP353" s="221"/>
      <c r="BQ353" s="221"/>
      <c r="BR353" s="221"/>
    </row>
    <row r="354" ht="15.75" customHeight="1">
      <c r="A354" s="220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309"/>
      <c r="Y354" s="309"/>
      <c r="Z354" s="309"/>
      <c r="AA354" s="309"/>
      <c r="AB354" s="309"/>
      <c r="AC354" s="309"/>
      <c r="AD354" s="309"/>
      <c r="AE354" s="309"/>
      <c r="AF354" s="309"/>
      <c r="AG354" s="309"/>
      <c r="AH354" s="309"/>
      <c r="AI354" s="309"/>
      <c r="AJ354" s="309"/>
      <c r="AK354" s="309"/>
      <c r="AL354" s="309"/>
      <c r="AM354" s="309"/>
      <c r="AN354" s="309"/>
      <c r="AO354" s="309"/>
      <c r="AP354" s="309"/>
      <c r="AQ354" s="309"/>
      <c r="AR354" s="309"/>
      <c r="AS354" s="309"/>
      <c r="AT354" s="309"/>
      <c r="AU354" s="309"/>
      <c r="AV354" s="309"/>
      <c r="AW354" s="309"/>
      <c r="AX354" s="309"/>
      <c r="AY354" s="309"/>
      <c r="AZ354" s="309"/>
      <c r="BA354" s="310"/>
      <c r="BB354" s="310"/>
      <c r="BC354" s="310"/>
      <c r="BD354" s="310"/>
      <c r="BE354" s="310"/>
      <c r="BF354" s="310"/>
      <c r="BG354" s="310"/>
      <c r="BH354" s="310"/>
      <c r="BI354" s="310"/>
      <c r="BJ354" s="310"/>
      <c r="BK354" s="310"/>
      <c r="BL354" s="310"/>
      <c r="BM354" s="310"/>
      <c r="BN354" s="221"/>
      <c r="BO354" s="221"/>
      <c r="BP354" s="221"/>
      <c r="BQ354" s="221"/>
      <c r="BR354" s="221"/>
    </row>
    <row r="355" ht="15.75" customHeight="1">
      <c r="A355" s="220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309"/>
      <c r="Y355" s="309"/>
      <c r="Z355" s="309"/>
      <c r="AA355" s="309"/>
      <c r="AB355" s="309"/>
      <c r="AC355" s="309"/>
      <c r="AD355" s="309"/>
      <c r="AE355" s="309"/>
      <c r="AF355" s="309"/>
      <c r="AG355" s="309"/>
      <c r="AH355" s="309"/>
      <c r="AI355" s="309"/>
      <c r="AJ355" s="309"/>
      <c r="AK355" s="309"/>
      <c r="AL355" s="309"/>
      <c r="AM355" s="309"/>
      <c r="AN355" s="309"/>
      <c r="AO355" s="309"/>
      <c r="AP355" s="309"/>
      <c r="AQ355" s="309"/>
      <c r="AR355" s="309"/>
      <c r="AS355" s="309"/>
      <c r="AT355" s="309"/>
      <c r="AU355" s="309"/>
      <c r="AV355" s="309"/>
      <c r="AW355" s="309"/>
      <c r="AX355" s="309"/>
      <c r="AY355" s="309"/>
      <c r="AZ355" s="309"/>
      <c r="BA355" s="310"/>
      <c r="BB355" s="310"/>
      <c r="BC355" s="310"/>
      <c r="BD355" s="310"/>
      <c r="BE355" s="310"/>
      <c r="BF355" s="310"/>
      <c r="BG355" s="310"/>
      <c r="BH355" s="310"/>
      <c r="BI355" s="310"/>
      <c r="BJ355" s="310"/>
      <c r="BK355" s="310"/>
      <c r="BL355" s="310"/>
      <c r="BM355" s="310"/>
      <c r="BN355" s="221"/>
      <c r="BO355" s="221"/>
      <c r="BP355" s="221"/>
      <c r="BQ355" s="221"/>
      <c r="BR355" s="221"/>
    </row>
    <row r="356" ht="15.75" customHeight="1">
      <c r="A356" s="220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309"/>
      <c r="Y356" s="309"/>
      <c r="Z356" s="309"/>
      <c r="AA356" s="309"/>
      <c r="AB356" s="309"/>
      <c r="AC356" s="309"/>
      <c r="AD356" s="309"/>
      <c r="AE356" s="309"/>
      <c r="AF356" s="309"/>
      <c r="AG356" s="309"/>
      <c r="AH356" s="309"/>
      <c r="AI356" s="309"/>
      <c r="AJ356" s="309"/>
      <c r="AK356" s="309"/>
      <c r="AL356" s="309"/>
      <c r="AM356" s="309"/>
      <c r="AN356" s="309"/>
      <c r="AO356" s="309"/>
      <c r="AP356" s="309"/>
      <c r="AQ356" s="309"/>
      <c r="AR356" s="309"/>
      <c r="AS356" s="309"/>
      <c r="AT356" s="309"/>
      <c r="AU356" s="309"/>
      <c r="AV356" s="309"/>
      <c r="AW356" s="309"/>
      <c r="AX356" s="309"/>
      <c r="AY356" s="309"/>
      <c r="AZ356" s="309"/>
      <c r="BA356" s="310"/>
      <c r="BB356" s="310"/>
      <c r="BC356" s="310"/>
      <c r="BD356" s="310"/>
      <c r="BE356" s="310"/>
      <c r="BF356" s="310"/>
      <c r="BG356" s="310"/>
      <c r="BH356" s="310"/>
      <c r="BI356" s="310"/>
      <c r="BJ356" s="310"/>
      <c r="BK356" s="310"/>
      <c r="BL356" s="310"/>
      <c r="BM356" s="310"/>
      <c r="BN356" s="221"/>
      <c r="BO356" s="221"/>
      <c r="BP356" s="221"/>
      <c r="BQ356" s="221"/>
      <c r="BR356" s="221"/>
    </row>
    <row r="357" ht="15.75" customHeight="1">
      <c r="A357" s="220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309"/>
      <c r="Y357" s="309"/>
      <c r="Z357" s="309"/>
      <c r="AA357" s="309"/>
      <c r="AB357" s="309"/>
      <c r="AC357" s="309"/>
      <c r="AD357" s="309"/>
      <c r="AE357" s="309"/>
      <c r="AF357" s="309"/>
      <c r="AG357" s="309"/>
      <c r="AH357" s="309"/>
      <c r="AI357" s="309"/>
      <c r="AJ357" s="309"/>
      <c r="AK357" s="309"/>
      <c r="AL357" s="309"/>
      <c r="AM357" s="309"/>
      <c r="AN357" s="309"/>
      <c r="AO357" s="309"/>
      <c r="AP357" s="309"/>
      <c r="AQ357" s="309"/>
      <c r="AR357" s="309"/>
      <c r="AS357" s="309"/>
      <c r="AT357" s="309"/>
      <c r="AU357" s="309"/>
      <c r="AV357" s="309"/>
      <c r="AW357" s="309"/>
      <c r="AX357" s="309"/>
      <c r="AY357" s="309"/>
      <c r="AZ357" s="309"/>
      <c r="BA357" s="310"/>
      <c r="BB357" s="310"/>
      <c r="BC357" s="310"/>
      <c r="BD357" s="310"/>
      <c r="BE357" s="310"/>
      <c r="BF357" s="310"/>
      <c r="BG357" s="310"/>
      <c r="BH357" s="310"/>
      <c r="BI357" s="310"/>
      <c r="BJ357" s="310"/>
      <c r="BK357" s="310"/>
      <c r="BL357" s="310"/>
      <c r="BM357" s="310"/>
      <c r="BN357" s="221"/>
      <c r="BO357" s="221"/>
      <c r="BP357" s="221"/>
      <c r="BQ357" s="221"/>
      <c r="BR357" s="221"/>
    </row>
    <row r="358" ht="15.75" customHeight="1">
      <c r="A358" s="220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309"/>
      <c r="Y358" s="309"/>
      <c r="Z358" s="309"/>
      <c r="AA358" s="309"/>
      <c r="AB358" s="309"/>
      <c r="AC358" s="309"/>
      <c r="AD358" s="309"/>
      <c r="AE358" s="309"/>
      <c r="AF358" s="309"/>
      <c r="AG358" s="309"/>
      <c r="AH358" s="309"/>
      <c r="AI358" s="309"/>
      <c r="AJ358" s="309"/>
      <c r="AK358" s="309"/>
      <c r="AL358" s="309"/>
      <c r="AM358" s="309"/>
      <c r="AN358" s="309"/>
      <c r="AO358" s="309"/>
      <c r="AP358" s="309"/>
      <c r="AQ358" s="309"/>
      <c r="AR358" s="309"/>
      <c r="AS358" s="309"/>
      <c r="AT358" s="309"/>
      <c r="AU358" s="309"/>
      <c r="AV358" s="309"/>
      <c r="AW358" s="309"/>
      <c r="AX358" s="309"/>
      <c r="AY358" s="309"/>
      <c r="AZ358" s="309"/>
      <c r="BA358" s="310"/>
      <c r="BB358" s="310"/>
      <c r="BC358" s="310"/>
      <c r="BD358" s="310"/>
      <c r="BE358" s="310"/>
      <c r="BF358" s="310"/>
      <c r="BG358" s="310"/>
      <c r="BH358" s="310"/>
      <c r="BI358" s="310"/>
      <c r="BJ358" s="310"/>
      <c r="BK358" s="310"/>
      <c r="BL358" s="310"/>
      <c r="BM358" s="310"/>
      <c r="BN358" s="221"/>
      <c r="BO358" s="221"/>
      <c r="BP358" s="221"/>
      <c r="BQ358" s="221"/>
      <c r="BR358" s="221"/>
    </row>
    <row r="359" ht="15.75" customHeight="1">
      <c r="A359" s="220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309"/>
      <c r="Y359" s="309"/>
      <c r="Z359" s="309"/>
      <c r="AA359" s="309"/>
      <c r="AB359" s="309"/>
      <c r="AC359" s="309"/>
      <c r="AD359" s="309"/>
      <c r="AE359" s="309"/>
      <c r="AF359" s="309"/>
      <c r="AG359" s="309"/>
      <c r="AH359" s="309"/>
      <c r="AI359" s="309"/>
      <c r="AJ359" s="309"/>
      <c r="AK359" s="309"/>
      <c r="AL359" s="309"/>
      <c r="AM359" s="309"/>
      <c r="AN359" s="309"/>
      <c r="AO359" s="309"/>
      <c r="AP359" s="309"/>
      <c r="AQ359" s="309"/>
      <c r="AR359" s="309"/>
      <c r="AS359" s="309"/>
      <c r="AT359" s="309"/>
      <c r="AU359" s="309"/>
      <c r="AV359" s="309"/>
      <c r="AW359" s="309"/>
      <c r="AX359" s="309"/>
      <c r="AY359" s="309"/>
      <c r="AZ359" s="309"/>
      <c r="BA359" s="310"/>
      <c r="BB359" s="310"/>
      <c r="BC359" s="310"/>
      <c r="BD359" s="310"/>
      <c r="BE359" s="310"/>
      <c r="BF359" s="310"/>
      <c r="BG359" s="310"/>
      <c r="BH359" s="310"/>
      <c r="BI359" s="310"/>
      <c r="BJ359" s="310"/>
      <c r="BK359" s="310"/>
      <c r="BL359" s="310"/>
      <c r="BM359" s="310"/>
      <c r="BN359" s="221"/>
      <c r="BO359" s="221"/>
      <c r="BP359" s="221"/>
      <c r="BQ359" s="221"/>
      <c r="BR359" s="221"/>
    </row>
    <row r="360" ht="15.75" customHeight="1">
      <c r="A360" s="220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309"/>
      <c r="Y360" s="309"/>
      <c r="Z360" s="309"/>
      <c r="AA360" s="309"/>
      <c r="AB360" s="309"/>
      <c r="AC360" s="309"/>
      <c r="AD360" s="309"/>
      <c r="AE360" s="309"/>
      <c r="AF360" s="309"/>
      <c r="AG360" s="309"/>
      <c r="AH360" s="309"/>
      <c r="AI360" s="309"/>
      <c r="AJ360" s="309"/>
      <c r="AK360" s="309"/>
      <c r="AL360" s="309"/>
      <c r="AM360" s="309"/>
      <c r="AN360" s="309"/>
      <c r="AO360" s="309"/>
      <c r="AP360" s="309"/>
      <c r="AQ360" s="309"/>
      <c r="AR360" s="309"/>
      <c r="AS360" s="309"/>
      <c r="AT360" s="309"/>
      <c r="AU360" s="309"/>
      <c r="AV360" s="309"/>
      <c r="AW360" s="309"/>
      <c r="AX360" s="309"/>
      <c r="AY360" s="309"/>
      <c r="AZ360" s="309"/>
      <c r="BA360" s="310"/>
      <c r="BB360" s="310"/>
      <c r="BC360" s="310"/>
      <c r="BD360" s="310"/>
      <c r="BE360" s="310"/>
      <c r="BF360" s="310"/>
      <c r="BG360" s="310"/>
      <c r="BH360" s="310"/>
      <c r="BI360" s="310"/>
      <c r="BJ360" s="310"/>
      <c r="BK360" s="310"/>
      <c r="BL360" s="310"/>
      <c r="BM360" s="310"/>
      <c r="BN360" s="221"/>
      <c r="BO360" s="221"/>
      <c r="BP360" s="221"/>
      <c r="BQ360" s="221"/>
      <c r="BR360" s="221"/>
    </row>
    <row r="361" ht="15.75" customHeight="1">
      <c r="A361" s="220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309"/>
      <c r="Y361" s="309"/>
      <c r="Z361" s="309"/>
      <c r="AA361" s="309"/>
      <c r="AB361" s="309"/>
      <c r="AC361" s="309"/>
      <c r="AD361" s="309"/>
      <c r="AE361" s="309"/>
      <c r="AF361" s="309"/>
      <c r="AG361" s="309"/>
      <c r="AH361" s="309"/>
      <c r="AI361" s="309"/>
      <c r="AJ361" s="309"/>
      <c r="AK361" s="309"/>
      <c r="AL361" s="309"/>
      <c r="AM361" s="309"/>
      <c r="AN361" s="309"/>
      <c r="AO361" s="309"/>
      <c r="AP361" s="309"/>
      <c r="AQ361" s="309"/>
      <c r="AR361" s="309"/>
      <c r="AS361" s="309"/>
      <c r="AT361" s="309"/>
      <c r="AU361" s="309"/>
      <c r="AV361" s="309"/>
      <c r="AW361" s="309"/>
      <c r="AX361" s="309"/>
      <c r="AY361" s="309"/>
      <c r="AZ361" s="309"/>
      <c r="BA361" s="310"/>
      <c r="BB361" s="310"/>
      <c r="BC361" s="310"/>
      <c r="BD361" s="310"/>
      <c r="BE361" s="310"/>
      <c r="BF361" s="310"/>
      <c r="BG361" s="310"/>
      <c r="BH361" s="310"/>
      <c r="BI361" s="310"/>
      <c r="BJ361" s="310"/>
      <c r="BK361" s="310"/>
      <c r="BL361" s="310"/>
      <c r="BM361" s="310"/>
      <c r="BN361" s="221"/>
      <c r="BO361" s="221"/>
      <c r="BP361" s="221"/>
      <c r="BQ361" s="221"/>
      <c r="BR361" s="221"/>
    </row>
    <row r="362" ht="15.75" customHeight="1">
      <c r="A362" s="220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309"/>
      <c r="Y362" s="309"/>
      <c r="Z362" s="309"/>
      <c r="AA362" s="309"/>
      <c r="AB362" s="309"/>
      <c r="AC362" s="309"/>
      <c r="AD362" s="309"/>
      <c r="AE362" s="309"/>
      <c r="AF362" s="309"/>
      <c r="AG362" s="309"/>
      <c r="AH362" s="309"/>
      <c r="AI362" s="309"/>
      <c r="AJ362" s="309"/>
      <c r="AK362" s="309"/>
      <c r="AL362" s="309"/>
      <c r="AM362" s="309"/>
      <c r="AN362" s="309"/>
      <c r="AO362" s="309"/>
      <c r="AP362" s="309"/>
      <c r="AQ362" s="309"/>
      <c r="AR362" s="309"/>
      <c r="AS362" s="309"/>
      <c r="AT362" s="309"/>
      <c r="AU362" s="309"/>
      <c r="AV362" s="309"/>
      <c r="AW362" s="309"/>
      <c r="AX362" s="309"/>
      <c r="AY362" s="309"/>
      <c r="AZ362" s="309"/>
      <c r="BA362" s="310"/>
      <c r="BB362" s="310"/>
      <c r="BC362" s="310"/>
      <c r="BD362" s="310"/>
      <c r="BE362" s="310"/>
      <c r="BF362" s="310"/>
      <c r="BG362" s="310"/>
      <c r="BH362" s="310"/>
      <c r="BI362" s="310"/>
      <c r="BJ362" s="310"/>
      <c r="BK362" s="310"/>
      <c r="BL362" s="310"/>
      <c r="BM362" s="310"/>
      <c r="BN362" s="221"/>
      <c r="BO362" s="221"/>
      <c r="BP362" s="221"/>
      <c r="BQ362" s="221"/>
      <c r="BR362" s="221"/>
    </row>
    <row r="363" ht="15.75" customHeight="1">
      <c r="A363" s="220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309"/>
      <c r="Y363" s="309"/>
      <c r="Z363" s="309"/>
      <c r="AA363" s="309"/>
      <c r="AB363" s="309"/>
      <c r="AC363" s="309"/>
      <c r="AD363" s="309"/>
      <c r="AE363" s="309"/>
      <c r="AF363" s="309"/>
      <c r="AG363" s="309"/>
      <c r="AH363" s="309"/>
      <c r="AI363" s="309"/>
      <c r="AJ363" s="309"/>
      <c r="AK363" s="309"/>
      <c r="AL363" s="309"/>
      <c r="AM363" s="309"/>
      <c r="AN363" s="309"/>
      <c r="AO363" s="309"/>
      <c r="AP363" s="309"/>
      <c r="AQ363" s="309"/>
      <c r="AR363" s="309"/>
      <c r="AS363" s="309"/>
      <c r="AT363" s="309"/>
      <c r="AU363" s="309"/>
      <c r="AV363" s="309"/>
      <c r="AW363" s="309"/>
      <c r="AX363" s="309"/>
      <c r="AY363" s="309"/>
      <c r="AZ363" s="309"/>
      <c r="BA363" s="310"/>
      <c r="BB363" s="310"/>
      <c r="BC363" s="310"/>
      <c r="BD363" s="310"/>
      <c r="BE363" s="310"/>
      <c r="BF363" s="310"/>
      <c r="BG363" s="310"/>
      <c r="BH363" s="310"/>
      <c r="BI363" s="310"/>
      <c r="BJ363" s="310"/>
      <c r="BK363" s="310"/>
      <c r="BL363" s="310"/>
      <c r="BM363" s="310"/>
      <c r="BN363" s="221"/>
      <c r="BO363" s="221"/>
      <c r="BP363" s="221"/>
      <c r="BQ363" s="221"/>
      <c r="BR363" s="221"/>
    </row>
    <row r="364" ht="15.75" customHeight="1">
      <c r="A364" s="220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309"/>
      <c r="Y364" s="309"/>
      <c r="Z364" s="309"/>
      <c r="AA364" s="309"/>
      <c r="AB364" s="309"/>
      <c r="AC364" s="309"/>
      <c r="AD364" s="309"/>
      <c r="AE364" s="309"/>
      <c r="AF364" s="309"/>
      <c r="AG364" s="309"/>
      <c r="AH364" s="309"/>
      <c r="AI364" s="309"/>
      <c r="AJ364" s="309"/>
      <c r="AK364" s="309"/>
      <c r="AL364" s="309"/>
      <c r="AM364" s="309"/>
      <c r="AN364" s="309"/>
      <c r="AO364" s="309"/>
      <c r="AP364" s="309"/>
      <c r="AQ364" s="309"/>
      <c r="AR364" s="309"/>
      <c r="AS364" s="309"/>
      <c r="AT364" s="309"/>
      <c r="AU364" s="309"/>
      <c r="AV364" s="309"/>
      <c r="AW364" s="309"/>
      <c r="AX364" s="309"/>
      <c r="AY364" s="309"/>
      <c r="AZ364" s="309"/>
      <c r="BA364" s="310"/>
      <c r="BB364" s="310"/>
      <c r="BC364" s="310"/>
      <c r="BD364" s="310"/>
      <c r="BE364" s="310"/>
      <c r="BF364" s="310"/>
      <c r="BG364" s="310"/>
      <c r="BH364" s="310"/>
      <c r="BI364" s="310"/>
      <c r="BJ364" s="310"/>
      <c r="BK364" s="310"/>
      <c r="BL364" s="310"/>
      <c r="BM364" s="310"/>
      <c r="BN364" s="221"/>
      <c r="BO364" s="221"/>
      <c r="BP364" s="221"/>
      <c r="BQ364" s="221"/>
      <c r="BR364" s="221"/>
    </row>
    <row r="365" ht="15.75" customHeight="1">
      <c r="A365" s="220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309"/>
      <c r="Y365" s="309"/>
      <c r="Z365" s="309"/>
      <c r="AA365" s="309"/>
      <c r="AB365" s="309"/>
      <c r="AC365" s="309"/>
      <c r="AD365" s="309"/>
      <c r="AE365" s="309"/>
      <c r="AF365" s="309"/>
      <c r="AG365" s="309"/>
      <c r="AH365" s="309"/>
      <c r="AI365" s="309"/>
      <c r="AJ365" s="309"/>
      <c r="AK365" s="309"/>
      <c r="AL365" s="309"/>
      <c r="AM365" s="309"/>
      <c r="AN365" s="309"/>
      <c r="AO365" s="309"/>
      <c r="AP365" s="309"/>
      <c r="AQ365" s="309"/>
      <c r="AR365" s="309"/>
      <c r="AS365" s="309"/>
      <c r="AT365" s="309"/>
      <c r="AU365" s="309"/>
      <c r="AV365" s="309"/>
      <c r="AW365" s="309"/>
      <c r="AX365" s="309"/>
      <c r="AY365" s="309"/>
      <c r="AZ365" s="309"/>
      <c r="BA365" s="310"/>
      <c r="BB365" s="310"/>
      <c r="BC365" s="310"/>
      <c r="BD365" s="310"/>
      <c r="BE365" s="310"/>
      <c r="BF365" s="310"/>
      <c r="BG365" s="310"/>
      <c r="BH365" s="310"/>
      <c r="BI365" s="310"/>
      <c r="BJ365" s="310"/>
      <c r="BK365" s="310"/>
      <c r="BL365" s="310"/>
      <c r="BM365" s="310"/>
      <c r="BN365" s="221"/>
      <c r="BO365" s="221"/>
      <c r="BP365" s="221"/>
      <c r="BQ365" s="221"/>
      <c r="BR365" s="221"/>
    </row>
    <row r="366" ht="15.75" customHeight="1">
      <c r="A366" s="220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309"/>
      <c r="Y366" s="309"/>
      <c r="Z366" s="309"/>
      <c r="AA366" s="309"/>
      <c r="AB366" s="309"/>
      <c r="AC366" s="309"/>
      <c r="AD366" s="309"/>
      <c r="AE366" s="309"/>
      <c r="AF366" s="309"/>
      <c r="AG366" s="309"/>
      <c r="AH366" s="309"/>
      <c r="AI366" s="309"/>
      <c r="AJ366" s="309"/>
      <c r="AK366" s="309"/>
      <c r="AL366" s="309"/>
      <c r="AM366" s="309"/>
      <c r="AN366" s="309"/>
      <c r="AO366" s="309"/>
      <c r="AP366" s="309"/>
      <c r="AQ366" s="309"/>
      <c r="AR366" s="309"/>
      <c r="AS366" s="309"/>
      <c r="AT366" s="309"/>
      <c r="AU366" s="309"/>
      <c r="AV366" s="309"/>
      <c r="AW366" s="309"/>
      <c r="AX366" s="309"/>
      <c r="AY366" s="309"/>
      <c r="AZ366" s="309"/>
      <c r="BA366" s="310"/>
      <c r="BB366" s="310"/>
      <c r="BC366" s="310"/>
      <c r="BD366" s="310"/>
      <c r="BE366" s="310"/>
      <c r="BF366" s="310"/>
      <c r="BG366" s="310"/>
      <c r="BH366" s="310"/>
      <c r="BI366" s="310"/>
      <c r="BJ366" s="310"/>
      <c r="BK366" s="310"/>
      <c r="BL366" s="310"/>
      <c r="BM366" s="310"/>
      <c r="BN366" s="221"/>
      <c r="BO366" s="221"/>
      <c r="BP366" s="221"/>
      <c r="BQ366" s="221"/>
      <c r="BR366" s="221"/>
    </row>
    <row r="367" ht="15.75" customHeight="1">
      <c r="A367" s="220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309"/>
      <c r="Y367" s="309"/>
      <c r="Z367" s="309"/>
      <c r="AA367" s="309"/>
      <c r="AB367" s="309"/>
      <c r="AC367" s="309"/>
      <c r="AD367" s="309"/>
      <c r="AE367" s="309"/>
      <c r="AF367" s="309"/>
      <c r="AG367" s="309"/>
      <c r="AH367" s="309"/>
      <c r="AI367" s="309"/>
      <c r="AJ367" s="309"/>
      <c r="AK367" s="309"/>
      <c r="AL367" s="309"/>
      <c r="AM367" s="309"/>
      <c r="AN367" s="309"/>
      <c r="AO367" s="309"/>
      <c r="AP367" s="309"/>
      <c r="AQ367" s="309"/>
      <c r="AR367" s="309"/>
      <c r="AS367" s="309"/>
      <c r="AT367" s="309"/>
      <c r="AU367" s="309"/>
      <c r="AV367" s="309"/>
      <c r="AW367" s="309"/>
      <c r="AX367" s="309"/>
      <c r="AY367" s="309"/>
      <c r="AZ367" s="309"/>
      <c r="BA367" s="310"/>
      <c r="BB367" s="310"/>
      <c r="BC367" s="310"/>
      <c r="BD367" s="310"/>
      <c r="BE367" s="310"/>
      <c r="BF367" s="310"/>
      <c r="BG367" s="310"/>
      <c r="BH367" s="310"/>
      <c r="BI367" s="310"/>
      <c r="BJ367" s="310"/>
      <c r="BK367" s="310"/>
      <c r="BL367" s="310"/>
      <c r="BM367" s="310"/>
      <c r="BN367" s="221"/>
      <c r="BO367" s="221"/>
      <c r="BP367" s="221"/>
      <c r="BQ367" s="221"/>
      <c r="BR367" s="221"/>
    </row>
    <row r="368" ht="15.75" customHeight="1">
      <c r="A368" s="220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309"/>
      <c r="Y368" s="309"/>
      <c r="Z368" s="309"/>
      <c r="AA368" s="309"/>
      <c r="AB368" s="309"/>
      <c r="AC368" s="309"/>
      <c r="AD368" s="309"/>
      <c r="AE368" s="309"/>
      <c r="AF368" s="309"/>
      <c r="AG368" s="309"/>
      <c r="AH368" s="309"/>
      <c r="AI368" s="309"/>
      <c r="AJ368" s="309"/>
      <c r="AK368" s="309"/>
      <c r="AL368" s="309"/>
      <c r="AM368" s="309"/>
      <c r="AN368" s="309"/>
      <c r="AO368" s="309"/>
      <c r="AP368" s="309"/>
      <c r="AQ368" s="309"/>
      <c r="AR368" s="309"/>
      <c r="AS368" s="309"/>
      <c r="AT368" s="309"/>
      <c r="AU368" s="309"/>
      <c r="AV368" s="309"/>
      <c r="AW368" s="309"/>
      <c r="AX368" s="309"/>
      <c r="AY368" s="309"/>
      <c r="AZ368" s="309"/>
      <c r="BA368" s="310"/>
      <c r="BB368" s="310"/>
      <c r="BC368" s="310"/>
      <c r="BD368" s="310"/>
      <c r="BE368" s="310"/>
      <c r="BF368" s="310"/>
      <c r="BG368" s="310"/>
      <c r="BH368" s="310"/>
      <c r="BI368" s="310"/>
      <c r="BJ368" s="310"/>
      <c r="BK368" s="310"/>
      <c r="BL368" s="310"/>
      <c r="BM368" s="310"/>
      <c r="BN368" s="221"/>
      <c r="BO368" s="221"/>
      <c r="BP368" s="221"/>
      <c r="BQ368" s="221"/>
      <c r="BR368" s="221"/>
    </row>
    <row r="369" ht="15.75" customHeight="1">
      <c r="A369" s="220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309"/>
      <c r="Y369" s="309"/>
      <c r="Z369" s="309"/>
      <c r="AA369" s="309"/>
      <c r="AB369" s="309"/>
      <c r="AC369" s="309"/>
      <c r="AD369" s="309"/>
      <c r="AE369" s="309"/>
      <c r="AF369" s="309"/>
      <c r="AG369" s="309"/>
      <c r="AH369" s="309"/>
      <c r="AI369" s="309"/>
      <c r="AJ369" s="309"/>
      <c r="AK369" s="309"/>
      <c r="AL369" s="309"/>
      <c r="AM369" s="309"/>
      <c r="AN369" s="309"/>
      <c r="AO369" s="309"/>
      <c r="AP369" s="309"/>
      <c r="AQ369" s="309"/>
      <c r="AR369" s="309"/>
      <c r="AS369" s="309"/>
      <c r="AT369" s="309"/>
      <c r="AU369" s="309"/>
      <c r="AV369" s="309"/>
      <c r="AW369" s="309"/>
      <c r="AX369" s="309"/>
      <c r="AY369" s="309"/>
      <c r="AZ369" s="309"/>
      <c r="BA369" s="310"/>
      <c r="BB369" s="310"/>
      <c r="BC369" s="310"/>
      <c r="BD369" s="310"/>
      <c r="BE369" s="310"/>
      <c r="BF369" s="310"/>
      <c r="BG369" s="310"/>
      <c r="BH369" s="310"/>
      <c r="BI369" s="310"/>
      <c r="BJ369" s="310"/>
      <c r="BK369" s="310"/>
      <c r="BL369" s="310"/>
      <c r="BM369" s="310"/>
      <c r="BN369" s="221"/>
      <c r="BO369" s="221"/>
      <c r="BP369" s="221"/>
      <c r="BQ369" s="221"/>
      <c r="BR369" s="221"/>
    </row>
    <row r="370" ht="15.75" customHeight="1">
      <c r="A370" s="220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309"/>
      <c r="Y370" s="309"/>
      <c r="Z370" s="309"/>
      <c r="AA370" s="309"/>
      <c r="AB370" s="309"/>
      <c r="AC370" s="309"/>
      <c r="AD370" s="309"/>
      <c r="AE370" s="309"/>
      <c r="AF370" s="309"/>
      <c r="AG370" s="309"/>
      <c r="AH370" s="309"/>
      <c r="AI370" s="309"/>
      <c r="AJ370" s="309"/>
      <c r="AK370" s="309"/>
      <c r="AL370" s="309"/>
      <c r="AM370" s="309"/>
      <c r="AN370" s="309"/>
      <c r="AO370" s="309"/>
      <c r="AP370" s="309"/>
      <c r="AQ370" s="309"/>
      <c r="AR370" s="309"/>
      <c r="AS370" s="309"/>
      <c r="AT370" s="309"/>
      <c r="AU370" s="309"/>
      <c r="AV370" s="309"/>
      <c r="AW370" s="309"/>
      <c r="AX370" s="309"/>
      <c r="AY370" s="309"/>
      <c r="AZ370" s="309"/>
      <c r="BA370" s="310"/>
      <c r="BB370" s="310"/>
      <c r="BC370" s="310"/>
      <c r="BD370" s="310"/>
      <c r="BE370" s="310"/>
      <c r="BF370" s="310"/>
      <c r="BG370" s="310"/>
      <c r="BH370" s="310"/>
      <c r="BI370" s="310"/>
      <c r="BJ370" s="310"/>
      <c r="BK370" s="310"/>
      <c r="BL370" s="310"/>
      <c r="BM370" s="310"/>
      <c r="BN370" s="221"/>
      <c r="BO370" s="221"/>
      <c r="BP370" s="221"/>
      <c r="BQ370" s="221"/>
      <c r="BR370" s="221"/>
    </row>
    <row r="371" ht="15.75" customHeight="1">
      <c r="A371" s="220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309"/>
      <c r="Y371" s="309"/>
      <c r="Z371" s="309"/>
      <c r="AA371" s="309"/>
      <c r="AB371" s="309"/>
      <c r="AC371" s="309"/>
      <c r="AD371" s="309"/>
      <c r="AE371" s="309"/>
      <c r="AF371" s="309"/>
      <c r="AG371" s="309"/>
      <c r="AH371" s="309"/>
      <c r="AI371" s="309"/>
      <c r="AJ371" s="309"/>
      <c r="AK371" s="309"/>
      <c r="AL371" s="309"/>
      <c r="AM371" s="309"/>
      <c r="AN371" s="309"/>
      <c r="AO371" s="309"/>
      <c r="AP371" s="309"/>
      <c r="AQ371" s="309"/>
      <c r="AR371" s="309"/>
      <c r="AS371" s="309"/>
      <c r="AT371" s="309"/>
      <c r="AU371" s="309"/>
      <c r="AV371" s="309"/>
      <c r="AW371" s="309"/>
      <c r="AX371" s="309"/>
      <c r="AY371" s="309"/>
      <c r="AZ371" s="309"/>
      <c r="BA371" s="310"/>
      <c r="BB371" s="310"/>
      <c r="BC371" s="310"/>
      <c r="BD371" s="310"/>
      <c r="BE371" s="310"/>
      <c r="BF371" s="310"/>
      <c r="BG371" s="310"/>
      <c r="BH371" s="310"/>
      <c r="BI371" s="310"/>
      <c r="BJ371" s="310"/>
      <c r="BK371" s="310"/>
      <c r="BL371" s="310"/>
      <c r="BM371" s="310"/>
      <c r="BN371" s="221"/>
      <c r="BO371" s="221"/>
      <c r="BP371" s="221"/>
      <c r="BQ371" s="221"/>
      <c r="BR371" s="221"/>
    </row>
    <row r="372" ht="15.75" customHeight="1">
      <c r="A372" s="220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309"/>
      <c r="Y372" s="309"/>
      <c r="Z372" s="309"/>
      <c r="AA372" s="309"/>
      <c r="AB372" s="309"/>
      <c r="AC372" s="309"/>
      <c r="AD372" s="309"/>
      <c r="AE372" s="309"/>
      <c r="AF372" s="309"/>
      <c r="AG372" s="309"/>
      <c r="AH372" s="309"/>
      <c r="AI372" s="309"/>
      <c r="AJ372" s="309"/>
      <c r="AK372" s="309"/>
      <c r="AL372" s="309"/>
      <c r="AM372" s="309"/>
      <c r="AN372" s="309"/>
      <c r="AO372" s="309"/>
      <c r="AP372" s="309"/>
      <c r="AQ372" s="309"/>
      <c r="AR372" s="309"/>
      <c r="AS372" s="309"/>
      <c r="AT372" s="309"/>
      <c r="AU372" s="309"/>
      <c r="AV372" s="309"/>
      <c r="AW372" s="309"/>
      <c r="AX372" s="309"/>
      <c r="AY372" s="309"/>
      <c r="AZ372" s="309"/>
      <c r="BA372" s="310"/>
      <c r="BB372" s="310"/>
      <c r="BC372" s="310"/>
      <c r="BD372" s="310"/>
      <c r="BE372" s="310"/>
      <c r="BF372" s="310"/>
      <c r="BG372" s="310"/>
      <c r="BH372" s="310"/>
      <c r="BI372" s="310"/>
      <c r="BJ372" s="310"/>
      <c r="BK372" s="310"/>
      <c r="BL372" s="310"/>
      <c r="BM372" s="310"/>
      <c r="BN372" s="221"/>
      <c r="BO372" s="221"/>
      <c r="BP372" s="221"/>
      <c r="BQ372" s="221"/>
      <c r="BR372" s="221"/>
    </row>
    <row r="373" ht="15.75" customHeight="1">
      <c r="A373" s="220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309"/>
      <c r="Y373" s="309"/>
      <c r="Z373" s="309"/>
      <c r="AA373" s="309"/>
      <c r="AB373" s="309"/>
      <c r="AC373" s="309"/>
      <c r="AD373" s="309"/>
      <c r="AE373" s="309"/>
      <c r="AF373" s="309"/>
      <c r="AG373" s="309"/>
      <c r="AH373" s="309"/>
      <c r="AI373" s="309"/>
      <c r="AJ373" s="309"/>
      <c r="AK373" s="309"/>
      <c r="AL373" s="309"/>
      <c r="AM373" s="309"/>
      <c r="AN373" s="309"/>
      <c r="AO373" s="309"/>
      <c r="AP373" s="309"/>
      <c r="AQ373" s="309"/>
      <c r="AR373" s="309"/>
      <c r="AS373" s="309"/>
      <c r="AT373" s="309"/>
      <c r="AU373" s="309"/>
      <c r="AV373" s="309"/>
      <c r="AW373" s="309"/>
      <c r="AX373" s="309"/>
      <c r="AY373" s="309"/>
      <c r="AZ373" s="309"/>
      <c r="BA373" s="310"/>
      <c r="BB373" s="310"/>
      <c r="BC373" s="310"/>
      <c r="BD373" s="310"/>
      <c r="BE373" s="310"/>
      <c r="BF373" s="310"/>
      <c r="BG373" s="310"/>
      <c r="BH373" s="310"/>
      <c r="BI373" s="310"/>
      <c r="BJ373" s="310"/>
      <c r="BK373" s="310"/>
      <c r="BL373" s="310"/>
      <c r="BM373" s="310"/>
      <c r="BN373" s="221"/>
      <c r="BO373" s="221"/>
      <c r="BP373" s="221"/>
      <c r="BQ373" s="221"/>
      <c r="BR373" s="221"/>
    </row>
    <row r="374" ht="15.75" customHeight="1">
      <c r="A374" s="220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309"/>
      <c r="Y374" s="309"/>
      <c r="Z374" s="309"/>
      <c r="AA374" s="309"/>
      <c r="AB374" s="309"/>
      <c r="AC374" s="309"/>
      <c r="AD374" s="309"/>
      <c r="AE374" s="309"/>
      <c r="AF374" s="309"/>
      <c r="AG374" s="309"/>
      <c r="AH374" s="309"/>
      <c r="AI374" s="309"/>
      <c r="AJ374" s="309"/>
      <c r="AK374" s="309"/>
      <c r="AL374" s="309"/>
      <c r="AM374" s="309"/>
      <c r="AN374" s="309"/>
      <c r="AO374" s="309"/>
      <c r="AP374" s="309"/>
      <c r="AQ374" s="309"/>
      <c r="AR374" s="309"/>
      <c r="AS374" s="309"/>
      <c r="AT374" s="309"/>
      <c r="AU374" s="309"/>
      <c r="AV374" s="309"/>
      <c r="AW374" s="309"/>
      <c r="AX374" s="309"/>
      <c r="AY374" s="309"/>
      <c r="AZ374" s="309"/>
      <c r="BA374" s="310"/>
      <c r="BB374" s="310"/>
      <c r="BC374" s="310"/>
      <c r="BD374" s="310"/>
      <c r="BE374" s="310"/>
      <c r="BF374" s="310"/>
      <c r="BG374" s="310"/>
      <c r="BH374" s="310"/>
      <c r="BI374" s="310"/>
      <c r="BJ374" s="310"/>
      <c r="BK374" s="310"/>
      <c r="BL374" s="310"/>
      <c r="BM374" s="310"/>
      <c r="BN374" s="221"/>
      <c r="BO374" s="221"/>
      <c r="BP374" s="221"/>
      <c r="BQ374" s="221"/>
      <c r="BR374" s="221"/>
    </row>
    <row r="375" ht="15.75" customHeight="1">
      <c r="A375" s="220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309"/>
      <c r="Y375" s="309"/>
      <c r="Z375" s="309"/>
      <c r="AA375" s="309"/>
      <c r="AB375" s="309"/>
      <c r="AC375" s="309"/>
      <c r="AD375" s="309"/>
      <c r="AE375" s="309"/>
      <c r="AF375" s="309"/>
      <c r="AG375" s="309"/>
      <c r="AH375" s="309"/>
      <c r="AI375" s="309"/>
      <c r="AJ375" s="309"/>
      <c r="AK375" s="309"/>
      <c r="AL375" s="309"/>
      <c r="AM375" s="309"/>
      <c r="AN375" s="309"/>
      <c r="AO375" s="309"/>
      <c r="AP375" s="309"/>
      <c r="AQ375" s="309"/>
      <c r="AR375" s="309"/>
      <c r="AS375" s="309"/>
      <c r="AT375" s="309"/>
      <c r="AU375" s="309"/>
      <c r="AV375" s="309"/>
      <c r="AW375" s="309"/>
      <c r="AX375" s="309"/>
      <c r="AY375" s="309"/>
      <c r="AZ375" s="309"/>
      <c r="BA375" s="310"/>
      <c r="BB375" s="310"/>
      <c r="BC375" s="310"/>
      <c r="BD375" s="310"/>
      <c r="BE375" s="310"/>
      <c r="BF375" s="310"/>
      <c r="BG375" s="310"/>
      <c r="BH375" s="310"/>
      <c r="BI375" s="310"/>
      <c r="BJ375" s="310"/>
      <c r="BK375" s="310"/>
      <c r="BL375" s="310"/>
      <c r="BM375" s="310"/>
      <c r="BN375" s="221"/>
      <c r="BO375" s="221"/>
      <c r="BP375" s="221"/>
      <c r="BQ375" s="221"/>
      <c r="BR375" s="221"/>
    </row>
    <row r="376" ht="15.75" customHeight="1">
      <c r="A376" s="220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309"/>
      <c r="Y376" s="309"/>
      <c r="Z376" s="309"/>
      <c r="AA376" s="309"/>
      <c r="AB376" s="309"/>
      <c r="AC376" s="309"/>
      <c r="AD376" s="309"/>
      <c r="AE376" s="309"/>
      <c r="AF376" s="309"/>
      <c r="AG376" s="309"/>
      <c r="AH376" s="309"/>
      <c r="AI376" s="309"/>
      <c r="AJ376" s="309"/>
      <c r="AK376" s="309"/>
      <c r="AL376" s="309"/>
      <c r="AM376" s="309"/>
      <c r="AN376" s="309"/>
      <c r="AO376" s="309"/>
      <c r="AP376" s="309"/>
      <c r="AQ376" s="309"/>
      <c r="AR376" s="309"/>
      <c r="AS376" s="309"/>
      <c r="AT376" s="309"/>
      <c r="AU376" s="309"/>
      <c r="AV376" s="309"/>
      <c r="AW376" s="309"/>
      <c r="AX376" s="309"/>
      <c r="AY376" s="309"/>
      <c r="AZ376" s="309"/>
      <c r="BA376" s="310"/>
      <c r="BB376" s="310"/>
      <c r="BC376" s="310"/>
      <c r="BD376" s="310"/>
      <c r="BE376" s="310"/>
      <c r="BF376" s="310"/>
      <c r="BG376" s="310"/>
      <c r="BH376" s="310"/>
      <c r="BI376" s="310"/>
      <c r="BJ376" s="310"/>
      <c r="BK376" s="310"/>
      <c r="BL376" s="310"/>
      <c r="BM376" s="310"/>
      <c r="BN376" s="221"/>
      <c r="BO376" s="221"/>
      <c r="BP376" s="221"/>
      <c r="BQ376" s="221"/>
      <c r="BR376" s="221"/>
    </row>
    <row r="377" ht="15.75" customHeight="1">
      <c r="A377" s="220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309"/>
      <c r="Y377" s="309"/>
      <c r="Z377" s="309"/>
      <c r="AA377" s="309"/>
      <c r="AB377" s="309"/>
      <c r="AC377" s="309"/>
      <c r="AD377" s="309"/>
      <c r="AE377" s="309"/>
      <c r="AF377" s="309"/>
      <c r="AG377" s="309"/>
      <c r="AH377" s="309"/>
      <c r="AI377" s="309"/>
      <c r="AJ377" s="309"/>
      <c r="AK377" s="309"/>
      <c r="AL377" s="309"/>
      <c r="AM377" s="309"/>
      <c r="AN377" s="309"/>
      <c r="AO377" s="309"/>
      <c r="AP377" s="309"/>
      <c r="AQ377" s="309"/>
      <c r="AR377" s="309"/>
      <c r="AS377" s="309"/>
      <c r="AT377" s="309"/>
      <c r="AU377" s="309"/>
      <c r="AV377" s="309"/>
      <c r="AW377" s="309"/>
      <c r="AX377" s="309"/>
      <c r="AY377" s="309"/>
      <c r="AZ377" s="309"/>
      <c r="BA377" s="310"/>
      <c r="BB377" s="310"/>
      <c r="BC377" s="310"/>
      <c r="BD377" s="310"/>
      <c r="BE377" s="310"/>
      <c r="BF377" s="310"/>
      <c r="BG377" s="310"/>
      <c r="BH377" s="310"/>
      <c r="BI377" s="310"/>
      <c r="BJ377" s="310"/>
      <c r="BK377" s="310"/>
      <c r="BL377" s="310"/>
      <c r="BM377" s="310"/>
      <c r="BN377" s="221"/>
      <c r="BO377" s="221"/>
      <c r="BP377" s="221"/>
      <c r="BQ377" s="221"/>
      <c r="BR377" s="221"/>
    </row>
    <row r="378" ht="15.75" customHeight="1">
      <c r="A378" s="220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309"/>
      <c r="Y378" s="309"/>
      <c r="Z378" s="309"/>
      <c r="AA378" s="309"/>
      <c r="AB378" s="309"/>
      <c r="AC378" s="309"/>
      <c r="AD378" s="309"/>
      <c r="AE378" s="309"/>
      <c r="AF378" s="309"/>
      <c r="AG378" s="309"/>
      <c r="AH378" s="309"/>
      <c r="AI378" s="309"/>
      <c r="AJ378" s="309"/>
      <c r="AK378" s="309"/>
      <c r="AL378" s="309"/>
      <c r="AM378" s="309"/>
      <c r="AN378" s="309"/>
      <c r="AO378" s="309"/>
      <c r="AP378" s="309"/>
      <c r="AQ378" s="309"/>
      <c r="AR378" s="309"/>
      <c r="AS378" s="309"/>
      <c r="AT378" s="309"/>
      <c r="AU378" s="309"/>
      <c r="AV378" s="309"/>
      <c r="AW378" s="309"/>
      <c r="AX378" s="309"/>
      <c r="AY378" s="309"/>
      <c r="AZ378" s="309"/>
      <c r="BA378" s="310"/>
      <c r="BB378" s="310"/>
      <c r="BC378" s="310"/>
      <c r="BD378" s="310"/>
      <c r="BE378" s="310"/>
      <c r="BF378" s="310"/>
      <c r="BG378" s="310"/>
      <c r="BH378" s="310"/>
      <c r="BI378" s="310"/>
      <c r="BJ378" s="310"/>
      <c r="BK378" s="310"/>
      <c r="BL378" s="310"/>
      <c r="BM378" s="310"/>
      <c r="BN378" s="221"/>
      <c r="BO378" s="221"/>
      <c r="BP378" s="221"/>
      <c r="BQ378" s="221"/>
      <c r="BR378" s="221"/>
    </row>
    <row r="379" ht="15.75" customHeight="1">
      <c r="A379" s="220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309"/>
      <c r="Y379" s="309"/>
      <c r="Z379" s="309"/>
      <c r="AA379" s="309"/>
      <c r="AB379" s="309"/>
      <c r="AC379" s="309"/>
      <c r="AD379" s="309"/>
      <c r="AE379" s="309"/>
      <c r="AF379" s="309"/>
      <c r="AG379" s="309"/>
      <c r="AH379" s="309"/>
      <c r="AI379" s="309"/>
      <c r="AJ379" s="309"/>
      <c r="AK379" s="309"/>
      <c r="AL379" s="309"/>
      <c r="AM379" s="309"/>
      <c r="AN379" s="309"/>
      <c r="AO379" s="309"/>
      <c r="AP379" s="309"/>
      <c r="AQ379" s="309"/>
      <c r="AR379" s="309"/>
      <c r="AS379" s="309"/>
      <c r="AT379" s="309"/>
      <c r="AU379" s="309"/>
      <c r="AV379" s="309"/>
      <c r="AW379" s="309"/>
      <c r="AX379" s="309"/>
      <c r="AY379" s="309"/>
      <c r="AZ379" s="309"/>
      <c r="BA379" s="310"/>
      <c r="BB379" s="310"/>
      <c r="BC379" s="310"/>
      <c r="BD379" s="310"/>
      <c r="BE379" s="310"/>
      <c r="BF379" s="310"/>
      <c r="BG379" s="310"/>
      <c r="BH379" s="310"/>
      <c r="BI379" s="310"/>
      <c r="BJ379" s="310"/>
      <c r="BK379" s="310"/>
      <c r="BL379" s="310"/>
      <c r="BM379" s="310"/>
      <c r="BN379" s="221"/>
      <c r="BO379" s="221"/>
      <c r="BP379" s="221"/>
      <c r="BQ379" s="221"/>
      <c r="BR379" s="221"/>
    </row>
    <row r="380" ht="15.75" customHeight="1">
      <c r="A380" s="220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309"/>
      <c r="Y380" s="309"/>
      <c r="Z380" s="309"/>
      <c r="AA380" s="309"/>
      <c r="AB380" s="309"/>
      <c r="AC380" s="309"/>
      <c r="AD380" s="309"/>
      <c r="AE380" s="309"/>
      <c r="AF380" s="309"/>
      <c r="AG380" s="309"/>
      <c r="AH380" s="309"/>
      <c r="AI380" s="309"/>
      <c r="AJ380" s="309"/>
      <c r="AK380" s="309"/>
      <c r="AL380" s="309"/>
      <c r="AM380" s="309"/>
      <c r="AN380" s="309"/>
      <c r="AO380" s="309"/>
      <c r="AP380" s="309"/>
      <c r="AQ380" s="309"/>
      <c r="AR380" s="309"/>
      <c r="AS380" s="309"/>
      <c r="AT380" s="309"/>
      <c r="AU380" s="309"/>
      <c r="AV380" s="309"/>
      <c r="AW380" s="309"/>
      <c r="AX380" s="309"/>
      <c r="AY380" s="309"/>
      <c r="AZ380" s="309"/>
      <c r="BA380" s="310"/>
      <c r="BB380" s="310"/>
      <c r="BC380" s="310"/>
      <c r="BD380" s="310"/>
      <c r="BE380" s="310"/>
      <c r="BF380" s="310"/>
      <c r="BG380" s="310"/>
      <c r="BH380" s="310"/>
      <c r="BI380" s="310"/>
      <c r="BJ380" s="310"/>
      <c r="BK380" s="310"/>
      <c r="BL380" s="310"/>
      <c r="BM380" s="310"/>
      <c r="BN380" s="221"/>
      <c r="BO380" s="221"/>
      <c r="BP380" s="221"/>
      <c r="BQ380" s="221"/>
      <c r="BR380" s="221"/>
    </row>
    <row r="381" ht="15.75" customHeight="1">
      <c r="A381" s="220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309"/>
      <c r="Y381" s="309"/>
      <c r="Z381" s="309"/>
      <c r="AA381" s="309"/>
      <c r="AB381" s="309"/>
      <c r="AC381" s="309"/>
      <c r="AD381" s="309"/>
      <c r="AE381" s="309"/>
      <c r="AF381" s="309"/>
      <c r="AG381" s="309"/>
      <c r="AH381" s="309"/>
      <c r="AI381" s="309"/>
      <c r="AJ381" s="309"/>
      <c r="AK381" s="309"/>
      <c r="AL381" s="309"/>
      <c r="AM381" s="309"/>
      <c r="AN381" s="309"/>
      <c r="AO381" s="309"/>
      <c r="AP381" s="309"/>
      <c r="AQ381" s="309"/>
      <c r="AR381" s="309"/>
      <c r="AS381" s="309"/>
      <c r="AT381" s="309"/>
      <c r="AU381" s="309"/>
      <c r="AV381" s="309"/>
      <c r="AW381" s="309"/>
      <c r="AX381" s="309"/>
      <c r="AY381" s="309"/>
      <c r="AZ381" s="309"/>
      <c r="BA381" s="310"/>
      <c r="BB381" s="310"/>
      <c r="BC381" s="310"/>
      <c r="BD381" s="310"/>
      <c r="BE381" s="310"/>
      <c r="BF381" s="310"/>
      <c r="BG381" s="310"/>
      <c r="BH381" s="310"/>
      <c r="BI381" s="310"/>
      <c r="BJ381" s="310"/>
      <c r="BK381" s="310"/>
      <c r="BL381" s="310"/>
      <c r="BM381" s="310"/>
      <c r="BN381" s="221"/>
      <c r="BO381" s="221"/>
      <c r="BP381" s="221"/>
      <c r="BQ381" s="221"/>
      <c r="BR381" s="221"/>
    </row>
    <row r="382" ht="15.75" customHeight="1">
      <c r="A382" s="220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309"/>
      <c r="Y382" s="309"/>
      <c r="Z382" s="309"/>
      <c r="AA382" s="309"/>
      <c r="AB382" s="309"/>
      <c r="AC382" s="309"/>
      <c r="AD382" s="309"/>
      <c r="AE382" s="309"/>
      <c r="AF382" s="309"/>
      <c r="AG382" s="309"/>
      <c r="AH382" s="309"/>
      <c r="AI382" s="309"/>
      <c r="AJ382" s="309"/>
      <c r="AK382" s="309"/>
      <c r="AL382" s="309"/>
      <c r="AM382" s="309"/>
      <c r="AN382" s="309"/>
      <c r="AO382" s="309"/>
      <c r="AP382" s="309"/>
      <c r="AQ382" s="309"/>
      <c r="AR382" s="309"/>
      <c r="AS382" s="309"/>
      <c r="AT382" s="309"/>
      <c r="AU382" s="309"/>
      <c r="AV382" s="309"/>
      <c r="AW382" s="309"/>
      <c r="AX382" s="309"/>
      <c r="AY382" s="309"/>
      <c r="AZ382" s="309"/>
      <c r="BA382" s="310"/>
      <c r="BB382" s="310"/>
      <c r="BC382" s="310"/>
      <c r="BD382" s="310"/>
      <c r="BE382" s="310"/>
      <c r="BF382" s="310"/>
      <c r="BG382" s="310"/>
      <c r="BH382" s="310"/>
      <c r="BI382" s="310"/>
      <c r="BJ382" s="310"/>
      <c r="BK382" s="310"/>
      <c r="BL382" s="310"/>
      <c r="BM382" s="310"/>
      <c r="BN382" s="221"/>
      <c r="BO382" s="221"/>
      <c r="BP382" s="221"/>
      <c r="BQ382" s="221"/>
      <c r="BR382" s="221"/>
    </row>
    <row r="383" ht="15.75" customHeight="1">
      <c r="A383" s="220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309"/>
      <c r="Y383" s="309"/>
      <c r="Z383" s="309"/>
      <c r="AA383" s="309"/>
      <c r="AB383" s="309"/>
      <c r="AC383" s="309"/>
      <c r="AD383" s="309"/>
      <c r="AE383" s="309"/>
      <c r="AF383" s="309"/>
      <c r="AG383" s="309"/>
      <c r="AH383" s="309"/>
      <c r="AI383" s="309"/>
      <c r="AJ383" s="309"/>
      <c r="AK383" s="309"/>
      <c r="AL383" s="309"/>
      <c r="AM383" s="309"/>
      <c r="AN383" s="309"/>
      <c r="AO383" s="309"/>
      <c r="AP383" s="309"/>
      <c r="AQ383" s="309"/>
      <c r="AR383" s="309"/>
      <c r="AS383" s="309"/>
      <c r="AT383" s="309"/>
      <c r="AU383" s="309"/>
      <c r="AV383" s="309"/>
      <c r="AW383" s="309"/>
      <c r="AX383" s="309"/>
      <c r="AY383" s="309"/>
      <c r="AZ383" s="309"/>
      <c r="BA383" s="310"/>
      <c r="BB383" s="310"/>
      <c r="BC383" s="310"/>
      <c r="BD383" s="310"/>
      <c r="BE383" s="310"/>
      <c r="BF383" s="310"/>
      <c r="BG383" s="310"/>
      <c r="BH383" s="310"/>
      <c r="BI383" s="310"/>
      <c r="BJ383" s="310"/>
      <c r="BK383" s="310"/>
      <c r="BL383" s="310"/>
      <c r="BM383" s="310"/>
      <c r="BN383" s="221"/>
      <c r="BO383" s="221"/>
      <c r="BP383" s="221"/>
      <c r="BQ383" s="221"/>
      <c r="BR383" s="221"/>
    </row>
    <row r="384" ht="15.75" customHeight="1">
      <c r="A384" s="220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309"/>
      <c r="Y384" s="309"/>
      <c r="Z384" s="309"/>
      <c r="AA384" s="309"/>
      <c r="AB384" s="309"/>
      <c r="AC384" s="309"/>
      <c r="AD384" s="309"/>
      <c r="AE384" s="309"/>
      <c r="AF384" s="309"/>
      <c r="AG384" s="309"/>
      <c r="AH384" s="309"/>
      <c r="AI384" s="309"/>
      <c r="AJ384" s="309"/>
      <c r="AK384" s="309"/>
      <c r="AL384" s="309"/>
      <c r="AM384" s="309"/>
      <c r="AN384" s="309"/>
      <c r="AO384" s="309"/>
      <c r="AP384" s="309"/>
      <c r="AQ384" s="309"/>
      <c r="AR384" s="309"/>
      <c r="AS384" s="309"/>
      <c r="AT384" s="309"/>
      <c r="AU384" s="309"/>
      <c r="AV384" s="309"/>
      <c r="AW384" s="309"/>
      <c r="AX384" s="309"/>
      <c r="AY384" s="309"/>
      <c r="AZ384" s="309"/>
      <c r="BA384" s="310"/>
      <c r="BB384" s="310"/>
      <c r="BC384" s="310"/>
      <c r="BD384" s="310"/>
      <c r="BE384" s="310"/>
      <c r="BF384" s="310"/>
      <c r="BG384" s="310"/>
      <c r="BH384" s="310"/>
      <c r="BI384" s="310"/>
      <c r="BJ384" s="310"/>
      <c r="BK384" s="310"/>
      <c r="BL384" s="310"/>
      <c r="BM384" s="310"/>
      <c r="BN384" s="221"/>
      <c r="BO384" s="221"/>
      <c r="BP384" s="221"/>
      <c r="BQ384" s="221"/>
      <c r="BR384" s="221"/>
    </row>
    <row r="385" ht="15.75" customHeight="1">
      <c r="A385" s="220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309"/>
      <c r="Y385" s="309"/>
      <c r="Z385" s="309"/>
      <c r="AA385" s="309"/>
      <c r="AB385" s="309"/>
      <c r="AC385" s="309"/>
      <c r="AD385" s="309"/>
      <c r="AE385" s="309"/>
      <c r="AF385" s="309"/>
      <c r="AG385" s="309"/>
      <c r="AH385" s="309"/>
      <c r="AI385" s="309"/>
      <c r="AJ385" s="309"/>
      <c r="AK385" s="309"/>
      <c r="AL385" s="309"/>
      <c r="AM385" s="309"/>
      <c r="AN385" s="309"/>
      <c r="AO385" s="309"/>
      <c r="AP385" s="309"/>
      <c r="AQ385" s="309"/>
      <c r="AR385" s="309"/>
      <c r="AS385" s="309"/>
      <c r="AT385" s="309"/>
      <c r="AU385" s="309"/>
      <c r="AV385" s="309"/>
      <c r="AW385" s="309"/>
      <c r="AX385" s="309"/>
      <c r="AY385" s="309"/>
      <c r="AZ385" s="309"/>
      <c r="BA385" s="310"/>
      <c r="BB385" s="310"/>
      <c r="BC385" s="310"/>
      <c r="BD385" s="310"/>
      <c r="BE385" s="310"/>
      <c r="BF385" s="310"/>
      <c r="BG385" s="310"/>
      <c r="BH385" s="310"/>
      <c r="BI385" s="310"/>
      <c r="BJ385" s="310"/>
      <c r="BK385" s="310"/>
      <c r="BL385" s="310"/>
      <c r="BM385" s="310"/>
      <c r="BN385" s="221"/>
      <c r="BO385" s="221"/>
      <c r="BP385" s="221"/>
      <c r="BQ385" s="221"/>
      <c r="BR385" s="221"/>
    </row>
    <row r="386" ht="15.75" customHeight="1">
      <c r="A386" s="220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309"/>
      <c r="Y386" s="309"/>
      <c r="Z386" s="309"/>
      <c r="AA386" s="309"/>
      <c r="AB386" s="309"/>
      <c r="AC386" s="309"/>
      <c r="AD386" s="309"/>
      <c r="AE386" s="309"/>
      <c r="AF386" s="309"/>
      <c r="AG386" s="309"/>
      <c r="AH386" s="309"/>
      <c r="AI386" s="309"/>
      <c r="AJ386" s="309"/>
      <c r="AK386" s="309"/>
      <c r="AL386" s="309"/>
      <c r="AM386" s="309"/>
      <c r="AN386" s="309"/>
      <c r="AO386" s="309"/>
      <c r="AP386" s="309"/>
      <c r="AQ386" s="309"/>
      <c r="AR386" s="309"/>
      <c r="AS386" s="309"/>
      <c r="AT386" s="309"/>
      <c r="AU386" s="309"/>
      <c r="AV386" s="309"/>
      <c r="AW386" s="309"/>
      <c r="AX386" s="309"/>
      <c r="AY386" s="309"/>
      <c r="AZ386" s="309"/>
      <c r="BA386" s="310"/>
      <c r="BB386" s="310"/>
      <c r="BC386" s="310"/>
      <c r="BD386" s="310"/>
      <c r="BE386" s="310"/>
      <c r="BF386" s="310"/>
      <c r="BG386" s="310"/>
      <c r="BH386" s="310"/>
      <c r="BI386" s="310"/>
      <c r="BJ386" s="310"/>
      <c r="BK386" s="310"/>
      <c r="BL386" s="310"/>
      <c r="BM386" s="310"/>
      <c r="BN386" s="221"/>
      <c r="BO386" s="221"/>
      <c r="BP386" s="221"/>
      <c r="BQ386" s="221"/>
      <c r="BR386" s="221"/>
    </row>
    <row r="387" ht="15.75" customHeight="1">
      <c r="A387" s="220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309"/>
      <c r="Y387" s="309"/>
      <c r="Z387" s="309"/>
      <c r="AA387" s="309"/>
      <c r="AB387" s="309"/>
      <c r="AC387" s="309"/>
      <c r="AD387" s="309"/>
      <c r="AE387" s="309"/>
      <c r="AF387" s="309"/>
      <c r="AG387" s="309"/>
      <c r="AH387" s="309"/>
      <c r="AI387" s="309"/>
      <c r="AJ387" s="309"/>
      <c r="AK387" s="309"/>
      <c r="AL387" s="309"/>
      <c r="AM387" s="309"/>
      <c r="AN387" s="309"/>
      <c r="AO387" s="309"/>
      <c r="AP387" s="309"/>
      <c r="AQ387" s="309"/>
      <c r="AR387" s="309"/>
      <c r="AS387" s="309"/>
      <c r="AT387" s="309"/>
      <c r="AU387" s="309"/>
      <c r="AV387" s="309"/>
      <c r="AW387" s="309"/>
      <c r="AX387" s="309"/>
      <c r="AY387" s="309"/>
      <c r="AZ387" s="309"/>
      <c r="BA387" s="310"/>
      <c r="BB387" s="310"/>
      <c r="BC387" s="310"/>
      <c r="BD387" s="310"/>
      <c r="BE387" s="310"/>
      <c r="BF387" s="310"/>
      <c r="BG387" s="310"/>
      <c r="BH387" s="310"/>
      <c r="BI387" s="310"/>
      <c r="BJ387" s="310"/>
      <c r="BK387" s="310"/>
      <c r="BL387" s="310"/>
      <c r="BM387" s="310"/>
      <c r="BN387" s="221"/>
      <c r="BO387" s="221"/>
      <c r="BP387" s="221"/>
      <c r="BQ387" s="221"/>
      <c r="BR387" s="221"/>
    </row>
    <row r="388" ht="15.75" customHeight="1">
      <c r="A388" s="220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309"/>
      <c r="Y388" s="309"/>
      <c r="Z388" s="309"/>
      <c r="AA388" s="309"/>
      <c r="AB388" s="309"/>
      <c r="AC388" s="309"/>
      <c r="AD388" s="309"/>
      <c r="AE388" s="309"/>
      <c r="AF388" s="309"/>
      <c r="AG388" s="309"/>
      <c r="AH388" s="309"/>
      <c r="AI388" s="309"/>
      <c r="AJ388" s="309"/>
      <c r="AK388" s="309"/>
      <c r="AL388" s="309"/>
      <c r="AM388" s="309"/>
      <c r="AN388" s="309"/>
      <c r="AO388" s="309"/>
      <c r="AP388" s="309"/>
      <c r="AQ388" s="309"/>
      <c r="AR388" s="309"/>
      <c r="AS388" s="309"/>
      <c r="AT388" s="309"/>
      <c r="AU388" s="309"/>
      <c r="AV388" s="309"/>
      <c r="AW388" s="309"/>
      <c r="AX388" s="309"/>
      <c r="AY388" s="309"/>
      <c r="AZ388" s="309"/>
      <c r="BA388" s="310"/>
      <c r="BB388" s="310"/>
      <c r="BC388" s="310"/>
      <c r="BD388" s="310"/>
      <c r="BE388" s="310"/>
      <c r="BF388" s="310"/>
      <c r="BG388" s="310"/>
      <c r="BH388" s="310"/>
      <c r="BI388" s="310"/>
      <c r="BJ388" s="310"/>
      <c r="BK388" s="310"/>
      <c r="BL388" s="310"/>
      <c r="BM388" s="310"/>
      <c r="BN388" s="221"/>
      <c r="BO388" s="221"/>
      <c r="BP388" s="221"/>
      <c r="BQ388" s="221"/>
      <c r="BR388" s="221"/>
    </row>
    <row r="389" ht="15.75" customHeight="1">
      <c r="A389" s="220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309"/>
      <c r="Y389" s="309"/>
      <c r="Z389" s="309"/>
      <c r="AA389" s="309"/>
      <c r="AB389" s="309"/>
      <c r="AC389" s="309"/>
      <c r="AD389" s="309"/>
      <c r="AE389" s="309"/>
      <c r="AF389" s="309"/>
      <c r="AG389" s="309"/>
      <c r="AH389" s="309"/>
      <c r="AI389" s="309"/>
      <c r="AJ389" s="309"/>
      <c r="AK389" s="309"/>
      <c r="AL389" s="309"/>
      <c r="AM389" s="309"/>
      <c r="AN389" s="309"/>
      <c r="AO389" s="309"/>
      <c r="AP389" s="309"/>
      <c r="AQ389" s="309"/>
      <c r="AR389" s="309"/>
      <c r="AS389" s="309"/>
      <c r="AT389" s="309"/>
      <c r="AU389" s="309"/>
      <c r="AV389" s="309"/>
      <c r="AW389" s="309"/>
      <c r="AX389" s="309"/>
      <c r="AY389" s="309"/>
      <c r="AZ389" s="309"/>
      <c r="BA389" s="310"/>
      <c r="BB389" s="310"/>
      <c r="BC389" s="310"/>
      <c r="BD389" s="310"/>
      <c r="BE389" s="310"/>
      <c r="BF389" s="310"/>
      <c r="BG389" s="310"/>
      <c r="BH389" s="310"/>
      <c r="BI389" s="310"/>
      <c r="BJ389" s="310"/>
      <c r="BK389" s="310"/>
      <c r="BL389" s="310"/>
      <c r="BM389" s="310"/>
      <c r="BN389" s="221"/>
      <c r="BO389" s="221"/>
      <c r="BP389" s="221"/>
      <c r="BQ389" s="221"/>
      <c r="BR389" s="221"/>
    </row>
    <row r="390" ht="15.75" customHeight="1">
      <c r="A390" s="220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309"/>
      <c r="Y390" s="309"/>
      <c r="Z390" s="309"/>
      <c r="AA390" s="309"/>
      <c r="AB390" s="309"/>
      <c r="AC390" s="309"/>
      <c r="AD390" s="309"/>
      <c r="AE390" s="309"/>
      <c r="AF390" s="309"/>
      <c r="AG390" s="309"/>
      <c r="AH390" s="309"/>
      <c r="AI390" s="309"/>
      <c r="AJ390" s="309"/>
      <c r="AK390" s="309"/>
      <c r="AL390" s="309"/>
      <c r="AM390" s="309"/>
      <c r="AN390" s="309"/>
      <c r="AO390" s="309"/>
      <c r="AP390" s="309"/>
      <c r="AQ390" s="309"/>
      <c r="AR390" s="309"/>
      <c r="AS390" s="309"/>
      <c r="AT390" s="309"/>
      <c r="AU390" s="309"/>
      <c r="AV390" s="309"/>
      <c r="AW390" s="309"/>
      <c r="AX390" s="309"/>
      <c r="AY390" s="309"/>
      <c r="AZ390" s="309"/>
      <c r="BA390" s="310"/>
      <c r="BB390" s="310"/>
      <c r="BC390" s="310"/>
      <c r="BD390" s="310"/>
      <c r="BE390" s="310"/>
      <c r="BF390" s="310"/>
      <c r="BG390" s="310"/>
      <c r="BH390" s="310"/>
      <c r="BI390" s="310"/>
      <c r="BJ390" s="310"/>
      <c r="BK390" s="310"/>
      <c r="BL390" s="310"/>
      <c r="BM390" s="310"/>
      <c r="BN390" s="221"/>
      <c r="BO390" s="221"/>
      <c r="BP390" s="221"/>
      <c r="BQ390" s="221"/>
      <c r="BR390" s="221"/>
    </row>
    <row r="391" ht="15.75" customHeight="1">
      <c r="A391" s="220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309"/>
      <c r="Y391" s="309"/>
      <c r="Z391" s="309"/>
      <c r="AA391" s="309"/>
      <c r="AB391" s="309"/>
      <c r="AC391" s="309"/>
      <c r="AD391" s="309"/>
      <c r="AE391" s="309"/>
      <c r="AF391" s="309"/>
      <c r="AG391" s="309"/>
      <c r="AH391" s="309"/>
      <c r="AI391" s="309"/>
      <c r="AJ391" s="309"/>
      <c r="AK391" s="309"/>
      <c r="AL391" s="309"/>
      <c r="AM391" s="309"/>
      <c r="AN391" s="309"/>
      <c r="AO391" s="309"/>
      <c r="AP391" s="309"/>
      <c r="AQ391" s="309"/>
      <c r="AR391" s="309"/>
      <c r="AS391" s="309"/>
      <c r="AT391" s="309"/>
      <c r="AU391" s="309"/>
      <c r="AV391" s="309"/>
      <c r="AW391" s="309"/>
      <c r="AX391" s="309"/>
      <c r="AY391" s="309"/>
      <c r="AZ391" s="309"/>
      <c r="BA391" s="310"/>
      <c r="BB391" s="310"/>
      <c r="BC391" s="310"/>
      <c r="BD391" s="310"/>
      <c r="BE391" s="310"/>
      <c r="BF391" s="310"/>
      <c r="BG391" s="310"/>
      <c r="BH391" s="310"/>
      <c r="BI391" s="310"/>
      <c r="BJ391" s="310"/>
      <c r="BK391" s="310"/>
      <c r="BL391" s="310"/>
      <c r="BM391" s="310"/>
      <c r="BN391" s="221"/>
      <c r="BO391" s="221"/>
      <c r="BP391" s="221"/>
      <c r="BQ391" s="221"/>
      <c r="BR391" s="221"/>
    </row>
    <row r="392" ht="15.75" customHeight="1">
      <c r="A392" s="220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309"/>
      <c r="Y392" s="309"/>
      <c r="Z392" s="309"/>
      <c r="AA392" s="309"/>
      <c r="AB392" s="309"/>
      <c r="AC392" s="309"/>
      <c r="AD392" s="309"/>
      <c r="AE392" s="309"/>
      <c r="AF392" s="309"/>
      <c r="AG392" s="309"/>
      <c r="AH392" s="309"/>
      <c r="AI392" s="309"/>
      <c r="AJ392" s="309"/>
      <c r="AK392" s="309"/>
      <c r="AL392" s="309"/>
      <c r="AM392" s="309"/>
      <c r="AN392" s="309"/>
      <c r="AO392" s="309"/>
      <c r="AP392" s="309"/>
      <c r="AQ392" s="309"/>
      <c r="AR392" s="309"/>
      <c r="AS392" s="309"/>
      <c r="AT392" s="309"/>
      <c r="AU392" s="309"/>
      <c r="AV392" s="309"/>
      <c r="AW392" s="309"/>
      <c r="AX392" s="309"/>
      <c r="AY392" s="309"/>
      <c r="AZ392" s="309"/>
      <c r="BA392" s="310"/>
      <c r="BB392" s="310"/>
      <c r="BC392" s="310"/>
      <c r="BD392" s="310"/>
      <c r="BE392" s="310"/>
      <c r="BF392" s="310"/>
      <c r="BG392" s="310"/>
      <c r="BH392" s="310"/>
      <c r="BI392" s="310"/>
      <c r="BJ392" s="310"/>
      <c r="BK392" s="310"/>
      <c r="BL392" s="310"/>
      <c r="BM392" s="310"/>
      <c r="BN392" s="221"/>
      <c r="BO392" s="221"/>
      <c r="BP392" s="221"/>
      <c r="BQ392" s="221"/>
      <c r="BR392" s="221"/>
    </row>
    <row r="393" ht="15.75" customHeight="1">
      <c r="A393" s="220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309"/>
      <c r="Y393" s="309"/>
      <c r="Z393" s="309"/>
      <c r="AA393" s="309"/>
      <c r="AB393" s="309"/>
      <c r="AC393" s="309"/>
      <c r="AD393" s="309"/>
      <c r="AE393" s="309"/>
      <c r="AF393" s="309"/>
      <c r="AG393" s="309"/>
      <c r="AH393" s="309"/>
      <c r="AI393" s="309"/>
      <c r="AJ393" s="309"/>
      <c r="AK393" s="309"/>
      <c r="AL393" s="309"/>
      <c r="AM393" s="309"/>
      <c r="AN393" s="309"/>
      <c r="AO393" s="309"/>
      <c r="AP393" s="309"/>
      <c r="AQ393" s="309"/>
      <c r="AR393" s="309"/>
      <c r="AS393" s="309"/>
      <c r="AT393" s="309"/>
      <c r="AU393" s="309"/>
      <c r="AV393" s="309"/>
      <c r="AW393" s="309"/>
      <c r="AX393" s="309"/>
      <c r="AY393" s="309"/>
      <c r="AZ393" s="309"/>
      <c r="BA393" s="310"/>
      <c r="BB393" s="310"/>
      <c r="BC393" s="310"/>
      <c r="BD393" s="310"/>
      <c r="BE393" s="310"/>
      <c r="BF393" s="310"/>
      <c r="BG393" s="310"/>
      <c r="BH393" s="310"/>
      <c r="BI393" s="310"/>
      <c r="BJ393" s="310"/>
      <c r="BK393" s="310"/>
      <c r="BL393" s="310"/>
      <c r="BM393" s="310"/>
      <c r="BN393" s="221"/>
      <c r="BO393" s="221"/>
      <c r="BP393" s="221"/>
      <c r="BQ393" s="221"/>
      <c r="BR393" s="221"/>
    </row>
    <row r="394" ht="15.75" customHeight="1">
      <c r="A394" s="220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309"/>
      <c r="Y394" s="309"/>
      <c r="Z394" s="309"/>
      <c r="AA394" s="309"/>
      <c r="AB394" s="309"/>
      <c r="AC394" s="309"/>
      <c r="AD394" s="309"/>
      <c r="AE394" s="309"/>
      <c r="AF394" s="309"/>
      <c r="AG394" s="309"/>
      <c r="AH394" s="309"/>
      <c r="AI394" s="309"/>
      <c r="AJ394" s="309"/>
      <c r="AK394" s="309"/>
      <c r="AL394" s="309"/>
      <c r="AM394" s="309"/>
      <c r="AN394" s="309"/>
      <c r="AO394" s="309"/>
      <c r="AP394" s="309"/>
      <c r="AQ394" s="309"/>
      <c r="AR394" s="309"/>
      <c r="AS394" s="309"/>
      <c r="AT394" s="309"/>
      <c r="AU394" s="309"/>
      <c r="AV394" s="309"/>
      <c r="AW394" s="309"/>
      <c r="AX394" s="309"/>
      <c r="AY394" s="309"/>
      <c r="AZ394" s="309"/>
      <c r="BA394" s="310"/>
      <c r="BB394" s="310"/>
      <c r="BC394" s="310"/>
      <c r="BD394" s="310"/>
      <c r="BE394" s="310"/>
      <c r="BF394" s="310"/>
      <c r="BG394" s="310"/>
      <c r="BH394" s="310"/>
      <c r="BI394" s="310"/>
      <c r="BJ394" s="310"/>
      <c r="BK394" s="310"/>
      <c r="BL394" s="310"/>
      <c r="BM394" s="310"/>
      <c r="BN394" s="221"/>
      <c r="BO394" s="221"/>
      <c r="BP394" s="221"/>
      <c r="BQ394" s="221"/>
      <c r="BR394" s="221"/>
    </row>
    <row r="395" ht="15.75" customHeight="1">
      <c r="A395" s="220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309"/>
      <c r="Y395" s="309"/>
      <c r="Z395" s="309"/>
      <c r="AA395" s="309"/>
      <c r="AB395" s="309"/>
      <c r="AC395" s="309"/>
      <c r="AD395" s="309"/>
      <c r="AE395" s="309"/>
      <c r="AF395" s="309"/>
      <c r="AG395" s="309"/>
      <c r="AH395" s="309"/>
      <c r="AI395" s="309"/>
      <c r="AJ395" s="309"/>
      <c r="AK395" s="309"/>
      <c r="AL395" s="309"/>
      <c r="AM395" s="309"/>
      <c r="AN395" s="309"/>
      <c r="AO395" s="309"/>
      <c r="AP395" s="309"/>
      <c r="AQ395" s="309"/>
      <c r="AR395" s="309"/>
      <c r="AS395" s="309"/>
      <c r="AT395" s="309"/>
      <c r="AU395" s="309"/>
      <c r="AV395" s="309"/>
      <c r="AW395" s="309"/>
      <c r="AX395" s="309"/>
      <c r="AY395" s="309"/>
      <c r="AZ395" s="309"/>
      <c r="BA395" s="310"/>
      <c r="BB395" s="310"/>
      <c r="BC395" s="310"/>
      <c r="BD395" s="310"/>
      <c r="BE395" s="310"/>
      <c r="BF395" s="310"/>
      <c r="BG395" s="310"/>
      <c r="BH395" s="310"/>
      <c r="BI395" s="310"/>
      <c r="BJ395" s="310"/>
      <c r="BK395" s="310"/>
      <c r="BL395" s="310"/>
      <c r="BM395" s="310"/>
      <c r="BN395" s="221"/>
      <c r="BO395" s="221"/>
      <c r="BP395" s="221"/>
      <c r="BQ395" s="221"/>
      <c r="BR395" s="221"/>
    </row>
    <row r="396" ht="15.75" customHeight="1">
      <c r="A396" s="220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309"/>
      <c r="Y396" s="309"/>
      <c r="Z396" s="309"/>
      <c r="AA396" s="309"/>
      <c r="AB396" s="309"/>
      <c r="AC396" s="309"/>
      <c r="AD396" s="309"/>
      <c r="AE396" s="309"/>
      <c r="AF396" s="309"/>
      <c r="AG396" s="309"/>
      <c r="AH396" s="309"/>
      <c r="AI396" s="309"/>
      <c r="AJ396" s="309"/>
      <c r="AK396" s="309"/>
      <c r="AL396" s="309"/>
      <c r="AM396" s="309"/>
      <c r="AN396" s="309"/>
      <c r="AO396" s="309"/>
      <c r="AP396" s="309"/>
      <c r="AQ396" s="309"/>
      <c r="AR396" s="309"/>
      <c r="AS396" s="309"/>
      <c r="AT396" s="309"/>
      <c r="AU396" s="309"/>
      <c r="AV396" s="309"/>
      <c r="AW396" s="309"/>
      <c r="AX396" s="309"/>
      <c r="AY396" s="309"/>
      <c r="AZ396" s="309"/>
      <c r="BA396" s="310"/>
      <c r="BB396" s="310"/>
      <c r="BC396" s="310"/>
      <c r="BD396" s="310"/>
      <c r="BE396" s="310"/>
      <c r="BF396" s="310"/>
      <c r="BG396" s="310"/>
      <c r="BH396" s="310"/>
      <c r="BI396" s="310"/>
      <c r="BJ396" s="310"/>
      <c r="BK396" s="310"/>
      <c r="BL396" s="310"/>
      <c r="BM396" s="310"/>
      <c r="BN396" s="221"/>
      <c r="BO396" s="221"/>
      <c r="BP396" s="221"/>
      <c r="BQ396" s="221"/>
      <c r="BR396" s="221"/>
    </row>
    <row r="397" ht="15.75" customHeight="1">
      <c r="A397" s="220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309"/>
      <c r="Y397" s="309"/>
      <c r="Z397" s="309"/>
      <c r="AA397" s="309"/>
      <c r="AB397" s="309"/>
      <c r="AC397" s="309"/>
      <c r="AD397" s="309"/>
      <c r="AE397" s="309"/>
      <c r="AF397" s="309"/>
      <c r="AG397" s="309"/>
      <c r="AH397" s="309"/>
      <c r="AI397" s="309"/>
      <c r="AJ397" s="309"/>
      <c r="AK397" s="309"/>
      <c r="AL397" s="309"/>
      <c r="AM397" s="309"/>
      <c r="AN397" s="309"/>
      <c r="AO397" s="309"/>
      <c r="AP397" s="309"/>
      <c r="AQ397" s="309"/>
      <c r="AR397" s="309"/>
      <c r="AS397" s="309"/>
      <c r="AT397" s="309"/>
      <c r="AU397" s="309"/>
      <c r="AV397" s="309"/>
      <c r="AW397" s="309"/>
      <c r="AX397" s="309"/>
      <c r="AY397" s="309"/>
      <c r="AZ397" s="309"/>
      <c r="BA397" s="310"/>
      <c r="BB397" s="310"/>
      <c r="BC397" s="310"/>
      <c r="BD397" s="310"/>
      <c r="BE397" s="310"/>
      <c r="BF397" s="310"/>
      <c r="BG397" s="310"/>
      <c r="BH397" s="310"/>
      <c r="BI397" s="310"/>
      <c r="BJ397" s="310"/>
      <c r="BK397" s="310"/>
      <c r="BL397" s="310"/>
      <c r="BM397" s="310"/>
      <c r="BN397" s="221"/>
      <c r="BO397" s="221"/>
      <c r="BP397" s="221"/>
      <c r="BQ397" s="221"/>
      <c r="BR397" s="221"/>
    </row>
    <row r="398" ht="15.75" customHeight="1">
      <c r="A398" s="220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309"/>
      <c r="Y398" s="309"/>
      <c r="Z398" s="309"/>
      <c r="AA398" s="309"/>
      <c r="AB398" s="309"/>
      <c r="AC398" s="309"/>
      <c r="AD398" s="309"/>
      <c r="AE398" s="309"/>
      <c r="AF398" s="309"/>
      <c r="AG398" s="309"/>
      <c r="AH398" s="309"/>
      <c r="AI398" s="309"/>
      <c r="AJ398" s="309"/>
      <c r="AK398" s="309"/>
      <c r="AL398" s="309"/>
      <c r="AM398" s="309"/>
      <c r="AN398" s="309"/>
      <c r="AO398" s="309"/>
      <c r="AP398" s="309"/>
      <c r="AQ398" s="309"/>
      <c r="AR398" s="309"/>
      <c r="AS398" s="309"/>
      <c r="AT398" s="309"/>
      <c r="AU398" s="309"/>
      <c r="AV398" s="309"/>
      <c r="AW398" s="309"/>
      <c r="AX398" s="309"/>
      <c r="AY398" s="309"/>
      <c r="AZ398" s="309"/>
      <c r="BA398" s="310"/>
      <c r="BB398" s="310"/>
      <c r="BC398" s="310"/>
      <c r="BD398" s="310"/>
      <c r="BE398" s="310"/>
      <c r="BF398" s="310"/>
      <c r="BG398" s="310"/>
      <c r="BH398" s="310"/>
      <c r="BI398" s="310"/>
      <c r="BJ398" s="310"/>
      <c r="BK398" s="310"/>
      <c r="BL398" s="310"/>
      <c r="BM398" s="310"/>
      <c r="BN398" s="221"/>
      <c r="BO398" s="221"/>
      <c r="BP398" s="221"/>
      <c r="BQ398" s="221"/>
      <c r="BR398" s="221"/>
    </row>
    <row r="399" ht="15.75" customHeight="1">
      <c r="A399" s="220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309"/>
      <c r="Y399" s="309"/>
      <c r="Z399" s="309"/>
      <c r="AA399" s="309"/>
      <c r="AB399" s="309"/>
      <c r="AC399" s="309"/>
      <c r="AD399" s="309"/>
      <c r="AE399" s="309"/>
      <c r="AF399" s="309"/>
      <c r="AG399" s="309"/>
      <c r="AH399" s="309"/>
      <c r="AI399" s="309"/>
      <c r="AJ399" s="309"/>
      <c r="AK399" s="309"/>
      <c r="AL399" s="309"/>
      <c r="AM399" s="309"/>
      <c r="AN399" s="309"/>
      <c r="AO399" s="309"/>
      <c r="AP399" s="309"/>
      <c r="AQ399" s="309"/>
      <c r="AR399" s="309"/>
      <c r="AS399" s="309"/>
      <c r="AT399" s="309"/>
      <c r="AU399" s="309"/>
      <c r="AV399" s="309"/>
      <c r="AW399" s="309"/>
      <c r="AX399" s="309"/>
      <c r="AY399" s="309"/>
      <c r="AZ399" s="309"/>
      <c r="BA399" s="310"/>
      <c r="BB399" s="310"/>
      <c r="BC399" s="310"/>
      <c r="BD399" s="310"/>
      <c r="BE399" s="310"/>
      <c r="BF399" s="310"/>
      <c r="BG399" s="310"/>
      <c r="BH399" s="310"/>
      <c r="BI399" s="310"/>
      <c r="BJ399" s="310"/>
      <c r="BK399" s="310"/>
      <c r="BL399" s="310"/>
      <c r="BM399" s="310"/>
      <c r="BN399" s="221"/>
      <c r="BO399" s="221"/>
      <c r="BP399" s="221"/>
      <c r="BQ399" s="221"/>
      <c r="BR399" s="221"/>
    </row>
    <row r="400" ht="15.75" customHeight="1">
      <c r="A400" s="220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309"/>
      <c r="Y400" s="309"/>
      <c r="Z400" s="309"/>
      <c r="AA400" s="309"/>
      <c r="AB400" s="309"/>
      <c r="AC400" s="309"/>
      <c r="AD400" s="309"/>
      <c r="AE400" s="309"/>
      <c r="AF400" s="309"/>
      <c r="AG400" s="309"/>
      <c r="AH400" s="309"/>
      <c r="AI400" s="309"/>
      <c r="AJ400" s="309"/>
      <c r="AK400" s="309"/>
      <c r="AL400" s="309"/>
      <c r="AM400" s="309"/>
      <c r="AN400" s="309"/>
      <c r="AO400" s="309"/>
      <c r="AP400" s="309"/>
      <c r="AQ400" s="309"/>
      <c r="AR400" s="309"/>
      <c r="AS400" s="309"/>
      <c r="AT400" s="309"/>
      <c r="AU400" s="309"/>
      <c r="AV400" s="309"/>
      <c r="AW400" s="309"/>
      <c r="AX400" s="309"/>
      <c r="AY400" s="309"/>
      <c r="AZ400" s="309"/>
      <c r="BA400" s="310"/>
      <c r="BB400" s="310"/>
      <c r="BC400" s="310"/>
      <c r="BD400" s="310"/>
      <c r="BE400" s="310"/>
      <c r="BF400" s="310"/>
      <c r="BG400" s="310"/>
      <c r="BH400" s="310"/>
      <c r="BI400" s="310"/>
      <c r="BJ400" s="310"/>
      <c r="BK400" s="310"/>
      <c r="BL400" s="310"/>
      <c r="BM400" s="310"/>
      <c r="BN400" s="221"/>
      <c r="BO400" s="221"/>
      <c r="BP400" s="221"/>
      <c r="BQ400" s="221"/>
      <c r="BR400" s="221"/>
    </row>
    <row r="401" ht="15.75" customHeight="1">
      <c r="A401" s="220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309"/>
      <c r="Y401" s="309"/>
      <c r="Z401" s="309"/>
      <c r="AA401" s="309"/>
      <c r="AB401" s="309"/>
      <c r="AC401" s="309"/>
      <c r="AD401" s="309"/>
      <c r="AE401" s="309"/>
      <c r="AF401" s="309"/>
      <c r="AG401" s="309"/>
      <c r="AH401" s="309"/>
      <c r="AI401" s="309"/>
      <c r="AJ401" s="309"/>
      <c r="AK401" s="309"/>
      <c r="AL401" s="309"/>
      <c r="AM401" s="309"/>
      <c r="AN401" s="309"/>
      <c r="AO401" s="309"/>
      <c r="AP401" s="309"/>
      <c r="AQ401" s="309"/>
      <c r="AR401" s="309"/>
      <c r="AS401" s="309"/>
      <c r="AT401" s="309"/>
      <c r="AU401" s="309"/>
      <c r="AV401" s="309"/>
      <c r="AW401" s="309"/>
      <c r="AX401" s="309"/>
      <c r="AY401" s="309"/>
      <c r="AZ401" s="309"/>
      <c r="BA401" s="310"/>
      <c r="BB401" s="310"/>
      <c r="BC401" s="310"/>
      <c r="BD401" s="310"/>
      <c r="BE401" s="310"/>
      <c r="BF401" s="310"/>
      <c r="BG401" s="310"/>
      <c r="BH401" s="310"/>
      <c r="BI401" s="310"/>
      <c r="BJ401" s="310"/>
      <c r="BK401" s="310"/>
      <c r="BL401" s="310"/>
      <c r="BM401" s="310"/>
      <c r="BN401" s="221"/>
      <c r="BO401" s="221"/>
      <c r="BP401" s="221"/>
      <c r="BQ401" s="221"/>
      <c r="BR401" s="221"/>
    </row>
    <row r="402" ht="15.75" customHeight="1">
      <c r="A402" s="220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309"/>
      <c r="Y402" s="309"/>
      <c r="Z402" s="309"/>
      <c r="AA402" s="309"/>
      <c r="AB402" s="309"/>
      <c r="AC402" s="309"/>
      <c r="AD402" s="309"/>
      <c r="AE402" s="309"/>
      <c r="AF402" s="309"/>
      <c r="AG402" s="309"/>
      <c r="AH402" s="309"/>
      <c r="AI402" s="309"/>
      <c r="AJ402" s="309"/>
      <c r="AK402" s="309"/>
      <c r="AL402" s="309"/>
      <c r="AM402" s="309"/>
      <c r="AN402" s="309"/>
      <c r="AO402" s="309"/>
      <c r="AP402" s="309"/>
      <c r="AQ402" s="309"/>
      <c r="AR402" s="309"/>
      <c r="AS402" s="309"/>
      <c r="AT402" s="309"/>
      <c r="AU402" s="309"/>
      <c r="AV402" s="309"/>
      <c r="AW402" s="309"/>
      <c r="AX402" s="309"/>
      <c r="AY402" s="309"/>
      <c r="AZ402" s="309"/>
      <c r="BA402" s="310"/>
      <c r="BB402" s="310"/>
      <c r="BC402" s="310"/>
      <c r="BD402" s="310"/>
      <c r="BE402" s="310"/>
      <c r="BF402" s="310"/>
      <c r="BG402" s="310"/>
      <c r="BH402" s="310"/>
      <c r="BI402" s="310"/>
      <c r="BJ402" s="310"/>
      <c r="BK402" s="310"/>
      <c r="BL402" s="310"/>
      <c r="BM402" s="310"/>
      <c r="BN402" s="221"/>
      <c r="BO402" s="221"/>
      <c r="BP402" s="221"/>
      <c r="BQ402" s="221"/>
      <c r="BR402" s="221"/>
    </row>
    <row r="403" ht="15.75" customHeight="1">
      <c r="A403" s="220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309"/>
      <c r="Y403" s="309"/>
      <c r="Z403" s="309"/>
      <c r="AA403" s="309"/>
      <c r="AB403" s="309"/>
      <c r="AC403" s="309"/>
      <c r="AD403" s="309"/>
      <c r="AE403" s="309"/>
      <c r="AF403" s="309"/>
      <c r="AG403" s="309"/>
      <c r="AH403" s="309"/>
      <c r="AI403" s="309"/>
      <c r="AJ403" s="309"/>
      <c r="AK403" s="309"/>
      <c r="AL403" s="309"/>
      <c r="AM403" s="309"/>
      <c r="AN403" s="309"/>
      <c r="AO403" s="309"/>
      <c r="AP403" s="309"/>
      <c r="AQ403" s="309"/>
      <c r="AR403" s="309"/>
      <c r="AS403" s="309"/>
      <c r="AT403" s="309"/>
      <c r="AU403" s="309"/>
      <c r="AV403" s="309"/>
      <c r="AW403" s="309"/>
      <c r="AX403" s="309"/>
      <c r="AY403" s="309"/>
      <c r="AZ403" s="309"/>
      <c r="BA403" s="310"/>
      <c r="BB403" s="310"/>
      <c r="BC403" s="310"/>
      <c r="BD403" s="310"/>
      <c r="BE403" s="310"/>
      <c r="BF403" s="310"/>
      <c r="BG403" s="310"/>
      <c r="BH403" s="310"/>
      <c r="BI403" s="310"/>
      <c r="BJ403" s="310"/>
      <c r="BK403" s="310"/>
      <c r="BL403" s="310"/>
      <c r="BM403" s="310"/>
      <c r="BN403" s="221"/>
      <c r="BO403" s="221"/>
      <c r="BP403" s="221"/>
      <c r="BQ403" s="221"/>
      <c r="BR403" s="221"/>
    </row>
    <row r="404" ht="15.75" customHeight="1">
      <c r="A404" s="220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309"/>
      <c r="Y404" s="309"/>
      <c r="Z404" s="309"/>
      <c r="AA404" s="309"/>
      <c r="AB404" s="309"/>
      <c r="AC404" s="309"/>
      <c r="AD404" s="309"/>
      <c r="AE404" s="309"/>
      <c r="AF404" s="309"/>
      <c r="AG404" s="309"/>
      <c r="AH404" s="309"/>
      <c r="AI404" s="309"/>
      <c r="AJ404" s="309"/>
      <c r="AK404" s="309"/>
      <c r="AL404" s="309"/>
      <c r="AM404" s="309"/>
      <c r="AN404" s="309"/>
      <c r="AO404" s="309"/>
      <c r="AP404" s="309"/>
      <c r="AQ404" s="309"/>
      <c r="AR404" s="309"/>
      <c r="AS404" s="309"/>
      <c r="AT404" s="309"/>
      <c r="AU404" s="309"/>
      <c r="AV404" s="309"/>
      <c r="AW404" s="309"/>
      <c r="AX404" s="309"/>
      <c r="AY404" s="309"/>
      <c r="AZ404" s="309"/>
      <c r="BA404" s="310"/>
      <c r="BB404" s="310"/>
      <c r="BC404" s="310"/>
      <c r="BD404" s="310"/>
      <c r="BE404" s="310"/>
      <c r="BF404" s="310"/>
      <c r="BG404" s="310"/>
      <c r="BH404" s="310"/>
      <c r="BI404" s="310"/>
      <c r="BJ404" s="310"/>
      <c r="BK404" s="310"/>
      <c r="BL404" s="310"/>
      <c r="BM404" s="310"/>
      <c r="BN404" s="221"/>
      <c r="BO404" s="221"/>
      <c r="BP404" s="221"/>
      <c r="BQ404" s="221"/>
      <c r="BR404" s="221"/>
    </row>
    <row r="405" ht="15.75" customHeight="1">
      <c r="A405" s="220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309"/>
      <c r="Y405" s="309"/>
      <c r="Z405" s="309"/>
      <c r="AA405" s="309"/>
      <c r="AB405" s="309"/>
      <c r="AC405" s="309"/>
      <c r="AD405" s="309"/>
      <c r="AE405" s="309"/>
      <c r="AF405" s="309"/>
      <c r="AG405" s="309"/>
      <c r="AH405" s="309"/>
      <c r="AI405" s="309"/>
      <c r="AJ405" s="309"/>
      <c r="AK405" s="309"/>
      <c r="AL405" s="309"/>
      <c r="AM405" s="309"/>
      <c r="AN405" s="309"/>
      <c r="AO405" s="309"/>
      <c r="AP405" s="309"/>
      <c r="AQ405" s="309"/>
      <c r="AR405" s="309"/>
      <c r="AS405" s="309"/>
      <c r="AT405" s="309"/>
      <c r="AU405" s="309"/>
      <c r="AV405" s="309"/>
      <c r="AW405" s="309"/>
      <c r="AX405" s="309"/>
      <c r="AY405" s="309"/>
      <c r="AZ405" s="309"/>
      <c r="BA405" s="310"/>
      <c r="BB405" s="310"/>
      <c r="BC405" s="310"/>
      <c r="BD405" s="310"/>
      <c r="BE405" s="310"/>
      <c r="BF405" s="310"/>
      <c r="BG405" s="310"/>
      <c r="BH405" s="310"/>
      <c r="BI405" s="310"/>
      <c r="BJ405" s="310"/>
      <c r="BK405" s="310"/>
      <c r="BL405" s="310"/>
      <c r="BM405" s="310"/>
      <c r="BN405" s="221"/>
      <c r="BO405" s="221"/>
      <c r="BP405" s="221"/>
      <c r="BQ405" s="221"/>
      <c r="BR405" s="221"/>
    </row>
    <row r="406" ht="15.75" customHeight="1">
      <c r="A406" s="220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309"/>
      <c r="Y406" s="309"/>
      <c r="Z406" s="309"/>
      <c r="AA406" s="309"/>
      <c r="AB406" s="309"/>
      <c r="AC406" s="309"/>
      <c r="AD406" s="309"/>
      <c r="AE406" s="309"/>
      <c r="AF406" s="309"/>
      <c r="AG406" s="309"/>
      <c r="AH406" s="309"/>
      <c r="AI406" s="309"/>
      <c r="AJ406" s="309"/>
      <c r="AK406" s="309"/>
      <c r="AL406" s="309"/>
      <c r="AM406" s="309"/>
      <c r="AN406" s="309"/>
      <c r="AO406" s="309"/>
      <c r="AP406" s="309"/>
      <c r="AQ406" s="309"/>
      <c r="AR406" s="309"/>
      <c r="AS406" s="309"/>
      <c r="AT406" s="309"/>
      <c r="AU406" s="309"/>
      <c r="AV406" s="309"/>
      <c r="AW406" s="309"/>
      <c r="AX406" s="309"/>
      <c r="AY406" s="309"/>
      <c r="AZ406" s="309"/>
      <c r="BA406" s="310"/>
      <c r="BB406" s="310"/>
      <c r="BC406" s="310"/>
      <c r="BD406" s="310"/>
      <c r="BE406" s="310"/>
      <c r="BF406" s="310"/>
      <c r="BG406" s="310"/>
      <c r="BH406" s="310"/>
      <c r="BI406" s="310"/>
      <c r="BJ406" s="310"/>
      <c r="BK406" s="310"/>
      <c r="BL406" s="310"/>
      <c r="BM406" s="310"/>
      <c r="BN406" s="221"/>
      <c r="BO406" s="221"/>
      <c r="BP406" s="221"/>
      <c r="BQ406" s="221"/>
      <c r="BR406" s="221"/>
    </row>
    <row r="407" ht="15.75" customHeight="1">
      <c r="A407" s="220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309"/>
      <c r="Y407" s="309"/>
      <c r="Z407" s="309"/>
      <c r="AA407" s="309"/>
      <c r="AB407" s="309"/>
      <c r="AC407" s="309"/>
      <c r="AD407" s="309"/>
      <c r="AE407" s="309"/>
      <c r="AF407" s="309"/>
      <c r="AG407" s="309"/>
      <c r="AH407" s="309"/>
      <c r="AI407" s="309"/>
      <c r="AJ407" s="309"/>
      <c r="AK407" s="309"/>
      <c r="AL407" s="309"/>
      <c r="AM407" s="309"/>
      <c r="AN407" s="309"/>
      <c r="AO407" s="309"/>
      <c r="AP407" s="309"/>
      <c r="AQ407" s="309"/>
      <c r="AR407" s="309"/>
      <c r="AS407" s="309"/>
      <c r="AT407" s="309"/>
      <c r="AU407" s="309"/>
      <c r="AV407" s="309"/>
      <c r="AW407" s="309"/>
      <c r="AX407" s="309"/>
      <c r="AY407" s="309"/>
      <c r="AZ407" s="309"/>
      <c r="BA407" s="310"/>
      <c r="BB407" s="310"/>
      <c r="BC407" s="310"/>
      <c r="BD407" s="310"/>
      <c r="BE407" s="310"/>
      <c r="BF407" s="310"/>
      <c r="BG407" s="310"/>
      <c r="BH407" s="310"/>
      <c r="BI407" s="310"/>
      <c r="BJ407" s="310"/>
      <c r="BK407" s="310"/>
      <c r="BL407" s="310"/>
      <c r="BM407" s="310"/>
      <c r="BN407" s="221"/>
      <c r="BO407" s="221"/>
      <c r="BP407" s="221"/>
      <c r="BQ407" s="221"/>
      <c r="BR407" s="221"/>
    </row>
    <row r="408" ht="15.75" customHeight="1">
      <c r="A408" s="220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309"/>
      <c r="Y408" s="309"/>
      <c r="Z408" s="309"/>
      <c r="AA408" s="309"/>
      <c r="AB408" s="309"/>
      <c r="AC408" s="309"/>
      <c r="AD408" s="309"/>
      <c r="AE408" s="309"/>
      <c r="AF408" s="309"/>
      <c r="AG408" s="309"/>
      <c r="AH408" s="309"/>
      <c r="AI408" s="309"/>
      <c r="AJ408" s="309"/>
      <c r="AK408" s="309"/>
      <c r="AL408" s="309"/>
      <c r="AM408" s="309"/>
      <c r="AN408" s="309"/>
      <c r="AO408" s="309"/>
      <c r="AP408" s="309"/>
      <c r="AQ408" s="309"/>
      <c r="AR408" s="309"/>
      <c r="AS408" s="309"/>
      <c r="AT408" s="309"/>
      <c r="AU408" s="309"/>
      <c r="AV408" s="309"/>
      <c r="AW408" s="309"/>
      <c r="AX408" s="309"/>
      <c r="AY408" s="309"/>
      <c r="AZ408" s="309"/>
      <c r="BA408" s="310"/>
      <c r="BB408" s="310"/>
      <c r="BC408" s="310"/>
      <c r="BD408" s="310"/>
      <c r="BE408" s="310"/>
      <c r="BF408" s="310"/>
      <c r="BG408" s="310"/>
      <c r="BH408" s="310"/>
      <c r="BI408" s="310"/>
      <c r="BJ408" s="310"/>
      <c r="BK408" s="310"/>
      <c r="BL408" s="310"/>
      <c r="BM408" s="310"/>
      <c r="BN408" s="221"/>
      <c r="BO408" s="221"/>
      <c r="BP408" s="221"/>
      <c r="BQ408" s="221"/>
      <c r="BR408" s="221"/>
    </row>
    <row r="409" ht="15.75" customHeight="1">
      <c r="A409" s="220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309"/>
      <c r="Y409" s="309"/>
      <c r="Z409" s="309"/>
      <c r="AA409" s="309"/>
      <c r="AB409" s="309"/>
      <c r="AC409" s="309"/>
      <c r="AD409" s="309"/>
      <c r="AE409" s="309"/>
      <c r="AF409" s="309"/>
      <c r="AG409" s="309"/>
      <c r="AH409" s="309"/>
      <c r="AI409" s="309"/>
      <c r="AJ409" s="309"/>
      <c r="AK409" s="309"/>
      <c r="AL409" s="309"/>
      <c r="AM409" s="309"/>
      <c r="AN409" s="309"/>
      <c r="AO409" s="309"/>
      <c r="AP409" s="309"/>
      <c r="AQ409" s="309"/>
      <c r="AR409" s="309"/>
      <c r="AS409" s="309"/>
      <c r="AT409" s="309"/>
      <c r="AU409" s="309"/>
      <c r="AV409" s="309"/>
      <c r="AW409" s="309"/>
      <c r="AX409" s="309"/>
      <c r="AY409" s="309"/>
      <c r="AZ409" s="309"/>
      <c r="BA409" s="310"/>
      <c r="BB409" s="310"/>
      <c r="BC409" s="310"/>
      <c r="BD409" s="310"/>
      <c r="BE409" s="310"/>
      <c r="BF409" s="310"/>
      <c r="BG409" s="310"/>
      <c r="BH409" s="310"/>
      <c r="BI409" s="310"/>
      <c r="BJ409" s="310"/>
      <c r="BK409" s="310"/>
      <c r="BL409" s="310"/>
      <c r="BM409" s="310"/>
      <c r="BN409" s="221"/>
      <c r="BO409" s="221"/>
      <c r="BP409" s="221"/>
      <c r="BQ409" s="221"/>
      <c r="BR409" s="221"/>
    </row>
    <row r="410" ht="15.75" customHeight="1">
      <c r="A410" s="220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309"/>
      <c r="Y410" s="309"/>
      <c r="Z410" s="309"/>
      <c r="AA410" s="309"/>
      <c r="AB410" s="309"/>
      <c r="AC410" s="309"/>
      <c r="AD410" s="309"/>
      <c r="AE410" s="309"/>
      <c r="AF410" s="309"/>
      <c r="AG410" s="309"/>
      <c r="AH410" s="309"/>
      <c r="AI410" s="309"/>
      <c r="AJ410" s="309"/>
      <c r="AK410" s="309"/>
      <c r="AL410" s="309"/>
      <c r="AM410" s="309"/>
      <c r="AN410" s="309"/>
      <c r="AO410" s="309"/>
      <c r="AP410" s="309"/>
      <c r="AQ410" s="309"/>
      <c r="AR410" s="309"/>
      <c r="AS410" s="309"/>
      <c r="AT410" s="309"/>
      <c r="AU410" s="309"/>
      <c r="AV410" s="309"/>
      <c r="AW410" s="309"/>
      <c r="AX410" s="309"/>
      <c r="AY410" s="309"/>
      <c r="AZ410" s="309"/>
      <c r="BA410" s="310"/>
      <c r="BB410" s="310"/>
      <c r="BC410" s="310"/>
      <c r="BD410" s="310"/>
      <c r="BE410" s="310"/>
      <c r="BF410" s="310"/>
      <c r="BG410" s="310"/>
      <c r="BH410" s="310"/>
      <c r="BI410" s="310"/>
      <c r="BJ410" s="310"/>
      <c r="BK410" s="310"/>
      <c r="BL410" s="310"/>
      <c r="BM410" s="310"/>
      <c r="BN410" s="221"/>
      <c r="BO410" s="221"/>
      <c r="BP410" s="221"/>
      <c r="BQ410" s="221"/>
      <c r="BR410" s="221"/>
    </row>
    <row r="411" ht="15.75" customHeight="1">
      <c r="A411" s="220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309"/>
      <c r="Y411" s="309"/>
      <c r="Z411" s="309"/>
      <c r="AA411" s="309"/>
      <c r="AB411" s="309"/>
      <c r="AC411" s="309"/>
      <c r="AD411" s="309"/>
      <c r="AE411" s="309"/>
      <c r="AF411" s="309"/>
      <c r="AG411" s="309"/>
      <c r="AH411" s="309"/>
      <c r="AI411" s="309"/>
      <c r="AJ411" s="309"/>
      <c r="AK411" s="309"/>
      <c r="AL411" s="309"/>
      <c r="AM411" s="309"/>
      <c r="AN411" s="309"/>
      <c r="AO411" s="309"/>
      <c r="AP411" s="309"/>
      <c r="AQ411" s="309"/>
      <c r="AR411" s="309"/>
      <c r="AS411" s="309"/>
      <c r="AT411" s="309"/>
      <c r="AU411" s="309"/>
      <c r="AV411" s="309"/>
      <c r="AW411" s="309"/>
      <c r="AX411" s="309"/>
      <c r="AY411" s="309"/>
      <c r="AZ411" s="309"/>
      <c r="BA411" s="310"/>
      <c r="BB411" s="310"/>
      <c r="BC411" s="310"/>
      <c r="BD411" s="310"/>
      <c r="BE411" s="310"/>
      <c r="BF411" s="310"/>
      <c r="BG411" s="310"/>
      <c r="BH411" s="310"/>
      <c r="BI411" s="310"/>
      <c r="BJ411" s="310"/>
      <c r="BK411" s="310"/>
      <c r="BL411" s="310"/>
      <c r="BM411" s="310"/>
      <c r="BN411" s="221"/>
      <c r="BO411" s="221"/>
      <c r="BP411" s="221"/>
      <c r="BQ411" s="221"/>
      <c r="BR411" s="221"/>
    </row>
    <row r="412" ht="15.75" customHeight="1">
      <c r="A412" s="220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309"/>
      <c r="Y412" s="309"/>
      <c r="Z412" s="309"/>
      <c r="AA412" s="309"/>
      <c r="AB412" s="309"/>
      <c r="AC412" s="309"/>
      <c r="AD412" s="309"/>
      <c r="AE412" s="309"/>
      <c r="AF412" s="309"/>
      <c r="AG412" s="309"/>
      <c r="AH412" s="309"/>
      <c r="AI412" s="309"/>
      <c r="AJ412" s="309"/>
      <c r="AK412" s="309"/>
      <c r="AL412" s="309"/>
      <c r="AM412" s="309"/>
      <c r="AN412" s="309"/>
      <c r="AO412" s="309"/>
      <c r="AP412" s="309"/>
      <c r="AQ412" s="309"/>
      <c r="AR412" s="309"/>
      <c r="AS412" s="309"/>
      <c r="AT412" s="309"/>
      <c r="AU412" s="309"/>
      <c r="AV412" s="309"/>
      <c r="AW412" s="309"/>
      <c r="AX412" s="309"/>
      <c r="AY412" s="309"/>
      <c r="AZ412" s="309"/>
      <c r="BA412" s="310"/>
      <c r="BB412" s="310"/>
      <c r="BC412" s="310"/>
      <c r="BD412" s="310"/>
      <c r="BE412" s="310"/>
      <c r="BF412" s="310"/>
      <c r="BG412" s="310"/>
      <c r="BH412" s="310"/>
      <c r="BI412" s="310"/>
      <c r="BJ412" s="310"/>
      <c r="BK412" s="310"/>
      <c r="BL412" s="310"/>
      <c r="BM412" s="310"/>
      <c r="BN412" s="221"/>
      <c r="BO412" s="221"/>
      <c r="BP412" s="221"/>
      <c r="BQ412" s="221"/>
      <c r="BR412" s="221"/>
    </row>
    <row r="413" ht="15.75" customHeight="1">
      <c r="A413" s="220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309"/>
      <c r="Y413" s="309"/>
      <c r="Z413" s="309"/>
      <c r="AA413" s="309"/>
      <c r="AB413" s="309"/>
      <c r="AC413" s="309"/>
      <c r="AD413" s="309"/>
      <c r="AE413" s="309"/>
      <c r="AF413" s="309"/>
      <c r="AG413" s="309"/>
      <c r="AH413" s="309"/>
      <c r="AI413" s="309"/>
      <c r="AJ413" s="309"/>
      <c r="AK413" s="309"/>
      <c r="AL413" s="309"/>
      <c r="AM413" s="309"/>
      <c r="AN413" s="309"/>
      <c r="AO413" s="309"/>
      <c r="AP413" s="309"/>
      <c r="AQ413" s="309"/>
      <c r="AR413" s="309"/>
      <c r="AS413" s="309"/>
      <c r="AT413" s="309"/>
      <c r="AU413" s="309"/>
      <c r="AV413" s="309"/>
      <c r="AW413" s="309"/>
      <c r="AX413" s="309"/>
      <c r="AY413" s="309"/>
      <c r="AZ413" s="309"/>
      <c r="BA413" s="310"/>
      <c r="BB413" s="310"/>
      <c r="BC413" s="310"/>
      <c r="BD413" s="310"/>
      <c r="BE413" s="310"/>
      <c r="BF413" s="310"/>
      <c r="BG413" s="310"/>
      <c r="BH413" s="310"/>
      <c r="BI413" s="310"/>
      <c r="BJ413" s="310"/>
      <c r="BK413" s="310"/>
      <c r="BL413" s="310"/>
      <c r="BM413" s="310"/>
      <c r="BN413" s="221"/>
      <c r="BO413" s="221"/>
      <c r="BP413" s="221"/>
      <c r="BQ413" s="221"/>
      <c r="BR413" s="221"/>
    </row>
    <row r="414" ht="15.75" customHeight="1">
      <c r="A414" s="220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309"/>
      <c r="Y414" s="309"/>
      <c r="Z414" s="309"/>
      <c r="AA414" s="309"/>
      <c r="AB414" s="309"/>
      <c r="AC414" s="309"/>
      <c r="AD414" s="309"/>
      <c r="AE414" s="309"/>
      <c r="AF414" s="309"/>
      <c r="AG414" s="309"/>
      <c r="AH414" s="309"/>
      <c r="AI414" s="309"/>
      <c r="AJ414" s="309"/>
      <c r="AK414" s="309"/>
      <c r="AL414" s="309"/>
      <c r="AM414" s="309"/>
      <c r="AN414" s="309"/>
      <c r="AO414" s="309"/>
      <c r="AP414" s="309"/>
      <c r="AQ414" s="309"/>
      <c r="AR414" s="309"/>
      <c r="AS414" s="309"/>
      <c r="AT414" s="309"/>
      <c r="AU414" s="309"/>
      <c r="AV414" s="309"/>
      <c r="AW414" s="309"/>
      <c r="AX414" s="309"/>
      <c r="AY414" s="309"/>
      <c r="AZ414" s="309"/>
      <c r="BA414" s="310"/>
      <c r="BB414" s="310"/>
      <c r="BC414" s="310"/>
      <c r="BD414" s="310"/>
      <c r="BE414" s="310"/>
      <c r="BF414" s="310"/>
      <c r="BG414" s="310"/>
      <c r="BH414" s="310"/>
      <c r="BI414" s="310"/>
      <c r="BJ414" s="310"/>
      <c r="BK414" s="310"/>
      <c r="BL414" s="310"/>
      <c r="BM414" s="310"/>
      <c r="BN414" s="221"/>
      <c r="BO414" s="221"/>
      <c r="BP414" s="221"/>
      <c r="BQ414" s="221"/>
      <c r="BR414" s="221"/>
    </row>
    <row r="415" ht="15.75" customHeight="1">
      <c r="A415" s="220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309"/>
      <c r="Y415" s="309"/>
      <c r="Z415" s="309"/>
      <c r="AA415" s="309"/>
      <c r="AB415" s="309"/>
      <c r="AC415" s="309"/>
      <c r="AD415" s="309"/>
      <c r="AE415" s="309"/>
      <c r="AF415" s="309"/>
      <c r="AG415" s="309"/>
      <c r="AH415" s="309"/>
      <c r="AI415" s="309"/>
      <c r="AJ415" s="309"/>
      <c r="AK415" s="309"/>
      <c r="AL415" s="309"/>
      <c r="AM415" s="309"/>
      <c r="AN415" s="309"/>
      <c r="AO415" s="309"/>
      <c r="AP415" s="309"/>
      <c r="AQ415" s="309"/>
      <c r="AR415" s="309"/>
      <c r="AS415" s="309"/>
      <c r="AT415" s="309"/>
      <c r="AU415" s="309"/>
      <c r="AV415" s="309"/>
      <c r="AW415" s="309"/>
      <c r="AX415" s="309"/>
      <c r="AY415" s="309"/>
      <c r="AZ415" s="309"/>
      <c r="BA415" s="310"/>
      <c r="BB415" s="310"/>
      <c r="BC415" s="310"/>
      <c r="BD415" s="310"/>
      <c r="BE415" s="310"/>
      <c r="BF415" s="310"/>
      <c r="BG415" s="310"/>
      <c r="BH415" s="310"/>
      <c r="BI415" s="310"/>
      <c r="BJ415" s="310"/>
      <c r="BK415" s="310"/>
      <c r="BL415" s="310"/>
      <c r="BM415" s="310"/>
      <c r="BN415" s="221"/>
      <c r="BO415" s="221"/>
      <c r="BP415" s="221"/>
      <c r="BQ415" s="221"/>
      <c r="BR415" s="221"/>
    </row>
    <row r="416" ht="15.75" customHeight="1">
      <c r="A416" s="220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309"/>
      <c r="Y416" s="309"/>
      <c r="Z416" s="309"/>
      <c r="AA416" s="309"/>
      <c r="AB416" s="309"/>
      <c r="AC416" s="309"/>
      <c r="AD416" s="309"/>
      <c r="AE416" s="309"/>
      <c r="AF416" s="309"/>
      <c r="AG416" s="309"/>
      <c r="AH416" s="309"/>
      <c r="AI416" s="309"/>
      <c r="AJ416" s="309"/>
      <c r="AK416" s="309"/>
      <c r="AL416" s="309"/>
      <c r="AM416" s="309"/>
      <c r="AN416" s="309"/>
      <c r="AO416" s="309"/>
      <c r="AP416" s="309"/>
      <c r="AQ416" s="309"/>
      <c r="AR416" s="309"/>
      <c r="AS416" s="309"/>
      <c r="AT416" s="309"/>
      <c r="AU416" s="309"/>
      <c r="AV416" s="309"/>
      <c r="AW416" s="309"/>
      <c r="AX416" s="309"/>
      <c r="AY416" s="309"/>
      <c r="AZ416" s="309"/>
      <c r="BA416" s="310"/>
      <c r="BB416" s="310"/>
      <c r="BC416" s="310"/>
      <c r="BD416" s="310"/>
      <c r="BE416" s="310"/>
      <c r="BF416" s="310"/>
      <c r="BG416" s="310"/>
      <c r="BH416" s="310"/>
      <c r="BI416" s="310"/>
      <c r="BJ416" s="310"/>
      <c r="BK416" s="310"/>
      <c r="BL416" s="310"/>
      <c r="BM416" s="310"/>
      <c r="BN416" s="221"/>
      <c r="BO416" s="221"/>
      <c r="BP416" s="221"/>
      <c r="BQ416" s="221"/>
      <c r="BR416" s="221"/>
    </row>
    <row r="417" ht="15.75" customHeight="1">
      <c r="A417" s="220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309"/>
      <c r="Y417" s="309"/>
      <c r="Z417" s="309"/>
      <c r="AA417" s="309"/>
      <c r="AB417" s="309"/>
      <c r="AC417" s="309"/>
      <c r="AD417" s="309"/>
      <c r="AE417" s="309"/>
      <c r="AF417" s="309"/>
      <c r="AG417" s="309"/>
      <c r="AH417" s="309"/>
      <c r="AI417" s="309"/>
      <c r="AJ417" s="309"/>
      <c r="AK417" s="309"/>
      <c r="AL417" s="309"/>
      <c r="AM417" s="309"/>
      <c r="AN417" s="309"/>
      <c r="AO417" s="309"/>
      <c r="AP417" s="309"/>
      <c r="AQ417" s="309"/>
      <c r="AR417" s="309"/>
      <c r="AS417" s="309"/>
      <c r="AT417" s="309"/>
      <c r="AU417" s="309"/>
      <c r="AV417" s="309"/>
      <c r="AW417" s="309"/>
      <c r="AX417" s="309"/>
      <c r="AY417" s="309"/>
      <c r="AZ417" s="309"/>
      <c r="BA417" s="310"/>
      <c r="BB417" s="310"/>
      <c r="BC417" s="310"/>
      <c r="BD417" s="310"/>
      <c r="BE417" s="310"/>
      <c r="BF417" s="310"/>
      <c r="BG417" s="310"/>
      <c r="BH417" s="310"/>
      <c r="BI417" s="310"/>
      <c r="BJ417" s="310"/>
      <c r="BK417" s="310"/>
      <c r="BL417" s="310"/>
      <c r="BM417" s="310"/>
      <c r="BN417" s="221"/>
      <c r="BO417" s="221"/>
      <c r="BP417" s="221"/>
      <c r="BQ417" s="221"/>
      <c r="BR417" s="221"/>
    </row>
    <row r="418" ht="15.75" customHeight="1">
      <c r="A418" s="220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309"/>
      <c r="Y418" s="309"/>
      <c r="Z418" s="309"/>
      <c r="AA418" s="309"/>
      <c r="AB418" s="309"/>
      <c r="AC418" s="309"/>
      <c r="AD418" s="309"/>
      <c r="AE418" s="309"/>
      <c r="AF418" s="309"/>
      <c r="AG418" s="309"/>
      <c r="AH418" s="309"/>
      <c r="AI418" s="309"/>
      <c r="AJ418" s="309"/>
      <c r="AK418" s="309"/>
      <c r="AL418" s="309"/>
      <c r="AM418" s="309"/>
      <c r="AN418" s="309"/>
      <c r="AO418" s="309"/>
      <c r="AP418" s="309"/>
      <c r="AQ418" s="309"/>
      <c r="AR418" s="309"/>
      <c r="AS418" s="309"/>
      <c r="AT418" s="309"/>
      <c r="AU418" s="309"/>
      <c r="AV418" s="309"/>
      <c r="AW418" s="309"/>
      <c r="AX418" s="309"/>
      <c r="AY418" s="309"/>
      <c r="AZ418" s="309"/>
      <c r="BA418" s="310"/>
      <c r="BB418" s="310"/>
      <c r="BC418" s="310"/>
      <c r="BD418" s="310"/>
      <c r="BE418" s="310"/>
      <c r="BF418" s="310"/>
      <c r="BG418" s="310"/>
      <c r="BH418" s="310"/>
      <c r="BI418" s="310"/>
      <c r="BJ418" s="310"/>
      <c r="BK418" s="310"/>
      <c r="BL418" s="310"/>
      <c r="BM418" s="310"/>
      <c r="BN418" s="221"/>
      <c r="BO418" s="221"/>
      <c r="BP418" s="221"/>
      <c r="BQ418" s="221"/>
      <c r="BR418" s="221"/>
    </row>
    <row r="419" ht="15.75" customHeight="1">
      <c r="A419" s="220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309"/>
      <c r="Y419" s="309"/>
      <c r="Z419" s="309"/>
      <c r="AA419" s="309"/>
      <c r="AB419" s="309"/>
      <c r="AC419" s="309"/>
      <c r="AD419" s="309"/>
      <c r="AE419" s="309"/>
      <c r="AF419" s="309"/>
      <c r="AG419" s="309"/>
      <c r="AH419" s="309"/>
      <c r="AI419" s="309"/>
      <c r="AJ419" s="309"/>
      <c r="AK419" s="309"/>
      <c r="AL419" s="309"/>
      <c r="AM419" s="309"/>
      <c r="AN419" s="309"/>
      <c r="AO419" s="309"/>
      <c r="AP419" s="309"/>
      <c r="AQ419" s="309"/>
      <c r="AR419" s="309"/>
      <c r="AS419" s="309"/>
      <c r="AT419" s="309"/>
      <c r="AU419" s="309"/>
      <c r="AV419" s="309"/>
      <c r="AW419" s="309"/>
      <c r="AX419" s="309"/>
      <c r="AY419" s="309"/>
      <c r="AZ419" s="309"/>
      <c r="BA419" s="310"/>
      <c r="BB419" s="310"/>
      <c r="BC419" s="310"/>
      <c r="BD419" s="310"/>
      <c r="BE419" s="310"/>
      <c r="BF419" s="310"/>
      <c r="BG419" s="310"/>
      <c r="BH419" s="310"/>
      <c r="BI419" s="310"/>
      <c r="BJ419" s="310"/>
      <c r="BK419" s="310"/>
      <c r="BL419" s="310"/>
      <c r="BM419" s="310"/>
      <c r="BN419" s="221"/>
      <c r="BO419" s="221"/>
      <c r="BP419" s="221"/>
      <c r="BQ419" s="221"/>
      <c r="BR419" s="221"/>
    </row>
    <row r="420" ht="15.75" customHeight="1">
      <c r="A420" s="220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309"/>
      <c r="Y420" s="309"/>
      <c r="Z420" s="309"/>
      <c r="AA420" s="309"/>
      <c r="AB420" s="309"/>
      <c r="AC420" s="309"/>
      <c r="AD420" s="309"/>
      <c r="AE420" s="309"/>
      <c r="AF420" s="309"/>
      <c r="AG420" s="309"/>
      <c r="AH420" s="309"/>
      <c r="AI420" s="309"/>
      <c r="AJ420" s="309"/>
      <c r="AK420" s="309"/>
      <c r="AL420" s="309"/>
      <c r="AM420" s="309"/>
      <c r="AN420" s="309"/>
      <c r="AO420" s="309"/>
      <c r="AP420" s="309"/>
      <c r="AQ420" s="309"/>
      <c r="AR420" s="309"/>
      <c r="AS420" s="309"/>
      <c r="AT420" s="309"/>
      <c r="AU420" s="309"/>
      <c r="AV420" s="309"/>
      <c r="AW420" s="309"/>
      <c r="AX420" s="309"/>
      <c r="AY420" s="309"/>
      <c r="AZ420" s="309"/>
      <c r="BA420" s="310"/>
      <c r="BB420" s="310"/>
      <c r="BC420" s="310"/>
      <c r="BD420" s="310"/>
      <c r="BE420" s="310"/>
      <c r="BF420" s="310"/>
      <c r="BG420" s="310"/>
      <c r="BH420" s="310"/>
      <c r="BI420" s="310"/>
      <c r="BJ420" s="310"/>
      <c r="BK420" s="310"/>
      <c r="BL420" s="310"/>
      <c r="BM420" s="310"/>
      <c r="BN420" s="221"/>
      <c r="BO420" s="221"/>
      <c r="BP420" s="221"/>
      <c r="BQ420" s="221"/>
      <c r="BR420" s="221"/>
    </row>
    <row r="421" ht="15.75" customHeight="1">
      <c r="A421" s="220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309"/>
      <c r="Y421" s="309"/>
      <c r="Z421" s="309"/>
      <c r="AA421" s="309"/>
      <c r="AB421" s="309"/>
      <c r="AC421" s="309"/>
      <c r="AD421" s="309"/>
      <c r="AE421" s="309"/>
      <c r="AF421" s="309"/>
      <c r="AG421" s="309"/>
      <c r="AH421" s="309"/>
      <c r="AI421" s="309"/>
      <c r="AJ421" s="309"/>
      <c r="AK421" s="309"/>
      <c r="AL421" s="309"/>
      <c r="AM421" s="309"/>
      <c r="AN421" s="309"/>
      <c r="AO421" s="309"/>
      <c r="AP421" s="309"/>
      <c r="AQ421" s="309"/>
      <c r="AR421" s="309"/>
      <c r="AS421" s="309"/>
      <c r="AT421" s="309"/>
      <c r="AU421" s="309"/>
      <c r="AV421" s="309"/>
      <c r="AW421" s="309"/>
      <c r="AX421" s="309"/>
      <c r="AY421" s="309"/>
      <c r="AZ421" s="309"/>
      <c r="BA421" s="310"/>
      <c r="BB421" s="310"/>
      <c r="BC421" s="310"/>
      <c r="BD421" s="310"/>
      <c r="BE421" s="310"/>
      <c r="BF421" s="310"/>
      <c r="BG421" s="310"/>
      <c r="BH421" s="310"/>
      <c r="BI421" s="310"/>
      <c r="BJ421" s="310"/>
      <c r="BK421" s="310"/>
      <c r="BL421" s="310"/>
      <c r="BM421" s="310"/>
      <c r="BN421" s="221"/>
      <c r="BO421" s="221"/>
      <c r="BP421" s="221"/>
      <c r="BQ421" s="221"/>
      <c r="BR421" s="221"/>
    </row>
    <row r="422" ht="15.75" customHeight="1">
      <c r="A422" s="220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309"/>
      <c r="Y422" s="309"/>
      <c r="Z422" s="309"/>
      <c r="AA422" s="309"/>
      <c r="AB422" s="309"/>
      <c r="AC422" s="309"/>
      <c r="AD422" s="309"/>
      <c r="AE422" s="309"/>
      <c r="AF422" s="309"/>
      <c r="AG422" s="309"/>
      <c r="AH422" s="309"/>
      <c r="AI422" s="309"/>
      <c r="AJ422" s="309"/>
      <c r="AK422" s="309"/>
      <c r="AL422" s="309"/>
      <c r="AM422" s="309"/>
      <c r="AN422" s="309"/>
      <c r="AO422" s="309"/>
      <c r="AP422" s="309"/>
      <c r="AQ422" s="309"/>
      <c r="AR422" s="309"/>
      <c r="AS422" s="309"/>
      <c r="AT422" s="309"/>
      <c r="AU422" s="309"/>
      <c r="AV422" s="309"/>
      <c r="AW422" s="309"/>
      <c r="AX422" s="309"/>
      <c r="AY422" s="309"/>
      <c r="AZ422" s="309"/>
      <c r="BA422" s="310"/>
      <c r="BB422" s="310"/>
      <c r="BC422" s="310"/>
      <c r="BD422" s="310"/>
      <c r="BE422" s="310"/>
      <c r="BF422" s="310"/>
      <c r="BG422" s="310"/>
      <c r="BH422" s="310"/>
      <c r="BI422" s="310"/>
      <c r="BJ422" s="310"/>
      <c r="BK422" s="310"/>
      <c r="BL422" s="310"/>
      <c r="BM422" s="310"/>
      <c r="BN422" s="221"/>
      <c r="BO422" s="221"/>
      <c r="BP422" s="221"/>
      <c r="BQ422" s="221"/>
      <c r="BR422" s="221"/>
    </row>
    <row r="423" ht="15.75" customHeight="1">
      <c r="A423" s="220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309"/>
      <c r="Y423" s="309"/>
      <c r="Z423" s="309"/>
      <c r="AA423" s="309"/>
      <c r="AB423" s="309"/>
      <c r="AC423" s="309"/>
      <c r="AD423" s="309"/>
      <c r="AE423" s="309"/>
      <c r="AF423" s="309"/>
      <c r="AG423" s="309"/>
      <c r="AH423" s="309"/>
      <c r="AI423" s="309"/>
      <c r="AJ423" s="309"/>
      <c r="AK423" s="309"/>
      <c r="AL423" s="309"/>
      <c r="AM423" s="309"/>
      <c r="AN423" s="309"/>
      <c r="AO423" s="309"/>
      <c r="AP423" s="309"/>
      <c r="AQ423" s="309"/>
      <c r="AR423" s="309"/>
      <c r="AS423" s="309"/>
      <c r="AT423" s="309"/>
      <c r="AU423" s="309"/>
      <c r="AV423" s="309"/>
      <c r="AW423" s="309"/>
      <c r="AX423" s="309"/>
      <c r="AY423" s="309"/>
      <c r="AZ423" s="309"/>
      <c r="BA423" s="310"/>
      <c r="BB423" s="310"/>
      <c r="BC423" s="310"/>
      <c r="BD423" s="310"/>
      <c r="BE423" s="310"/>
      <c r="BF423" s="310"/>
      <c r="BG423" s="310"/>
      <c r="BH423" s="310"/>
      <c r="BI423" s="310"/>
      <c r="BJ423" s="310"/>
      <c r="BK423" s="310"/>
      <c r="BL423" s="310"/>
      <c r="BM423" s="310"/>
      <c r="BN423" s="221"/>
      <c r="BO423" s="221"/>
      <c r="BP423" s="221"/>
      <c r="BQ423" s="221"/>
      <c r="BR423" s="221"/>
    </row>
    <row r="424" ht="15.75" customHeight="1">
      <c r="A424" s="220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309"/>
      <c r="Y424" s="309"/>
      <c r="Z424" s="309"/>
      <c r="AA424" s="309"/>
      <c r="AB424" s="309"/>
      <c r="AC424" s="309"/>
      <c r="AD424" s="309"/>
      <c r="AE424" s="309"/>
      <c r="AF424" s="309"/>
      <c r="AG424" s="309"/>
      <c r="AH424" s="309"/>
      <c r="AI424" s="309"/>
      <c r="AJ424" s="309"/>
      <c r="AK424" s="309"/>
      <c r="AL424" s="309"/>
      <c r="AM424" s="309"/>
      <c r="AN424" s="309"/>
      <c r="AO424" s="309"/>
      <c r="AP424" s="309"/>
      <c r="AQ424" s="309"/>
      <c r="AR424" s="309"/>
      <c r="AS424" s="309"/>
      <c r="AT424" s="309"/>
      <c r="AU424" s="309"/>
      <c r="AV424" s="309"/>
      <c r="AW424" s="309"/>
      <c r="AX424" s="309"/>
      <c r="AY424" s="309"/>
      <c r="AZ424" s="309"/>
      <c r="BA424" s="310"/>
      <c r="BB424" s="310"/>
      <c r="BC424" s="310"/>
      <c r="BD424" s="310"/>
      <c r="BE424" s="310"/>
      <c r="BF424" s="310"/>
      <c r="BG424" s="310"/>
      <c r="BH424" s="310"/>
      <c r="BI424" s="310"/>
      <c r="BJ424" s="310"/>
      <c r="BK424" s="310"/>
      <c r="BL424" s="310"/>
      <c r="BM424" s="310"/>
      <c r="BN424" s="221"/>
      <c r="BO424" s="221"/>
      <c r="BP424" s="221"/>
      <c r="BQ424" s="221"/>
      <c r="BR424" s="221"/>
    </row>
    <row r="425" ht="15.75" customHeight="1">
      <c r="A425" s="220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309"/>
      <c r="Y425" s="309"/>
      <c r="Z425" s="309"/>
      <c r="AA425" s="309"/>
      <c r="AB425" s="309"/>
      <c r="AC425" s="309"/>
      <c r="AD425" s="309"/>
      <c r="AE425" s="309"/>
      <c r="AF425" s="309"/>
      <c r="AG425" s="309"/>
      <c r="AH425" s="309"/>
      <c r="AI425" s="309"/>
      <c r="AJ425" s="309"/>
      <c r="AK425" s="309"/>
      <c r="AL425" s="309"/>
      <c r="AM425" s="309"/>
      <c r="AN425" s="309"/>
      <c r="AO425" s="309"/>
      <c r="AP425" s="309"/>
      <c r="AQ425" s="309"/>
      <c r="AR425" s="309"/>
      <c r="AS425" s="309"/>
      <c r="AT425" s="309"/>
      <c r="AU425" s="309"/>
      <c r="AV425" s="309"/>
      <c r="AW425" s="309"/>
      <c r="AX425" s="309"/>
      <c r="AY425" s="309"/>
      <c r="AZ425" s="309"/>
      <c r="BA425" s="310"/>
      <c r="BB425" s="310"/>
      <c r="BC425" s="310"/>
      <c r="BD425" s="310"/>
      <c r="BE425" s="310"/>
      <c r="BF425" s="310"/>
      <c r="BG425" s="310"/>
      <c r="BH425" s="310"/>
      <c r="BI425" s="310"/>
      <c r="BJ425" s="310"/>
      <c r="BK425" s="310"/>
      <c r="BL425" s="310"/>
      <c r="BM425" s="310"/>
      <c r="BN425" s="221"/>
      <c r="BO425" s="221"/>
      <c r="BP425" s="221"/>
      <c r="BQ425" s="221"/>
      <c r="BR425" s="221"/>
    </row>
    <row r="426" ht="15.75" customHeight="1">
      <c r="A426" s="220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309"/>
      <c r="Y426" s="309"/>
      <c r="Z426" s="309"/>
      <c r="AA426" s="309"/>
      <c r="AB426" s="309"/>
      <c r="AC426" s="309"/>
      <c r="AD426" s="309"/>
      <c r="AE426" s="309"/>
      <c r="AF426" s="309"/>
      <c r="AG426" s="309"/>
      <c r="AH426" s="309"/>
      <c r="AI426" s="309"/>
      <c r="AJ426" s="309"/>
      <c r="AK426" s="309"/>
      <c r="AL426" s="309"/>
      <c r="AM426" s="309"/>
      <c r="AN426" s="309"/>
      <c r="AO426" s="309"/>
      <c r="AP426" s="309"/>
      <c r="AQ426" s="309"/>
      <c r="AR426" s="309"/>
      <c r="AS426" s="309"/>
      <c r="AT426" s="309"/>
      <c r="AU426" s="309"/>
      <c r="AV426" s="309"/>
      <c r="AW426" s="309"/>
      <c r="AX426" s="309"/>
      <c r="AY426" s="309"/>
      <c r="AZ426" s="309"/>
      <c r="BA426" s="310"/>
      <c r="BB426" s="310"/>
      <c r="BC426" s="310"/>
      <c r="BD426" s="310"/>
      <c r="BE426" s="310"/>
      <c r="BF426" s="310"/>
      <c r="BG426" s="310"/>
      <c r="BH426" s="310"/>
      <c r="BI426" s="310"/>
      <c r="BJ426" s="310"/>
      <c r="BK426" s="310"/>
      <c r="BL426" s="310"/>
      <c r="BM426" s="310"/>
      <c r="BN426" s="221"/>
      <c r="BO426" s="221"/>
      <c r="BP426" s="221"/>
      <c r="BQ426" s="221"/>
      <c r="BR426" s="221"/>
    </row>
    <row r="427" ht="15.75" customHeight="1">
      <c r="A427" s="220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309"/>
      <c r="Y427" s="309"/>
      <c r="Z427" s="309"/>
      <c r="AA427" s="309"/>
      <c r="AB427" s="309"/>
      <c r="AC427" s="309"/>
      <c r="AD427" s="309"/>
      <c r="AE427" s="309"/>
      <c r="AF427" s="309"/>
      <c r="AG427" s="309"/>
      <c r="AH427" s="309"/>
      <c r="AI427" s="309"/>
      <c r="AJ427" s="309"/>
      <c r="AK427" s="309"/>
      <c r="AL427" s="309"/>
      <c r="AM427" s="309"/>
      <c r="AN427" s="309"/>
      <c r="AO427" s="309"/>
      <c r="AP427" s="309"/>
      <c r="AQ427" s="309"/>
      <c r="AR427" s="309"/>
      <c r="AS427" s="309"/>
      <c r="AT427" s="309"/>
      <c r="AU427" s="309"/>
      <c r="AV427" s="309"/>
      <c r="AW427" s="309"/>
      <c r="AX427" s="309"/>
      <c r="AY427" s="309"/>
      <c r="AZ427" s="309"/>
      <c r="BA427" s="310"/>
      <c r="BB427" s="310"/>
      <c r="BC427" s="310"/>
      <c r="BD427" s="310"/>
      <c r="BE427" s="310"/>
      <c r="BF427" s="310"/>
      <c r="BG427" s="310"/>
      <c r="BH427" s="310"/>
      <c r="BI427" s="310"/>
      <c r="BJ427" s="310"/>
      <c r="BK427" s="310"/>
      <c r="BL427" s="310"/>
      <c r="BM427" s="310"/>
      <c r="BN427" s="221"/>
      <c r="BO427" s="221"/>
      <c r="BP427" s="221"/>
      <c r="BQ427" s="221"/>
      <c r="BR427" s="221"/>
    </row>
    <row r="428" ht="15.75" customHeight="1">
      <c r="A428" s="220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309"/>
      <c r="Y428" s="309"/>
      <c r="Z428" s="309"/>
      <c r="AA428" s="309"/>
      <c r="AB428" s="309"/>
      <c r="AC428" s="309"/>
      <c r="AD428" s="309"/>
      <c r="AE428" s="309"/>
      <c r="AF428" s="309"/>
      <c r="AG428" s="309"/>
      <c r="AH428" s="309"/>
      <c r="AI428" s="309"/>
      <c r="AJ428" s="309"/>
      <c r="AK428" s="309"/>
      <c r="AL428" s="309"/>
      <c r="AM428" s="309"/>
      <c r="AN428" s="309"/>
      <c r="AO428" s="309"/>
      <c r="AP428" s="309"/>
      <c r="AQ428" s="309"/>
      <c r="AR428" s="309"/>
      <c r="AS428" s="309"/>
      <c r="AT428" s="309"/>
      <c r="AU428" s="309"/>
      <c r="AV428" s="309"/>
      <c r="AW428" s="309"/>
      <c r="AX428" s="309"/>
      <c r="AY428" s="309"/>
      <c r="AZ428" s="309"/>
      <c r="BA428" s="310"/>
      <c r="BB428" s="310"/>
      <c r="BC428" s="310"/>
      <c r="BD428" s="310"/>
      <c r="BE428" s="310"/>
      <c r="BF428" s="310"/>
      <c r="BG428" s="310"/>
      <c r="BH428" s="310"/>
      <c r="BI428" s="310"/>
      <c r="BJ428" s="310"/>
      <c r="BK428" s="310"/>
      <c r="BL428" s="310"/>
      <c r="BM428" s="310"/>
      <c r="BN428" s="221"/>
      <c r="BO428" s="221"/>
      <c r="BP428" s="221"/>
      <c r="BQ428" s="221"/>
      <c r="BR428" s="221"/>
    </row>
    <row r="429" ht="15.75" customHeight="1">
      <c r="A429" s="220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309"/>
      <c r="Y429" s="309"/>
      <c r="Z429" s="309"/>
      <c r="AA429" s="309"/>
      <c r="AB429" s="309"/>
      <c r="AC429" s="309"/>
      <c r="AD429" s="309"/>
      <c r="AE429" s="309"/>
      <c r="AF429" s="309"/>
      <c r="AG429" s="309"/>
      <c r="AH429" s="309"/>
      <c r="AI429" s="309"/>
      <c r="AJ429" s="309"/>
      <c r="AK429" s="309"/>
      <c r="AL429" s="309"/>
      <c r="AM429" s="309"/>
      <c r="AN429" s="309"/>
      <c r="AO429" s="309"/>
      <c r="AP429" s="309"/>
      <c r="AQ429" s="309"/>
      <c r="AR429" s="309"/>
      <c r="AS429" s="309"/>
      <c r="AT429" s="309"/>
      <c r="AU429" s="309"/>
      <c r="AV429" s="309"/>
      <c r="AW429" s="309"/>
      <c r="AX429" s="309"/>
      <c r="AY429" s="309"/>
      <c r="AZ429" s="309"/>
      <c r="BA429" s="310"/>
      <c r="BB429" s="310"/>
      <c r="BC429" s="310"/>
      <c r="BD429" s="310"/>
      <c r="BE429" s="310"/>
      <c r="BF429" s="310"/>
      <c r="BG429" s="310"/>
      <c r="BH429" s="310"/>
      <c r="BI429" s="310"/>
      <c r="BJ429" s="310"/>
      <c r="BK429" s="310"/>
      <c r="BL429" s="310"/>
      <c r="BM429" s="310"/>
      <c r="BN429" s="221"/>
      <c r="BO429" s="221"/>
      <c r="BP429" s="221"/>
      <c r="BQ429" s="221"/>
      <c r="BR429" s="221"/>
    </row>
    <row r="430" ht="15.75" customHeight="1">
      <c r="A430" s="220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309"/>
      <c r="Y430" s="309"/>
      <c r="Z430" s="309"/>
      <c r="AA430" s="309"/>
      <c r="AB430" s="309"/>
      <c r="AC430" s="309"/>
      <c r="AD430" s="309"/>
      <c r="AE430" s="309"/>
      <c r="AF430" s="309"/>
      <c r="AG430" s="309"/>
      <c r="AH430" s="309"/>
      <c r="AI430" s="309"/>
      <c r="AJ430" s="309"/>
      <c r="AK430" s="309"/>
      <c r="AL430" s="309"/>
      <c r="AM430" s="309"/>
      <c r="AN430" s="309"/>
      <c r="AO430" s="309"/>
      <c r="AP430" s="309"/>
      <c r="AQ430" s="309"/>
      <c r="AR430" s="309"/>
      <c r="AS430" s="309"/>
      <c r="AT430" s="309"/>
      <c r="AU430" s="309"/>
      <c r="AV430" s="309"/>
      <c r="AW430" s="309"/>
      <c r="AX430" s="309"/>
      <c r="AY430" s="309"/>
      <c r="AZ430" s="309"/>
      <c r="BA430" s="310"/>
      <c r="BB430" s="310"/>
      <c r="BC430" s="310"/>
      <c r="BD430" s="310"/>
      <c r="BE430" s="310"/>
      <c r="BF430" s="310"/>
      <c r="BG430" s="310"/>
      <c r="BH430" s="310"/>
      <c r="BI430" s="310"/>
      <c r="BJ430" s="310"/>
      <c r="BK430" s="310"/>
      <c r="BL430" s="310"/>
      <c r="BM430" s="310"/>
      <c r="BN430" s="221"/>
      <c r="BO430" s="221"/>
      <c r="BP430" s="221"/>
      <c r="BQ430" s="221"/>
      <c r="BR430" s="221"/>
    </row>
    <row r="431" ht="15.75" customHeight="1">
      <c r="A431" s="220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309"/>
      <c r="Y431" s="309"/>
      <c r="Z431" s="309"/>
      <c r="AA431" s="309"/>
      <c r="AB431" s="309"/>
      <c r="AC431" s="309"/>
      <c r="AD431" s="309"/>
      <c r="AE431" s="309"/>
      <c r="AF431" s="309"/>
      <c r="AG431" s="309"/>
      <c r="AH431" s="309"/>
      <c r="AI431" s="309"/>
      <c r="AJ431" s="309"/>
      <c r="AK431" s="309"/>
      <c r="AL431" s="309"/>
      <c r="AM431" s="309"/>
      <c r="AN431" s="309"/>
      <c r="AO431" s="309"/>
      <c r="AP431" s="309"/>
      <c r="AQ431" s="309"/>
      <c r="AR431" s="309"/>
      <c r="AS431" s="309"/>
      <c r="AT431" s="309"/>
      <c r="AU431" s="309"/>
      <c r="AV431" s="309"/>
      <c r="AW431" s="309"/>
      <c r="AX431" s="309"/>
      <c r="AY431" s="309"/>
      <c r="AZ431" s="309"/>
      <c r="BA431" s="310"/>
      <c r="BB431" s="310"/>
      <c r="BC431" s="310"/>
      <c r="BD431" s="310"/>
      <c r="BE431" s="310"/>
      <c r="BF431" s="310"/>
      <c r="BG431" s="310"/>
      <c r="BH431" s="310"/>
      <c r="BI431" s="310"/>
      <c r="BJ431" s="310"/>
      <c r="BK431" s="310"/>
      <c r="BL431" s="310"/>
      <c r="BM431" s="310"/>
      <c r="BN431" s="221"/>
      <c r="BO431" s="221"/>
      <c r="BP431" s="221"/>
      <c r="BQ431" s="221"/>
      <c r="BR431" s="221"/>
    </row>
    <row r="432" ht="15.75" customHeight="1">
      <c r="A432" s="220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309"/>
      <c r="Y432" s="309"/>
      <c r="Z432" s="309"/>
      <c r="AA432" s="309"/>
      <c r="AB432" s="309"/>
      <c r="AC432" s="309"/>
      <c r="AD432" s="309"/>
      <c r="AE432" s="309"/>
      <c r="AF432" s="309"/>
      <c r="AG432" s="309"/>
      <c r="AH432" s="309"/>
      <c r="AI432" s="309"/>
      <c r="AJ432" s="309"/>
      <c r="AK432" s="309"/>
      <c r="AL432" s="309"/>
      <c r="AM432" s="309"/>
      <c r="AN432" s="309"/>
      <c r="AO432" s="309"/>
      <c r="AP432" s="309"/>
      <c r="AQ432" s="309"/>
      <c r="AR432" s="309"/>
      <c r="AS432" s="309"/>
      <c r="AT432" s="309"/>
      <c r="AU432" s="309"/>
      <c r="AV432" s="309"/>
      <c r="AW432" s="309"/>
      <c r="AX432" s="309"/>
      <c r="AY432" s="309"/>
      <c r="AZ432" s="309"/>
      <c r="BA432" s="310"/>
      <c r="BB432" s="310"/>
      <c r="BC432" s="310"/>
      <c r="BD432" s="310"/>
      <c r="BE432" s="310"/>
      <c r="BF432" s="310"/>
      <c r="BG432" s="310"/>
      <c r="BH432" s="310"/>
      <c r="BI432" s="310"/>
      <c r="BJ432" s="310"/>
      <c r="BK432" s="310"/>
      <c r="BL432" s="310"/>
      <c r="BM432" s="310"/>
      <c r="BN432" s="221"/>
      <c r="BO432" s="221"/>
      <c r="BP432" s="221"/>
      <c r="BQ432" s="221"/>
      <c r="BR432" s="221"/>
    </row>
    <row r="433" ht="15.75" customHeight="1">
      <c r="A433" s="220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309"/>
      <c r="Y433" s="309"/>
      <c r="Z433" s="309"/>
      <c r="AA433" s="309"/>
      <c r="AB433" s="309"/>
      <c r="AC433" s="309"/>
      <c r="AD433" s="309"/>
      <c r="AE433" s="309"/>
      <c r="AF433" s="309"/>
      <c r="AG433" s="309"/>
      <c r="AH433" s="309"/>
      <c r="AI433" s="309"/>
      <c r="AJ433" s="309"/>
      <c r="AK433" s="309"/>
      <c r="AL433" s="309"/>
      <c r="AM433" s="309"/>
      <c r="AN433" s="309"/>
      <c r="AO433" s="309"/>
      <c r="AP433" s="309"/>
      <c r="AQ433" s="309"/>
      <c r="AR433" s="309"/>
      <c r="AS433" s="309"/>
      <c r="AT433" s="309"/>
      <c r="AU433" s="309"/>
      <c r="AV433" s="309"/>
      <c r="AW433" s="309"/>
      <c r="AX433" s="309"/>
      <c r="AY433" s="309"/>
      <c r="AZ433" s="309"/>
      <c r="BA433" s="310"/>
      <c r="BB433" s="310"/>
      <c r="BC433" s="310"/>
      <c r="BD433" s="310"/>
      <c r="BE433" s="310"/>
      <c r="BF433" s="310"/>
      <c r="BG433" s="310"/>
      <c r="BH433" s="310"/>
      <c r="BI433" s="310"/>
      <c r="BJ433" s="310"/>
      <c r="BK433" s="310"/>
      <c r="BL433" s="310"/>
      <c r="BM433" s="310"/>
      <c r="BN433" s="221"/>
      <c r="BO433" s="221"/>
      <c r="BP433" s="221"/>
      <c r="BQ433" s="221"/>
      <c r="BR433" s="221"/>
    </row>
    <row r="434" ht="15.75" customHeight="1">
      <c r="A434" s="220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309"/>
      <c r="Y434" s="309"/>
      <c r="Z434" s="309"/>
      <c r="AA434" s="309"/>
      <c r="AB434" s="309"/>
      <c r="AC434" s="309"/>
      <c r="AD434" s="309"/>
      <c r="AE434" s="309"/>
      <c r="AF434" s="309"/>
      <c r="AG434" s="309"/>
      <c r="AH434" s="309"/>
      <c r="AI434" s="309"/>
      <c r="AJ434" s="309"/>
      <c r="AK434" s="309"/>
      <c r="AL434" s="309"/>
      <c r="AM434" s="309"/>
      <c r="AN434" s="309"/>
      <c r="AO434" s="309"/>
      <c r="AP434" s="309"/>
      <c r="AQ434" s="309"/>
      <c r="AR434" s="309"/>
      <c r="AS434" s="309"/>
      <c r="AT434" s="309"/>
      <c r="AU434" s="309"/>
      <c r="AV434" s="309"/>
      <c r="AW434" s="309"/>
      <c r="AX434" s="309"/>
      <c r="AY434" s="309"/>
      <c r="AZ434" s="309"/>
      <c r="BA434" s="310"/>
      <c r="BB434" s="310"/>
      <c r="BC434" s="310"/>
      <c r="BD434" s="310"/>
      <c r="BE434" s="310"/>
      <c r="BF434" s="310"/>
      <c r="BG434" s="310"/>
      <c r="BH434" s="310"/>
      <c r="BI434" s="310"/>
      <c r="BJ434" s="310"/>
      <c r="BK434" s="310"/>
      <c r="BL434" s="310"/>
      <c r="BM434" s="310"/>
      <c r="BN434" s="221"/>
      <c r="BO434" s="221"/>
      <c r="BP434" s="221"/>
      <c r="BQ434" s="221"/>
      <c r="BR434" s="221"/>
    </row>
    <row r="435" ht="15.75" customHeight="1">
      <c r="A435" s="220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309"/>
      <c r="Y435" s="309"/>
      <c r="Z435" s="309"/>
      <c r="AA435" s="309"/>
      <c r="AB435" s="309"/>
      <c r="AC435" s="309"/>
      <c r="AD435" s="309"/>
      <c r="AE435" s="309"/>
      <c r="AF435" s="309"/>
      <c r="AG435" s="309"/>
      <c r="AH435" s="309"/>
      <c r="AI435" s="309"/>
      <c r="AJ435" s="309"/>
      <c r="AK435" s="309"/>
      <c r="AL435" s="309"/>
      <c r="AM435" s="309"/>
      <c r="AN435" s="309"/>
      <c r="AO435" s="309"/>
      <c r="AP435" s="309"/>
      <c r="AQ435" s="309"/>
      <c r="AR435" s="309"/>
      <c r="AS435" s="309"/>
      <c r="AT435" s="309"/>
      <c r="AU435" s="309"/>
      <c r="AV435" s="309"/>
      <c r="AW435" s="309"/>
      <c r="AX435" s="309"/>
      <c r="AY435" s="309"/>
      <c r="AZ435" s="309"/>
      <c r="BA435" s="310"/>
      <c r="BB435" s="310"/>
      <c r="BC435" s="310"/>
      <c r="BD435" s="310"/>
      <c r="BE435" s="310"/>
      <c r="BF435" s="310"/>
      <c r="BG435" s="310"/>
      <c r="BH435" s="310"/>
      <c r="BI435" s="310"/>
      <c r="BJ435" s="310"/>
      <c r="BK435" s="310"/>
      <c r="BL435" s="310"/>
      <c r="BM435" s="310"/>
      <c r="BN435" s="221"/>
      <c r="BO435" s="221"/>
      <c r="BP435" s="221"/>
      <c r="BQ435" s="221"/>
      <c r="BR435" s="221"/>
    </row>
    <row r="436" ht="15.75" customHeight="1">
      <c r="A436" s="220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309"/>
      <c r="Y436" s="309"/>
      <c r="Z436" s="309"/>
      <c r="AA436" s="309"/>
      <c r="AB436" s="309"/>
      <c r="AC436" s="309"/>
      <c r="AD436" s="309"/>
      <c r="AE436" s="309"/>
      <c r="AF436" s="309"/>
      <c r="AG436" s="309"/>
      <c r="AH436" s="309"/>
      <c r="AI436" s="309"/>
      <c r="AJ436" s="309"/>
      <c r="AK436" s="309"/>
      <c r="AL436" s="309"/>
      <c r="AM436" s="309"/>
      <c r="AN436" s="309"/>
      <c r="AO436" s="309"/>
      <c r="AP436" s="309"/>
      <c r="AQ436" s="309"/>
      <c r="AR436" s="309"/>
      <c r="AS436" s="309"/>
      <c r="AT436" s="309"/>
      <c r="AU436" s="309"/>
      <c r="AV436" s="309"/>
      <c r="AW436" s="309"/>
      <c r="AX436" s="309"/>
      <c r="AY436" s="309"/>
      <c r="AZ436" s="309"/>
      <c r="BA436" s="310"/>
      <c r="BB436" s="310"/>
      <c r="BC436" s="310"/>
      <c r="BD436" s="310"/>
      <c r="BE436" s="310"/>
      <c r="BF436" s="310"/>
      <c r="BG436" s="310"/>
      <c r="BH436" s="310"/>
      <c r="BI436" s="310"/>
      <c r="BJ436" s="310"/>
      <c r="BK436" s="310"/>
      <c r="BL436" s="310"/>
      <c r="BM436" s="310"/>
      <c r="BN436" s="221"/>
      <c r="BO436" s="221"/>
      <c r="BP436" s="221"/>
      <c r="BQ436" s="221"/>
      <c r="BR436" s="221"/>
    </row>
    <row r="437" ht="15.75" customHeight="1">
      <c r="A437" s="220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309"/>
      <c r="Y437" s="309"/>
      <c r="Z437" s="309"/>
      <c r="AA437" s="309"/>
      <c r="AB437" s="309"/>
      <c r="AC437" s="309"/>
      <c r="AD437" s="309"/>
      <c r="AE437" s="309"/>
      <c r="AF437" s="309"/>
      <c r="AG437" s="309"/>
      <c r="AH437" s="309"/>
      <c r="AI437" s="309"/>
      <c r="AJ437" s="309"/>
      <c r="AK437" s="309"/>
      <c r="AL437" s="309"/>
      <c r="AM437" s="309"/>
      <c r="AN437" s="309"/>
      <c r="AO437" s="309"/>
      <c r="AP437" s="309"/>
      <c r="AQ437" s="309"/>
      <c r="AR437" s="309"/>
      <c r="AS437" s="309"/>
      <c r="AT437" s="309"/>
      <c r="AU437" s="309"/>
      <c r="AV437" s="309"/>
      <c r="AW437" s="309"/>
      <c r="AX437" s="309"/>
      <c r="AY437" s="309"/>
      <c r="AZ437" s="309"/>
      <c r="BA437" s="310"/>
      <c r="BB437" s="310"/>
      <c r="BC437" s="310"/>
      <c r="BD437" s="310"/>
      <c r="BE437" s="310"/>
      <c r="BF437" s="310"/>
      <c r="BG437" s="310"/>
      <c r="BH437" s="310"/>
      <c r="BI437" s="310"/>
      <c r="BJ437" s="310"/>
      <c r="BK437" s="310"/>
      <c r="BL437" s="310"/>
      <c r="BM437" s="310"/>
      <c r="BN437" s="221"/>
      <c r="BO437" s="221"/>
      <c r="BP437" s="221"/>
      <c r="BQ437" s="221"/>
      <c r="BR437" s="221"/>
    </row>
    <row r="438" ht="15.75" customHeight="1">
      <c r="A438" s="220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309"/>
      <c r="Y438" s="309"/>
      <c r="Z438" s="309"/>
      <c r="AA438" s="309"/>
      <c r="AB438" s="309"/>
      <c r="AC438" s="309"/>
      <c r="AD438" s="309"/>
      <c r="AE438" s="309"/>
      <c r="AF438" s="309"/>
      <c r="AG438" s="309"/>
      <c r="AH438" s="309"/>
      <c r="AI438" s="309"/>
      <c r="AJ438" s="309"/>
      <c r="AK438" s="309"/>
      <c r="AL438" s="309"/>
      <c r="AM438" s="309"/>
      <c r="AN438" s="309"/>
      <c r="AO438" s="309"/>
      <c r="AP438" s="309"/>
      <c r="AQ438" s="309"/>
      <c r="AR438" s="309"/>
      <c r="AS438" s="309"/>
      <c r="AT438" s="309"/>
      <c r="AU438" s="309"/>
      <c r="AV438" s="309"/>
      <c r="AW438" s="309"/>
      <c r="AX438" s="309"/>
      <c r="AY438" s="309"/>
      <c r="AZ438" s="309"/>
      <c r="BA438" s="310"/>
      <c r="BB438" s="310"/>
      <c r="BC438" s="310"/>
      <c r="BD438" s="310"/>
      <c r="BE438" s="310"/>
      <c r="BF438" s="310"/>
      <c r="BG438" s="310"/>
      <c r="BH438" s="310"/>
      <c r="BI438" s="310"/>
      <c r="BJ438" s="310"/>
      <c r="BK438" s="310"/>
      <c r="BL438" s="310"/>
      <c r="BM438" s="310"/>
      <c r="BN438" s="221"/>
      <c r="BO438" s="221"/>
      <c r="BP438" s="221"/>
      <c r="BQ438" s="221"/>
      <c r="BR438" s="221"/>
    </row>
    <row r="439" ht="15.75" customHeight="1">
      <c r="A439" s="220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309"/>
      <c r="Y439" s="309"/>
      <c r="Z439" s="309"/>
      <c r="AA439" s="309"/>
      <c r="AB439" s="309"/>
      <c r="AC439" s="309"/>
      <c r="AD439" s="309"/>
      <c r="AE439" s="309"/>
      <c r="AF439" s="309"/>
      <c r="AG439" s="309"/>
      <c r="AH439" s="309"/>
      <c r="AI439" s="309"/>
      <c r="AJ439" s="309"/>
      <c r="AK439" s="309"/>
      <c r="AL439" s="309"/>
      <c r="AM439" s="309"/>
      <c r="AN439" s="309"/>
      <c r="AO439" s="309"/>
      <c r="AP439" s="309"/>
      <c r="AQ439" s="309"/>
      <c r="AR439" s="309"/>
      <c r="AS439" s="309"/>
      <c r="AT439" s="309"/>
      <c r="AU439" s="309"/>
      <c r="AV439" s="309"/>
      <c r="AW439" s="309"/>
      <c r="AX439" s="309"/>
      <c r="AY439" s="309"/>
      <c r="AZ439" s="309"/>
      <c r="BA439" s="310"/>
      <c r="BB439" s="310"/>
      <c r="BC439" s="310"/>
      <c r="BD439" s="310"/>
      <c r="BE439" s="310"/>
      <c r="BF439" s="310"/>
      <c r="BG439" s="310"/>
      <c r="BH439" s="310"/>
      <c r="BI439" s="310"/>
      <c r="BJ439" s="310"/>
      <c r="BK439" s="310"/>
      <c r="BL439" s="310"/>
      <c r="BM439" s="310"/>
      <c r="BN439" s="221"/>
      <c r="BO439" s="221"/>
      <c r="BP439" s="221"/>
      <c r="BQ439" s="221"/>
      <c r="BR439" s="221"/>
    </row>
    <row r="440" ht="15.75" customHeight="1">
      <c r="A440" s="220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309"/>
      <c r="Y440" s="309"/>
      <c r="Z440" s="309"/>
      <c r="AA440" s="309"/>
      <c r="AB440" s="309"/>
      <c r="AC440" s="309"/>
      <c r="AD440" s="309"/>
      <c r="AE440" s="309"/>
      <c r="AF440" s="309"/>
      <c r="AG440" s="309"/>
      <c r="AH440" s="309"/>
      <c r="AI440" s="309"/>
      <c r="AJ440" s="309"/>
      <c r="AK440" s="309"/>
      <c r="AL440" s="309"/>
      <c r="AM440" s="309"/>
      <c r="AN440" s="309"/>
      <c r="AO440" s="309"/>
      <c r="AP440" s="309"/>
      <c r="AQ440" s="309"/>
      <c r="AR440" s="309"/>
      <c r="AS440" s="309"/>
      <c r="AT440" s="309"/>
      <c r="AU440" s="309"/>
      <c r="AV440" s="309"/>
      <c r="AW440" s="309"/>
      <c r="AX440" s="309"/>
      <c r="AY440" s="309"/>
      <c r="AZ440" s="309"/>
      <c r="BA440" s="310"/>
      <c r="BB440" s="310"/>
      <c r="BC440" s="310"/>
      <c r="BD440" s="310"/>
      <c r="BE440" s="310"/>
      <c r="BF440" s="310"/>
      <c r="BG440" s="310"/>
      <c r="BH440" s="310"/>
      <c r="BI440" s="310"/>
      <c r="BJ440" s="310"/>
      <c r="BK440" s="310"/>
      <c r="BL440" s="310"/>
      <c r="BM440" s="310"/>
      <c r="BN440" s="221"/>
      <c r="BO440" s="221"/>
      <c r="BP440" s="221"/>
      <c r="BQ440" s="221"/>
      <c r="BR440" s="221"/>
    </row>
    <row r="441" ht="15.75" customHeight="1">
      <c r="A441" s="220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309"/>
      <c r="Y441" s="309"/>
      <c r="Z441" s="309"/>
      <c r="AA441" s="309"/>
      <c r="AB441" s="309"/>
      <c r="AC441" s="309"/>
      <c r="AD441" s="309"/>
      <c r="AE441" s="309"/>
      <c r="AF441" s="309"/>
      <c r="AG441" s="309"/>
      <c r="AH441" s="309"/>
      <c r="AI441" s="309"/>
      <c r="AJ441" s="309"/>
      <c r="AK441" s="309"/>
      <c r="AL441" s="309"/>
      <c r="AM441" s="309"/>
      <c r="AN441" s="309"/>
      <c r="AO441" s="309"/>
      <c r="AP441" s="309"/>
      <c r="AQ441" s="309"/>
      <c r="AR441" s="309"/>
      <c r="AS441" s="309"/>
      <c r="AT441" s="309"/>
      <c r="AU441" s="309"/>
      <c r="AV441" s="309"/>
      <c r="AW441" s="309"/>
      <c r="AX441" s="309"/>
      <c r="AY441" s="309"/>
      <c r="AZ441" s="309"/>
      <c r="BA441" s="310"/>
      <c r="BB441" s="310"/>
      <c r="BC441" s="310"/>
      <c r="BD441" s="310"/>
      <c r="BE441" s="310"/>
      <c r="BF441" s="310"/>
      <c r="BG441" s="310"/>
      <c r="BH441" s="310"/>
      <c r="BI441" s="310"/>
      <c r="BJ441" s="310"/>
      <c r="BK441" s="310"/>
      <c r="BL441" s="310"/>
      <c r="BM441" s="310"/>
      <c r="BN441" s="221"/>
      <c r="BO441" s="221"/>
      <c r="BP441" s="221"/>
      <c r="BQ441" s="221"/>
      <c r="BR441" s="221"/>
    </row>
    <row r="442" ht="15.75" customHeight="1">
      <c r="A442" s="220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309"/>
      <c r="Y442" s="309"/>
      <c r="Z442" s="309"/>
      <c r="AA442" s="309"/>
      <c r="AB442" s="309"/>
      <c r="AC442" s="309"/>
      <c r="AD442" s="309"/>
      <c r="AE442" s="309"/>
      <c r="AF442" s="309"/>
      <c r="AG442" s="309"/>
      <c r="AH442" s="309"/>
      <c r="AI442" s="309"/>
      <c r="AJ442" s="309"/>
      <c r="AK442" s="309"/>
      <c r="AL442" s="309"/>
      <c r="AM442" s="309"/>
      <c r="AN442" s="309"/>
      <c r="AO442" s="309"/>
      <c r="AP442" s="309"/>
      <c r="AQ442" s="309"/>
      <c r="AR442" s="309"/>
      <c r="AS442" s="309"/>
      <c r="AT442" s="309"/>
      <c r="AU442" s="309"/>
      <c r="AV442" s="309"/>
      <c r="AW442" s="309"/>
      <c r="AX442" s="309"/>
      <c r="AY442" s="309"/>
      <c r="AZ442" s="309"/>
      <c r="BA442" s="310"/>
      <c r="BB442" s="310"/>
      <c r="BC442" s="310"/>
      <c r="BD442" s="310"/>
      <c r="BE442" s="310"/>
      <c r="BF442" s="310"/>
      <c r="BG442" s="310"/>
      <c r="BH442" s="310"/>
      <c r="BI442" s="310"/>
      <c r="BJ442" s="310"/>
      <c r="BK442" s="310"/>
      <c r="BL442" s="310"/>
      <c r="BM442" s="310"/>
      <c r="BN442" s="221"/>
      <c r="BO442" s="221"/>
      <c r="BP442" s="221"/>
      <c r="BQ442" s="221"/>
      <c r="BR442" s="221"/>
    </row>
    <row r="443" ht="15.75" customHeight="1">
      <c r="A443" s="220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309"/>
      <c r="Y443" s="309"/>
      <c r="Z443" s="309"/>
      <c r="AA443" s="309"/>
      <c r="AB443" s="309"/>
      <c r="AC443" s="309"/>
      <c r="AD443" s="309"/>
      <c r="AE443" s="309"/>
      <c r="AF443" s="309"/>
      <c r="AG443" s="309"/>
      <c r="AH443" s="309"/>
      <c r="AI443" s="309"/>
      <c r="AJ443" s="309"/>
      <c r="AK443" s="309"/>
      <c r="AL443" s="309"/>
      <c r="AM443" s="309"/>
      <c r="AN443" s="309"/>
      <c r="AO443" s="309"/>
      <c r="AP443" s="309"/>
      <c r="AQ443" s="309"/>
      <c r="AR443" s="309"/>
      <c r="AS443" s="309"/>
      <c r="AT443" s="309"/>
      <c r="AU443" s="309"/>
      <c r="AV443" s="309"/>
      <c r="AW443" s="309"/>
      <c r="AX443" s="309"/>
      <c r="AY443" s="309"/>
      <c r="AZ443" s="309"/>
      <c r="BA443" s="310"/>
      <c r="BB443" s="310"/>
      <c r="BC443" s="310"/>
      <c r="BD443" s="310"/>
      <c r="BE443" s="310"/>
      <c r="BF443" s="310"/>
      <c r="BG443" s="310"/>
      <c r="BH443" s="310"/>
      <c r="BI443" s="310"/>
      <c r="BJ443" s="310"/>
      <c r="BK443" s="310"/>
      <c r="BL443" s="310"/>
      <c r="BM443" s="310"/>
      <c r="BN443" s="221"/>
      <c r="BO443" s="221"/>
      <c r="BP443" s="221"/>
      <c r="BQ443" s="221"/>
      <c r="BR443" s="221"/>
    </row>
    <row r="444" ht="15.75" customHeight="1">
      <c r="A444" s="220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309"/>
      <c r="Y444" s="309"/>
      <c r="Z444" s="309"/>
      <c r="AA444" s="309"/>
      <c r="AB444" s="309"/>
      <c r="AC444" s="309"/>
      <c r="AD444" s="309"/>
      <c r="AE444" s="309"/>
      <c r="AF444" s="309"/>
      <c r="AG444" s="309"/>
      <c r="AH444" s="309"/>
      <c r="AI444" s="309"/>
      <c r="AJ444" s="309"/>
      <c r="AK444" s="309"/>
      <c r="AL444" s="309"/>
      <c r="AM444" s="309"/>
      <c r="AN444" s="309"/>
      <c r="AO444" s="309"/>
      <c r="AP444" s="309"/>
      <c r="AQ444" s="309"/>
      <c r="AR444" s="309"/>
      <c r="AS444" s="309"/>
      <c r="AT444" s="309"/>
      <c r="AU444" s="309"/>
      <c r="AV444" s="309"/>
      <c r="AW444" s="309"/>
      <c r="AX444" s="309"/>
      <c r="AY444" s="309"/>
      <c r="AZ444" s="309"/>
      <c r="BA444" s="310"/>
      <c r="BB444" s="310"/>
      <c r="BC444" s="310"/>
      <c r="BD444" s="310"/>
      <c r="BE444" s="310"/>
      <c r="BF444" s="310"/>
      <c r="BG444" s="310"/>
      <c r="BH444" s="310"/>
      <c r="BI444" s="310"/>
      <c r="BJ444" s="310"/>
      <c r="BK444" s="310"/>
      <c r="BL444" s="310"/>
      <c r="BM444" s="310"/>
      <c r="BN444" s="221"/>
      <c r="BO444" s="221"/>
      <c r="BP444" s="221"/>
      <c r="BQ444" s="221"/>
      <c r="BR444" s="221"/>
    </row>
    <row r="445" ht="15.75" customHeight="1">
      <c r="A445" s="220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309"/>
      <c r="Y445" s="309"/>
      <c r="Z445" s="309"/>
      <c r="AA445" s="309"/>
      <c r="AB445" s="309"/>
      <c r="AC445" s="309"/>
      <c r="AD445" s="309"/>
      <c r="AE445" s="309"/>
      <c r="AF445" s="309"/>
      <c r="AG445" s="309"/>
      <c r="AH445" s="309"/>
      <c r="AI445" s="309"/>
      <c r="AJ445" s="309"/>
      <c r="AK445" s="309"/>
      <c r="AL445" s="309"/>
      <c r="AM445" s="309"/>
      <c r="AN445" s="309"/>
      <c r="AO445" s="309"/>
      <c r="AP445" s="309"/>
      <c r="AQ445" s="309"/>
      <c r="AR445" s="309"/>
      <c r="AS445" s="309"/>
      <c r="AT445" s="309"/>
      <c r="AU445" s="309"/>
      <c r="AV445" s="309"/>
      <c r="AW445" s="309"/>
      <c r="AX445" s="309"/>
      <c r="AY445" s="309"/>
      <c r="AZ445" s="309"/>
      <c r="BA445" s="310"/>
      <c r="BB445" s="310"/>
      <c r="BC445" s="310"/>
      <c r="BD445" s="310"/>
      <c r="BE445" s="310"/>
      <c r="BF445" s="310"/>
      <c r="BG445" s="310"/>
      <c r="BH445" s="310"/>
      <c r="BI445" s="310"/>
      <c r="BJ445" s="310"/>
      <c r="BK445" s="310"/>
      <c r="BL445" s="310"/>
      <c r="BM445" s="310"/>
      <c r="BN445" s="221"/>
      <c r="BO445" s="221"/>
      <c r="BP445" s="221"/>
      <c r="BQ445" s="221"/>
      <c r="BR445" s="221"/>
    </row>
    <row r="446" ht="15.75" customHeight="1">
      <c r="A446" s="220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309"/>
      <c r="Y446" s="309"/>
      <c r="Z446" s="309"/>
      <c r="AA446" s="309"/>
      <c r="AB446" s="309"/>
      <c r="AC446" s="309"/>
      <c r="AD446" s="309"/>
      <c r="AE446" s="309"/>
      <c r="AF446" s="309"/>
      <c r="AG446" s="309"/>
      <c r="AH446" s="309"/>
      <c r="AI446" s="309"/>
      <c r="AJ446" s="309"/>
      <c r="AK446" s="309"/>
      <c r="AL446" s="309"/>
      <c r="AM446" s="309"/>
      <c r="AN446" s="309"/>
      <c r="AO446" s="309"/>
      <c r="AP446" s="309"/>
      <c r="AQ446" s="309"/>
      <c r="AR446" s="309"/>
      <c r="AS446" s="309"/>
      <c r="AT446" s="309"/>
      <c r="AU446" s="309"/>
      <c r="AV446" s="309"/>
      <c r="AW446" s="309"/>
      <c r="AX446" s="309"/>
      <c r="AY446" s="309"/>
      <c r="AZ446" s="309"/>
      <c r="BA446" s="310"/>
      <c r="BB446" s="310"/>
      <c r="BC446" s="310"/>
      <c r="BD446" s="310"/>
      <c r="BE446" s="310"/>
      <c r="BF446" s="310"/>
      <c r="BG446" s="310"/>
      <c r="BH446" s="310"/>
      <c r="BI446" s="310"/>
      <c r="BJ446" s="310"/>
      <c r="BK446" s="310"/>
      <c r="BL446" s="310"/>
      <c r="BM446" s="310"/>
      <c r="BN446" s="221"/>
      <c r="BO446" s="221"/>
      <c r="BP446" s="221"/>
      <c r="BQ446" s="221"/>
      <c r="BR446" s="221"/>
    </row>
    <row r="447" ht="15.75" customHeight="1">
      <c r="A447" s="220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309"/>
      <c r="Y447" s="309"/>
      <c r="Z447" s="309"/>
      <c r="AA447" s="309"/>
      <c r="AB447" s="309"/>
      <c r="AC447" s="309"/>
      <c r="AD447" s="309"/>
      <c r="AE447" s="309"/>
      <c r="AF447" s="309"/>
      <c r="AG447" s="309"/>
      <c r="AH447" s="309"/>
      <c r="AI447" s="309"/>
      <c r="AJ447" s="309"/>
      <c r="AK447" s="309"/>
      <c r="AL447" s="309"/>
      <c r="AM447" s="309"/>
      <c r="AN447" s="309"/>
      <c r="AO447" s="309"/>
      <c r="AP447" s="309"/>
      <c r="AQ447" s="309"/>
      <c r="AR447" s="309"/>
      <c r="AS447" s="309"/>
      <c r="AT447" s="309"/>
      <c r="AU447" s="309"/>
      <c r="AV447" s="309"/>
      <c r="AW447" s="309"/>
      <c r="AX447" s="309"/>
      <c r="AY447" s="309"/>
      <c r="AZ447" s="309"/>
      <c r="BA447" s="310"/>
      <c r="BB447" s="310"/>
      <c r="BC447" s="310"/>
      <c r="BD447" s="310"/>
      <c r="BE447" s="310"/>
      <c r="BF447" s="310"/>
      <c r="BG447" s="310"/>
      <c r="BH447" s="310"/>
      <c r="BI447" s="310"/>
      <c r="BJ447" s="310"/>
      <c r="BK447" s="310"/>
      <c r="BL447" s="310"/>
      <c r="BM447" s="310"/>
      <c r="BN447" s="221"/>
      <c r="BO447" s="221"/>
      <c r="BP447" s="221"/>
      <c r="BQ447" s="221"/>
      <c r="BR447" s="221"/>
    </row>
    <row r="448" ht="15.75" customHeight="1">
      <c r="A448" s="220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309"/>
      <c r="Y448" s="309"/>
      <c r="Z448" s="309"/>
      <c r="AA448" s="309"/>
      <c r="AB448" s="309"/>
      <c r="AC448" s="309"/>
      <c r="AD448" s="309"/>
      <c r="AE448" s="309"/>
      <c r="AF448" s="309"/>
      <c r="AG448" s="309"/>
      <c r="AH448" s="309"/>
      <c r="AI448" s="309"/>
      <c r="AJ448" s="309"/>
      <c r="AK448" s="309"/>
      <c r="AL448" s="309"/>
      <c r="AM448" s="309"/>
      <c r="AN448" s="309"/>
      <c r="AO448" s="309"/>
      <c r="AP448" s="309"/>
      <c r="AQ448" s="309"/>
      <c r="AR448" s="309"/>
      <c r="AS448" s="309"/>
      <c r="AT448" s="309"/>
      <c r="AU448" s="309"/>
      <c r="AV448" s="309"/>
      <c r="AW448" s="309"/>
      <c r="AX448" s="309"/>
      <c r="AY448" s="309"/>
      <c r="AZ448" s="309"/>
      <c r="BA448" s="310"/>
      <c r="BB448" s="310"/>
      <c r="BC448" s="310"/>
      <c r="BD448" s="310"/>
      <c r="BE448" s="310"/>
      <c r="BF448" s="310"/>
      <c r="BG448" s="310"/>
      <c r="BH448" s="310"/>
      <c r="BI448" s="310"/>
      <c r="BJ448" s="310"/>
      <c r="BK448" s="310"/>
      <c r="BL448" s="310"/>
      <c r="BM448" s="310"/>
      <c r="BN448" s="221"/>
      <c r="BO448" s="221"/>
      <c r="BP448" s="221"/>
      <c r="BQ448" s="221"/>
      <c r="BR448" s="221"/>
    </row>
    <row r="449" ht="15.75" customHeight="1">
      <c r="A449" s="220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309"/>
      <c r="Y449" s="309"/>
      <c r="Z449" s="309"/>
      <c r="AA449" s="309"/>
      <c r="AB449" s="309"/>
      <c r="AC449" s="309"/>
      <c r="AD449" s="309"/>
      <c r="AE449" s="309"/>
      <c r="AF449" s="309"/>
      <c r="AG449" s="309"/>
      <c r="AH449" s="309"/>
      <c r="AI449" s="309"/>
      <c r="AJ449" s="309"/>
      <c r="AK449" s="309"/>
      <c r="AL449" s="309"/>
      <c r="AM449" s="309"/>
      <c r="AN449" s="309"/>
      <c r="AO449" s="309"/>
      <c r="AP449" s="309"/>
      <c r="AQ449" s="309"/>
      <c r="AR449" s="309"/>
      <c r="AS449" s="309"/>
      <c r="AT449" s="309"/>
      <c r="AU449" s="309"/>
      <c r="AV449" s="309"/>
      <c r="AW449" s="309"/>
      <c r="AX449" s="309"/>
      <c r="AY449" s="309"/>
      <c r="AZ449" s="309"/>
      <c r="BA449" s="310"/>
      <c r="BB449" s="310"/>
      <c r="BC449" s="310"/>
      <c r="BD449" s="310"/>
      <c r="BE449" s="310"/>
      <c r="BF449" s="310"/>
      <c r="BG449" s="310"/>
      <c r="BH449" s="310"/>
      <c r="BI449" s="310"/>
      <c r="BJ449" s="310"/>
      <c r="BK449" s="310"/>
      <c r="BL449" s="310"/>
      <c r="BM449" s="310"/>
      <c r="BN449" s="221"/>
      <c r="BO449" s="221"/>
      <c r="BP449" s="221"/>
      <c r="BQ449" s="221"/>
      <c r="BR449" s="221"/>
    </row>
    <row r="450" ht="15.75" customHeight="1">
      <c r="A450" s="220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309"/>
      <c r="Y450" s="309"/>
      <c r="Z450" s="309"/>
      <c r="AA450" s="309"/>
      <c r="AB450" s="309"/>
      <c r="AC450" s="309"/>
      <c r="AD450" s="309"/>
      <c r="AE450" s="309"/>
      <c r="AF450" s="309"/>
      <c r="AG450" s="309"/>
      <c r="AH450" s="309"/>
      <c r="AI450" s="309"/>
      <c r="AJ450" s="309"/>
      <c r="AK450" s="309"/>
      <c r="AL450" s="309"/>
      <c r="AM450" s="309"/>
      <c r="AN450" s="309"/>
      <c r="AO450" s="309"/>
      <c r="AP450" s="309"/>
      <c r="AQ450" s="309"/>
      <c r="AR450" s="309"/>
      <c r="AS450" s="309"/>
      <c r="AT450" s="309"/>
      <c r="AU450" s="309"/>
      <c r="AV450" s="309"/>
      <c r="AW450" s="309"/>
      <c r="AX450" s="309"/>
      <c r="AY450" s="309"/>
      <c r="AZ450" s="309"/>
      <c r="BA450" s="310"/>
      <c r="BB450" s="310"/>
      <c r="BC450" s="310"/>
      <c r="BD450" s="310"/>
      <c r="BE450" s="310"/>
      <c r="BF450" s="310"/>
      <c r="BG450" s="310"/>
      <c r="BH450" s="310"/>
      <c r="BI450" s="310"/>
      <c r="BJ450" s="310"/>
      <c r="BK450" s="310"/>
      <c r="BL450" s="310"/>
      <c r="BM450" s="310"/>
      <c r="BN450" s="221"/>
      <c r="BO450" s="221"/>
      <c r="BP450" s="221"/>
      <c r="BQ450" s="221"/>
      <c r="BR450" s="221"/>
    </row>
    <row r="451" ht="15.75" customHeight="1">
      <c r="A451" s="220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309"/>
      <c r="Y451" s="309"/>
      <c r="Z451" s="309"/>
      <c r="AA451" s="309"/>
      <c r="AB451" s="309"/>
      <c r="AC451" s="309"/>
      <c r="AD451" s="309"/>
      <c r="AE451" s="309"/>
      <c r="AF451" s="309"/>
      <c r="AG451" s="309"/>
      <c r="AH451" s="309"/>
      <c r="AI451" s="309"/>
      <c r="AJ451" s="309"/>
      <c r="AK451" s="309"/>
      <c r="AL451" s="309"/>
      <c r="AM451" s="309"/>
      <c r="AN451" s="309"/>
      <c r="AO451" s="309"/>
      <c r="AP451" s="309"/>
      <c r="AQ451" s="309"/>
      <c r="AR451" s="309"/>
      <c r="AS451" s="309"/>
      <c r="AT451" s="309"/>
      <c r="AU451" s="309"/>
      <c r="AV451" s="309"/>
      <c r="AW451" s="309"/>
      <c r="AX451" s="309"/>
      <c r="AY451" s="309"/>
      <c r="AZ451" s="309"/>
      <c r="BA451" s="310"/>
      <c r="BB451" s="310"/>
      <c r="BC451" s="310"/>
      <c r="BD451" s="310"/>
      <c r="BE451" s="310"/>
      <c r="BF451" s="310"/>
      <c r="BG451" s="310"/>
      <c r="BH451" s="310"/>
      <c r="BI451" s="310"/>
      <c r="BJ451" s="310"/>
      <c r="BK451" s="310"/>
      <c r="BL451" s="310"/>
      <c r="BM451" s="310"/>
      <c r="BN451" s="221"/>
      <c r="BO451" s="221"/>
      <c r="BP451" s="221"/>
      <c r="BQ451" s="221"/>
      <c r="BR451" s="221"/>
    </row>
    <row r="452" ht="15.75" customHeight="1">
      <c r="A452" s="220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309"/>
      <c r="Y452" s="309"/>
      <c r="Z452" s="309"/>
      <c r="AA452" s="309"/>
      <c r="AB452" s="309"/>
      <c r="AC452" s="309"/>
      <c r="AD452" s="309"/>
      <c r="AE452" s="309"/>
      <c r="AF452" s="309"/>
      <c r="AG452" s="309"/>
      <c r="AH452" s="309"/>
      <c r="AI452" s="309"/>
      <c r="AJ452" s="309"/>
      <c r="AK452" s="309"/>
      <c r="AL452" s="309"/>
      <c r="AM452" s="309"/>
      <c r="AN452" s="309"/>
      <c r="AO452" s="309"/>
      <c r="AP452" s="309"/>
      <c r="AQ452" s="309"/>
      <c r="AR452" s="309"/>
      <c r="AS452" s="309"/>
      <c r="AT452" s="309"/>
      <c r="AU452" s="309"/>
      <c r="AV452" s="309"/>
      <c r="AW452" s="309"/>
      <c r="AX452" s="309"/>
      <c r="AY452" s="309"/>
      <c r="AZ452" s="309"/>
      <c r="BA452" s="310"/>
      <c r="BB452" s="310"/>
      <c r="BC452" s="310"/>
      <c r="BD452" s="310"/>
      <c r="BE452" s="310"/>
      <c r="BF452" s="310"/>
      <c r="BG452" s="310"/>
      <c r="BH452" s="310"/>
      <c r="BI452" s="310"/>
      <c r="BJ452" s="310"/>
      <c r="BK452" s="310"/>
      <c r="BL452" s="310"/>
      <c r="BM452" s="310"/>
      <c r="BN452" s="221"/>
      <c r="BO452" s="221"/>
      <c r="BP452" s="221"/>
      <c r="BQ452" s="221"/>
      <c r="BR452" s="221"/>
    </row>
    <row r="453" ht="15.75" customHeight="1">
      <c r="A453" s="220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309"/>
      <c r="Y453" s="309"/>
      <c r="Z453" s="309"/>
      <c r="AA453" s="309"/>
      <c r="AB453" s="309"/>
      <c r="AC453" s="309"/>
      <c r="AD453" s="309"/>
      <c r="AE453" s="309"/>
      <c r="AF453" s="309"/>
      <c r="AG453" s="309"/>
      <c r="AH453" s="309"/>
      <c r="AI453" s="309"/>
      <c r="AJ453" s="309"/>
      <c r="AK453" s="309"/>
      <c r="AL453" s="309"/>
      <c r="AM453" s="309"/>
      <c r="AN453" s="309"/>
      <c r="AO453" s="309"/>
      <c r="AP453" s="309"/>
      <c r="AQ453" s="309"/>
      <c r="AR453" s="309"/>
      <c r="AS453" s="309"/>
      <c r="AT453" s="309"/>
      <c r="AU453" s="309"/>
      <c r="AV453" s="309"/>
      <c r="AW453" s="309"/>
      <c r="AX453" s="309"/>
      <c r="AY453" s="309"/>
      <c r="AZ453" s="309"/>
      <c r="BA453" s="310"/>
      <c r="BB453" s="310"/>
      <c r="BC453" s="310"/>
      <c r="BD453" s="310"/>
      <c r="BE453" s="310"/>
      <c r="BF453" s="310"/>
      <c r="BG453" s="310"/>
      <c r="BH453" s="310"/>
      <c r="BI453" s="310"/>
      <c r="BJ453" s="310"/>
      <c r="BK453" s="310"/>
      <c r="BL453" s="310"/>
      <c r="BM453" s="310"/>
      <c r="BN453" s="221"/>
      <c r="BO453" s="221"/>
      <c r="BP453" s="221"/>
      <c r="BQ453" s="221"/>
      <c r="BR453" s="221"/>
    </row>
    <row r="454" ht="15.75" customHeight="1">
      <c r="A454" s="220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309"/>
      <c r="Y454" s="309"/>
      <c r="Z454" s="309"/>
      <c r="AA454" s="309"/>
      <c r="AB454" s="309"/>
      <c r="AC454" s="309"/>
      <c r="AD454" s="309"/>
      <c r="AE454" s="309"/>
      <c r="AF454" s="309"/>
      <c r="AG454" s="309"/>
      <c r="AH454" s="309"/>
      <c r="AI454" s="309"/>
      <c r="AJ454" s="309"/>
      <c r="AK454" s="309"/>
      <c r="AL454" s="309"/>
      <c r="AM454" s="309"/>
      <c r="AN454" s="309"/>
      <c r="AO454" s="309"/>
      <c r="AP454" s="309"/>
      <c r="AQ454" s="309"/>
      <c r="AR454" s="309"/>
      <c r="AS454" s="309"/>
      <c r="AT454" s="309"/>
      <c r="AU454" s="309"/>
      <c r="AV454" s="309"/>
      <c r="AW454" s="309"/>
      <c r="AX454" s="309"/>
      <c r="AY454" s="309"/>
      <c r="AZ454" s="309"/>
      <c r="BA454" s="310"/>
      <c r="BB454" s="310"/>
      <c r="BC454" s="310"/>
      <c r="BD454" s="310"/>
      <c r="BE454" s="310"/>
      <c r="BF454" s="310"/>
      <c r="BG454" s="310"/>
      <c r="BH454" s="310"/>
      <c r="BI454" s="310"/>
      <c r="BJ454" s="310"/>
      <c r="BK454" s="310"/>
      <c r="BL454" s="310"/>
      <c r="BM454" s="310"/>
      <c r="BN454" s="221"/>
      <c r="BO454" s="221"/>
      <c r="BP454" s="221"/>
      <c r="BQ454" s="221"/>
      <c r="BR454" s="221"/>
    </row>
    <row r="455" ht="15.75" customHeight="1">
      <c r="A455" s="220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309"/>
      <c r="Y455" s="309"/>
      <c r="Z455" s="309"/>
      <c r="AA455" s="309"/>
      <c r="AB455" s="309"/>
      <c r="AC455" s="309"/>
      <c r="AD455" s="309"/>
      <c r="AE455" s="309"/>
      <c r="AF455" s="309"/>
      <c r="AG455" s="309"/>
      <c r="AH455" s="309"/>
      <c r="AI455" s="309"/>
      <c r="AJ455" s="309"/>
      <c r="AK455" s="309"/>
      <c r="AL455" s="309"/>
      <c r="AM455" s="309"/>
      <c r="AN455" s="309"/>
      <c r="AO455" s="309"/>
      <c r="AP455" s="309"/>
      <c r="AQ455" s="309"/>
      <c r="AR455" s="309"/>
      <c r="AS455" s="309"/>
      <c r="AT455" s="309"/>
      <c r="AU455" s="309"/>
      <c r="AV455" s="309"/>
      <c r="AW455" s="309"/>
      <c r="AX455" s="309"/>
      <c r="AY455" s="309"/>
      <c r="AZ455" s="309"/>
      <c r="BA455" s="310"/>
      <c r="BB455" s="310"/>
      <c r="BC455" s="310"/>
      <c r="BD455" s="310"/>
      <c r="BE455" s="310"/>
      <c r="BF455" s="310"/>
      <c r="BG455" s="310"/>
      <c r="BH455" s="310"/>
      <c r="BI455" s="310"/>
      <c r="BJ455" s="310"/>
      <c r="BK455" s="310"/>
      <c r="BL455" s="310"/>
      <c r="BM455" s="310"/>
      <c r="BN455" s="221"/>
      <c r="BO455" s="221"/>
      <c r="BP455" s="221"/>
      <c r="BQ455" s="221"/>
      <c r="BR455" s="221"/>
    </row>
    <row r="456" ht="15.75" customHeight="1">
      <c r="A456" s="220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309"/>
      <c r="Y456" s="309"/>
      <c r="Z456" s="309"/>
      <c r="AA456" s="309"/>
      <c r="AB456" s="309"/>
      <c r="AC456" s="309"/>
      <c r="AD456" s="309"/>
      <c r="AE456" s="309"/>
      <c r="AF456" s="309"/>
      <c r="AG456" s="309"/>
      <c r="AH456" s="309"/>
      <c r="AI456" s="309"/>
      <c r="AJ456" s="309"/>
      <c r="AK456" s="309"/>
      <c r="AL456" s="309"/>
      <c r="AM456" s="309"/>
      <c r="AN456" s="309"/>
      <c r="AO456" s="309"/>
      <c r="AP456" s="309"/>
      <c r="AQ456" s="309"/>
      <c r="AR456" s="309"/>
      <c r="AS456" s="309"/>
      <c r="AT456" s="309"/>
      <c r="AU456" s="309"/>
      <c r="AV456" s="309"/>
      <c r="AW456" s="309"/>
      <c r="AX456" s="309"/>
      <c r="AY456" s="309"/>
      <c r="AZ456" s="309"/>
      <c r="BA456" s="310"/>
      <c r="BB456" s="310"/>
      <c r="BC456" s="310"/>
      <c r="BD456" s="310"/>
      <c r="BE456" s="310"/>
      <c r="BF456" s="310"/>
      <c r="BG456" s="310"/>
      <c r="BH456" s="310"/>
      <c r="BI456" s="310"/>
      <c r="BJ456" s="310"/>
      <c r="BK456" s="310"/>
      <c r="BL456" s="310"/>
      <c r="BM456" s="310"/>
      <c r="BN456" s="221"/>
      <c r="BO456" s="221"/>
      <c r="BP456" s="221"/>
      <c r="BQ456" s="221"/>
      <c r="BR456" s="221"/>
    </row>
    <row r="457" ht="15.75" customHeight="1">
      <c r="A457" s="220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309"/>
      <c r="Y457" s="309"/>
      <c r="Z457" s="309"/>
      <c r="AA457" s="309"/>
      <c r="AB457" s="309"/>
      <c r="AC457" s="309"/>
      <c r="AD457" s="309"/>
      <c r="AE457" s="309"/>
      <c r="AF457" s="309"/>
      <c r="AG457" s="309"/>
      <c r="AH457" s="309"/>
      <c r="AI457" s="309"/>
      <c r="AJ457" s="309"/>
      <c r="AK457" s="309"/>
      <c r="AL457" s="309"/>
      <c r="AM457" s="309"/>
      <c r="AN457" s="309"/>
      <c r="AO457" s="309"/>
      <c r="AP457" s="309"/>
      <c r="AQ457" s="309"/>
      <c r="AR457" s="309"/>
      <c r="AS457" s="309"/>
      <c r="AT457" s="309"/>
      <c r="AU457" s="309"/>
      <c r="AV457" s="309"/>
      <c r="AW457" s="309"/>
      <c r="AX457" s="309"/>
      <c r="AY457" s="309"/>
      <c r="AZ457" s="309"/>
      <c r="BA457" s="310"/>
      <c r="BB457" s="310"/>
      <c r="BC457" s="310"/>
      <c r="BD457" s="310"/>
      <c r="BE457" s="310"/>
      <c r="BF457" s="310"/>
      <c r="BG457" s="310"/>
      <c r="BH457" s="310"/>
      <c r="BI457" s="310"/>
      <c r="BJ457" s="310"/>
      <c r="BK457" s="310"/>
      <c r="BL457" s="310"/>
      <c r="BM457" s="310"/>
      <c r="BN457" s="221"/>
      <c r="BO457" s="221"/>
      <c r="BP457" s="221"/>
      <c r="BQ457" s="221"/>
      <c r="BR457" s="221"/>
    </row>
    <row r="458" ht="15.75" customHeight="1">
      <c r="A458" s="220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309"/>
      <c r="Y458" s="309"/>
      <c r="Z458" s="309"/>
      <c r="AA458" s="309"/>
      <c r="AB458" s="309"/>
      <c r="AC458" s="309"/>
      <c r="AD458" s="309"/>
      <c r="AE458" s="309"/>
      <c r="AF458" s="309"/>
      <c r="AG458" s="309"/>
      <c r="AH458" s="309"/>
      <c r="AI458" s="309"/>
      <c r="AJ458" s="309"/>
      <c r="AK458" s="309"/>
      <c r="AL458" s="309"/>
      <c r="AM458" s="309"/>
      <c r="AN458" s="309"/>
      <c r="AO458" s="309"/>
      <c r="AP458" s="309"/>
      <c r="AQ458" s="309"/>
      <c r="AR458" s="309"/>
      <c r="AS458" s="309"/>
      <c r="AT458" s="309"/>
      <c r="AU458" s="309"/>
      <c r="AV458" s="309"/>
      <c r="AW458" s="309"/>
      <c r="AX458" s="309"/>
      <c r="AY458" s="309"/>
      <c r="AZ458" s="309"/>
      <c r="BA458" s="310"/>
      <c r="BB458" s="310"/>
      <c r="BC458" s="310"/>
      <c r="BD458" s="310"/>
      <c r="BE458" s="310"/>
      <c r="BF458" s="310"/>
      <c r="BG458" s="310"/>
      <c r="BH458" s="310"/>
      <c r="BI458" s="310"/>
      <c r="BJ458" s="310"/>
      <c r="BK458" s="310"/>
      <c r="BL458" s="310"/>
      <c r="BM458" s="310"/>
      <c r="BN458" s="221"/>
      <c r="BO458" s="221"/>
      <c r="BP458" s="221"/>
      <c r="BQ458" s="221"/>
      <c r="BR458" s="221"/>
    </row>
    <row r="459" ht="15.75" customHeight="1">
      <c r="A459" s="220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309"/>
      <c r="Y459" s="309"/>
      <c r="Z459" s="309"/>
      <c r="AA459" s="309"/>
      <c r="AB459" s="309"/>
      <c r="AC459" s="309"/>
      <c r="AD459" s="309"/>
      <c r="AE459" s="309"/>
      <c r="AF459" s="309"/>
      <c r="AG459" s="309"/>
      <c r="AH459" s="309"/>
      <c r="AI459" s="309"/>
      <c r="AJ459" s="309"/>
      <c r="AK459" s="309"/>
      <c r="AL459" s="309"/>
      <c r="AM459" s="309"/>
      <c r="AN459" s="309"/>
      <c r="AO459" s="309"/>
      <c r="AP459" s="309"/>
      <c r="AQ459" s="309"/>
      <c r="AR459" s="309"/>
      <c r="AS459" s="309"/>
      <c r="AT459" s="309"/>
      <c r="AU459" s="309"/>
      <c r="AV459" s="309"/>
      <c r="AW459" s="309"/>
      <c r="AX459" s="309"/>
      <c r="AY459" s="309"/>
      <c r="AZ459" s="309"/>
      <c r="BA459" s="310"/>
      <c r="BB459" s="310"/>
      <c r="BC459" s="310"/>
      <c r="BD459" s="310"/>
      <c r="BE459" s="310"/>
      <c r="BF459" s="310"/>
      <c r="BG459" s="310"/>
      <c r="BH459" s="310"/>
      <c r="BI459" s="310"/>
      <c r="BJ459" s="310"/>
      <c r="BK459" s="310"/>
      <c r="BL459" s="310"/>
      <c r="BM459" s="310"/>
      <c r="BN459" s="221"/>
      <c r="BO459" s="221"/>
      <c r="BP459" s="221"/>
      <c r="BQ459" s="221"/>
      <c r="BR459" s="221"/>
    </row>
    <row r="460" ht="15.75" customHeight="1">
      <c r="A460" s="220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309"/>
      <c r="Y460" s="309"/>
      <c r="Z460" s="309"/>
      <c r="AA460" s="309"/>
      <c r="AB460" s="309"/>
      <c r="AC460" s="309"/>
      <c r="AD460" s="309"/>
      <c r="AE460" s="309"/>
      <c r="AF460" s="309"/>
      <c r="AG460" s="309"/>
      <c r="AH460" s="309"/>
      <c r="AI460" s="309"/>
      <c r="AJ460" s="309"/>
      <c r="AK460" s="309"/>
      <c r="AL460" s="309"/>
      <c r="AM460" s="309"/>
      <c r="AN460" s="309"/>
      <c r="AO460" s="309"/>
      <c r="AP460" s="309"/>
      <c r="AQ460" s="309"/>
      <c r="AR460" s="309"/>
      <c r="AS460" s="309"/>
      <c r="AT460" s="309"/>
      <c r="AU460" s="309"/>
      <c r="AV460" s="309"/>
      <c r="AW460" s="309"/>
      <c r="AX460" s="309"/>
      <c r="AY460" s="309"/>
      <c r="AZ460" s="309"/>
      <c r="BA460" s="310"/>
      <c r="BB460" s="310"/>
      <c r="BC460" s="310"/>
      <c r="BD460" s="310"/>
      <c r="BE460" s="310"/>
      <c r="BF460" s="310"/>
      <c r="BG460" s="310"/>
      <c r="BH460" s="310"/>
      <c r="BI460" s="310"/>
      <c r="BJ460" s="310"/>
      <c r="BK460" s="310"/>
      <c r="BL460" s="310"/>
      <c r="BM460" s="310"/>
      <c r="BN460" s="221"/>
      <c r="BO460" s="221"/>
      <c r="BP460" s="221"/>
      <c r="BQ460" s="221"/>
      <c r="BR460" s="221"/>
    </row>
    <row r="461" ht="15.75" customHeight="1">
      <c r="A461" s="220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309"/>
      <c r="Y461" s="309"/>
      <c r="Z461" s="309"/>
      <c r="AA461" s="309"/>
      <c r="AB461" s="309"/>
      <c r="AC461" s="309"/>
      <c r="AD461" s="309"/>
      <c r="AE461" s="309"/>
      <c r="AF461" s="309"/>
      <c r="AG461" s="309"/>
      <c r="AH461" s="309"/>
      <c r="AI461" s="309"/>
      <c r="AJ461" s="309"/>
      <c r="AK461" s="309"/>
      <c r="AL461" s="309"/>
      <c r="AM461" s="309"/>
      <c r="AN461" s="309"/>
      <c r="AO461" s="309"/>
      <c r="AP461" s="309"/>
      <c r="AQ461" s="309"/>
      <c r="AR461" s="309"/>
      <c r="AS461" s="309"/>
      <c r="AT461" s="309"/>
      <c r="AU461" s="309"/>
      <c r="AV461" s="309"/>
      <c r="AW461" s="309"/>
      <c r="AX461" s="309"/>
      <c r="AY461" s="309"/>
      <c r="AZ461" s="309"/>
      <c r="BA461" s="310"/>
      <c r="BB461" s="310"/>
      <c r="BC461" s="310"/>
      <c r="BD461" s="310"/>
      <c r="BE461" s="310"/>
      <c r="BF461" s="310"/>
      <c r="BG461" s="310"/>
      <c r="BH461" s="310"/>
      <c r="BI461" s="310"/>
      <c r="BJ461" s="310"/>
      <c r="BK461" s="310"/>
      <c r="BL461" s="310"/>
      <c r="BM461" s="310"/>
      <c r="BN461" s="221"/>
      <c r="BO461" s="221"/>
      <c r="BP461" s="221"/>
      <c r="BQ461" s="221"/>
      <c r="BR461" s="221"/>
    </row>
    <row r="462" ht="15.75" customHeight="1">
      <c r="A462" s="220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309"/>
      <c r="Y462" s="309"/>
      <c r="Z462" s="309"/>
      <c r="AA462" s="309"/>
      <c r="AB462" s="309"/>
      <c r="AC462" s="309"/>
      <c r="AD462" s="309"/>
      <c r="AE462" s="309"/>
      <c r="AF462" s="309"/>
      <c r="AG462" s="309"/>
      <c r="AH462" s="309"/>
      <c r="AI462" s="309"/>
      <c r="AJ462" s="309"/>
      <c r="AK462" s="309"/>
      <c r="AL462" s="309"/>
      <c r="AM462" s="309"/>
      <c r="AN462" s="309"/>
      <c r="AO462" s="309"/>
      <c r="AP462" s="309"/>
      <c r="AQ462" s="309"/>
      <c r="AR462" s="309"/>
      <c r="AS462" s="309"/>
      <c r="AT462" s="309"/>
      <c r="AU462" s="309"/>
      <c r="AV462" s="309"/>
      <c r="AW462" s="309"/>
      <c r="AX462" s="309"/>
      <c r="AY462" s="309"/>
      <c r="AZ462" s="309"/>
      <c r="BA462" s="310"/>
      <c r="BB462" s="310"/>
      <c r="BC462" s="310"/>
      <c r="BD462" s="310"/>
      <c r="BE462" s="310"/>
      <c r="BF462" s="310"/>
      <c r="BG462" s="310"/>
      <c r="BH462" s="310"/>
      <c r="BI462" s="310"/>
      <c r="BJ462" s="310"/>
      <c r="BK462" s="310"/>
      <c r="BL462" s="310"/>
      <c r="BM462" s="310"/>
      <c r="BN462" s="221"/>
      <c r="BO462" s="221"/>
      <c r="BP462" s="221"/>
      <c r="BQ462" s="221"/>
      <c r="BR462" s="221"/>
    </row>
    <row r="463" ht="15.75" customHeight="1">
      <c r="A463" s="220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309"/>
      <c r="Y463" s="309"/>
      <c r="Z463" s="309"/>
      <c r="AA463" s="309"/>
      <c r="AB463" s="309"/>
      <c r="AC463" s="309"/>
      <c r="AD463" s="309"/>
      <c r="AE463" s="309"/>
      <c r="AF463" s="309"/>
      <c r="AG463" s="309"/>
      <c r="AH463" s="309"/>
      <c r="AI463" s="309"/>
      <c r="AJ463" s="309"/>
      <c r="AK463" s="309"/>
      <c r="AL463" s="309"/>
      <c r="AM463" s="309"/>
      <c r="AN463" s="309"/>
      <c r="AO463" s="309"/>
      <c r="AP463" s="309"/>
      <c r="AQ463" s="309"/>
      <c r="AR463" s="309"/>
      <c r="AS463" s="309"/>
      <c r="AT463" s="309"/>
      <c r="AU463" s="309"/>
      <c r="AV463" s="309"/>
      <c r="AW463" s="309"/>
      <c r="AX463" s="309"/>
      <c r="AY463" s="309"/>
      <c r="AZ463" s="309"/>
      <c r="BA463" s="310"/>
      <c r="BB463" s="310"/>
      <c r="BC463" s="310"/>
      <c r="BD463" s="310"/>
      <c r="BE463" s="310"/>
      <c r="BF463" s="310"/>
      <c r="BG463" s="310"/>
      <c r="BH463" s="310"/>
      <c r="BI463" s="310"/>
      <c r="BJ463" s="310"/>
      <c r="BK463" s="310"/>
      <c r="BL463" s="310"/>
      <c r="BM463" s="310"/>
      <c r="BN463" s="221"/>
      <c r="BO463" s="221"/>
      <c r="BP463" s="221"/>
      <c r="BQ463" s="221"/>
      <c r="BR463" s="221"/>
    </row>
    <row r="464" ht="15.75" customHeight="1">
      <c r="A464" s="220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309"/>
      <c r="Y464" s="309"/>
      <c r="Z464" s="309"/>
      <c r="AA464" s="309"/>
      <c r="AB464" s="309"/>
      <c r="AC464" s="309"/>
      <c r="AD464" s="309"/>
      <c r="AE464" s="309"/>
      <c r="AF464" s="309"/>
      <c r="AG464" s="309"/>
      <c r="AH464" s="309"/>
      <c r="AI464" s="309"/>
      <c r="AJ464" s="309"/>
      <c r="AK464" s="309"/>
      <c r="AL464" s="309"/>
      <c r="AM464" s="309"/>
      <c r="AN464" s="309"/>
      <c r="AO464" s="309"/>
      <c r="AP464" s="309"/>
      <c r="AQ464" s="309"/>
      <c r="AR464" s="309"/>
      <c r="AS464" s="309"/>
      <c r="AT464" s="309"/>
      <c r="AU464" s="309"/>
      <c r="AV464" s="309"/>
      <c r="AW464" s="309"/>
      <c r="AX464" s="309"/>
      <c r="AY464" s="309"/>
      <c r="AZ464" s="309"/>
      <c r="BA464" s="310"/>
      <c r="BB464" s="310"/>
      <c r="BC464" s="310"/>
      <c r="BD464" s="310"/>
      <c r="BE464" s="310"/>
      <c r="BF464" s="310"/>
      <c r="BG464" s="310"/>
      <c r="BH464" s="310"/>
      <c r="BI464" s="310"/>
      <c r="BJ464" s="310"/>
      <c r="BK464" s="310"/>
      <c r="BL464" s="310"/>
      <c r="BM464" s="310"/>
      <c r="BN464" s="221"/>
      <c r="BO464" s="221"/>
      <c r="BP464" s="221"/>
      <c r="BQ464" s="221"/>
      <c r="BR464" s="221"/>
    </row>
    <row r="465" ht="15.75" customHeight="1">
      <c r="A465" s="220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309"/>
      <c r="Y465" s="309"/>
      <c r="Z465" s="309"/>
      <c r="AA465" s="309"/>
      <c r="AB465" s="309"/>
      <c r="AC465" s="309"/>
      <c r="AD465" s="309"/>
      <c r="AE465" s="309"/>
      <c r="AF465" s="309"/>
      <c r="AG465" s="309"/>
      <c r="AH465" s="309"/>
      <c r="AI465" s="309"/>
      <c r="AJ465" s="309"/>
      <c r="AK465" s="309"/>
      <c r="AL465" s="309"/>
      <c r="AM465" s="309"/>
      <c r="AN465" s="309"/>
      <c r="AO465" s="309"/>
      <c r="AP465" s="309"/>
      <c r="AQ465" s="309"/>
      <c r="AR465" s="309"/>
      <c r="AS465" s="309"/>
      <c r="AT465" s="309"/>
      <c r="AU465" s="309"/>
      <c r="AV465" s="309"/>
      <c r="AW465" s="309"/>
      <c r="AX465" s="309"/>
      <c r="AY465" s="309"/>
      <c r="AZ465" s="309"/>
      <c r="BA465" s="310"/>
      <c r="BB465" s="310"/>
      <c r="BC465" s="310"/>
      <c r="BD465" s="310"/>
      <c r="BE465" s="310"/>
      <c r="BF465" s="310"/>
      <c r="BG465" s="310"/>
      <c r="BH465" s="310"/>
      <c r="BI465" s="310"/>
      <c r="BJ465" s="310"/>
      <c r="BK465" s="310"/>
      <c r="BL465" s="310"/>
      <c r="BM465" s="310"/>
      <c r="BN465" s="221"/>
      <c r="BO465" s="221"/>
      <c r="BP465" s="221"/>
      <c r="BQ465" s="221"/>
      <c r="BR465" s="221"/>
    </row>
    <row r="466" ht="15.75" customHeight="1">
      <c r="A466" s="220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309"/>
      <c r="Y466" s="309"/>
      <c r="Z466" s="309"/>
      <c r="AA466" s="309"/>
      <c r="AB466" s="309"/>
      <c r="AC466" s="309"/>
      <c r="AD466" s="309"/>
      <c r="AE466" s="309"/>
      <c r="AF466" s="309"/>
      <c r="AG466" s="309"/>
      <c r="AH466" s="309"/>
      <c r="AI466" s="309"/>
      <c r="AJ466" s="309"/>
      <c r="AK466" s="309"/>
      <c r="AL466" s="309"/>
      <c r="AM466" s="309"/>
      <c r="AN466" s="309"/>
      <c r="AO466" s="309"/>
      <c r="AP466" s="309"/>
      <c r="AQ466" s="309"/>
      <c r="AR466" s="309"/>
      <c r="AS466" s="309"/>
      <c r="AT466" s="309"/>
      <c r="AU466" s="309"/>
      <c r="AV466" s="309"/>
      <c r="AW466" s="309"/>
      <c r="AX466" s="309"/>
      <c r="AY466" s="309"/>
      <c r="AZ466" s="309"/>
      <c r="BA466" s="310"/>
      <c r="BB466" s="310"/>
      <c r="BC466" s="310"/>
      <c r="BD466" s="310"/>
      <c r="BE466" s="310"/>
      <c r="BF466" s="310"/>
      <c r="BG466" s="310"/>
      <c r="BH466" s="310"/>
      <c r="BI466" s="310"/>
      <c r="BJ466" s="310"/>
      <c r="BK466" s="310"/>
      <c r="BL466" s="310"/>
      <c r="BM466" s="310"/>
      <c r="BN466" s="221"/>
      <c r="BO466" s="221"/>
      <c r="BP466" s="221"/>
      <c r="BQ466" s="221"/>
      <c r="BR466" s="221"/>
    </row>
    <row r="467" ht="15.75" customHeight="1">
      <c r="A467" s="220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309"/>
      <c r="Y467" s="309"/>
      <c r="Z467" s="309"/>
      <c r="AA467" s="309"/>
      <c r="AB467" s="309"/>
      <c r="AC467" s="309"/>
      <c r="AD467" s="309"/>
      <c r="AE467" s="309"/>
      <c r="AF467" s="309"/>
      <c r="AG467" s="309"/>
      <c r="AH467" s="309"/>
      <c r="AI467" s="309"/>
      <c r="AJ467" s="309"/>
      <c r="AK467" s="309"/>
      <c r="AL467" s="309"/>
      <c r="AM467" s="309"/>
      <c r="AN467" s="309"/>
      <c r="AO467" s="309"/>
      <c r="AP467" s="309"/>
      <c r="AQ467" s="309"/>
      <c r="AR467" s="309"/>
      <c r="AS467" s="309"/>
      <c r="AT467" s="309"/>
      <c r="AU467" s="309"/>
      <c r="AV467" s="309"/>
      <c r="AW467" s="309"/>
      <c r="AX467" s="309"/>
      <c r="AY467" s="309"/>
      <c r="AZ467" s="309"/>
      <c r="BA467" s="310"/>
      <c r="BB467" s="310"/>
      <c r="BC467" s="310"/>
      <c r="BD467" s="310"/>
      <c r="BE467" s="310"/>
      <c r="BF467" s="310"/>
      <c r="BG467" s="310"/>
      <c r="BH467" s="310"/>
      <c r="BI467" s="310"/>
      <c r="BJ467" s="310"/>
      <c r="BK467" s="310"/>
      <c r="BL467" s="310"/>
      <c r="BM467" s="310"/>
      <c r="BN467" s="221"/>
      <c r="BO467" s="221"/>
      <c r="BP467" s="221"/>
      <c r="BQ467" s="221"/>
      <c r="BR467" s="221"/>
    </row>
    <row r="468" ht="15.75" customHeight="1">
      <c r="A468" s="220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309"/>
      <c r="Y468" s="309"/>
      <c r="Z468" s="309"/>
      <c r="AA468" s="309"/>
      <c r="AB468" s="309"/>
      <c r="AC468" s="309"/>
      <c r="AD468" s="309"/>
      <c r="AE468" s="309"/>
      <c r="AF468" s="309"/>
      <c r="AG468" s="309"/>
      <c r="AH468" s="309"/>
      <c r="AI468" s="309"/>
      <c r="AJ468" s="309"/>
      <c r="AK468" s="309"/>
      <c r="AL468" s="309"/>
      <c r="AM468" s="309"/>
      <c r="AN468" s="309"/>
      <c r="AO468" s="309"/>
      <c r="AP468" s="309"/>
      <c r="AQ468" s="309"/>
      <c r="AR468" s="309"/>
      <c r="AS468" s="309"/>
      <c r="AT468" s="309"/>
      <c r="AU468" s="309"/>
      <c r="AV468" s="309"/>
      <c r="AW468" s="309"/>
      <c r="AX468" s="309"/>
      <c r="AY468" s="309"/>
      <c r="AZ468" s="309"/>
      <c r="BA468" s="310"/>
      <c r="BB468" s="310"/>
      <c r="BC468" s="310"/>
      <c r="BD468" s="310"/>
      <c r="BE468" s="310"/>
      <c r="BF468" s="310"/>
      <c r="BG468" s="310"/>
      <c r="BH468" s="310"/>
      <c r="BI468" s="310"/>
      <c r="BJ468" s="310"/>
      <c r="BK468" s="310"/>
      <c r="BL468" s="310"/>
      <c r="BM468" s="310"/>
      <c r="BN468" s="221"/>
      <c r="BO468" s="221"/>
      <c r="BP468" s="221"/>
      <c r="BQ468" s="221"/>
      <c r="BR468" s="221"/>
    </row>
    <row r="469" ht="15.75" customHeight="1">
      <c r="A469" s="220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309"/>
      <c r="Y469" s="309"/>
      <c r="Z469" s="309"/>
      <c r="AA469" s="309"/>
      <c r="AB469" s="309"/>
      <c r="AC469" s="309"/>
      <c r="AD469" s="309"/>
      <c r="AE469" s="309"/>
      <c r="AF469" s="309"/>
      <c r="AG469" s="309"/>
      <c r="AH469" s="309"/>
      <c r="AI469" s="309"/>
      <c r="AJ469" s="309"/>
      <c r="AK469" s="309"/>
      <c r="AL469" s="309"/>
      <c r="AM469" s="309"/>
      <c r="AN469" s="309"/>
      <c r="AO469" s="309"/>
      <c r="AP469" s="309"/>
      <c r="AQ469" s="309"/>
      <c r="AR469" s="309"/>
      <c r="AS469" s="309"/>
      <c r="AT469" s="309"/>
      <c r="AU469" s="309"/>
      <c r="AV469" s="309"/>
      <c r="AW469" s="309"/>
      <c r="AX469" s="309"/>
      <c r="AY469" s="309"/>
      <c r="AZ469" s="309"/>
      <c r="BA469" s="310"/>
      <c r="BB469" s="310"/>
      <c r="BC469" s="310"/>
      <c r="BD469" s="310"/>
      <c r="BE469" s="310"/>
      <c r="BF469" s="310"/>
      <c r="BG469" s="310"/>
      <c r="BH469" s="310"/>
      <c r="BI469" s="310"/>
      <c r="BJ469" s="310"/>
      <c r="BK469" s="310"/>
      <c r="BL469" s="310"/>
      <c r="BM469" s="310"/>
      <c r="BN469" s="221"/>
      <c r="BO469" s="221"/>
      <c r="BP469" s="221"/>
      <c r="BQ469" s="221"/>
      <c r="BR469" s="221"/>
    </row>
    <row r="470" ht="15.75" customHeight="1">
      <c r="A470" s="220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309"/>
      <c r="Y470" s="309"/>
      <c r="Z470" s="309"/>
      <c r="AA470" s="309"/>
      <c r="AB470" s="309"/>
      <c r="AC470" s="309"/>
      <c r="AD470" s="309"/>
      <c r="AE470" s="309"/>
      <c r="AF470" s="309"/>
      <c r="AG470" s="309"/>
      <c r="AH470" s="309"/>
      <c r="AI470" s="309"/>
      <c r="AJ470" s="309"/>
      <c r="AK470" s="309"/>
      <c r="AL470" s="309"/>
      <c r="AM470" s="309"/>
      <c r="AN470" s="309"/>
      <c r="AO470" s="309"/>
      <c r="AP470" s="309"/>
      <c r="AQ470" s="309"/>
      <c r="AR470" s="309"/>
      <c r="AS470" s="309"/>
      <c r="AT470" s="309"/>
      <c r="AU470" s="309"/>
      <c r="AV470" s="309"/>
      <c r="AW470" s="309"/>
      <c r="AX470" s="309"/>
      <c r="AY470" s="309"/>
      <c r="AZ470" s="309"/>
      <c r="BA470" s="310"/>
      <c r="BB470" s="310"/>
      <c r="BC470" s="310"/>
      <c r="BD470" s="310"/>
      <c r="BE470" s="310"/>
      <c r="BF470" s="310"/>
      <c r="BG470" s="310"/>
      <c r="BH470" s="310"/>
      <c r="BI470" s="310"/>
      <c r="BJ470" s="310"/>
      <c r="BK470" s="310"/>
      <c r="BL470" s="310"/>
      <c r="BM470" s="310"/>
      <c r="BN470" s="221"/>
      <c r="BO470" s="221"/>
      <c r="BP470" s="221"/>
      <c r="BQ470" s="221"/>
      <c r="BR470" s="221"/>
    </row>
    <row r="471" ht="15.75" customHeight="1">
      <c r="A471" s="220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309"/>
      <c r="Y471" s="309"/>
      <c r="Z471" s="309"/>
      <c r="AA471" s="309"/>
      <c r="AB471" s="309"/>
      <c r="AC471" s="309"/>
      <c r="AD471" s="309"/>
      <c r="AE471" s="309"/>
      <c r="AF471" s="309"/>
      <c r="AG471" s="309"/>
      <c r="AH471" s="309"/>
      <c r="AI471" s="309"/>
      <c r="AJ471" s="309"/>
      <c r="AK471" s="309"/>
      <c r="AL471" s="309"/>
      <c r="AM471" s="309"/>
      <c r="AN471" s="309"/>
      <c r="AO471" s="309"/>
      <c r="AP471" s="309"/>
      <c r="AQ471" s="309"/>
      <c r="AR471" s="309"/>
      <c r="AS471" s="309"/>
      <c r="AT471" s="309"/>
      <c r="AU471" s="309"/>
      <c r="AV471" s="309"/>
      <c r="AW471" s="309"/>
      <c r="AX471" s="309"/>
      <c r="AY471" s="309"/>
      <c r="AZ471" s="309"/>
      <c r="BA471" s="310"/>
      <c r="BB471" s="310"/>
      <c r="BC471" s="310"/>
      <c r="BD471" s="310"/>
      <c r="BE471" s="310"/>
      <c r="BF471" s="310"/>
      <c r="BG471" s="310"/>
      <c r="BH471" s="310"/>
      <c r="BI471" s="310"/>
      <c r="BJ471" s="310"/>
      <c r="BK471" s="310"/>
      <c r="BL471" s="310"/>
      <c r="BM471" s="310"/>
      <c r="BN471" s="221"/>
      <c r="BO471" s="221"/>
      <c r="BP471" s="221"/>
      <c r="BQ471" s="221"/>
      <c r="BR471" s="221"/>
    </row>
    <row r="472" ht="15.75" customHeight="1">
      <c r="A472" s="220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309"/>
      <c r="Y472" s="309"/>
      <c r="Z472" s="309"/>
      <c r="AA472" s="309"/>
      <c r="AB472" s="309"/>
      <c r="AC472" s="309"/>
      <c r="AD472" s="309"/>
      <c r="AE472" s="309"/>
      <c r="AF472" s="309"/>
      <c r="AG472" s="309"/>
      <c r="AH472" s="309"/>
      <c r="AI472" s="309"/>
      <c r="AJ472" s="309"/>
      <c r="AK472" s="309"/>
      <c r="AL472" s="309"/>
      <c r="AM472" s="309"/>
      <c r="AN472" s="309"/>
      <c r="AO472" s="309"/>
      <c r="AP472" s="309"/>
      <c r="AQ472" s="309"/>
      <c r="AR472" s="309"/>
      <c r="AS472" s="309"/>
      <c r="AT472" s="309"/>
      <c r="AU472" s="309"/>
      <c r="AV472" s="309"/>
      <c r="AW472" s="309"/>
      <c r="AX472" s="309"/>
      <c r="AY472" s="309"/>
      <c r="AZ472" s="309"/>
      <c r="BA472" s="310"/>
      <c r="BB472" s="310"/>
      <c r="BC472" s="310"/>
      <c r="BD472" s="310"/>
      <c r="BE472" s="310"/>
      <c r="BF472" s="310"/>
      <c r="BG472" s="310"/>
      <c r="BH472" s="310"/>
      <c r="BI472" s="310"/>
      <c r="BJ472" s="310"/>
      <c r="BK472" s="310"/>
      <c r="BL472" s="310"/>
      <c r="BM472" s="310"/>
      <c r="BN472" s="221"/>
      <c r="BO472" s="221"/>
      <c r="BP472" s="221"/>
      <c r="BQ472" s="221"/>
      <c r="BR472" s="221"/>
    </row>
    <row r="473" ht="15.75" customHeight="1">
      <c r="A473" s="220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309"/>
      <c r="Y473" s="309"/>
      <c r="Z473" s="309"/>
      <c r="AA473" s="309"/>
      <c r="AB473" s="309"/>
      <c r="AC473" s="309"/>
      <c r="AD473" s="309"/>
      <c r="AE473" s="309"/>
      <c r="AF473" s="309"/>
      <c r="AG473" s="309"/>
      <c r="AH473" s="309"/>
      <c r="AI473" s="309"/>
      <c r="AJ473" s="309"/>
      <c r="AK473" s="309"/>
      <c r="AL473" s="309"/>
      <c r="AM473" s="309"/>
      <c r="AN473" s="309"/>
      <c r="AO473" s="309"/>
      <c r="AP473" s="309"/>
      <c r="AQ473" s="309"/>
      <c r="AR473" s="309"/>
      <c r="AS473" s="309"/>
      <c r="AT473" s="309"/>
      <c r="AU473" s="309"/>
      <c r="AV473" s="309"/>
      <c r="AW473" s="309"/>
      <c r="AX473" s="309"/>
      <c r="AY473" s="309"/>
      <c r="AZ473" s="309"/>
      <c r="BA473" s="310"/>
      <c r="BB473" s="310"/>
      <c r="BC473" s="310"/>
      <c r="BD473" s="310"/>
      <c r="BE473" s="310"/>
      <c r="BF473" s="310"/>
      <c r="BG473" s="310"/>
      <c r="BH473" s="310"/>
      <c r="BI473" s="310"/>
      <c r="BJ473" s="310"/>
      <c r="BK473" s="310"/>
      <c r="BL473" s="310"/>
      <c r="BM473" s="310"/>
      <c r="BN473" s="221"/>
      <c r="BO473" s="221"/>
      <c r="BP473" s="221"/>
      <c r="BQ473" s="221"/>
      <c r="BR473" s="221"/>
    </row>
    <row r="474" ht="15.75" customHeight="1">
      <c r="A474" s="220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309"/>
      <c r="Y474" s="309"/>
      <c r="Z474" s="309"/>
      <c r="AA474" s="309"/>
      <c r="AB474" s="309"/>
      <c r="AC474" s="309"/>
      <c r="AD474" s="309"/>
      <c r="AE474" s="309"/>
      <c r="AF474" s="309"/>
      <c r="AG474" s="309"/>
      <c r="AH474" s="309"/>
      <c r="AI474" s="309"/>
      <c r="AJ474" s="309"/>
      <c r="AK474" s="309"/>
      <c r="AL474" s="309"/>
      <c r="AM474" s="309"/>
      <c r="AN474" s="309"/>
      <c r="AO474" s="309"/>
      <c r="AP474" s="309"/>
      <c r="AQ474" s="309"/>
      <c r="AR474" s="309"/>
      <c r="AS474" s="309"/>
      <c r="AT474" s="309"/>
      <c r="AU474" s="309"/>
      <c r="AV474" s="309"/>
      <c r="AW474" s="309"/>
      <c r="AX474" s="309"/>
      <c r="AY474" s="309"/>
      <c r="AZ474" s="309"/>
      <c r="BA474" s="310"/>
      <c r="BB474" s="310"/>
      <c r="BC474" s="310"/>
      <c r="BD474" s="310"/>
      <c r="BE474" s="310"/>
      <c r="BF474" s="310"/>
      <c r="BG474" s="310"/>
      <c r="BH474" s="310"/>
      <c r="BI474" s="310"/>
      <c r="BJ474" s="310"/>
      <c r="BK474" s="310"/>
      <c r="BL474" s="310"/>
      <c r="BM474" s="310"/>
      <c r="BN474" s="221"/>
      <c r="BO474" s="221"/>
      <c r="BP474" s="221"/>
      <c r="BQ474" s="221"/>
      <c r="BR474" s="221"/>
    </row>
    <row r="475" ht="15.75" customHeight="1">
      <c r="A475" s="220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309"/>
      <c r="Y475" s="309"/>
      <c r="Z475" s="309"/>
      <c r="AA475" s="309"/>
      <c r="AB475" s="309"/>
      <c r="AC475" s="309"/>
      <c r="AD475" s="309"/>
      <c r="AE475" s="309"/>
      <c r="AF475" s="309"/>
      <c r="AG475" s="309"/>
      <c r="AH475" s="309"/>
      <c r="AI475" s="309"/>
      <c r="AJ475" s="309"/>
      <c r="AK475" s="309"/>
      <c r="AL475" s="309"/>
      <c r="AM475" s="309"/>
      <c r="AN475" s="309"/>
      <c r="AO475" s="309"/>
      <c r="AP475" s="309"/>
      <c r="AQ475" s="309"/>
      <c r="AR475" s="309"/>
      <c r="AS475" s="309"/>
      <c r="AT475" s="309"/>
      <c r="AU475" s="309"/>
      <c r="AV475" s="309"/>
      <c r="AW475" s="309"/>
      <c r="AX475" s="309"/>
      <c r="AY475" s="309"/>
      <c r="AZ475" s="309"/>
      <c r="BA475" s="310"/>
      <c r="BB475" s="310"/>
      <c r="BC475" s="310"/>
      <c r="BD475" s="310"/>
      <c r="BE475" s="310"/>
      <c r="BF475" s="310"/>
      <c r="BG475" s="310"/>
      <c r="BH475" s="310"/>
      <c r="BI475" s="310"/>
      <c r="BJ475" s="310"/>
      <c r="BK475" s="310"/>
      <c r="BL475" s="310"/>
      <c r="BM475" s="310"/>
      <c r="BN475" s="221"/>
      <c r="BO475" s="221"/>
      <c r="BP475" s="221"/>
      <c r="BQ475" s="221"/>
      <c r="BR475" s="221"/>
    </row>
    <row r="476" ht="15.75" customHeight="1">
      <c r="A476" s="220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309"/>
      <c r="Y476" s="309"/>
      <c r="Z476" s="309"/>
      <c r="AA476" s="309"/>
      <c r="AB476" s="309"/>
      <c r="AC476" s="309"/>
      <c r="AD476" s="309"/>
      <c r="AE476" s="309"/>
      <c r="AF476" s="309"/>
      <c r="AG476" s="309"/>
      <c r="AH476" s="309"/>
      <c r="AI476" s="309"/>
      <c r="AJ476" s="309"/>
      <c r="AK476" s="309"/>
      <c r="AL476" s="309"/>
      <c r="AM476" s="309"/>
      <c r="AN476" s="309"/>
      <c r="AO476" s="309"/>
      <c r="AP476" s="309"/>
      <c r="AQ476" s="309"/>
      <c r="AR476" s="309"/>
      <c r="AS476" s="309"/>
      <c r="AT476" s="309"/>
      <c r="AU476" s="309"/>
      <c r="AV476" s="309"/>
      <c r="AW476" s="309"/>
      <c r="AX476" s="309"/>
      <c r="AY476" s="309"/>
      <c r="AZ476" s="309"/>
      <c r="BA476" s="310"/>
      <c r="BB476" s="310"/>
      <c r="BC476" s="310"/>
      <c r="BD476" s="310"/>
      <c r="BE476" s="310"/>
      <c r="BF476" s="310"/>
      <c r="BG476" s="310"/>
      <c r="BH476" s="310"/>
      <c r="BI476" s="310"/>
      <c r="BJ476" s="310"/>
      <c r="BK476" s="310"/>
      <c r="BL476" s="310"/>
      <c r="BM476" s="310"/>
      <c r="BN476" s="221"/>
      <c r="BO476" s="221"/>
      <c r="BP476" s="221"/>
      <c r="BQ476" s="221"/>
      <c r="BR476" s="221"/>
    </row>
    <row r="477" ht="15.75" customHeight="1">
      <c r="A477" s="220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309"/>
      <c r="Y477" s="309"/>
      <c r="Z477" s="309"/>
      <c r="AA477" s="309"/>
      <c r="AB477" s="309"/>
      <c r="AC477" s="309"/>
      <c r="AD477" s="309"/>
      <c r="AE477" s="309"/>
      <c r="AF477" s="309"/>
      <c r="AG477" s="309"/>
      <c r="AH477" s="309"/>
      <c r="AI477" s="309"/>
      <c r="AJ477" s="309"/>
      <c r="AK477" s="309"/>
      <c r="AL477" s="309"/>
      <c r="AM477" s="309"/>
      <c r="AN477" s="309"/>
      <c r="AO477" s="309"/>
      <c r="AP477" s="309"/>
      <c r="AQ477" s="309"/>
      <c r="AR477" s="309"/>
      <c r="AS477" s="309"/>
      <c r="AT477" s="309"/>
      <c r="AU477" s="309"/>
      <c r="AV477" s="309"/>
      <c r="AW477" s="309"/>
      <c r="AX477" s="309"/>
      <c r="AY477" s="309"/>
      <c r="AZ477" s="309"/>
      <c r="BA477" s="310"/>
      <c r="BB477" s="310"/>
      <c r="BC477" s="310"/>
      <c r="BD477" s="310"/>
      <c r="BE477" s="310"/>
      <c r="BF477" s="310"/>
      <c r="BG477" s="310"/>
      <c r="BH477" s="310"/>
      <c r="BI477" s="310"/>
      <c r="BJ477" s="310"/>
      <c r="BK477" s="310"/>
      <c r="BL477" s="310"/>
      <c r="BM477" s="310"/>
      <c r="BN477" s="221"/>
      <c r="BO477" s="221"/>
      <c r="BP477" s="221"/>
      <c r="BQ477" s="221"/>
      <c r="BR477" s="221"/>
    </row>
    <row r="478" ht="15.75" customHeight="1">
      <c r="A478" s="220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309"/>
      <c r="Y478" s="309"/>
      <c r="Z478" s="309"/>
      <c r="AA478" s="309"/>
      <c r="AB478" s="309"/>
      <c r="AC478" s="309"/>
      <c r="AD478" s="309"/>
      <c r="AE478" s="309"/>
      <c r="AF478" s="309"/>
      <c r="AG478" s="309"/>
      <c r="AH478" s="309"/>
      <c r="AI478" s="309"/>
      <c r="AJ478" s="309"/>
      <c r="AK478" s="309"/>
      <c r="AL478" s="309"/>
      <c r="AM478" s="309"/>
      <c r="AN478" s="309"/>
      <c r="AO478" s="309"/>
      <c r="AP478" s="309"/>
      <c r="AQ478" s="309"/>
      <c r="AR478" s="309"/>
      <c r="AS478" s="309"/>
      <c r="AT478" s="309"/>
      <c r="AU478" s="309"/>
      <c r="AV478" s="309"/>
      <c r="AW478" s="309"/>
      <c r="AX478" s="309"/>
      <c r="AY478" s="309"/>
      <c r="AZ478" s="309"/>
      <c r="BA478" s="310"/>
      <c r="BB478" s="310"/>
      <c r="BC478" s="310"/>
      <c r="BD478" s="310"/>
      <c r="BE478" s="310"/>
      <c r="BF478" s="310"/>
      <c r="BG478" s="310"/>
      <c r="BH478" s="310"/>
      <c r="BI478" s="310"/>
      <c r="BJ478" s="310"/>
      <c r="BK478" s="310"/>
      <c r="BL478" s="310"/>
      <c r="BM478" s="310"/>
      <c r="BN478" s="221"/>
      <c r="BO478" s="221"/>
      <c r="BP478" s="221"/>
      <c r="BQ478" s="221"/>
      <c r="BR478" s="221"/>
    </row>
    <row r="479" ht="15.75" customHeight="1">
      <c r="A479" s="220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309"/>
      <c r="Y479" s="309"/>
      <c r="Z479" s="309"/>
      <c r="AA479" s="309"/>
      <c r="AB479" s="309"/>
      <c r="AC479" s="309"/>
      <c r="AD479" s="309"/>
      <c r="AE479" s="309"/>
      <c r="AF479" s="309"/>
      <c r="AG479" s="309"/>
      <c r="AH479" s="309"/>
      <c r="AI479" s="309"/>
      <c r="AJ479" s="309"/>
      <c r="AK479" s="309"/>
      <c r="AL479" s="309"/>
      <c r="AM479" s="309"/>
      <c r="AN479" s="309"/>
      <c r="AO479" s="309"/>
      <c r="AP479" s="309"/>
      <c r="AQ479" s="309"/>
      <c r="AR479" s="309"/>
      <c r="AS479" s="309"/>
      <c r="AT479" s="309"/>
      <c r="AU479" s="309"/>
      <c r="AV479" s="309"/>
      <c r="AW479" s="309"/>
      <c r="AX479" s="309"/>
      <c r="AY479" s="309"/>
      <c r="AZ479" s="309"/>
      <c r="BA479" s="310"/>
      <c r="BB479" s="310"/>
      <c r="BC479" s="310"/>
      <c r="BD479" s="310"/>
      <c r="BE479" s="310"/>
      <c r="BF479" s="310"/>
      <c r="BG479" s="310"/>
      <c r="BH479" s="310"/>
      <c r="BI479" s="310"/>
      <c r="BJ479" s="310"/>
      <c r="BK479" s="310"/>
      <c r="BL479" s="310"/>
      <c r="BM479" s="310"/>
      <c r="BN479" s="221"/>
      <c r="BO479" s="221"/>
      <c r="BP479" s="221"/>
      <c r="BQ479" s="221"/>
      <c r="BR479" s="221"/>
    </row>
    <row r="480" ht="15.75" customHeight="1">
      <c r="A480" s="220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309"/>
      <c r="Y480" s="309"/>
      <c r="Z480" s="309"/>
      <c r="AA480" s="309"/>
      <c r="AB480" s="309"/>
      <c r="AC480" s="309"/>
      <c r="AD480" s="309"/>
      <c r="AE480" s="309"/>
      <c r="AF480" s="309"/>
      <c r="AG480" s="309"/>
      <c r="AH480" s="309"/>
      <c r="AI480" s="309"/>
      <c r="AJ480" s="309"/>
      <c r="AK480" s="309"/>
      <c r="AL480" s="309"/>
      <c r="AM480" s="309"/>
      <c r="AN480" s="309"/>
      <c r="AO480" s="309"/>
      <c r="AP480" s="309"/>
      <c r="AQ480" s="309"/>
      <c r="AR480" s="309"/>
      <c r="AS480" s="309"/>
      <c r="AT480" s="309"/>
      <c r="AU480" s="309"/>
      <c r="AV480" s="309"/>
      <c r="AW480" s="309"/>
      <c r="AX480" s="309"/>
      <c r="AY480" s="309"/>
      <c r="AZ480" s="309"/>
      <c r="BA480" s="310"/>
      <c r="BB480" s="310"/>
      <c r="BC480" s="310"/>
      <c r="BD480" s="310"/>
      <c r="BE480" s="310"/>
      <c r="BF480" s="310"/>
      <c r="BG480" s="310"/>
      <c r="BH480" s="310"/>
      <c r="BI480" s="310"/>
      <c r="BJ480" s="310"/>
      <c r="BK480" s="310"/>
      <c r="BL480" s="310"/>
      <c r="BM480" s="310"/>
      <c r="BN480" s="221"/>
      <c r="BO480" s="221"/>
      <c r="BP480" s="221"/>
      <c r="BQ480" s="221"/>
      <c r="BR480" s="221"/>
    </row>
    <row r="481" ht="15.75" customHeight="1">
      <c r="A481" s="220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309"/>
      <c r="Y481" s="309"/>
      <c r="Z481" s="309"/>
      <c r="AA481" s="309"/>
      <c r="AB481" s="309"/>
      <c r="AC481" s="309"/>
      <c r="AD481" s="309"/>
      <c r="AE481" s="309"/>
      <c r="AF481" s="309"/>
      <c r="AG481" s="309"/>
      <c r="AH481" s="309"/>
      <c r="AI481" s="309"/>
      <c r="AJ481" s="309"/>
      <c r="AK481" s="309"/>
      <c r="AL481" s="309"/>
      <c r="AM481" s="309"/>
      <c r="AN481" s="309"/>
      <c r="AO481" s="309"/>
      <c r="AP481" s="309"/>
      <c r="AQ481" s="309"/>
      <c r="AR481" s="309"/>
      <c r="AS481" s="309"/>
      <c r="AT481" s="309"/>
      <c r="AU481" s="309"/>
      <c r="AV481" s="309"/>
      <c r="AW481" s="309"/>
      <c r="AX481" s="309"/>
      <c r="AY481" s="309"/>
      <c r="AZ481" s="309"/>
      <c r="BA481" s="310"/>
      <c r="BB481" s="310"/>
      <c r="BC481" s="310"/>
      <c r="BD481" s="310"/>
      <c r="BE481" s="310"/>
      <c r="BF481" s="310"/>
      <c r="BG481" s="310"/>
      <c r="BH481" s="310"/>
      <c r="BI481" s="310"/>
      <c r="BJ481" s="310"/>
      <c r="BK481" s="310"/>
      <c r="BL481" s="310"/>
      <c r="BM481" s="310"/>
      <c r="BN481" s="221"/>
      <c r="BO481" s="221"/>
      <c r="BP481" s="221"/>
      <c r="BQ481" s="221"/>
      <c r="BR481" s="221"/>
    </row>
    <row r="482" ht="15.75" customHeight="1">
      <c r="A482" s="220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309"/>
      <c r="Y482" s="309"/>
      <c r="Z482" s="309"/>
      <c r="AA482" s="309"/>
      <c r="AB482" s="309"/>
      <c r="AC482" s="309"/>
      <c r="AD482" s="309"/>
      <c r="AE482" s="309"/>
      <c r="AF482" s="309"/>
      <c r="AG482" s="309"/>
      <c r="AH482" s="309"/>
      <c r="AI482" s="309"/>
      <c r="AJ482" s="309"/>
      <c r="AK482" s="309"/>
      <c r="AL482" s="309"/>
      <c r="AM482" s="309"/>
      <c r="AN482" s="309"/>
      <c r="AO482" s="309"/>
      <c r="AP482" s="309"/>
      <c r="AQ482" s="309"/>
      <c r="AR482" s="309"/>
      <c r="AS482" s="309"/>
      <c r="AT482" s="309"/>
      <c r="AU482" s="309"/>
      <c r="AV482" s="309"/>
      <c r="AW482" s="309"/>
      <c r="AX482" s="309"/>
      <c r="AY482" s="309"/>
      <c r="AZ482" s="309"/>
      <c r="BA482" s="310"/>
      <c r="BB482" s="310"/>
      <c r="BC482" s="310"/>
      <c r="BD482" s="310"/>
      <c r="BE482" s="310"/>
      <c r="BF482" s="310"/>
      <c r="BG482" s="310"/>
      <c r="BH482" s="310"/>
      <c r="BI482" s="310"/>
      <c r="BJ482" s="310"/>
      <c r="BK482" s="310"/>
      <c r="BL482" s="310"/>
      <c r="BM482" s="310"/>
      <c r="BN482" s="221"/>
      <c r="BO482" s="221"/>
      <c r="BP482" s="221"/>
      <c r="BQ482" s="221"/>
      <c r="BR482" s="221"/>
    </row>
    <row r="483" ht="15.75" customHeight="1">
      <c r="A483" s="220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309"/>
      <c r="Y483" s="309"/>
      <c r="Z483" s="309"/>
      <c r="AA483" s="309"/>
      <c r="AB483" s="309"/>
      <c r="AC483" s="309"/>
      <c r="AD483" s="309"/>
      <c r="AE483" s="309"/>
      <c r="AF483" s="309"/>
      <c r="AG483" s="309"/>
      <c r="AH483" s="309"/>
      <c r="AI483" s="309"/>
      <c r="AJ483" s="309"/>
      <c r="AK483" s="309"/>
      <c r="AL483" s="309"/>
      <c r="AM483" s="309"/>
      <c r="AN483" s="309"/>
      <c r="AO483" s="309"/>
      <c r="AP483" s="309"/>
      <c r="AQ483" s="309"/>
      <c r="AR483" s="309"/>
      <c r="AS483" s="309"/>
      <c r="AT483" s="309"/>
      <c r="AU483" s="309"/>
      <c r="AV483" s="309"/>
      <c r="AW483" s="309"/>
      <c r="AX483" s="309"/>
      <c r="AY483" s="309"/>
      <c r="AZ483" s="309"/>
      <c r="BA483" s="310"/>
      <c r="BB483" s="310"/>
      <c r="BC483" s="310"/>
      <c r="BD483" s="310"/>
      <c r="BE483" s="310"/>
      <c r="BF483" s="310"/>
      <c r="BG483" s="310"/>
      <c r="BH483" s="310"/>
      <c r="BI483" s="310"/>
      <c r="BJ483" s="310"/>
      <c r="BK483" s="310"/>
      <c r="BL483" s="310"/>
      <c r="BM483" s="310"/>
      <c r="BN483" s="221"/>
      <c r="BO483" s="221"/>
      <c r="BP483" s="221"/>
      <c r="BQ483" s="221"/>
      <c r="BR483" s="221"/>
    </row>
    <row r="484" ht="15.75" customHeight="1">
      <c r="A484" s="220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309"/>
      <c r="Y484" s="309"/>
      <c r="Z484" s="309"/>
      <c r="AA484" s="309"/>
      <c r="AB484" s="309"/>
      <c r="AC484" s="309"/>
      <c r="AD484" s="309"/>
      <c r="AE484" s="309"/>
      <c r="AF484" s="309"/>
      <c r="AG484" s="309"/>
      <c r="AH484" s="309"/>
      <c r="AI484" s="309"/>
      <c r="AJ484" s="309"/>
      <c r="AK484" s="309"/>
      <c r="AL484" s="309"/>
      <c r="AM484" s="309"/>
      <c r="AN484" s="309"/>
      <c r="AO484" s="309"/>
      <c r="AP484" s="309"/>
      <c r="AQ484" s="309"/>
      <c r="AR484" s="309"/>
      <c r="AS484" s="309"/>
      <c r="AT484" s="309"/>
      <c r="AU484" s="309"/>
      <c r="AV484" s="309"/>
      <c r="AW484" s="309"/>
      <c r="AX484" s="309"/>
      <c r="AY484" s="309"/>
      <c r="AZ484" s="309"/>
      <c r="BA484" s="310"/>
      <c r="BB484" s="310"/>
      <c r="BC484" s="310"/>
      <c r="BD484" s="310"/>
      <c r="BE484" s="310"/>
      <c r="BF484" s="310"/>
      <c r="BG484" s="310"/>
      <c r="BH484" s="310"/>
      <c r="BI484" s="310"/>
      <c r="BJ484" s="310"/>
      <c r="BK484" s="310"/>
      <c r="BL484" s="310"/>
      <c r="BM484" s="310"/>
      <c r="BN484" s="221"/>
      <c r="BO484" s="221"/>
      <c r="BP484" s="221"/>
      <c r="BQ484" s="221"/>
      <c r="BR484" s="221"/>
    </row>
    <row r="485" ht="15.75" customHeight="1">
      <c r="A485" s="220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309"/>
      <c r="Y485" s="309"/>
      <c r="Z485" s="309"/>
      <c r="AA485" s="309"/>
      <c r="AB485" s="309"/>
      <c r="AC485" s="309"/>
      <c r="AD485" s="309"/>
      <c r="AE485" s="309"/>
      <c r="AF485" s="309"/>
      <c r="AG485" s="309"/>
      <c r="AH485" s="309"/>
      <c r="AI485" s="309"/>
      <c r="AJ485" s="309"/>
      <c r="AK485" s="309"/>
      <c r="AL485" s="309"/>
      <c r="AM485" s="309"/>
      <c r="AN485" s="309"/>
      <c r="AO485" s="309"/>
      <c r="AP485" s="309"/>
      <c r="AQ485" s="309"/>
      <c r="AR485" s="309"/>
      <c r="AS485" s="309"/>
      <c r="AT485" s="309"/>
      <c r="AU485" s="309"/>
      <c r="AV485" s="309"/>
      <c r="AW485" s="309"/>
      <c r="AX485" s="309"/>
      <c r="AY485" s="309"/>
      <c r="AZ485" s="309"/>
      <c r="BA485" s="310"/>
      <c r="BB485" s="310"/>
      <c r="BC485" s="310"/>
      <c r="BD485" s="310"/>
      <c r="BE485" s="310"/>
      <c r="BF485" s="310"/>
      <c r="BG485" s="310"/>
      <c r="BH485" s="310"/>
      <c r="BI485" s="310"/>
      <c r="BJ485" s="310"/>
      <c r="BK485" s="310"/>
      <c r="BL485" s="310"/>
      <c r="BM485" s="310"/>
      <c r="BN485" s="221"/>
      <c r="BO485" s="221"/>
      <c r="BP485" s="221"/>
      <c r="BQ485" s="221"/>
      <c r="BR485" s="221"/>
    </row>
    <row r="486" ht="15.75" customHeight="1">
      <c r="A486" s="220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309"/>
      <c r="Y486" s="309"/>
      <c r="Z486" s="309"/>
      <c r="AA486" s="309"/>
      <c r="AB486" s="309"/>
      <c r="AC486" s="309"/>
      <c r="AD486" s="309"/>
      <c r="AE486" s="309"/>
      <c r="AF486" s="309"/>
      <c r="AG486" s="309"/>
      <c r="AH486" s="309"/>
      <c r="AI486" s="309"/>
      <c r="AJ486" s="309"/>
      <c r="AK486" s="309"/>
      <c r="AL486" s="309"/>
      <c r="AM486" s="309"/>
      <c r="AN486" s="309"/>
      <c r="AO486" s="309"/>
      <c r="AP486" s="309"/>
      <c r="AQ486" s="309"/>
      <c r="AR486" s="309"/>
      <c r="AS486" s="309"/>
      <c r="AT486" s="309"/>
      <c r="AU486" s="309"/>
      <c r="AV486" s="309"/>
      <c r="AW486" s="309"/>
      <c r="AX486" s="309"/>
      <c r="AY486" s="309"/>
      <c r="AZ486" s="309"/>
      <c r="BA486" s="310"/>
      <c r="BB486" s="310"/>
      <c r="BC486" s="310"/>
      <c r="BD486" s="310"/>
      <c r="BE486" s="310"/>
      <c r="BF486" s="310"/>
      <c r="BG486" s="310"/>
      <c r="BH486" s="310"/>
      <c r="BI486" s="310"/>
      <c r="BJ486" s="310"/>
      <c r="BK486" s="310"/>
      <c r="BL486" s="310"/>
      <c r="BM486" s="310"/>
      <c r="BN486" s="221"/>
      <c r="BO486" s="221"/>
      <c r="BP486" s="221"/>
      <c r="BQ486" s="221"/>
      <c r="BR486" s="221"/>
    </row>
    <row r="487" ht="15.75" customHeight="1">
      <c r="A487" s="220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309"/>
      <c r="Y487" s="309"/>
      <c r="Z487" s="309"/>
      <c r="AA487" s="309"/>
      <c r="AB487" s="309"/>
      <c r="AC487" s="309"/>
      <c r="AD487" s="309"/>
      <c r="AE487" s="309"/>
      <c r="AF487" s="309"/>
      <c r="AG487" s="309"/>
      <c r="AH487" s="309"/>
      <c r="AI487" s="309"/>
      <c r="AJ487" s="309"/>
      <c r="AK487" s="309"/>
      <c r="AL487" s="309"/>
      <c r="AM487" s="309"/>
      <c r="AN487" s="309"/>
      <c r="AO487" s="309"/>
      <c r="AP487" s="309"/>
      <c r="AQ487" s="309"/>
      <c r="AR487" s="309"/>
      <c r="AS487" s="309"/>
      <c r="AT487" s="309"/>
      <c r="AU487" s="309"/>
      <c r="AV487" s="309"/>
      <c r="AW487" s="309"/>
      <c r="AX487" s="309"/>
      <c r="AY487" s="309"/>
      <c r="AZ487" s="309"/>
      <c r="BA487" s="310"/>
      <c r="BB487" s="310"/>
      <c r="BC487" s="310"/>
      <c r="BD487" s="310"/>
      <c r="BE487" s="310"/>
      <c r="BF487" s="310"/>
      <c r="BG487" s="310"/>
      <c r="BH487" s="310"/>
      <c r="BI487" s="310"/>
      <c r="BJ487" s="310"/>
      <c r="BK487" s="310"/>
      <c r="BL487" s="310"/>
      <c r="BM487" s="310"/>
      <c r="BN487" s="221"/>
      <c r="BO487" s="221"/>
      <c r="BP487" s="221"/>
      <c r="BQ487" s="221"/>
      <c r="BR487" s="221"/>
    </row>
    <row r="488" ht="15.75" customHeight="1">
      <c r="A488" s="220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309"/>
      <c r="Y488" s="309"/>
      <c r="Z488" s="309"/>
      <c r="AA488" s="309"/>
      <c r="AB488" s="309"/>
      <c r="AC488" s="309"/>
      <c r="AD488" s="309"/>
      <c r="AE488" s="309"/>
      <c r="AF488" s="309"/>
      <c r="AG488" s="309"/>
      <c r="AH488" s="309"/>
      <c r="AI488" s="309"/>
      <c r="AJ488" s="309"/>
      <c r="AK488" s="309"/>
      <c r="AL488" s="309"/>
      <c r="AM488" s="309"/>
      <c r="AN488" s="309"/>
      <c r="AO488" s="309"/>
      <c r="AP488" s="309"/>
      <c r="AQ488" s="309"/>
      <c r="AR488" s="309"/>
      <c r="AS488" s="309"/>
      <c r="AT488" s="309"/>
      <c r="AU488" s="309"/>
      <c r="AV488" s="309"/>
      <c r="AW488" s="309"/>
      <c r="AX488" s="309"/>
      <c r="AY488" s="309"/>
      <c r="AZ488" s="309"/>
      <c r="BA488" s="310"/>
      <c r="BB488" s="310"/>
      <c r="BC488" s="310"/>
      <c r="BD488" s="310"/>
      <c r="BE488" s="310"/>
      <c r="BF488" s="310"/>
      <c r="BG488" s="310"/>
      <c r="BH488" s="310"/>
      <c r="BI488" s="310"/>
      <c r="BJ488" s="310"/>
      <c r="BK488" s="310"/>
      <c r="BL488" s="310"/>
      <c r="BM488" s="310"/>
      <c r="BN488" s="221"/>
      <c r="BO488" s="221"/>
      <c r="BP488" s="221"/>
      <c r="BQ488" s="221"/>
      <c r="BR488" s="221"/>
    </row>
    <row r="489" ht="15.75" customHeight="1">
      <c r="A489" s="220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309"/>
      <c r="Y489" s="309"/>
      <c r="Z489" s="309"/>
      <c r="AA489" s="309"/>
      <c r="AB489" s="309"/>
      <c r="AC489" s="309"/>
      <c r="AD489" s="309"/>
      <c r="AE489" s="309"/>
      <c r="AF489" s="309"/>
      <c r="AG489" s="309"/>
      <c r="AH489" s="309"/>
      <c r="AI489" s="309"/>
      <c r="AJ489" s="309"/>
      <c r="AK489" s="309"/>
      <c r="AL489" s="309"/>
      <c r="AM489" s="309"/>
      <c r="AN489" s="309"/>
      <c r="AO489" s="309"/>
      <c r="AP489" s="309"/>
      <c r="AQ489" s="309"/>
      <c r="AR489" s="309"/>
      <c r="AS489" s="309"/>
      <c r="AT489" s="309"/>
      <c r="AU489" s="309"/>
      <c r="AV489" s="309"/>
      <c r="AW489" s="309"/>
      <c r="AX489" s="309"/>
      <c r="AY489" s="309"/>
      <c r="AZ489" s="309"/>
      <c r="BA489" s="310"/>
      <c r="BB489" s="310"/>
      <c r="BC489" s="310"/>
      <c r="BD489" s="310"/>
      <c r="BE489" s="310"/>
      <c r="BF489" s="310"/>
      <c r="BG489" s="310"/>
      <c r="BH489" s="310"/>
      <c r="BI489" s="310"/>
      <c r="BJ489" s="310"/>
      <c r="BK489" s="310"/>
      <c r="BL489" s="310"/>
      <c r="BM489" s="310"/>
      <c r="BN489" s="221"/>
      <c r="BO489" s="221"/>
      <c r="BP489" s="221"/>
      <c r="BQ489" s="221"/>
      <c r="BR489" s="221"/>
    </row>
    <row r="490" ht="15.75" customHeight="1">
      <c r="A490" s="220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309"/>
      <c r="Y490" s="309"/>
      <c r="Z490" s="309"/>
      <c r="AA490" s="309"/>
      <c r="AB490" s="309"/>
      <c r="AC490" s="309"/>
      <c r="AD490" s="309"/>
      <c r="AE490" s="309"/>
      <c r="AF490" s="309"/>
      <c r="AG490" s="309"/>
      <c r="AH490" s="309"/>
      <c r="AI490" s="309"/>
      <c r="AJ490" s="309"/>
      <c r="AK490" s="309"/>
      <c r="AL490" s="309"/>
      <c r="AM490" s="309"/>
      <c r="AN490" s="309"/>
      <c r="AO490" s="309"/>
      <c r="AP490" s="309"/>
      <c r="AQ490" s="309"/>
      <c r="AR490" s="309"/>
      <c r="AS490" s="309"/>
      <c r="AT490" s="309"/>
      <c r="AU490" s="309"/>
      <c r="AV490" s="309"/>
      <c r="AW490" s="309"/>
      <c r="AX490" s="309"/>
      <c r="AY490" s="309"/>
      <c r="AZ490" s="309"/>
      <c r="BA490" s="310"/>
      <c r="BB490" s="310"/>
      <c r="BC490" s="310"/>
      <c r="BD490" s="310"/>
      <c r="BE490" s="310"/>
      <c r="BF490" s="310"/>
      <c r="BG490" s="310"/>
      <c r="BH490" s="310"/>
      <c r="BI490" s="310"/>
      <c r="BJ490" s="310"/>
      <c r="BK490" s="310"/>
      <c r="BL490" s="310"/>
      <c r="BM490" s="310"/>
      <c r="BN490" s="221"/>
      <c r="BO490" s="221"/>
      <c r="BP490" s="221"/>
      <c r="BQ490" s="221"/>
      <c r="BR490" s="221"/>
    </row>
    <row r="491" ht="15.75" customHeight="1">
      <c r="A491" s="220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309"/>
      <c r="Y491" s="309"/>
      <c r="Z491" s="309"/>
      <c r="AA491" s="309"/>
      <c r="AB491" s="309"/>
      <c r="AC491" s="309"/>
      <c r="AD491" s="309"/>
      <c r="AE491" s="309"/>
      <c r="AF491" s="309"/>
      <c r="AG491" s="309"/>
      <c r="AH491" s="309"/>
      <c r="AI491" s="309"/>
      <c r="AJ491" s="309"/>
      <c r="AK491" s="309"/>
      <c r="AL491" s="309"/>
      <c r="AM491" s="309"/>
      <c r="AN491" s="309"/>
      <c r="AO491" s="309"/>
      <c r="AP491" s="309"/>
      <c r="AQ491" s="309"/>
      <c r="AR491" s="309"/>
      <c r="AS491" s="309"/>
      <c r="AT491" s="309"/>
      <c r="AU491" s="309"/>
      <c r="AV491" s="309"/>
      <c r="AW491" s="309"/>
      <c r="AX491" s="309"/>
      <c r="AY491" s="309"/>
      <c r="AZ491" s="309"/>
      <c r="BA491" s="310"/>
      <c r="BB491" s="310"/>
      <c r="BC491" s="310"/>
      <c r="BD491" s="310"/>
      <c r="BE491" s="310"/>
      <c r="BF491" s="310"/>
      <c r="BG491" s="310"/>
      <c r="BH491" s="310"/>
      <c r="BI491" s="310"/>
      <c r="BJ491" s="310"/>
      <c r="BK491" s="310"/>
      <c r="BL491" s="310"/>
      <c r="BM491" s="310"/>
      <c r="BN491" s="221"/>
      <c r="BO491" s="221"/>
      <c r="BP491" s="221"/>
      <c r="BQ491" s="221"/>
      <c r="BR491" s="221"/>
    </row>
    <row r="492" ht="15.75" customHeight="1">
      <c r="A492" s="220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309"/>
      <c r="Y492" s="309"/>
      <c r="Z492" s="309"/>
      <c r="AA492" s="309"/>
      <c r="AB492" s="309"/>
      <c r="AC492" s="309"/>
      <c r="AD492" s="309"/>
      <c r="AE492" s="309"/>
      <c r="AF492" s="309"/>
      <c r="AG492" s="309"/>
      <c r="AH492" s="309"/>
      <c r="AI492" s="309"/>
      <c r="AJ492" s="309"/>
      <c r="AK492" s="309"/>
      <c r="AL492" s="309"/>
      <c r="AM492" s="309"/>
      <c r="AN492" s="309"/>
      <c r="AO492" s="309"/>
      <c r="AP492" s="309"/>
      <c r="AQ492" s="309"/>
      <c r="AR492" s="309"/>
      <c r="AS492" s="309"/>
      <c r="AT492" s="309"/>
      <c r="AU492" s="309"/>
      <c r="AV492" s="309"/>
      <c r="AW492" s="309"/>
      <c r="AX492" s="309"/>
      <c r="AY492" s="309"/>
      <c r="AZ492" s="309"/>
      <c r="BA492" s="310"/>
      <c r="BB492" s="310"/>
      <c r="BC492" s="310"/>
      <c r="BD492" s="310"/>
      <c r="BE492" s="310"/>
      <c r="BF492" s="310"/>
      <c r="BG492" s="310"/>
      <c r="BH492" s="310"/>
      <c r="BI492" s="310"/>
      <c r="BJ492" s="310"/>
      <c r="BK492" s="310"/>
      <c r="BL492" s="310"/>
      <c r="BM492" s="310"/>
      <c r="BN492" s="221"/>
      <c r="BO492" s="221"/>
      <c r="BP492" s="221"/>
      <c r="BQ492" s="221"/>
      <c r="BR492" s="221"/>
    </row>
    <row r="493" ht="15.75" customHeight="1">
      <c r="A493" s="220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309"/>
      <c r="Y493" s="309"/>
      <c r="Z493" s="309"/>
      <c r="AA493" s="309"/>
      <c r="AB493" s="309"/>
      <c r="AC493" s="309"/>
      <c r="AD493" s="309"/>
      <c r="AE493" s="309"/>
      <c r="AF493" s="309"/>
      <c r="AG493" s="309"/>
      <c r="AH493" s="309"/>
      <c r="AI493" s="309"/>
      <c r="AJ493" s="309"/>
      <c r="AK493" s="309"/>
      <c r="AL493" s="309"/>
      <c r="AM493" s="309"/>
      <c r="AN493" s="309"/>
      <c r="AO493" s="309"/>
      <c r="AP493" s="309"/>
      <c r="AQ493" s="309"/>
      <c r="AR493" s="309"/>
      <c r="AS493" s="309"/>
      <c r="AT493" s="309"/>
      <c r="AU493" s="309"/>
      <c r="AV493" s="309"/>
      <c r="AW493" s="309"/>
      <c r="AX493" s="309"/>
      <c r="AY493" s="309"/>
      <c r="AZ493" s="309"/>
      <c r="BA493" s="310"/>
      <c r="BB493" s="310"/>
      <c r="BC493" s="310"/>
      <c r="BD493" s="310"/>
      <c r="BE493" s="310"/>
      <c r="BF493" s="310"/>
      <c r="BG493" s="310"/>
      <c r="BH493" s="310"/>
      <c r="BI493" s="310"/>
      <c r="BJ493" s="310"/>
      <c r="BK493" s="310"/>
      <c r="BL493" s="310"/>
      <c r="BM493" s="310"/>
      <c r="BN493" s="221"/>
      <c r="BO493" s="221"/>
      <c r="BP493" s="221"/>
      <c r="BQ493" s="221"/>
      <c r="BR493" s="221"/>
    </row>
    <row r="494" ht="15.75" customHeight="1">
      <c r="A494" s="220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309"/>
      <c r="Y494" s="309"/>
      <c r="Z494" s="309"/>
      <c r="AA494" s="309"/>
      <c r="AB494" s="309"/>
      <c r="AC494" s="309"/>
      <c r="AD494" s="309"/>
      <c r="AE494" s="309"/>
      <c r="AF494" s="309"/>
      <c r="AG494" s="309"/>
      <c r="AH494" s="309"/>
      <c r="AI494" s="309"/>
      <c r="AJ494" s="309"/>
      <c r="AK494" s="309"/>
      <c r="AL494" s="309"/>
      <c r="AM494" s="309"/>
      <c r="AN494" s="309"/>
      <c r="AO494" s="309"/>
      <c r="AP494" s="309"/>
      <c r="AQ494" s="309"/>
      <c r="AR494" s="309"/>
      <c r="AS494" s="309"/>
      <c r="AT494" s="309"/>
      <c r="AU494" s="309"/>
      <c r="AV494" s="309"/>
      <c r="AW494" s="309"/>
      <c r="AX494" s="309"/>
      <c r="AY494" s="309"/>
      <c r="AZ494" s="309"/>
      <c r="BA494" s="310"/>
      <c r="BB494" s="310"/>
      <c r="BC494" s="310"/>
      <c r="BD494" s="310"/>
      <c r="BE494" s="310"/>
      <c r="BF494" s="310"/>
      <c r="BG494" s="310"/>
      <c r="BH494" s="310"/>
      <c r="BI494" s="310"/>
      <c r="BJ494" s="310"/>
      <c r="BK494" s="310"/>
      <c r="BL494" s="310"/>
      <c r="BM494" s="310"/>
      <c r="BN494" s="221"/>
      <c r="BO494" s="221"/>
      <c r="BP494" s="221"/>
      <c r="BQ494" s="221"/>
      <c r="BR494" s="221"/>
    </row>
    <row r="495" ht="15.75" customHeight="1">
      <c r="A495" s="220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309"/>
      <c r="Y495" s="309"/>
      <c r="Z495" s="309"/>
      <c r="AA495" s="309"/>
      <c r="AB495" s="309"/>
      <c r="AC495" s="309"/>
      <c r="AD495" s="309"/>
      <c r="AE495" s="309"/>
      <c r="AF495" s="309"/>
      <c r="AG495" s="309"/>
      <c r="AH495" s="309"/>
      <c r="AI495" s="309"/>
      <c r="AJ495" s="309"/>
      <c r="AK495" s="309"/>
      <c r="AL495" s="309"/>
      <c r="AM495" s="309"/>
      <c r="AN495" s="309"/>
      <c r="AO495" s="309"/>
      <c r="AP495" s="309"/>
      <c r="AQ495" s="309"/>
      <c r="AR495" s="309"/>
      <c r="AS495" s="309"/>
      <c r="AT495" s="309"/>
      <c r="AU495" s="309"/>
      <c r="AV495" s="309"/>
      <c r="AW495" s="309"/>
      <c r="AX495" s="309"/>
      <c r="AY495" s="309"/>
      <c r="AZ495" s="309"/>
      <c r="BA495" s="310"/>
      <c r="BB495" s="310"/>
      <c r="BC495" s="310"/>
      <c r="BD495" s="310"/>
      <c r="BE495" s="310"/>
      <c r="BF495" s="310"/>
      <c r="BG495" s="310"/>
      <c r="BH495" s="310"/>
      <c r="BI495" s="310"/>
      <c r="BJ495" s="310"/>
      <c r="BK495" s="310"/>
      <c r="BL495" s="310"/>
      <c r="BM495" s="310"/>
      <c r="BN495" s="221"/>
      <c r="BO495" s="221"/>
      <c r="BP495" s="221"/>
      <c r="BQ495" s="221"/>
      <c r="BR495" s="221"/>
    </row>
    <row r="496" ht="15.75" customHeight="1">
      <c r="A496" s="220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309"/>
      <c r="Y496" s="309"/>
      <c r="Z496" s="309"/>
      <c r="AA496" s="309"/>
      <c r="AB496" s="309"/>
      <c r="AC496" s="309"/>
      <c r="AD496" s="309"/>
      <c r="AE496" s="309"/>
      <c r="AF496" s="309"/>
      <c r="AG496" s="309"/>
      <c r="AH496" s="309"/>
      <c r="AI496" s="309"/>
      <c r="AJ496" s="309"/>
      <c r="AK496" s="309"/>
      <c r="AL496" s="309"/>
      <c r="AM496" s="309"/>
      <c r="AN496" s="309"/>
      <c r="AO496" s="309"/>
      <c r="AP496" s="309"/>
      <c r="AQ496" s="309"/>
      <c r="AR496" s="309"/>
      <c r="AS496" s="309"/>
      <c r="AT496" s="309"/>
      <c r="AU496" s="309"/>
      <c r="AV496" s="309"/>
      <c r="AW496" s="309"/>
      <c r="AX496" s="309"/>
      <c r="AY496" s="309"/>
      <c r="AZ496" s="309"/>
      <c r="BA496" s="310"/>
      <c r="BB496" s="310"/>
      <c r="BC496" s="310"/>
      <c r="BD496" s="310"/>
      <c r="BE496" s="310"/>
      <c r="BF496" s="310"/>
      <c r="BG496" s="310"/>
      <c r="BH496" s="310"/>
      <c r="BI496" s="310"/>
      <c r="BJ496" s="310"/>
      <c r="BK496" s="310"/>
      <c r="BL496" s="310"/>
      <c r="BM496" s="310"/>
      <c r="BN496" s="221"/>
      <c r="BO496" s="221"/>
      <c r="BP496" s="221"/>
      <c r="BQ496" s="221"/>
      <c r="BR496" s="221"/>
    </row>
    <row r="497" ht="15.75" customHeight="1">
      <c r="A497" s="220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309"/>
      <c r="Y497" s="309"/>
      <c r="Z497" s="309"/>
      <c r="AA497" s="309"/>
      <c r="AB497" s="309"/>
      <c r="AC497" s="309"/>
      <c r="AD497" s="309"/>
      <c r="AE497" s="309"/>
      <c r="AF497" s="309"/>
      <c r="AG497" s="309"/>
      <c r="AH497" s="309"/>
      <c r="AI497" s="309"/>
      <c r="AJ497" s="309"/>
      <c r="AK497" s="309"/>
      <c r="AL497" s="309"/>
      <c r="AM497" s="309"/>
      <c r="AN497" s="309"/>
      <c r="AO497" s="309"/>
      <c r="AP497" s="309"/>
      <c r="AQ497" s="309"/>
      <c r="AR497" s="309"/>
      <c r="AS497" s="309"/>
      <c r="AT497" s="309"/>
      <c r="AU497" s="309"/>
      <c r="AV497" s="309"/>
      <c r="AW497" s="309"/>
      <c r="AX497" s="309"/>
      <c r="AY497" s="309"/>
      <c r="AZ497" s="309"/>
      <c r="BA497" s="310"/>
      <c r="BB497" s="310"/>
      <c r="BC497" s="310"/>
      <c r="BD497" s="310"/>
      <c r="BE497" s="310"/>
      <c r="BF497" s="310"/>
      <c r="BG497" s="310"/>
      <c r="BH497" s="310"/>
      <c r="BI497" s="310"/>
      <c r="BJ497" s="310"/>
      <c r="BK497" s="310"/>
      <c r="BL497" s="310"/>
      <c r="BM497" s="310"/>
      <c r="BN497" s="221"/>
      <c r="BO497" s="221"/>
      <c r="BP497" s="221"/>
      <c r="BQ497" s="221"/>
      <c r="BR497" s="221"/>
    </row>
    <row r="498" ht="15.75" customHeight="1">
      <c r="A498" s="220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309"/>
      <c r="Y498" s="309"/>
      <c r="Z498" s="309"/>
      <c r="AA498" s="309"/>
      <c r="AB498" s="309"/>
      <c r="AC498" s="309"/>
      <c r="AD498" s="309"/>
      <c r="AE498" s="309"/>
      <c r="AF498" s="309"/>
      <c r="AG498" s="309"/>
      <c r="AH498" s="309"/>
      <c r="AI498" s="309"/>
      <c r="AJ498" s="309"/>
      <c r="AK498" s="309"/>
      <c r="AL498" s="309"/>
      <c r="AM498" s="309"/>
      <c r="AN498" s="309"/>
      <c r="AO498" s="309"/>
      <c r="AP498" s="309"/>
      <c r="AQ498" s="309"/>
      <c r="AR498" s="309"/>
      <c r="AS498" s="309"/>
      <c r="AT498" s="309"/>
      <c r="AU498" s="309"/>
      <c r="AV498" s="309"/>
      <c r="AW498" s="309"/>
      <c r="AX498" s="309"/>
      <c r="AY498" s="309"/>
      <c r="AZ498" s="309"/>
      <c r="BA498" s="310"/>
      <c r="BB498" s="310"/>
      <c r="BC498" s="310"/>
      <c r="BD498" s="310"/>
      <c r="BE498" s="310"/>
      <c r="BF498" s="310"/>
      <c r="BG498" s="310"/>
      <c r="BH498" s="310"/>
      <c r="BI498" s="310"/>
      <c r="BJ498" s="310"/>
      <c r="BK498" s="310"/>
      <c r="BL498" s="310"/>
      <c r="BM498" s="310"/>
      <c r="BN498" s="221"/>
      <c r="BO498" s="221"/>
      <c r="BP498" s="221"/>
      <c r="BQ498" s="221"/>
      <c r="BR498" s="221"/>
    </row>
    <row r="499" ht="15.75" customHeight="1">
      <c r="A499" s="220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309"/>
      <c r="Y499" s="309"/>
      <c r="Z499" s="309"/>
      <c r="AA499" s="309"/>
      <c r="AB499" s="309"/>
      <c r="AC499" s="309"/>
      <c r="AD499" s="309"/>
      <c r="AE499" s="309"/>
      <c r="AF499" s="309"/>
      <c r="AG499" s="309"/>
      <c r="AH499" s="309"/>
      <c r="AI499" s="309"/>
      <c r="AJ499" s="309"/>
      <c r="AK499" s="309"/>
      <c r="AL499" s="309"/>
      <c r="AM499" s="309"/>
      <c r="AN499" s="309"/>
      <c r="AO499" s="309"/>
      <c r="AP499" s="309"/>
      <c r="AQ499" s="309"/>
      <c r="AR499" s="309"/>
      <c r="AS499" s="309"/>
      <c r="AT499" s="309"/>
      <c r="AU499" s="309"/>
      <c r="AV499" s="309"/>
      <c r="AW499" s="309"/>
      <c r="AX499" s="309"/>
      <c r="AY499" s="309"/>
      <c r="AZ499" s="309"/>
      <c r="BA499" s="310"/>
      <c r="BB499" s="310"/>
      <c r="BC499" s="310"/>
      <c r="BD499" s="310"/>
      <c r="BE499" s="310"/>
      <c r="BF499" s="310"/>
      <c r="BG499" s="310"/>
      <c r="BH499" s="310"/>
      <c r="BI499" s="310"/>
      <c r="BJ499" s="310"/>
      <c r="BK499" s="310"/>
      <c r="BL499" s="310"/>
      <c r="BM499" s="310"/>
      <c r="BN499" s="221"/>
      <c r="BO499" s="221"/>
      <c r="BP499" s="221"/>
      <c r="BQ499" s="221"/>
      <c r="BR499" s="221"/>
    </row>
    <row r="500" ht="15.75" customHeight="1">
      <c r="A500" s="220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309"/>
      <c r="Y500" s="309"/>
      <c r="Z500" s="309"/>
      <c r="AA500" s="309"/>
      <c r="AB500" s="309"/>
      <c r="AC500" s="309"/>
      <c r="AD500" s="309"/>
      <c r="AE500" s="309"/>
      <c r="AF500" s="309"/>
      <c r="AG500" s="309"/>
      <c r="AH500" s="309"/>
      <c r="AI500" s="309"/>
      <c r="AJ500" s="309"/>
      <c r="AK500" s="309"/>
      <c r="AL500" s="309"/>
      <c r="AM500" s="309"/>
      <c r="AN500" s="309"/>
      <c r="AO500" s="309"/>
      <c r="AP500" s="309"/>
      <c r="AQ500" s="309"/>
      <c r="AR500" s="309"/>
      <c r="AS500" s="309"/>
      <c r="AT500" s="309"/>
      <c r="AU500" s="309"/>
      <c r="AV500" s="309"/>
      <c r="AW500" s="309"/>
      <c r="AX500" s="309"/>
      <c r="AY500" s="309"/>
      <c r="AZ500" s="309"/>
      <c r="BA500" s="310"/>
      <c r="BB500" s="310"/>
      <c r="BC500" s="310"/>
      <c r="BD500" s="310"/>
      <c r="BE500" s="310"/>
      <c r="BF500" s="310"/>
      <c r="BG500" s="310"/>
      <c r="BH500" s="310"/>
      <c r="BI500" s="310"/>
      <c r="BJ500" s="310"/>
      <c r="BK500" s="310"/>
      <c r="BL500" s="310"/>
      <c r="BM500" s="310"/>
      <c r="BN500" s="221"/>
      <c r="BO500" s="221"/>
      <c r="BP500" s="221"/>
      <c r="BQ500" s="221"/>
      <c r="BR500" s="221"/>
    </row>
    <row r="501" ht="15.75" customHeight="1">
      <c r="A501" s="220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309"/>
      <c r="Y501" s="309"/>
      <c r="Z501" s="309"/>
      <c r="AA501" s="309"/>
      <c r="AB501" s="309"/>
      <c r="AC501" s="309"/>
      <c r="AD501" s="309"/>
      <c r="AE501" s="309"/>
      <c r="AF501" s="309"/>
      <c r="AG501" s="309"/>
      <c r="AH501" s="309"/>
      <c r="AI501" s="309"/>
      <c r="AJ501" s="309"/>
      <c r="AK501" s="309"/>
      <c r="AL501" s="309"/>
      <c r="AM501" s="309"/>
      <c r="AN501" s="309"/>
      <c r="AO501" s="309"/>
      <c r="AP501" s="309"/>
      <c r="AQ501" s="309"/>
      <c r="AR501" s="309"/>
      <c r="AS501" s="309"/>
      <c r="AT501" s="309"/>
      <c r="AU501" s="309"/>
      <c r="AV501" s="309"/>
      <c r="AW501" s="309"/>
      <c r="AX501" s="309"/>
      <c r="AY501" s="309"/>
      <c r="AZ501" s="309"/>
      <c r="BA501" s="310"/>
      <c r="BB501" s="310"/>
      <c r="BC501" s="310"/>
      <c r="BD501" s="310"/>
      <c r="BE501" s="310"/>
      <c r="BF501" s="310"/>
      <c r="BG501" s="310"/>
      <c r="BH501" s="310"/>
      <c r="BI501" s="310"/>
      <c r="BJ501" s="310"/>
      <c r="BK501" s="310"/>
      <c r="BL501" s="310"/>
      <c r="BM501" s="310"/>
      <c r="BN501" s="221"/>
      <c r="BO501" s="221"/>
      <c r="BP501" s="221"/>
      <c r="BQ501" s="221"/>
      <c r="BR501" s="221"/>
    </row>
    <row r="502" ht="15.75" customHeight="1">
      <c r="A502" s="220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309"/>
      <c r="Y502" s="309"/>
      <c r="Z502" s="309"/>
      <c r="AA502" s="309"/>
      <c r="AB502" s="309"/>
      <c r="AC502" s="309"/>
      <c r="AD502" s="309"/>
      <c r="AE502" s="309"/>
      <c r="AF502" s="309"/>
      <c r="AG502" s="309"/>
      <c r="AH502" s="309"/>
      <c r="AI502" s="309"/>
      <c r="AJ502" s="309"/>
      <c r="AK502" s="309"/>
      <c r="AL502" s="309"/>
      <c r="AM502" s="309"/>
      <c r="AN502" s="309"/>
      <c r="AO502" s="309"/>
      <c r="AP502" s="309"/>
      <c r="AQ502" s="309"/>
      <c r="AR502" s="309"/>
      <c r="AS502" s="309"/>
      <c r="AT502" s="309"/>
      <c r="AU502" s="309"/>
      <c r="AV502" s="309"/>
      <c r="AW502" s="309"/>
      <c r="AX502" s="309"/>
      <c r="AY502" s="309"/>
      <c r="AZ502" s="309"/>
      <c r="BA502" s="310"/>
      <c r="BB502" s="310"/>
      <c r="BC502" s="310"/>
      <c r="BD502" s="310"/>
      <c r="BE502" s="310"/>
      <c r="BF502" s="310"/>
      <c r="BG502" s="310"/>
      <c r="BH502" s="310"/>
      <c r="BI502" s="310"/>
      <c r="BJ502" s="310"/>
      <c r="BK502" s="310"/>
      <c r="BL502" s="310"/>
      <c r="BM502" s="310"/>
      <c r="BN502" s="221"/>
      <c r="BO502" s="221"/>
      <c r="BP502" s="221"/>
      <c r="BQ502" s="221"/>
      <c r="BR502" s="221"/>
    </row>
    <row r="503" ht="15.75" customHeight="1">
      <c r="A503" s="220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309"/>
      <c r="Y503" s="309"/>
      <c r="Z503" s="309"/>
      <c r="AA503" s="309"/>
      <c r="AB503" s="309"/>
      <c r="AC503" s="309"/>
      <c r="AD503" s="309"/>
      <c r="AE503" s="309"/>
      <c r="AF503" s="309"/>
      <c r="AG503" s="309"/>
      <c r="AH503" s="309"/>
      <c r="AI503" s="309"/>
      <c r="AJ503" s="309"/>
      <c r="AK503" s="309"/>
      <c r="AL503" s="309"/>
      <c r="AM503" s="309"/>
      <c r="AN503" s="309"/>
      <c r="AO503" s="309"/>
      <c r="AP503" s="309"/>
      <c r="AQ503" s="309"/>
      <c r="AR503" s="309"/>
      <c r="AS503" s="309"/>
      <c r="AT503" s="309"/>
      <c r="AU503" s="309"/>
      <c r="AV503" s="309"/>
      <c r="AW503" s="309"/>
      <c r="AX503" s="309"/>
      <c r="AY503" s="309"/>
      <c r="AZ503" s="309"/>
      <c r="BA503" s="310"/>
      <c r="BB503" s="310"/>
      <c r="BC503" s="310"/>
      <c r="BD503" s="310"/>
      <c r="BE503" s="310"/>
      <c r="BF503" s="310"/>
      <c r="BG503" s="310"/>
      <c r="BH503" s="310"/>
      <c r="BI503" s="310"/>
      <c r="BJ503" s="310"/>
      <c r="BK503" s="310"/>
      <c r="BL503" s="310"/>
      <c r="BM503" s="310"/>
      <c r="BN503" s="221"/>
      <c r="BO503" s="221"/>
      <c r="BP503" s="221"/>
      <c r="BQ503" s="221"/>
      <c r="BR503" s="221"/>
    </row>
    <row r="504" ht="15.75" customHeight="1">
      <c r="A504" s="220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309"/>
      <c r="Y504" s="309"/>
      <c r="Z504" s="309"/>
      <c r="AA504" s="309"/>
      <c r="AB504" s="309"/>
      <c r="AC504" s="309"/>
      <c r="AD504" s="309"/>
      <c r="AE504" s="309"/>
      <c r="AF504" s="309"/>
      <c r="AG504" s="309"/>
      <c r="AH504" s="309"/>
      <c r="AI504" s="309"/>
      <c r="AJ504" s="309"/>
      <c r="AK504" s="309"/>
      <c r="AL504" s="309"/>
      <c r="AM504" s="309"/>
      <c r="AN504" s="309"/>
      <c r="AO504" s="309"/>
      <c r="AP504" s="309"/>
      <c r="AQ504" s="309"/>
      <c r="AR504" s="309"/>
      <c r="AS504" s="309"/>
      <c r="AT504" s="309"/>
      <c r="AU504" s="309"/>
      <c r="AV504" s="309"/>
      <c r="AW504" s="309"/>
      <c r="AX504" s="309"/>
      <c r="AY504" s="309"/>
      <c r="AZ504" s="309"/>
      <c r="BA504" s="310"/>
      <c r="BB504" s="310"/>
      <c r="BC504" s="310"/>
      <c r="BD504" s="310"/>
      <c r="BE504" s="310"/>
      <c r="BF504" s="310"/>
      <c r="BG504" s="310"/>
      <c r="BH504" s="310"/>
      <c r="BI504" s="310"/>
      <c r="BJ504" s="310"/>
      <c r="BK504" s="310"/>
      <c r="BL504" s="310"/>
      <c r="BM504" s="310"/>
      <c r="BN504" s="221"/>
      <c r="BO504" s="221"/>
      <c r="BP504" s="221"/>
      <c r="BQ504" s="221"/>
      <c r="BR504" s="221"/>
    </row>
    <row r="505" ht="15.75" customHeight="1">
      <c r="A505" s="220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309"/>
      <c r="Y505" s="309"/>
      <c r="Z505" s="309"/>
      <c r="AA505" s="309"/>
      <c r="AB505" s="309"/>
      <c r="AC505" s="309"/>
      <c r="AD505" s="309"/>
      <c r="AE505" s="309"/>
      <c r="AF505" s="309"/>
      <c r="AG505" s="309"/>
      <c r="AH505" s="309"/>
      <c r="AI505" s="309"/>
      <c r="AJ505" s="309"/>
      <c r="AK505" s="309"/>
      <c r="AL505" s="309"/>
      <c r="AM505" s="309"/>
      <c r="AN505" s="309"/>
      <c r="AO505" s="309"/>
      <c r="AP505" s="309"/>
      <c r="AQ505" s="309"/>
      <c r="AR505" s="309"/>
      <c r="AS505" s="309"/>
      <c r="AT505" s="309"/>
      <c r="AU505" s="309"/>
      <c r="AV505" s="309"/>
      <c r="AW505" s="309"/>
      <c r="AX505" s="309"/>
      <c r="AY505" s="309"/>
      <c r="AZ505" s="309"/>
      <c r="BA505" s="310"/>
      <c r="BB505" s="310"/>
      <c r="BC505" s="310"/>
      <c r="BD505" s="310"/>
      <c r="BE505" s="310"/>
      <c r="BF505" s="310"/>
      <c r="BG505" s="310"/>
      <c r="BH505" s="310"/>
      <c r="BI505" s="310"/>
      <c r="BJ505" s="310"/>
      <c r="BK505" s="310"/>
      <c r="BL505" s="310"/>
      <c r="BM505" s="310"/>
      <c r="BN505" s="221"/>
      <c r="BO505" s="221"/>
      <c r="BP505" s="221"/>
      <c r="BQ505" s="221"/>
      <c r="BR505" s="221"/>
    </row>
    <row r="506" ht="15.75" customHeight="1">
      <c r="A506" s="220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309"/>
      <c r="Y506" s="309"/>
      <c r="Z506" s="309"/>
      <c r="AA506" s="309"/>
      <c r="AB506" s="309"/>
      <c r="AC506" s="309"/>
      <c r="AD506" s="309"/>
      <c r="AE506" s="309"/>
      <c r="AF506" s="309"/>
      <c r="AG506" s="309"/>
      <c r="AH506" s="309"/>
      <c r="AI506" s="309"/>
      <c r="AJ506" s="309"/>
      <c r="AK506" s="309"/>
      <c r="AL506" s="309"/>
      <c r="AM506" s="309"/>
      <c r="AN506" s="309"/>
      <c r="AO506" s="309"/>
      <c r="AP506" s="309"/>
      <c r="AQ506" s="309"/>
      <c r="AR506" s="309"/>
      <c r="AS506" s="309"/>
      <c r="AT506" s="309"/>
      <c r="AU506" s="309"/>
      <c r="AV506" s="309"/>
      <c r="AW506" s="309"/>
      <c r="AX506" s="309"/>
      <c r="AY506" s="309"/>
      <c r="AZ506" s="309"/>
      <c r="BA506" s="310"/>
      <c r="BB506" s="310"/>
      <c r="BC506" s="310"/>
      <c r="BD506" s="310"/>
      <c r="BE506" s="310"/>
      <c r="BF506" s="310"/>
      <c r="BG506" s="310"/>
      <c r="BH506" s="310"/>
      <c r="BI506" s="310"/>
      <c r="BJ506" s="310"/>
      <c r="BK506" s="310"/>
      <c r="BL506" s="310"/>
      <c r="BM506" s="310"/>
      <c r="BN506" s="221"/>
      <c r="BO506" s="221"/>
      <c r="BP506" s="221"/>
      <c r="BQ506" s="221"/>
      <c r="BR506" s="221"/>
    </row>
    <row r="507" ht="15.75" customHeight="1">
      <c r="A507" s="220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309"/>
      <c r="Y507" s="309"/>
      <c r="Z507" s="309"/>
      <c r="AA507" s="309"/>
      <c r="AB507" s="309"/>
      <c r="AC507" s="309"/>
      <c r="AD507" s="309"/>
      <c r="AE507" s="309"/>
      <c r="AF507" s="309"/>
      <c r="AG507" s="309"/>
      <c r="AH507" s="309"/>
      <c r="AI507" s="309"/>
      <c r="AJ507" s="309"/>
      <c r="AK507" s="309"/>
      <c r="AL507" s="309"/>
      <c r="AM507" s="309"/>
      <c r="AN507" s="309"/>
      <c r="AO507" s="309"/>
      <c r="AP507" s="309"/>
      <c r="AQ507" s="309"/>
      <c r="AR507" s="309"/>
      <c r="AS507" s="309"/>
      <c r="AT507" s="309"/>
      <c r="AU507" s="309"/>
      <c r="AV507" s="309"/>
      <c r="AW507" s="309"/>
      <c r="AX507" s="309"/>
      <c r="AY507" s="309"/>
      <c r="AZ507" s="309"/>
      <c r="BA507" s="310"/>
      <c r="BB507" s="310"/>
      <c r="BC507" s="310"/>
      <c r="BD507" s="310"/>
      <c r="BE507" s="310"/>
      <c r="BF507" s="310"/>
      <c r="BG507" s="310"/>
      <c r="BH507" s="310"/>
      <c r="BI507" s="310"/>
      <c r="BJ507" s="310"/>
      <c r="BK507" s="310"/>
      <c r="BL507" s="310"/>
      <c r="BM507" s="310"/>
      <c r="BN507" s="221"/>
      <c r="BO507" s="221"/>
      <c r="BP507" s="221"/>
      <c r="BQ507" s="221"/>
      <c r="BR507" s="221"/>
    </row>
    <row r="508" ht="15.75" customHeight="1">
      <c r="A508" s="220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309"/>
      <c r="Y508" s="309"/>
      <c r="Z508" s="309"/>
      <c r="AA508" s="309"/>
      <c r="AB508" s="309"/>
      <c r="AC508" s="309"/>
      <c r="AD508" s="309"/>
      <c r="AE508" s="309"/>
      <c r="AF508" s="309"/>
      <c r="AG508" s="309"/>
      <c r="AH508" s="309"/>
      <c r="AI508" s="309"/>
      <c r="AJ508" s="309"/>
      <c r="AK508" s="309"/>
      <c r="AL508" s="309"/>
      <c r="AM508" s="309"/>
      <c r="AN508" s="309"/>
      <c r="AO508" s="309"/>
      <c r="AP508" s="309"/>
      <c r="AQ508" s="309"/>
      <c r="AR508" s="309"/>
      <c r="AS508" s="309"/>
      <c r="AT508" s="309"/>
      <c r="AU508" s="309"/>
      <c r="AV508" s="309"/>
      <c r="AW508" s="309"/>
      <c r="AX508" s="309"/>
      <c r="AY508" s="309"/>
      <c r="AZ508" s="309"/>
      <c r="BA508" s="310"/>
      <c r="BB508" s="310"/>
      <c r="BC508" s="310"/>
      <c r="BD508" s="310"/>
      <c r="BE508" s="310"/>
      <c r="BF508" s="310"/>
      <c r="BG508" s="310"/>
      <c r="BH508" s="310"/>
      <c r="BI508" s="310"/>
      <c r="BJ508" s="310"/>
      <c r="BK508" s="310"/>
      <c r="BL508" s="310"/>
      <c r="BM508" s="310"/>
      <c r="BN508" s="221"/>
      <c r="BO508" s="221"/>
      <c r="BP508" s="221"/>
      <c r="BQ508" s="221"/>
      <c r="BR508" s="221"/>
    </row>
    <row r="509" ht="15.75" customHeight="1">
      <c r="A509" s="220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309"/>
      <c r="Y509" s="309"/>
      <c r="Z509" s="309"/>
      <c r="AA509" s="309"/>
      <c r="AB509" s="309"/>
      <c r="AC509" s="309"/>
      <c r="AD509" s="309"/>
      <c r="AE509" s="309"/>
      <c r="AF509" s="309"/>
      <c r="AG509" s="309"/>
      <c r="AH509" s="309"/>
      <c r="AI509" s="309"/>
      <c r="AJ509" s="309"/>
      <c r="AK509" s="309"/>
      <c r="AL509" s="309"/>
      <c r="AM509" s="309"/>
      <c r="AN509" s="309"/>
      <c r="AO509" s="309"/>
      <c r="AP509" s="309"/>
      <c r="AQ509" s="309"/>
      <c r="AR509" s="309"/>
      <c r="AS509" s="309"/>
      <c r="AT509" s="309"/>
      <c r="AU509" s="309"/>
      <c r="AV509" s="309"/>
      <c r="AW509" s="309"/>
      <c r="AX509" s="309"/>
      <c r="AY509" s="309"/>
      <c r="AZ509" s="309"/>
      <c r="BA509" s="310"/>
      <c r="BB509" s="310"/>
      <c r="BC509" s="310"/>
      <c r="BD509" s="310"/>
      <c r="BE509" s="310"/>
      <c r="BF509" s="310"/>
      <c r="BG509" s="310"/>
      <c r="BH509" s="310"/>
      <c r="BI509" s="310"/>
      <c r="BJ509" s="310"/>
      <c r="BK509" s="310"/>
      <c r="BL509" s="310"/>
      <c r="BM509" s="310"/>
      <c r="BN509" s="221"/>
      <c r="BO509" s="221"/>
      <c r="BP509" s="221"/>
      <c r="BQ509" s="221"/>
      <c r="BR509" s="221"/>
    </row>
    <row r="510" ht="15.75" customHeight="1">
      <c r="A510" s="220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309"/>
      <c r="Y510" s="309"/>
      <c r="Z510" s="309"/>
      <c r="AA510" s="309"/>
      <c r="AB510" s="309"/>
      <c r="AC510" s="309"/>
      <c r="AD510" s="309"/>
      <c r="AE510" s="309"/>
      <c r="AF510" s="309"/>
      <c r="AG510" s="309"/>
      <c r="AH510" s="309"/>
      <c r="AI510" s="309"/>
      <c r="AJ510" s="309"/>
      <c r="AK510" s="309"/>
      <c r="AL510" s="309"/>
      <c r="AM510" s="309"/>
      <c r="AN510" s="309"/>
      <c r="AO510" s="309"/>
      <c r="AP510" s="309"/>
      <c r="AQ510" s="309"/>
      <c r="AR510" s="309"/>
      <c r="AS510" s="309"/>
      <c r="AT510" s="309"/>
      <c r="AU510" s="309"/>
      <c r="AV510" s="309"/>
      <c r="AW510" s="309"/>
      <c r="AX510" s="309"/>
      <c r="AY510" s="309"/>
      <c r="AZ510" s="309"/>
      <c r="BA510" s="310"/>
      <c r="BB510" s="310"/>
      <c r="BC510" s="310"/>
      <c r="BD510" s="310"/>
      <c r="BE510" s="310"/>
      <c r="BF510" s="310"/>
      <c r="BG510" s="310"/>
      <c r="BH510" s="310"/>
      <c r="BI510" s="310"/>
      <c r="BJ510" s="310"/>
      <c r="BK510" s="310"/>
      <c r="BL510" s="310"/>
      <c r="BM510" s="310"/>
      <c r="BN510" s="221"/>
      <c r="BO510" s="221"/>
      <c r="BP510" s="221"/>
      <c r="BQ510" s="221"/>
      <c r="BR510" s="221"/>
    </row>
    <row r="511" ht="15.75" customHeight="1">
      <c r="A511" s="220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309"/>
      <c r="Y511" s="309"/>
      <c r="Z511" s="309"/>
      <c r="AA511" s="309"/>
      <c r="AB511" s="309"/>
      <c r="AC511" s="309"/>
      <c r="AD511" s="309"/>
      <c r="AE511" s="309"/>
      <c r="AF511" s="309"/>
      <c r="AG511" s="309"/>
      <c r="AH511" s="309"/>
      <c r="AI511" s="309"/>
      <c r="AJ511" s="309"/>
      <c r="AK511" s="309"/>
      <c r="AL511" s="309"/>
      <c r="AM511" s="309"/>
      <c r="AN511" s="309"/>
      <c r="AO511" s="309"/>
      <c r="AP511" s="309"/>
      <c r="AQ511" s="309"/>
      <c r="AR511" s="309"/>
      <c r="AS511" s="309"/>
      <c r="AT511" s="309"/>
      <c r="AU511" s="309"/>
      <c r="AV511" s="309"/>
      <c r="AW511" s="309"/>
      <c r="AX511" s="309"/>
      <c r="AY511" s="309"/>
      <c r="AZ511" s="309"/>
      <c r="BA511" s="310"/>
      <c r="BB511" s="310"/>
      <c r="BC511" s="310"/>
      <c r="BD511" s="310"/>
      <c r="BE511" s="310"/>
      <c r="BF511" s="310"/>
      <c r="BG511" s="310"/>
      <c r="BH511" s="310"/>
      <c r="BI511" s="310"/>
      <c r="BJ511" s="310"/>
      <c r="BK511" s="310"/>
      <c r="BL511" s="310"/>
      <c r="BM511" s="310"/>
      <c r="BN511" s="221"/>
      <c r="BO511" s="221"/>
      <c r="BP511" s="221"/>
      <c r="BQ511" s="221"/>
      <c r="BR511" s="221"/>
    </row>
    <row r="512" ht="15.75" customHeight="1">
      <c r="A512" s="220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309"/>
      <c r="Y512" s="309"/>
      <c r="Z512" s="309"/>
      <c r="AA512" s="309"/>
      <c r="AB512" s="309"/>
      <c r="AC512" s="309"/>
      <c r="AD512" s="309"/>
      <c r="AE512" s="309"/>
      <c r="AF512" s="309"/>
      <c r="AG512" s="309"/>
      <c r="AH512" s="309"/>
      <c r="AI512" s="309"/>
      <c r="AJ512" s="309"/>
      <c r="AK512" s="309"/>
      <c r="AL512" s="309"/>
      <c r="AM512" s="309"/>
      <c r="AN512" s="309"/>
      <c r="AO512" s="309"/>
      <c r="AP512" s="309"/>
      <c r="AQ512" s="309"/>
      <c r="AR512" s="309"/>
      <c r="AS512" s="309"/>
      <c r="AT512" s="309"/>
      <c r="AU512" s="309"/>
      <c r="AV512" s="309"/>
      <c r="AW512" s="309"/>
      <c r="AX512" s="309"/>
      <c r="AY512" s="309"/>
      <c r="AZ512" s="309"/>
      <c r="BA512" s="310"/>
      <c r="BB512" s="310"/>
      <c r="BC512" s="310"/>
      <c r="BD512" s="310"/>
      <c r="BE512" s="310"/>
      <c r="BF512" s="310"/>
      <c r="BG512" s="310"/>
      <c r="BH512" s="310"/>
      <c r="BI512" s="310"/>
      <c r="BJ512" s="310"/>
      <c r="BK512" s="310"/>
      <c r="BL512" s="310"/>
      <c r="BM512" s="310"/>
      <c r="BN512" s="221"/>
      <c r="BO512" s="221"/>
      <c r="BP512" s="221"/>
      <c r="BQ512" s="221"/>
      <c r="BR512" s="221"/>
    </row>
    <row r="513" ht="15.75" customHeight="1">
      <c r="A513" s="220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309"/>
      <c r="Y513" s="309"/>
      <c r="Z513" s="309"/>
      <c r="AA513" s="309"/>
      <c r="AB513" s="309"/>
      <c r="AC513" s="309"/>
      <c r="AD513" s="309"/>
      <c r="AE513" s="309"/>
      <c r="AF513" s="309"/>
      <c r="AG513" s="309"/>
      <c r="AH513" s="309"/>
      <c r="AI513" s="309"/>
      <c r="AJ513" s="309"/>
      <c r="AK513" s="309"/>
      <c r="AL513" s="309"/>
      <c r="AM513" s="309"/>
      <c r="AN513" s="309"/>
      <c r="AO513" s="309"/>
      <c r="AP513" s="309"/>
      <c r="AQ513" s="309"/>
      <c r="AR513" s="309"/>
      <c r="AS513" s="309"/>
      <c r="AT513" s="309"/>
      <c r="AU513" s="309"/>
      <c r="AV513" s="309"/>
      <c r="AW513" s="309"/>
      <c r="AX513" s="309"/>
      <c r="AY513" s="309"/>
      <c r="AZ513" s="309"/>
      <c r="BA513" s="310"/>
      <c r="BB513" s="310"/>
      <c r="BC513" s="310"/>
      <c r="BD513" s="310"/>
      <c r="BE513" s="310"/>
      <c r="BF513" s="310"/>
      <c r="BG513" s="310"/>
      <c r="BH513" s="310"/>
      <c r="BI513" s="310"/>
      <c r="BJ513" s="310"/>
      <c r="BK513" s="310"/>
      <c r="BL513" s="310"/>
      <c r="BM513" s="310"/>
      <c r="BN513" s="221"/>
      <c r="BO513" s="221"/>
      <c r="BP513" s="221"/>
      <c r="BQ513" s="221"/>
      <c r="BR513" s="221"/>
    </row>
    <row r="514" ht="15.75" customHeight="1">
      <c r="A514" s="220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309"/>
      <c r="Y514" s="309"/>
      <c r="Z514" s="309"/>
      <c r="AA514" s="309"/>
      <c r="AB514" s="309"/>
      <c r="AC514" s="309"/>
      <c r="AD514" s="309"/>
      <c r="AE514" s="309"/>
      <c r="AF514" s="309"/>
      <c r="AG514" s="309"/>
      <c r="AH514" s="309"/>
      <c r="AI514" s="309"/>
      <c r="AJ514" s="309"/>
      <c r="AK514" s="309"/>
      <c r="AL514" s="309"/>
      <c r="AM514" s="309"/>
      <c r="AN514" s="309"/>
      <c r="AO514" s="309"/>
      <c r="AP514" s="309"/>
      <c r="AQ514" s="309"/>
      <c r="AR514" s="309"/>
      <c r="AS514" s="309"/>
      <c r="AT514" s="309"/>
      <c r="AU514" s="309"/>
      <c r="AV514" s="309"/>
      <c r="AW514" s="309"/>
      <c r="AX514" s="309"/>
      <c r="AY514" s="309"/>
      <c r="AZ514" s="309"/>
      <c r="BA514" s="310"/>
      <c r="BB514" s="310"/>
      <c r="BC514" s="310"/>
      <c r="BD514" s="310"/>
      <c r="BE514" s="310"/>
      <c r="BF514" s="310"/>
      <c r="BG514" s="310"/>
      <c r="BH514" s="310"/>
      <c r="BI514" s="310"/>
      <c r="BJ514" s="310"/>
      <c r="BK514" s="310"/>
      <c r="BL514" s="310"/>
      <c r="BM514" s="310"/>
      <c r="BN514" s="221"/>
      <c r="BO514" s="221"/>
      <c r="BP514" s="221"/>
      <c r="BQ514" s="221"/>
      <c r="BR514" s="221"/>
    </row>
    <row r="515" ht="15.75" customHeight="1">
      <c r="A515" s="220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309"/>
      <c r="Y515" s="309"/>
      <c r="Z515" s="309"/>
      <c r="AA515" s="309"/>
      <c r="AB515" s="309"/>
      <c r="AC515" s="309"/>
      <c r="AD515" s="309"/>
      <c r="AE515" s="309"/>
      <c r="AF515" s="309"/>
      <c r="AG515" s="309"/>
      <c r="AH515" s="309"/>
      <c r="AI515" s="309"/>
      <c r="AJ515" s="309"/>
      <c r="AK515" s="309"/>
      <c r="AL515" s="309"/>
      <c r="AM515" s="309"/>
      <c r="AN515" s="309"/>
      <c r="AO515" s="309"/>
      <c r="AP515" s="309"/>
      <c r="AQ515" s="309"/>
      <c r="AR515" s="309"/>
      <c r="AS515" s="309"/>
      <c r="AT515" s="309"/>
      <c r="AU515" s="309"/>
      <c r="AV515" s="309"/>
      <c r="AW515" s="309"/>
      <c r="AX515" s="309"/>
      <c r="AY515" s="309"/>
      <c r="AZ515" s="309"/>
      <c r="BA515" s="310"/>
      <c r="BB515" s="310"/>
      <c r="BC515" s="310"/>
      <c r="BD515" s="310"/>
      <c r="BE515" s="310"/>
      <c r="BF515" s="310"/>
      <c r="BG515" s="310"/>
      <c r="BH515" s="310"/>
      <c r="BI515" s="310"/>
      <c r="BJ515" s="310"/>
      <c r="BK515" s="310"/>
      <c r="BL515" s="310"/>
      <c r="BM515" s="310"/>
      <c r="BN515" s="221"/>
      <c r="BO515" s="221"/>
      <c r="BP515" s="221"/>
      <c r="BQ515" s="221"/>
      <c r="BR515" s="221"/>
    </row>
    <row r="516" ht="15.75" customHeight="1">
      <c r="A516" s="220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309"/>
      <c r="Y516" s="309"/>
      <c r="Z516" s="309"/>
      <c r="AA516" s="309"/>
      <c r="AB516" s="309"/>
      <c r="AC516" s="309"/>
      <c r="AD516" s="309"/>
      <c r="AE516" s="309"/>
      <c r="AF516" s="309"/>
      <c r="AG516" s="309"/>
      <c r="AH516" s="309"/>
      <c r="AI516" s="309"/>
      <c r="AJ516" s="309"/>
      <c r="AK516" s="309"/>
      <c r="AL516" s="309"/>
      <c r="AM516" s="309"/>
      <c r="AN516" s="309"/>
      <c r="AO516" s="309"/>
      <c r="AP516" s="309"/>
      <c r="AQ516" s="309"/>
      <c r="AR516" s="309"/>
      <c r="AS516" s="309"/>
      <c r="AT516" s="309"/>
      <c r="AU516" s="309"/>
      <c r="AV516" s="309"/>
      <c r="AW516" s="309"/>
      <c r="AX516" s="309"/>
      <c r="AY516" s="309"/>
      <c r="AZ516" s="309"/>
      <c r="BA516" s="310"/>
      <c r="BB516" s="310"/>
      <c r="BC516" s="310"/>
      <c r="BD516" s="310"/>
      <c r="BE516" s="310"/>
      <c r="BF516" s="310"/>
      <c r="BG516" s="310"/>
      <c r="BH516" s="310"/>
      <c r="BI516" s="310"/>
      <c r="BJ516" s="310"/>
      <c r="BK516" s="310"/>
      <c r="BL516" s="310"/>
      <c r="BM516" s="310"/>
      <c r="BN516" s="221"/>
      <c r="BO516" s="221"/>
      <c r="BP516" s="221"/>
      <c r="BQ516" s="221"/>
      <c r="BR516" s="221"/>
    </row>
    <row r="517" ht="15.75" customHeight="1">
      <c r="A517" s="220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309"/>
      <c r="Y517" s="309"/>
      <c r="Z517" s="309"/>
      <c r="AA517" s="309"/>
      <c r="AB517" s="309"/>
      <c r="AC517" s="309"/>
      <c r="AD517" s="309"/>
      <c r="AE517" s="309"/>
      <c r="AF517" s="309"/>
      <c r="AG517" s="309"/>
      <c r="AH517" s="309"/>
      <c r="AI517" s="309"/>
      <c r="AJ517" s="309"/>
      <c r="AK517" s="309"/>
      <c r="AL517" s="309"/>
      <c r="AM517" s="309"/>
      <c r="AN517" s="309"/>
      <c r="AO517" s="309"/>
      <c r="AP517" s="309"/>
      <c r="AQ517" s="309"/>
      <c r="AR517" s="309"/>
      <c r="AS517" s="309"/>
      <c r="AT517" s="309"/>
      <c r="AU517" s="309"/>
      <c r="AV517" s="309"/>
      <c r="AW517" s="309"/>
      <c r="AX517" s="309"/>
      <c r="AY517" s="309"/>
      <c r="AZ517" s="309"/>
      <c r="BA517" s="310"/>
      <c r="BB517" s="310"/>
      <c r="BC517" s="310"/>
      <c r="BD517" s="310"/>
      <c r="BE517" s="310"/>
      <c r="BF517" s="310"/>
      <c r="BG517" s="310"/>
      <c r="BH517" s="310"/>
      <c r="BI517" s="310"/>
      <c r="BJ517" s="310"/>
      <c r="BK517" s="310"/>
      <c r="BL517" s="310"/>
      <c r="BM517" s="310"/>
      <c r="BN517" s="221"/>
      <c r="BO517" s="221"/>
      <c r="BP517" s="221"/>
      <c r="BQ517" s="221"/>
      <c r="BR517" s="221"/>
    </row>
    <row r="518" ht="15.75" customHeight="1">
      <c r="A518" s="220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309"/>
      <c r="Y518" s="309"/>
      <c r="Z518" s="309"/>
      <c r="AA518" s="309"/>
      <c r="AB518" s="309"/>
      <c r="AC518" s="309"/>
      <c r="AD518" s="309"/>
      <c r="AE518" s="309"/>
      <c r="AF518" s="309"/>
      <c r="AG518" s="309"/>
      <c r="AH518" s="309"/>
      <c r="AI518" s="309"/>
      <c r="AJ518" s="309"/>
      <c r="AK518" s="309"/>
      <c r="AL518" s="309"/>
      <c r="AM518" s="309"/>
      <c r="AN518" s="309"/>
      <c r="AO518" s="309"/>
      <c r="AP518" s="309"/>
      <c r="AQ518" s="309"/>
      <c r="AR518" s="309"/>
      <c r="AS518" s="309"/>
      <c r="AT518" s="309"/>
      <c r="AU518" s="309"/>
      <c r="AV518" s="309"/>
      <c r="AW518" s="309"/>
      <c r="AX518" s="309"/>
      <c r="AY518" s="309"/>
      <c r="AZ518" s="309"/>
      <c r="BA518" s="310"/>
      <c r="BB518" s="310"/>
      <c r="BC518" s="310"/>
      <c r="BD518" s="310"/>
      <c r="BE518" s="310"/>
      <c r="BF518" s="310"/>
      <c r="BG518" s="310"/>
      <c r="BH518" s="310"/>
      <c r="BI518" s="310"/>
      <c r="BJ518" s="310"/>
      <c r="BK518" s="310"/>
      <c r="BL518" s="310"/>
      <c r="BM518" s="310"/>
      <c r="BN518" s="221"/>
      <c r="BO518" s="221"/>
      <c r="BP518" s="221"/>
      <c r="BQ518" s="221"/>
      <c r="BR518" s="221"/>
    </row>
    <row r="519" ht="15.75" customHeight="1">
      <c r="A519" s="220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309"/>
      <c r="Y519" s="309"/>
      <c r="Z519" s="309"/>
      <c r="AA519" s="309"/>
      <c r="AB519" s="309"/>
      <c r="AC519" s="309"/>
      <c r="AD519" s="309"/>
      <c r="AE519" s="309"/>
      <c r="AF519" s="309"/>
      <c r="AG519" s="309"/>
      <c r="AH519" s="309"/>
      <c r="AI519" s="309"/>
      <c r="AJ519" s="309"/>
      <c r="AK519" s="309"/>
      <c r="AL519" s="309"/>
      <c r="AM519" s="309"/>
      <c r="AN519" s="309"/>
      <c r="AO519" s="309"/>
      <c r="AP519" s="309"/>
      <c r="AQ519" s="309"/>
      <c r="AR519" s="309"/>
      <c r="AS519" s="309"/>
      <c r="AT519" s="309"/>
      <c r="AU519" s="309"/>
      <c r="AV519" s="309"/>
      <c r="AW519" s="309"/>
      <c r="AX519" s="309"/>
      <c r="AY519" s="309"/>
      <c r="AZ519" s="309"/>
      <c r="BA519" s="310"/>
      <c r="BB519" s="310"/>
      <c r="BC519" s="310"/>
      <c r="BD519" s="310"/>
      <c r="BE519" s="310"/>
      <c r="BF519" s="310"/>
      <c r="BG519" s="310"/>
      <c r="BH519" s="310"/>
      <c r="BI519" s="310"/>
      <c r="BJ519" s="310"/>
      <c r="BK519" s="310"/>
      <c r="BL519" s="310"/>
      <c r="BM519" s="310"/>
      <c r="BN519" s="221"/>
      <c r="BO519" s="221"/>
      <c r="BP519" s="221"/>
      <c r="BQ519" s="221"/>
      <c r="BR519" s="221"/>
    </row>
    <row r="520" ht="15.75" customHeight="1">
      <c r="A520" s="220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309"/>
      <c r="Y520" s="309"/>
      <c r="Z520" s="309"/>
      <c r="AA520" s="309"/>
      <c r="AB520" s="309"/>
      <c r="AC520" s="309"/>
      <c r="AD520" s="309"/>
      <c r="AE520" s="309"/>
      <c r="AF520" s="309"/>
      <c r="AG520" s="309"/>
      <c r="AH520" s="309"/>
      <c r="AI520" s="309"/>
      <c r="AJ520" s="309"/>
      <c r="AK520" s="309"/>
      <c r="AL520" s="309"/>
      <c r="AM520" s="309"/>
      <c r="AN520" s="309"/>
      <c r="AO520" s="309"/>
      <c r="AP520" s="309"/>
      <c r="AQ520" s="309"/>
      <c r="AR520" s="309"/>
      <c r="AS520" s="309"/>
      <c r="AT520" s="309"/>
      <c r="AU520" s="309"/>
      <c r="AV520" s="309"/>
      <c r="AW520" s="309"/>
      <c r="AX520" s="309"/>
      <c r="AY520" s="309"/>
      <c r="AZ520" s="309"/>
      <c r="BA520" s="310"/>
      <c r="BB520" s="310"/>
      <c r="BC520" s="310"/>
      <c r="BD520" s="310"/>
      <c r="BE520" s="310"/>
      <c r="BF520" s="310"/>
      <c r="BG520" s="310"/>
      <c r="BH520" s="310"/>
      <c r="BI520" s="310"/>
      <c r="BJ520" s="310"/>
      <c r="BK520" s="310"/>
      <c r="BL520" s="310"/>
      <c r="BM520" s="310"/>
      <c r="BN520" s="221"/>
      <c r="BO520" s="221"/>
      <c r="BP520" s="221"/>
      <c r="BQ520" s="221"/>
      <c r="BR520" s="221"/>
    </row>
    <row r="521" ht="15.75" customHeight="1">
      <c r="A521" s="220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309"/>
      <c r="Y521" s="309"/>
      <c r="Z521" s="309"/>
      <c r="AA521" s="309"/>
      <c r="AB521" s="309"/>
      <c r="AC521" s="309"/>
      <c r="AD521" s="309"/>
      <c r="AE521" s="309"/>
      <c r="AF521" s="309"/>
      <c r="AG521" s="309"/>
      <c r="AH521" s="309"/>
      <c r="AI521" s="309"/>
      <c r="AJ521" s="309"/>
      <c r="AK521" s="309"/>
      <c r="AL521" s="309"/>
      <c r="AM521" s="309"/>
      <c r="AN521" s="309"/>
      <c r="AO521" s="309"/>
      <c r="AP521" s="309"/>
      <c r="AQ521" s="309"/>
      <c r="AR521" s="309"/>
      <c r="AS521" s="309"/>
      <c r="AT521" s="309"/>
      <c r="AU521" s="309"/>
      <c r="AV521" s="309"/>
      <c r="AW521" s="309"/>
      <c r="AX521" s="309"/>
      <c r="AY521" s="309"/>
      <c r="AZ521" s="309"/>
      <c r="BA521" s="310"/>
      <c r="BB521" s="310"/>
      <c r="BC521" s="310"/>
      <c r="BD521" s="310"/>
      <c r="BE521" s="310"/>
      <c r="BF521" s="310"/>
      <c r="BG521" s="310"/>
      <c r="BH521" s="310"/>
      <c r="BI521" s="310"/>
      <c r="BJ521" s="310"/>
      <c r="BK521" s="310"/>
      <c r="BL521" s="310"/>
      <c r="BM521" s="310"/>
      <c r="BN521" s="221"/>
      <c r="BO521" s="221"/>
      <c r="BP521" s="221"/>
      <c r="BQ521" s="221"/>
      <c r="BR521" s="221"/>
    </row>
    <row r="522" ht="15.75" customHeight="1">
      <c r="A522" s="220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309"/>
      <c r="Y522" s="309"/>
      <c r="Z522" s="309"/>
      <c r="AA522" s="309"/>
      <c r="AB522" s="309"/>
      <c r="AC522" s="309"/>
      <c r="AD522" s="309"/>
      <c r="AE522" s="309"/>
      <c r="AF522" s="309"/>
      <c r="AG522" s="309"/>
      <c r="AH522" s="309"/>
      <c r="AI522" s="309"/>
      <c r="AJ522" s="309"/>
      <c r="AK522" s="309"/>
      <c r="AL522" s="309"/>
      <c r="AM522" s="309"/>
      <c r="AN522" s="309"/>
      <c r="AO522" s="309"/>
      <c r="AP522" s="309"/>
      <c r="AQ522" s="309"/>
      <c r="AR522" s="309"/>
      <c r="AS522" s="309"/>
      <c r="AT522" s="309"/>
      <c r="AU522" s="309"/>
      <c r="AV522" s="309"/>
      <c r="AW522" s="309"/>
      <c r="AX522" s="309"/>
      <c r="AY522" s="309"/>
      <c r="AZ522" s="309"/>
      <c r="BA522" s="310"/>
      <c r="BB522" s="310"/>
      <c r="BC522" s="310"/>
      <c r="BD522" s="310"/>
      <c r="BE522" s="310"/>
      <c r="BF522" s="310"/>
      <c r="BG522" s="310"/>
      <c r="BH522" s="310"/>
      <c r="BI522" s="310"/>
      <c r="BJ522" s="310"/>
      <c r="BK522" s="310"/>
      <c r="BL522" s="310"/>
      <c r="BM522" s="310"/>
      <c r="BN522" s="221"/>
      <c r="BO522" s="221"/>
      <c r="BP522" s="221"/>
      <c r="BQ522" s="221"/>
      <c r="BR522" s="221"/>
    </row>
    <row r="523" ht="15.75" customHeight="1">
      <c r="A523" s="220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309"/>
      <c r="Y523" s="309"/>
      <c r="Z523" s="309"/>
      <c r="AA523" s="309"/>
      <c r="AB523" s="309"/>
      <c r="AC523" s="309"/>
      <c r="AD523" s="309"/>
      <c r="AE523" s="309"/>
      <c r="AF523" s="309"/>
      <c r="AG523" s="309"/>
      <c r="AH523" s="309"/>
      <c r="AI523" s="309"/>
      <c r="AJ523" s="309"/>
      <c r="AK523" s="309"/>
      <c r="AL523" s="309"/>
      <c r="AM523" s="309"/>
      <c r="AN523" s="309"/>
      <c r="AO523" s="309"/>
      <c r="AP523" s="309"/>
      <c r="AQ523" s="309"/>
      <c r="AR523" s="309"/>
      <c r="AS523" s="309"/>
      <c r="AT523" s="309"/>
      <c r="AU523" s="309"/>
      <c r="AV523" s="309"/>
      <c r="AW523" s="309"/>
      <c r="AX523" s="309"/>
      <c r="AY523" s="309"/>
      <c r="AZ523" s="309"/>
      <c r="BA523" s="310"/>
      <c r="BB523" s="310"/>
      <c r="BC523" s="310"/>
      <c r="BD523" s="310"/>
      <c r="BE523" s="310"/>
      <c r="BF523" s="310"/>
      <c r="BG523" s="310"/>
      <c r="BH523" s="310"/>
      <c r="BI523" s="310"/>
      <c r="BJ523" s="310"/>
      <c r="BK523" s="310"/>
      <c r="BL523" s="310"/>
      <c r="BM523" s="310"/>
      <c r="BN523" s="221"/>
      <c r="BO523" s="221"/>
      <c r="BP523" s="221"/>
      <c r="BQ523" s="221"/>
      <c r="BR523" s="221"/>
    </row>
    <row r="524" ht="15.75" customHeight="1">
      <c r="A524" s="220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309"/>
      <c r="Y524" s="309"/>
      <c r="Z524" s="309"/>
      <c r="AA524" s="309"/>
      <c r="AB524" s="309"/>
      <c r="AC524" s="309"/>
      <c r="AD524" s="309"/>
      <c r="AE524" s="309"/>
      <c r="AF524" s="309"/>
      <c r="AG524" s="309"/>
      <c r="AH524" s="309"/>
      <c r="AI524" s="309"/>
      <c r="AJ524" s="309"/>
      <c r="AK524" s="309"/>
      <c r="AL524" s="309"/>
      <c r="AM524" s="309"/>
      <c r="AN524" s="309"/>
      <c r="AO524" s="309"/>
      <c r="AP524" s="309"/>
      <c r="AQ524" s="309"/>
      <c r="AR524" s="309"/>
      <c r="AS524" s="309"/>
      <c r="AT524" s="309"/>
      <c r="AU524" s="309"/>
      <c r="AV524" s="309"/>
      <c r="AW524" s="309"/>
      <c r="AX524" s="309"/>
      <c r="AY524" s="309"/>
      <c r="AZ524" s="309"/>
      <c r="BA524" s="310"/>
      <c r="BB524" s="310"/>
      <c r="BC524" s="310"/>
      <c r="BD524" s="310"/>
      <c r="BE524" s="310"/>
      <c r="BF524" s="310"/>
      <c r="BG524" s="310"/>
      <c r="BH524" s="310"/>
      <c r="BI524" s="310"/>
      <c r="BJ524" s="310"/>
      <c r="BK524" s="310"/>
      <c r="BL524" s="310"/>
      <c r="BM524" s="310"/>
      <c r="BN524" s="221"/>
      <c r="BO524" s="221"/>
      <c r="BP524" s="221"/>
      <c r="BQ524" s="221"/>
      <c r="BR524" s="221"/>
    </row>
    <row r="525" ht="15.75" customHeight="1">
      <c r="A525" s="220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309"/>
      <c r="Y525" s="309"/>
      <c r="Z525" s="309"/>
      <c r="AA525" s="309"/>
      <c r="AB525" s="309"/>
      <c r="AC525" s="309"/>
      <c r="AD525" s="309"/>
      <c r="AE525" s="309"/>
      <c r="AF525" s="309"/>
      <c r="AG525" s="309"/>
      <c r="AH525" s="309"/>
      <c r="AI525" s="309"/>
      <c r="AJ525" s="309"/>
      <c r="AK525" s="309"/>
      <c r="AL525" s="309"/>
      <c r="AM525" s="309"/>
      <c r="AN525" s="309"/>
      <c r="AO525" s="309"/>
      <c r="AP525" s="309"/>
      <c r="AQ525" s="309"/>
      <c r="AR525" s="309"/>
      <c r="AS525" s="309"/>
      <c r="AT525" s="309"/>
      <c r="AU525" s="309"/>
      <c r="AV525" s="309"/>
      <c r="AW525" s="309"/>
      <c r="AX525" s="309"/>
      <c r="AY525" s="309"/>
      <c r="AZ525" s="309"/>
      <c r="BA525" s="310"/>
      <c r="BB525" s="310"/>
      <c r="BC525" s="310"/>
      <c r="BD525" s="310"/>
      <c r="BE525" s="310"/>
      <c r="BF525" s="310"/>
      <c r="BG525" s="310"/>
      <c r="BH525" s="310"/>
      <c r="BI525" s="310"/>
      <c r="BJ525" s="310"/>
      <c r="BK525" s="310"/>
      <c r="BL525" s="310"/>
      <c r="BM525" s="310"/>
      <c r="BN525" s="221"/>
      <c r="BO525" s="221"/>
      <c r="BP525" s="221"/>
      <c r="BQ525" s="221"/>
      <c r="BR525" s="221"/>
    </row>
    <row r="526" ht="15.75" customHeight="1">
      <c r="A526" s="220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309"/>
      <c r="Y526" s="309"/>
      <c r="Z526" s="309"/>
      <c r="AA526" s="309"/>
      <c r="AB526" s="309"/>
      <c r="AC526" s="309"/>
      <c r="AD526" s="309"/>
      <c r="AE526" s="309"/>
      <c r="AF526" s="309"/>
      <c r="AG526" s="309"/>
      <c r="AH526" s="309"/>
      <c r="AI526" s="309"/>
      <c r="AJ526" s="309"/>
      <c r="AK526" s="309"/>
      <c r="AL526" s="309"/>
      <c r="AM526" s="309"/>
      <c r="AN526" s="309"/>
      <c r="AO526" s="309"/>
      <c r="AP526" s="309"/>
      <c r="AQ526" s="309"/>
      <c r="AR526" s="309"/>
      <c r="AS526" s="309"/>
      <c r="AT526" s="309"/>
      <c r="AU526" s="309"/>
      <c r="AV526" s="309"/>
      <c r="AW526" s="309"/>
      <c r="AX526" s="309"/>
      <c r="AY526" s="309"/>
      <c r="AZ526" s="309"/>
      <c r="BA526" s="310"/>
      <c r="BB526" s="310"/>
      <c r="BC526" s="310"/>
      <c r="BD526" s="310"/>
      <c r="BE526" s="310"/>
      <c r="BF526" s="310"/>
      <c r="BG526" s="310"/>
      <c r="BH526" s="310"/>
      <c r="BI526" s="310"/>
      <c r="BJ526" s="310"/>
      <c r="BK526" s="310"/>
      <c r="BL526" s="310"/>
      <c r="BM526" s="310"/>
      <c r="BN526" s="221"/>
      <c r="BO526" s="221"/>
      <c r="BP526" s="221"/>
      <c r="BQ526" s="221"/>
      <c r="BR526" s="221"/>
    </row>
    <row r="527" ht="15.75" customHeight="1">
      <c r="A527" s="220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309"/>
      <c r="Y527" s="309"/>
      <c r="Z527" s="309"/>
      <c r="AA527" s="309"/>
      <c r="AB527" s="309"/>
      <c r="AC527" s="309"/>
      <c r="AD527" s="309"/>
      <c r="AE527" s="309"/>
      <c r="AF527" s="309"/>
      <c r="AG527" s="309"/>
      <c r="AH527" s="309"/>
      <c r="AI527" s="309"/>
      <c r="AJ527" s="309"/>
      <c r="AK527" s="309"/>
      <c r="AL527" s="309"/>
      <c r="AM527" s="309"/>
      <c r="AN527" s="309"/>
      <c r="AO527" s="309"/>
      <c r="AP527" s="309"/>
      <c r="AQ527" s="309"/>
      <c r="AR527" s="309"/>
      <c r="AS527" s="309"/>
      <c r="AT527" s="309"/>
      <c r="AU527" s="309"/>
      <c r="AV527" s="309"/>
      <c r="AW527" s="309"/>
      <c r="AX527" s="309"/>
      <c r="AY527" s="309"/>
      <c r="AZ527" s="309"/>
      <c r="BA527" s="310"/>
      <c r="BB527" s="310"/>
      <c r="BC527" s="310"/>
      <c r="BD527" s="310"/>
      <c r="BE527" s="310"/>
      <c r="BF527" s="310"/>
      <c r="BG527" s="310"/>
      <c r="BH527" s="310"/>
      <c r="BI527" s="310"/>
      <c r="BJ527" s="310"/>
      <c r="BK527" s="310"/>
      <c r="BL527" s="310"/>
      <c r="BM527" s="310"/>
      <c r="BN527" s="221"/>
      <c r="BO527" s="221"/>
      <c r="BP527" s="221"/>
      <c r="BQ527" s="221"/>
      <c r="BR527" s="221"/>
    </row>
    <row r="528" ht="15.75" customHeight="1">
      <c r="A528" s="220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309"/>
      <c r="Y528" s="309"/>
      <c r="Z528" s="309"/>
      <c r="AA528" s="309"/>
      <c r="AB528" s="309"/>
      <c r="AC528" s="309"/>
      <c r="AD528" s="309"/>
      <c r="AE528" s="309"/>
      <c r="AF528" s="309"/>
      <c r="AG528" s="309"/>
      <c r="AH528" s="309"/>
      <c r="AI528" s="309"/>
      <c r="AJ528" s="309"/>
      <c r="AK528" s="309"/>
      <c r="AL528" s="309"/>
      <c r="AM528" s="309"/>
      <c r="AN528" s="309"/>
      <c r="AO528" s="309"/>
      <c r="AP528" s="309"/>
      <c r="AQ528" s="309"/>
      <c r="AR528" s="309"/>
      <c r="AS528" s="309"/>
      <c r="AT528" s="309"/>
      <c r="AU528" s="309"/>
      <c r="AV528" s="309"/>
      <c r="AW528" s="309"/>
      <c r="AX528" s="309"/>
      <c r="AY528" s="309"/>
      <c r="AZ528" s="309"/>
      <c r="BA528" s="310"/>
      <c r="BB528" s="310"/>
      <c r="BC528" s="310"/>
      <c r="BD528" s="310"/>
      <c r="BE528" s="310"/>
      <c r="BF528" s="310"/>
      <c r="BG528" s="310"/>
      <c r="BH528" s="310"/>
      <c r="BI528" s="310"/>
      <c r="BJ528" s="310"/>
      <c r="BK528" s="310"/>
      <c r="BL528" s="310"/>
      <c r="BM528" s="310"/>
      <c r="BN528" s="221"/>
      <c r="BO528" s="221"/>
      <c r="BP528" s="221"/>
      <c r="BQ528" s="221"/>
      <c r="BR528" s="221"/>
    </row>
    <row r="529" ht="15.75" customHeight="1">
      <c r="A529" s="220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309"/>
      <c r="Y529" s="309"/>
      <c r="Z529" s="309"/>
      <c r="AA529" s="309"/>
      <c r="AB529" s="309"/>
      <c r="AC529" s="309"/>
      <c r="AD529" s="309"/>
      <c r="AE529" s="309"/>
      <c r="AF529" s="309"/>
      <c r="AG529" s="309"/>
      <c r="AH529" s="309"/>
      <c r="AI529" s="309"/>
      <c r="AJ529" s="309"/>
      <c r="AK529" s="309"/>
      <c r="AL529" s="309"/>
      <c r="AM529" s="309"/>
      <c r="AN529" s="309"/>
      <c r="AO529" s="309"/>
      <c r="AP529" s="309"/>
      <c r="AQ529" s="309"/>
      <c r="AR529" s="309"/>
      <c r="AS529" s="309"/>
      <c r="AT529" s="309"/>
      <c r="AU529" s="309"/>
      <c r="AV529" s="309"/>
      <c r="AW529" s="309"/>
      <c r="AX529" s="309"/>
      <c r="AY529" s="309"/>
      <c r="AZ529" s="309"/>
      <c r="BA529" s="310"/>
      <c r="BB529" s="310"/>
      <c r="BC529" s="310"/>
      <c r="BD529" s="310"/>
      <c r="BE529" s="310"/>
      <c r="BF529" s="310"/>
      <c r="BG529" s="310"/>
      <c r="BH529" s="310"/>
      <c r="BI529" s="310"/>
      <c r="BJ529" s="310"/>
      <c r="BK529" s="310"/>
      <c r="BL529" s="310"/>
      <c r="BM529" s="310"/>
      <c r="BN529" s="221"/>
      <c r="BO529" s="221"/>
      <c r="BP529" s="221"/>
      <c r="BQ529" s="221"/>
      <c r="BR529" s="221"/>
    </row>
    <row r="530" ht="15.75" customHeight="1">
      <c r="A530" s="220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309"/>
      <c r="Y530" s="309"/>
      <c r="Z530" s="309"/>
      <c r="AA530" s="309"/>
      <c r="AB530" s="309"/>
      <c r="AC530" s="309"/>
      <c r="AD530" s="309"/>
      <c r="AE530" s="309"/>
      <c r="AF530" s="309"/>
      <c r="AG530" s="309"/>
      <c r="AH530" s="309"/>
      <c r="AI530" s="309"/>
      <c r="AJ530" s="309"/>
      <c r="AK530" s="309"/>
      <c r="AL530" s="309"/>
      <c r="AM530" s="309"/>
      <c r="AN530" s="309"/>
      <c r="AO530" s="309"/>
      <c r="AP530" s="309"/>
      <c r="AQ530" s="309"/>
      <c r="AR530" s="309"/>
      <c r="AS530" s="309"/>
      <c r="AT530" s="309"/>
      <c r="AU530" s="309"/>
      <c r="AV530" s="309"/>
      <c r="AW530" s="309"/>
      <c r="AX530" s="309"/>
      <c r="AY530" s="309"/>
      <c r="AZ530" s="309"/>
      <c r="BA530" s="310"/>
      <c r="BB530" s="310"/>
      <c r="BC530" s="310"/>
      <c r="BD530" s="310"/>
      <c r="BE530" s="310"/>
      <c r="BF530" s="310"/>
      <c r="BG530" s="310"/>
      <c r="BH530" s="310"/>
      <c r="BI530" s="310"/>
      <c r="BJ530" s="310"/>
      <c r="BK530" s="310"/>
      <c r="BL530" s="310"/>
      <c r="BM530" s="310"/>
      <c r="BN530" s="221"/>
      <c r="BO530" s="221"/>
      <c r="BP530" s="221"/>
      <c r="BQ530" s="221"/>
      <c r="BR530" s="221"/>
    </row>
    <row r="531" ht="15.75" customHeight="1">
      <c r="A531" s="220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309"/>
      <c r="Y531" s="309"/>
      <c r="Z531" s="309"/>
      <c r="AA531" s="309"/>
      <c r="AB531" s="309"/>
      <c r="AC531" s="309"/>
      <c r="AD531" s="309"/>
      <c r="AE531" s="309"/>
      <c r="AF531" s="309"/>
      <c r="AG531" s="309"/>
      <c r="AH531" s="309"/>
      <c r="AI531" s="309"/>
      <c r="AJ531" s="309"/>
      <c r="AK531" s="309"/>
      <c r="AL531" s="309"/>
      <c r="AM531" s="309"/>
      <c r="AN531" s="309"/>
      <c r="AO531" s="309"/>
      <c r="AP531" s="309"/>
      <c r="AQ531" s="309"/>
      <c r="AR531" s="309"/>
      <c r="AS531" s="309"/>
      <c r="AT531" s="309"/>
      <c r="AU531" s="309"/>
      <c r="AV531" s="309"/>
      <c r="AW531" s="309"/>
      <c r="AX531" s="309"/>
      <c r="AY531" s="309"/>
      <c r="AZ531" s="309"/>
      <c r="BA531" s="310"/>
      <c r="BB531" s="310"/>
      <c r="BC531" s="310"/>
      <c r="BD531" s="310"/>
      <c r="BE531" s="310"/>
      <c r="BF531" s="310"/>
      <c r="BG531" s="310"/>
      <c r="BH531" s="310"/>
      <c r="BI531" s="310"/>
      <c r="BJ531" s="310"/>
      <c r="BK531" s="310"/>
      <c r="BL531" s="310"/>
      <c r="BM531" s="310"/>
      <c r="BN531" s="221"/>
      <c r="BO531" s="221"/>
      <c r="BP531" s="221"/>
      <c r="BQ531" s="221"/>
      <c r="BR531" s="221"/>
    </row>
    <row r="532" ht="15.75" customHeight="1">
      <c r="A532" s="220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309"/>
      <c r="Y532" s="309"/>
      <c r="Z532" s="309"/>
      <c r="AA532" s="309"/>
      <c r="AB532" s="309"/>
      <c r="AC532" s="309"/>
      <c r="AD532" s="309"/>
      <c r="AE532" s="309"/>
      <c r="AF532" s="309"/>
      <c r="AG532" s="309"/>
      <c r="AH532" s="309"/>
      <c r="AI532" s="309"/>
      <c r="AJ532" s="309"/>
      <c r="AK532" s="309"/>
      <c r="AL532" s="309"/>
      <c r="AM532" s="309"/>
      <c r="AN532" s="309"/>
      <c r="AO532" s="309"/>
      <c r="AP532" s="309"/>
      <c r="AQ532" s="309"/>
      <c r="AR532" s="309"/>
      <c r="AS532" s="309"/>
      <c r="AT532" s="309"/>
      <c r="AU532" s="309"/>
      <c r="AV532" s="309"/>
      <c r="AW532" s="309"/>
      <c r="AX532" s="309"/>
      <c r="AY532" s="309"/>
      <c r="AZ532" s="309"/>
      <c r="BA532" s="310"/>
      <c r="BB532" s="310"/>
      <c r="BC532" s="310"/>
      <c r="BD532" s="310"/>
      <c r="BE532" s="310"/>
      <c r="BF532" s="310"/>
      <c r="BG532" s="310"/>
      <c r="BH532" s="310"/>
      <c r="BI532" s="310"/>
      <c r="BJ532" s="310"/>
      <c r="BK532" s="310"/>
      <c r="BL532" s="310"/>
      <c r="BM532" s="310"/>
      <c r="BN532" s="221"/>
      <c r="BO532" s="221"/>
      <c r="BP532" s="221"/>
      <c r="BQ532" s="221"/>
      <c r="BR532" s="221"/>
    </row>
    <row r="533" ht="15.75" customHeight="1">
      <c r="A533" s="220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309"/>
      <c r="Y533" s="309"/>
      <c r="Z533" s="309"/>
      <c r="AA533" s="309"/>
      <c r="AB533" s="309"/>
      <c r="AC533" s="309"/>
      <c r="AD533" s="309"/>
      <c r="AE533" s="309"/>
      <c r="AF533" s="309"/>
      <c r="AG533" s="309"/>
      <c r="AH533" s="309"/>
      <c r="AI533" s="309"/>
      <c r="AJ533" s="309"/>
      <c r="AK533" s="309"/>
      <c r="AL533" s="309"/>
      <c r="AM533" s="309"/>
      <c r="AN533" s="309"/>
      <c r="AO533" s="309"/>
      <c r="AP533" s="309"/>
      <c r="AQ533" s="309"/>
      <c r="AR533" s="309"/>
      <c r="AS533" s="309"/>
      <c r="AT533" s="309"/>
      <c r="AU533" s="309"/>
      <c r="AV533" s="309"/>
      <c r="AW533" s="309"/>
      <c r="AX533" s="309"/>
      <c r="AY533" s="309"/>
      <c r="AZ533" s="309"/>
      <c r="BA533" s="310"/>
      <c r="BB533" s="310"/>
      <c r="BC533" s="310"/>
      <c r="BD533" s="310"/>
      <c r="BE533" s="310"/>
      <c r="BF533" s="310"/>
      <c r="BG533" s="310"/>
      <c r="BH533" s="310"/>
      <c r="BI533" s="310"/>
      <c r="BJ533" s="310"/>
      <c r="BK533" s="310"/>
      <c r="BL533" s="310"/>
      <c r="BM533" s="310"/>
      <c r="BN533" s="221"/>
      <c r="BO533" s="221"/>
      <c r="BP533" s="221"/>
      <c r="BQ533" s="221"/>
      <c r="BR533" s="221"/>
    </row>
    <row r="534" ht="15.75" customHeight="1">
      <c r="A534" s="220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309"/>
      <c r="Y534" s="309"/>
      <c r="Z534" s="309"/>
      <c r="AA534" s="309"/>
      <c r="AB534" s="309"/>
      <c r="AC534" s="309"/>
      <c r="AD534" s="309"/>
      <c r="AE534" s="309"/>
      <c r="AF534" s="309"/>
      <c r="AG534" s="309"/>
      <c r="AH534" s="309"/>
      <c r="AI534" s="309"/>
      <c r="AJ534" s="309"/>
      <c r="AK534" s="309"/>
      <c r="AL534" s="309"/>
      <c r="AM534" s="309"/>
      <c r="AN534" s="309"/>
      <c r="AO534" s="309"/>
      <c r="AP534" s="309"/>
      <c r="AQ534" s="309"/>
      <c r="AR534" s="309"/>
      <c r="AS534" s="309"/>
      <c r="AT534" s="309"/>
      <c r="AU534" s="309"/>
      <c r="AV534" s="309"/>
      <c r="AW534" s="309"/>
      <c r="AX534" s="309"/>
      <c r="AY534" s="309"/>
      <c r="AZ534" s="309"/>
      <c r="BA534" s="310"/>
      <c r="BB534" s="310"/>
      <c r="BC534" s="310"/>
      <c r="BD534" s="310"/>
      <c r="BE534" s="310"/>
      <c r="BF534" s="310"/>
      <c r="BG534" s="310"/>
      <c r="BH534" s="310"/>
      <c r="BI534" s="310"/>
      <c r="BJ534" s="310"/>
      <c r="BK534" s="310"/>
      <c r="BL534" s="310"/>
      <c r="BM534" s="310"/>
      <c r="BN534" s="221"/>
      <c r="BO534" s="221"/>
      <c r="BP534" s="221"/>
      <c r="BQ534" s="221"/>
      <c r="BR534" s="221"/>
    </row>
    <row r="535" ht="15.75" customHeight="1">
      <c r="A535" s="220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309"/>
      <c r="Y535" s="309"/>
      <c r="Z535" s="309"/>
      <c r="AA535" s="309"/>
      <c r="AB535" s="309"/>
      <c r="AC535" s="309"/>
      <c r="AD535" s="309"/>
      <c r="AE535" s="309"/>
      <c r="AF535" s="309"/>
      <c r="AG535" s="309"/>
      <c r="AH535" s="309"/>
      <c r="AI535" s="309"/>
      <c r="AJ535" s="309"/>
      <c r="AK535" s="309"/>
      <c r="AL535" s="309"/>
      <c r="AM535" s="309"/>
      <c r="AN535" s="309"/>
      <c r="AO535" s="309"/>
      <c r="AP535" s="309"/>
      <c r="AQ535" s="309"/>
      <c r="AR535" s="309"/>
      <c r="AS535" s="309"/>
      <c r="AT535" s="309"/>
      <c r="AU535" s="309"/>
      <c r="AV535" s="309"/>
      <c r="AW535" s="309"/>
      <c r="AX535" s="309"/>
      <c r="AY535" s="309"/>
      <c r="AZ535" s="309"/>
      <c r="BA535" s="310"/>
      <c r="BB535" s="310"/>
      <c r="BC535" s="310"/>
      <c r="BD535" s="310"/>
      <c r="BE535" s="310"/>
      <c r="BF535" s="310"/>
      <c r="BG535" s="310"/>
      <c r="BH535" s="310"/>
      <c r="BI535" s="310"/>
      <c r="BJ535" s="310"/>
      <c r="BK535" s="310"/>
      <c r="BL535" s="310"/>
      <c r="BM535" s="310"/>
      <c r="BN535" s="221"/>
      <c r="BO535" s="221"/>
      <c r="BP535" s="221"/>
      <c r="BQ535" s="221"/>
      <c r="BR535" s="221"/>
    </row>
    <row r="536" ht="15.75" customHeight="1">
      <c r="A536" s="220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309"/>
      <c r="Y536" s="309"/>
      <c r="Z536" s="309"/>
      <c r="AA536" s="309"/>
      <c r="AB536" s="309"/>
      <c r="AC536" s="309"/>
      <c r="AD536" s="309"/>
      <c r="AE536" s="309"/>
      <c r="AF536" s="309"/>
      <c r="AG536" s="309"/>
      <c r="AH536" s="309"/>
      <c r="AI536" s="309"/>
      <c r="AJ536" s="309"/>
      <c r="AK536" s="309"/>
      <c r="AL536" s="309"/>
      <c r="AM536" s="309"/>
      <c r="AN536" s="309"/>
      <c r="AO536" s="309"/>
      <c r="AP536" s="309"/>
      <c r="AQ536" s="309"/>
      <c r="AR536" s="309"/>
      <c r="AS536" s="309"/>
      <c r="AT536" s="309"/>
      <c r="AU536" s="309"/>
      <c r="AV536" s="309"/>
      <c r="AW536" s="309"/>
      <c r="AX536" s="309"/>
      <c r="AY536" s="309"/>
      <c r="AZ536" s="309"/>
      <c r="BA536" s="310"/>
      <c r="BB536" s="310"/>
      <c r="BC536" s="310"/>
      <c r="BD536" s="310"/>
      <c r="BE536" s="310"/>
      <c r="BF536" s="310"/>
      <c r="BG536" s="310"/>
      <c r="BH536" s="310"/>
      <c r="BI536" s="310"/>
      <c r="BJ536" s="310"/>
      <c r="BK536" s="310"/>
      <c r="BL536" s="310"/>
      <c r="BM536" s="310"/>
      <c r="BN536" s="221"/>
      <c r="BO536" s="221"/>
      <c r="BP536" s="221"/>
      <c r="BQ536" s="221"/>
      <c r="BR536" s="221"/>
    </row>
    <row r="537" ht="15.75" customHeight="1">
      <c r="A537" s="220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309"/>
      <c r="Y537" s="309"/>
      <c r="Z537" s="309"/>
      <c r="AA537" s="309"/>
      <c r="AB537" s="309"/>
      <c r="AC537" s="309"/>
      <c r="AD537" s="309"/>
      <c r="AE537" s="309"/>
      <c r="AF537" s="309"/>
      <c r="AG537" s="309"/>
      <c r="AH537" s="309"/>
      <c r="AI537" s="309"/>
      <c r="AJ537" s="309"/>
      <c r="AK537" s="309"/>
      <c r="AL537" s="309"/>
      <c r="AM537" s="309"/>
      <c r="AN537" s="309"/>
      <c r="AO537" s="309"/>
      <c r="AP537" s="309"/>
      <c r="AQ537" s="309"/>
      <c r="AR537" s="309"/>
      <c r="AS537" s="309"/>
      <c r="AT537" s="309"/>
      <c r="AU537" s="309"/>
      <c r="AV537" s="309"/>
      <c r="AW537" s="309"/>
      <c r="AX537" s="309"/>
      <c r="AY537" s="309"/>
      <c r="AZ537" s="309"/>
      <c r="BA537" s="310"/>
      <c r="BB537" s="310"/>
      <c r="BC537" s="310"/>
      <c r="BD537" s="310"/>
      <c r="BE537" s="310"/>
      <c r="BF537" s="310"/>
      <c r="BG537" s="310"/>
      <c r="BH537" s="310"/>
      <c r="BI537" s="310"/>
      <c r="BJ537" s="310"/>
      <c r="BK537" s="310"/>
      <c r="BL537" s="310"/>
      <c r="BM537" s="310"/>
      <c r="BN537" s="221"/>
      <c r="BO537" s="221"/>
      <c r="BP537" s="221"/>
      <c r="BQ537" s="221"/>
      <c r="BR537" s="221"/>
    </row>
    <row r="538" ht="15.75" customHeight="1">
      <c r="A538" s="220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309"/>
      <c r="Y538" s="309"/>
      <c r="Z538" s="309"/>
      <c r="AA538" s="309"/>
      <c r="AB538" s="309"/>
      <c r="AC538" s="309"/>
      <c r="AD538" s="309"/>
      <c r="AE538" s="309"/>
      <c r="AF538" s="309"/>
      <c r="AG538" s="309"/>
      <c r="AH538" s="309"/>
      <c r="AI538" s="309"/>
      <c r="AJ538" s="309"/>
      <c r="AK538" s="309"/>
      <c r="AL538" s="309"/>
      <c r="AM538" s="309"/>
      <c r="AN538" s="309"/>
      <c r="AO538" s="309"/>
      <c r="AP538" s="309"/>
      <c r="AQ538" s="309"/>
      <c r="AR538" s="309"/>
      <c r="AS538" s="309"/>
      <c r="AT538" s="309"/>
      <c r="AU538" s="309"/>
      <c r="AV538" s="309"/>
      <c r="AW538" s="309"/>
      <c r="AX538" s="309"/>
      <c r="AY538" s="309"/>
      <c r="AZ538" s="309"/>
      <c r="BA538" s="310"/>
      <c r="BB538" s="310"/>
      <c r="BC538" s="310"/>
      <c r="BD538" s="310"/>
      <c r="BE538" s="310"/>
      <c r="BF538" s="310"/>
      <c r="BG538" s="310"/>
      <c r="BH538" s="310"/>
      <c r="BI538" s="310"/>
      <c r="BJ538" s="310"/>
      <c r="BK538" s="310"/>
      <c r="BL538" s="310"/>
      <c r="BM538" s="310"/>
      <c r="BN538" s="221"/>
      <c r="BO538" s="221"/>
      <c r="BP538" s="221"/>
      <c r="BQ538" s="221"/>
      <c r="BR538" s="221"/>
    </row>
    <row r="539" ht="15.75" customHeight="1">
      <c r="A539" s="220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309"/>
      <c r="Y539" s="309"/>
      <c r="Z539" s="309"/>
      <c r="AA539" s="309"/>
      <c r="AB539" s="309"/>
      <c r="AC539" s="309"/>
      <c r="AD539" s="309"/>
      <c r="AE539" s="309"/>
      <c r="AF539" s="309"/>
      <c r="AG539" s="309"/>
      <c r="AH539" s="309"/>
      <c r="AI539" s="309"/>
      <c r="AJ539" s="309"/>
      <c r="AK539" s="309"/>
      <c r="AL539" s="309"/>
      <c r="AM539" s="309"/>
      <c r="AN539" s="309"/>
      <c r="AO539" s="309"/>
      <c r="AP539" s="309"/>
      <c r="AQ539" s="309"/>
      <c r="AR539" s="309"/>
      <c r="AS539" s="309"/>
      <c r="AT539" s="309"/>
      <c r="AU539" s="309"/>
      <c r="AV539" s="309"/>
      <c r="AW539" s="309"/>
      <c r="AX539" s="309"/>
      <c r="AY539" s="309"/>
      <c r="AZ539" s="309"/>
      <c r="BA539" s="310"/>
      <c r="BB539" s="310"/>
      <c r="BC539" s="310"/>
      <c r="BD539" s="310"/>
      <c r="BE539" s="310"/>
      <c r="BF539" s="310"/>
      <c r="BG539" s="310"/>
      <c r="BH539" s="310"/>
      <c r="BI539" s="310"/>
      <c r="BJ539" s="310"/>
      <c r="BK539" s="310"/>
      <c r="BL539" s="310"/>
      <c r="BM539" s="310"/>
      <c r="BN539" s="221"/>
      <c r="BO539" s="221"/>
      <c r="BP539" s="221"/>
      <c r="BQ539" s="221"/>
      <c r="BR539" s="221"/>
    </row>
    <row r="540" ht="15.75" customHeight="1">
      <c r="A540" s="220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309"/>
      <c r="Y540" s="309"/>
      <c r="Z540" s="309"/>
      <c r="AA540" s="309"/>
      <c r="AB540" s="309"/>
      <c r="AC540" s="309"/>
      <c r="AD540" s="309"/>
      <c r="AE540" s="309"/>
      <c r="AF540" s="309"/>
      <c r="AG540" s="309"/>
      <c r="AH540" s="309"/>
      <c r="AI540" s="309"/>
      <c r="AJ540" s="309"/>
      <c r="AK540" s="309"/>
      <c r="AL540" s="309"/>
      <c r="AM540" s="309"/>
      <c r="AN540" s="309"/>
      <c r="AO540" s="309"/>
      <c r="AP540" s="309"/>
      <c r="AQ540" s="309"/>
      <c r="AR540" s="309"/>
      <c r="AS540" s="309"/>
      <c r="AT540" s="309"/>
      <c r="AU540" s="309"/>
      <c r="AV540" s="309"/>
      <c r="AW540" s="309"/>
      <c r="AX540" s="309"/>
      <c r="AY540" s="309"/>
      <c r="AZ540" s="309"/>
      <c r="BA540" s="310"/>
      <c r="BB540" s="310"/>
      <c r="BC540" s="310"/>
      <c r="BD540" s="310"/>
      <c r="BE540" s="310"/>
      <c r="BF540" s="310"/>
      <c r="BG540" s="310"/>
      <c r="BH540" s="310"/>
      <c r="BI540" s="310"/>
      <c r="BJ540" s="310"/>
      <c r="BK540" s="310"/>
      <c r="BL540" s="310"/>
      <c r="BM540" s="310"/>
      <c r="BN540" s="221"/>
      <c r="BO540" s="221"/>
      <c r="BP540" s="221"/>
      <c r="BQ540" s="221"/>
      <c r="BR540" s="221"/>
    </row>
    <row r="541" ht="15.75" customHeight="1">
      <c r="A541" s="220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309"/>
      <c r="Y541" s="309"/>
      <c r="Z541" s="309"/>
      <c r="AA541" s="309"/>
      <c r="AB541" s="309"/>
      <c r="AC541" s="309"/>
      <c r="AD541" s="309"/>
      <c r="AE541" s="309"/>
      <c r="AF541" s="309"/>
      <c r="AG541" s="309"/>
      <c r="AH541" s="309"/>
      <c r="AI541" s="309"/>
      <c r="AJ541" s="309"/>
      <c r="AK541" s="309"/>
      <c r="AL541" s="309"/>
      <c r="AM541" s="309"/>
      <c r="AN541" s="309"/>
      <c r="AO541" s="309"/>
      <c r="AP541" s="309"/>
      <c r="AQ541" s="309"/>
      <c r="AR541" s="309"/>
      <c r="AS541" s="309"/>
      <c r="AT541" s="309"/>
      <c r="AU541" s="309"/>
      <c r="AV541" s="309"/>
      <c r="AW541" s="309"/>
      <c r="AX541" s="309"/>
      <c r="AY541" s="309"/>
      <c r="AZ541" s="309"/>
      <c r="BA541" s="310"/>
      <c r="BB541" s="310"/>
      <c r="BC541" s="310"/>
      <c r="BD541" s="310"/>
      <c r="BE541" s="310"/>
      <c r="BF541" s="310"/>
      <c r="BG541" s="310"/>
      <c r="BH541" s="310"/>
      <c r="BI541" s="310"/>
      <c r="BJ541" s="310"/>
      <c r="BK541" s="310"/>
      <c r="BL541" s="310"/>
      <c r="BM541" s="310"/>
      <c r="BN541" s="221"/>
      <c r="BO541" s="221"/>
      <c r="BP541" s="221"/>
      <c r="BQ541" s="221"/>
      <c r="BR541" s="221"/>
    </row>
    <row r="542" ht="15.75" customHeight="1">
      <c r="A542" s="220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309"/>
      <c r="Y542" s="309"/>
      <c r="Z542" s="309"/>
      <c r="AA542" s="309"/>
      <c r="AB542" s="309"/>
      <c r="AC542" s="309"/>
      <c r="AD542" s="309"/>
      <c r="AE542" s="309"/>
      <c r="AF542" s="309"/>
      <c r="AG542" s="309"/>
      <c r="AH542" s="309"/>
      <c r="AI542" s="309"/>
      <c r="AJ542" s="309"/>
      <c r="AK542" s="309"/>
      <c r="AL542" s="309"/>
      <c r="AM542" s="309"/>
      <c r="AN542" s="309"/>
      <c r="AO542" s="309"/>
      <c r="AP542" s="309"/>
      <c r="AQ542" s="309"/>
      <c r="AR542" s="309"/>
      <c r="AS542" s="309"/>
      <c r="AT542" s="309"/>
      <c r="AU542" s="309"/>
      <c r="AV542" s="309"/>
      <c r="AW542" s="309"/>
      <c r="AX542" s="309"/>
      <c r="AY542" s="309"/>
      <c r="AZ542" s="309"/>
      <c r="BA542" s="310"/>
      <c r="BB542" s="310"/>
      <c r="BC542" s="310"/>
      <c r="BD542" s="310"/>
      <c r="BE542" s="310"/>
      <c r="BF542" s="310"/>
      <c r="BG542" s="310"/>
      <c r="BH542" s="310"/>
      <c r="BI542" s="310"/>
      <c r="BJ542" s="310"/>
      <c r="BK542" s="310"/>
      <c r="BL542" s="310"/>
      <c r="BM542" s="310"/>
      <c r="BN542" s="221"/>
      <c r="BO542" s="221"/>
      <c r="BP542" s="221"/>
      <c r="BQ542" s="221"/>
      <c r="BR542" s="221"/>
    </row>
    <row r="543" ht="15.75" customHeight="1">
      <c r="A543" s="220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309"/>
      <c r="Y543" s="309"/>
      <c r="Z543" s="309"/>
      <c r="AA543" s="309"/>
      <c r="AB543" s="309"/>
      <c r="AC543" s="309"/>
      <c r="AD543" s="309"/>
      <c r="AE543" s="309"/>
      <c r="AF543" s="309"/>
      <c r="AG543" s="309"/>
      <c r="AH543" s="309"/>
      <c r="AI543" s="309"/>
      <c r="AJ543" s="309"/>
      <c r="AK543" s="309"/>
      <c r="AL543" s="309"/>
      <c r="AM543" s="309"/>
      <c r="AN543" s="309"/>
      <c r="AO543" s="309"/>
      <c r="AP543" s="309"/>
      <c r="AQ543" s="309"/>
      <c r="AR543" s="309"/>
      <c r="AS543" s="309"/>
      <c r="AT543" s="309"/>
      <c r="AU543" s="309"/>
      <c r="AV543" s="309"/>
      <c r="AW543" s="309"/>
      <c r="AX543" s="309"/>
      <c r="AY543" s="309"/>
      <c r="AZ543" s="309"/>
      <c r="BA543" s="310"/>
      <c r="BB543" s="310"/>
      <c r="BC543" s="310"/>
      <c r="BD543" s="310"/>
      <c r="BE543" s="310"/>
      <c r="BF543" s="310"/>
      <c r="BG543" s="310"/>
      <c r="BH543" s="310"/>
      <c r="BI543" s="310"/>
      <c r="BJ543" s="310"/>
      <c r="BK543" s="310"/>
      <c r="BL543" s="310"/>
      <c r="BM543" s="310"/>
      <c r="BN543" s="221"/>
      <c r="BO543" s="221"/>
      <c r="BP543" s="221"/>
      <c r="BQ543" s="221"/>
      <c r="BR543" s="221"/>
    </row>
    <row r="544" ht="15.75" customHeight="1">
      <c r="A544" s="220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309"/>
      <c r="Y544" s="309"/>
      <c r="Z544" s="309"/>
      <c r="AA544" s="309"/>
      <c r="AB544" s="309"/>
      <c r="AC544" s="309"/>
      <c r="AD544" s="309"/>
      <c r="AE544" s="309"/>
      <c r="AF544" s="309"/>
      <c r="AG544" s="309"/>
      <c r="AH544" s="309"/>
      <c r="AI544" s="309"/>
      <c r="AJ544" s="309"/>
      <c r="AK544" s="309"/>
      <c r="AL544" s="309"/>
      <c r="AM544" s="309"/>
      <c r="AN544" s="309"/>
      <c r="AO544" s="309"/>
      <c r="AP544" s="309"/>
      <c r="AQ544" s="309"/>
      <c r="AR544" s="309"/>
      <c r="AS544" s="309"/>
      <c r="AT544" s="309"/>
      <c r="AU544" s="309"/>
      <c r="AV544" s="309"/>
      <c r="AW544" s="309"/>
      <c r="AX544" s="309"/>
      <c r="AY544" s="309"/>
      <c r="AZ544" s="309"/>
      <c r="BA544" s="310"/>
      <c r="BB544" s="310"/>
      <c r="BC544" s="310"/>
      <c r="BD544" s="310"/>
      <c r="BE544" s="310"/>
      <c r="BF544" s="310"/>
      <c r="BG544" s="310"/>
      <c r="BH544" s="310"/>
      <c r="BI544" s="310"/>
      <c r="BJ544" s="310"/>
      <c r="BK544" s="310"/>
      <c r="BL544" s="310"/>
      <c r="BM544" s="310"/>
      <c r="BN544" s="221"/>
      <c r="BO544" s="221"/>
      <c r="BP544" s="221"/>
      <c r="BQ544" s="221"/>
      <c r="BR544" s="221"/>
    </row>
    <row r="545" ht="15.75" customHeight="1">
      <c r="A545" s="220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309"/>
      <c r="Y545" s="309"/>
      <c r="Z545" s="309"/>
      <c r="AA545" s="309"/>
      <c r="AB545" s="309"/>
      <c r="AC545" s="309"/>
      <c r="AD545" s="309"/>
      <c r="AE545" s="309"/>
      <c r="AF545" s="309"/>
      <c r="AG545" s="309"/>
      <c r="AH545" s="309"/>
      <c r="AI545" s="309"/>
      <c r="AJ545" s="309"/>
      <c r="AK545" s="309"/>
      <c r="AL545" s="309"/>
      <c r="AM545" s="309"/>
      <c r="AN545" s="309"/>
      <c r="AO545" s="309"/>
      <c r="AP545" s="309"/>
      <c r="AQ545" s="309"/>
      <c r="AR545" s="309"/>
      <c r="AS545" s="309"/>
      <c r="AT545" s="309"/>
      <c r="AU545" s="309"/>
      <c r="AV545" s="309"/>
      <c r="AW545" s="309"/>
      <c r="AX545" s="309"/>
      <c r="AY545" s="309"/>
      <c r="AZ545" s="309"/>
      <c r="BA545" s="310"/>
      <c r="BB545" s="310"/>
      <c r="BC545" s="310"/>
      <c r="BD545" s="310"/>
      <c r="BE545" s="310"/>
      <c r="BF545" s="310"/>
      <c r="BG545" s="310"/>
      <c r="BH545" s="310"/>
      <c r="BI545" s="310"/>
      <c r="BJ545" s="310"/>
      <c r="BK545" s="310"/>
      <c r="BL545" s="310"/>
      <c r="BM545" s="310"/>
      <c r="BN545" s="221"/>
      <c r="BO545" s="221"/>
      <c r="BP545" s="221"/>
      <c r="BQ545" s="221"/>
      <c r="BR545" s="221"/>
    </row>
    <row r="546" ht="15.75" customHeight="1">
      <c r="A546" s="220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309"/>
      <c r="Y546" s="309"/>
      <c r="Z546" s="309"/>
      <c r="AA546" s="309"/>
      <c r="AB546" s="309"/>
      <c r="AC546" s="309"/>
      <c r="AD546" s="309"/>
      <c r="AE546" s="309"/>
      <c r="AF546" s="309"/>
      <c r="AG546" s="309"/>
      <c r="AH546" s="309"/>
      <c r="AI546" s="309"/>
      <c r="AJ546" s="309"/>
      <c r="AK546" s="309"/>
      <c r="AL546" s="309"/>
      <c r="AM546" s="309"/>
      <c r="AN546" s="309"/>
      <c r="AO546" s="309"/>
      <c r="AP546" s="309"/>
      <c r="AQ546" s="309"/>
      <c r="AR546" s="309"/>
      <c r="AS546" s="309"/>
      <c r="AT546" s="309"/>
      <c r="AU546" s="309"/>
      <c r="AV546" s="309"/>
      <c r="AW546" s="309"/>
      <c r="AX546" s="309"/>
      <c r="AY546" s="309"/>
      <c r="AZ546" s="309"/>
      <c r="BA546" s="310"/>
      <c r="BB546" s="310"/>
      <c r="BC546" s="310"/>
      <c r="BD546" s="310"/>
      <c r="BE546" s="310"/>
      <c r="BF546" s="310"/>
      <c r="BG546" s="310"/>
      <c r="BH546" s="310"/>
      <c r="BI546" s="310"/>
      <c r="BJ546" s="310"/>
      <c r="BK546" s="310"/>
      <c r="BL546" s="310"/>
      <c r="BM546" s="310"/>
      <c r="BN546" s="221"/>
      <c r="BO546" s="221"/>
      <c r="BP546" s="221"/>
      <c r="BQ546" s="221"/>
      <c r="BR546" s="221"/>
    </row>
    <row r="547" ht="15.75" customHeight="1">
      <c r="A547" s="220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309"/>
      <c r="Y547" s="309"/>
      <c r="Z547" s="309"/>
      <c r="AA547" s="309"/>
      <c r="AB547" s="309"/>
      <c r="AC547" s="309"/>
      <c r="AD547" s="309"/>
      <c r="AE547" s="309"/>
      <c r="AF547" s="309"/>
      <c r="AG547" s="309"/>
      <c r="AH547" s="309"/>
      <c r="AI547" s="309"/>
      <c r="AJ547" s="309"/>
      <c r="AK547" s="309"/>
      <c r="AL547" s="309"/>
      <c r="AM547" s="309"/>
      <c r="AN547" s="309"/>
      <c r="AO547" s="309"/>
      <c r="AP547" s="309"/>
      <c r="AQ547" s="309"/>
      <c r="AR547" s="309"/>
      <c r="AS547" s="309"/>
      <c r="AT547" s="309"/>
      <c r="AU547" s="309"/>
      <c r="AV547" s="309"/>
      <c r="AW547" s="309"/>
      <c r="AX547" s="309"/>
      <c r="AY547" s="309"/>
      <c r="AZ547" s="309"/>
      <c r="BA547" s="310"/>
      <c r="BB547" s="310"/>
      <c r="BC547" s="310"/>
      <c r="BD547" s="310"/>
      <c r="BE547" s="310"/>
      <c r="BF547" s="310"/>
      <c r="BG547" s="310"/>
      <c r="BH547" s="310"/>
      <c r="BI547" s="310"/>
      <c r="BJ547" s="310"/>
      <c r="BK547" s="310"/>
      <c r="BL547" s="310"/>
      <c r="BM547" s="310"/>
      <c r="BN547" s="221"/>
      <c r="BO547" s="221"/>
      <c r="BP547" s="221"/>
      <c r="BQ547" s="221"/>
      <c r="BR547" s="221"/>
    </row>
    <row r="548" ht="15.75" customHeight="1">
      <c r="A548" s="220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309"/>
      <c r="Y548" s="309"/>
      <c r="Z548" s="309"/>
      <c r="AA548" s="309"/>
      <c r="AB548" s="309"/>
      <c r="AC548" s="309"/>
      <c r="AD548" s="309"/>
      <c r="AE548" s="309"/>
      <c r="AF548" s="309"/>
      <c r="AG548" s="309"/>
      <c r="AH548" s="309"/>
      <c r="AI548" s="309"/>
      <c r="AJ548" s="309"/>
      <c r="AK548" s="309"/>
      <c r="AL548" s="309"/>
      <c r="AM548" s="309"/>
      <c r="AN548" s="309"/>
      <c r="AO548" s="309"/>
      <c r="AP548" s="309"/>
      <c r="AQ548" s="309"/>
      <c r="AR548" s="309"/>
      <c r="AS548" s="309"/>
      <c r="AT548" s="309"/>
      <c r="AU548" s="309"/>
      <c r="AV548" s="309"/>
      <c r="AW548" s="309"/>
      <c r="AX548" s="309"/>
      <c r="AY548" s="309"/>
      <c r="AZ548" s="309"/>
      <c r="BA548" s="310"/>
      <c r="BB548" s="310"/>
      <c r="BC548" s="310"/>
      <c r="BD548" s="310"/>
      <c r="BE548" s="310"/>
      <c r="BF548" s="310"/>
      <c r="BG548" s="310"/>
      <c r="BH548" s="310"/>
      <c r="BI548" s="310"/>
      <c r="BJ548" s="310"/>
      <c r="BK548" s="310"/>
      <c r="BL548" s="310"/>
      <c r="BM548" s="310"/>
      <c r="BN548" s="221"/>
      <c r="BO548" s="221"/>
      <c r="BP548" s="221"/>
      <c r="BQ548" s="221"/>
      <c r="BR548" s="221"/>
    </row>
    <row r="549" ht="15.75" customHeight="1">
      <c r="A549" s="220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309"/>
      <c r="Y549" s="309"/>
      <c r="Z549" s="309"/>
      <c r="AA549" s="309"/>
      <c r="AB549" s="309"/>
      <c r="AC549" s="309"/>
      <c r="AD549" s="309"/>
      <c r="AE549" s="309"/>
      <c r="AF549" s="309"/>
      <c r="AG549" s="309"/>
      <c r="AH549" s="309"/>
      <c r="AI549" s="309"/>
      <c r="AJ549" s="309"/>
      <c r="AK549" s="309"/>
      <c r="AL549" s="309"/>
      <c r="AM549" s="309"/>
      <c r="AN549" s="309"/>
      <c r="AO549" s="309"/>
      <c r="AP549" s="309"/>
      <c r="AQ549" s="309"/>
      <c r="AR549" s="309"/>
      <c r="AS549" s="309"/>
      <c r="AT549" s="309"/>
      <c r="AU549" s="309"/>
      <c r="AV549" s="309"/>
      <c r="AW549" s="309"/>
      <c r="AX549" s="309"/>
      <c r="AY549" s="309"/>
      <c r="AZ549" s="309"/>
      <c r="BA549" s="310"/>
      <c r="BB549" s="310"/>
      <c r="BC549" s="310"/>
      <c r="BD549" s="310"/>
      <c r="BE549" s="310"/>
      <c r="BF549" s="310"/>
      <c r="BG549" s="310"/>
      <c r="BH549" s="310"/>
      <c r="BI549" s="310"/>
      <c r="BJ549" s="310"/>
      <c r="BK549" s="310"/>
      <c r="BL549" s="310"/>
      <c r="BM549" s="310"/>
      <c r="BN549" s="221"/>
      <c r="BO549" s="221"/>
      <c r="BP549" s="221"/>
      <c r="BQ549" s="221"/>
      <c r="BR549" s="221"/>
    </row>
    <row r="550" ht="15.75" customHeight="1">
      <c r="A550" s="220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309"/>
      <c r="Y550" s="309"/>
      <c r="Z550" s="309"/>
      <c r="AA550" s="309"/>
      <c r="AB550" s="309"/>
      <c r="AC550" s="309"/>
      <c r="AD550" s="309"/>
      <c r="AE550" s="309"/>
      <c r="AF550" s="309"/>
      <c r="AG550" s="309"/>
      <c r="AH550" s="309"/>
      <c r="AI550" s="309"/>
      <c r="AJ550" s="309"/>
      <c r="AK550" s="309"/>
      <c r="AL550" s="309"/>
      <c r="AM550" s="309"/>
      <c r="AN550" s="309"/>
      <c r="AO550" s="309"/>
      <c r="AP550" s="309"/>
      <c r="AQ550" s="309"/>
      <c r="AR550" s="309"/>
      <c r="AS550" s="309"/>
      <c r="AT550" s="309"/>
      <c r="AU550" s="309"/>
      <c r="AV550" s="309"/>
      <c r="AW550" s="309"/>
      <c r="AX550" s="309"/>
      <c r="AY550" s="309"/>
      <c r="AZ550" s="309"/>
      <c r="BA550" s="310"/>
      <c r="BB550" s="310"/>
      <c r="BC550" s="310"/>
      <c r="BD550" s="310"/>
      <c r="BE550" s="310"/>
      <c r="BF550" s="310"/>
      <c r="BG550" s="310"/>
      <c r="BH550" s="310"/>
      <c r="BI550" s="310"/>
      <c r="BJ550" s="310"/>
      <c r="BK550" s="310"/>
      <c r="BL550" s="310"/>
      <c r="BM550" s="310"/>
      <c r="BN550" s="221"/>
      <c r="BO550" s="221"/>
      <c r="BP550" s="221"/>
      <c r="BQ550" s="221"/>
      <c r="BR550" s="221"/>
    </row>
    <row r="551" ht="15.75" customHeight="1">
      <c r="A551" s="220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309"/>
      <c r="Y551" s="309"/>
      <c r="Z551" s="309"/>
      <c r="AA551" s="309"/>
      <c r="AB551" s="309"/>
      <c r="AC551" s="309"/>
      <c r="AD551" s="309"/>
      <c r="AE551" s="309"/>
      <c r="AF551" s="309"/>
      <c r="AG551" s="309"/>
      <c r="AH551" s="309"/>
      <c r="AI551" s="309"/>
      <c r="AJ551" s="309"/>
      <c r="AK551" s="309"/>
      <c r="AL551" s="309"/>
      <c r="AM551" s="309"/>
      <c r="AN551" s="309"/>
      <c r="AO551" s="309"/>
      <c r="AP551" s="309"/>
      <c r="AQ551" s="309"/>
      <c r="AR551" s="309"/>
      <c r="AS551" s="309"/>
      <c r="AT551" s="309"/>
      <c r="AU551" s="309"/>
      <c r="AV551" s="309"/>
      <c r="AW551" s="309"/>
      <c r="AX551" s="309"/>
      <c r="AY551" s="309"/>
      <c r="AZ551" s="309"/>
      <c r="BA551" s="310"/>
      <c r="BB551" s="310"/>
      <c r="BC551" s="310"/>
      <c r="BD551" s="310"/>
      <c r="BE551" s="310"/>
      <c r="BF551" s="310"/>
      <c r="BG551" s="310"/>
      <c r="BH551" s="310"/>
      <c r="BI551" s="310"/>
      <c r="BJ551" s="310"/>
      <c r="BK551" s="310"/>
      <c r="BL551" s="310"/>
      <c r="BM551" s="310"/>
      <c r="BN551" s="221"/>
      <c r="BO551" s="221"/>
      <c r="BP551" s="221"/>
      <c r="BQ551" s="221"/>
      <c r="BR551" s="221"/>
    </row>
    <row r="552" ht="15.75" customHeight="1">
      <c r="A552" s="220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309"/>
      <c r="Y552" s="309"/>
      <c r="Z552" s="309"/>
      <c r="AA552" s="309"/>
      <c r="AB552" s="309"/>
      <c r="AC552" s="309"/>
      <c r="AD552" s="309"/>
      <c r="AE552" s="309"/>
      <c r="AF552" s="309"/>
      <c r="AG552" s="309"/>
      <c r="AH552" s="309"/>
      <c r="AI552" s="309"/>
      <c r="AJ552" s="309"/>
      <c r="AK552" s="309"/>
      <c r="AL552" s="309"/>
      <c r="AM552" s="309"/>
      <c r="AN552" s="309"/>
      <c r="AO552" s="309"/>
      <c r="AP552" s="309"/>
      <c r="AQ552" s="309"/>
      <c r="AR552" s="309"/>
      <c r="AS552" s="309"/>
      <c r="AT552" s="309"/>
      <c r="AU552" s="309"/>
      <c r="AV552" s="309"/>
      <c r="AW552" s="309"/>
      <c r="AX552" s="309"/>
      <c r="AY552" s="309"/>
      <c r="AZ552" s="309"/>
      <c r="BA552" s="310"/>
      <c r="BB552" s="310"/>
      <c r="BC552" s="310"/>
      <c r="BD552" s="310"/>
      <c r="BE552" s="310"/>
      <c r="BF552" s="310"/>
      <c r="BG552" s="310"/>
      <c r="BH552" s="310"/>
      <c r="BI552" s="310"/>
      <c r="BJ552" s="310"/>
      <c r="BK552" s="310"/>
      <c r="BL552" s="310"/>
      <c r="BM552" s="310"/>
      <c r="BN552" s="221"/>
      <c r="BO552" s="221"/>
      <c r="BP552" s="221"/>
      <c r="BQ552" s="221"/>
      <c r="BR552" s="221"/>
    </row>
    <row r="553" ht="15.75" customHeight="1">
      <c r="A553" s="220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309"/>
      <c r="Y553" s="309"/>
      <c r="Z553" s="309"/>
      <c r="AA553" s="309"/>
      <c r="AB553" s="309"/>
      <c r="AC553" s="309"/>
      <c r="AD553" s="309"/>
      <c r="AE553" s="309"/>
      <c r="AF553" s="309"/>
      <c r="AG553" s="309"/>
      <c r="AH553" s="309"/>
      <c r="AI553" s="309"/>
      <c r="AJ553" s="309"/>
      <c r="AK553" s="309"/>
      <c r="AL553" s="309"/>
      <c r="AM553" s="309"/>
      <c r="AN553" s="309"/>
      <c r="AO553" s="309"/>
      <c r="AP553" s="309"/>
      <c r="AQ553" s="309"/>
      <c r="AR553" s="309"/>
      <c r="AS553" s="309"/>
      <c r="AT553" s="309"/>
      <c r="AU553" s="309"/>
      <c r="AV553" s="309"/>
      <c r="AW553" s="309"/>
      <c r="AX553" s="309"/>
      <c r="AY553" s="309"/>
      <c r="AZ553" s="309"/>
      <c r="BA553" s="310"/>
      <c r="BB553" s="310"/>
      <c r="BC553" s="310"/>
      <c r="BD553" s="310"/>
      <c r="BE553" s="310"/>
      <c r="BF553" s="310"/>
      <c r="BG553" s="310"/>
      <c r="BH553" s="310"/>
      <c r="BI553" s="310"/>
      <c r="BJ553" s="310"/>
      <c r="BK553" s="310"/>
      <c r="BL553" s="310"/>
      <c r="BM553" s="310"/>
      <c r="BN553" s="221"/>
      <c r="BO553" s="221"/>
      <c r="BP553" s="221"/>
      <c r="BQ553" s="221"/>
      <c r="BR553" s="221"/>
    </row>
    <row r="554" ht="15.75" customHeight="1">
      <c r="A554" s="220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309"/>
      <c r="Y554" s="309"/>
      <c r="Z554" s="309"/>
      <c r="AA554" s="309"/>
      <c r="AB554" s="309"/>
      <c r="AC554" s="309"/>
      <c r="AD554" s="309"/>
      <c r="AE554" s="309"/>
      <c r="AF554" s="309"/>
      <c r="AG554" s="309"/>
      <c r="AH554" s="309"/>
      <c r="AI554" s="309"/>
      <c r="AJ554" s="309"/>
      <c r="AK554" s="309"/>
      <c r="AL554" s="309"/>
      <c r="AM554" s="309"/>
      <c r="AN554" s="309"/>
      <c r="AO554" s="309"/>
      <c r="AP554" s="309"/>
      <c r="AQ554" s="309"/>
      <c r="AR554" s="309"/>
      <c r="AS554" s="309"/>
      <c r="AT554" s="309"/>
      <c r="AU554" s="309"/>
      <c r="AV554" s="309"/>
      <c r="AW554" s="309"/>
      <c r="AX554" s="309"/>
      <c r="AY554" s="309"/>
      <c r="AZ554" s="309"/>
      <c r="BA554" s="310"/>
      <c r="BB554" s="310"/>
      <c r="BC554" s="310"/>
      <c r="BD554" s="310"/>
      <c r="BE554" s="310"/>
      <c r="BF554" s="310"/>
      <c r="BG554" s="310"/>
      <c r="BH554" s="310"/>
      <c r="BI554" s="310"/>
      <c r="BJ554" s="310"/>
      <c r="BK554" s="310"/>
      <c r="BL554" s="310"/>
      <c r="BM554" s="310"/>
      <c r="BN554" s="221"/>
      <c r="BO554" s="221"/>
      <c r="BP554" s="221"/>
      <c r="BQ554" s="221"/>
      <c r="BR554" s="221"/>
    </row>
    <row r="555" ht="15.75" customHeight="1">
      <c r="A555" s="220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309"/>
      <c r="Y555" s="309"/>
      <c r="Z555" s="309"/>
      <c r="AA555" s="309"/>
      <c r="AB555" s="309"/>
      <c r="AC555" s="309"/>
      <c r="AD555" s="309"/>
      <c r="AE555" s="309"/>
      <c r="AF555" s="309"/>
      <c r="AG555" s="309"/>
      <c r="AH555" s="309"/>
      <c r="AI555" s="309"/>
      <c r="AJ555" s="309"/>
      <c r="AK555" s="309"/>
      <c r="AL555" s="309"/>
      <c r="AM555" s="309"/>
      <c r="AN555" s="309"/>
      <c r="AO555" s="309"/>
      <c r="AP555" s="309"/>
      <c r="AQ555" s="309"/>
      <c r="AR555" s="309"/>
      <c r="AS555" s="309"/>
      <c r="AT555" s="309"/>
      <c r="AU555" s="309"/>
      <c r="AV555" s="309"/>
      <c r="AW555" s="309"/>
      <c r="AX555" s="309"/>
      <c r="AY555" s="309"/>
      <c r="AZ555" s="309"/>
      <c r="BA555" s="310"/>
      <c r="BB555" s="310"/>
      <c r="BC555" s="310"/>
      <c r="BD555" s="310"/>
      <c r="BE555" s="310"/>
      <c r="BF555" s="310"/>
      <c r="BG555" s="310"/>
      <c r="BH555" s="310"/>
      <c r="BI555" s="310"/>
      <c r="BJ555" s="310"/>
      <c r="BK555" s="310"/>
      <c r="BL555" s="310"/>
      <c r="BM555" s="310"/>
      <c r="BN555" s="221"/>
      <c r="BO555" s="221"/>
      <c r="BP555" s="221"/>
      <c r="BQ555" s="221"/>
      <c r="BR555" s="221"/>
    </row>
    <row r="556" ht="15.75" customHeight="1">
      <c r="A556" s="220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309"/>
      <c r="Y556" s="309"/>
      <c r="Z556" s="309"/>
      <c r="AA556" s="309"/>
      <c r="AB556" s="309"/>
      <c r="AC556" s="309"/>
      <c r="AD556" s="309"/>
      <c r="AE556" s="309"/>
      <c r="AF556" s="309"/>
      <c r="AG556" s="309"/>
      <c r="AH556" s="309"/>
      <c r="AI556" s="309"/>
      <c r="AJ556" s="309"/>
      <c r="AK556" s="309"/>
      <c r="AL556" s="309"/>
      <c r="AM556" s="309"/>
      <c r="AN556" s="309"/>
      <c r="AO556" s="309"/>
      <c r="AP556" s="309"/>
      <c r="AQ556" s="309"/>
      <c r="AR556" s="309"/>
      <c r="AS556" s="309"/>
      <c r="AT556" s="309"/>
      <c r="AU556" s="309"/>
      <c r="AV556" s="309"/>
      <c r="AW556" s="309"/>
      <c r="AX556" s="309"/>
      <c r="AY556" s="309"/>
      <c r="AZ556" s="309"/>
      <c r="BA556" s="310"/>
      <c r="BB556" s="310"/>
      <c r="BC556" s="310"/>
      <c r="BD556" s="310"/>
      <c r="BE556" s="310"/>
      <c r="BF556" s="310"/>
      <c r="BG556" s="310"/>
      <c r="BH556" s="310"/>
      <c r="BI556" s="310"/>
      <c r="BJ556" s="310"/>
      <c r="BK556" s="310"/>
      <c r="BL556" s="310"/>
      <c r="BM556" s="310"/>
      <c r="BN556" s="221"/>
      <c r="BO556" s="221"/>
      <c r="BP556" s="221"/>
      <c r="BQ556" s="221"/>
      <c r="BR556" s="221"/>
    </row>
    <row r="557" ht="15.75" customHeight="1">
      <c r="A557" s="220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309"/>
      <c r="Y557" s="309"/>
      <c r="Z557" s="309"/>
      <c r="AA557" s="309"/>
      <c r="AB557" s="309"/>
      <c r="AC557" s="309"/>
      <c r="AD557" s="309"/>
      <c r="AE557" s="309"/>
      <c r="AF557" s="309"/>
      <c r="AG557" s="309"/>
      <c r="AH557" s="309"/>
      <c r="AI557" s="309"/>
      <c r="AJ557" s="309"/>
      <c r="AK557" s="309"/>
      <c r="AL557" s="309"/>
      <c r="AM557" s="309"/>
      <c r="AN557" s="309"/>
      <c r="AO557" s="309"/>
      <c r="AP557" s="309"/>
      <c r="AQ557" s="309"/>
      <c r="AR557" s="309"/>
      <c r="AS557" s="309"/>
      <c r="AT557" s="309"/>
      <c r="AU557" s="309"/>
      <c r="AV557" s="309"/>
      <c r="AW557" s="309"/>
      <c r="AX557" s="309"/>
      <c r="AY557" s="309"/>
      <c r="AZ557" s="309"/>
      <c r="BA557" s="310"/>
      <c r="BB557" s="310"/>
      <c r="BC557" s="310"/>
      <c r="BD557" s="310"/>
      <c r="BE557" s="310"/>
      <c r="BF557" s="310"/>
      <c r="BG557" s="310"/>
      <c r="BH557" s="310"/>
      <c r="BI557" s="310"/>
      <c r="BJ557" s="310"/>
      <c r="BK557" s="310"/>
      <c r="BL557" s="310"/>
      <c r="BM557" s="310"/>
      <c r="BN557" s="221"/>
      <c r="BO557" s="221"/>
      <c r="BP557" s="221"/>
      <c r="BQ557" s="221"/>
      <c r="BR557" s="221"/>
    </row>
    <row r="558" ht="15.75" customHeight="1">
      <c r="A558" s="220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309"/>
      <c r="Y558" s="309"/>
      <c r="Z558" s="309"/>
      <c r="AA558" s="309"/>
      <c r="AB558" s="309"/>
      <c r="AC558" s="309"/>
      <c r="AD558" s="309"/>
      <c r="AE558" s="309"/>
      <c r="AF558" s="309"/>
      <c r="AG558" s="309"/>
      <c r="AH558" s="309"/>
      <c r="AI558" s="309"/>
      <c r="AJ558" s="309"/>
      <c r="AK558" s="309"/>
      <c r="AL558" s="309"/>
      <c r="AM558" s="309"/>
      <c r="AN558" s="309"/>
      <c r="AO558" s="309"/>
      <c r="AP558" s="309"/>
      <c r="AQ558" s="309"/>
      <c r="AR558" s="309"/>
      <c r="AS558" s="309"/>
      <c r="AT558" s="309"/>
      <c r="AU558" s="309"/>
      <c r="AV558" s="309"/>
      <c r="AW558" s="309"/>
      <c r="AX558" s="309"/>
      <c r="AY558" s="309"/>
      <c r="AZ558" s="309"/>
      <c r="BA558" s="310"/>
      <c r="BB558" s="310"/>
      <c r="BC558" s="310"/>
      <c r="BD558" s="310"/>
      <c r="BE558" s="310"/>
      <c r="BF558" s="310"/>
      <c r="BG558" s="310"/>
      <c r="BH558" s="310"/>
      <c r="BI558" s="310"/>
      <c r="BJ558" s="310"/>
      <c r="BK558" s="310"/>
      <c r="BL558" s="310"/>
      <c r="BM558" s="310"/>
      <c r="BN558" s="221"/>
      <c r="BO558" s="221"/>
      <c r="BP558" s="221"/>
      <c r="BQ558" s="221"/>
      <c r="BR558" s="221"/>
    </row>
    <row r="559" ht="15.75" customHeight="1">
      <c r="A559" s="220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309"/>
      <c r="Y559" s="309"/>
      <c r="Z559" s="309"/>
      <c r="AA559" s="309"/>
      <c r="AB559" s="309"/>
      <c r="AC559" s="309"/>
      <c r="AD559" s="309"/>
      <c r="AE559" s="309"/>
      <c r="AF559" s="309"/>
      <c r="AG559" s="309"/>
      <c r="AH559" s="309"/>
      <c r="AI559" s="309"/>
      <c r="AJ559" s="309"/>
      <c r="AK559" s="309"/>
      <c r="AL559" s="309"/>
      <c r="AM559" s="309"/>
      <c r="AN559" s="309"/>
      <c r="AO559" s="309"/>
      <c r="AP559" s="309"/>
      <c r="AQ559" s="309"/>
      <c r="AR559" s="309"/>
      <c r="AS559" s="309"/>
      <c r="AT559" s="309"/>
      <c r="AU559" s="309"/>
      <c r="AV559" s="309"/>
      <c r="AW559" s="309"/>
      <c r="AX559" s="309"/>
      <c r="AY559" s="309"/>
      <c r="AZ559" s="309"/>
      <c r="BA559" s="310"/>
      <c r="BB559" s="310"/>
      <c r="BC559" s="310"/>
      <c r="BD559" s="310"/>
      <c r="BE559" s="310"/>
      <c r="BF559" s="310"/>
      <c r="BG559" s="310"/>
      <c r="BH559" s="310"/>
      <c r="BI559" s="310"/>
      <c r="BJ559" s="310"/>
      <c r="BK559" s="310"/>
      <c r="BL559" s="310"/>
      <c r="BM559" s="310"/>
      <c r="BN559" s="221"/>
      <c r="BO559" s="221"/>
      <c r="BP559" s="221"/>
      <c r="BQ559" s="221"/>
      <c r="BR559" s="221"/>
    </row>
    <row r="560" ht="15.75" customHeight="1">
      <c r="A560" s="220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309"/>
      <c r="Y560" s="309"/>
      <c r="Z560" s="309"/>
      <c r="AA560" s="309"/>
      <c r="AB560" s="309"/>
      <c r="AC560" s="309"/>
      <c r="AD560" s="309"/>
      <c r="AE560" s="309"/>
      <c r="AF560" s="309"/>
      <c r="AG560" s="309"/>
      <c r="AH560" s="309"/>
      <c r="AI560" s="309"/>
      <c r="AJ560" s="309"/>
      <c r="AK560" s="309"/>
      <c r="AL560" s="309"/>
      <c r="AM560" s="309"/>
      <c r="AN560" s="309"/>
      <c r="AO560" s="309"/>
      <c r="AP560" s="309"/>
      <c r="AQ560" s="309"/>
      <c r="AR560" s="309"/>
      <c r="AS560" s="309"/>
      <c r="AT560" s="309"/>
      <c r="AU560" s="309"/>
      <c r="AV560" s="309"/>
      <c r="AW560" s="309"/>
      <c r="AX560" s="309"/>
      <c r="AY560" s="309"/>
      <c r="AZ560" s="309"/>
      <c r="BA560" s="310"/>
      <c r="BB560" s="310"/>
      <c r="BC560" s="310"/>
      <c r="BD560" s="310"/>
      <c r="BE560" s="310"/>
      <c r="BF560" s="310"/>
      <c r="BG560" s="310"/>
      <c r="BH560" s="310"/>
      <c r="BI560" s="310"/>
      <c r="BJ560" s="310"/>
      <c r="BK560" s="310"/>
      <c r="BL560" s="310"/>
      <c r="BM560" s="310"/>
      <c r="BN560" s="221"/>
      <c r="BO560" s="221"/>
      <c r="BP560" s="221"/>
      <c r="BQ560" s="221"/>
      <c r="BR560" s="221"/>
    </row>
    <row r="561" ht="15.75" customHeight="1">
      <c r="A561" s="220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309"/>
      <c r="Y561" s="309"/>
      <c r="Z561" s="309"/>
      <c r="AA561" s="309"/>
      <c r="AB561" s="309"/>
      <c r="AC561" s="309"/>
      <c r="AD561" s="309"/>
      <c r="AE561" s="309"/>
      <c r="AF561" s="309"/>
      <c r="AG561" s="309"/>
      <c r="AH561" s="309"/>
      <c r="AI561" s="309"/>
      <c r="AJ561" s="309"/>
      <c r="AK561" s="309"/>
      <c r="AL561" s="309"/>
      <c r="AM561" s="309"/>
      <c r="AN561" s="309"/>
      <c r="AO561" s="309"/>
      <c r="AP561" s="309"/>
      <c r="AQ561" s="309"/>
      <c r="AR561" s="309"/>
      <c r="AS561" s="309"/>
      <c r="AT561" s="309"/>
      <c r="AU561" s="309"/>
      <c r="AV561" s="309"/>
      <c r="AW561" s="309"/>
      <c r="AX561" s="309"/>
      <c r="AY561" s="309"/>
      <c r="AZ561" s="309"/>
      <c r="BA561" s="310"/>
      <c r="BB561" s="310"/>
      <c r="BC561" s="310"/>
      <c r="BD561" s="310"/>
      <c r="BE561" s="310"/>
      <c r="BF561" s="310"/>
      <c r="BG561" s="310"/>
      <c r="BH561" s="310"/>
      <c r="BI561" s="310"/>
      <c r="BJ561" s="310"/>
      <c r="BK561" s="310"/>
      <c r="BL561" s="310"/>
      <c r="BM561" s="310"/>
      <c r="BN561" s="221"/>
      <c r="BO561" s="221"/>
      <c r="BP561" s="221"/>
      <c r="BQ561" s="221"/>
      <c r="BR561" s="221"/>
    </row>
    <row r="562" ht="15.75" customHeight="1">
      <c r="A562" s="220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309"/>
      <c r="Y562" s="309"/>
      <c r="Z562" s="309"/>
      <c r="AA562" s="309"/>
      <c r="AB562" s="309"/>
      <c r="AC562" s="309"/>
      <c r="AD562" s="309"/>
      <c r="AE562" s="309"/>
      <c r="AF562" s="309"/>
      <c r="AG562" s="309"/>
      <c r="AH562" s="309"/>
      <c r="AI562" s="309"/>
      <c r="AJ562" s="309"/>
      <c r="AK562" s="309"/>
      <c r="AL562" s="309"/>
      <c r="AM562" s="309"/>
      <c r="AN562" s="309"/>
      <c r="AO562" s="309"/>
      <c r="AP562" s="309"/>
      <c r="AQ562" s="309"/>
      <c r="AR562" s="309"/>
      <c r="AS562" s="309"/>
      <c r="AT562" s="309"/>
      <c r="AU562" s="309"/>
      <c r="AV562" s="309"/>
      <c r="AW562" s="309"/>
      <c r="AX562" s="309"/>
      <c r="AY562" s="309"/>
      <c r="AZ562" s="309"/>
      <c r="BA562" s="310"/>
      <c r="BB562" s="310"/>
      <c r="BC562" s="310"/>
      <c r="BD562" s="310"/>
      <c r="BE562" s="310"/>
      <c r="BF562" s="310"/>
      <c r="BG562" s="310"/>
      <c r="BH562" s="310"/>
      <c r="BI562" s="310"/>
      <c r="BJ562" s="310"/>
      <c r="BK562" s="310"/>
      <c r="BL562" s="310"/>
      <c r="BM562" s="310"/>
      <c r="BN562" s="221"/>
      <c r="BO562" s="221"/>
      <c r="BP562" s="221"/>
      <c r="BQ562" s="221"/>
      <c r="BR562" s="221"/>
    </row>
    <row r="563" ht="15.75" customHeight="1">
      <c r="A563" s="220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309"/>
      <c r="Y563" s="309"/>
      <c r="Z563" s="309"/>
      <c r="AA563" s="309"/>
      <c r="AB563" s="309"/>
      <c r="AC563" s="309"/>
      <c r="AD563" s="309"/>
      <c r="AE563" s="309"/>
      <c r="AF563" s="309"/>
      <c r="AG563" s="309"/>
      <c r="AH563" s="309"/>
      <c r="AI563" s="309"/>
      <c r="AJ563" s="309"/>
      <c r="AK563" s="309"/>
      <c r="AL563" s="309"/>
      <c r="AM563" s="309"/>
      <c r="AN563" s="309"/>
      <c r="AO563" s="309"/>
      <c r="AP563" s="309"/>
      <c r="AQ563" s="309"/>
      <c r="AR563" s="309"/>
      <c r="AS563" s="309"/>
      <c r="AT563" s="309"/>
      <c r="AU563" s="309"/>
      <c r="AV563" s="309"/>
      <c r="AW563" s="309"/>
      <c r="AX563" s="309"/>
      <c r="AY563" s="309"/>
      <c r="AZ563" s="309"/>
      <c r="BA563" s="310"/>
      <c r="BB563" s="310"/>
      <c r="BC563" s="310"/>
      <c r="BD563" s="310"/>
      <c r="BE563" s="310"/>
      <c r="BF563" s="310"/>
      <c r="BG563" s="310"/>
      <c r="BH563" s="310"/>
      <c r="BI563" s="310"/>
      <c r="BJ563" s="310"/>
      <c r="BK563" s="310"/>
      <c r="BL563" s="310"/>
      <c r="BM563" s="310"/>
      <c r="BN563" s="221"/>
      <c r="BO563" s="221"/>
      <c r="BP563" s="221"/>
      <c r="BQ563" s="221"/>
      <c r="BR563" s="221"/>
    </row>
    <row r="564" ht="15.75" customHeight="1">
      <c r="A564" s="220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309"/>
      <c r="Y564" s="309"/>
      <c r="Z564" s="309"/>
      <c r="AA564" s="309"/>
      <c r="AB564" s="309"/>
      <c r="AC564" s="309"/>
      <c r="AD564" s="309"/>
      <c r="AE564" s="309"/>
      <c r="AF564" s="309"/>
      <c r="AG564" s="309"/>
      <c r="AH564" s="309"/>
      <c r="AI564" s="309"/>
      <c r="AJ564" s="309"/>
      <c r="AK564" s="309"/>
      <c r="AL564" s="309"/>
      <c r="AM564" s="309"/>
      <c r="AN564" s="309"/>
      <c r="AO564" s="309"/>
      <c r="AP564" s="309"/>
      <c r="AQ564" s="309"/>
      <c r="AR564" s="309"/>
      <c r="AS564" s="309"/>
      <c r="AT564" s="309"/>
      <c r="AU564" s="309"/>
      <c r="AV564" s="309"/>
      <c r="AW564" s="309"/>
      <c r="AX564" s="309"/>
      <c r="AY564" s="309"/>
      <c r="AZ564" s="309"/>
      <c r="BA564" s="310"/>
      <c r="BB564" s="310"/>
      <c r="BC564" s="310"/>
      <c r="BD564" s="310"/>
      <c r="BE564" s="310"/>
      <c r="BF564" s="310"/>
      <c r="BG564" s="310"/>
      <c r="BH564" s="310"/>
      <c r="BI564" s="310"/>
      <c r="BJ564" s="310"/>
      <c r="BK564" s="310"/>
      <c r="BL564" s="310"/>
      <c r="BM564" s="310"/>
      <c r="BN564" s="221"/>
      <c r="BO564" s="221"/>
      <c r="BP564" s="221"/>
      <c r="BQ564" s="221"/>
      <c r="BR564" s="221"/>
    </row>
    <row r="565" ht="15.75" customHeight="1">
      <c r="A565" s="220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309"/>
      <c r="Y565" s="309"/>
      <c r="Z565" s="309"/>
      <c r="AA565" s="309"/>
      <c r="AB565" s="309"/>
      <c r="AC565" s="309"/>
      <c r="AD565" s="309"/>
      <c r="AE565" s="309"/>
      <c r="AF565" s="309"/>
      <c r="AG565" s="309"/>
      <c r="AH565" s="309"/>
      <c r="AI565" s="309"/>
      <c r="AJ565" s="309"/>
      <c r="AK565" s="309"/>
      <c r="AL565" s="309"/>
      <c r="AM565" s="309"/>
      <c r="AN565" s="309"/>
      <c r="AO565" s="309"/>
      <c r="AP565" s="309"/>
      <c r="AQ565" s="309"/>
      <c r="AR565" s="309"/>
      <c r="AS565" s="309"/>
      <c r="AT565" s="309"/>
      <c r="AU565" s="309"/>
      <c r="AV565" s="309"/>
      <c r="AW565" s="309"/>
      <c r="AX565" s="309"/>
      <c r="AY565" s="309"/>
      <c r="AZ565" s="309"/>
      <c r="BA565" s="310"/>
      <c r="BB565" s="310"/>
      <c r="BC565" s="310"/>
      <c r="BD565" s="310"/>
      <c r="BE565" s="310"/>
      <c r="BF565" s="310"/>
      <c r="BG565" s="310"/>
      <c r="BH565" s="310"/>
      <c r="BI565" s="310"/>
      <c r="BJ565" s="310"/>
      <c r="BK565" s="310"/>
      <c r="BL565" s="310"/>
      <c r="BM565" s="310"/>
      <c r="BN565" s="221"/>
      <c r="BO565" s="221"/>
      <c r="BP565" s="221"/>
      <c r="BQ565" s="221"/>
      <c r="BR565" s="221"/>
    </row>
    <row r="566" ht="15.75" customHeight="1">
      <c r="A566" s="220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309"/>
      <c r="Y566" s="309"/>
      <c r="Z566" s="309"/>
      <c r="AA566" s="309"/>
      <c r="AB566" s="309"/>
      <c r="AC566" s="309"/>
      <c r="AD566" s="309"/>
      <c r="AE566" s="309"/>
      <c r="AF566" s="309"/>
      <c r="AG566" s="309"/>
      <c r="AH566" s="309"/>
      <c r="AI566" s="309"/>
      <c r="AJ566" s="309"/>
      <c r="AK566" s="309"/>
      <c r="AL566" s="309"/>
      <c r="AM566" s="309"/>
      <c r="AN566" s="309"/>
      <c r="AO566" s="309"/>
      <c r="AP566" s="309"/>
      <c r="AQ566" s="309"/>
      <c r="AR566" s="309"/>
      <c r="AS566" s="309"/>
      <c r="AT566" s="309"/>
      <c r="AU566" s="309"/>
      <c r="AV566" s="309"/>
      <c r="AW566" s="309"/>
      <c r="AX566" s="309"/>
      <c r="AY566" s="309"/>
      <c r="AZ566" s="309"/>
      <c r="BA566" s="310"/>
      <c r="BB566" s="310"/>
      <c r="BC566" s="310"/>
      <c r="BD566" s="310"/>
      <c r="BE566" s="310"/>
      <c r="BF566" s="310"/>
      <c r="BG566" s="310"/>
      <c r="BH566" s="310"/>
      <c r="BI566" s="310"/>
      <c r="BJ566" s="310"/>
      <c r="BK566" s="310"/>
      <c r="BL566" s="310"/>
      <c r="BM566" s="310"/>
      <c r="BN566" s="221"/>
      <c r="BO566" s="221"/>
      <c r="BP566" s="221"/>
      <c r="BQ566" s="221"/>
      <c r="BR566" s="221"/>
    </row>
    <row r="567" ht="15.75" customHeight="1">
      <c r="A567" s="220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309"/>
      <c r="Y567" s="309"/>
      <c r="Z567" s="309"/>
      <c r="AA567" s="309"/>
      <c r="AB567" s="309"/>
      <c r="AC567" s="309"/>
      <c r="AD567" s="309"/>
      <c r="AE567" s="309"/>
      <c r="AF567" s="309"/>
      <c r="AG567" s="309"/>
      <c r="AH567" s="309"/>
      <c r="AI567" s="309"/>
      <c r="AJ567" s="309"/>
      <c r="AK567" s="309"/>
      <c r="AL567" s="309"/>
      <c r="AM567" s="309"/>
      <c r="AN567" s="309"/>
      <c r="AO567" s="309"/>
      <c r="AP567" s="309"/>
      <c r="AQ567" s="309"/>
      <c r="AR567" s="309"/>
      <c r="AS567" s="309"/>
      <c r="AT567" s="309"/>
      <c r="AU567" s="309"/>
      <c r="AV567" s="309"/>
      <c r="AW567" s="309"/>
      <c r="AX567" s="309"/>
      <c r="AY567" s="309"/>
      <c r="AZ567" s="309"/>
      <c r="BA567" s="310"/>
      <c r="BB567" s="310"/>
      <c r="BC567" s="310"/>
      <c r="BD567" s="310"/>
      <c r="BE567" s="310"/>
      <c r="BF567" s="310"/>
      <c r="BG567" s="310"/>
      <c r="BH567" s="310"/>
      <c r="BI567" s="310"/>
      <c r="BJ567" s="310"/>
      <c r="BK567" s="310"/>
      <c r="BL567" s="310"/>
      <c r="BM567" s="310"/>
      <c r="BN567" s="221"/>
      <c r="BO567" s="221"/>
      <c r="BP567" s="221"/>
      <c r="BQ567" s="221"/>
      <c r="BR567" s="221"/>
    </row>
    <row r="568" ht="15.75" customHeight="1">
      <c r="A568" s="220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309"/>
      <c r="Y568" s="309"/>
      <c r="Z568" s="309"/>
      <c r="AA568" s="309"/>
      <c r="AB568" s="309"/>
      <c r="AC568" s="309"/>
      <c r="AD568" s="309"/>
      <c r="AE568" s="309"/>
      <c r="AF568" s="309"/>
      <c r="AG568" s="309"/>
      <c r="AH568" s="309"/>
      <c r="AI568" s="309"/>
      <c r="AJ568" s="309"/>
      <c r="AK568" s="309"/>
      <c r="AL568" s="309"/>
      <c r="AM568" s="309"/>
      <c r="AN568" s="309"/>
      <c r="AO568" s="309"/>
      <c r="AP568" s="309"/>
      <c r="AQ568" s="309"/>
      <c r="AR568" s="309"/>
      <c r="AS568" s="309"/>
      <c r="AT568" s="309"/>
      <c r="AU568" s="309"/>
      <c r="AV568" s="309"/>
      <c r="AW568" s="309"/>
      <c r="AX568" s="309"/>
      <c r="AY568" s="309"/>
      <c r="AZ568" s="309"/>
      <c r="BA568" s="310"/>
      <c r="BB568" s="310"/>
      <c r="BC568" s="310"/>
      <c r="BD568" s="310"/>
      <c r="BE568" s="310"/>
      <c r="BF568" s="310"/>
      <c r="BG568" s="310"/>
      <c r="BH568" s="310"/>
      <c r="BI568" s="310"/>
      <c r="BJ568" s="310"/>
      <c r="BK568" s="310"/>
      <c r="BL568" s="310"/>
      <c r="BM568" s="310"/>
      <c r="BN568" s="221"/>
      <c r="BO568" s="221"/>
      <c r="BP568" s="221"/>
      <c r="BQ568" s="221"/>
      <c r="BR568" s="221"/>
    </row>
    <row r="569" ht="15.75" customHeight="1">
      <c r="A569" s="220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309"/>
      <c r="Y569" s="309"/>
      <c r="Z569" s="309"/>
      <c r="AA569" s="309"/>
      <c r="AB569" s="309"/>
      <c r="AC569" s="309"/>
      <c r="AD569" s="309"/>
      <c r="AE569" s="309"/>
      <c r="AF569" s="309"/>
      <c r="AG569" s="309"/>
      <c r="AH569" s="309"/>
      <c r="AI569" s="309"/>
      <c r="AJ569" s="309"/>
      <c r="AK569" s="309"/>
      <c r="AL569" s="309"/>
      <c r="AM569" s="309"/>
      <c r="AN569" s="309"/>
      <c r="AO569" s="309"/>
      <c r="AP569" s="309"/>
      <c r="AQ569" s="309"/>
      <c r="AR569" s="309"/>
      <c r="AS569" s="309"/>
      <c r="AT569" s="309"/>
      <c r="AU569" s="309"/>
      <c r="AV569" s="309"/>
      <c r="AW569" s="309"/>
      <c r="AX569" s="309"/>
      <c r="AY569" s="309"/>
      <c r="AZ569" s="309"/>
      <c r="BA569" s="310"/>
      <c r="BB569" s="310"/>
      <c r="BC569" s="310"/>
      <c r="BD569" s="310"/>
      <c r="BE569" s="310"/>
      <c r="BF569" s="310"/>
      <c r="BG569" s="310"/>
      <c r="BH569" s="310"/>
      <c r="BI569" s="310"/>
      <c r="BJ569" s="310"/>
      <c r="BK569" s="310"/>
      <c r="BL569" s="310"/>
      <c r="BM569" s="310"/>
      <c r="BN569" s="221"/>
      <c r="BO569" s="221"/>
      <c r="BP569" s="221"/>
      <c r="BQ569" s="221"/>
      <c r="BR569" s="221"/>
    </row>
    <row r="570" ht="15.75" customHeight="1">
      <c r="A570" s="220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309"/>
      <c r="Y570" s="309"/>
      <c r="Z570" s="309"/>
      <c r="AA570" s="309"/>
      <c r="AB570" s="309"/>
      <c r="AC570" s="309"/>
      <c r="AD570" s="309"/>
      <c r="AE570" s="309"/>
      <c r="AF570" s="309"/>
      <c r="AG570" s="309"/>
      <c r="AH570" s="309"/>
      <c r="AI570" s="309"/>
      <c r="AJ570" s="309"/>
      <c r="AK570" s="309"/>
      <c r="AL570" s="309"/>
      <c r="AM570" s="309"/>
      <c r="AN570" s="309"/>
      <c r="AO570" s="309"/>
      <c r="AP570" s="309"/>
      <c r="AQ570" s="309"/>
      <c r="AR570" s="309"/>
      <c r="AS570" s="309"/>
      <c r="AT570" s="309"/>
      <c r="AU570" s="309"/>
      <c r="AV570" s="309"/>
      <c r="AW570" s="309"/>
      <c r="AX570" s="309"/>
      <c r="AY570" s="309"/>
      <c r="AZ570" s="309"/>
      <c r="BA570" s="310"/>
      <c r="BB570" s="310"/>
      <c r="BC570" s="310"/>
      <c r="BD570" s="310"/>
      <c r="BE570" s="310"/>
      <c r="BF570" s="310"/>
      <c r="BG570" s="310"/>
      <c r="BH570" s="310"/>
      <c r="BI570" s="310"/>
      <c r="BJ570" s="310"/>
      <c r="BK570" s="310"/>
      <c r="BL570" s="310"/>
      <c r="BM570" s="310"/>
      <c r="BN570" s="221"/>
      <c r="BO570" s="221"/>
      <c r="BP570" s="221"/>
      <c r="BQ570" s="221"/>
      <c r="BR570" s="221"/>
    </row>
    <row r="571" ht="15.75" customHeight="1">
      <c r="A571" s="220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309"/>
      <c r="Y571" s="309"/>
      <c r="Z571" s="309"/>
      <c r="AA571" s="309"/>
      <c r="AB571" s="309"/>
      <c r="AC571" s="309"/>
      <c r="AD571" s="309"/>
      <c r="AE571" s="309"/>
      <c r="AF571" s="309"/>
      <c r="AG571" s="309"/>
      <c r="AH571" s="309"/>
      <c r="AI571" s="309"/>
      <c r="AJ571" s="309"/>
      <c r="AK571" s="309"/>
      <c r="AL571" s="309"/>
      <c r="AM571" s="309"/>
      <c r="AN571" s="309"/>
      <c r="AO571" s="309"/>
      <c r="AP571" s="309"/>
      <c r="AQ571" s="309"/>
      <c r="AR571" s="309"/>
      <c r="AS571" s="309"/>
      <c r="AT571" s="309"/>
      <c r="AU571" s="309"/>
      <c r="AV571" s="309"/>
      <c r="AW571" s="309"/>
      <c r="AX571" s="309"/>
      <c r="AY571" s="309"/>
      <c r="AZ571" s="309"/>
      <c r="BA571" s="310"/>
      <c r="BB571" s="310"/>
      <c r="BC571" s="310"/>
      <c r="BD571" s="310"/>
      <c r="BE571" s="310"/>
      <c r="BF571" s="310"/>
      <c r="BG571" s="310"/>
      <c r="BH571" s="310"/>
      <c r="BI571" s="310"/>
      <c r="BJ571" s="310"/>
      <c r="BK571" s="310"/>
      <c r="BL571" s="310"/>
      <c r="BM571" s="310"/>
      <c r="BN571" s="221"/>
      <c r="BO571" s="221"/>
      <c r="BP571" s="221"/>
      <c r="BQ571" s="221"/>
      <c r="BR571" s="221"/>
    </row>
    <row r="572" ht="15.75" customHeight="1">
      <c r="A572" s="220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309"/>
      <c r="Y572" s="309"/>
      <c r="Z572" s="309"/>
      <c r="AA572" s="309"/>
      <c r="AB572" s="309"/>
      <c r="AC572" s="309"/>
      <c r="AD572" s="309"/>
      <c r="AE572" s="309"/>
      <c r="AF572" s="309"/>
      <c r="AG572" s="309"/>
      <c r="AH572" s="309"/>
      <c r="AI572" s="309"/>
      <c r="AJ572" s="309"/>
      <c r="AK572" s="309"/>
      <c r="AL572" s="309"/>
      <c r="AM572" s="309"/>
      <c r="AN572" s="309"/>
      <c r="AO572" s="309"/>
      <c r="AP572" s="309"/>
      <c r="AQ572" s="309"/>
      <c r="AR572" s="309"/>
      <c r="AS572" s="309"/>
      <c r="AT572" s="309"/>
      <c r="AU572" s="309"/>
      <c r="AV572" s="309"/>
      <c r="AW572" s="309"/>
      <c r="AX572" s="309"/>
      <c r="AY572" s="309"/>
      <c r="AZ572" s="309"/>
      <c r="BA572" s="310"/>
      <c r="BB572" s="310"/>
      <c r="BC572" s="310"/>
      <c r="BD572" s="310"/>
      <c r="BE572" s="310"/>
      <c r="BF572" s="310"/>
      <c r="BG572" s="310"/>
      <c r="BH572" s="310"/>
      <c r="BI572" s="310"/>
      <c r="BJ572" s="310"/>
      <c r="BK572" s="310"/>
      <c r="BL572" s="310"/>
      <c r="BM572" s="310"/>
      <c r="BN572" s="221"/>
      <c r="BO572" s="221"/>
      <c r="BP572" s="221"/>
      <c r="BQ572" s="221"/>
      <c r="BR572" s="221"/>
    </row>
    <row r="573" ht="15.75" customHeight="1">
      <c r="A573" s="220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309"/>
      <c r="Y573" s="309"/>
      <c r="Z573" s="309"/>
      <c r="AA573" s="309"/>
      <c r="AB573" s="309"/>
      <c r="AC573" s="309"/>
      <c r="AD573" s="309"/>
      <c r="AE573" s="309"/>
      <c r="AF573" s="309"/>
      <c r="AG573" s="309"/>
      <c r="AH573" s="309"/>
      <c r="AI573" s="309"/>
      <c r="AJ573" s="309"/>
      <c r="AK573" s="309"/>
      <c r="AL573" s="309"/>
      <c r="AM573" s="309"/>
      <c r="AN573" s="309"/>
      <c r="AO573" s="309"/>
      <c r="AP573" s="309"/>
      <c r="AQ573" s="309"/>
      <c r="AR573" s="309"/>
      <c r="AS573" s="309"/>
      <c r="AT573" s="309"/>
      <c r="AU573" s="309"/>
      <c r="AV573" s="309"/>
      <c r="AW573" s="309"/>
      <c r="AX573" s="309"/>
      <c r="AY573" s="309"/>
      <c r="AZ573" s="309"/>
      <c r="BA573" s="310"/>
      <c r="BB573" s="310"/>
      <c r="BC573" s="310"/>
      <c r="BD573" s="310"/>
      <c r="BE573" s="310"/>
      <c r="BF573" s="310"/>
      <c r="BG573" s="310"/>
      <c r="BH573" s="310"/>
      <c r="BI573" s="310"/>
      <c r="BJ573" s="310"/>
      <c r="BK573" s="310"/>
      <c r="BL573" s="310"/>
      <c r="BM573" s="310"/>
      <c r="BN573" s="221"/>
      <c r="BO573" s="221"/>
      <c r="BP573" s="221"/>
      <c r="BQ573" s="221"/>
      <c r="BR573" s="221"/>
    </row>
    <row r="574" ht="15.75" customHeight="1">
      <c r="A574" s="220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309"/>
      <c r="Y574" s="309"/>
      <c r="Z574" s="309"/>
      <c r="AA574" s="309"/>
      <c r="AB574" s="309"/>
      <c r="AC574" s="309"/>
      <c r="AD574" s="309"/>
      <c r="AE574" s="309"/>
      <c r="AF574" s="309"/>
      <c r="AG574" s="309"/>
      <c r="AH574" s="309"/>
      <c r="AI574" s="309"/>
      <c r="AJ574" s="309"/>
      <c r="AK574" s="309"/>
      <c r="AL574" s="309"/>
      <c r="AM574" s="309"/>
      <c r="AN574" s="309"/>
      <c r="AO574" s="309"/>
      <c r="AP574" s="309"/>
      <c r="AQ574" s="309"/>
      <c r="AR574" s="309"/>
      <c r="AS574" s="309"/>
      <c r="AT574" s="309"/>
      <c r="AU574" s="309"/>
      <c r="AV574" s="309"/>
      <c r="AW574" s="309"/>
      <c r="AX574" s="309"/>
      <c r="AY574" s="309"/>
      <c r="AZ574" s="309"/>
      <c r="BA574" s="310"/>
      <c r="BB574" s="310"/>
      <c r="BC574" s="310"/>
      <c r="BD574" s="310"/>
      <c r="BE574" s="310"/>
      <c r="BF574" s="310"/>
      <c r="BG574" s="310"/>
      <c r="BH574" s="310"/>
      <c r="BI574" s="310"/>
      <c r="BJ574" s="310"/>
      <c r="BK574" s="310"/>
      <c r="BL574" s="310"/>
      <c r="BM574" s="310"/>
      <c r="BN574" s="221"/>
      <c r="BO574" s="221"/>
      <c r="BP574" s="221"/>
      <c r="BQ574" s="221"/>
      <c r="BR574" s="221"/>
    </row>
    <row r="575" ht="15.75" customHeight="1">
      <c r="A575" s="220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309"/>
      <c r="Y575" s="309"/>
      <c r="Z575" s="309"/>
      <c r="AA575" s="309"/>
      <c r="AB575" s="309"/>
      <c r="AC575" s="309"/>
      <c r="AD575" s="309"/>
      <c r="AE575" s="309"/>
      <c r="AF575" s="309"/>
      <c r="AG575" s="309"/>
      <c r="AH575" s="309"/>
      <c r="AI575" s="309"/>
      <c r="AJ575" s="309"/>
      <c r="AK575" s="309"/>
      <c r="AL575" s="309"/>
      <c r="AM575" s="309"/>
      <c r="AN575" s="309"/>
      <c r="AO575" s="309"/>
      <c r="AP575" s="309"/>
      <c r="AQ575" s="309"/>
      <c r="AR575" s="309"/>
      <c r="AS575" s="309"/>
      <c r="AT575" s="309"/>
      <c r="AU575" s="309"/>
      <c r="AV575" s="309"/>
      <c r="AW575" s="309"/>
      <c r="AX575" s="309"/>
      <c r="AY575" s="309"/>
      <c r="AZ575" s="309"/>
      <c r="BA575" s="310"/>
      <c r="BB575" s="310"/>
      <c r="BC575" s="310"/>
      <c r="BD575" s="310"/>
      <c r="BE575" s="310"/>
      <c r="BF575" s="310"/>
      <c r="BG575" s="310"/>
      <c r="BH575" s="310"/>
      <c r="BI575" s="310"/>
      <c r="BJ575" s="310"/>
      <c r="BK575" s="310"/>
      <c r="BL575" s="310"/>
      <c r="BM575" s="310"/>
      <c r="BN575" s="221"/>
      <c r="BO575" s="221"/>
      <c r="BP575" s="221"/>
      <c r="BQ575" s="221"/>
      <c r="BR575" s="221"/>
    </row>
    <row r="576" ht="15.75" customHeight="1">
      <c r="A576" s="220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309"/>
      <c r="Y576" s="309"/>
      <c r="Z576" s="309"/>
      <c r="AA576" s="309"/>
      <c r="AB576" s="309"/>
      <c r="AC576" s="309"/>
      <c r="AD576" s="309"/>
      <c r="AE576" s="309"/>
      <c r="AF576" s="309"/>
      <c r="AG576" s="309"/>
      <c r="AH576" s="309"/>
      <c r="AI576" s="309"/>
      <c r="AJ576" s="309"/>
      <c r="AK576" s="309"/>
      <c r="AL576" s="309"/>
      <c r="AM576" s="309"/>
      <c r="AN576" s="309"/>
      <c r="AO576" s="309"/>
      <c r="AP576" s="309"/>
      <c r="AQ576" s="309"/>
      <c r="AR576" s="309"/>
      <c r="AS576" s="309"/>
      <c r="AT576" s="309"/>
      <c r="AU576" s="309"/>
      <c r="AV576" s="309"/>
      <c r="AW576" s="309"/>
      <c r="AX576" s="309"/>
      <c r="AY576" s="309"/>
      <c r="AZ576" s="309"/>
      <c r="BA576" s="310"/>
      <c r="BB576" s="310"/>
      <c r="BC576" s="310"/>
      <c r="BD576" s="310"/>
      <c r="BE576" s="310"/>
      <c r="BF576" s="310"/>
      <c r="BG576" s="310"/>
      <c r="BH576" s="310"/>
      <c r="BI576" s="310"/>
      <c r="BJ576" s="310"/>
      <c r="BK576" s="310"/>
      <c r="BL576" s="310"/>
      <c r="BM576" s="310"/>
      <c r="BN576" s="221"/>
      <c r="BO576" s="221"/>
      <c r="BP576" s="221"/>
      <c r="BQ576" s="221"/>
      <c r="BR576" s="221"/>
    </row>
    <row r="577" ht="15.75" customHeight="1">
      <c r="A577" s="220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309"/>
      <c r="Y577" s="309"/>
      <c r="Z577" s="309"/>
      <c r="AA577" s="309"/>
      <c r="AB577" s="309"/>
      <c r="AC577" s="309"/>
      <c r="AD577" s="309"/>
      <c r="AE577" s="309"/>
      <c r="AF577" s="309"/>
      <c r="AG577" s="309"/>
      <c r="AH577" s="309"/>
      <c r="AI577" s="309"/>
      <c r="AJ577" s="309"/>
      <c r="AK577" s="309"/>
      <c r="AL577" s="309"/>
      <c r="AM577" s="309"/>
      <c r="AN577" s="309"/>
      <c r="AO577" s="309"/>
      <c r="AP577" s="309"/>
      <c r="AQ577" s="309"/>
      <c r="AR577" s="309"/>
      <c r="AS577" s="309"/>
      <c r="AT577" s="309"/>
      <c r="AU577" s="309"/>
      <c r="AV577" s="309"/>
      <c r="AW577" s="309"/>
      <c r="AX577" s="309"/>
      <c r="AY577" s="309"/>
      <c r="AZ577" s="309"/>
      <c r="BA577" s="310"/>
      <c r="BB577" s="310"/>
      <c r="BC577" s="310"/>
      <c r="BD577" s="310"/>
      <c r="BE577" s="310"/>
      <c r="BF577" s="310"/>
      <c r="BG577" s="310"/>
      <c r="BH577" s="310"/>
      <c r="BI577" s="310"/>
      <c r="BJ577" s="310"/>
      <c r="BK577" s="310"/>
      <c r="BL577" s="310"/>
      <c r="BM577" s="310"/>
      <c r="BN577" s="221"/>
      <c r="BO577" s="221"/>
      <c r="BP577" s="221"/>
      <c r="BQ577" s="221"/>
      <c r="BR577" s="221"/>
    </row>
    <row r="578" ht="15.75" customHeight="1">
      <c r="A578" s="220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309"/>
      <c r="Y578" s="309"/>
      <c r="Z578" s="309"/>
      <c r="AA578" s="309"/>
      <c r="AB578" s="309"/>
      <c r="AC578" s="309"/>
      <c r="AD578" s="309"/>
      <c r="AE578" s="309"/>
      <c r="AF578" s="309"/>
      <c r="AG578" s="309"/>
      <c r="AH578" s="309"/>
      <c r="AI578" s="309"/>
      <c r="AJ578" s="309"/>
      <c r="AK578" s="309"/>
      <c r="AL578" s="309"/>
      <c r="AM578" s="309"/>
      <c r="AN578" s="309"/>
      <c r="AO578" s="309"/>
      <c r="AP578" s="309"/>
      <c r="AQ578" s="309"/>
      <c r="AR578" s="309"/>
      <c r="AS578" s="309"/>
      <c r="AT578" s="309"/>
      <c r="AU578" s="309"/>
      <c r="AV578" s="309"/>
      <c r="AW578" s="309"/>
      <c r="AX578" s="309"/>
      <c r="AY578" s="309"/>
      <c r="AZ578" s="309"/>
      <c r="BA578" s="310"/>
      <c r="BB578" s="310"/>
      <c r="BC578" s="310"/>
      <c r="BD578" s="310"/>
      <c r="BE578" s="310"/>
      <c r="BF578" s="310"/>
      <c r="BG578" s="310"/>
      <c r="BH578" s="310"/>
      <c r="BI578" s="310"/>
      <c r="BJ578" s="310"/>
      <c r="BK578" s="310"/>
      <c r="BL578" s="310"/>
      <c r="BM578" s="310"/>
      <c r="BN578" s="221"/>
      <c r="BO578" s="221"/>
      <c r="BP578" s="221"/>
      <c r="BQ578" s="221"/>
      <c r="BR578" s="221"/>
    </row>
    <row r="579" ht="15.75" customHeight="1">
      <c r="A579" s="220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309"/>
      <c r="Y579" s="309"/>
      <c r="Z579" s="309"/>
      <c r="AA579" s="309"/>
      <c r="AB579" s="309"/>
      <c r="AC579" s="309"/>
      <c r="AD579" s="309"/>
      <c r="AE579" s="309"/>
      <c r="AF579" s="309"/>
      <c r="AG579" s="309"/>
      <c r="AH579" s="309"/>
      <c r="AI579" s="309"/>
      <c r="AJ579" s="309"/>
      <c r="AK579" s="309"/>
      <c r="AL579" s="309"/>
      <c r="AM579" s="309"/>
      <c r="AN579" s="309"/>
      <c r="AO579" s="309"/>
      <c r="AP579" s="309"/>
      <c r="AQ579" s="309"/>
      <c r="AR579" s="309"/>
      <c r="AS579" s="309"/>
      <c r="AT579" s="309"/>
      <c r="AU579" s="309"/>
      <c r="AV579" s="309"/>
      <c r="AW579" s="309"/>
      <c r="AX579" s="309"/>
      <c r="AY579" s="309"/>
      <c r="AZ579" s="309"/>
      <c r="BA579" s="310"/>
      <c r="BB579" s="310"/>
      <c r="BC579" s="310"/>
      <c r="BD579" s="310"/>
      <c r="BE579" s="310"/>
      <c r="BF579" s="310"/>
      <c r="BG579" s="310"/>
      <c r="BH579" s="310"/>
      <c r="BI579" s="310"/>
      <c r="BJ579" s="310"/>
      <c r="BK579" s="310"/>
      <c r="BL579" s="310"/>
      <c r="BM579" s="310"/>
      <c r="BN579" s="221"/>
      <c r="BO579" s="221"/>
      <c r="BP579" s="221"/>
      <c r="BQ579" s="221"/>
      <c r="BR579" s="221"/>
    </row>
    <row r="580" ht="15.75" customHeight="1">
      <c r="A580" s="220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309"/>
      <c r="Y580" s="309"/>
      <c r="Z580" s="309"/>
      <c r="AA580" s="309"/>
      <c r="AB580" s="309"/>
      <c r="AC580" s="309"/>
      <c r="AD580" s="309"/>
      <c r="AE580" s="309"/>
      <c r="AF580" s="309"/>
      <c r="AG580" s="309"/>
      <c r="AH580" s="309"/>
      <c r="AI580" s="309"/>
      <c r="AJ580" s="309"/>
      <c r="AK580" s="309"/>
      <c r="AL580" s="309"/>
      <c r="AM580" s="309"/>
      <c r="AN580" s="309"/>
      <c r="AO580" s="309"/>
      <c r="AP580" s="309"/>
      <c r="AQ580" s="309"/>
      <c r="AR580" s="309"/>
      <c r="AS580" s="309"/>
      <c r="AT580" s="309"/>
      <c r="AU580" s="309"/>
      <c r="AV580" s="309"/>
      <c r="AW580" s="309"/>
      <c r="AX580" s="309"/>
      <c r="AY580" s="309"/>
      <c r="AZ580" s="309"/>
      <c r="BA580" s="310"/>
      <c r="BB580" s="310"/>
      <c r="BC580" s="310"/>
      <c r="BD580" s="310"/>
      <c r="BE580" s="310"/>
      <c r="BF580" s="310"/>
      <c r="BG580" s="310"/>
      <c r="BH580" s="310"/>
      <c r="BI580" s="310"/>
      <c r="BJ580" s="310"/>
      <c r="BK580" s="310"/>
      <c r="BL580" s="310"/>
      <c r="BM580" s="310"/>
      <c r="BN580" s="221"/>
      <c r="BO580" s="221"/>
      <c r="BP580" s="221"/>
      <c r="BQ580" s="221"/>
      <c r="BR580" s="221"/>
    </row>
    <row r="581" ht="15.75" customHeight="1">
      <c r="A581" s="220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309"/>
      <c r="Y581" s="309"/>
      <c r="Z581" s="309"/>
      <c r="AA581" s="309"/>
      <c r="AB581" s="309"/>
      <c r="AC581" s="309"/>
      <c r="AD581" s="309"/>
      <c r="AE581" s="309"/>
      <c r="AF581" s="309"/>
      <c r="AG581" s="309"/>
      <c r="AH581" s="309"/>
      <c r="AI581" s="309"/>
      <c r="AJ581" s="309"/>
      <c r="AK581" s="309"/>
      <c r="AL581" s="309"/>
      <c r="AM581" s="309"/>
      <c r="AN581" s="309"/>
      <c r="AO581" s="309"/>
      <c r="AP581" s="309"/>
      <c r="AQ581" s="309"/>
      <c r="AR581" s="309"/>
      <c r="AS581" s="309"/>
      <c r="AT581" s="309"/>
      <c r="AU581" s="309"/>
      <c r="AV581" s="309"/>
      <c r="AW581" s="309"/>
      <c r="AX581" s="309"/>
      <c r="AY581" s="309"/>
      <c r="AZ581" s="309"/>
      <c r="BA581" s="310"/>
      <c r="BB581" s="310"/>
      <c r="BC581" s="310"/>
      <c r="BD581" s="310"/>
      <c r="BE581" s="310"/>
      <c r="BF581" s="310"/>
      <c r="BG581" s="310"/>
      <c r="BH581" s="310"/>
      <c r="BI581" s="310"/>
      <c r="BJ581" s="310"/>
      <c r="BK581" s="310"/>
      <c r="BL581" s="310"/>
      <c r="BM581" s="310"/>
      <c r="BN581" s="221"/>
      <c r="BO581" s="221"/>
      <c r="BP581" s="221"/>
      <c r="BQ581" s="221"/>
      <c r="BR581" s="221"/>
    </row>
    <row r="582" ht="15.75" customHeight="1">
      <c r="A582" s="220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309"/>
      <c r="Y582" s="309"/>
      <c r="Z582" s="309"/>
      <c r="AA582" s="309"/>
      <c r="AB582" s="309"/>
      <c r="AC582" s="309"/>
      <c r="AD582" s="309"/>
      <c r="AE582" s="309"/>
      <c r="AF582" s="309"/>
      <c r="AG582" s="309"/>
      <c r="AH582" s="309"/>
      <c r="AI582" s="309"/>
      <c r="AJ582" s="309"/>
      <c r="AK582" s="309"/>
      <c r="AL582" s="309"/>
      <c r="AM582" s="309"/>
      <c r="AN582" s="309"/>
      <c r="AO582" s="309"/>
      <c r="AP582" s="309"/>
      <c r="AQ582" s="309"/>
      <c r="AR582" s="309"/>
      <c r="AS582" s="309"/>
      <c r="AT582" s="309"/>
      <c r="AU582" s="309"/>
      <c r="AV582" s="309"/>
      <c r="AW582" s="309"/>
      <c r="AX582" s="309"/>
      <c r="AY582" s="309"/>
      <c r="AZ582" s="309"/>
      <c r="BA582" s="310"/>
      <c r="BB582" s="310"/>
      <c r="BC582" s="310"/>
      <c r="BD582" s="310"/>
      <c r="BE582" s="310"/>
      <c r="BF582" s="310"/>
      <c r="BG582" s="310"/>
      <c r="BH582" s="310"/>
      <c r="BI582" s="310"/>
      <c r="BJ582" s="310"/>
      <c r="BK582" s="310"/>
      <c r="BL582" s="310"/>
      <c r="BM582" s="310"/>
      <c r="BN582" s="221"/>
      <c r="BO582" s="221"/>
      <c r="BP582" s="221"/>
      <c r="BQ582" s="221"/>
      <c r="BR582" s="221"/>
    </row>
    <row r="583" ht="15.75" customHeight="1">
      <c r="A583" s="220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309"/>
      <c r="Y583" s="309"/>
      <c r="Z583" s="309"/>
      <c r="AA583" s="309"/>
      <c r="AB583" s="309"/>
      <c r="AC583" s="309"/>
      <c r="AD583" s="309"/>
      <c r="AE583" s="309"/>
      <c r="AF583" s="309"/>
      <c r="AG583" s="309"/>
      <c r="AH583" s="309"/>
      <c r="AI583" s="309"/>
      <c r="AJ583" s="309"/>
      <c r="AK583" s="309"/>
      <c r="AL583" s="309"/>
      <c r="AM583" s="309"/>
      <c r="AN583" s="309"/>
      <c r="AO583" s="309"/>
      <c r="AP583" s="309"/>
      <c r="AQ583" s="309"/>
      <c r="AR583" s="309"/>
      <c r="AS583" s="309"/>
      <c r="AT583" s="309"/>
      <c r="AU583" s="309"/>
      <c r="AV583" s="309"/>
      <c r="AW583" s="309"/>
      <c r="AX583" s="309"/>
      <c r="AY583" s="309"/>
      <c r="AZ583" s="309"/>
      <c r="BA583" s="310"/>
      <c r="BB583" s="310"/>
      <c r="BC583" s="310"/>
      <c r="BD583" s="310"/>
      <c r="BE583" s="310"/>
      <c r="BF583" s="310"/>
      <c r="BG583" s="310"/>
      <c r="BH583" s="310"/>
      <c r="BI583" s="310"/>
      <c r="BJ583" s="310"/>
      <c r="BK583" s="310"/>
      <c r="BL583" s="310"/>
      <c r="BM583" s="310"/>
      <c r="BN583" s="221"/>
      <c r="BO583" s="221"/>
      <c r="BP583" s="221"/>
      <c r="BQ583" s="221"/>
      <c r="BR583" s="221"/>
    </row>
    <row r="584" ht="15.75" customHeight="1">
      <c r="A584" s="220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309"/>
      <c r="Y584" s="309"/>
      <c r="Z584" s="309"/>
      <c r="AA584" s="309"/>
      <c r="AB584" s="309"/>
      <c r="AC584" s="309"/>
      <c r="AD584" s="309"/>
      <c r="AE584" s="309"/>
      <c r="AF584" s="309"/>
      <c r="AG584" s="309"/>
      <c r="AH584" s="309"/>
      <c r="AI584" s="309"/>
      <c r="AJ584" s="309"/>
      <c r="AK584" s="309"/>
      <c r="AL584" s="309"/>
      <c r="AM584" s="309"/>
      <c r="AN584" s="309"/>
      <c r="AO584" s="309"/>
      <c r="AP584" s="309"/>
      <c r="AQ584" s="309"/>
      <c r="AR584" s="309"/>
      <c r="AS584" s="309"/>
      <c r="AT584" s="309"/>
      <c r="AU584" s="309"/>
      <c r="AV584" s="309"/>
      <c r="AW584" s="309"/>
      <c r="AX584" s="309"/>
      <c r="AY584" s="309"/>
      <c r="AZ584" s="309"/>
      <c r="BA584" s="310"/>
      <c r="BB584" s="310"/>
      <c r="BC584" s="310"/>
      <c r="BD584" s="310"/>
      <c r="BE584" s="310"/>
      <c r="BF584" s="310"/>
      <c r="BG584" s="310"/>
      <c r="BH584" s="310"/>
      <c r="BI584" s="310"/>
      <c r="BJ584" s="310"/>
      <c r="BK584" s="310"/>
      <c r="BL584" s="310"/>
      <c r="BM584" s="310"/>
      <c r="BN584" s="221"/>
      <c r="BO584" s="221"/>
      <c r="BP584" s="221"/>
      <c r="BQ584" s="221"/>
      <c r="BR584" s="221"/>
    </row>
    <row r="585" ht="15.75" customHeight="1">
      <c r="A585" s="220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309"/>
      <c r="Y585" s="309"/>
      <c r="Z585" s="309"/>
      <c r="AA585" s="309"/>
      <c r="AB585" s="309"/>
      <c r="AC585" s="309"/>
      <c r="AD585" s="309"/>
      <c r="AE585" s="309"/>
      <c r="AF585" s="309"/>
      <c r="AG585" s="309"/>
      <c r="AH585" s="309"/>
      <c r="AI585" s="309"/>
      <c r="AJ585" s="309"/>
      <c r="AK585" s="309"/>
      <c r="AL585" s="309"/>
      <c r="AM585" s="309"/>
      <c r="AN585" s="309"/>
      <c r="AO585" s="309"/>
      <c r="AP585" s="309"/>
      <c r="AQ585" s="309"/>
      <c r="AR585" s="309"/>
      <c r="AS585" s="309"/>
      <c r="AT585" s="309"/>
      <c r="AU585" s="309"/>
      <c r="AV585" s="309"/>
      <c r="AW585" s="309"/>
      <c r="AX585" s="309"/>
      <c r="AY585" s="309"/>
      <c r="AZ585" s="309"/>
      <c r="BA585" s="310"/>
      <c r="BB585" s="310"/>
      <c r="BC585" s="310"/>
      <c r="BD585" s="310"/>
      <c r="BE585" s="310"/>
      <c r="BF585" s="310"/>
      <c r="BG585" s="310"/>
      <c r="BH585" s="310"/>
      <c r="BI585" s="310"/>
      <c r="BJ585" s="310"/>
      <c r="BK585" s="310"/>
      <c r="BL585" s="310"/>
      <c r="BM585" s="310"/>
      <c r="BN585" s="221"/>
      <c r="BO585" s="221"/>
      <c r="BP585" s="221"/>
      <c r="BQ585" s="221"/>
      <c r="BR585" s="221"/>
    </row>
    <row r="586" ht="15.75" customHeight="1">
      <c r="A586" s="220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309"/>
      <c r="Y586" s="309"/>
      <c r="Z586" s="309"/>
      <c r="AA586" s="309"/>
      <c r="AB586" s="309"/>
      <c r="AC586" s="309"/>
      <c r="AD586" s="309"/>
      <c r="AE586" s="309"/>
      <c r="AF586" s="309"/>
      <c r="AG586" s="309"/>
      <c r="AH586" s="309"/>
      <c r="AI586" s="309"/>
      <c r="AJ586" s="309"/>
      <c r="AK586" s="309"/>
      <c r="AL586" s="309"/>
      <c r="AM586" s="309"/>
      <c r="AN586" s="309"/>
      <c r="AO586" s="309"/>
      <c r="AP586" s="309"/>
      <c r="AQ586" s="309"/>
      <c r="AR586" s="309"/>
      <c r="AS586" s="309"/>
      <c r="AT586" s="309"/>
      <c r="AU586" s="309"/>
      <c r="AV586" s="309"/>
      <c r="AW586" s="309"/>
      <c r="AX586" s="309"/>
      <c r="AY586" s="309"/>
      <c r="AZ586" s="309"/>
      <c r="BA586" s="310"/>
      <c r="BB586" s="310"/>
      <c r="BC586" s="310"/>
      <c r="BD586" s="310"/>
      <c r="BE586" s="310"/>
      <c r="BF586" s="310"/>
      <c r="BG586" s="310"/>
      <c r="BH586" s="310"/>
      <c r="BI586" s="310"/>
      <c r="BJ586" s="310"/>
      <c r="BK586" s="310"/>
      <c r="BL586" s="310"/>
      <c r="BM586" s="310"/>
      <c r="BN586" s="221"/>
      <c r="BO586" s="221"/>
      <c r="BP586" s="221"/>
      <c r="BQ586" s="221"/>
      <c r="BR586" s="221"/>
    </row>
    <row r="587" ht="15.75" customHeight="1">
      <c r="A587" s="220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309"/>
      <c r="Y587" s="309"/>
      <c r="Z587" s="309"/>
      <c r="AA587" s="309"/>
      <c r="AB587" s="309"/>
      <c r="AC587" s="309"/>
      <c r="AD587" s="309"/>
      <c r="AE587" s="309"/>
      <c r="AF587" s="309"/>
      <c r="AG587" s="309"/>
      <c r="AH587" s="309"/>
      <c r="AI587" s="309"/>
      <c r="AJ587" s="309"/>
      <c r="AK587" s="309"/>
      <c r="AL587" s="309"/>
      <c r="AM587" s="309"/>
      <c r="AN587" s="309"/>
      <c r="AO587" s="309"/>
      <c r="AP587" s="309"/>
      <c r="AQ587" s="309"/>
      <c r="AR587" s="309"/>
      <c r="AS587" s="309"/>
      <c r="AT587" s="309"/>
      <c r="AU587" s="309"/>
      <c r="AV587" s="309"/>
      <c r="AW587" s="309"/>
      <c r="AX587" s="309"/>
      <c r="AY587" s="309"/>
      <c r="AZ587" s="309"/>
      <c r="BA587" s="310"/>
      <c r="BB587" s="310"/>
      <c r="BC587" s="310"/>
      <c r="BD587" s="310"/>
      <c r="BE587" s="310"/>
      <c r="BF587" s="310"/>
      <c r="BG587" s="310"/>
      <c r="BH587" s="310"/>
      <c r="BI587" s="310"/>
      <c r="BJ587" s="310"/>
      <c r="BK587" s="310"/>
      <c r="BL587" s="310"/>
      <c r="BM587" s="310"/>
      <c r="BN587" s="221"/>
      <c r="BO587" s="221"/>
      <c r="BP587" s="221"/>
      <c r="BQ587" s="221"/>
      <c r="BR587" s="221"/>
    </row>
    <row r="588" ht="15.75" customHeight="1">
      <c r="A588" s="220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309"/>
      <c r="Y588" s="309"/>
      <c r="Z588" s="309"/>
      <c r="AA588" s="309"/>
      <c r="AB588" s="309"/>
      <c r="AC588" s="309"/>
      <c r="AD588" s="309"/>
      <c r="AE588" s="309"/>
      <c r="AF588" s="309"/>
      <c r="AG588" s="309"/>
      <c r="AH588" s="309"/>
      <c r="AI588" s="309"/>
      <c r="AJ588" s="309"/>
      <c r="AK588" s="309"/>
      <c r="AL588" s="309"/>
      <c r="AM588" s="309"/>
      <c r="AN588" s="309"/>
      <c r="AO588" s="309"/>
      <c r="AP588" s="309"/>
      <c r="AQ588" s="309"/>
      <c r="AR588" s="309"/>
      <c r="AS588" s="309"/>
      <c r="AT588" s="309"/>
      <c r="AU588" s="309"/>
      <c r="AV588" s="309"/>
      <c r="AW588" s="309"/>
      <c r="AX588" s="309"/>
      <c r="AY588" s="309"/>
      <c r="AZ588" s="309"/>
      <c r="BA588" s="310"/>
      <c r="BB588" s="310"/>
      <c r="BC588" s="310"/>
      <c r="BD588" s="310"/>
      <c r="BE588" s="310"/>
      <c r="BF588" s="310"/>
      <c r="BG588" s="310"/>
      <c r="BH588" s="310"/>
      <c r="BI588" s="310"/>
      <c r="BJ588" s="310"/>
      <c r="BK588" s="310"/>
      <c r="BL588" s="310"/>
      <c r="BM588" s="310"/>
      <c r="BN588" s="221"/>
      <c r="BO588" s="221"/>
      <c r="BP588" s="221"/>
      <c r="BQ588" s="221"/>
      <c r="BR588" s="221"/>
    </row>
    <row r="589" ht="15.75" customHeight="1">
      <c r="A589" s="220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309"/>
      <c r="Y589" s="309"/>
      <c r="Z589" s="309"/>
      <c r="AA589" s="309"/>
      <c r="AB589" s="309"/>
      <c r="AC589" s="309"/>
      <c r="AD589" s="309"/>
      <c r="AE589" s="309"/>
      <c r="AF589" s="309"/>
      <c r="AG589" s="309"/>
      <c r="AH589" s="309"/>
      <c r="AI589" s="309"/>
      <c r="AJ589" s="309"/>
      <c r="AK589" s="309"/>
      <c r="AL589" s="309"/>
      <c r="AM589" s="309"/>
      <c r="AN589" s="309"/>
      <c r="AO589" s="309"/>
      <c r="AP589" s="309"/>
      <c r="AQ589" s="309"/>
      <c r="AR589" s="309"/>
      <c r="AS589" s="309"/>
      <c r="AT589" s="309"/>
      <c r="AU589" s="309"/>
      <c r="AV589" s="309"/>
      <c r="AW589" s="309"/>
      <c r="AX589" s="309"/>
      <c r="AY589" s="309"/>
      <c r="AZ589" s="309"/>
      <c r="BA589" s="310"/>
      <c r="BB589" s="310"/>
      <c r="BC589" s="310"/>
      <c r="BD589" s="310"/>
      <c r="BE589" s="310"/>
      <c r="BF589" s="310"/>
      <c r="BG589" s="310"/>
      <c r="BH589" s="310"/>
      <c r="BI589" s="310"/>
      <c r="BJ589" s="310"/>
      <c r="BK589" s="310"/>
      <c r="BL589" s="310"/>
      <c r="BM589" s="310"/>
      <c r="BN589" s="221"/>
      <c r="BO589" s="221"/>
      <c r="BP589" s="221"/>
      <c r="BQ589" s="221"/>
      <c r="BR589" s="221"/>
    </row>
    <row r="590" ht="15.75" customHeight="1">
      <c r="A590" s="220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309"/>
      <c r="Y590" s="309"/>
      <c r="Z590" s="309"/>
      <c r="AA590" s="309"/>
      <c r="AB590" s="309"/>
      <c r="AC590" s="309"/>
      <c r="AD590" s="309"/>
      <c r="AE590" s="309"/>
      <c r="AF590" s="309"/>
      <c r="AG590" s="309"/>
      <c r="AH590" s="309"/>
      <c r="AI590" s="309"/>
      <c r="AJ590" s="309"/>
      <c r="AK590" s="309"/>
      <c r="AL590" s="309"/>
      <c r="AM590" s="309"/>
      <c r="AN590" s="309"/>
      <c r="AO590" s="309"/>
      <c r="AP590" s="309"/>
      <c r="AQ590" s="309"/>
      <c r="AR590" s="309"/>
      <c r="AS590" s="309"/>
      <c r="AT590" s="309"/>
      <c r="AU590" s="309"/>
      <c r="AV590" s="309"/>
      <c r="AW590" s="309"/>
      <c r="AX590" s="309"/>
      <c r="AY590" s="309"/>
      <c r="AZ590" s="309"/>
      <c r="BA590" s="310"/>
      <c r="BB590" s="310"/>
      <c r="BC590" s="310"/>
      <c r="BD590" s="310"/>
      <c r="BE590" s="310"/>
      <c r="BF590" s="310"/>
      <c r="BG590" s="310"/>
      <c r="BH590" s="310"/>
      <c r="BI590" s="310"/>
      <c r="BJ590" s="310"/>
      <c r="BK590" s="310"/>
      <c r="BL590" s="310"/>
      <c r="BM590" s="310"/>
      <c r="BN590" s="221"/>
      <c r="BO590" s="221"/>
      <c r="BP590" s="221"/>
      <c r="BQ590" s="221"/>
      <c r="BR590" s="221"/>
    </row>
    <row r="591" ht="15.75" customHeight="1">
      <c r="A591" s="220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309"/>
      <c r="Y591" s="309"/>
      <c r="Z591" s="309"/>
      <c r="AA591" s="309"/>
      <c r="AB591" s="309"/>
      <c r="AC591" s="309"/>
      <c r="AD591" s="309"/>
      <c r="AE591" s="309"/>
      <c r="AF591" s="309"/>
      <c r="AG591" s="309"/>
      <c r="AH591" s="309"/>
      <c r="AI591" s="309"/>
      <c r="AJ591" s="309"/>
      <c r="AK591" s="309"/>
      <c r="AL591" s="309"/>
      <c r="AM591" s="309"/>
      <c r="AN591" s="309"/>
      <c r="AO591" s="309"/>
      <c r="AP591" s="309"/>
      <c r="AQ591" s="309"/>
      <c r="AR591" s="309"/>
      <c r="AS591" s="309"/>
      <c r="AT591" s="309"/>
      <c r="AU591" s="309"/>
      <c r="AV591" s="309"/>
      <c r="AW591" s="309"/>
      <c r="AX591" s="309"/>
      <c r="AY591" s="309"/>
      <c r="AZ591" s="309"/>
      <c r="BA591" s="310"/>
      <c r="BB591" s="310"/>
      <c r="BC591" s="310"/>
      <c r="BD591" s="310"/>
      <c r="BE591" s="310"/>
      <c r="BF591" s="310"/>
      <c r="BG591" s="310"/>
      <c r="BH591" s="310"/>
      <c r="BI591" s="310"/>
      <c r="BJ591" s="310"/>
      <c r="BK591" s="310"/>
      <c r="BL591" s="310"/>
      <c r="BM591" s="310"/>
      <c r="BN591" s="221"/>
      <c r="BO591" s="221"/>
      <c r="BP591" s="221"/>
      <c r="BQ591" s="221"/>
      <c r="BR591" s="221"/>
    </row>
    <row r="592" ht="15.75" customHeight="1">
      <c r="A592" s="220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309"/>
      <c r="Y592" s="309"/>
      <c r="Z592" s="309"/>
      <c r="AA592" s="309"/>
      <c r="AB592" s="309"/>
      <c r="AC592" s="309"/>
      <c r="AD592" s="309"/>
      <c r="AE592" s="309"/>
      <c r="AF592" s="309"/>
      <c r="AG592" s="309"/>
      <c r="AH592" s="309"/>
      <c r="AI592" s="309"/>
      <c r="AJ592" s="309"/>
      <c r="AK592" s="309"/>
      <c r="AL592" s="309"/>
      <c r="AM592" s="309"/>
      <c r="AN592" s="309"/>
      <c r="AO592" s="309"/>
      <c r="AP592" s="309"/>
      <c r="AQ592" s="309"/>
      <c r="AR592" s="309"/>
      <c r="AS592" s="309"/>
      <c r="AT592" s="309"/>
      <c r="AU592" s="309"/>
      <c r="AV592" s="309"/>
      <c r="AW592" s="309"/>
      <c r="AX592" s="309"/>
      <c r="AY592" s="309"/>
      <c r="AZ592" s="309"/>
      <c r="BA592" s="310"/>
      <c r="BB592" s="310"/>
      <c r="BC592" s="310"/>
      <c r="BD592" s="310"/>
      <c r="BE592" s="310"/>
      <c r="BF592" s="310"/>
      <c r="BG592" s="310"/>
      <c r="BH592" s="310"/>
      <c r="BI592" s="310"/>
      <c r="BJ592" s="310"/>
      <c r="BK592" s="310"/>
      <c r="BL592" s="310"/>
      <c r="BM592" s="310"/>
      <c r="BN592" s="221"/>
      <c r="BO592" s="221"/>
      <c r="BP592" s="221"/>
      <c r="BQ592" s="221"/>
      <c r="BR592" s="221"/>
    </row>
    <row r="593" ht="15.75" customHeight="1">
      <c r="A593" s="220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309"/>
      <c r="Y593" s="309"/>
      <c r="Z593" s="309"/>
      <c r="AA593" s="309"/>
      <c r="AB593" s="309"/>
      <c r="AC593" s="309"/>
      <c r="AD593" s="309"/>
      <c r="AE593" s="309"/>
      <c r="AF593" s="309"/>
      <c r="AG593" s="309"/>
      <c r="AH593" s="309"/>
      <c r="AI593" s="309"/>
      <c r="AJ593" s="309"/>
      <c r="AK593" s="309"/>
      <c r="AL593" s="309"/>
      <c r="AM593" s="309"/>
      <c r="AN593" s="309"/>
      <c r="AO593" s="309"/>
      <c r="AP593" s="309"/>
      <c r="AQ593" s="309"/>
      <c r="AR593" s="309"/>
      <c r="AS593" s="309"/>
      <c r="AT593" s="309"/>
      <c r="AU593" s="309"/>
      <c r="AV593" s="309"/>
      <c r="AW593" s="309"/>
      <c r="AX593" s="309"/>
      <c r="AY593" s="309"/>
      <c r="AZ593" s="309"/>
      <c r="BA593" s="310"/>
      <c r="BB593" s="310"/>
      <c r="BC593" s="310"/>
      <c r="BD593" s="310"/>
      <c r="BE593" s="310"/>
      <c r="BF593" s="310"/>
      <c r="BG593" s="310"/>
      <c r="BH593" s="310"/>
      <c r="BI593" s="310"/>
      <c r="BJ593" s="310"/>
      <c r="BK593" s="310"/>
      <c r="BL593" s="310"/>
      <c r="BM593" s="310"/>
      <c r="BN593" s="221"/>
      <c r="BO593" s="221"/>
      <c r="BP593" s="221"/>
      <c r="BQ593" s="221"/>
      <c r="BR593" s="221"/>
    </row>
    <row r="594" ht="15.75" customHeight="1">
      <c r="A594" s="220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309"/>
      <c r="Y594" s="309"/>
      <c r="Z594" s="309"/>
      <c r="AA594" s="309"/>
      <c r="AB594" s="309"/>
      <c r="AC594" s="309"/>
      <c r="AD594" s="309"/>
      <c r="AE594" s="309"/>
      <c r="AF594" s="309"/>
      <c r="AG594" s="309"/>
      <c r="AH594" s="309"/>
      <c r="AI594" s="309"/>
      <c r="AJ594" s="309"/>
      <c r="AK594" s="309"/>
      <c r="AL594" s="309"/>
      <c r="AM594" s="309"/>
      <c r="AN594" s="309"/>
      <c r="AO594" s="309"/>
      <c r="AP594" s="309"/>
      <c r="AQ594" s="309"/>
      <c r="AR594" s="309"/>
      <c r="AS594" s="309"/>
      <c r="AT594" s="309"/>
      <c r="AU594" s="309"/>
      <c r="AV594" s="309"/>
      <c r="AW594" s="309"/>
      <c r="AX594" s="309"/>
      <c r="AY594" s="309"/>
      <c r="AZ594" s="309"/>
      <c r="BA594" s="310"/>
      <c r="BB594" s="310"/>
      <c r="BC594" s="310"/>
      <c r="BD594" s="310"/>
      <c r="BE594" s="310"/>
      <c r="BF594" s="310"/>
      <c r="BG594" s="310"/>
      <c r="BH594" s="310"/>
      <c r="BI594" s="310"/>
      <c r="BJ594" s="310"/>
      <c r="BK594" s="310"/>
      <c r="BL594" s="310"/>
      <c r="BM594" s="310"/>
      <c r="BN594" s="221"/>
      <c r="BO594" s="221"/>
      <c r="BP594" s="221"/>
      <c r="BQ594" s="221"/>
      <c r="BR594" s="221"/>
    </row>
    <row r="595" ht="15.75" customHeight="1">
      <c r="A595" s="220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309"/>
      <c r="Y595" s="309"/>
      <c r="Z595" s="309"/>
      <c r="AA595" s="309"/>
      <c r="AB595" s="309"/>
      <c r="AC595" s="309"/>
      <c r="AD595" s="309"/>
      <c r="AE595" s="309"/>
      <c r="AF595" s="309"/>
      <c r="AG595" s="309"/>
      <c r="AH595" s="309"/>
      <c r="AI595" s="309"/>
      <c r="AJ595" s="309"/>
      <c r="AK595" s="309"/>
      <c r="AL595" s="309"/>
      <c r="AM595" s="309"/>
      <c r="AN595" s="309"/>
      <c r="AO595" s="309"/>
      <c r="AP595" s="309"/>
      <c r="AQ595" s="309"/>
      <c r="AR595" s="309"/>
      <c r="AS595" s="309"/>
      <c r="AT595" s="309"/>
      <c r="AU595" s="309"/>
      <c r="AV595" s="309"/>
      <c r="AW595" s="309"/>
      <c r="AX595" s="309"/>
      <c r="AY595" s="309"/>
      <c r="AZ595" s="309"/>
      <c r="BA595" s="310"/>
      <c r="BB595" s="310"/>
      <c r="BC595" s="310"/>
      <c r="BD595" s="310"/>
      <c r="BE595" s="310"/>
      <c r="BF595" s="310"/>
      <c r="BG595" s="310"/>
      <c r="BH595" s="310"/>
      <c r="BI595" s="310"/>
      <c r="BJ595" s="310"/>
      <c r="BK595" s="310"/>
      <c r="BL595" s="310"/>
      <c r="BM595" s="310"/>
      <c r="BN595" s="221"/>
      <c r="BO595" s="221"/>
      <c r="BP595" s="221"/>
      <c r="BQ595" s="221"/>
      <c r="BR595" s="221"/>
    </row>
    <row r="596" ht="15.75" customHeight="1">
      <c r="A596" s="220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309"/>
      <c r="Y596" s="309"/>
      <c r="Z596" s="309"/>
      <c r="AA596" s="309"/>
      <c r="AB596" s="309"/>
      <c r="AC596" s="309"/>
      <c r="AD596" s="309"/>
      <c r="AE596" s="309"/>
      <c r="AF596" s="309"/>
      <c r="AG596" s="309"/>
      <c r="AH596" s="309"/>
      <c r="AI596" s="309"/>
      <c r="AJ596" s="309"/>
      <c r="AK596" s="309"/>
      <c r="AL596" s="309"/>
      <c r="AM596" s="309"/>
      <c r="AN596" s="309"/>
      <c r="AO596" s="309"/>
      <c r="AP596" s="309"/>
      <c r="AQ596" s="309"/>
      <c r="AR596" s="309"/>
      <c r="AS596" s="309"/>
      <c r="AT596" s="309"/>
      <c r="AU596" s="309"/>
      <c r="AV596" s="309"/>
      <c r="AW596" s="309"/>
      <c r="AX596" s="309"/>
      <c r="AY596" s="309"/>
      <c r="AZ596" s="309"/>
      <c r="BA596" s="310"/>
      <c r="BB596" s="310"/>
      <c r="BC596" s="310"/>
      <c r="BD596" s="310"/>
      <c r="BE596" s="310"/>
      <c r="BF596" s="310"/>
      <c r="BG596" s="310"/>
      <c r="BH596" s="310"/>
      <c r="BI596" s="310"/>
      <c r="BJ596" s="310"/>
      <c r="BK596" s="310"/>
      <c r="BL596" s="310"/>
      <c r="BM596" s="310"/>
      <c r="BN596" s="221"/>
      <c r="BO596" s="221"/>
      <c r="BP596" s="221"/>
      <c r="BQ596" s="221"/>
      <c r="BR596" s="221"/>
    </row>
    <row r="597" ht="15.75" customHeight="1">
      <c r="A597" s="220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309"/>
      <c r="Y597" s="309"/>
      <c r="Z597" s="309"/>
      <c r="AA597" s="309"/>
      <c r="AB597" s="309"/>
      <c r="AC597" s="309"/>
      <c r="AD597" s="309"/>
      <c r="AE597" s="309"/>
      <c r="AF597" s="309"/>
      <c r="AG597" s="309"/>
      <c r="AH597" s="309"/>
      <c r="AI597" s="309"/>
      <c r="AJ597" s="309"/>
      <c r="AK597" s="309"/>
      <c r="AL597" s="309"/>
      <c r="AM597" s="309"/>
      <c r="AN597" s="309"/>
      <c r="AO597" s="309"/>
      <c r="AP597" s="309"/>
      <c r="AQ597" s="309"/>
      <c r="AR597" s="309"/>
      <c r="AS597" s="309"/>
      <c r="AT597" s="309"/>
      <c r="AU597" s="309"/>
      <c r="AV597" s="309"/>
      <c r="AW597" s="309"/>
      <c r="AX597" s="309"/>
      <c r="AY597" s="309"/>
      <c r="AZ597" s="309"/>
      <c r="BA597" s="310"/>
      <c r="BB597" s="310"/>
      <c r="BC597" s="310"/>
      <c r="BD597" s="310"/>
      <c r="BE597" s="310"/>
      <c r="BF597" s="310"/>
      <c r="BG597" s="310"/>
      <c r="BH597" s="310"/>
      <c r="BI597" s="310"/>
      <c r="BJ597" s="310"/>
      <c r="BK597" s="310"/>
      <c r="BL597" s="310"/>
      <c r="BM597" s="310"/>
      <c r="BN597" s="221"/>
      <c r="BO597" s="221"/>
      <c r="BP597" s="221"/>
      <c r="BQ597" s="221"/>
      <c r="BR597" s="221"/>
    </row>
    <row r="598" ht="15.75" customHeight="1">
      <c r="A598" s="220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309"/>
      <c r="Y598" s="309"/>
      <c r="Z598" s="309"/>
      <c r="AA598" s="309"/>
      <c r="AB598" s="309"/>
      <c r="AC598" s="309"/>
      <c r="AD598" s="309"/>
      <c r="AE598" s="309"/>
      <c r="AF598" s="309"/>
      <c r="AG598" s="309"/>
      <c r="AH598" s="309"/>
      <c r="AI598" s="309"/>
      <c r="AJ598" s="309"/>
      <c r="AK598" s="309"/>
      <c r="AL598" s="309"/>
      <c r="AM598" s="309"/>
      <c r="AN598" s="309"/>
      <c r="AO598" s="309"/>
      <c r="AP598" s="309"/>
      <c r="AQ598" s="309"/>
      <c r="AR598" s="309"/>
      <c r="AS598" s="309"/>
      <c r="AT598" s="309"/>
      <c r="AU598" s="309"/>
      <c r="AV598" s="309"/>
      <c r="AW598" s="309"/>
      <c r="AX598" s="309"/>
      <c r="AY598" s="309"/>
      <c r="AZ598" s="309"/>
      <c r="BA598" s="310"/>
      <c r="BB598" s="310"/>
      <c r="BC598" s="310"/>
      <c r="BD598" s="310"/>
      <c r="BE598" s="310"/>
      <c r="BF598" s="310"/>
      <c r="BG598" s="310"/>
      <c r="BH598" s="310"/>
      <c r="BI598" s="310"/>
      <c r="BJ598" s="310"/>
      <c r="BK598" s="310"/>
      <c r="BL598" s="310"/>
      <c r="BM598" s="310"/>
      <c r="BN598" s="221"/>
      <c r="BO598" s="221"/>
      <c r="BP598" s="221"/>
      <c r="BQ598" s="221"/>
      <c r="BR598" s="221"/>
    </row>
    <row r="599" ht="15.75" customHeight="1">
      <c r="A599" s="220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309"/>
      <c r="Y599" s="309"/>
      <c r="Z599" s="309"/>
      <c r="AA599" s="309"/>
      <c r="AB599" s="309"/>
      <c r="AC599" s="309"/>
      <c r="AD599" s="309"/>
      <c r="AE599" s="309"/>
      <c r="AF599" s="309"/>
      <c r="AG599" s="309"/>
      <c r="AH599" s="309"/>
      <c r="AI599" s="309"/>
      <c r="AJ599" s="309"/>
      <c r="AK599" s="309"/>
      <c r="AL599" s="309"/>
      <c r="AM599" s="309"/>
      <c r="AN599" s="309"/>
      <c r="AO599" s="309"/>
      <c r="AP599" s="309"/>
      <c r="AQ599" s="309"/>
      <c r="AR599" s="309"/>
      <c r="AS599" s="309"/>
      <c r="AT599" s="309"/>
      <c r="AU599" s="309"/>
      <c r="AV599" s="309"/>
      <c r="AW599" s="309"/>
      <c r="AX599" s="309"/>
      <c r="AY599" s="309"/>
      <c r="AZ599" s="309"/>
      <c r="BA599" s="310"/>
      <c r="BB599" s="310"/>
      <c r="BC599" s="310"/>
      <c r="BD599" s="310"/>
      <c r="BE599" s="310"/>
      <c r="BF599" s="310"/>
      <c r="BG599" s="310"/>
      <c r="BH599" s="310"/>
      <c r="BI599" s="310"/>
      <c r="BJ599" s="310"/>
      <c r="BK599" s="310"/>
      <c r="BL599" s="310"/>
      <c r="BM599" s="310"/>
      <c r="BN599" s="221"/>
      <c r="BO599" s="221"/>
      <c r="BP599" s="221"/>
      <c r="BQ599" s="221"/>
      <c r="BR599" s="221"/>
    </row>
    <row r="600" ht="15.75" customHeight="1">
      <c r="A600" s="220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309"/>
      <c r="Y600" s="309"/>
      <c r="Z600" s="309"/>
      <c r="AA600" s="309"/>
      <c r="AB600" s="309"/>
      <c r="AC600" s="309"/>
      <c r="AD600" s="309"/>
      <c r="AE600" s="309"/>
      <c r="AF600" s="309"/>
      <c r="AG600" s="309"/>
      <c r="AH600" s="309"/>
      <c r="AI600" s="309"/>
      <c r="AJ600" s="309"/>
      <c r="AK600" s="309"/>
      <c r="AL600" s="309"/>
      <c r="AM600" s="309"/>
      <c r="AN600" s="309"/>
      <c r="AO600" s="309"/>
      <c r="AP600" s="309"/>
      <c r="AQ600" s="309"/>
      <c r="AR600" s="309"/>
      <c r="AS600" s="309"/>
      <c r="AT600" s="309"/>
      <c r="AU600" s="309"/>
      <c r="AV600" s="309"/>
      <c r="AW600" s="309"/>
      <c r="AX600" s="309"/>
      <c r="AY600" s="309"/>
      <c r="AZ600" s="309"/>
      <c r="BA600" s="310"/>
      <c r="BB600" s="310"/>
      <c r="BC600" s="310"/>
      <c r="BD600" s="310"/>
      <c r="BE600" s="310"/>
      <c r="BF600" s="310"/>
      <c r="BG600" s="310"/>
      <c r="BH600" s="310"/>
      <c r="BI600" s="310"/>
      <c r="BJ600" s="310"/>
      <c r="BK600" s="310"/>
      <c r="BL600" s="310"/>
      <c r="BM600" s="310"/>
      <c r="BN600" s="221"/>
      <c r="BO600" s="221"/>
      <c r="BP600" s="221"/>
      <c r="BQ600" s="221"/>
      <c r="BR600" s="221"/>
    </row>
    <row r="601" ht="15.75" customHeight="1">
      <c r="A601" s="220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309"/>
      <c r="Y601" s="309"/>
      <c r="Z601" s="309"/>
      <c r="AA601" s="309"/>
      <c r="AB601" s="309"/>
      <c r="AC601" s="309"/>
      <c r="AD601" s="309"/>
      <c r="AE601" s="309"/>
      <c r="AF601" s="309"/>
      <c r="AG601" s="309"/>
      <c r="AH601" s="309"/>
      <c r="AI601" s="309"/>
      <c r="AJ601" s="309"/>
      <c r="AK601" s="309"/>
      <c r="AL601" s="309"/>
      <c r="AM601" s="309"/>
      <c r="AN601" s="309"/>
      <c r="AO601" s="309"/>
      <c r="AP601" s="309"/>
      <c r="AQ601" s="309"/>
      <c r="AR601" s="309"/>
      <c r="AS601" s="309"/>
      <c r="AT601" s="309"/>
      <c r="AU601" s="309"/>
      <c r="AV601" s="309"/>
      <c r="AW601" s="309"/>
      <c r="AX601" s="309"/>
      <c r="AY601" s="309"/>
      <c r="AZ601" s="309"/>
      <c r="BA601" s="310"/>
      <c r="BB601" s="310"/>
      <c r="BC601" s="310"/>
      <c r="BD601" s="310"/>
      <c r="BE601" s="310"/>
      <c r="BF601" s="310"/>
      <c r="BG601" s="310"/>
      <c r="BH601" s="310"/>
      <c r="BI601" s="310"/>
      <c r="BJ601" s="310"/>
      <c r="BK601" s="310"/>
      <c r="BL601" s="310"/>
      <c r="BM601" s="310"/>
      <c r="BN601" s="221"/>
      <c r="BO601" s="221"/>
      <c r="BP601" s="221"/>
      <c r="BQ601" s="221"/>
      <c r="BR601" s="221"/>
    </row>
    <row r="602" ht="15.75" customHeight="1">
      <c r="A602" s="220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309"/>
      <c r="Y602" s="309"/>
      <c r="Z602" s="309"/>
      <c r="AA602" s="309"/>
      <c r="AB602" s="309"/>
      <c r="AC602" s="309"/>
      <c r="AD602" s="309"/>
      <c r="AE602" s="309"/>
      <c r="AF602" s="309"/>
      <c r="AG602" s="309"/>
      <c r="AH602" s="309"/>
      <c r="AI602" s="309"/>
      <c r="AJ602" s="309"/>
      <c r="AK602" s="309"/>
      <c r="AL602" s="309"/>
      <c r="AM602" s="309"/>
      <c r="AN602" s="309"/>
      <c r="AO602" s="309"/>
      <c r="AP602" s="309"/>
      <c r="AQ602" s="309"/>
      <c r="AR602" s="309"/>
      <c r="AS602" s="309"/>
      <c r="AT602" s="309"/>
      <c r="AU602" s="309"/>
      <c r="AV602" s="309"/>
      <c r="AW602" s="309"/>
      <c r="AX602" s="309"/>
      <c r="AY602" s="309"/>
      <c r="AZ602" s="309"/>
      <c r="BA602" s="310"/>
      <c r="BB602" s="310"/>
      <c r="BC602" s="310"/>
      <c r="BD602" s="310"/>
      <c r="BE602" s="310"/>
      <c r="BF602" s="310"/>
      <c r="BG602" s="310"/>
      <c r="BH602" s="310"/>
      <c r="BI602" s="310"/>
      <c r="BJ602" s="310"/>
      <c r="BK602" s="310"/>
      <c r="BL602" s="310"/>
      <c r="BM602" s="310"/>
      <c r="BN602" s="221"/>
      <c r="BO602" s="221"/>
      <c r="BP602" s="221"/>
      <c r="BQ602" s="221"/>
      <c r="BR602" s="221"/>
    </row>
    <row r="603" ht="15.75" customHeight="1">
      <c r="A603" s="220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309"/>
      <c r="Y603" s="309"/>
      <c r="Z603" s="309"/>
      <c r="AA603" s="309"/>
      <c r="AB603" s="309"/>
      <c r="AC603" s="309"/>
      <c r="AD603" s="309"/>
      <c r="AE603" s="309"/>
      <c r="AF603" s="309"/>
      <c r="AG603" s="309"/>
      <c r="AH603" s="309"/>
      <c r="AI603" s="309"/>
      <c r="AJ603" s="309"/>
      <c r="AK603" s="309"/>
      <c r="AL603" s="309"/>
      <c r="AM603" s="309"/>
      <c r="AN603" s="309"/>
      <c r="AO603" s="309"/>
      <c r="AP603" s="309"/>
      <c r="AQ603" s="309"/>
      <c r="AR603" s="309"/>
      <c r="AS603" s="309"/>
      <c r="AT603" s="309"/>
      <c r="AU603" s="309"/>
      <c r="AV603" s="309"/>
      <c r="AW603" s="309"/>
      <c r="AX603" s="309"/>
      <c r="AY603" s="309"/>
      <c r="AZ603" s="309"/>
      <c r="BA603" s="310"/>
      <c r="BB603" s="310"/>
      <c r="BC603" s="310"/>
      <c r="BD603" s="310"/>
      <c r="BE603" s="310"/>
      <c r="BF603" s="310"/>
      <c r="BG603" s="310"/>
      <c r="BH603" s="310"/>
      <c r="BI603" s="310"/>
      <c r="BJ603" s="310"/>
      <c r="BK603" s="310"/>
      <c r="BL603" s="310"/>
      <c r="BM603" s="310"/>
      <c r="BN603" s="221"/>
      <c r="BO603" s="221"/>
      <c r="BP603" s="221"/>
      <c r="BQ603" s="221"/>
      <c r="BR603" s="221"/>
    </row>
    <row r="604" ht="15.75" customHeight="1">
      <c r="A604" s="220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309"/>
      <c r="Y604" s="309"/>
      <c r="Z604" s="309"/>
      <c r="AA604" s="309"/>
      <c r="AB604" s="309"/>
      <c r="AC604" s="309"/>
      <c r="AD604" s="309"/>
      <c r="AE604" s="309"/>
      <c r="AF604" s="309"/>
      <c r="AG604" s="309"/>
      <c r="AH604" s="309"/>
      <c r="AI604" s="309"/>
      <c r="AJ604" s="309"/>
      <c r="AK604" s="309"/>
      <c r="AL604" s="309"/>
      <c r="AM604" s="309"/>
      <c r="AN604" s="309"/>
      <c r="AO604" s="309"/>
      <c r="AP604" s="309"/>
      <c r="AQ604" s="309"/>
      <c r="AR604" s="309"/>
      <c r="AS604" s="309"/>
      <c r="AT604" s="309"/>
      <c r="AU604" s="309"/>
      <c r="AV604" s="309"/>
      <c r="AW604" s="309"/>
      <c r="AX604" s="309"/>
      <c r="AY604" s="309"/>
      <c r="AZ604" s="309"/>
      <c r="BA604" s="310"/>
      <c r="BB604" s="310"/>
      <c r="BC604" s="310"/>
      <c r="BD604" s="310"/>
      <c r="BE604" s="310"/>
      <c r="BF604" s="310"/>
      <c r="BG604" s="310"/>
      <c r="BH604" s="310"/>
      <c r="BI604" s="310"/>
      <c r="BJ604" s="310"/>
      <c r="BK604" s="310"/>
      <c r="BL604" s="310"/>
      <c r="BM604" s="310"/>
      <c r="BN604" s="221"/>
      <c r="BO604" s="221"/>
      <c r="BP604" s="221"/>
      <c r="BQ604" s="221"/>
      <c r="BR604" s="221"/>
    </row>
    <row r="605" ht="15.75" customHeight="1">
      <c r="A605" s="220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309"/>
      <c r="Y605" s="309"/>
      <c r="Z605" s="309"/>
      <c r="AA605" s="309"/>
      <c r="AB605" s="309"/>
      <c r="AC605" s="309"/>
      <c r="AD605" s="309"/>
      <c r="AE605" s="309"/>
      <c r="AF605" s="309"/>
      <c r="AG605" s="309"/>
      <c r="AH605" s="309"/>
      <c r="AI605" s="309"/>
      <c r="AJ605" s="309"/>
      <c r="AK605" s="309"/>
      <c r="AL605" s="309"/>
      <c r="AM605" s="309"/>
      <c r="AN605" s="309"/>
      <c r="AO605" s="309"/>
      <c r="AP605" s="309"/>
      <c r="AQ605" s="309"/>
      <c r="AR605" s="309"/>
      <c r="AS605" s="309"/>
      <c r="AT605" s="309"/>
      <c r="AU605" s="309"/>
      <c r="AV605" s="309"/>
      <c r="AW605" s="309"/>
      <c r="AX605" s="309"/>
      <c r="AY605" s="309"/>
      <c r="AZ605" s="309"/>
      <c r="BA605" s="310"/>
      <c r="BB605" s="310"/>
      <c r="BC605" s="310"/>
      <c r="BD605" s="310"/>
      <c r="BE605" s="310"/>
      <c r="BF605" s="310"/>
      <c r="BG605" s="310"/>
      <c r="BH605" s="310"/>
      <c r="BI605" s="310"/>
      <c r="BJ605" s="310"/>
      <c r="BK605" s="310"/>
      <c r="BL605" s="310"/>
      <c r="BM605" s="310"/>
      <c r="BN605" s="221"/>
      <c r="BO605" s="221"/>
      <c r="BP605" s="221"/>
      <c r="BQ605" s="221"/>
      <c r="BR605" s="221"/>
    </row>
    <row r="606" ht="15.75" customHeight="1">
      <c r="A606" s="220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309"/>
      <c r="Y606" s="309"/>
      <c r="Z606" s="309"/>
      <c r="AA606" s="309"/>
      <c r="AB606" s="309"/>
      <c r="AC606" s="309"/>
      <c r="AD606" s="309"/>
      <c r="AE606" s="309"/>
      <c r="AF606" s="309"/>
      <c r="AG606" s="309"/>
      <c r="AH606" s="309"/>
      <c r="AI606" s="309"/>
      <c r="AJ606" s="309"/>
      <c r="AK606" s="309"/>
      <c r="AL606" s="309"/>
      <c r="AM606" s="309"/>
      <c r="AN606" s="309"/>
      <c r="AO606" s="309"/>
      <c r="AP606" s="309"/>
      <c r="AQ606" s="309"/>
      <c r="AR606" s="309"/>
      <c r="AS606" s="309"/>
      <c r="AT606" s="309"/>
      <c r="AU606" s="309"/>
      <c r="AV606" s="309"/>
      <c r="AW606" s="309"/>
      <c r="AX606" s="309"/>
      <c r="AY606" s="309"/>
      <c r="AZ606" s="309"/>
      <c r="BA606" s="310"/>
      <c r="BB606" s="310"/>
      <c r="BC606" s="310"/>
      <c r="BD606" s="310"/>
      <c r="BE606" s="310"/>
      <c r="BF606" s="310"/>
      <c r="BG606" s="310"/>
      <c r="BH606" s="310"/>
      <c r="BI606" s="310"/>
      <c r="BJ606" s="310"/>
      <c r="BK606" s="310"/>
      <c r="BL606" s="310"/>
      <c r="BM606" s="310"/>
      <c r="BN606" s="221"/>
      <c r="BO606" s="221"/>
      <c r="BP606" s="221"/>
      <c r="BQ606" s="221"/>
      <c r="BR606" s="221"/>
    </row>
    <row r="607" ht="15.75" customHeight="1">
      <c r="A607" s="220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309"/>
      <c r="Y607" s="309"/>
      <c r="Z607" s="309"/>
      <c r="AA607" s="309"/>
      <c r="AB607" s="309"/>
      <c r="AC607" s="309"/>
      <c r="AD607" s="309"/>
      <c r="AE607" s="309"/>
      <c r="AF607" s="309"/>
      <c r="AG607" s="309"/>
      <c r="AH607" s="309"/>
      <c r="AI607" s="309"/>
      <c r="AJ607" s="309"/>
      <c r="AK607" s="309"/>
      <c r="AL607" s="309"/>
      <c r="AM607" s="309"/>
      <c r="AN607" s="309"/>
      <c r="AO607" s="309"/>
      <c r="AP607" s="309"/>
      <c r="AQ607" s="309"/>
      <c r="AR607" s="309"/>
      <c r="AS607" s="309"/>
      <c r="AT607" s="309"/>
      <c r="AU607" s="309"/>
      <c r="AV607" s="309"/>
      <c r="AW607" s="309"/>
      <c r="AX607" s="309"/>
      <c r="AY607" s="309"/>
      <c r="AZ607" s="309"/>
      <c r="BA607" s="310"/>
      <c r="BB607" s="310"/>
      <c r="BC607" s="310"/>
      <c r="BD607" s="310"/>
      <c r="BE607" s="310"/>
      <c r="BF607" s="310"/>
      <c r="BG607" s="310"/>
      <c r="BH607" s="310"/>
      <c r="BI607" s="310"/>
      <c r="BJ607" s="310"/>
      <c r="BK607" s="310"/>
      <c r="BL607" s="310"/>
      <c r="BM607" s="310"/>
      <c r="BN607" s="221"/>
      <c r="BO607" s="221"/>
      <c r="BP607" s="221"/>
      <c r="BQ607" s="221"/>
      <c r="BR607" s="221"/>
    </row>
    <row r="608" ht="15.75" customHeight="1">
      <c r="A608" s="220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309"/>
      <c r="Y608" s="309"/>
      <c r="Z608" s="309"/>
      <c r="AA608" s="309"/>
      <c r="AB608" s="309"/>
      <c r="AC608" s="309"/>
      <c r="AD608" s="309"/>
      <c r="AE608" s="309"/>
      <c r="AF608" s="309"/>
      <c r="AG608" s="309"/>
      <c r="AH608" s="309"/>
      <c r="AI608" s="309"/>
      <c r="AJ608" s="309"/>
      <c r="AK608" s="309"/>
      <c r="AL608" s="309"/>
      <c r="AM608" s="309"/>
      <c r="AN608" s="309"/>
      <c r="AO608" s="309"/>
      <c r="AP608" s="309"/>
      <c r="AQ608" s="309"/>
      <c r="AR608" s="309"/>
      <c r="AS608" s="309"/>
      <c r="AT608" s="309"/>
      <c r="AU608" s="309"/>
      <c r="AV608" s="309"/>
      <c r="AW608" s="309"/>
      <c r="AX608" s="309"/>
      <c r="AY608" s="309"/>
      <c r="AZ608" s="309"/>
      <c r="BA608" s="310"/>
      <c r="BB608" s="310"/>
      <c r="BC608" s="310"/>
      <c r="BD608" s="310"/>
      <c r="BE608" s="310"/>
      <c r="BF608" s="310"/>
      <c r="BG608" s="310"/>
      <c r="BH608" s="310"/>
      <c r="BI608" s="310"/>
      <c r="BJ608" s="310"/>
      <c r="BK608" s="310"/>
      <c r="BL608" s="310"/>
      <c r="BM608" s="310"/>
      <c r="BN608" s="221"/>
      <c r="BO608" s="221"/>
      <c r="BP608" s="221"/>
      <c r="BQ608" s="221"/>
      <c r="BR608" s="221"/>
    </row>
    <row r="609" ht="15.75" customHeight="1">
      <c r="A609" s="220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309"/>
      <c r="Y609" s="309"/>
      <c r="Z609" s="309"/>
      <c r="AA609" s="309"/>
      <c r="AB609" s="309"/>
      <c r="AC609" s="309"/>
      <c r="AD609" s="309"/>
      <c r="AE609" s="309"/>
      <c r="AF609" s="309"/>
      <c r="AG609" s="309"/>
      <c r="AH609" s="309"/>
      <c r="AI609" s="309"/>
      <c r="AJ609" s="309"/>
      <c r="AK609" s="309"/>
      <c r="AL609" s="309"/>
      <c r="AM609" s="309"/>
      <c r="AN609" s="309"/>
      <c r="AO609" s="309"/>
      <c r="AP609" s="309"/>
      <c r="AQ609" s="309"/>
      <c r="AR609" s="309"/>
      <c r="AS609" s="309"/>
      <c r="AT609" s="309"/>
      <c r="AU609" s="309"/>
      <c r="AV609" s="309"/>
      <c r="AW609" s="309"/>
      <c r="AX609" s="309"/>
      <c r="AY609" s="309"/>
      <c r="AZ609" s="309"/>
      <c r="BA609" s="310"/>
      <c r="BB609" s="310"/>
      <c r="BC609" s="310"/>
      <c r="BD609" s="310"/>
      <c r="BE609" s="310"/>
      <c r="BF609" s="310"/>
      <c r="BG609" s="310"/>
      <c r="BH609" s="310"/>
      <c r="BI609" s="310"/>
      <c r="BJ609" s="310"/>
      <c r="BK609" s="310"/>
      <c r="BL609" s="310"/>
      <c r="BM609" s="310"/>
      <c r="BN609" s="221"/>
      <c r="BO609" s="221"/>
      <c r="BP609" s="221"/>
      <c r="BQ609" s="221"/>
      <c r="BR609" s="221"/>
    </row>
    <row r="610" ht="15.75" customHeight="1">
      <c r="A610" s="220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309"/>
      <c r="Y610" s="309"/>
      <c r="Z610" s="309"/>
      <c r="AA610" s="309"/>
      <c r="AB610" s="309"/>
      <c r="AC610" s="309"/>
      <c r="AD610" s="309"/>
      <c r="AE610" s="309"/>
      <c r="AF610" s="309"/>
      <c r="AG610" s="309"/>
      <c r="AH610" s="309"/>
      <c r="AI610" s="309"/>
      <c r="AJ610" s="309"/>
      <c r="AK610" s="309"/>
      <c r="AL610" s="309"/>
      <c r="AM610" s="309"/>
      <c r="AN610" s="309"/>
      <c r="AO610" s="309"/>
      <c r="AP610" s="309"/>
      <c r="AQ610" s="309"/>
      <c r="AR610" s="309"/>
      <c r="AS610" s="309"/>
      <c r="AT610" s="309"/>
      <c r="AU610" s="309"/>
      <c r="AV610" s="309"/>
      <c r="AW610" s="309"/>
      <c r="AX610" s="309"/>
      <c r="AY610" s="309"/>
      <c r="AZ610" s="309"/>
      <c r="BA610" s="310"/>
      <c r="BB610" s="310"/>
      <c r="BC610" s="310"/>
      <c r="BD610" s="310"/>
      <c r="BE610" s="310"/>
      <c r="BF610" s="310"/>
      <c r="BG610" s="310"/>
      <c r="BH610" s="310"/>
      <c r="BI610" s="310"/>
      <c r="BJ610" s="310"/>
      <c r="BK610" s="310"/>
      <c r="BL610" s="310"/>
      <c r="BM610" s="310"/>
      <c r="BN610" s="221"/>
      <c r="BO610" s="221"/>
      <c r="BP610" s="221"/>
      <c r="BQ610" s="221"/>
      <c r="BR610" s="221"/>
    </row>
    <row r="611" ht="15.75" customHeight="1">
      <c r="A611" s="220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309"/>
      <c r="Y611" s="309"/>
      <c r="Z611" s="309"/>
      <c r="AA611" s="309"/>
      <c r="AB611" s="309"/>
      <c r="AC611" s="309"/>
      <c r="AD611" s="309"/>
      <c r="AE611" s="309"/>
      <c r="AF611" s="309"/>
      <c r="AG611" s="309"/>
      <c r="AH611" s="309"/>
      <c r="AI611" s="309"/>
      <c r="AJ611" s="309"/>
      <c r="AK611" s="309"/>
      <c r="AL611" s="309"/>
      <c r="AM611" s="309"/>
      <c r="AN611" s="309"/>
      <c r="AO611" s="309"/>
      <c r="AP611" s="309"/>
      <c r="AQ611" s="309"/>
      <c r="AR611" s="309"/>
      <c r="AS611" s="309"/>
      <c r="AT611" s="309"/>
      <c r="AU611" s="309"/>
      <c r="AV611" s="309"/>
      <c r="AW611" s="309"/>
      <c r="AX611" s="309"/>
      <c r="AY611" s="309"/>
      <c r="AZ611" s="309"/>
      <c r="BA611" s="310"/>
      <c r="BB611" s="310"/>
      <c r="BC611" s="310"/>
      <c r="BD611" s="310"/>
      <c r="BE611" s="310"/>
      <c r="BF611" s="310"/>
      <c r="BG611" s="310"/>
      <c r="BH611" s="310"/>
      <c r="BI611" s="310"/>
      <c r="BJ611" s="310"/>
      <c r="BK611" s="310"/>
      <c r="BL611" s="310"/>
      <c r="BM611" s="310"/>
      <c r="BN611" s="221"/>
      <c r="BO611" s="221"/>
      <c r="BP611" s="221"/>
      <c r="BQ611" s="221"/>
      <c r="BR611" s="221"/>
    </row>
    <row r="612" ht="15.75" customHeight="1">
      <c r="A612" s="220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309"/>
      <c r="Y612" s="309"/>
      <c r="Z612" s="309"/>
      <c r="AA612" s="309"/>
      <c r="AB612" s="309"/>
      <c r="AC612" s="309"/>
      <c r="AD612" s="309"/>
      <c r="AE612" s="309"/>
      <c r="AF612" s="309"/>
      <c r="AG612" s="309"/>
      <c r="AH612" s="309"/>
      <c r="AI612" s="309"/>
      <c r="AJ612" s="309"/>
      <c r="AK612" s="309"/>
      <c r="AL612" s="309"/>
      <c r="AM612" s="309"/>
      <c r="AN612" s="309"/>
      <c r="AO612" s="309"/>
      <c r="AP612" s="309"/>
      <c r="AQ612" s="309"/>
      <c r="AR612" s="309"/>
      <c r="AS612" s="309"/>
      <c r="AT612" s="309"/>
      <c r="AU612" s="309"/>
      <c r="AV612" s="309"/>
      <c r="AW612" s="309"/>
      <c r="AX612" s="309"/>
      <c r="AY612" s="309"/>
      <c r="AZ612" s="309"/>
      <c r="BA612" s="310"/>
      <c r="BB612" s="310"/>
      <c r="BC612" s="310"/>
      <c r="BD612" s="310"/>
      <c r="BE612" s="310"/>
      <c r="BF612" s="310"/>
      <c r="BG612" s="310"/>
      <c r="BH612" s="310"/>
      <c r="BI612" s="310"/>
      <c r="BJ612" s="310"/>
      <c r="BK612" s="310"/>
      <c r="BL612" s="310"/>
      <c r="BM612" s="310"/>
      <c r="BN612" s="221"/>
      <c r="BO612" s="221"/>
      <c r="BP612" s="221"/>
      <c r="BQ612" s="221"/>
      <c r="BR612" s="221"/>
    </row>
    <row r="613" ht="15.75" customHeight="1">
      <c r="A613" s="220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309"/>
      <c r="Y613" s="309"/>
      <c r="Z613" s="309"/>
      <c r="AA613" s="309"/>
      <c r="AB613" s="309"/>
      <c r="AC613" s="309"/>
      <c r="AD613" s="309"/>
      <c r="AE613" s="309"/>
      <c r="AF613" s="309"/>
      <c r="AG613" s="309"/>
      <c r="AH613" s="309"/>
      <c r="AI613" s="309"/>
      <c r="AJ613" s="309"/>
      <c r="AK613" s="309"/>
      <c r="AL613" s="309"/>
      <c r="AM613" s="309"/>
      <c r="AN613" s="309"/>
      <c r="AO613" s="309"/>
      <c r="AP613" s="309"/>
      <c r="AQ613" s="309"/>
      <c r="AR613" s="309"/>
      <c r="AS613" s="309"/>
      <c r="AT613" s="309"/>
      <c r="AU613" s="309"/>
      <c r="AV613" s="309"/>
      <c r="AW613" s="309"/>
      <c r="AX613" s="309"/>
      <c r="AY613" s="309"/>
      <c r="AZ613" s="309"/>
      <c r="BA613" s="310"/>
      <c r="BB613" s="310"/>
      <c r="BC613" s="310"/>
      <c r="BD613" s="310"/>
      <c r="BE613" s="310"/>
      <c r="BF613" s="310"/>
      <c r="BG613" s="310"/>
      <c r="BH613" s="310"/>
      <c r="BI613" s="310"/>
      <c r="BJ613" s="310"/>
      <c r="BK613" s="310"/>
      <c r="BL613" s="310"/>
      <c r="BM613" s="310"/>
      <c r="BN613" s="221"/>
      <c r="BO613" s="221"/>
      <c r="BP613" s="221"/>
      <c r="BQ613" s="221"/>
      <c r="BR613" s="221"/>
    </row>
    <row r="614" ht="15.75" customHeight="1">
      <c r="A614" s="220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309"/>
      <c r="Y614" s="309"/>
      <c r="Z614" s="309"/>
      <c r="AA614" s="309"/>
      <c r="AB614" s="309"/>
      <c r="AC614" s="309"/>
      <c r="AD614" s="309"/>
      <c r="AE614" s="309"/>
      <c r="AF614" s="309"/>
      <c r="AG614" s="309"/>
      <c r="AH614" s="309"/>
      <c r="AI614" s="309"/>
      <c r="AJ614" s="309"/>
      <c r="AK614" s="309"/>
      <c r="AL614" s="309"/>
      <c r="AM614" s="309"/>
      <c r="AN614" s="309"/>
      <c r="AO614" s="309"/>
      <c r="AP614" s="309"/>
      <c r="AQ614" s="309"/>
      <c r="AR614" s="309"/>
      <c r="AS614" s="309"/>
      <c r="AT614" s="309"/>
      <c r="AU614" s="309"/>
      <c r="AV614" s="309"/>
      <c r="AW614" s="309"/>
      <c r="AX614" s="309"/>
      <c r="AY614" s="309"/>
      <c r="AZ614" s="309"/>
      <c r="BA614" s="310"/>
      <c r="BB614" s="310"/>
      <c r="BC614" s="310"/>
      <c r="BD614" s="310"/>
      <c r="BE614" s="310"/>
      <c r="BF614" s="310"/>
      <c r="BG614" s="310"/>
      <c r="BH614" s="310"/>
      <c r="BI614" s="310"/>
      <c r="BJ614" s="310"/>
      <c r="BK614" s="310"/>
      <c r="BL614" s="310"/>
      <c r="BM614" s="310"/>
      <c r="BN614" s="221"/>
      <c r="BO614" s="221"/>
      <c r="BP614" s="221"/>
      <c r="BQ614" s="221"/>
      <c r="BR614" s="221"/>
    </row>
    <row r="615" ht="15.75" customHeight="1">
      <c r="A615" s="220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309"/>
      <c r="Y615" s="309"/>
      <c r="Z615" s="309"/>
      <c r="AA615" s="309"/>
      <c r="AB615" s="309"/>
      <c r="AC615" s="309"/>
      <c r="AD615" s="309"/>
      <c r="AE615" s="309"/>
      <c r="AF615" s="309"/>
      <c r="AG615" s="309"/>
      <c r="AH615" s="309"/>
      <c r="AI615" s="309"/>
      <c r="AJ615" s="309"/>
      <c r="AK615" s="309"/>
      <c r="AL615" s="309"/>
      <c r="AM615" s="309"/>
      <c r="AN615" s="309"/>
      <c r="AO615" s="309"/>
      <c r="AP615" s="309"/>
      <c r="AQ615" s="309"/>
      <c r="AR615" s="309"/>
      <c r="AS615" s="309"/>
      <c r="AT615" s="309"/>
      <c r="AU615" s="309"/>
      <c r="AV615" s="309"/>
      <c r="AW615" s="309"/>
      <c r="AX615" s="309"/>
      <c r="AY615" s="309"/>
      <c r="AZ615" s="309"/>
      <c r="BA615" s="310"/>
      <c r="BB615" s="310"/>
      <c r="BC615" s="310"/>
      <c r="BD615" s="310"/>
      <c r="BE615" s="310"/>
      <c r="BF615" s="310"/>
      <c r="BG615" s="310"/>
      <c r="BH615" s="310"/>
      <c r="BI615" s="310"/>
      <c r="BJ615" s="310"/>
      <c r="BK615" s="310"/>
      <c r="BL615" s="310"/>
      <c r="BM615" s="310"/>
      <c r="BN615" s="221"/>
      <c r="BO615" s="221"/>
      <c r="BP615" s="221"/>
      <c r="BQ615" s="221"/>
      <c r="BR615" s="221"/>
    </row>
    <row r="616" ht="15.75" customHeight="1">
      <c r="A616" s="220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309"/>
      <c r="Y616" s="309"/>
      <c r="Z616" s="309"/>
      <c r="AA616" s="309"/>
      <c r="AB616" s="309"/>
      <c r="AC616" s="309"/>
      <c r="AD616" s="309"/>
      <c r="AE616" s="309"/>
      <c r="AF616" s="309"/>
      <c r="AG616" s="309"/>
      <c r="AH616" s="309"/>
      <c r="AI616" s="309"/>
      <c r="AJ616" s="309"/>
      <c r="AK616" s="309"/>
      <c r="AL616" s="309"/>
      <c r="AM616" s="309"/>
      <c r="AN616" s="309"/>
      <c r="AO616" s="309"/>
      <c r="AP616" s="309"/>
      <c r="AQ616" s="309"/>
      <c r="AR616" s="309"/>
      <c r="AS616" s="309"/>
      <c r="AT616" s="309"/>
      <c r="AU616" s="309"/>
      <c r="AV616" s="309"/>
      <c r="AW616" s="309"/>
      <c r="AX616" s="309"/>
      <c r="AY616" s="309"/>
      <c r="AZ616" s="309"/>
      <c r="BA616" s="310"/>
      <c r="BB616" s="310"/>
      <c r="BC616" s="310"/>
      <c r="BD616" s="310"/>
      <c r="BE616" s="310"/>
      <c r="BF616" s="310"/>
      <c r="BG616" s="310"/>
      <c r="BH616" s="310"/>
      <c r="BI616" s="310"/>
      <c r="BJ616" s="310"/>
      <c r="BK616" s="310"/>
      <c r="BL616" s="310"/>
      <c r="BM616" s="310"/>
      <c r="BN616" s="221"/>
      <c r="BO616" s="221"/>
      <c r="BP616" s="221"/>
      <c r="BQ616" s="221"/>
      <c r="BR616" s="221"/>
    </row>
    <row r="617" ht="15.75" customHeight="1">
      <c r="A617" s="220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309"/>
      <c r="Y617" s="309"/>
      <c r="Z617" s="309"/>
      <c r="AA617" s="309"/>
      <c r="AB617" s="309"/>
      <c r="AC617" s="309"/>
      <c r="AD617" s="309"/>
      <c r="AE617" s="309"/>
      <c r="AF617" s="309"/>
      <c r="AG617" s="309"/>
      <c r="AH617" s="309"/>
      <c r="AI617" s="309"/>
      <c r="AJ617" s="309"/>
      <c r="AK617" s="309"/>
      <c r="AL617" s="309"/>
      <c r="AM617" s="309"/>
      <c r="AN617" s="309"/>
      <c r="AO617" s="309"/>
      <c r="AP617" s="309"/>
      <c r="AQ617" s="309"/>
      <c r="AR617" s="309"/>
      <c r="AS617" s="309"/>
      <c r="AT617" s="309"/>
      <c r="AU617" s="309"/>
      <c r="AV617" s="309"/>
      <c r="AW617" s="309"/>
      <c r="AX617" s="309"/>
      <c r="AY617" s="309"/>
      <c r="AZ617" s="309"/>
      <c r="BA617" s="310"/>
      <c r="BB617" s="310"/>
      <c r="BC617" s="310"/>
      <c r="BD617" s="310"/>
      <c r="BE617" s="310"/>
      <c r="BF617" s="310"/>
      <c r="BG617" s="310"/>
      <c r="BH617" s="310"/>
      <c r="BI617" s="310"/>
      <c r="BJ617" s="310"/>
      <c r="BK617" s="310"/>
      <c r="BL617" s="310"/>
      <c r="BM617" s="310"/>
      <c r="BN617" s="221"/>
      <c r="BO617" s="221"/>
      <c r="BP617" s="221"/>
      <c r="BQ617" s="221"/>
      <c r="BR617" s="221"/>
    </row>
    <row r="618" ht="15.75" customHeight="1">
      <c r="A618" s="220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309"/>
      <c r="Y618" s="309"/>
      <c r="Z618" s="309"/>
      <c r="AA618" s="309"/>
      <c r="AB618" s="309"/>
      <c r="AC618" s="309"/>
      <c r="AD618" s="309"/>
      <c r="AE618" s="309"/>
      <c r="AF618" s="309"/>
      <c r="AG618" s="309"/>
      <c r="AH618" s="309"/>
      <c r="AI618" s="309"/>
      <c r="AJ618" s="309"/>
      <c r="AK618" s="309"/>
      <c r="AL618" s="309"/>
      <c r="AM618" s="309"/>
      <c r="AN618" s="309"/>
      <c r="AO618" s="309"/>
      <c r="AP618" s="309"/>
      <c r="AQ618" s="309"/>
      <c r="AR618" s="309"/>
      <c r="AS618" s="309"/>
      <c r="AT618" s="309"/>
      <c r="AU618" s="309"/>
      <c r="AV618" s="309"/>
      <c r="AW618" s="309"/>
      <c r="AX618" s="309"/>
      <c r="AY618" s="309"/>
      <c r="AZ618" s="309"/>
      <c r="BA618" s="310"/>
      <c r="BB618" s="310"/>
      <c r="BC618" s="310"/>
      <c r="BD618" s="310"/>
      <c r="BE618" s="310"/>
      <c r="BF618" s="310"/>
      <c r="BG618" s="310"/>
      <c r="BH618" s="310"/>
      <c r="BI618" s="310"/>
      <c r="BJ618" s="310"/>
      <c r="BK618" s="310"/>
      <c r="BL618" s="310"/>
      <c r="BM618" s="310"/>
      <c r="BN618" s="221"/>
      <c r="BO618" s="221"/>
      <c r="BP618" s="221"/>
      <c r="BQ618" s="221"/>
      <c r="BR618" s="221"/>
    </row>
    <row r="619" ht="15.75" customHeight="1">
      <c r="A619" s="220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309"/>
      <c r="Y619" s="309"/>
      <c r="Z619" s="309"/>
      <c r="AA619" s="309"/>
      <c r="AB619" s="309"/>
      <c r="AC619" s="309"/>
      <c r="AD619" s="309"/>
      <c r="AE619" s="309"/>
      <c r="AF619" s="309"/>
      <c r="AG619" s="309"/>
      <c r="AH619" s="309"/>
      <c r="AI619" s="309"/>
      <c r="AJ619" s="309"/>
      <c r="AK619" s="309"/>
      <c r="AL619" s="309"/>
      <c r="AM619" s="309"/>
      <c r="AN619" s="309"/>
      <c r="AO619" s="309"/>
      <c r="AP619" s="309"/>
      <c r="AQ619" s="309"/>
      <c r="AR619" s="309"/>
      <c r="AS619" s="309"/>
      <c r="AT619" s="309"/>
      <c r="AU619" s="309"/>
      <c r="AV619" s="309"/>
      <c r="AW619" s="309"/>
      <c r="AX619" s="309"/>
      <c r="AY619" s="309"/>
      <c r="AZ619" s="309"/>
      <c r="BA619" s="310"/>
      <c r="BB619" s="310"/>
      <c r="BC619" s="310"/>
      <c r="BD619" s="310"/>
      <c r="BE619" s="310"/>
      <c r="BF619" s="310"/>
      <c r="BG619" s="310"/>
      <c r="BH619" s="310"/>
      <c r="BI619" s="310"/>
      <c r="BJ619" s="310"/>
      <c r="BK619" s="310"/>
      <c r="BL619" s="310"/>
      <c r="BM619" s="310"/>
      <c r="BN619" s="221"/>
      <c r="BO619" s="221"/>
      <c r="BP619" s="221"/>
      <c r="BQ619" s="221"/>
      <c r="BR619" s="221"/>
    </row>
    <row r="620" ht="15.75" customHeight="1">
      <c r="A620" s="220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309"/>
      <c r="Y620" s="309"/>
      <c r="Z620" s="309"/>
      <c r="AA620" s="309"/>
      <c r="AB620" s="309"/>
      <c r="AC620" s="309"/>
      <c r="AD620" s="309"/>
      <c r="AE620" s="309"/>
      <c r="AF620" s="309"/>
      <c r="AG620" s="309"/>
      <c r="AH620" s="309"/>
      <c r="AI620" s="309"/>
      <c r="AJ620" s="309"/>
      <c r="AK620" s="309"/>
      <c r="AL620" s="309"/>
      <c r="AM620" s="309"/>
      <c r="AN620" s="309"/>
      <c r="AO620" s="309"/>
      <c r="AP620" s="309"/>
      <c r="AQ620" s="309"/>
      <c r="AR620" s="309"/>
      <c r="AS620" s="309"/>
      <c r="AT620" s="309"/>
      <c r="AU620" s="309"/>
      <c r="AV620" s="309"/>
      <c r="AW620" s="309"/>
      <c r="AX620" s="309"/>
      <c r="AY620" s="309"/>
      <c r="AZ620" s="309"/>
      <c r="BA620" s="310"/>
      <c r="BB620" s="310"/>
      <c r="BC620" s="310"/>
      <c r="BD620" s="310"/>
      <c r="BE620" s="310"/>
      <c r="BF620" s="310"/>
      <c r="BG620" s="310"/>
      <c r="BH620" s="310"/>
      <c r="BI620" s="310"/>
      <c r="BJ620" s="310"/>
      <c r="BK620" s="310"/>
      <c r="BL620" s="310"/>
      <c r="BM620" s="310"/>
      <c r="BN620" s="221"/>
      <c r="BO620" s="221"/>
      <c r="BP620" s="221"/>
      <c r="BQ620" s="221"/>
      <c r="BR620" s="221"/>
    </row>
    <row r="621" ht="15.75" customHeight="1">
      <c r="A621" s="220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309"/>
      <c r="Y621" s="309"/>
      <c r="Z621" s="309"/>
      <c r="AA621" s="309"/>
      <c r="AB621" s="309"/>
      <c r="AC621" s="309"/>
      <c r="AD621" s="309"/>
      <c r="AE621" s="309"/>
      <c r="AF621" s="309"/>
      <c r="AG621" s="309"/>
      <c r="AH621" s="309"/>
      <c r="AI621" s="309"/>
      <c r="AJ621" s="309"/>
      <c r="AK621" s="309"/>
      <c r="AL621" s="309"/>
      <c r="AM621" s="309"/>
      <c r="AN621" s="309"/>
      <c r="AO621" s="309"/>
      <c r="AP621" s="309"/>
      <c r="AQ621" s="309"/>
      <c r="AR621" s="309"/>
      <c r="AS621" s="309"/>
      <c r="AT621" s="309"/>
      <c r="AU621" s="309"/>
      <c r="AV621" s="309"/>
      <c r="AW621" s="309"/>
      <c r="AX621" s="309"/>
      <c r="AY621" s="309"/>
      <c r="AZ621" s="309"/>
      <c r="BA621" s="310"/>
      <c r="BB621" s="310"/>
      <c r="BC621" s="310"/>
      <c r="BD621" s="310"/>
      <c r="BE621" s="310"/>
      <c r="BF621" s="310"/>
      <c r="BG621" s="310"/>
      <c r="BH621" s="310"/>
      <c r="BI621" s="310"/>
      <c r="BJ621" s="310"/>
      <c r="BK621" s="310"/>
      <c r="BL621" s="310"/>
      <c r="BM621" s="310"/>
      <c r="BN621" s="221"/>
      <c r="BO621" s="221"/>
      <c r="BP621" s="221"/>
      <c r="BQ621" s="221"/>
      <c r="BR621" s="221"/>
    </row>
    <row r="622" ht="15.75" customHeight="1">
      <c r="A622" s="220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309"/>
      <c r="Y622" s="309"/>
      <c r="Z622" s="309"/>
      <c r="AA622" s="309"/>
      <c r="AB622" s="309"/>
      <c r="AC622" s="309"/>
      <c r="AD622" s="309"/>
      <c r="AE622" s="309"/>
      <c r="AF622" s="309"/>
      <c r="AG622" s="309"/>
      <c r="AH622" s="309"/>
      <c r="AI622" s="309"/>
      <c r="AJ622" s="309"/>
      <c r="AK622" s="309"/>
      <c r="AL622" s="309"/>
      <c r="AM622" s="309"/>
      <c r="AN622" s="309"/>
      <c r="AO622" s="309"/>
      <c r="AP622" s="309"/>
      <c r="AQ622" s="309"/>
      <c r="AR622" s="309"/>
      <c r="AS622" s="309"/>
      <c r="AT622" s="309"/>
      <c r="AU622" s="309"/>
      <c r="AV622" s="309"/>
      <c r="AW622" s="309"/>
      <c r="AX622" s="309"/>
      <c r="AY622" s="309"/>
      <c r="AZ622" s="309"/>
      <c r="BA622" s="310"/>
      <c r="BB622" s="310"/>
      <c r="BC622" s="310"/>
      <c r="BD622" s="310"/>
      <c r="BE622" s="310"/>
      <c r="BF622" s="310"/>
      <c r="BG622" s="310"/>
      <c r="BH622" s="310"/>
      <c r="BI622" s="310"/>
      <c r="BJ622" s="310"/>
      <c r="BK622" s="310"/>
      <c r="BL622" s="310"/>
      <c r="BM622" s="310"/>
      <c r="BN622" s="221"/>
      <c r="BO622" s="221"/>
      <c r="BP622" s="221"/>
      <c r="BQ622" s="221"/>
      <c r="BR622" s="221"/>
    </row>
    <row r="623" ht="15.75" customHeight="1">
      <c r="A623" s="220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309"/>
      <c r="Y623" s="309"/>
      <c r="Z623" s="309"/>
      <c r="AA623" s="309"/>
      <c r="AB623" s="309"/>
      <c r="AC623" s="309"/>
      <c r="AD623" s="309"/>
      <c r="AE623" s="309"/>
      <c r="AF623" s="309"/>
      <c r="AG623" s="309"/>
      <c r="AH623" s="309"/>
      <c r="AI623" s="309"/>
      <c r="AJ623" s="309"/>
      <c r="AK623" s="309"/>
      <c r="AL623" s="309"/>
      <c r="AM623" s="309"/>
      <c r="AN623" s="309"/>
      <c r="AO623" s="309"/>
      <c r="AP623" s="309"/>
      <c r="AQ623" s="309"/>
      <c r="AR623" s="309"/>
      <c r="AS623" s="309"/>
      <c r="AT623" s="309"/>
      <c r="AU623" s="309"/>
      <c r="AV623" s="309"/>
      <c r="AW623" s="309"/>
      <c r="AX623" s="309"/>
      <c r="AY623" s="309"/>
      <c r="AZ623" s="309"/>
      <c r="BA623" s="310"/>
      <c r="BB623" s="310"/>
      <c r="BC623" s="310"/>
      <c r="BD623" s="310"/>
      <c r="BE623" s="310"/>
      <c r="BF623" s="310"/>
      <c r="BG623" s="310"/>
      <c r="BH623" s="310"/>
      <c r="BI623" s="310"/>
      <c r="BJ623" s="310"/>
      <c r="BK623" s="310"/>
      <c r="BL623" s="310"/>
      <c r="BM623" s="310"/>
      <c r="BN623" s="221"/>
      <c r="BO623" s="221"/>
      <c r="BP623" s="221"/>
      <c r="BQ623" s="221"/>
      <c r="BR623" s="221"/>
    </row>
    <row r="624" ht="15.75" customHeight="1">
      <c r="A624" s="220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309"/>
      <c r="Y624" s="309"/>
      <c r="Z624" s="309"/>
      <c r="AA624" s="309"/>
      <c r="AB624" s="309"/>
      <c r="AC624" s="309"/>
      <c r="AD624" s="309"/>
      <c r="AE624" s="309"/>
      <c r="AF624" s="309"/>
      <c r="AG624" s="309"/>
      <c r="AH624" s="309"/>
      <c r="AI624" s="309"/>
      <c r="AJ624" s="309"/>
      <c r="AK624" s="309"/>
      <c r="AL624" s="309"/>
      <c r="AM624" s="309"/>
      <c r="AN624" s="309"/>
      <c r="AO624" s="309"/>
      <c r="AP624" s="309"/>
      <c r="AQ624" s="309"/>
      <c r="AR624" s="309"/>
      <c r="AS624" s="309"/>
      <c r="AT624" s="309"/>
      <c r="AU624" s="309"/>
      <c r="AV624" s="309"/>
      <c r="AW624" s="309"/>
      <c r="AX624" s="309"/>
      <c r="AY624" s="309"/>
      <c r="AZ624" s="309"/>
      <c r="BA624" s="310"/>
      <c r="BB624" s="310"/>
      <c r="BC624" s="310"/>
      <c r="BD624" s="310"/>
      <c r="BE624" s="310"/>
      <c r="BF624" s="310"/>
      <c r="BG624" s="310"/>
      <c r="BH624" s="310"/>
      <c r="BI624" s="310"/>
      <c r="BJ624" s="310"/>
      <c r="BK624" s="310"/>
      <c r="BL624" s="310"/>
      <c r="BM624" s="310"/>
      <c r="BN624" s="221"/>
      <c r="BO624" s="221"/>
      <c r="BP624" s="221"/>
      <c r="BQ624" s="221"/>
      <c r="BR624" s="221"/>
    </row>
    <row r="625" ht="15.75" customHeight="1">
      <c r="A625" s="220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309"/>
      <c r="Y625" s="309"/>
      <c r="Z625" s="309"/>
      <c r="AA625" s="309"/>
      <c r="AB625" s="309"/>
      <c r="AC625" s="309"/>
      <c r="AD625" s="309"/>
      <c r="AE625" s="309"/>
      <c r="AF625" s="309"/>
      <c r="AG625" s="309"/>
      <c r="AH625" s="309"/>
      <c r="AI625" s="309"/>
      <c r="AJ625" s="309"/>
      <c r="AK625" s="309"/>
      <c r="AL625" s="309"/>
      <c r="AM625" s="309"/>
      <c r="AN625" s="309"/>
      <c r="AO625" s="309"/>
      <c r="AP625" s="309"/>
      <c r="AQ625" s="309"/>
      <c r="AR625" s="309"/>
      <c r="AS625" s="309"/>
      <c r="AT625" s="309"/>
      <c r="AU625" s="309"/>
      <c r="AV625" s="309"/>
      <c r="AW625" s="309"/>
      <c r="AX625" s="309"/>
      <c r="AY625" s="309"/>
      <c r="AZ625" s="309"/>
      <c r="BA625" s="310"/>
      <c r="BB625" s="310"/>
      <c r="BC625" s="310"/>
      <c r="BD625" s="310"/>
      <c r="BE625" s="310"/>
      <c r="BF625" s="310"/>
      <c r="BG625" s="310"/>
      <c r="BH625" s="310"/>
      <c r="BI625" s="310"/>
      <c r="BJ625" s="310"/>
      <c r="BK625" s="310"/>
      <c r="BL625" s="310"/>
      <c r="BM625" s="310"/>
      <c r="BN625" s="221"/>
      <c r="BO625" s="221"/>
      <c r="BP625" s="221"/>
      <c r="BQ625" s="221"/>
      <c r="BR625" s="221"/>
    </row>
    <row r="626" ht="15.75" customHeight="1">
      <c r="A626" s="220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309"/>
      <c r="Y626" s="309"/>
      <c r="Z626" s="309"/>
      <c r="AA626" s="309"/>
      <c r="AB626" s="309"/>
      <c r="AC626" s="309"/>
      <c r="AD626" s="309"/>
      <c r="AE626" s="309"/>
      <c r="AF626" s="309"/>
      <c r="AG626" s="309"/>
      <c r="AH626" s="309"/>
      <c r="AI626" s="309"/>
      <c r="AJ626" s="309"/>
      <c r="AK626" s="309"/>
      <c r="AL626" s="309"/>
      <c r="AM626" s="309"/>
      <c r="AN626" s="309"/>
      <c r="AO626" s="309"/>
      <c r="AP626" s="309"/>
      <c r="AQ626" s="309"/>
      <c r="AR626" s="309"/>
      <c r="AS626" s="309"/>
      <c r="AT626" s="309"/>
      <c r="AU626" s="309"/>
      <c r="AV626" s="309"/>
      <c r="AW626" s="309"/>
      <c r="AX626" s="309"/>
      <c r="AY626" s="309"/>
      <c r="AZ626" s="309"/>
      <c r="BA626" s="310"/>
      <c r="BB626" s="310"/>
      <c r="BC626" s="310"/>
      <c r="BD626" s="310"/>
      <c r="BE626" s="310"/>
      <c r="BF626" s="310"/>
      <c r="BG626" s="310"/>
      <c r="BH626" s="310"/>
      <c r="BI626" s="310"/>
      <c r="BJ626" s="310"/>
      <c r="BK626" s="310"/>
      <c r="BL626" s="310"/>
      <c r="BM626" s="310"/>
      <c r="BN626" s="221"/>
      <c r="BO626" s="221"/>
      <c r="BP626" s="221"/>
      <c r="BQ626" s="221"/>
      <c r="BR626" s="221"/>
    </row>
    <row r="627" ht="15.75" customHeight="1">
      <c r="A627" s="220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309"/>
      <c r="Y627" s="309"/>
      <c r="Z627" s="309"/>
      <c r="AA627" s="309"/>
      <c r="AB627" s="309"/>
      <c r="AC627" s="309"/>
      <c r="AD627" s="309"/>
      <c r="AE627" s="309"/>
      <c r="AF627" s="309"/>
      <c r="AG627" s="309"/>
      <c r="AH627" s="309"/>
      <c r="AI627" s="309"/>
      <c r="AJ627" s="309"/>
      <c r="AK627" s="309"/>
      <c r="AL627" s="309"/>
      <c r="AM627" s="309"/>
      <c r="AN627" s="309"/>
      <c r="AO627" s="309"/>
      <c r="AP627" s="309"/>
      <c r="AQ627" s="309"/>
      <c r="AR627" s="309"/>
      <c r="AS627" s="309"/>
      <c r="AT627" s="309"/>
      <c r="AU627" s="309"/>
      <c r="AV627" s="309"/>
      <c r="AW627" s="309"/>
      <c r="AX627" s="309"/>
      <c r="AY627" s="309"/>
      <c r="AZ627" s="309"/>
      <c r="BA627" s="310"/>
      <c r="BB627" s="310"/>
      <c r="BC627" s="310"/>
      <c r="BD627" s="310"/>
      <c r="BE627" s="310"/>
      <c r="BF627" s="310"/>
      <c r="BG627" s="310"/>
      <c r="BH627" s="310"/>
      <c r="BI627" s="310"/>
      <c r="BJ627" s="310"/>
      <c r="BK627" s="310"/>
      <c r="BL627" s="310"/>
      <c r="BM627" s="310"/>
      <c r="BN627" s="221"/>
      <c r="BO627" s="221"/>
      <c r="BP627" s="221"/>
      <c r="BQ627" s="221"/>
      <c r="BR627" s="221"/>
    </row>
    <row r="628" ht="15.75" customHeight="1">
      <c r="A628" s="220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309"/>
      <c r="Y628" s="309"/>
      <c r="Z628" s="309"/>
      <c r="AA628" s="309"/>
      <c r="AB628" s="309"/>
      <c r="AC628" s="309"/>
      <c r="AD628" s="309"/>
      <c r="AE628" s="309"/>
      <c r="AF628" s="309"/>
      <c r="AG628" s="309"/>
      <c r="AH628" s="309"/>
      <c r="AI628" s="309"/>
      <c r="AJ628" s="309"/>
      <c r="AK628" s="309"/>
      <c r="AL628" s="309"/>
      <c r="AM628" s="309"/>
      <c r="AN628" s="309"/>
      <c r="AO628" s="309"/>
      <c r="AP628" s="309"/>
      <c r="AQ628" s="309"/>
      <c r="AR628" s="309"/>
      <c r="AS628" s="309"/>
      <c r="AT628" s="309"/>
      <c r="AU628" s="309"/>
      <c r="AV628" s="309"/>
      <c r="AW628" s="309"/>
      <c r="AX628" s="309"/>
      <c r="AY628" s="309"/>
      <c r="AZ628" s="309"/>
      <c r="BA628" s="310"/>
      <c r="BB628" s="310"/>
      <c r="BC628" s="310"/>
      <c r="BD628" s="310"/>
      <c r="BE628" s="310"/>
      <c r="BF628" s="310"/>
      <c r="BG628" s="310"/>
      <c r="BH628" s="310"/>
      <c r="BI628" s="310"/>
      <c r="BJ628" s="310"/>
      <c r="BK628" s="310"/>
      <c r="BL628" s="310"/>
      <c r="BM628" s="310"/>
      <c r="BN628" s="221"/>
      <c r="BO628" s="221"/>
      <c r="BP628" s="221"/>
      <c r="BQ628" s="221"/>
      <c r="BR628" s="221"/>
    </row>
    <row r="629" ht="15.75" customHeight="1">
      <c r="A629" s="220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309"/>
      <c r="Y629" s="309"/>
      <c r="Z629" s="309"/>
      <c r="AA629" s="309"/>
      <c r="AB629" s="309"/>
      <c r="AC629" s="309"/>
      <c r="AD629" s="309"/>
      <c r="AE629" s="309"/>
      <c r="AF629" s="309"/>
      <c r="AG629" s="309"/>
      <c r="AH629" s="309"/>
      <c r="AI629" s="309"/>
      <c r="AJ629" s="309"/>
      <c r="AK629" s="309"/>
      <c r="AL629" s="309"/>
      <c r="AM629" s="309"/>
      <c r="AN629" s="309"/>
      <c r="AO629" s="309"/>
      <c r="AP629" s="309"/>
      <c r="AQ629" s="309"/>
      <c r="AR629" s="309"/>
      <c r="AS629" s="309"/>
      <c r="AT629" s="309"/>
      <c r="AU629" s="309"/>
      <c r="AV629" s="309"/>
      <c r="AW629" s="309"/>
      <c r="AX629" s="309"/>
      <c r="AY629" s="309"/>
      <c r="AZ629" s="309"/>
      <c r="BA629" s="310"/>
      <c r="BB629" s="310"/>
      <c r="BC629" s="310"/>
      <c r="BD629" s="310"/>
      <c r="BE629" s="310"/>
      <c r="BF629" s="310"/>
      <c r="BG629" s="310"/>
      <c r="BH629" s="310"/>
      <c r="BI629" s="310"/>
      <c r="BJ629" s="310"/>
      <c r="BK629" s="310"/>
      <c r="BL629" s="310"/>
      <c r="BM629" s="310"/>
      <c r="BN629" s="221"/>
      <c r="BO629" s="221"/>
      <c r="BP629" s="221"/>
      <c r="BQ629" s="221"/>
      <c r="BR629" s="221"/>
    </row>
    <row r="630" ht="15.75" customHeight="1">
      <c r="A630" s="220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309"/>
      <c r="Y630" s="309"/>
      <c r="Z630" s="309"/>
      <c r="AA630" s="309"/>
      <c r="AB630" s="309"/>
      <c r="AC630" s="309"/>
      <c r="AD630" s="309"/>
      <c r="AE630" s="309"/>
      <c r="AF630" s="309"/>
      <c r="AG630" s="309"/>
      <c r="AH630" s="309"/>
      <c r="AI630" s="309"/>
      <c r="AJ630" s="309"/>
      <c r="AK630" s="309"/>
      <c r="AL630" s="309"/>
      <c r="AM630" s="309"/>
      <c r="AN630" s="309"/>
      <c r="AO630" s="309"/>
      <c r="AP630" s="309"/>
      <c r="AQ630" s="309"/>
      <c r="AR630" s="309"/>
      <c r="AS630" s="309"/>
      <c r="AT630" s="309"/>
      <c r="AU630" s="309"/>
      <c r="AV630" s="309"/>
      <c r="AW630" s="309"/>
      <c r="AX630" s="309"/>
      <c r="AY630" s="309"/>
      <c r="AZ630" s="309"/>
      <c r="BA630" s="310"/>
      <c r="BB630" s="310"/>
      <c r="BC630" s="310"/>
      <c r="BD630" s="310"/>
      <c r="BE630" s="310"/>
      <c r="BF630" s="310"/>
      <c r="BG630" s="310"/>
      <c r="BH630" s="310"/>
      <c r="BI630" s="310"/>
      <c r="BJ630" s="310"/>
      <c r="BK630" s="310"/>
      <c r="BL630" s="310"/>
      <c r="BM630" s="310"/>
      <c r="BN630" s="221"/>
      <c r="BO630" s="221"/>
      <c r="BP630" s="221"/>
      <c r="BQ630" s="221"/>
      <c r="BR630" s="221"/>
    </row>
    <row r="631" ht="15.75" customHeight="1">
      <c r="A631" s="220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309"/>
      <c r="Y631" s="309"/>
      <c r="Z631" s="309"/>
      <c r="AA631" s="309"/>
      <c r="AB631" s="309"/>
      <c r="AC631" s="309"/>
      <c r="AD631" s="309"/>
      <c r="AE631" s="309"/>
      <c r="AF631" s="309"/>
      <c r="AG631" s="309"/>
      <c r="AH631" s="309"/>
      <c r="AI631" s="309"/>
      <c r="AJ631" s="309"/>
      <c r="AK631" s="309"/>
      <c r="AL631" s="309"/>
      <c r="AM631" s="309"/>
      <c r="AN631" s="309"/>
      <c r="AO631" s="309"/>
      <c r="AP631" s="309"/>
      <c r="AQ631" s="309"/>
      <c r="AR631" s="309"/>
      <c r="AS631" s="309"/>
      <c r="AT631" s="309"/>
      <c r="AU631" s="309"/>
      <c r="AV631" s="309"/>
      <c r="AW631" s="309"/>
      <c r="AX631" s="309"/>
      <c r="AY631" s="309"/>
      <c r="AZ631" s="309"/>
      <c r="BA631" s="310"/>
      <c r="BB631" s="310"/>
      <c r="BC631" s="310"/>
      <c r="BD631" s="310"/>
      <c r="BE631" s="310"/>
      <c r="BF631" s="310"/>
      <c r="BG631" s="310"/>
      <c r="BH631" s="310"/>
      <c r="BI631" s="310"/>
      <c r="BJ631" s="310"/>
      <c r="BK631" s="310"/>
      <c r="BL631" s="310"/>
      <c r="BM631" s="310"/>
      <c r="BN631" s="221"/>
      <c r="BO631" s="221"/>
      <c r="BP631" s="221"/>
      <c r="BQ631" s="221"/>
      <c r="BR631" s="221"/>
    </row>
    <row r="632" ht="15.75" customHeight="1">
      <c r="A632" s="220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309"/>
      <c r="Y632" s="309"/>
      <c r="Z632" s="309"/>
      <c r="AA632" s="309"/>
      <c r="AB632" s="309"/>
      <c r="AC632" s="309"/>
      <c r="AD632" s="309"/>
      <c r="AE632" s="309"/>
      <c r="AF632" s="309"/>
      <c r="AG632" s="309"/>
      <c r="AH632" s="309"/>
      <c r="AI632" s="309"/>
      <c r="AJ632" s="309"/>
      <c r="AK632" s="309"/>
      <c r="AL632" s="309"/>
      <c r="AM632" s="309"/>
      <c r="AN632" s="309"/>
      <c r="AO632" s="309"/>
      <c r="AP632" s="309"/>
      <c r="AQ632" s="309"/>
      <c r="AR632" s="309"/>
      <c r="AS632" s="309"/>
      <c r="AT632" s="309"/>
      <c r="AU632" s="309"/>
      <c r="AV632" s="309"/>
      <c r="AW632" s="309"/>
      <c r="AX632" s="309"/>
      <c r="AY632" s="309"/>
      <c r="AZ632" s="309"/>
      <c r="BA632" s="310"/>
      <c r="BB632" s="310"/>
      <c r="BC632" s="310"/>
      <c r="BD632" s="310"/>
      <c r="BE632" s="310"/>
      <c r="BF632" s="310"/>
      <c r="BG632" s="310"/>
      <c r="BH632" s="310"/>
      <c r="BI632" s="310"/>
      <c r="BJ632" s="310"/>
      <c r="BK632" s="310"/>
      <c r="BL632" s="310"/>
      <c r="BM632" s="310"/>
      <c r="BN632" s="221"/>
      <c r="BO632" s="221"/>
      <c r="BP632" s="221"/>
      <c r="BQ632" s="221"/>
      <c r="BR632" s="221"/>
    </row>
    <row r="633" ht="15.75" customHeight="1">
      <c r="A633" s="220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309"/>
      <c r="Y633" s="309"/>
      <c r="Z633" s="309"/>
      <c r="AA633" s="309"/>
      <c r="AB633" s="309"/>
      <c r="AC633" s="309"/>
      <c r="AD633" s="309"/>
      <c r="AE633" s="309"/>
      <c r="AF633" s="309"/>
      <c r="AG633" s="309"/>
      <c r="AH633" s="309"/>
      <c r="AI633" s="309"/>
      <c r="AJ633" s="309"/>
      <c r="AK633" s="309"/>
      <c r="AL633" s="309"/>
      <c r="AM633" s="309"/>
      <c r="AN633" s="309"/>
      <c r="AO633" s="309"/>
      <c r="AP633" s="309"/>
      <c r="AQ633" s="309"/>
      <c r="AR633" s="309"/>
      <c r="AS633" s="309"/>
      <c r="AT633" s="309"/>
      <c r="AU633" s="309"/>
      <c r="AV633" s="309"/>
      <c r="AW633" s="309"/>
      <c r="AX633" s="309"/>
      <c r="AY633" s="309"/>
      <c r="AZ633" s="309"/>
      <c r="BA633" s="310"/>
      <c r="BB633" s="310"/>
      <c r="BC633" s="310"/>
      <c r="BD633" s="310"/>
      <c r="BE633" s="310"/>
      <c r="BF633" s="310"/>
      <c r="BG633" s="310"/>
      <c r="BH633" s="310"/>
      <c r="BI633" s="310"/>
      <c r="BJ633" s="310"/>
      <c r="BK633" s="310"/>
      <c r="BL633" s="310"/>
      <c r="BM633" s="310"/>
      <c r="BN633" s="221"/>
      <c r="BO633" s="221"/>
      <c r="BP633" s="221"/>
      <c r="BQ633" s="221"/>
      <c r="BR633" s="221"/>
    </row>
    <row r="634" ht="15.75" customHeight="1">
      <c r="A634" s="220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309"/>
      <c r="Y634" s="309"/>
      <c r="Z634" s="309"/>
      <c r="AA634" s="309"/>
      <c r="AB634" s="309"/>
      <c r="AC634" s="309"/>
      <c r="AD634" s="309"/>
      <c r="AE634" s="309"/>
      <c r="AF634" s="309"/>
      <c r="AG634" s="309"/>
      <c r="AH634" s="309"/>
      <c r="AI634" s="309"/>
      <c r="AJ634" s="309"/>
      <c r="AK634" s="309"/>
      <c r="AL634" s="309"/>
      <c r="AM634" s="309"/>
      <c r="AN634" s="309"/>
      <c r="AO634" s="309"/>
      <c r="AP634" s="309"/>
      <c r="AQ634" s="309"/>
      <c r="AR634" s="309"/>
      <c r="AS634" s="309"/>
      <c r="AT634" s="309"/>
      <c r="AU634" s="309"/>
      <c r="AV634" s="309"/>
      <c r="AW634" s="309"/>
      <c r="AX634" s="309"/>
      <c r="AY634" s="309"/>
      <c r="AZ634" s="309"/>
      <c r="BA634" s="310"/>
      <c r="BB634" s="310"/>
      <c r="BC634" s="310"/>
      <c r="BD634" s="310"/>
      <c r="BE634" s="310"/>
      <c r="BF634" s="310"/>
      <c r="BG634" s="310"/>
      <c r="BH634" s="310"/>
      <c r="BI634" s="310"/>
      <c r="BJ634" s="310"/>
      <c r="BK634" s="310"/>
      <c r="BL634" s="310"/>
      <c r="BM634" s="310"/>
      <c r="BN634" s="221"/>
      <c r="BO634" s="221"/>
      <c r="BP634" s="221"/>
      <c r="BQ634" s="221"/>
      <c r="BR634" s="221"/>
    </row>
    <row r="635" ht="15.75" customHeight="1">
      <c r="A635" s="220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309"/>
      <c r="Y635" s="309"/>
      <c r="Z635" s="309"/>
      <c r="AA635" s="309"/>
      <c r="AB635" s="309"/>
      <c r="AC635" s="309"/>
      <c r="AD635" s="309"/>
      <c r="AE635" s="309"/>
      <c r="AF635" s="309"/>
      <c r="AG635" s="309"/>
      <c r="AH635" s="309"/>
      <c r="AI635" s="309"/>
      <c r="AJ635" s="309"/>
      <c r="AK635" s="309"/>
      <c r="AL635" s="309"/>
      <c r="AM635" s="309"/>
      <c r="AN635" s="309"/>
      <c r="AO635" s="309"/>
      <c r="AP635" s="309"/>
      <c r="AQ635" s="309"/>
      <c r="AR635" s="309"/>
      <c r="AS635" s="309"/>
      <c r="AT635" s="309"/>
      <c r="AU635" s="309"/>
      <c r="AV635" s="309"/>
      <c r="AW635" s="309"/>
      <c r="AX635" s="309"/>
      <c r="AY635" s="309"/>
      <c r="AZ635" s="309"/>
      <c r="BA635" s="310"/>
      <c r="BB635" s="310"/>
      <c r="BC635" s="310"/>
      <c r="BD635" s="310"/>
      <c r="BE635" s="310"/>
      <c r="BF635" s="310"/>
      <c r="BG635" s="310"/>
      <c r="BH635" s="310"/>
      <c r="BI635" s="310"/>
      <c r="BJ635" s="310"/>
      <c r="BK635" s="310"/>
      <c r="BL635" s="310"/>
      <c r="BM635" s="310"/>
      <c r="BN635" s="221"/>
      <c r="BO635" s="221"/>
      <c r="BP635" s="221"/>
      <c r="BQ635" s="221"/>
      <c r="BR635" s="221"/>
    </row>
    <row r="636" ht="15.75" customHeight="1">
      <c r="A636" s="220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309"/>
      <c r="Y636" s="309"/>
      <c r="Z636" s="309"/>
      <c r="AA636" s="309"/>
      <c r="AB636" s="309"/>
      <c r="AC636" s="309"/>
      <c r="AD636" s="309"/>
      <c r="AE636" s="309"/>
      <c r="AF636" s="309"/>
      <c r="AG636" s="309"/>
      <c r="AH636" s="309"/>
      <c r="AI636" s="309"/>
      <c r="AJ636" s="309"/>
      <c r="AK636" s="309"/>
      <c r="AL636" s="309"/>
      <c r="AM636" s="309"/>
      <c r="AN636" s="309"/>
      <c r="AO636" s="309"/>
      <c r="AP636" s="309"/>
      <c r="AQ636" s="309"/>
      <c r="AR636" s="309"/>
      <c r="AS636" s="309"/>
      <c r="AT636" s="309"/>
      <c r="AU636" s="309"/>
      <c r="AV636" s="309"/>
      <c r="AW636" s="309"/>
      <c r="AX636" s="309"/>
      <c r="AY636" s="309"/>
      <c r="AZ636" s="309"/>
      <c r="BA636" s="310"/>
      <c r="BB636" s="310"/>
      <c r="BC636" s="310"/>
      <c r="BD636" s="310"/>
      <c r="BE636" s="310"/>
      <c r="BF636" s="310"/>
      <c r="BG636" s="310"/>
      <c r="BH636" s="310"/>
      <c r="BI636" s="310"/>
      <c r="BJ636" s="310"/>
      <c r="BK636" s="310"/>
      <c r="BL636" s="310"/>
      <c r="BM636" s="310"/>
      <c r="BN636" s="221"/>
      <c r="BO636" s="221"/>
      <c r="BP636" s="221"/>
      <c r="BQ636" s="221"/>
      <c r="BR636" s="221"/>
    </row>
    <row r="637" ht="15.75" customHeight="1">
      <c r="A637" s="220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309"/>
      <c r="Y637" s="309"/>
      <c r="Z637" s="309"/>
      <c r="AA637" s="309"/>
      <c r="AB637" s="309"/>
      <c r="AC637" s="309"/>
      <c r="AD637" s="309"/>
      <c r="AE637" s="309"/>
      <c r="AF637" s="309"/>
      <c r="AG637" s="309"/>
      <c r="AH637" s="309"/>
      <c r="AI637" s="309"/>
      <c r="AJ637" s="309"/>
      <c r="AK637" s="309"/>
      <c r="AL637" s="309"/>
      <c r="AM637" s="309"/>
      <c r="AN637" s="309"/>
      <c r="AO637" s="309"/>
      <c r="AP637" s="309"/>
      <c r="AQ637" s="309"/>
      <c r="AR637" s="309"/>
      <c r="AS637" s="309"/>
      <c r="AT637" s="309"/>
      <c r="AU637" s="309"/>
      <c r="AV637" s="309"/>
      <c r="AW637" s="309"/>
      <c r="AX637" s="309"/>
      <c r="AY637" s="309"/>
      <c r="AZ637" s="309"/>
      <c r="BA637" s="310"/>
      <c r="BB637" s="310"/>
      <c r="BC637" s="310"/>
      <c r="BD637" s="310"/>
      <c r="BE637" s="310"/>
      <c r="BF637" s="310"/>
      <c r="BG637" s="310"/>
      <c r="BH637" s="310"/>
      <c r="BI637" s="310"/>
      <c r="BJ637" s="310"/>
      <c r="BK637" s="310"/>
      <c r="BL637" s="310"/>
      <c r="BM637" s="310"/>
      <c r="BN637" s="221"/>
      <c r="BO637" s="221"/>
      <c r="BP637" s="221"/>
      <c r="BQ637" s="221"/>
      <c r="BR637" s="221"/>
    </row>
    <row r="638" ht="15.75" customHeight="1">
      <c r="A638" s="220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309"/>
      <c r="Y638" s="309"/>
      <c r="Z638" s="309"/>
      <c r="AA638" s="309"/>
      <c r="AB638" s="309"/>
      <c r="AC638" s="309"/>
      <c r="AD638" s="309"/>
      <c r="AE638" s="309"/>
      <c r="AF638" s="309"/>
      <c r="AG638" s="309"/>
      <c r="AH638" s="309"/>
      <c r="AI638" s="309"/>
      <c r="AJ638" s="309"/>
      <c r="AK638" s="309"/>
      <c r="AL638" s="309"/>
      <c r="AM638" s="309"/>
      <c r="AN638" s="309"/>
      <c r="AO638" s="309"/>
      <c r="AP638" s="309"/>
      <c r="AQ638" s="309"/>
      <c r="AR638" s="309"/>
      <c r="AS638" s="309"/>
      <c r="AT638" s="309"/>
      <c r="AU638" s="309"/>
      <c r="AV638" s="309"/>
      <c r="AW638" s="309"/>
      <c r="AX638" s="309"/>
      <c r="AY638" s="309"/>
      <c r="AZ638" s="309"/>
      <c r="BA638" s="310"/>
      <c r="BB638" s="310"/>
      <c r="BC638" s="310"/>
      <c r="BD638" s="310"/>
      <c r="BE638" s="310"/>
      <c r="BF638" s="310"/>
      <c r="BG638" s="310"/>
      <c r="BH638" s="310"/>
      <c r="BI638" s="310"/>
      <c r="BJ638" s="310"/>
      <c r="BK638" s="310"/>
      <c r="BL638" s="310"/>
      <c r="BM638" s="310"/>
      <c r="BN638" s="221"/>
      <c r="BO638" s="221"/>
      <c r="BP638" s="221"/>
      <c r="BQ638" s="221"/>
      <c r="BR638" s="221"/>
    </row>
    <row r="639" ht="15.75" customHeight="1">
      <c r="A639" s="220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309"/>
      <c r="Y639" s="309"/>
      <c r="Z639" s="309"/>
      <c r="AA639" s="309"/>
      <c r="AB639" s="309"/>
      <c r="AC639" s="309"/>
      <c r="AD639" s="309"/>
      <c r="AE639" s="309"/>
      <c r="AF639" s="309"/>
      <c r="AG639" s="309"/>
      <c r="AH639" s="309"/>
      <c r="AI639" s="309"/>
      <c r="AJ639" s="309"/>
      <c r="AK639" s="309"/>
      <c r="AL639" s="309"/>
      <c r="AM639" s="309"/>
      <c r="AN639" s="309"/>
      <c r="AO639" s="309"/>
      <c r="AP639" s="309"/>
      <c r="AQ639" s="309"/>
      <c r="AR639" s="309"/>
      <c r="AS639" s="309"/>
      <c r="AT639" s="309"/>
      <c r="AU639" s="309"/>
      <c r="AV639" s="309"/>
      <c r="AW639" s="309"/>
      <c r="AX639" s="309"/>
      <c r="AY639" s="309"/>
      <c r="AZ639" s="309"/>
      <c r="BA639" s="310"/>
      <c r="BB639" s="310"/>
      <c r="BC639" s="310"/>
      <c r="BD639" s="310"/>
      <c r="BE639" s="310"/>
      <c r="BF639" s="310"/>
      <c r="BG639" s="310"/>
      <c r="BH639" s="310"/>
      <c r="BI639" s="310"/>
      <c r="BJ639" s="310"/>
      <c r="BK639" s="310"/>
      <c r="BL639" s="310"/>
      <c r="BM639" s="310"/>
      <c r="BN639" s="221"/>
      <c r="BO639" s="221"/>
      <c r="BP639" s="221"/>
      <c r="BQ639" s="221"/>
      <c r="BR639" s="221"/>
    </row>
    <row r="640" ht="15.75" customHeight="1">
      <c r="A640" s="220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309"/>
      <c r="Y640" s="309"/>
      <c r="Z640" s="309"/>
      <c r="AA640" s="309"/>
      <c r="AB640" s="309"/>
      <c r="AC640" s="309"/>
      <c r="AD640" s="309"/>
      <c r="AE640" s="309"/>
      <c r="AF640" s="309"/>
      <c r="AG640" s="309"/>
      <c r="AH640" s="309"/>
      <c r="AI640" s="309"/>
      <c r="AJ640" s="309"/>
      <c r="AK640" s="309"/>
      <c r="AL640" s="309"/>
      <c r="AM640" s="309"/>
      <c r="AN640" s="309"/>
      <c r="AO640" s="309"/>
      <c r="AP640" s="309"/>
      <c r="AQ640" s="309"/>
      <c r="AR640" s="309"/>
      <c r="AS640" s="309"/>
      <c r="AT640" s="309"/>
      <c r="AU640" s="309"/>
      <c r="AV640" s="309"/>
      <c r="AW640" s="309"/>
      <c r="AX640" s="309"/>
      <c r="AY640" s="309"/>
      <c r="AZ640" s="309"/>
      <c r="BA640" s="310"/>
      <c r="BB640" s="310"/>
      <c r="BC640" s="310"/>
      <c r="BD640" s="310"/>
      <c r="BE640" s="310"/>
      <c r="BF640" s="310"/>
      <c r="BG640" s="310"/>
      <c r="BH640" s="310"/>
      <c r="BI640" s="310"/>
      <c r="BJ640" s="310"/>
      <c r="BK640" s="310"/>
      <c r="BL640" s="310"/>
      <c r="BM640" s="310"/>
      <c r="BN640" s="221"/>
      <c r="BO640" s="221"/>
      <c r="BP640" s="221"/>
      <c r="BQ640" s="221"/>
      <c r="BR640" s="221"/>
    </row>
    <row r="641" ht="15.75" customHeight="1">
      <c r="A641" s="220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309"/>
      <c r="Y641" s="309"/>
      <c r="Z641" s="309"/>
      <c r="AA641" s="309"/>
      <c r="AB641" s="309"/>
      <c r="AC641" s="309"/>
      <c r="AD641" s="309"/>
      <c r="AE641" s="309"/>
      <c r="AF641" s="309"/>
      <c r="AG641" s="309"/>
      <c r="AH641" s="309"/>
      <c r="AI641" s="309"/>
      <c r="AJ641" s="309"/>
      <c r="AK641" s="309"/>
      <c r="AL641" s="309"/>
      <c r="AM641" s="309"/>
      <c r="AN641" s="309"/>
      <c r="AO641" s="309"/>
      <c r="AP641" s="309"/>
      <c r="AQ641" s="309"/>
      <c r="AR641" s="309"/>
      <c r="AS641" s="309"/>
      <c r="AT641" s="309"/>
      <c r="AU641" s="309"/>
      <c r="AV641" s="309"/>
      <c r="AW641" s="309"/>
      <c r="AX641" s="309"/>
      <c r="AY641" s="309"/>
      <c r="AZ641" s="309"/>
      <c r="BA641" s="310"/>
      <c r="BB641" s="310"/>
      <c r="BC641" s="310"/>
      <c r="BD641" s="310"/>
      <c r="BE641" s="310"/>
      <c r="BF641" s="310"/>
      <c r="BG641" s="310"/>
      <c r="BH641" s="310"/>
      <c r="BI641" s="310"/>
      <c r="BJ641" s="310"/>
      <c r="BK641" s="310"/>
      <c r="BL641" s="310"/>
      <c r="BM641" s="310"/>
      <c r="BN641" s="221"/>
      <c r="BO641" s="221"/>
      <c r="BP641" s="221"/>
      <c r="BQ641" s="221"/>
      <c r="BR641" s="221"/>
    </row>
    <row r="642" ht="15.75" customHeight="1">
      <c r="A642" s="220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309"/>
      <c r="Y642" s="309"/>
      <c r="Z642" s="309"/>
      <c r="AA642" s="309"/>
      <c r="AB642" s="309"/>
      <c r="AC642" s="309"/>
      <c r="AD642" s="309"/>
      <c r="AE642" s="309"/>
      <c r="AF642" s="309"/>
      <c r="AG642" s="309"/>
      <c r="AH642" s="309"/>
      <c r="AI642" s="309"/>
      <c r="AJ642" s="309"/>
      <c r="AK642" s="309"/>
      <c r="AL642" s="309"/>
      <c r="AM642" s="309"/>
      <c r="AN642" s="309"/>
      <c r="AO642" s="309"/>
      <c r="AP642" s="309"/>
      <c r="AQ642" s="309"/>
      <c r="AR642" s="309"/>
      <c r="AS642" s="309"/>
      <c r="AT642" s="309"/>
      <c r="AU642" s="309"/>
      <c r="AV642" s="309"/>
      <c r="AW642" s="309"/>
      <c r="AX642" s="309"/>
      <c r="AY642" s="309"/>
      <c r="AZ642" s="309"/>
      <c r="BA642" s="310"/>
      <c r="BB642" s="310"/>
      <c r="BC642" s="310"/>
      <c r="BD642" s="310"/>
      <c r="BE642" s="310"/>
      <c r="BF642" s="310"/>
      <c r="BG642" s="310"/>
      <c r="BH642" s="310"/>
      <c r="BI642" s="310"/>
      <c r="BJ642" s="310"/>
      <c r="BK642" s="310"/>
      <c r="BL642" s="310"/>
      <c r="BM642" s="310"/>
      <c r="BN642" s="221"/>
      <c r="BO642" s="221"/>
      <c r="BP642" s="221"/>
      <c r="BQ642" s="221"/>
      <c r="BR642" s="221"/>
    </row>
    <row r="643" ht="15.75" customHeight="1">
      <c r="A643" s="220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309"/>
      <c r="Y643" s="309"/>
      <c r="Z643" s="309"/>
      <c r="AA643" s="309"/>
      <c r="AB643" s="309"/>
      <c r="AC643" s="309"/>
      <c r="AD643" s="309"/>
      <c r="AE643" s="309"/>
      <c r="AF643" s="309"/>
      <c r="AG643" s="309"/>
      <c r="AH643" s="309"/>
      <c r="AI643" s="309"/>
      <c r="AJ643" s="309"/>
      <c r="AK643" s="309"/>
      <c r="AL643" s="309"/>
      <c r="AM643" s="309"/>
      <c r="AN643" s="309"/>
      <c r="AO643" s="309"/>
      <c r="AP643" s="309"/>
      <c r="AQ643" s="309"/>
      <c r="AR643" s="309"/>
      <c r="AS643" s="309"/>
      <c r="AT643" s="309"/>
      <c r="AU643" s="309"/>
      <c r="AV643" s="309"/>
      <c r="AW643" s="309"/>
      <c r="AX643" s="309"/>
      <c r="AY643" s="309"/>
      <c r="AZ643" s="309"/>
      <c r="BA643" s="310"/>
      <c r="BB643" s="310"/>
      <c r="BC643" s="310"/>
      <c r="BD643" s="310"/>
      <c r="BE643" s="310"/>
      <c r="BF643" s="310"/>
      <c r="BG643" s="310"/>
      <c r="BH643" s="310"/>
      <c r="BI643" s="310"/>
      <c r="BJ643" s="310"/>
      <c r="BK643" s="310"/>
      <c r="BL643" s="310"/>
      <c r="BM643" s="310"/>
      <c r="BN643" s="221"/>
      <c r="BO643" s="221"/>
      <c r="BP643" s="221"/>
      <c r="BQ643" s="221"/>
      <c r="BR643" s="221"/>
    </row>
    <row r="644" ht="15.75" customHeight="1">
      <c r="A644" s="220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309"/>
      <c r="Y644" s="309"/>
      <c r="Z644" s="309"/>
      <c r="AA644" s="309"/>
      <c r="AB644" s="309"/>
      <c r="AC644" s="309"/>
      <c r="AD644" s="309"/>
      <c r="AE644" s="309"/>
      <c r="AF644" s="309"/>
      <c r="AG644" s="309"/>
      <c r="AH644" s="309"/>
      <c r="AI644" s="309"/>
      <c r="AJ644" s="309"/>
      <c r="AK644" s="309"/>
      <c r="AL644" s="309"/>
      <c r="AM644" s="309"/>
      <c r="AN644" s="309"/>
      <c r="AO644" s="309"/>
      <c r="AP644" s="309"/>
      <c r="AQ644" s="309"/>
      <c r="AR644" s="309"/>
      <c r="AS644" s="309"/>
      <c r="AT644" s="309"/>
      <c r="AU644" s="309"/>
      <c r="AV644" s="309"/>
      <c r="AW644" s="309"/>
      <c r="AX644" s="309"/>
      <c r="AY644" s="309"/>
      <c r="AZ644" s="309"/>
      <c r="BA644" s="310"/>
      <c r="BB644" s="310"/>
      <c r="BC644" s="310"/>
      <c r="BD644" s="310"/>
      <c r="BE644" s="310"/>
      <c r="BF644" s="310"/>
      <c r="BG644" s="310"/>
      <c r="BH644" s="310"/>
      <c r="BI644" s="310"/>
      <c r="BJ644" s="310"/>
      <c r="BK644" s="310"/>
      <c r="BL644" s="310"/>
      <c r="BM644" s="310"/>
      <c r="BN644" s="221"/>
      <c r="BO644" s="221"/>
      <c r="BP644" s="221"/>
      <c r="BQ644" s="221"/>
      <c r="BR644" s="221"/>
    </row>
    <row r="645" ht="15.75" customHeight="1">
      <c r="A645" s="220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309"/>
      <c r="Y645" s="309"/>
      <c r="Z645" s="309"/>
      <c r="AA645" s="309"/>
      <c r="AB645" s="309"/>
      <c r="AC645" s="309"/>
      <c r="AD645" s="309"/>
      <c r="AE645" s="309"/>
      <c r="AF645" s="309"/>
      <c r="AG645" s="309"/>
      <c r="AH645" s="309"/>
      <c r="AI645" s="309"/>
      <c r="AJ645" s="309"/>
      <c r="AK645" s="309"/>
      <c r="AL645" s="309"/>
      <c r="AM645" s="309"/>
      <c r="AN645" s="309"/>
      <c r="AO645" s="309"/>
      <c r="AP645" s="309"/>
      <c r="AQ645" s="309"/>
      <c r="AR645" s="309"/>
      <c r="AS645" s="309"/>
      <c r="AT645" s="309"/>
      <c r="AU645" s="309"/>
      <c r="AV645" s="309"/>
      <c r="AW645" s="309"/>
      <c r="AX645" s="309"/>
      <c r="AY645" s="309"/>
      <c r="AZ645" s="309"/>
      <c r="BA645" s="310"/>
      <c r="BB645" s="310"/>
      <c r="BC645" s="310"/>
      <c r="BD645" s="310"/>
      <c r="BE645" s="310"/>
      <c r="BF645" s="310"/>
      <c r="BG645" s="310"/>
      <c r="BH645" s="310"/>
      <c r="BI645" s="310"/>
      <c r="BJ645" s="310"/>
      <c r="BK645" s="310"/>
      <c r="BL645" s="310"/>
      <c r="BM645" s="310"/>
      <c r="BN645" s="221"/>
      <c r="BO645" s="221"/>
      <c r="BP645" s="221"/>
      <c r="BQ645" s="221"/>
      <c r="BR645" s="221"/>
    </row>
    <row r="646" ht="15.75" customHeight="1">
      <c r="A646" s="220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309"/>
      <c r="Y646" s="309"/>
      <c r="Z646" s="309"/>
      <c r="AA646" s="309"/>
      <c r="AB646" s="309"/>
      <c r="AC646" s="309"/>
      <c r="AD646" s="309"/>
      <c r="AE646" s="309"/>
      <c r="AF646" s="309"/>
      <c r="AG646" s="309"/>
      <c r="AH646" s="309"/>
      <c r="AI646" s="309"/>
      <c r="AJ646" s="309"/>
      <c r="AK646" s="309"/>
      <c r="AL646" s="309"/>
      <c r="AM646" s="309"/>
      <c r="AN646" s="309"/>
      <c r="AO646" s="309"/>
      <c r="AP646" s="309"/>
      <c r="AQ646" s="309"/>
      <c r="AR646" s="309"/>
      <c r="AS646" s="309"/>
      <c r="AT646" s="309"/>
      <c r="AU646" s="309"/>
      <c r="AV646" s="309"/>
      <c r="AW646" s="309"/>
      <c r="AX646" s="309"/>
      <c r="AY646" s="309"/>
      <c r="AZ646" s="309"/>
      <c r="BA646" s="310"/>
      <c r="BB646" s="310"/>
      <c r="BC646" s="310"/>
      <c r="BD646" s="310"/>
      <c r="BE646" s="310"/>
      <c r="BF646" s="310"/>
      <c r="BG646" s="310"/>
      <c r="BH646" s="310"/>
      <c r="BI646" s="310"/>
      <c r="BJ646" s="310"/>
      <c r="BK646" s="310"/>
      <c r="BL646" s="310"/>
      <c r="BM646" s="310"/>
      <c r="BN646" s="221"/>
      <c r="BO646" s="221"/>
      <c r="BP646" s="221"/>
      <c r="BQ646" s="221"/>
      <c r="BR646" s="221"/>
    </row>
    <row r="647" ht="15.75" customHeight="1">
      <c r="A647" s="220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309"/>
      <c r="Y647" s="309"/>
      <c r="Z647" s="309"/>
      <c r="AA647" s="309"/>
      <c r="AB647" s="309"/>
      <c r="AC647" s="309"/>
      <c r="AD647" s="309"/>
      <c r="AE647" s="309"/>
      <c r="AF647" s="309"/>
      <c r="AG647" s="309"/>
      <c r="AH647" s="309"/>
      <c r="AI647" s="309"/>
      <c r="AJ647" s="309"/>
      <c r="AK647" s="309"/>
      <c r="AL647" s="309"/>
      <c r="AM647" s="309"/>
      <c r="AN647" s="309"/>
      <c r="AO647" s="309"/>
      <c r="AP647" s="309"/>
      <c r="AQ647" s="309"/>
      <c r="AR647" s="309"/>
      <c r="AS647" s="309"/>
      <c r="AT647" s="309"/>
      <c r="AU647" s="309"/>
      <c r="AV647" s="309"/>
      <c r="AW647" s="309"/>
      <c r="AX647" s="309"/>
      <c r="AY647" s="309"/>
      <c r="AZ647" s="309"/>
      <c r="BA647" s="310"/>
      <c r="BB647" s="310"/>
      <c r="BC647" s="310"/>
      <c r="BD647" s="310"/>
      <c r="BE647" s="310"/>
      <c r="BF647" s="310"/>
      <c r="BG647" s="310"/>
      <c r="BH647" s="310"/>
      <c r="BI647" s="310"/>
      <c r="BJ647" s="310"/>
      <c r="BK647" s="310"/>
      <c r="BL647" s="310"/>
      <c r="BM647" s="310"/>
      <c r="BN647" s="221"/>
      <c r="BO647" s="221"/>
      <c r="BP647" s="221"/>
      <c r="BQ647" s="221"/>
      <c r="BR647" s="221"/>
    </row>
    <row r="648" ht="15.75" customHeight="1">
      <c r="A648" s="220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309"/>
      <c r="Y648" s="309"/>
      <c r="Z648" s="309"/>
      <c r="AA648" s="309"/>
      <c r="AB648" s="309"/>
      <c r="AC648" s="309"/>
      <c r="AD648" s="309"/>
      <c r="AE648" s="309"/>
      <c r="AF648" s="309"/>
      <c r="AG648" s="309"/>
      <c r="AH648" s="309"/>
      <c r="AI648" s="309"/>
      <c r="AJ648" s="309"/>
      <c r="AK648" s="309"/>
      <c r="AL648" s="309"/>
      <c r="AM648" s="309"/>
      <c r="AN648" s="309"/>
      <c r="AO648" s="309"/>
      <c r="AP648" s="309"/>
      <c r="AQ648" s="309"/>
      <c r="AR648" s="309"/>
      <c r="AS648" s="309"/>
      <c r="AT648" s="309"/>
      <c r="AU648" s="309"/>
      <c r="AV648" s="309"/>
      <c r="AW648" s="309"/>
      <c r="AX648" s="309"/>
      <c r="AY648" s="309"/>
      <c r="AZ648" s="309"/>
      <c r="BA648" s="310"/>
      <c r="BB648" s="310"/>
      <c r="BC648" s="310"/>
      <c r="BD648" s="310"/>
      <c r="BE648" s="310"/>
      <c r="BF648" s="310"/>
      <c r="BG648" s="310"/>
      <c r="BH648" s="310"/>
      <c r="BI648" s="310"/>
      <c r="BJ648" s="310"/>
      <c r="BK648" s="310"/>
      <c r="BL648" s="310"/>
      <c r="BM648" s="310"/>
      <c r="BN648" s="221"/>
      <c r="BO648" s="221"/>
      <c r="BP648" s="221"/>
      <c r="BQ648" s="221"/>
      <c r="BR648" s="221"/>
    </row>
    <row r="649" ht="15.75" customHeight="1">
      <c r="A649" s="220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309"/>
      <c r="Y649" s="309"/>
      <c r="Z649" s="309"/>
      <c r="AA649" s="309"/>
      <c r="AB649" s="309"/>
      <c r="AC649" s="309"/>
      <c r="AD649" s="309"/>
      <c r="AE649" s="309"/>
      <c r="AF649" s="309"/>
      <c r="AG649" s="309"/>
      <c r="AH649" s="309"/>
      <c r="AI649" s="309"/>
      <c r="AJ649" s="309"/>
      <c r="AK649" s="309"/>
      <c r="AL649" s="309"/>
      <c r="AM649" s="309"/>
      <c r="AN649" s="309"/>
      <c r="AO649" s="309"/>
      <c r="AP649" s="309"/>
      <c r="AQ649" s="309"/>
      <c r="AR649" s="309"/>
      <c r="AS649" s="309"/>
      <c r="AT649" s="309"/>
      <c r="AU649" s="309"/>
      <c r="AV649" s="309"/>
      <c r="AW649" s="309"/>
      <c r="AX649" s="309"/>
      <c r="AY649" s="309"/>
      <c r="AZ649" s="309"/>
      <c r="BA649" s="310"/>
      <c r="BB649" s="310"/>
      <c r="BC649" s="310"/>
      <c r="BD649" s="310"/>
      <c r="BE649" s="310"/>
      <c r="BF649" s="310"/>
      <c r="BG649" s="310"/>
      <c r="BH649" s="310"/>
      <c r="BI649" s="310"/>
      <c r="BJ649" s="310"/>
      <c r="BK649" s="310"/>
      <c r="BL649" s="310"/>
      <c r="BM649" s="310"/>
      <c r="BN649" s="221"/>
      <c r="BO649" s="221"/>
      <c r="BP649" s="221"/>
      <c r="BQ649" s="221"/>
      <c r="BR649" s="221"/>
    </row>
    <row r="650" ht="15.75" customHeight="1">
      <c r="A650" s="220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309"/>
      <c r="Y650" s="309"/>
      <c r="Z650" s="309"/>
      <c r="AA650" s="309"/>
      <c r="AB650" s="309"/>
      <c r="AC650" s="309"/>
      <c r="AD650" s="309"/>
      <c r="AE650" s="309"/>
      <c r="AF650" s="309"/>
      <c r="AG650" s="309"/>
      <c r="AH650" s="309"/>
      <c r="AI650" s="309"/>
      <c r="AJ650" s="309"/>
      <c r="AK650" s="309"/>
      <c r="AL650" s="309"/>
      <c r="AM650" s="309"/>
      <c r="AN650" s="309"/>
      <c r="AO650" s="309"/>
      <c r="AP650" s="309"/>
      <c r="AQ650" s="309"/>
      <c r="AR650" s="309"/>
      <c r="AS650" s="309"/>
      <c r="AT650" s="309"/>
      <c r="AU650" s="309"/>
      <c r="AV650" s="309"/>
      <c r="AW650" s="309"/>
      <c r="AX650" s="309"/>
      <c r="AY650" s="309"/>
      <c r="AZ650" s="309"/>
      <c r="BA650" s="310"/>
      <c r="BB650" s="310"/>
      <c r="BC650" s="310"/>
      <c r="BD650" s="310"/>
      <c r="BE650" s="310"/>
      <c r="BF650" s="310"/>
      <c r="BG650" s="310"/>
      <c r="BH650" s="310"/>
      <c r="BI650" s="310"/>
      <c r="BJ650" s="310"/>
      <c r="BK650" s="310"/>
      <c r="BL650" s="310"/>
      <c r="BM650" s="310"/>
      <c r="BN650" s="221"/>
      <c r="BO650" s="221"/>
      <c r="BP650" s="221"/>
      <c r="BQ650" s="221"/>
      <c r="BR650" s="221"/>
    </row>
    <row r="651" ht="15.75" customHeight="1">
      <c r="A651" s="220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309"/>
      <c r="Y651" s="309"/>
      <c r="Z651" s="309"/>
      <c r="AA651" s="309"/>
      <c r="AB651" s="309"/>
      <c r="AC651" s="309"/>
      <c r="AD651" s="309"/>
      <c r="AE651" s="309"/>
      <c r="AF651" s="309"/>
      <c r="AG651" s="309"/>
      <c r="AH651" s="309"/>
      <c r="AI651" s="309"/>
      <c r="AJ651" s="309"/>
      <c r="AK651" s="309"/>
      <c r="AL651" s="309"/>
      <c r="AM651" s="309"/>
      <c r="AN651" s="309"/>
      <c r="AO651" s="309"/>
      <c r="AP651" s="309"/>
      <c r="AQ651" s="309"/>
      <c r="AR651" s="309"/>
      <c r="AS651" s="309"/>
      <c r="AT651" s="309"/>
      <c r="AU651" s="309"/>
      <c r="AV651" s="309"/>
      <c r="AW651" s="309"/>
      <c r="AX651" s="309"/>
      <c r="AY651" s="309"/>
      <c r="AZ651" s="309"/>
      <c r="BA651" s="310"/>
      <c r="BB651" s="310"/>
      <c r="BC651" s="310"/>
      <c r="BD651" s="310"/>
      <c r="BE651" s="310"/>
      <c r="BF651" s="310"/>
      <c r="BG651" s="310"/>
      <c r="BH651" s="310"/>
      <c r="BI651" s="310"/>
      <c r="BJ651" s="310"/>
      <c r="BK651" s="310"/>
      <c r="BL651" s="310"/>
      <c r="BM651" s="310"/>
      <c r="BN651" s="221"/>
      <c r="BO651" s="221"/>
      <c r="BP651" s="221"/>
      <c r="BQ651" s="221"/>
      <c r="BR651" s="221"/>
    </row>
    <row r="652" ht="15.75" customHeight="1">
      <c r="A652" s="220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309"/>
      <c r="Y652" s="309"/>
      <c r="Z652" s="309"/>
      <c r="AA652" s="309"/>
      <c r="AB652" s="309"/>
      <c r="AC652" s="309"/>
      <c r="AD652" s="309"/>
      <c r="AE652" s="309"/>
      <c r="AF652" s="309"/>
      <c r="AG652" s="309"/>
      <c r="AH652" s="309"/>
      <c r="AI652" s="309"/>
      <c r="AJ652" s="309"/>
      <c r="AK652" s="309"/>
      <c r="AL652" s="309"/>
      <c r="AM652" s="309"/>
      <c r="AN652" s="309"/>
      <c r="AO652" s="309"/>
      <c r="AP652" s="309"/>
      <c r="AQ652" s="309"/>
      <c r="AR652" s="309"/>
      <c r="AS652" s="309"/>
      <c r="AT652" s="309"/>
      <c r="AU652" s="309"/>
      <c r="AV652" s="309"/>
      <c r="AW652" s="309"/>
      <c r="AX652" s="309"/>
      <c r="AY652" s="309"/>
      <c r="AZ652" s="309"/>
      <c r="BA652" s="310"/>
      <c r="BB652" s="310"/>
      <c r="BC652" s="310"/>
      <c r="BD652" s="310"/>
      <c r="BE652" s="310"/>
      <c r="BF652" s="310"/>
      <c r="BG652" s="310"/>
      <c r="BH652" s="310"/>
      <c r="BI652" s="310"/>
      <c r="BJ652" s="310"/>
      <c r="BK652" s="310"/>
      <c r="BL652" s="310"/>
      <c r="BM652" s="310"/>
      <c r="BN652" s="221"/>
      <c r="BO652" s="221"/>
      <c r="BP652" s="221"/>
      <c r="BQ652" s="221"/>
      <c r="BR652" s="221"/>
    </row>
    <row r="653" ht="15.75" customHeight="1">
      <c r="A653" s="220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309"/>
      <c r="Y653" s="309"/>
      <c r="Z653" s="309"/>
      <c r="AA653" s="309"/>
      <c r="AB653" s="309"/>
      <c r="AC653" s="309"/>
      <c r="AD653" s="309"/>
      <c r="AE653" s="309"/>
      <c r="AF653" s="309"/>
      <c r="AG653" s="309"/>
      <c r="AH653" s="309"/>
      <c r="AI653" s="309"/>
      <c r="AJ653" s="309"/>
      <c r="AK653" s="309"/>
      <c r="AL653" s="309"/>
      <c r="AM653" s="309"/>
      <c r="AN653" s="309"/>
      <c r="AO653" s="309"/>
      <c r="AP653" s="309"/>
      <c r="AQ653" s="309"/>
      <c r="AR653" s="309"/>
      <c r="AS653" s="309"/>
      <c r="AT653" s="309"/>
      <c r="AU653" s="309"/>
      <c r="AV653" s="309"/>
      <c r="AW653" s="309"/>
      <c r="AX653" s="309"/>
      <c r="AY653" s="309"/>
      <c r="AZ653" s="309"/>
      <c r="BA653" s="310"/>
      <c r="BB653" s="310"/>
      <c r="BC653" s="310"/>
      <c r="BD653" s="310"/>
      <c r="BE653" s="310"/>
      <c r="BF653" s="310"/>
      <c r="BG653" s="310"/>
      <c r="BH653" s="310"/>
      <c r="BI653" s="310"/>
      <c r="BJ653" s="310"/>
      <c r="BK653" s="310"/>
      <c r="BL653" s="310"/>
      <c r="BM653" s="310"/>
      <c r="BN653" s="221"/>
      <c r="BO653" s="221"/>
      <c r="BP653" s="221"/>
      <c r="BQ653" s="221"/>
      <c r="BR653" s="221"/>
    </row>
    <row r="654" ht="15.75" customHeight="1">
      <c r="A654" s="220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309"/>
      <c r="Y654" s="309"/>
      <c r="Z654" s="309"/>
      <c r="AA654" s="309"/>
      <c r="AB654" s="309"/>
      <c r="AC654" s="309"/>
      <c r="AD654" s="309"/>
      <c r="AE654" s="309"/>
      <c r="AF654" s="309"/>
      <c r="AG654" s="309"/>
      <c r="AH654" s="309"/>
      <c r="AI654" s="309"/>
      <c r="AJ654" s="309"/>
      <c r="AK654" s="309"/>
      <c r="AL654" s="309"/>
      <c r="AM654" s="309"/>
      <c r="AN654" s="309"/>
      <c r="AO654" s="309"/>
      <c r="AP654" s="309"/>
      <c r="AQ654" s="309"/>
      <c r="AR654" s="309"/>
      <c r="AS654" s="309"/>
      <c r="AT654" s="309"/>
      <c r="AU654" s="309"/>
      <c r="AV654" s="309"/>
      <c r="AW654" s="309"/>
      <c r="AX654" s="309"/>
      <c r="AY654" s="309"/>
      <c r="AZ654" s="309"/>
      <c r="BA654" s="310"/>
      <c r="BB654" s="310"/>
      <c r="BC654" s="310"/>
      <c r="BD654" s="310"/>
      <c r="BE654" s="310"/>
      <c r="BF654" s="310"/>
      <c r="BG654" s="310"/>
      <c r="BH654" s="310"/>
      <c r="BI654" s="310"/>
      <c r="BJ654" s="310"/>
      <c r="BK654" s="310"/>
      <c r="BL654" s="310"/>
      <c r="BM654" s="310"/>
      <c r="BN654" s="221"/>
      <c r="BO654" s="221"/>
      <c r="BP654" s="221"/>
      <c r="BQ654" s="221"/>
      <c r="BR654" s="221"/>
    </row>
    <row r="655" ht="15.75" customHeight="1">
      <c r="A655" s="220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309"/>
      <c r="Y655" s="309"/>
      <c r="Z655" s="309"/>
      <c r="AA655" s="309"/>
      <c r="AB655" s="309"/>
      <c r="AC655" s="309"/>
      <c r="AD655" s="309"/>
      <c r="AE655" s="309"/>
      <c r="AF655" s="309"/>
      <c r="AG655" s="309"/>
      <c r="AH655" s="309"/>
      <c r="AI655" s="309"/>
      <c r="AJ655" s="309"/>
      <c r="AK655" s="309"/>
      <c r="AL655" s="309"/>
      <c r="AM655" s="309"/>
      <c r="AN655" s="309"/>
      <c r="AO655" s="309"/>
      <c r="AP655" s="309"/>
      <c r="AQ655" s="309"/>
      <c r="AR655" s="309"/>
      <c r="AS655" s="309"/>
      <c r="AT655" s="309"/>
      <c r="AU655" s="309"/>
      <c r="AV655" s="309"/>
      <c r="AW655" s="309"/>
      <c r="AX655" s="309"/>
      <c r="AY655" s="309"/>
      <c r="AZ655" s="309"/>
      <c r="BA655" s="310"/>
      <c r="BB655" s="310"/>
      <c r="BC655" s="310"/>
      <c r="BD655" s="310"/>
      <c r="BE655" s="310"/>
      <c r="BF655" s="310"/>
      <c r="BG655" s="310"/>
      <c r="BH655" s="310"/>
      <c r="BI655" s="310"/>
      <c r="BJ655" s="310"/>
      <c r="BK655" s="310"/>
      <c r="BL655" s="310"/>
      <c r="BM655" s="310"/>
      <c r="BN655" s="221"/>
      <c r="BO655" s="221"/>
      <c r="BP655" s="221"/>
      <c r="BQ655" s="221"/>
      <c r="BR655" s="221"/>
    </row>
    <row r="656" ht="15.75" customHeight="1">
      <c r="A656" s="220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309"/>
      <c r="Y656" s="309"/>
      <c r="Z656" s="309"/>
      <c r="AA656" s="309"/>
      <c r="AB656" s="309"/>
      <c r="AC656" s="309"/>
      <c r="AD656" s="309"/>
      <c r="AE656" s="309"/>
      <c r="AF656" s="309"/>
      <c r="AG656" s="309"/>
      <c r="AH656" s="309"/>
      <c r="AI656" s="309"/>
      <c r="AJ656" s="309"/>
      <c r="AK656" s="309"/>
      <c r="AL656" s="309"/>
      <c r="AM656" s="309"/>
      <c r="AN656" s="309"/>
      <c r="AO656" s="309"/>
      <c r="AP656" s="309"/>
      <c r="AQ656" s="309"/>
      <c r="AR656" s="309"/>
      <c r="AS656" s="309"/>
      <c r="AT656" s="309"/>
      <c r="AU656" s="309"/>
      <c r="AV656" s="309"/>
      <c r="AW656" s="309"/>
      <c r="AX656" s="309"/>
      <c r="AY656" s="309"/>
      <c r="AZ656" s="309"/>
      <c r="BA656" s="310"/>
      <c r="BB656" s="310"/>
      <c r="BC656" s="310"/>
      <c r="BD656" s="310"/>
      <c r="BE656" s="310"/>
      <c r="BF656" s="310"/>
      <c r="BG656" s="310"/>
      <c r="BH656" s="310"/>
      <c r="BI656" s="310"/>
      <c r="BJ656" s="310"/>
      <c r="BK656" s="310"/>
      <c r="BL656" s="310"/>
      <c r="BM656" s="310"/>
      <c r="BN656" s="221"/>
      <c r="BO656" s="221"/>
      <c r="BP656" s="221"/>
      <c r="BQ656" s="221"/>
      <c r="BR656" s="221"/>
    </row>
    <row r="657" ht="15.75" customHeight="1">
      <c r="A657" s="220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309"/>
      <c r="Y657" s="309"/>
      <c r="Z657" s="309"/>
      <c r="AA657" s="309"/>
      <c r="AB657" s="309"/>
      <c r="AC657" s="309"/>
      <c r="AD657" s="309"/>
      <c r="AE657" s="309"/>
      <c r="AF657" s="309"/>
      <c r="AG657" s="309"/>
      <c r="AH657" s="309"/>
      <c r="AI657" s="309"/>
      <c r="AJ657" s="309"/>
      <c r="AK657" s="309"/>
      <c r="AL657" s="309"/>
      <c r="AM657" s="309"/>
      <c r="AN657" s="309"/>
      <c r="AO657" s="309"/>
      <c r="AP657" s="309"/>
      <c r="AQ657" s="309"/>
      <c r="AR657" s="309"/>
      <c r="AS657" s="309"/>
      <c r="AT657" s="309"/>
      <c r="AU657" s="309"/>
      <c r="AV657" s="309"/>
      <c r="AW657" s="309"/>
      <c r="AX657" s="309"/>
      <c r="AY657" s="309"/>
      <c r="AZ657" s="309"/>
      <c r="BA657" s="310"/>
      <c r="BB657" s="310"/>
      <c r="BC657" s="310"/>
      <c r="BD657" s="310"/>
      <c r="BE657" s="310"/>
      <c r="BF657" s="310"/>
      <c r="BG657" s="310"/>
      <c r="BH657" s="310"/>
      <c r="BI657" s="310"/>
      <c r="BJ657" s="310"/>
      <c r="BK657" s="310"/>
      <c r="BL657" s="310"/>
      <c r="BM657" s="310"/>
      <c r="BN657" s="221"/>
      <c r="BO657" s="221"/>
      <c r="BP657" s="221"/>
      <c r="BQ657" s="221"/>
      <c r="BR657" s="221"/>
    </row>
    <row r="658" ht="15.75" customHeight="1">
      <c r="A658" s="220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309"/>
      <c r="Y658" s="309"/>
      <c r="Z658" s="309"/>
      <c r="AA658" s="309"/>
      <c r="AB658" s="309"/>
      <c r="AC658" s="309"/>
      <c r="AD658" s="309"/>
      <c r="AE658" s="309"/>
      <c r="AF658" s="309"/>
      <c r="AG658" s="309"/>
      <c r="AH658" s="309"/>
      <c r="AI658" s="309"/>
      <c r="AJ658" s="309"/>
      <c r="AK658" s="309"/>
      <c r="AL658" s="309"/>
      <c r="AM658" s="309"/>
      <c r="AN658" s="309"/>
      <c r="AO658" s="309"/>
      <c r="AP658" s="309"/>
      <c r="AQ658" s="309"/>
      <c r="AR658" s="309"/>
      <c r="AS658" s="309"/>
      <c r="AT658" s="309"/>
      <c r="AU658" s="309"/>
      <c r="AV658" s="309"/>
      <c r="AW658" s="309"/>
      <c r="AX658" s="309"/>
      <c r="AY658" s="309"/>
      <c r="AZ658" s="309"/>
      <c r="BA658" s="310"/>
      <c r="BB658" s="310"/>
      <c r="BC658" s="310"/>
      <c r="BD658" s="310"/>
      <c r="BE658" s="310"/>
      <c r="BF658" s="310"/>
      <c r="BG658" s="310"/>
      <c r="BH658" s="310"/>
      <c r="BI658" s="310"/>
      <c r="BJ658" s="310"/>
      <c r="BK658" s="310"/>
      <c r="BL658" s="310"/>
      <c r="BM658" s="310"/>
      <c r="BN658" s="221"/>
      <c r="BO658" s="221"/>
      <c r="BP658" s="221"/>
      <c r="BQ658" s="221"/>
      <c r="BR658" s="221"/>
    </row>
    <row r="659" ht="15.75" customHeight="1">
      <c r="A659" s="220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309"/>
      <c r="Y659" s="309"/>
      <c r="Z659" s="309"/>
      <c r="AA659" s="309"/>
      <c r="AB659" s="309"/>
      <c r="AC659" s="309"/>
      <c r="AD659" s="309"/>
      <c r="AE659" s="309"/>
      <c r="AF659" s="309"/>
      <c r="AG659" s="309"/>
      <c r="AH659" s="309"/>
      <c r="AI659" s="309"/>
      <c r="AJ659" s="309"/>
      <c r="AK659" s="309"/>
      <c r="AL659" s="309"/>
      <c r="AM659" s="309"/>
      <c r="AN659" s="309"/>
      <c r="AO659" s="309"/>
      <c r="AP659" s="309"/>
      <c r="AQ659" s="309"/>
      <c r="AR659" s="309"/>
      <c r="AS659" s="309"/>
      <c r="AT659" s="309"/>
      <c r="AU659" s="309"/>
      <c r="AV659" s="309"/>
      <c r="AW659" s="309"/>
      <c r="AX659" s="309"/>
      <c r="AY659" s="309"/>
      <c r="AZ659" s="309"/>
      <c r="BA659" s="310"/>
      <c r="BB659" s="310"/>
      <c r="BC659" s="310"/>
      <c r="BD659" s="310"/>
      <c r="BE659" s="310"/>
      <c r="BF659" s="310"/>
      <c r="BG659" s="310"/>
      <c r="BH659" s="310"/>
      <c r="BI659" s="310"/>
      <c r="BJ659" s="310"/>
      <c r="BK659" s="310"/>
      <c r="BL659" s="310"/>
      <c r="BM659" s="310"/>
      <c r="BN659" s="221"/>
      <c r="BO659" s="221"/>
      <c r="BP659" s="221"/>
      <c r="BQ659" s="221"/>
      <c r="BR659" s="221"/>
    </row>
    <row r="660" ht="15.75" customHeight="1">
      <c r="A660" s="220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309"/>
      <c r="Y660" s="309"/>
      <c r="Z660" s="309"/>
      <c r="AA660" s="309"/>
      <c r="AB660" s="309"/>
      <c r="AC660" s="309"/>
      <c r="AD660" s="309"/>
      <c r="AE660" s="309"/>
      <c r="AF660" s="309"/>
      <c r="AG660" s="309"/>
      <c r="AH660" s="309"/>
      <c r="AI660" s="309"/>
      <c r="AJ660" s="309"/>
      <c r="AK660" s="309"/>
      <c r="AL660" s="309"/>
      <c r="AM660" s="309"/>
      <c r="AN660" s="309"/>
      <c r="AO660" s="309"/>
      <c r="AP660" s="309"/>
      <c r="AQ660" s="309"/>
      <c r="AR660" s="309"/>
      <c r="AS660" s="309"/>
      <c r="AT660" s="309"/>
      <c r="AU660" s="309"/>
      <c r="AV660" s="309"/>
      <c r="AW660" s="309"/>
      <c r="AX660" s="309"/>
      <c r="AY660" s="309"/>
      <c r="AZ660" s="309"/>
      <c r="BA660" s="310"/>
      <c r="BB660" s="310"/>
      <c r="BC660" s="310"/>
      <c r="BD660" s="310"/>
      <c r="BE660" s="310"/>
      <c r="BF660" s="310"/>
      <c r="BG660" s="310"/>
      <c r="BH660" s="310"/>
      <c r="BI660" s="310"/>
      <c r="BJ660" s="310"/>
      <c r="BK660" s="310"/>
      <c r="BL660" s="310"/>
      <c r="BM660" s="310"/>
      <c r="BN660" s="221"/>
      <c r="BO660" s="221"/>
      <c r="BP660" s="221"/>
      <c r="BQ660" s="221"/>
      <c r="BR660" s="221"/>
    </row>
    <row r="661" ht="15.75" customHeight="1">
      <c r="A661" s="220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309"/>
      <c r="Y661" s="309"/>
      <c r="Z661" s="309"/>
      <c r="AA661" s="309"/>
      <c r="AB661" s="309"/>
      <c r="AC661" s="309"/>
      <c r="AD661" s="309"/>
      <c r="AE661" s="309"/>
      <c r="AF661" s="309"/>
      <c r="AG661" s="309"/>
      <c r="AH661" s="309"/>
      <c r="AI661" s="309"/>
      <c r="AJ661" s="309"/>
      <c r="AK661" s="309"/>
      <c r="AL661" s="309"/>
      <c r="AM661" s="309"/>
      <c r="AN661" s="309"/>
      <c r="AO661" s="309"/>
      <c r="AP661" s="309"/>
      <c r="AQ661" s="309"/>
      <c r="AR661" s="309"/>
      <c r="AS661" s="309"/>
      <c r="AT661" s="309"/>
      <c r="AU661" s="309"/>
      <c r="AV661" s="309"/>
      <c r="AW661" s="309"/>
      <c r="AX661" s="309"/>
      <c r="AY661" s="309"/>
      <c r="AZ661" s="309"/>
      <c r="BA661" s="310"/>
      <c r="BB661" s="310"/>
      <c r="BC661" s="310"/>
      <c r="BD661" s="310"/>
      <c r="BE661" s="310"/>
      <c r="BF661" s="310"/>
      <c r="BG661" s="310"/>
      <c r="BH661" s="310"/>
      <c r="BI661" s="310"/>
      <c r="BJ661" s="310"/>
      <c r="BK661" s="310"/>
      <c r="BL661" s="310"/>
      <c r="BM661" s="310"/>
      <c r="BN661" s="221"/>
      <c r="BO661" s="221"/>
      <c r="BP661" s="221"/>
      <c r="BQ661" s="221"/>
      <c r="BR661" s="221"/>
    </row>
    <row r="662" ht="15.75" customHeight="1">
      <c r="A662" s="220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309"/>
      <c r="Y662" s="309"/>
      <c r="Z662" s="309"/>
      <c r="AA662" s="309"/>
      <c r="AB662" s="309"/>
      <c r="AC662" s="309"/>
      <c r="AD662" s="309"/>
      <c r="AE662" s="309"/>
      <c r="AF662" s="309"/>
      <c r="AG662" s="309"/>
      <c r="AH662" s="309"/>
      <c r="AI662" s="309"/>
      <c r="AJ662" s="309"/>
      <c r="AK662" s="309"/>
      <c r="AL662" s="309"/>
      <c r="AM662" s="309"/>
      <c r="AN662" s="309"/>
      <c r="AO662" s="309"/>
      <c r="AP662" s="309"/>
      <c r="AQ662" s="309"/>
      <c r="AR662" s="309"/>
      <c r="AS662" s="309"/>
      <c r="AT662" s="309"/>
      <c r="AU662" s="309"/>
      <c r="AV662" s="309"/>
      <c r="AW662" s="309"/>
      <c r="AX662" s="309"/>
      <c r="AY662" s="309"/>
      <c r="AZ662" s="309"/>
      <c r="BA662" s="310"/>
      <c r="BB662" s="310"/>
      <c r="BC662" s="310"/>
      <c r="BD662" s="310"/>
      <c r="BE662" s="310"/>
      <c r="BF662" s="310"/>
      <c r="BG662" s="310"/>
      <c r="BH662" s="310"/>
      <c r="BI662" s="310"/>
      <c r="BJ662" s="310"/>
      <c r="BK662" s="310"/>
      <c r="BL662" s="310"/>
      <c r="BM662" s="310"/>
      <c r="BN662" s="221"/>
      <c r="BO662" s="221"/>
      <c r="BP662" s="221"/>
      <c r="BQ662" s="221"/>
      <c r="BR662" s="221"/>
    </row>
    <row r="663" ht="15.75" customHeight="1">
      <c r="A663" s="220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309"/>
      <c r="Y663" s="309"/>
      <c r="Z663" s="309"/>
      <c r="AA663" s="309"/>
      <c r="AB663" s="309"/>
      <c r="AC663" s="309"/>
      <c r="AD663" s="309"/>
      <c r="AE663" s="309"/>
      <c r="AF663" s="309"/>
      <c r="AG663" s="309"/>
      <c r="AH663" s="309"/>
      <c r="AI663" s="309"/>
      <c r="AJ663" s="309"/>
      <c r="AK663" s="309"/>
      <c r="AL663" s="309"/>
      <c r="AM663" s="309"/>
      <c r="AN663" s="309"/>
      <c r="AO663" s="309"/>
      <c r="AP663" s="309"/>
      <c r="AQ663" s="309"/>
      <c r="AR663" s="309"/>
      <c r="AS663" s="309"/>
      <c r="AT663" s="309"/>
      <c r="AU663" s="309"/>
      <c r="AV663" s="309"/>
      <c r="AW663" s="309"/>
      <c r="AX663" s="309"/>
      <c r="AY663" s="309"/>
      <c r="AZ663" s="309"/>
      <c r="BA663" s="310"/>
      <c r="BB663" s="310"/>
      <c r="BC663" s="310"/>
      <c r="BD663" s="310"/>
      <c r="BE663" s="310"/>
      <c r="BF663" s="310"/>
      <c r="BG663" s="310"/>
      <c r="BH663" s="310"/>
      <c r="BI663" s="310"/>
      <c r="BJ663" s="310"/>
      <c r="BK663" s="310"/>
      <c r="BL663" s="310"/>
      <c r="BM663" s="310"/>
      <c r="BN663" s="221"/>
      <c r="BO663" s="221"/>
      <c r="BP663" s="221"/>
      <c r="BQ663" s="221"/>
      <c r="BR663" s="221"/>
    </row>
    <row r="664" ht="15.75" customHeight="1">
      <c r="A664" s="220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309"/>
      <c r="Y664" s="309"/>
      <c r="Z664" s="309"/>
      <c r="AA664" s="309"/>
      <c r="AB664" s="309"/>
      <c r="AC664" s="309"/>
      <c r="AD664" s="309"/>
      <c r="AE664" s="309"/>
      <c r="AF664" s="309"/>
      <c r="AG664" s="309"/>
      <c r="AH664" s="309"/>
      <c r="AI664" s="309"/>
      <c r="AJ664" s="309"/>
      <c r="AK664" s="309"/>
      <c r="AL664" s="309"/>
      <c r="AM664" s="309"/>
      <c r="AN664" s="309"/>
      <c r="AO664" s="309"/>
      <c r="AP664" s="309"/>
      <c r="AQ664" s="309"/>
      <c r="AR664" s="309"/>
      <c r="AS664" s="309"/>
      <c r="AT664" s="309"/>
      <c r="AU664" s="309"/>
      <c r="AV664" s="309"/>
      <c r="AW664" s="309"/>
      <c r="AX664" s="309"/>
      <c r="AY664" s="309"/>
      <c r="AZ664" s="309"/>
      <c r="BA664" s="310"/>
      <c r="BB664" s="310"/>
      <c r="BC664" s="310"/>
      <c r="BD664" s="310"/>
      <c r="BE664" s="310"/>
      <c r="BF664" s="310"/>
      <c r="BG664" s="310"/>
      <c r="BH664" s="310"/>
      <c r="BI664" s="310"/>
      <c r="BJ664" s="310"/>
      <c r="BK664" s="310"/>
      <c r="BL664" s="310"/>
      <c r="BM664" s="310"/>
      <c r="BN664" s="221"/>
      <c r="BO664" s="221"/>
      <c r="BP664" s="221"/>
      <c r="BQ664" s="221"/>
      <c r="BR664" s="221"/>
    </row>
    <row r="665" ht="15.75" customHeight="1">
      <c r="A665" s="220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309"/>
      <c r="Y665" s="309"/>
      <c r="Z665" s="309"/>
      <c r="AA665" s="309"/>
      <c r="AB665" s="309"/>
      <c r="AC665" s="309"/>
      <c r="AD665" s="309"/>
      <c r="AE665" s="309"/>
      <c r="AF665" s="309"/>
      <c r="AG665" s="309"/>
      <c r="AH665" s="309"/>
      <c r="AI665" s="309"/>
      <c r="AJ665" s="309"/>
      <c r="AK665" s="309"/>
      <c r="AL665" s="309"/>
      <c r="AM665" s="309"/>
      <c r="AN665" s="309"/>
      <c r="AO665" s="309"/>
      <c r="AP665" s="309"/>
      <c r="AQ665" s="309"/>
      <c r="AR665" s="309"/>
      <c r="AS665" s="309"/>
      <c r="AT665" s="309"/>
      <c r="AU665" s="309"/>
      <c r="AV665" s="309"/>
      <c r="AW665" s="309"/>
      <c r="AX665" s="309"/>
      <c r="AY665" s="309"/>
      <c r="AZ665" s="309"/>
      <c r="BA665" s="310"/>
      <c r="BB665" s="310"/>
      <c r="BC665" s="310"/>
      <c r="BD665" s="310"/>
      <c r="BE665" s="310"/>
      <c r="BF665" s="310"/>
      <c r="BG665" s="310"/>
      <c r="BH665" s="310"/>
      <c r="BI665" s="310"/>
      <c r="BJ665" s="310"/>
      <c r="BK665" s="310"/>
      <c r="BL665" s="310"/>
      <c r="BM665" s="310"/>
      <c r="BN665" s="221"/>
      <c r="BO665" s="221"/>
      <c r="BP665" s="221"/>
      <c r="BQ665" s="221"/>
      <c r="BR665" s="221"/>
    </row>
    <row r="666" ht="15.75" customHeight="1">
      <c r="A666" s="220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309"/>
      <c r="Y666" s="309"/>
      <c r="Z666" s="309"/>
      <c r="AA666" s="309"/>
      <c r="AB666" s="309"/>
      <c r="AC666" s="309"/>
      <c r="AD666" s="309"/>
      <c r="AE666" s="309"/>
      <c r="AF666" s="309"/>
      <c r="AG666" s="309"/>
      <c r="AH666" s="309"/>
      <c r="AI666" s="309"/>
      <c r="AJ666" s="309"/>
      <c r="AK666" s="309"/>
      <c r="AL666" s="309"/>
      <c r="AM666" s="309"/>
      <c r="AN666" s="309"/>
      <c r="AO666" s="309"/>
      <c r="AP666" s="309"/>
      <c r="AQ666" s="309"/>
      <c r="AR666" s="309"/>
      <c r="AS666" s="309"/>
      <c r="AT666" s="309"/>
      <c r="AU666" s="309"/>
      <c r="AV666" s="309"/>
      <c r="AW666" s="309"/>
      <c r="AX666" s="309"/>
      <c r="AY666" s="309"/>
      <c r="AZ666" s="309"/>
      <c r="BA666" s="310"/>
      <c r="BB666" s="310"/>
      <c r="BC666" s="310"/>
      <c r="BD666" s="310"/>
      <c r="BE666" s="310"/>
      <c r="BF666" s="310"/>
      <c r="BG666" s="310"/>
      <c r="BH666" s="310"/>
      <c r="BI666" s="310"/>
      <c r="BJ666" s="310"/>
      <c r="BK666" s="310"/>
      <c r="BL666" s="310"/>
      <c r="BM666" s="310"/>
      <c r="BN666" s="221"/>
      <c r="BO666" s="221"/>
      <c r="BP666" s="221"/>
      <c r="BQ666" s="221"/>
      <c r="BR666" s="221"/>
    </row>
    <row r="667" ht="15.75" customHeight="1">
      <c r="A667" s="220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309"/>
      <c r="Y667" s="309"/>
      <c r="Z667" s="309"/>
      <c r="AA667" s="309"/>
      <c r="AB667" s="309"/>
      <c r="AC667" s="309"/>
      <c r="AD667" s="309"/>
      <c r="AE667" s="309"/>
      <c r="AF667" s="309"/>
      <c r="AG667" s="309"/>
      <c r="AH667" s="309"/>
      <c r="AI667" s="309"/>
      <c r="AJ667" s="309"/>
      <c r="AK667" s="309"/>
      <c r="AL667" s="309"/>
      <c r="AM667" s="309"/>
      <c r="AN667" s="309"/>
      <c r="AO667" s="309"/>
      <c r="AP667" s="309"/>
      <c r="AQ667" s="309"/>
      <c r="AR667" s="309"/>
      <c r="AS667" s="309"/>
      <c r="AT667" s="309"/>
      <c r="AU667" s="309"/>
      <c r="AV667" s="309"/>
      <c r="AW667" s="309"/>
      <c r="AX667" s="309"/>
      <c r="AY667" s="309"/>
      <c r="AZ667" s="309"/>
      <c r="BA667" s="310"/>
      <c r="BB667" s="310"/>
      <c r="BC667" s="310"/>
      <c r="BD667" s="310"/>
      <c r="BE667" s="310"/>
      <c r="BF667" s="310"/>
      <c r="BG667" s="310"/>
      <c r="BH667" s="310"/>
      <c r="BI667" s="310"/>
      <c r="BJ667" s="310"/>
      <c r="BK667" s="310"/>
      <c r="BL667" s="310"/>
      <c r="BM667" s="310"/>
      <c r="BN667" s="221"/>
      <c r="BO667" s="221"/>
      <c r="BP667" s="221"/>
      <c r="BQ667" s="221"/>
      <c r="BR667" s="221"/>
    </row>
    <row r="668" ht="15.75" customHeight="1">
      <c r="A668" s="220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309"/>
      <c r="Y668" s="309"/>
      <c r="Z668" s="309"/>
      <c r="AA668" s="309"/>
      <c r="AB668" s="309"/>
      <c r="AC668" s="309"/>
      <c r="AD668" s="309"/>
      <c r="AE668" s="309"/>
      <c r="AF668" s="309"/>
      <c r="AG668" s="309"/>
      <c r="AH668" s="309"/>
      <c r="AI668" s="309"/>
      <c r="AJ668" s="309"/>
      <c r="AK668" s="309"/>
      <c r="AL668" s="309"/>
      <c r="AM668" s="309"/>
      <c r="AN668" s="309"/>
      <c r="AO668" s="309"/>
      <c r="AP668" s="309"/>
      <c r="AQ668" s="309"/>
      <c r="AR668" s="309"/>
      <c r="AS668" s="309"/>
      <c r="AT668" s="309"/>
      <c r="AU668" s="309"/>
      <c r="AV668" s="309"/>
      <c r="AW668" s="309"/>
      <c r="AX668" s="309"/>
      <c r="AY668" s="309"/>
      <c r="AZ668" s="309"/>
      <c r="BA668" s="310"/>
      <c r="BB668" s="310"/>
      <c r="BC668" s="310"/>
      <c r="BD668" s="310"/>
      <c r="BE668" s="310"/>
      <c r="BF668" s="310"/>
      <c r="BG668" s="310"/>
      <c r="BH668" s="310"/>
      <c r="BI668" s="310"/>
      <c r="BJ668" s="310"/>
      <c r="BK668" s="310"/>
      <c r="BL668" s="310"/>
      <c r="BM668" s="310"/>
      <c r="BN668" s="221"/>
      <c r="BO668" s="221"/>
      <c r="BP668" s="221"/>
      <c r="BQ668" s="221"/>
      <c r="BR668" s="221"/>
    </row>
    <row r="669" ht="15.75" customHeight="1">
      <c r="A669" s="220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309"/>
      <c r="Y669" s="309"/>
      <c r="Z669" s="309"/>
      <c r="AA669" s="309"/>
      <c r="AB669" s="309"/>
      <c r="AC669" s="309"/>
      <c r="AD669" s="309"/>
      <c r="AE669" s="309"/>
      <c r="AF669" s="309"/>
      <c r="AG669" s="309"/>
      <c r="AH669" s="309"/>
      <c r="AI669" s="309"/>
      <c r="AJ669" s="309"/>
      <c r="AK669" s="309"/>
      <c r="AL669" s="309"/>
      <c r="AM669" s="309"/>
      <c r="AN669" s="309"/>
      <c r="AO669" s="309"/>
      <c r="AP669" s="309"/>
      <c r="AQ669" s="309"/>
      <c r="AR669" s="309"/>
      <c r="AS669" s="309"/>
      <c r="AT669" s="309"/>
      <c r="AU669" s="309"/>
      <c r="AV669" s="309"/>
      <c r="AW669" s="309"/>
      <c r="AX669" s="309"/>
      <c r="AY669" s="309"/>
      <c r="AZ669" s="309"/>
      <c r="BA669" s="310"/>
      <c r="BB669" s="310"/>
      <c r="BC669" s="310"/>
      <c r="BD669" s="310"/>
      <c r="BE669" s="310"/>
      <c r="BF669" s="310"/>
      <c r="BG669" s="310"/>
      <c r="BH669" s="310"/>
      <c r="BI669" s="310"/>
      <c r="BJ669" s="310"/>
      <c r="BK669" s="310"/>
      <c r="BL669" s="310"/>
      <c r="BM669" s="310"/>
      <c r="BN669" s="221"/>
      <c r="BO669" s="221"/>
      <c r="BP669" s="221"/>
      <c r="BQ669" s="221"/>
      <c r="BR669" s="221"/>
    </row>
    <row r="670" ht="15.75" customHeight="1">
      <c r="A670" s="220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309"/>
      <c r="Y670" s="309"/>
      <c r="Z670" s="309"/>
      <c r="AA670" s="309"/>
      <c r="AB670" s="309"/>
      <c r="AC670" s="309"/>
      <c r="AD670" s="309"/>
      <c r="AE670" s="309"/>
      <c r="AF670" s="309"/>
      <c r="AG670" s="309"/>
      <c r="AH670" s="309"/>
      <c r="AI670" s="309"/>
      <c r="AJ670" s="309"/>
      <c r="AK670" s="309"/>
      <c r="AL670" s="309"/>
      <c r="AM670" s="309"/>
      <c r="AN670" s="309"/>
      <c r="AO670" s="309"/>
      <c r="AP670" s="309"/>
      <c r="AQ670" s="309"/>
      <c r="AR670" s="309"/>
      <c r="AS670" s="309"/>
      <c r="AT670" s="309"/>
      <c r="AU670" s="309"/>
      <c r="AV670" s="309"/>
      <c r="AW670" s="309"/>
      <c r="AX670" s="309"/>
      <c r="AY670" s="309"/>
      <c r="AZ670" s="309"/>
      <c r="BA670" s="310"/>
      <c r="BB670" s="310"/>
      <c r="BC670" s="310"/>
      <c r="BD670" s="310"/>
      <c r="BE670" s="310"/>
      <c r="BF670" s="310"/>
      <c r="BG670" s="310"/>
      <c r="BH670" s="310"/>
      <c r="BI670" s="310"/>
      <c r="BJ670" s="310"/>
      <c r="BK670" s="310"/>
      <c r="BL670" s="310"/>
      <c r="BM670" s="310"/>
      <c r="BN670" s="221"/>
      <c r="BO670" s="221"/>
      <c r="BP670" s="221"/>
      <c r="BQ670" s="221"/>
      <c r="BR670" s="221"/>
    </row>
    <row r="671" ht="15.75" customHeight="1">
      <c r="A671" s="220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309"/>
      <c r="Y671" s="309"/>
      <c r="Z671" s="309"/>
      <c r="AA671" s="309"/>
      <c r="AB671" s="309"/>
      <c r="AC671" s="309"/>
      <c r="AD671" s="309"/>
      <c r="AE671" s="309"/>
      <c r="AF671" s="309"/>
      <c r="AG671" s="309"/>
      <c r="AH671" s="309"/>
      <c r="AI671" s="309"/>
      <c r="AJ671" s="309"/>
      <c r="AK671" s="309"/>
      <c r="AL671" s="309"/>
      <c r="AM671" s="309"/>
      <c r="AN671" s="309"/>
      <c r="AO671" s="309"/>
      <c r="AP671" s="309"/>
      <c r="AQ671" s="309"/>
      <c r="AR671" s="309"/>
      <c r="AS671" s="309"/>
      <c r="AT671" s="309"/>
      <c r="AU671" s="309"/>
      <c r="AV671" s="309"/>
      <c r="AW671" s="309"/>
      <c r="AX671" s="309"/>
      <c r="AY671" s="309"/>
      <c r="AZ671" s="309"/>
      <c r="BA671" s="310"/>
      <c r="BB671" s="310"/>
      <c r="BC671" s="310"/>
      <c r="BD671" s="310"/>
      <c r="BE671" s="310"/>
      <c r="BF671" s="310"/>
      <c r="BG671" s="310"/>
      <c r="BH671" s="310"/>
      <c r="BI671" s="310"/>
      <c r="BJ671" s="310"/>
      <c r="BK671" s="310"/>
      <c r="BL671" s="310"/>
      <c r="BM671" s="310"/>
      <c r="BN671" s="221"/>
      <c r="BO671" s="221"/>
      <c r="BP671" s="221"/>
      <c r="BQ671" s="221"/>
      <c r="BR671" s="221"/>
    </row>
    <row r="672" ht="15.75" customHeight="1">
      <c r="A672" s="220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309"/>
      <c r="Y672" s="309"/>
      <c r="Z672" s="309"/>
      <c r="AA672" s="309"/>
      <c r="AB672" s="309"/>
      <c r="AC672" s="309"/>
      <c r="AD672" s="309"/>
      <c r="AE672" s="309"/>
      <c r="AF672" s="309"/>
      <c r="AG672" s="309"/>
      <c r="AH672" s="309"/>
      <c r="AI672" s="309"/>
      <c r="AJ672" s="309"/>
      <c r="AK672" s="309"/>
      <c r="AL672" s="309"/>
      <c r="AM672" s="309"/>
      <c r="AN672" s="309"/>
      <c r="AO672" s="309"/>
      <c r="AP672" s="309"/>
      <c r="AQ672" s="309"/>
      <c r="AR672" s="309"/>
      <c r="AS672" s="309"/>
      <c r="AT672" s="309"/>
      <c r="AU672" s="309"/>
      <c r="AV672" s="309"/>
      <c r="AW672" s="309"/>
      <c r="AX672" s="309"/>
      <c r="AY672" s="309"/>
      <c r="AZ672" s="309"/>
      <c r="BA672" s="310"/>
      <c r="BB672" s="310"/>
      <c r="BC672" s="310"/>
      <c r="BD672" s="310"/>
      <c r="BE672" s="310"/>
      <c r="BF672" s="310"/>
      <c r="BG672" s="310"/>
      <c r="BH672" s="310"/>
      <c r="BI672" s="310"/>
      <c r="BJ672" s="310"/>
      <c r="BK672" s="310"/>
      <c r="BL672" s="310"/>
      <c r="BM672" s="310"/>
      <c r="BN672" s="221"/>
      <c r="BO672" s="221"/>
      <c r="BP672" s="221"/>
      <c r="BQ672" s="221"/>
      <c r="BR672" s="221"/>
    </row>
    <row r="673" ht="15.75" customHeight="1">
      <c r="A673" s="220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309"/>
      <c r="Y673" s="309"/>
      <c r="Z673" s="309"/>
      <c r="AA673" s="309"/>
      <c r="AB673" s="309"/>
      <c r="AC673" s="309"/>
      <c r="AD673" s="309"/>
      <c r="AE673" s="309"/>
      <c r="AF673" s="309"/>
      <c r="AG673" s="309"/>
      <c r="AH673" s="309"/>
      <c r="AI673" s="309"/>
      <c r="AJ673" s="309"/>
      <c r="AK673" s="309"/>
      <c r="AL673" s="309"/>
      <c r="AM673" s="309"/>
      <c r="AN673" s="309"/>
      <c r="AO673" s="309"/>
      <c r="AP673" s="309"/>
      <c r="AQ673" s="309"/>
      <c r="AR673" s="309"/>
      <c r="AS673" s="309"/>
      <c r="AT673" s="309"/>
      <c r="AU673" s="309"/>
      <c r="AV673" s="309"/>
      <c r="AW673" s="309"/>
      <c r="AX673" s="309"/>
      <c r="AY673" s="309"/>
      <c r="AZ673" s="309"/>
      <c r="BA673" s="310"/>
      <c r="BB673" s="310"/>
      <c r="BC673" s="310"/>
      <c r="BD673" s="310"/>
      <c r="BE673" s="310"/>
      <c r="BF673" s="310"/>
      <c r="BG673" s="310"/>
      <c r="BH673" s="310"/>
      <c r="BI673" s="310"/>
      <c r="BJ673" s="310"/>
      <c r="BK673" s="310"/>
      <c r="BL673" s="310"/>
      <c r="BM673" s="310"/>
      <c r="BN673" s="221"/>
      <c r="BO673" s="221"/>
      <c r="BP673" s="221"/>
      <c r="BQ673" s="221"/>
      <c r="BR673" s="221"/>
    </row>
    <row r="674" ht="15.75" customHeight="1">
      <c r="A674" s="220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309"/>
      <c r="Y674" s="309"/>
      <c r="Z674" s="309"/>
      <c r="AA674" s="309"/>
      <c r="AB674" s="309"/>
      <c r="AC674" s="309"/>
      <c r="AD674" s="309"/>
      <c r="AE674" s="309"/>
      <c r="AF674" s="309"/>
      <c r="AG674" s="309"/>
      <c r="AH674" s="309"/>
      <c r="AI674" s="309"/>
      <c r="AJ674" s="309"/>
      <c r="AK674" s="309"/>
      <c r="AL674" s="309"/>
      <c r="AM674" s="309"/>
      <c r="AN674" s="309"/>
      <c r="AO674" s="309"/>
      <c r="AP674" s="309"/>
      <c r="AQ674" s="309"/>
      <c r="AR674" s="309"/>
      <c r="AS674" s="309"/>
      <c r="AT674" s="309"/>
      <c r="AU674" s="309"/>
      <c r="AV674" s="309"/>
      <c r="AW674" s="309"/>
      <c r="AX674" s="309"/>
      <c r="AY674" s="309"/>
      <c r="AZ674" s="309"/>
      <c r="BA674" s="310"/>
      <c r="BB674" s="310"/>
      <c r="BC674" s="310"/>
      <c r="BD674" s="310"/>
      <c r="BE674" s="310"/>
      <c r="BF674" s="310"/>
      <c r="BG674" s="310"/>
      <c r="BH674" s="310"/>
      <c r="BI674" s="310"/>
      <c r="BJ674" s="310"/>
      <c r="BK674" s="310"/>
      <c r="BL674" s="310"/>
      <c r="BM674" s="310"/>
      <c r="BN674" s="221"/>
      <c r="BO674" s="221"/>
      <c r="BP674" s="221"/>
      <c r="BQ674" s="221"/>
      <c r="BR674" s="221"/>
    </row>
    <row r="675" ht="15.75" customHeight="1">
      <c r="A675" s="220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309"/>
      <c r="Y675" s="309"/>
      <c r="Z675" s="309"/>
      <c r="AA675" s="309"/>
      <c r="AB675" s="309"/>
      <c r="AC675" s="309"/>
      <c r="AD675" s="309"/>
      <c r="AE675" s="309"/>
      <c r="AF675" s="309"/>
      <c r="AG675" s="309"/>
      <c r="AH675" s="309"/>
      <c r="AI675" s="309"/>
      <c r="AJ675" s="309"/>
      <c r="AK675" s="309"/>
      <c r="AL675" s="309"/>
      <c r="AM675" s="309"/>
      <c r="AN675" s="309"/>
      <c r="AO675" s="309"/>
      <c r="AP675" s="309"/>
      <c r="AQ675" s="309"/>
      <c r="AR675" s="309"/>
      <c r="AS675" s="309"/>
      <c r="AT675" s="309"/>
      <c r="AU675" s="309"/>
      <c r="AV675" s="309"/>
      <c r="AW675" s="309"/>
      <c r="AX675" s="309"/>
      <c r="AY675" s="309"/>
      <c r="AZ675" s="309"/>
      <c r="BA675" s="310"/>
      <c r="BB675" s="310"/>
      <c r="BC675" s="310"/>
      <c r="BD675" s="310"/>
      <c r="BE675" s="310"/>
      <c r="BF675" s="310"/>
      <c r="BG675" s="310"/>
      <c r="BH675" s="310"/>
      <c r="BI675" s="310"/>
      <c r="BJ675" s="310"/>
      <c r="BK675" s="310"/>
      <c r="BL675" s="310"/>
      <c r="BM675" s="310"/>
      <c r="BN675" s="221"/>
      <c r="BO675" s="221"/>
      <c r="BP675" s="221"/>
      <c r="BQ675" s="221"/>
      <c r="BR675" s="221"/>
    </row>
    <row r="676" ht="15.75" customHeight="1">
      <c r="A676" s="220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309"/>
      <c r="Y676" s="309"/>
      <c r="Z676" s="309"/>
      <c r="AA676" s="309"/>
      <c r="AB676" s="309"/>
      <c r="AC676" s="309"/>
      <c r="AD676" s="309"/>
      <c r="AE676" s="309"/>
      <c r="AF676" s="309"/>
      <c r="AG676" s="309"/>
      <c r="AH676" s="309"/>
      <c r="AI676" s="309"/>
      <c r="AJ676" s="309"/>
      <c r="AK676" s="309"/>
      <c r="AL676" s="309"/>
      <c r="AM676" s="309"/>
      <c r="AN676" s="309"/>
      <c r="AO676" s="309"/>
      <c r="AP676" s="309"/>
      <c r="AQ676" s="309"/>
      <c r="AR676" s="309"/>
      <c r="AS676" s="309"/>
      <c r="AT676" s="309"/>
      <c r="AU676" s="309"/>
      <c r="AV676" s="309"/>
      <c r="AW676" s="309"/>
      <c r="AX676" s="309"/>
      <c r="AY676" s="309"/>
      <c r="AZ676" s="309"/>
      <c r="BA676" s="310"/>
      <c r="BB676" s="310"/>
      <c r="BC676" s="310"/>
      <c r="BD676" s="310"/>
      <c r="BE676" s="310"/>
      <c r="BF676" s="310"/>
      <c r="BG676" s="310"/>
      <c r="BH676" s="310"/>
      <c r="BI676" s="310"/>
      <c r="BJ676" s="310"/>
      <c r="BK676" s="310"/>
      <c r="BL676" s="310"/>
      <c r="BM676" s="310"/>
      <c r="BN676" s="221"/>
      <c r="BO676" s="221"/>
      <c r="BP676" s="221"/>
      <c r="BQ676" s="221"/>
      <c r="BR676" s="221"/>
    </row>
    <row r="677" ht="15.75" customHeight="1">
      <c r="A677" s="220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309"/>
      <c r="Y677" s="309"/>
      <c r="Z677" s="309"/>
      <c r="AA677" s="309"/>
      <c r="AB677" s="309"/>
      <c r="AC677" s="309"/>
      <c r="AD677" s="309"/>
      <c r="AE677" s="309"/>
      <c r="AF677" s="309"/>
      <c r="AG677" s="309"/>
      <c r="AH677" s="309"/>
      <c r="AI677" s="309"/>
      <c r="AJ677" s="309"/>
      <c r="AK677" s="309"/>
      <c r="AL677" s="309"/>
      <c r="AM677" s="309"/>
      <c r="AN677" s="309"/>
      <c r="AO677" s="309"/>
      <c r="AP677" s="309"/>
      <c r="AQ677" s="309"/>
      <c r="AR677" s="309"/>
      <c r="AS677" s="309"/>
      <c r="AT677" s="309"/>
      <c r="AU677" s="309"/>
      <c r="AV677" s="309"/>
      <c r="AW677" s="309"/>
      <c r="AX677" s="309"/>
      <c r="AY677" s="309"/>
      <c r="AZ677" s="309"/>
      <c r="BA677" s="310"/>
      <c r="BB677" s="310"/>
      <c r="BC677" s="310"/>
      <c r="BD677" s="310"/>
      <c r="BE677" s="310"/>
      <c r="BF677" s="310"/>
      <c r="BG677" s="310"/>
      <c r="BH677" s="310"/>
      <c r="BI677" s="310"/>
      <c r="BJ677" s="310"/>
      <c r="BK677" s="310"/>
      <c r="BL677" s="310"/>
      <c r="BM677" s="310"/>
      <c r="BN677" s="221"/>
      <c r="BO677" s="221"/>
      <c r="BP677" s="221"/>
      <c r="BQ677" s="221"/>
      <c r="BR677" s="221"/>
    </row>
    <row r="678" ht="15.75" customHeight="1">
      <c r="A678" s="220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309"/>
      <c r="Y678" s="309"/>
      <c r="Z678" s="309"/>
      <c r="AA678" s="309"/>
      <c r="AB678" s="309"/>
      <c r="AC678" s="309"/>
      <c r="AD678" s="309"/>
      <c r="AE678" s="309"/>
      <c r="AF678" s="309"/>
      <c r="AG678" s="309"/>
      <c r="AH678" s="309"/>
      <c r="AI678" s="309"/>
      <c r="AJ678" s="309"/>
      <c r="AK678" s="309"/>
      <c r="AL678" s="309"/>
      <c r="AM678" s="309"/>
      <c r="AN678" s="309"/>
      <c r="AO678" s="309"/>
      <c r="AP678" s="309"/>
      <c r="AQ678" s="309"/>
      <c r="AR678" s="309"/>
      <c r="AS678" s="309"/>
      <c r="AT678" s="309"/>
      <c r="AU678" s="309"/>
      <c r="AV678" s="309"/>
      <c r="AW678" s="309"/>
      <c r="AX678" s="309"/>
      <c r="AY678" s="309"/>
      <c r="AZ678" s="309"/>
      <c r="BA678" s="310"/>
      <c r="BB678" s="310"/>
      <c r="BC678" s="310"/>
      <c r="BD678" s="310"/>
      <c r="BE678" s="310"/>
      <c r="BF678" s="310"/>
      <c r="BG678" s="310"/>
      <c r="BH678" s="310"/>
      <c r="BI678" s="310"/>
      <c r="BJ678" s="310"/>
      <c r="BK678" s="310"/>
      <c r="BL678" s="310"/>
      <c r="BM678" s="310"/>
      <c r="BN678" s="221"/>
      <c r="BO678" s="221"/>
      <c r="BP678" s="221"/>
      <c r="BQ678" s="221"/>
      <c r="BR678" s="221"/>
    </row>
    <row r="679" ht="15.75" customHeight="1">
      <c r="A679" s="220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309"/>
      <c r="Y679" s="309"/>
      <c r="Z679" s="309"/>
      <c r="AA679" s="309"/>
      <c r="AB679" s="309"/>
      <c r="AC679" s="309"/>
      <c r="AD679" s="309"/>
      <c r="AE679" s="309"/>
      <c r="AF679" s="309"/>
      <c r="AG679" s="309"/>
      <c r="AH679" s="309"/>
      <c r="AI679" s="309"/>
      <c r="AJ679" s="309"/>
      <c r="AK679" s="309"/>
      <c r="AL679" s="309"/>
      <c r="AM679" s="309"/>
      <c r="AN679" s="309"/>
      <c r="AO679" s="309"/>
      <c r="AP679" s="309"/>
      <c r="AQ679" s="309"/>
      <c r="AR679" s="309"/>
      <c r="AS679" s="309"/>
      <c r="AT679" s="309"/>
      <c r="AU679" s="309"/>
      <c r="AV679" s="309"/>
      <c r="AW679" s="309"/>
      <c r="AX679" s="309"/>
      <c r="AY679" s="309"/>
      <c r="AZ679" s="309"/>
      <c r="BA679" s="310"/>
      <c r="BB679" s="310"/>
      <c r="BC679" s="310"/>
      <c r="BD679" s="310"/>
      <c r="BE679" s="310"/>
      <c r="BF679" s="310"/>
      <c r="BG679" s="310"/>
      <c r="BH679" s="310"/>
      <c r="BI679" s="310"/>
      <c r="BJ679" s="310"/>
      <c r="BK679" s="310"/>
      <c r="BL679" s="310"/>
      <c r="BM679" s="310"/>
      <c r="BN679" s="221"/>
      <c r="BO679" s="221"/>
      <c r="BP679" s="221"/>
      <c r="BQ679" s="221"/>
      <c r="BR679" s="221"/>
    </row>
    <row r="680" ht="15.75" customHeight="1">
      <c r="A680" s="220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309"/>
      <c r="Y680" s="309"/>
      <c r="Z680" s="309"/>
      <c r="AA680" s="309"/>
      <c r="AB680" s="309"/>
      <c r="AC680" s="309"/>
      <c r="AD680" s="309"/>
      <c r="AE680" s="309"/>
      <c r="AF680" s="309"/>
      <c r="AG680" s="309"/>
      <c r="AH680" s="309"/>
      <c r="AI680" s="309"/>
      <c r="AJ680" s="309"/>
      <c r="AK680" s="309"/>
      <c r="AL680" s="309"/>
      <c r="AM680" s="309"/>
      <c r="AN680" s="309"/>
      <c r="AO680" s="309"/>
      <c r="AP680" s="309"/>
      <c r="AQ680" s="309"/>
      <c r="AR680" s="309"/>
      <c r="AS680" s="309"/>
      <c r="AT680" s="309"/>
      <c r="AU680" s="309"/>
      <c r="AV680" s="309"/>
      <c r="AW680" s="309"/>
      <c r="AX680" s="309"/>
      <c r="AY680" s="309"/>
      <c r="AZ680" s="309"/>
      <c r="BA680" s="310"/>
      <c r="BB680" s="310"/>
      <c r="BC680" s="310"/>
      <c r="BD680" s="310"/>
      <c r="BE680" s="310"/>
      <c r="BF680" s="310"/>
      <c r="BG680" s="310"/>
      <c r="BH680" s="310"/>
      <c r="BI680" s="310"/>
      <c r="BJ680" s="310"/>
      <c r="BK680" s="310"/>
      <c r="BL680" s="310"/>
      <c r="BM680" s="310"/>
      <c r="BN680" s="221"/>
      <c r="BO680" s="221"/>
      <c r="BP680" s="221"/>
      <c r="BQ680" s="221"/>
      <c r="BR680" s="221"/>
    </row>
    <row r="681" ht="15.75" customHeight="1">
      <c r="A681" s="220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309"/>
      <c r="Y681" s="309"/>
      <c r="Z681" s="309"/>
      <c r="AA681" s="309"/>
      <c r="AB681" s="309"/>
      <c r="AC681" s="309"/>
      <c r="AD681" s="309"/>
      <c r="AE681" s="309"/>
      <c r="AF681" s="309"/>
      <c r="AG681" s="309"/>
      <c r="AH681" s="309"/>
      <c r="AI681" s="309"/>
      <c r="AJ681" s="309"/>
      <c r="AK681" s="309"/>
      <c r="AL681" s="309"/>
      <c r="AM681" s="309"/>
      <c r="AN681" s="309"/>
      <c r="AO681" s="309"/>
      <c r="AP681" s="309"/>
      <c r="AQ681" s="309"/>
      <c r="AR681" s="309"/>
      <c r="AS681" s="309"/>
      <c r="AT681" s="309"/>
      <c r="AU681" s="309"/>
      <c r="AV681" s="309"/>
      <c r="AW681" s="309"/>
      <c r="AX681" s="309"/>
      <c r="AY681" s="309"/>
      <c r="AZ681" s="309"/>
      <c r="BA681" s="310"/>
      <c r="BB681" s="310"/>
      <c r="BC681" s="310"/>
      <c r="BD681" s="310"/>
      <c r="BE681" s="310"/>
      <c r="BF681" s="310"/>
      <c r="BG681" s="310"/>
      <c r="BH681" s="310"/>
      <c r="BI681" s="310"/>
      <c r="BJ681" s="310"/>
      <c r="BK681" s="310"/>
      <c r="BL681" s="310"/>
      <c r="BM681" s="310"/>
      <c r="BN681" s="221"/>
      <c r="BO681" s="221"/>
      <c r="BP681" s="221"/>
      <c r="BQ681" s="221"/>
      <c r="BR681" s="221"/>
    </row>
    <row r="682" ht="15.75" customHeight="1">
      <c r="A682" s="220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309"/>
      <c r="Y682" s="309"/>
      <c r="Z682" s="309"/>
      <c r="AA682" s="309"/>
      <c r="AB682" s="309"/>
      <c r="AC682" s="309"/>
      <c r="AD682" s="309"/>
      <c r="AE682" s="309"/>
      <c r="AF682" s="309"/>
      <c r="AG682" s="309"/>
      <c r="AH682" s="309"/>
      <c r="AI682" s="309"/>
      <c r="AJ682" s="309"/>
      <c r="AK682" s="309"/>
      <c r="AL682" s="309"/>
      <c r="AM682" s="309"/>
      <c r="AN682" s="309"/>
      <c r="AO682" s="309"/>
      <c r="AP682" s="309"/>
      <c r="AQ682" s="309"/>
      <c r="AR682" s="309"/>
      <c r="AS682" s="309"/>
      <c r="AT682" s="309"/>
      <c r="AU682" s="309"/>
      <c r="AV682" s="309"/>
      <c r="AW682" s="309"/>
      <c r="AX682" s="309"/>
      <c r="AY682" s="309"/>
      <c r="AZ682" s="309"/>
      <c r="BA682" s="310"/>
      <c r="BB682" s="310"/>
      <c r="BC682" s="310"/>
      <c r="BD682" s="310"/>
      <c r="BE682" s="310"/>
      <c r="BF682" s="310"/>
      <c r="BG682" s="310"/>
      <c r="BH682" s="310"/>
      <c r="BI682" s="310"/>
      <c r="BJ682" s="310"/>
      <c r="BK682" s="310"/>
      <c r="BL682" s="310"/>
      <c r="BM682" s="310"/>
      <c r="BN682" s="221"/>
      <c r="BO682" s="221"/>
      <c r="BP682" s="221"/>
      <c r="BQ682" s="221"/>
      <c r="BR682" s="221"/>
    </row>
    <row r="683" ht="15.75" customHeight="1">
      <c r="A683" s="220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309"/>
      <c r="Y683" s="309"/>
      <c r="Z683" s="309"/>
      <c r="AA683" s="309"/>
      <c r="AB683" s="309"/>
      <c r="AC683" s="309"/>
      <c r="AD683" s="309"/>
      <c r="AE683" s="309"/>
      <c r="AF683" s="309"/>
      <c r="AG683" s="309"/>
      <c r="AH683" s="309"/>
      <c r="AI683" s="309"/>
      <c r="AJ683" s="309"/>
      <c r="AK683" s="309"/>
      <c r="AL683" s="309"/>
      <c r="AM683" s="309"/>
      <c r="AN683" s="309"/>
      <c r="AO683" s="309"/>
      <c r="AP683" s="309"/>
      <c r="AQ683" s="309"/>
      <c r="AR683" s="309"/>
      <c r="AS683" s="309"/>
      <c r="AT683" s="309"/>
      <c r="AU683" s="309"/>
      <c r="AV683" s="309"/>
      <c r="AW683" s="309"/>
      <c r="AX683" s="309"/>
      <c r="AY683" s="309"/>
      <c r="AZ683" s="309"/>
      <c r="BA683" s="310"/>
      <c r="BB683" s="310"/>
      <c r="BC683" s="310"/>
      <c r="BD683" s="310"/>
      <c r="BE683" s="310"/>
      <c r="BF683" s="310"/>
      <c r="BG683" s="310"/>
      <c r="BH683" s="310"/>
      <c r="BI683" s="310"/>
      <c r="BJ683" s="310"/>
      <c r="BK683" s="310"/>
      <c r="BL683" s="310"/>
      <c r="BM683" s="310"/>
      <c r="BN683" s="221"/>
      <c r="BO683" s="221"/>
      <c r="BP683" s="221"/>
      <c r="BQ683" s="221"/>
      <c r="BR683" s="221"/>
    </row>
    <row r="684" ht="15.75" customHeight="1">
      <c r="A684" s="220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309"/>
      <c r="Y684" s="309"/>
      <c r="Z684" s="309"/>
      <c r="AA684" s="309"/>
      <c r="AB684" s="309"/>
      <c r="AC684" s="309"/>
      <c r="AD684" s="309"/>
      <c r="AE684" s="309"/>
      <c r="AF684" s="309"/>
      <c r="AG684" s="309"/>
      <c r="AH684" s="309"/>
      <c r="AI684" s="309"/>
      <c r="AJ684" s="309"/>
      <c r="AK684" s="309"/>
      <c r="AL684" s="309"/>
      <c r="AM684" s="309"/>
      <c r="AN684" s="309"/>
      <c r="AO684" s="309"/>
      <c r="AP684" s="309"/>
      <c r="AQ684" s="309"/>
      <c r="AR684" s="309"/>
      <c r="AS684" s="309"/>
      <c r="AT684" s="309"/>
      <c r="AU684" s="309"/>
      <c r="AV684" s="309"/>
      <c r="AW684" s="309"/>
      <c r="AX684" s="309"/>
      <c r="AY684" s="309"/>
      <c r="AZ684" s="309"/>
      <c r="BA684" s="310"/>
      <c r="BB684" s="310"/>
      <c r="BC684" s="310"/>
      <c r="BD684" s="310"/>
      <c r="BE684" s="310"/>
      <c r="BF684" s="310"/>
      <c r="BG684" s="310"/>
      <c r="BH684" s="310"/>
      <c r="BI684" s="310"/>
      <c r="BJ684" s="310"/>
      <c r="BK684" s="310"/>
      <c r="BL684" s="310"/>
      <c r="BM684" s="310"/>
      <c r="BN684" s="221"/>
      <c r="BO684" s="221"/>
      <c r="BP684" s="221"/>
      <c r="BQ684" s="221"/>
      <c r="BR684" s="221"/>
    </row>
    <row r="685" ht="15.75" customHeight="1">
      <c r="A685" s="220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309"/>
      <c r="Y685" s="309"/>
      <c r="Z685" s="309"/>
      <c r="AA685" s="309"/>
      <c r="AB685" s="309"/>
      <c r="AC685" s="309"/>
      <c r="AD685" s="309"/>
      <c r="AE685" s="309"/>
      <c r="AF685" s="309"/>
      <c r="AG685" s="309"/>
      <c r="AH685" s="309"/>
      <c r="AI685" s="309"/>
      <c r="AJ685" s="309"/>
      <c r="AK685" s="309"/>
      <c r="AL685" s="309"/>
      <c r="AM685" s="309"/>
      <c r="AN685" s="309"/>
      <c r="AO685" s="309"/>
      <c r="AP685" s="309"/>
      <c r="AQ685" s="309"/>
      <c r="AR685" s="309"/>
      <c r="AS685" s="309"/>
      <c r="AT685" s="309"/>
      <c r="AU685" s="309"/>
      <c r="AV685" s="309"/>
      <c r="AW685" s="309"/>
      <c r="AX685" s="309"/>
      <c r="AY685" s="309"/>
      <c r="AZ685" s="309"/>
      <c r="BA685" s="310"/>
      <c r="BB685" s="310"/>
      <c r="BC685" s="310"/>
      <c r="BD685" s="310"/>
      <c r="BE685" s="310"/>
      <c r="BF685" s="310"/>
      <c r="BG685" s="310"/>
      <c r="BH685" s="310"/>
      <c r="BI685" s="310"/>
      <c r="BJ685" s="310"/>
      <c r="BK685" s="310"/>
      <c r="BL685" s="310"/>
      <c r="BM685" s="310"/>
      <c r="BN685" s="221"/>
      <c r="BO685" s="221"/>
      <c r="BP685" s="221"/>
      <c r="BQ685" s="221"/>
      <c r="BR685" s="221"/>
    </row>
    <row r="686" ht="15.75" customHeight="1">
      <c r="A686" s="220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309"/>
      <c r="Y686" s="309"/>
      <c r="Z686" s="309"/>
      <c r="AA686" s="309"/>
      <c r="AB686" s="309"/>
      <c r="AC686" s="309"/>
      <c r="AD686" s="309"/>
      <c r="AE686" s="309"/>
      <c r="AF686" s="309"/>
      <c r="AG686" s="309"/>
      <c r="AH686" s="309"/>
      <c r="AI686" s="309"/>
      <c r="AJ686" s="309"/>
      <c r="AK686" s="309"/>
      <c r="AL686" s="309"/>
      <c r="AM686" s="309"/>
      <c r="AN686" s="309"/>
      <c r="AO686" s="309"/>
      <c r="AP686" s="309"/>
      <c r="AQ686" s="309"/>
      <c r="AR686" s="309"/>
      <c r="AS686" s="309"/>
      <c r="AT686" s="309"/>
      <c r="AU686" s="309"/>
      <c r="AV686" s="309"/>
      <c r="AW686" s="309"/>
      <c r="AX686" s="309"/>
      <c r="AY686" s="309"/>
      <c r="AZ686" s="309"/>
      <c r="BA686" s="310"/>
      <c r="BB686" s="310"/>
      <c r="BC686" s="310"/>
      <c r="BD686" s="310"/>
      <c r="BE686" s="310"/>
      <c r="BF686" s="310"/>
      <c r="BG686" s="310"/>
      <c r="BH686" s="310"/>
      <c r="BI686" s="310"/>
      <c r="BJ686" s="310"/>
      <c r="BK686" s="310"/>
      <c r="BL686" s="310"/>
      <c r="BM686" s="310"/>
      <c r="BN686" s="221"/>
      <c r="BO686" s="221"/>
      <c r="BP686" s="221"/>
      <c r="BQ686" s="221"/>
      <c r="BR686" s="221"/>
    </row>
    <row r="687" ht="15.75" customHeight="1">
      <c r="A687" s="220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309"/>
      <c r="Y687" s="309"/>
      <c r="Z687" s="309"/>
      <c r="AA687" s="309"/>
      <c r="AB687" s="309"/>
      <c r="AC687" s="309"/>
      <c r="AD687" s="309"/>
      <c r="AE687" s="309"/>
      <c r="AF687" s="309"/>
      <c r="AG687" s="309"/>
      <c r="AH687" s="309"/>
      <c r="AI687" s="309"/>
      <c r="AJ687" s="309"/>
      <c r="AK687" s="309"/>
      <c r="AL687" s="309"/>
      <c r="AM687" s="309"/>
      <c r="AN687" s="309"/>
      <c r="AO687" s="309"/>
      <c r="AP687" s="309"/>
      <c r="AQ687" s="309"/>
      <c r="AR687" s="309"/>
      <c r="AS687" s="309"/>
      <c r="AT687" s="309"/>
      <c r="AU687" s="309"/>
      <c r="AV687" s="309"/>
      <c r="AW687" s="309"/>
      <c r="AX687" s="309"/>
      <c r="AY687" s="309"/>
      <c r="AZ687" s="309"/>
      <c r="BA687" s="310"/>
      <c r="BB687" s="310"/>
      <c r="BC687" s="310"/>
      <c r="BD687" s="310"/>
      <c r="BE687" s="310"/>
      <c r="BF687" s="310"/>
      <c r="BG687" s="310"/>
      <c r="BH687" s="310"/>
      <c r="BI687" s="310"/>
      <c r="BJ687" s="310"/>
      <c r="BK687" s="310"/>
      <c r="BL687" s="310"/>
      <c r="BM687" s="310"/>
      <c r="BN687" s="221"/>
      <c r="BO687" s="221"/>
      <c r="BP687" s="221"/>
      <c r="BQ687" s="221"/>
      <c r="BR687" s="221"/>
    </row>
    <row r="688" ht="15.75" customHeight="1">
      <c r="A688" s="220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309"/>
      <c r="Y688" s="309"/>
      <c r="Z688" s="309"/>
      <c r="AA688" s="309"/>
      <c r="AB688" s="309"/>
      <c r="AC688" s="309"/>
      <c r="AD688" s="309"/>
      <c r="AE688" s="309"/>
      <c r="AF688" s="309"/>
      <c r="AG688" s="309"/>
      <c r="AH688" s="309"/>
      <c r="AI688" s="309"/>
      <c r="AJ688" s="309"/>
      <c r="AK688" s="309"/>
      <c r="AL688" s="309"/>
      <c r="AM688" s="309"/>
      <c r="AN688" s="309"/>
      <c r="AO688" s="309"/>
      <c r="AP688" s="309"/>
      <c r="AQ688" s="309"/>
      <c r="AR688" s="309"/>
      <c r="AS688" s="309"/>
      <c r="AT688" s="309"/>
      <c r="AU688" s="309"/>
      <c r="AV688" s="309"/>
      <c r="AW688" s="309"/>
      <c r="AX688" s="309"/>
      <c r="AY688" s="309"/>
      <c r="AZ688" s="309"/>
      <c r="BA688" s="310"/>
      <c r="BB688" s="310"/>
      <c r="BC688" s="310"/>
      <c r="BD688" s="310"/>
      <c r="BE688" s="310"/>
      <c r="BF688" s="310"/>
      <c r="BG688" s="310"/>
      <c r="BH688" s="310"/>
      <c r="BI688" s="310"/>
      <c r="BJ688" s="310"/>
      <c r="BK688" s="310"/>
      <c r="BL688" s="310"/>
      <c r="BM688" s="310"/>
      <c r="BN688" s="221"/>
      <c r="BO688" s="221"/>
      <c r="BP688" s="221"/>
      <c r="BQ688" s="221"/>
      <c r="BR688" s="221"/>
    </row>
    <row r="689" ht="15.75" customHeight="1">
      <c r="A689" s="220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309"/>
      <c r="Y689" s="309"/>
      <c r="Z689" s="309"/>
      <c r="AA689" s="309"/>
      <c r="AB689" s="309"/>
      <c r="AC689" s="309"/>
      <c r="AD689" s="309"/>
      <c r="AE689" s="309"/>
      <c r="AF689" s="309"/>
      <c r="AG689" s="309"/>
      <c r="AH689" s="309"/>
      <c r="AI689" s="309"/>
      <c r="AJ689" s="309"/>
      <c r="AK689" s="309"/>
      <c r="AL689" s="309"/>
      <c r="AM689" s="309"/>
      <c r="AN689" s="309"/>
      <c r="AO689" s="309"/>
      <c r="AP689" s="309"/>
      <c r="AQ689" s="309"/>
      <c r="AR689" s="309"/>
      <c r="AS689" s="309"/>
      <c r="AT689" s="309"/>
      <c r="AU689" s="309"/>
      <c r="AV689" s="309"/>
      <c r="AW689" s="309"/>
      <c r="AX689" s="309"/>
      <c r="AY689" s="309"/>
      <c r="AZ689" s="309"/>
      <c r="BA689" s="310"/>
      <c r="BB689" s="310"/>
      <c r="BC689" s="310"/>
      <c r="BD689" s="310"/>
      <c r="BE689" s="310"/>
      <c r="BF689" s="310"/>
      <c r="BG689" s="310"/>
      <c r="BH689" s="310"/>
      <c r="BI689" s="310"/>
      <c r="BJ689" s="310"/>
      <c r="BK689" s="310"/>
      <c r="BL689" s="310"/>
      <c r="BM689" s="310"/>
      <c r="BN689" s="221"/>
      <c r="BO689" s="221"/>
      <c r="BP689" s="221"/>
      <c r="BQ689" s="221"/>
      <c r="BR689" s="221"/>
    </row>
    <row r="690" ht="15.75" customHeight="1">
      <c r="A690" s="220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309"/>
      <c r="Y690" s="309"/>
      <c r="Z690" s="309"/>
      <c r="AA690" s="309"/>
      <c r="AB690" s="309"/>
      <c r="AC690" s="309"/>
      <c r="AD690" s="309"/>
      <c r="AE690" s="309"/>
      <c r="AF690" s="309"/>
      <c r="AG690" s="309"/>
      <c r="AH690" s="309"/>
      <c r="AI690" s="309"/>
      <c r="AJ690" s="309"/>
      <c r="AK690" s="309"/>
      <c r="AL690" s="309"/>
      <c r="AM690" s="309"/>
      <c r="AN690" s="309"/>
      <c r="AO690" s="309"/>
      <c r="AP690" s="309"/>
      <c r="AQ690" s="309"/>
      <c r="AR690" s="309"/>
      <c r="AS690" s="309"/>
      <c r="AT690" s="309"/>
      <c r="AU690" s="309"/>
      <c r="AV690" s="309"/>
      <c r="AW690" s="309"/>
      <c r="AX690" s="309"/>
      <c r="AY690" s="309"/>
      <c r="AZ690" s="309"/>
      <c r="BA690" s="310"/>
      <c r="BB690" s="310"/>
      <c r="BC690" s="310"/>
      <c r="BD690" s="310"/>
      <c r="BE690" s="310"/>
      <c r="BF690" s="310"/>
      <c r="BG690" s="310"/>
      <c r="BH690" s="310"/>
      <c r="BI690" s="310"/>
      <c r="BJ690" s="310"/>
      <c r="BK690" s="310"/>
      <c r="BL690" s="310"/>
      <c r="BM690" s="310"/>
      <c r="BN690" s="221"/>
      <c r="BO690" s="221"/>
      <c r="BP690" s="221"/>
      <c r="BQ690" s="221"/>
      <c r="BR690" s="221"/>
    </row>
    <row r="691" ht="15.75" customHeight="1">
      <c r="A691" s="220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309"/>
      <c r="Y691" s="309"/>
      <c r="Z691" s="309"/>
      <c r="AA691" s="309"/>
      <c r="AB691" s="309"/>
      <c r="AC691" s="309"/>
      <c r="AD691" s="309"/>
      <c r="AE691" s="309"/>
      <c r="AF691" s="309"/>
      <c r="AG691" s="309"/>
      <c r="AH691" s="309"/>
      <c r="AI691" s="309"/>
      <c r="AJ691" s="309"/>
      <c r="AK691" s="309"/>
      <c r="AL691" s="309"/>
      <c r="AM691" s="309"/>
      <c r="AN691" s="309"/>
      <c r="AO691" s="309"/>
      <c r="AP691" s="309"/>
      <c r="AQ691" s="309"/>
      <c r="AR691" s="309"/>
      <c r="AS691" s="309"/>
      <c r="AT691" s="309"/>
      <c r="AU691" s="309"/>
      <c r="AV691" s="309"/>
      <c r="AW691" s="309"/>
      <c r="AX691" s="309"/>
      <c r="AY691" s="309"/>
      <c r="AZ691" s="309"/>
      <c r="BA691" s="310"/>
      <c r="BB691" s="310"/>
      <c r="BC691" s="310"/>
      <c r="BD691" s="310"/>
      <c r="BE691" s="310"/>
      <c r="BF691" s="310"/>
      <c r="BG691" s="310"/>
      <c r="BH691" s="310"/>
      <c r="BI691" s="310"/>
      <c r="BJ691" s="310"/>
      <c r="BK691" s="310"/>
      <c r="BL691" s="310"/>
      <c r="BM691" s="310"/>
      <c r="BN691" s="221"/>
      <c r="BO691" s="221"/>
      <c r="BP691" s="221"/>
      <c r="BQ691" s="221"/>
      <c r="BR691" s="221"/>
    </row>
    <row r="692" ht="15.75" customHeight="1">
      <c r="A692" s="220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309"/>
      <c r="Y692" s="309"/>
      <c r="Z692" s="309"/>
      <c r="AA692" s="309"/>
      <c r="AB692" s="309"/>
      <c r="AC692" s="309"/>
      <c r="AD692" s="309"/>
      <c r="AE692" s="309"/>
      <c r="AF692" s="309"/>
      <c r="AG692" s="309"/>
      <c r="AH692" s="309"/>
      <c r="AI692" s="309"/>
      <c r="AJ692" s="309"/>
      <c r="AK692" s="309"/>
      <c r="AL692" s="309"/>
      <c r="AM692" s="309"/>
      <c r="AN692" s="309"/>
      <c r="AO692" s="309"/>
      <c r="AP692" s="309"/>
      <c r="AQ692" s="309"/>
      <c r="AR692" s="309"/>
      <c r="AS692" s="309"/>
      <c r="AT692" s="309"/>
      <c r="AU692" s="309"/>
      <c r="AV692" s="309"/>
      <c r="AW692" s="309"/>
      <c r="AX692" s="309"/>
      <c r="AY692" s="309"/>
      <c r="AZ692" s="309"/>
      <c r="BA692" s="310"/>
      <c r="BB692" s="310"/>
      <c r="BC692" s="310"/>
      <c r="BD692" s="310"/>
      <c r="BE692" s="310"/>
      <c r="BF692" s="310"/>
      <c r="BG692" s="310"/>
      <c r="BH692" s="310"/>
      <c r="BI692" s="310"/>
      <c r="BJ692" s="310"/>
      <c r="BK692" s="310"/>
      <c r="BL692" s="310"/>
      <c r="BM692" s="310"/>
      <c r="BN692" s="221"/>
      <c r="BO692" s="221"/>
      <c r="BP692" s="221"/>
      <c r="BQ692" s="221"/>
      <c r="BR692" s="221"/>
    </row>
    <row r="693" ht="15.75" customHeight="1">
      <c r="A693" s="220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309"/>
      <c r="Y693" s="309"/>
      <c r="Z693" s="309"/>
      <c r="AA693" s="309"/>
      <c r="AB693" s="309"/>
      <c r="AC693" s="309"/>
      <c r="AD693" s="309"/>
      <c r="AE693" s="309"/>
      <c r="AF693" s="309"/>
      <c r="AG693" s="309"/>
      <c r="AH693" s="309"/>
      <c r="AI693" s="309"/>
      <c r="AJ693" s="309"/>
      <c r="AK693" s="309"/>
      <c r="AL693" s="309"/>
      <c r="AM693" s="309"/>
      <c r="AN693" s="309"/>
      <c r="AO693" s="309"/>
      <c r="AP693" s="309"/>
      <c r="AQ693" s="309"/>
      <c r="AR693" s="309"/>
      <c r="AS693" s="309"/>
      <c r="AT693" s="309"/>
      <c r="AU693" s="309"/>
      <c r="AV693" s="309"/>
      <c r="AW693" s="309"/>
      <c r="AX693" s="309"/>
      <c r="AY693" s="309"/>
      <c r="AZ693" s="309"/>
      <c r="BA693" s="310"/>
      <c r="BB693" s="310"/>
      <c r="BC693" s="310"/>
      <c r="BD693" s="310"/>
      <c r="BE693" s="310"/>
      <c r="BF693" s="310"/>
      <c r="BG693" s="310"/>
      <c r="BH693" s="310"/>
      <c r="BI693" s="310"/>
      <c r="BJ693" s="310"/>
      <c r="BK693" s="310"/>
      <c r="BL693" s="310"/>
      <c r="BM693" s="310"/>
      <c r="BN693" s="221"/>
      <c r="BO693" s="221"/>
      <c r="BP693" s="221"/>
      <c r="BQ693" s="221"/>
      <c r="BR693" s="221"/>
    </row>
    <row r="694" ht="15.75" customHeight="1">
      <c r="A694" s="220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309"/>
      <c r="Y694" s="309"/>
      <c r="Z694" s="309"/>
      <c r="AA694" s="309"/>
      <c r="AB694" s="309"/>
      <c r="AC694" s="309"/>
      <c r="AD694" s="309"/>
      <c r="AE694" s="309"/>
      <c r="AF694" s="309"/>
      <c r="AG694" s="309"/>
      <c r="AH694" s="309"/>
      <c r="AI694" s="309"/>
      <c r="AJ694" s="309"/>
      <c r="AK694" s="309"/>
      <c r="AL694" s="309"/>
      <c r="AM694" s="309"/>
      <c r="AN694" s="309"/>
      <c r="AO694" s="309"/>
      <c r="AP694" s="309"/>
      <c r="AQ694" s="309"/>
      <c r="AR694" s="309"/>
      <c r="AS694" s="309"/>
      <c r="AT694" s="309"/>
      <c r="AU694" s="309"/>
      <c r="AV694" s="309"/>
      <c r="AW694" s="309"/>
      <c r="AX694" s="309"/>
      <c r="AY694" s="309"/>
      <c r="AZ694" s="309"/>
      <c r="BA694" s="310"/>
      <c r="BB694" s="310"/>
      <c r="BC694" s="310"/>
      <c r="BD694" s="310"/>
      <c r="BE694" s="310"/>
      <c r="BF694" s="310"/>
      <c r="BG694" s="310"/>
      <c r="BH694" s="310"/>
      <c r="BI694" s="310"/>
      <c r="BJ694" s="310"/>
      <c r="BK694" s="310"/>
      <c r="BL694" s="310"/>
      <c r="BM694" s="310"/>
      <c r="BN694" s="221"/>
      <c r="BO694" s="221"/>
      <c r="BP694" s="221"/>
      <c r="BQ694" s="221"/>
      <c r="BR694" s="221"/>
    </row>
    <row r="695" ht="15.75" customHeight="1">
      <c r="A695" s="220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309"/>
      <c r="Y695" s="309"/>
      <c r="Z695" s="309"/>
      <c r="AA695" s="309"/>
      <c r="AB695" s="309"/>
      <c r="AC695" s="309"/>
      <c r="AD695" s="309"/>
      <c r="AE695" s="309"/>
      <c r="AF695" s="309"/>
      <c r="AG695" s="309"/>
      <c r="AH695" s="309"/>
      <c r="AI695" s="309"/>
      <c r="AJ695" s="309"/>
      <c r="AK695" s="309"/>
      <c r="AL695" s="309"/>
      <c r="AM695" s="309"/>
      <c r="AN695" s="309"/>
      <c r="AO695" s="309"/>
      <c r="AP695" s="309"/>
      <c r="AQ695" s="309"/>
      <c r="AR695" s="309"/>
      <c r="AS695" s="309"/>
      <c r="AT695" s="309"/>
      <c r="AU695" s="309"/>
      <c r="AV695" s="309"/>
      <c r="AW695" s="309"/>
      <c r="AX695" s="309"/>
      <c r="AY695" s="309"/>
      <c r="AZ695" s="309"/>
      <c r="BA695" s="310"/>
      <c r="BB695" s="310"/>
      <c r="BC695" s="310"/>
      <c r="BD695" s="310"/>
      <c r="BE695" s="310"/>
      <c r="BF695" s="310"/>
      <c r="BG695" s="310"/>
      <c r="BH695" s="310"/>
      <c r="BI695" s="310"/>
      <c r="BJ695" s="310"/>
      <c r="BK695" s="310"/>
      <c r="BL695" s="310"/>
      <c r="BM695" s="310"/>
      <c r="BN695" s="221"/>
      <c r="BO695" s="221"/>
      <c r="BP695" s="221"/>
      <c r="BQ695" s="221"/>
      <c r="BR695" s="221"/>
    </row>
    <row r="696" ht="15.75" customHeight="1">
      <c r="A696" s="220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309"/>
      <c r="Y696" s="309"/>
      <c r="Z696" s="309"/>
      <c r="AA696" s="309"/>
      <c r="AB696" s="309"/>
      <c r="AC696" s="309"/>
      <c r="AD696" s="309"/>
      <c r="AE696" s="309"/>
      <c r="AF696" s="309"/>
      <c r="AG696" s="309"/>
      <c r="AH696" s="309"/>
      <c r="AI696" s="309"/>
      <c r="AJ696" s="309"/>
      <c r="AK696" s="309"/>
      <c r="AL696" s="309"/>
      <c r="AM696" s="309"/>
      <c r="AN696" s="309"/>
      <c r="AO696" s="309"/>
      <c r="AP696" s="309"/>
      <c r="AQ696" s="309"/>
      <c r="AR696" s="309"/>
      <c r="AS696" s="309"/>
      <c r="AT696" s="309"/>
      <c r="AU696" s="309"/>
      <c r="AV696" s="309"/>
      <c r="AW696" s="309"/>
      <c r="AX696" s="309"/>
      <c r="AY696" s="309"/>
      <c r="AZ696" s="309"/>
      <c r="BA696" s="310"/>
      <c r="BB696" s="310"/>
      <c r="BC696" s="310"/>
      <c r="BD696" s="310"/>
      <c r="BE696" s="310"/>
      <c r="BF696" s="310"/>
      <c r="BG696" s="310"/>
      <c r="BH696" s="310"/>
      <c r="BI696" s="310"/>
      <c r="BJ696" s="310"/>
      <c r="BK696" s="310"/>
      <c r="BL696" s="310"/>
      <c r="BM696" s="310"/>
      <c r="BN696" s="221"/>
      <c r="BO696" s="221"/>
      <c r="BP696" s="221"/>
      <c r="BQ696" s="221"/>
      <c r="BR696" s="221"/>
    </row>
    <row r="697" ht="15.75" customHeight="1">
      <c r="A697" s="220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309"/>
      <c r="Y697" s="309"/>
      <c r="Z697" s="309"/>
      <c r="AA697" s="309"/>
      <c r="AB697" s="309"/>
      <c r="AC697" s="309"/>
      <c r="AD697" s="309"/>
      <c r="AE697" s="309"/>
      <c r="AF697" s="309"/>
      <c r="AG697" s="309"/>
      <c r="AH697" s="309"/>
      <c r="AI697" s="309"/>
      <c r="AJ697" s="309"/>
      <c r="AK697" s="309"/>
      <c r="AL697" s="309"/>
      <c r="AM697" s="309"/>
      <c r="AN697" s="309"/>
      <c r="AO697" s="309"/>
      <c r="AP697" s="309"/>
      <c r="AQ697" s="309"/>
      <c r="AR697" s="309"/>
      <c r="AS697" s="309"/>
      <c r="AT697" s="309"/>
      <c r="AU697" s="309"/>
      <c r="AV697" s="309"/>
      <c r="AW697" s="309"/>
      <c r="AX697" s="309"/>
      <c r="AY697" s="309"/>
      <c r="AZ697" s="309"/>
      <c r="BA697" s="310"/>
      <c r="BB697" s="310"/>
      <c r="BC697" s="310"/>
      <c r="BD697" s="310"/>
      <c r="BE697" s="310"/>
      <c r="BF697" s="310"/>
      <c r="BG697" s="310"/>
      <c r="BH697" s="310"/>
      <c r="BI697" s="310"/>
      <c r="BJ697" s="310"/>
      <c r="BK697" s="310"/>
      <c r="BL697" s="310"/>
      <c r="BM697" s="310"/>
      <c r="BN697" s="221"/>
      <c r="BO697" s="221"/>
      <c r="BP697" s="221"/>
      <c r="BQ697" s="221"/>
      <c r="BR697" s="221"/>
    </row>
    <row r="698" ht="15.75" customHeight="1">
      <c r="A698" s="220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309"/>
      <c r="Y698" s="309"/>
      <c r="Z698" s="309"/>
      <c r="AA698" s="309"/>
      <c r="AB698" s="309"/>
      <c r="AC698" s="309"/>
      <c r="AD698" s="309"/>
      <c r="AE698" s="309"/>
      <c r="AF698" s="309"/>
      <c r="AG698" s="309"/>
      <c r="AH698" s="309"/>
      <c r="AI698" s="309"/>
      <c r="AJ698" s="309"/>
      <c r="AK698" s="309"/>
      <c r="AL698" s="309"/>
      <c r="AM698" s="309"/>
      <c r="AN698" s="309"/>
      <c r="AO698" s="309"/>
      <c r="AP698" s="309"/>
      <c r="AQ698" s="309"/>
      <c r="AR698" s="309"/>
      <c r="AS698" s="309"/>
      <c r="AT698" s="309"/>
      <c r="AU698" s="309"/>
      <c r="AV698" s="309"/>
      <c r="AW698" s="309"/>
      <c r="AX698" s="309"/>
      <c r="AY698" s="309"/>
      <c r="AZ698" s="309"/>
      <c r="BA698" s="310"/>
      <c r="BB698" s="310"/>
      <c r="BC698" s="310"/>
      <c r="BD698" s="310"/>
      <c r="BE698" s="310"/>
      <c r="BF698" s="310"/>
      <c r="BG698" s="310"/>
      <c r="BH698" s="310"/>
      <c r="BI698" s="310"/>
      <c r="BJ698" s="310"/>
      <c r="BK698" s="310"/>
      <c r="BL698" s="310"/>
      <c r="BM698" s="310"/>
      <c r="BN698" s="221"/>
      <c r="BO698" s="221"/>
      <c r="BP698" s="221"/>
      <c r="BQ698" s="221"/>
      <c r="BR698" s="221"/>
    </row>
    <row r="699" ht="15.75" customHeight="1">
      <c r="A699" s="220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309"/>
      <c r="Y699" s="309"/>
      <c r="Z699" s="309"/>
      <c r="AA699" s="309"/>
      <c r="AB699" s="309"/>
      <c r="AC699" s="309"/>
      <c r="AD699" s="309"/>
      <c r="AE699" s="309"/>
      <c r="AF699" s="309"/>
      <c r="AG699" s="309"/>
      <c r="AH699" s="309"/>
      <c r="AI699" s="309"/>
      <c r="AJ699" s="309"/>
      <c r="AK699" s="309"/>
      <c r="AL699" s="309"/>
      <c r="AM699" s="309"/>
      <c r="AN699" s="309"/>
      <c r="AO699" s="309"/>
      <c r="AP699" s="309"/>
      <c r="AQ699" s="309"/>
      <c r="AR699" s="309"/>
      <c r="AS699" s="309"/>
      <c r="AT699" s="309"/>
      <c r="AU699" s="309"/>
      <c r="AV699" s="309"/>
      <c r="AW699" s="309"/>
      <c r="AX699" s="309"/>
      <c r="AY699" s="309"/>
      <c r="AZ699" s="309"/>
      <c r="BA699" s="310"/>
      <c r="BB699" s="310"/>
      <c r="BC699" s="310"/>
      <c r="BD699" s="310"/>
      <c r="BE699" s="310"/>
      <c r="BF699" s="310"/>
      <c r="BG699" s="310"/>
      <c r="BH699" s="310"/>
      <c r="BI699" s="310"/>
      <c r="BJ699" s="310"/>
      <c r="BK699" s="310"/>
      <c r="BL699" s="310"/>
      <c r="BM699" s="310"/>
      <c r="BN699" s="221"/>
      <c r="BO699" s="221"/>
      <c r="BP699" s="221"/>
      <c r="BQ699" s="221"/>
      <c r="BR699" s="221"/>
    </row>
    <row r="700" ht="15.75" customHeight="1">
      <c r="A700" s="220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309"/>
      <c r="Y700" s="309"/>
      <c r="Z700" s="309"/>
      <c r="AA700" s="309"/>
      <c r="AB700" s="309"/>
      <c r="AC700" s="309"/>
      <c r="AD700" s="309"/>
      <c r="AE700" s="309"/>
      <c r="AF700" s="309"/>
      <c r="AG700" s="309"/>
      <c r="AH700" s="309"/>
      <c r="AI700" s="309"/>
      <c r="AJ700" s="309"/>
      <c r="AK700" s="309"/>
      <c r="AL700" s="309"/>
      <c r="AM700" s="309"/>
      <c r="AN700" s="309"/>
      <c r="AO700" s="309"/>
      <c r="AP700" s="309"/>
      <c r="AQ700" s="309"/>
      <c r="AR700" s="309"/>
      <c r="AS700" s="309"/>
      <c r="AT700" s="309"/>
      <c r="AU700" s="309"/>
      <c r="AV700" s="309"/>
      <c r="AW700" s="309"/>
      <c r="AX700" s="309"/>
      <c r="AY700" s="309"/>
      <c r="AZ700" s="309"/>
      <c r="BA700" s="310"/>
      <c r="BB700" s="310"/>
      <c r="BC700" s="310"/>
      <c r="BD700" s="310"/>
      <c r="BE700" s="310"/>
      <c r="BF700" s="310"/>
      <c r="BG700" s="310"/>
      <c r="BH700" s="310"/>
      <c r="BI700" s="310"/>
      <c r="BJ700" s="310"/>
      <c r="BK700" s="310"/>
      <c r="BL700" s="310"/>
      <c r="BM700" s="310"/>
      <c r="BN700" s="221"/>
      <c r="BO700" s="221"/>
      <c r="BP700" s="221"/>
      <c r="BQ700" s="221"/>
      <c r="BR700" s="221"/>
    </row>
    <row r="701" ht="15.75" customHeight="1">
      <c r="A701" s="220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309"/>
      <c r="Y701" s="309"/>
      <c r="Z701" s="309"/>
      <c r="AA701" s="309"/>
      <c r="AB701" s="309"/>
      <c r="AC701" s="309"/>
      <c r="AD701" s="309"/>
      <c r="AE701" s="309"/>
      <c r="AF701" s="309"/>
      <c r="AG701" s="309"/>
      <c r="AH701" s="309"/>
      <c r="AI701" s="309"/>
      <c r="AJ701" s="309"/>
      <c r="AK701" s="309"/>
      <c r="AL701" s="309"/>
      <c r="AM701" s="309"/>
      <c r="AN701" s="309"/>
      <c r="AO701" s="309"/>
      <c r="AP701" s="309"/>
      <c r="AQ701" s="309"/>
      <c r="AR701" s="309"/>
      <c r="AS701" s="309"/>
      <c r="AT701" s="309"/>
      <c r="AU701" s="309"/>
      <c r="AV701" s="309"/>
      <c r="AW701" s="309"/>
      <c r="AX701" s="309"/>
      <c r="AY701" s="309"/>
      <c r="AZ701" s="309"/>
      <c r="BA701" s="310"/>
      <c r="BB701" s="310"/>
      <c r="BC701" s="310"/>
      <c r="BD701" s="310"/>
      <c r="BE701" s="310"/>
      <c r="BF701" s="310"/>
      <c r="BG701" s="310"/>
      <c r="BH701" s="310"/>
      <c r="BI701" s="310"/>
      <c r="BJ701" s="310"/>
      <c r="BK701" s="310"/>
      <c r="BL701" s="310"/>
      <c r="BM701" s="310"/>
      <c r="BN701" s="221"/>
      <c r="BO701" s="221"/>
      <c r="BP701" s="221"/>
      <c r="BQ701" s="221"/>
      <c r="BR701" s="221"/>
    </row>
    <row r="702" ht="15.75" customHeight="1">
      <c r="A702" s="220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309"/>
      <c r="Y702" s="309"/>
      <c r="Z702" s="309"/>
      <c r="AA702" s="309"/>
      <c r="AB702" s="309"/>
      <c r="AC702" s="309"/>
      <c r="AD702" s="309"/>
      <c r="AE702" s="309"/>
      <c r="AF702" s="309"/>
      <c r="AG702" s="309"/>
      <c r="AH702" s="309"/>
      <c r="AI702" s="309"/>
      <c r="AJ702" s="309"/>
      <c r="AK702" s="309"/>
      <c r="AL702" s="309"/>
      <c r="AM702" s="309"/>
      <c r="AN702" s="309"/>
      <c r="AO702" s="309"/>
      <c r="AP702" s="309"/>
      <c r="AQ702" s="309"/>
      <c r="AR702" s="309"/>
      <c r="AS702" s="309"/>
      <c r="AT702" s="309"/>
      <c r="AU702" s="309"/>
      <c r="AV702" s="309"/>
      <c r="AW702" s="309"/>
      <c r="AX702" s="309"/>
      <c r="AY702" s="309"/>
      <c r="AZ702" s="309"/>
      <c r="BA702" s="310"/>
      <c r="BB702" s="310"/>
      <c r="BC702" s="310"/>
      <c r="BD702" s="310"/>
      <c r="BE702" s="310"/>
      <c r="BF702" s="310"/>
      <c r="BG702" s="310"/>
      <c r="BH702" s="310"/>
      <c r="BI702" s="310"/>
      <c r="BJ702" s="310"/>
      <c r="BK702" s="310"/>
      <c r="BL702" s="310"/>
      <c r="BM702" s="310"/>
      <c r="BN702" s="221"/>
      <c r="BO702" s="221"/>
      <c r="BP702" s="221"/>
      <c r="BQ702" s="221"/>
      <c r="BR702" s="221"/>
    </row>
    <row r="703" ht="15.75" customHeight="1">
      <c r="A703" s="220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309"/>
      <c r="Y703" s="309"/>
      <c r="Z703" s="309"/>
      <c r="AA703" s="309"/>
      <c r="AB703" s="309"/>
      <c r="AC703" s="309"/>
      <c r="AD703" s="309"/>
      <c r="AE703" s="309"/>
      <c r="AF703" s="309"/>
      <c r="AG703" s="309"/>
      <c r="AH703" s="309"/>
      <c r="AI703" s="309"/>
      <c r="AJ703" s="309"/>
      <c r="AK703" s="309"/>
      <c r="AL703" s="309"/>
      <c r="AM703" s="309"/>
      <c r="AN703" s="309"/>
      <c r="AO703" s="309"/>
      <c r="AP703" s="309"/>
      <c r="AQ703" s="309"/>
      <c r="AR703" s="309"/>
      <c r="AS703" s="309"/>
      <c r="AT703" s="309"/>
      <c r="AU703" s="309"/>
      <c r="AV703" s="309"/>
      <c r="AW703" s="309"/>
      <c r="AX703" s="309"/>
      <c r="AY703" s="309"/>
      <c r="AZ703" s="309"/>
      <c r="BA703" s="310"/>
      <c r="BB703" s="310"/>
      <c r="BC703" s="310"/>
      <c r="BD703" s="310"/>
      <c r="BE703" s="310"/>
      <c r="BF703" s="310"/>
      <c r="BG703" s="310"/>
      <c r="BH703" s="310"/>
      <c r="BI703" s="310"/>
      <c r="BJ703" s="310"/>
      <c r="BK703" s="310"/>
      <c r="BL703" s="310"/>
      <c r="BM703" s="310"/>
      <c r="BN703" s="221"/>
      <c r="BO703" s="221"/>
      <c r="BP703" s="221"/>
      <c r="BQ703" s="221"/>
      <c r="BR703" s="221"/>
    </row>
    <row r="704" ht="15.75" customHeight="1">
      <c r="A704" s="220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309"/>
      <c r="Y704" s="309"/>
      <c r="Z704" s="309"/>
      <c r="AA704" s="309"/>
      <c r="AB704" s="309"/>
      <c r="AC704" s="309"/>
      <c r="AD704" s="309"/>
      <c r="AE704" s="309"/>
      <c r="AF704" s="309"/>
      <c r="AG704" s="309"/>
      <c r="AH704" s="309"/>
      <c r="AI704" s="309"/>
      <c r="AJ704" s="309"/>
      <c r="AK704" s="309"/>
      <c r="AL704" s="309"/>
      <c r="AM704" s="309"/>
      <c r="AN704" s="309"/>
      <c r="AO704" s="309"/>
      <c r="AP704" s="309"/>
      <c r="AQ704" s="309"/>
      <c r="AR704" s="309"/>
      <c r="AS704" s="309"/>
      <c r="AT704" s="309"/>
      <c r="AU704" s="309"/>
      <c r="AV704" s="309"/>
      <c r="AW704" s="309"/>
      <c r="AX704" s="309"/>
      <c r="AY704" s="309"/>
      <c r="AZ704" s="309"/>
      <c r="BA704" s="310"/>
      <c r="BB704" s="310"/>
      <c r="BC704" s="310"/>
      <c r="BD704" s="310"/>
      <c r="BE704" s="310"/>
      <c r="BF704" s="310"/>
      <c r="BG704" s="310"/>
      <c r="BH704" s="310"/>
      <c r="BI704" s="310"/>
      <c r="BJ704" s="310"/>
      <c r="BK704" s="310"/>
      <c r="BL704" s="310"/>
      <c r="BM704" s="310"/>
      <c r="BN704" s="221"/>
      <c r="BO704" s="221"/>
      <c r="BP704" s="221"/>
      <c r="BQ704" s="221"/>
      <c r="BR704" s="221"/>
    </row>
    <row r="705" ht="15.75" customHeight="1">
      <c r="A705" s="220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309"/>
      <c r="Y705" s="309"/>
      <c r="Z705" s="309"/>
      <c r="AA705" s="309"/>
      <c r="AB705" s="309"/>
      <c r="AC705" s="309"/>
      <c r="AD705" s="309"/>
      <c r="AE705" s="309"/>
      <c r="AF705" s="309"/>
      <c r="AG705" s="309"/>
      <c r="AH705" s="309"/>
      <c r="AI705" s="309"/>
      <c r="AJ705" s="309"/>
      <c r="AK705" s="309"/>
      <c r="AL705" s="309"/>
      <c r="AM705" s="309"/>
      <c r="AN705" s="309"/>
      <c r="AO705" s="309"/>
      <c r="AP705" s="309"/>
      <c r="AQ705" s="309"/>
      <c r="AR705" s="309"/>
      <c r="AS705" s="309"/>
      <c r="AT705" s="309"/>
      <c r="AU705" s="309"/>
      <c r="AV705" s="309"/>
      <c r="AW705" s="309"/>
      <c r="AX705" s="309"/>
      <c r="AY705" s="309"/>
      <c r="AZ705" s="309"/>
      <c r="BA705" s="310"/>
      <c r="BB705" s="310"/>
      <c r="BC705" s="310"/>
      <c r="BD705" s="310"/>
      <c r="BE705" s="310"/>
      <c r="BF705" s="310"/>
      <c r="BG705" s="310"/>
      <c r="BH705" s="310"/>
      <c r="BI705" s="310"/>
      <c r="BJ705" s="310"/>
      <c r="BK705" s="310"/>
      <c r="BL705" s="310"/>
      <c r="BM705" s="310"/>
      <c r="BN705" s="221"/>
      <c r="BO705" s="221"/>
      <c r="BP705" s="221"/>
      <c r="BQ705" s="221"/>
      <c r="BR705" s="221"/>
    </row>
    <row r="706" ht="15.75" customHeight="1">
      <c r="A706" s="220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309"/>
      <c r="Y706" s="309"/>
      <c r="Z706" s="309"/>
      <c r="AA706" s="309"/>
      <c r="AB706" s="309"/>
      <c r="AC706" s="309"/>
      <c r="AD706" s="309"/>
      <c r="AE706" s="309"/>
      <c r="AF706" s="309"/>
      <c r="AG706" s="309"/>
      <c r="AH706" s="309"/>
      <c r="AI706" s="309"/>
      <c r="AJ706" s="309"/>
      <c r="AK706" s="309"/>
      <c r="AL706" s="309"/>
      <c r="AM706" s="309"/>
      <c r="AN706" s="309"/>
      <c r="AO706" s="309"/>
      <c r="AP706" s="309"/>
      <c r="AQ706" s="309"/>
      <c r="AR706" s="309"/>
      <c r="AS706" s="309"/>
      <c r="AT706" s="309"/>
      <c r="AU706" s="309"/>
      <c r="AV706" s="309"/>
      <c r="AW706" s="309"/>
      <c r="AX706" s="309"/>
      <c r="AY706" s="309"/>
      <c r="AZ706" s="309"/>
      <c r="BA706" s="310"/>
      <c r="BB706" s="310"/>
      <c r="BC706" s="310"/>
      <c r="BD706" s="310"/>
      <c r="BE706" s="310"/>
      <c r="BF706" s="310"/>
      <c r="BG706" s="310"/>
      <c r="BH706" s="310"/>
      <c r="BI706" s="310"/>
      <c r="BJ706" s="310"/>
      <c r="BK706" s="310"/>
      <c r="BL706" s="310"/>
      <c r="BM706" s="310"/>
      <c r="BN706" s="221"/>
      <c r="BO706" s="221"/>
      <c r="BP706" s="221"/>
      <c r="BQ706" s="221"/>
      <c r="BR706" s="221"/>
    </row>
    <row r="707" ht="15.75" customHeight="1">
      <c r="A707" s="220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309"/>
      <c r="Y707" s="309"/>
      <c r="Z707" s="309"/>
      <c r="AA707" s="309"/>
      <c r="AB707" s="309"/>
      <c r="AC707" s="309"/>
      <c r="AD707" s="309"/>
      <c r="AE707" s="309"/>
      <c r="AF707" s="309"/>
      <c r="AG707" s="309"/>
      <c r="AH707" s="309"/>
      <c r="AI707" s="309"/>
      <c r="AJ707" s="309"/>
      <c r="AK707" s="309"/>
      <c r="AL707" s="309"/>
      <c r="AM707" s="309"/>
      <c r="AN707" s="309"/>
      <c r="AO707" s="309"/>
      <c r="AP707" s="309"/>
      <c r="AQ707" s="309"/>
      <c r="AR707" s="309"/>
      <c r="AS707" s="309"/>
      <c r="AT707" s="309"/>
      <c r="AU707" s="309"/>
      <c r="AV707" s="309"/>
      <c r="AW707" s="309"/>
      <c r="AX707" s="309"/>
      <c r="AY707" s="309"/>
      <c r="AZ707" s="309"/>
      <c r="BA707" s="310"/>
      <c r="BB707" s="310"/>
      <c r="BC707" s="310"/>
      <c r="BD707" s="310"/>
      <c r="BE707" s="310"/>
      <c r="BF707" s="310"/>
      <c r="BG707" s="310"/>
      <c r="BH707" s="310"/>
      <c r="BI707" s="310"/>
      <c r="BJ707" s="310"/>
      <c r="BK707" s="310"/>
      <c r="BL707" s="310"/>
      <c r="BM707" s="310"/>
      <c r="BN707" s="221"/>
      <c r="BO707" s="221"/>
      <c r="BP707" s="221"/>
      <c r="BQ707" s="221"/>
      <c r="BR707" s="221"/>
    </row>
    <row r="708" ht="15.75" customHeight="1">
      <c r="A708" s="220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309"/>
      <c r="Y708" s="309"/>
      <c r="Z708" s="309"/>
      <c r="AA708" s="309"/>
      <c r="AB708" s="309"/>
      <c r="AC708" s="309"/>
      <c r="AD708" s="309"/>
      <c r="AE708" s="309"/>
      <c r="AF708" s="309"/>
      <c r="AG708" s="309"/>
      <c r="AH708" s="309"/>
      <c r="AI708" s="309"/>
      <c r="AJ708" s="309"/>
      <c r="AK708" s="309"/>
      <c r="AL708" s="309"/>
      <c r="AM708" s="309"/>
      <c r="AN708" s="309"/>
      <c r="AO708" s="309"/>
      <c r="AP708" s="309"/>
      <c r="AQ708" s="309"/>
      <c r="AR708" s="309"/>
      <c r="AS708" s="309"/>
      <c r="AT708" s="309"/>
      <c r="AU708" s="309"/>
      <c r="AV708" s="309"/>
      <c r="AW708" s="309"/>
      <c r="AX708" s="309"/>
      <c r="AY708" s="309"/>
      <c r="AZ708" s="309"/>
      <c r="BA708" s="310"/>
      <c r="BB708" s="310"/>
      <c r="BC708" s="310"/>
      <c r="BD708" s="310"/>
      <c r="BE708" s="310"/>
      <c r="BF708" s="310"/>
      <c r="BG708" s="310"/>
      <c r="BH708" s="310"/>
      <c r="BI708" s="310"/>
      <c r="BJ708" s="310"/>
      <c r="BK708" s="310"/>
      <c r="BL708" s="310"/>
      <c r="BM708" s="310"/>
      <c r="BN708" s="221"/>
      <c r="BO708" s="221"/>
      <c r="BP708" s="221"/>
      <c r="BQ708" s="221"/>
      <c r="BR708" s="221"/>
    </row>
    <row r="709" ht="15.75" customHeight="1">
      <c r="A709" s="220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309"/>
      <c r="Y709" s="309"/>
      <c r="Z709" s="309"/>
      <c r="AA709" s="309"/>
      <c r="AB709" s="309"/>
      <c r="AC709" s="309"/>
      <c r="AD709" s="309"/>
      <c r="AE709" s="309"/>
      <c r="AF709" s="309"/>
      <c r="AG709" s="309"/>
      <c r="AH709" s="309"/>
      <c r="AI709" s="309"/>
      <c r="AJ709" s="309"/>
      <c r="AK709" s="309"/>
      <c r="AL709" s="309"/>
      <c r="AM709" s="309"/>
      <c r="AN709" s="309"/>
      <c r="AO709" s="309"/>
      <c r="AP709" s="309"/>
      <c r="AQ709" s="309"/>
      <c r="AR709" s="309"/>
      <c r="AS709" s="309"/>
      <c r="AT709" s="309"/>
      <c r="AU709" s="309"/>
      <c r="AV709" s="309"/>
      <c r="AW709" s="309"/>
      <c r="AX709" s="309"/>
      <c r="AY709" s="309"/>
      <c r="AZ709" s="309"/>
      <c r="BA709" s="310"/>
      <c r="BB709" s="310"/>
      <c r="BC709" s="310"/>
      <c r="BD709" s="310"/>
      <c r="BE709" s="310"/>
      <c r="BF709" s="310"/>
      <c r="BG709" s="310"/>
      <c r="BH709" s="310"/>
      <c r="BI709" s="310"/>
      <c r="BJ709" s="310"/>
      <c r="BK709" s="310"/>
      <c r="BL709" s="310"/>
      <c r="BM709" s="310"/>
      <c r="BN709" s="221"/>
      <c r="BO709" s="221"/>
      <c r="BP709" s="221"/>
      <c r="BQ709" s="221"/>
      <c r="BR709" s="221"/>
    </row>
    <row r="710" ht="15.75" customHeight="1">
      <c r="A710" s="220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309"/>
      <c r="Y710" s="309"/>
      <c r="Z710" s="309"/>
      <c r="AA710" s="309"/>
      <c r="AB710" s="309"/>
      <c r="AC710" s="309"/>
      <c r="AD710" s="309"/>
      <c r="AE710" s="309"/>
      <c r="AF710" s="309"/>
      <c r="AG710" s="309"/>
      <c r="AH710" s="309"/>
      <c r="AI710" s="309"/>
      <c r="AJ710" s="309"/>
      <c r="AK710" s="309"/>
      <c r="AL710" s="309"/>
      <c r="AM710" s="309"/>
      <c r="AN710" s="309"/>
      <c r="AO710" s="309"/>
      <c r="AP710" s="309"/>
      <c r="AQ710" s="309"/>
      <c r="AR710" s="309"/>
      <c r="AS710" s="309"/>
      <c r="AT710" s="309"/>
      <c r="AU710" s="309"/>
      <c r="AV710" s="309"/>
      <c r="AW710" s="309"/>
      <c r="AX710" s="309"/>
      <c r="AY710" s="309"/>
      <c r="AZ710" s="309"/>
      <c r="BA710" s="310"/>
      <c r="BB710" s="310"/>
      <c r="BC710" s="310"/>
      <c r="BD710" s="310"/>
      <c r="BE710" s="310"/>
      <c r="BF710" s="310"/>
      <c r="BG710" s="310"/>
      <c r="BH710" s="310"/>
      <c r="BI710" s="310"/>
      <c r="BJ710" s="310"/>
      <c r="BK710" s="310"/>
      <c r="BL710" s="310"/>
      <c r="BM710" s="310"/>
      <c r="BN710" s="221"/>
      <c r="BO710" s="221"/>
      <c r="BP710" s="221"/>
      <c r="BQ710" s="221"/>
      <c r="BR710" s="221"/>
    </row>
    <row r="711" ht="15.75" customHeight="1">
      <c r="A711" s="220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309"/>
      <c r="Y711" s="309"/>
      <c r="Z711" s="309"/>
      <c r="AA711" s="309"/>
      <c r="AB711" s="309"/>
      <c r="AC711" s="309"/>
      <c r="AD711" s="309"/>
      <c r="AE711" s="309"/>
      <c r="AF711" s="309"/>
      <c r="AG711" s="309"/>
      <c r="AH711" s="309"/>
      <c r="AI711" s="309"/>
      <c r="AJ711" s="309"/>
      <c r="AK711" s="309"/>
      <c r="AL711" s="309"/>
      <c r="AM711" s="309"/>
      <c r="AN711" s="309"/>
      <c r="AO711" s="309"/>
      <c r="AP711" s="309"/>
      <c r="AQ711" s="309"/>
      <c r="AR711" s="309"/>
      <c r="AS711" s="309"/>
      <c r="AT711" s="309"/>
      <c r="AU711" s="309"/>
      <c r="AV711" s="309"/>
      <c r="AW711" s="309"/>
      <c r="AX711" s="309"/>
      <c r="AY711" s="309"/>
      <c r="AZ711" s="309"/>
      <c r="BA711" s="310"/>
      <c r="BB711" s="310"/>
      <c r="BC711" s="310"/>
      <c r="BD711" s="310"/>
      <c r="BE711" s="310"/>
      <c r="BF711" s="310"/>
      <c r="BG711" s="310"/>
      <c r="BH711" s="310"/>
      <c r="BI711" s="310"/>
      <c r="BJ711" s="310"/>
      <c r="BK711" s="310"/>
      <c r="BL711" s="310"/>
      <c r="BM711" s="310"/>
      <c r="BN711" s="221"/>
      <c r="BO711" s="221"/>
      <c r="BP711" s="221"/>
      <c r="BQ711" s="221"/>
      <c r="BR711" s="221"/>
    </row>
    <row r="712" ht="15.75" customHeight="1">
      <c r="A712" s="220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309"/>
      <c r="Y712" s="309"/>
      <c r="Z712" s="309"/>
      <c r="AA712" s="309"/>
      <c r="AB712" s="309"/>
      <c r="AC712" s="309"/>
      <c r="AD712" s="309"/>
      <c r="AE712" s="309"/>
      <c r="AF712" s="309"/>
      <c r="AG712" s="309"/>
      <c r="AH712" s="309"/>
      <c r="AI712" s="309"/>
      <c r="AJ712" s="309"/>
      <c r="AK712" s="309"/>
      <c r="AL712" s="309"/>
      <c r="AM712" s="309"/>
      <c r="AN712" s="309"/>
      <c r="AO712" s="309"/>
      <c r="AP712" s="309"/>
      <c r="AQ712" s="309"/>
      <c r="AR712" s="309"/>
      <c r="AS712" s="309"/>
      <c r="AT712" s="309"/>
      <c r="AU712" s="309"/>
      <c r="AV712" s="309"/>
      <c r="AW712" s="309"/>
      <c r="AX712" s="309"/>
      <c r="AY712" s="309"/>
      <c r="AZ712" s="309"/>
      <c r="BA712" s="310"/>
      <c r="BB712" s="310"/>
      <c r="BC712" s="310"/>
      <c r="BD712" s="310"/>
      <c r="BE712" s="310"/>
      <c r="BF712" s="310"/>
      <c r="BG712" s="310"/>
      <c r="BH712" s="310"/>
      <c r="BI712" s="310"/>
      <c r="BJ712" s="310"/>
      <c r="BK712" s="310"/>
      <c r="BL712" s="310"/>
      <c r="BM712" s="310"/>
      <c r="BN712" s="221"/>
      <c r="BO712" s="221"/>
      <c r="BP712" s="221"/>
      <c r="BQ712" s="221"/>
      <c r="BR712" s="221"/>
    </row>
    <row r="713" ht="15.75" customHeight="1">
      <c r="A713" s="220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309"/>
      <c r="Y713" s="309"/>
      <c r="Z713" s="309"/>
      <c r="AA713" s="309"/>
      <c r="AB713" s="309"/>
      <c r="AC713" s="309"/>
      <c r="AD713" s="309"/>
      <c r="AE713" s="309"/>
      <c r="AF713" s="309"/>
      <c r="AG713" s="309"/>
      <c r="AH713" s="309"/>
      <c r="AI713" s="309"/>
      <c r="AJ713" s="309"/>
      <c r="AK713" s="309"/>
      <c r="AL713" s="309"/>
      <c r="AM713" s="309"/>
      <c r="AN713" s="309"/>
      <c r="AO713" s="309"/>
      <c r="AP713" s="309"/>
      <c r="AQ713" s="309"/>
      <c r="AR713" s="309"/>
      <c r="AS713" s="309"/>
      <c r="AT713" s="309"/>
      <c r="AU713" s="309"/>
      <c r="AV713" s="309"/>
      <c r="AW713" s="309"/>
      <c r="AX713" s="309"/>
      <c r="AY713" s="309"/>
      <c r="AZ713" s="309"/>
      <c r="BA713" s="310"/>
      <c r="BB713" s="310"/>
      <c r="BC713" s="310"/>
      <c r="BD713" s="310"/>
      <c r="BE713" s="310"/>
      <c r="BF713" s="310"/>
      <c r="BG713" s="310"/>
      <c r="BH713" s="310"/>
      <c r="BI713" s="310"/>
      <c r="BJ713" s="310"/>
      <c r="BK713" s="310"/>
      <c r="BL713" s="310"/>
      <c r="BM713" s="310"/>
      <c r="BN713" s="221"/>
      <c r="BO713" s="221"/>
      <c r="BP713" s="221"/>
      <c r="BQ713" s="221"/>
      <c r="BR713" s="221"/>
    </row>
    <row r="714" ht="15.75" customHeight="1">
      <c r="A714" s="220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309"/>
      <c r="Y714" s="309"/>
      <c r="Z714" s="309"/>
      <c r="AA714" s="309"/>
      <c r="AB714" s="309"/>
      <c r="AC714" s="309"/>
      <c r="AD714" s="309"/>
      <c r="AE714" s="309"/>
      <c r="AF714" s="309"/>
      <c r="AG714" s="309"/>
      <c r="AH714" s="309"/>
      <c r="AI714" s="309"/>
      <c r="AJ714" s="309"/>
      <c r="AK714" s="309"/>
      <c r="AL714" s="309"/>
      <c r="AM714" s="309"/>
      <c r="AN714" s="309"/>
      <c r="AO714" s="309"/>
      <c r="AP714" s="309"/>
      <c r="AQ714" s="309"/>
      <c r="AR714" s="309"/>
      <c r="AS714" s="309"/>
      <c r="AT714" s="309"/>
      <c r="AU714" s="309"/>
      <c r="AV714" s="309"/>
      <c r="AW714" s="309"/>
      <c r="AX714" s="309"/>
      <c r="AY714" s="309"/>
      <c r="AZ714" s="309"/>
      <c r="BA714" s="310"/>
      <c r="BB714" s="310"/>
      <c r="BC714" s="310"/>
      <c r="BD714" s="310"/>
      <c r="BE714" s="310"/>
      <c r="BF714" s="310"/>
      <c r="BG714" s="310"/>
      <c r="BH714" s="310"/>
      <c r="BI714" s="310"/>
      <c r="BJ714" s="310"/>
      <c r="BK714" s="310"/>
      <c r="BL714" s="310"/>
      <c r="BM714" s="310"/>
      <c r="BN714" s="221"/>
      <c r="BO714" s="221"/>
      <c r="BP714" s="221"/>
      <c r="BQ714" s="221"/>
      <c r="BR714" s="221"/>
    </row>
    <row r="715" ht="15.75" customHeight="1">
      <c r="A715" s="220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309"/>
      <c r="Y715" s="309"/>
      <c r="Z715" s="309"/>
      <c r="AA715" s="309"/>
      <c r="AB715" s="309"/>
      <c r="AC715" s="309"/>
      <c r="AD715" s="309"/>
      <c r="AE715" s="309"/>
      <c r="AF715" s="309"/>
      <c r="AG715" s="309"/>
      <c r="AH715" s="309"/>
      <c r="AI715" s="309"/>
      <c r="AJ715" s="309"/>
      <c r="AK715" s="309"/>
      <c r="AL715" s="309"/>
      <c r="AM715" s="309"/>
      <c r="AN715" s="309"/>
      <c r="AO715" s="309"/>
      <c r="AP715" s="309"/>
      <c r="AQ715" s="309"/>
      <c r="AR715" s="309"/>
      <c r="AS715" s="309"/>
      <c r="AT715" s="309"/>
      <c r="AU715" s="309"/>
      <c r="AV715" s="309"/>
      <c r="AW715" s="309"/>
      <c r="AX715" s="309"/>
      <c r="AY715" s="309"/>
      <c r="AZ715" s="309"/>
      <c r="BA715" s="310"/>
      <c r="BB715" s="310"/>
      <c r="BC715" s="310"/>
      <c r="BD715" s="310"/>
      <c r="BE715" s="310"/>
      <c r="BF715" s="310"/>
      <c r="BG715" s="310"/>
      <c r="BH715" s="310"/>
      <c r="BI715" s="310"/>
      <c r="BJ715" s="310"/>
      <c r="BK715" s="310"/>
      <c r="BL715" s="310"/>
      <c r="BM715" s="310"/>
      <c r="BN715" s="221"/>
      <c r="BO715" s="221"/>
      <c r="BP715" s="221"/>
      <c r="BQ715" s="221"/>
      <c r="BR715" s="221"/>
    </row>
    <row r="716" ht="15.75" customHeight="1">
      <c r="A716" s="220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309"/>
      <c r="Y716" s="309"/>
      <c r="Z716" s="309"/>
      <c r="AA716" s="309"/>
      <c r="AB716" s="309"/>
      <c r="AC716" s="309"/>
      <c r="AD716" s="309"/>
      <c r="AE716" s="309"/>
      <c r="AF716" s="309"/>
      <c r="AG716" s="309"/>
      <c r="AH716" s="309"/>
      <c r="AI716" s="309"/>
      <c r="AJ716" s="309"/>
      <c r="AK716" s="309"/>
      <c r="AL716" s="309"/>
      <c r="AM716" s="309"/>
      <c r="AN716" s="309"/>
      <c r="AO716" s="309"/>
      <c r="AP716" s="309"/>
      <c r="AQ716" s="309"/>
      <c r="AR716" s="309"/>
      <c r="AS716" s="309"/>
      <c r="AT716" s="309"/>
      <c r="AU716" s="309"/>
      <c r="AV716" s="309"/>
      <c r="AW716" s="309"/>
      <c r="AX716" s="309"/>
      <c r="AY716" s="309"/>
      <c r="AZ716" s="309"/>
      <c r="BA716" s="310"/>
      <c r="BB716" s="310"/>
      <c r="BC716" s="310"/>
      <c r="BD716" s="310"/>
      <c r="BE716" s="310"/>
      <c r="BF716" s="310"/>
      <c r="BG716" s="310"/>
      <c r="BH716" s="310"/>
      <c r="BI716" s="310"/>
      <c r="BJ716" s="310"/>
      <c r="BK716" s="310"/>
      <c r="BL716" s="310"/>
      <c r="BM716" s="310"/>
      <c r="BN716" s="221"/>
      <c r="BO716" s="221"/>
      <c r="BP716" s="221"/>
      <c r="BQ716" s="221"/>
      <c r="BR716" s="221"/>
    </row>
    <row r="717" ht="15.75" customHeight="1">
      <c r="A717" s="220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309"/>
      <c r="Y717" s="309"/>
      <c r="Z717" s="309"/>
      <c r="AA717" s="309"/>
      <c r="AB717" s="309"/>
      <c r="AC717" s="309"/>
      <c r="AD717" s="309"/>
      <c r="AE717" s="309"/>
      <c r="AF717" s="309"/>
      <c r="AG717" s="309"/>
      <c r="AH717" s="309"/>
      <c r="AI717" s="309"/>
      <c r="AJ717" s="309"/>
      <c r="AK717" s="309"/>
      <c r="AL717" s="309"/>
      <c r="AM717" s="309"/>
      <c r="AN717" s="309"/>
      <c r="AO717" s="309"/>
      <c r="AP717" s="309"/>
      <c r="AQ717" s="309"/>
      <c r="AR717" s="309"/>
      <c r="AS717" s="309"/>
      <c r="AT717" s="309"/>
      <c r="AU717" s="309"/>
      <c r="AV717" s="309"/>
      <c r="AW717" s="309"/>
      <c r="AX717" s="309"/>
      <c r="AY717" s="309"/>
      <c r="AZ717" s="309"/>
      <c r="BA717" s="310"/>
      <c r="BB717" s="310"/>
      <c r="BC717" s="310"/>
      <c r="BD717" s="310"/>
      <c r="BE717" s="310"/>
      <c r="BF717" s="310"/>
      <c r="BG717" s="310"/>
      <c r="BH717" s="310"/>
      <c r="BI717" s="310"/>
      <c r="BJ717" s="310"/>
      <c r="BK717" s="310"/>
      <c r="BL717" s="310"/>
      <c r="BM717" s="310"/>
      <c r="BN717" s="221"/>
      <c r="BO717" s="221"/>
      <c r="BP717" s="221"/>
      <c r="BQ717" s="221"/>
      <c r="BR717" s="221"/>
    </row>
    <row r="718" ht="15.75" customHeight="1">
      <c r="A718" s="220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309"/>
      <c r="Y718" s="309"/>
      <c r="Z718" s="309"/>
      <c r="AA718" s="309"/>
      <c r="AB718" s="309"/>
      <c r="AC718" s="309"/>
      <c r="AD718" s="309"/>
      <c r="AE718" s="309"/>
      <c r="AF718" s="309"/>
      <c r="AG718" s="309"/>
      <c r="AH718" s="309"/>
      <c r="AI718" s="309"/>
      <c r="AJ718" s="309"/>
      <c r="AK718" s="309"/>
      <c r="AL718" s="309"/>
      <c r="AM718" s="309"/>
      <c r="AN718" s="309"/>
      <c r="AO718" s="309"/>
      <c r="AP718" s="309"/>
      <c r="AQ718" s="309"/>
      <c r="AR718" s="309"/>
      <c r="AS718" s="309"/>
      <c r="AT718" s="309"/>
      <c r="AU718" s="309"/>
      <c r="AV718" s="309"/>
      <c r="AW718" s="309"/>
      <c r="AX718" s="309"/>
      <c r="AY718" s="309"/>
      <c r="AZ718" s="309"/>
      <c r="BA718" s="310"/>
      <c r="BB718" s="310"/>
      <c r="BC718" s="310"/>
      <c r="BD718" s="310"/>
      <c r="BE718" s="310"/>
      <c r="BF718" s="310"/>
      <c r="BG718" s="310"/>
      <c r="BH718" s="310"/>
      <c r="BI718" s="310"/>
      <c r="BJ718" s="310"/>
      <c r="BK718" s="310"/>
      <c r="BL718" s="310"/>
      <c r="BM718" s="310"/>
      <c r="BN718" s="221"/>
      <c r="BO718" s="221"/>
      <c r="BP718" s="221"/>
      <c r="BQ718" s="221"/>
      <c r="BR718" s="221"/>
    </row>
    <row r="719" ht="15.75" customHeight="1">
      <c r="A719" s="220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309"/>
      <c r="Y719" s="309"/>
      <c r="Z719" s="309"/>
      <c r="AA719" s="309"/>
      <c r="AB719" s="309"/>
      <c r="AC719" s="309"/>
      <c r="AD719" s="309"/>
      <c r="AE719" s="309"/>
      <c r="AF719" s="309"/>
      <c r="AG719" s="309"/>
      <c r="AH719" s="309"/>
      <c r="AI719" s="309"/>
      <c r="AJ719" s="309"/>
      <c r="AK719" s="309"/>
      <c r="AL719" s="309"/>
      <c r="AM719" s="309"/>
      <c r="AN719" s="309"/>
      <c r="AO719" s="309"/>
      <c r="AP719" s="309"/>
      <c r="AQ719" s="309"/>
      <c r="AR719" s="309"/>
      <c r="AS719" s="309"/>
      <c r="AT719" s="309"/>
      <c r="AU719" s="309"/>
      <c r="AV719" s="309"/>
      <c r="AW719" s="309"/>
      <c r="AX719" s="309"/>
      <c r="AY719" s="309"/>
      <c r="AZ719" s="309"/>
      <c r="BA719" s="310"/>
      <c r="BB719" s="310"/>
      <c r="BC719" s="310"/>
      <c r="BD719" s="310"/>
      <c r="BE719" s="310"/>
      <c r="BF719" s="310"/>
      <c r="BG719" s="310"/>
      <c r="BH719" s="310"/>
      <c r="BI719" s="310"/>
      <c r="BJ719" s="310"/>
      <c r="BK719" s="310"/>
      <c r="BL719" s="310"/>
      <c r="BM719" s="310"/>
      <c r="BN719" s="221"/>
      <c r="BO719" s="221"/>
      <c r="BP719" s="221"/>
      <c r="BQ719" s="221"/>
      <c r="BR719" s="221"/>
    </row>
    <row r="720" ht="15.75" customHeight="1">
      <c r="A720" s="220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309"/>
      <c r="Y720" s="309"/>
      <c r="Z720" s="309"/>
      <c r="AA720" s="309"/>
      <c r="AB720" s="309"/>
      <c r="AC720" s="309"/>
      <c r="AD720" s="309"/>
      <c r="AE720" s="309"/>
      <c r="AF720" s="309"/>
      <c r="AG720" s="309"/>
      <c r="AH720" s="309"/>
      <c r="AI720" s="309"/>
      <c r="AJ720" s="309"/>
      <c r="AK720" s="309"/>
      <c r="AL720" s="309"/>
      <c r="AM720" s="309"/>
      <c r="AN720" s="309"/>
      <c r="AO720" s="309"/>
      <c r="AP720" s="309"/>
      <c r="AQ720" s="309"/>
      <c r="AR720" s="309"/>
      <c r="AS720" s="309"/>
      <c r="AT720" s="309"/>
      <c r="AU720" s="309"/>
      <c r="AV720" s="309"/>
      <c r="AW720" s="309"/>
      <c r="AX720" s="309"/>
      <c r="AY720" s="309"/>
      <c r="AZ720" s="309"/>
      <c r="BA720" s="310"/>
      <c r="BB720" s="310"/>
      <c r="BC720" s="310"/>
      <c r="BD720" s="310"/>
      <c r="BE720" s="310"/>
      <c r="BF720" s="310"/>
      <c r="BG720" s="310"/>
      <c r="BH720" s="310"/>
      <c r="BI720" s="310"/>
      <c r="BJ720" s="310"/>
      <c r="BK720" s="310"/>
      <c r="BL720" s="310"/>
      <c r="BM720" s="310"/>
      <c r="BN720" s="221"/>
      <c r="BO720" s="221"/>
      <c r="BP720" s="221"/>
      <c r="BQ720" s="221"/>
      <c r="BR720" s="221"/>
    </row>
    <row r="721" ht="15.75" customHeight="1">
      <c r="A721" s="220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309"/>
      <c r="Y721" s="309"/>
      <c r="Z721" s="309"/>
      <c r="AA721" s="309"/>
      <c r="AB721" s="309"/>
      <c r="AC721" s="309"/>
      <c r="AD721" s="309"/>
      <c r="AE721" s="309"/>
      <c r="AF721" s="309"/>
      <c r="AG721" s="309"/>
      <c r="AH721" s="309"/>
      <c r="AI721" s="309"/>
      <c r="AJ721" s="309"/>
      <c r="AK721" s="309"/>
      <c r="AL721" s="309"/>
      <c r="AM721" s="309"/>
      <c r="AN721" s="309"/>
      <c r="AO721" s="309"/>
      <c r="AP721" s="309"/>
      <c r="AQ721" s="309"/>
      <c r="AR721" s="309"/>
      <c r="AS721" s="309"/>
      <c r="AT721" s="309"/>
      <c r="AU721" s="309"/>
      <c r="AV721" s="309"/>
      <c r="AW721" s="309"/>
      <c r="AX721" s="309"/>
      <c r="AY721" s="309"/>
      <c r="AZ721" s="309"/>
      <c r="BA721" s="310"/>
      <c r="BB721" s="310"/>
      <c r="BC721" s="310"/>
      <c r="BD721" s="310"/>
      <c r="BE721" s="310"/>
      <c r="BF721" s="310"/>
      <c r="BG721" s="310"/>
      <c r="BH721" s="310"/>
      <c r="BI721" s="310"/>
      <c r="BJ721" s="310"/>
      <c r="BK721" s="310"/>
      <c r="BL721" s="310"/>
      <c r="BM721" s="310"/>
      <c r="BN721" s="221"/>
      <c r="BO721" s="221"/>
      <c r="BP721" s="221"/>
      <c r="BQ721" s="221"/>
      <c r="BR721" s="221"/>
    </row>
    <row r="722" ht="15.75" customHeight="1">
      <c r="A722" s="220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309"/>
      <c r="Y722" s="309"/>
      <c r="Z722" s="309"/>
      <c r="AA722" s="309"/>
      <c r="AB722" s="309"/>
      <c r="AC722" s="309"/>
      <c r="AD722" s="309"/>
      <c r="AE722" s="309"/>
      <c r="AF722" s="309"/>
      <c r="AG722" s="309"/>
      <c r="AH722" s="309"/>
      <c r="AI722" s="309"/>
      <c r="AJ722" s="309"/>
      <c r="AK722" s="309"/>
      <c r="AL722" s="309"/>
      <c r="AM722" s="309"/>
      <c r="AN722" s="309"/>
      <c r="AO722" s="309"/>
      <c r="AP722" s="309"/>
      <c r="AQ722" s="309"/>
      <c r="AR722" s="309"/>
      <c r="AS722" s="309"/>
      <c r="AT722" s="309"/>
      <c r="AU722" s="309"/>
      <c r="AV722" s="309"/>
      <c r="AW722" s="309"/>
      <c r="AX722" s="309"/>
      <c r="AY722" s="309"/>
      <c r="AZ722" s="309"/>
      <c r="BA722" s="310"/>
      <c r="BB722" s="310"/>
      <c r="BC722" s="310"/>
      <c r="BD722" s="310"/>
      <c r="BE722" s="310"/>
      <c r="BF722" s="310"/>
      <c r="BG722" s="310"/>
      <c r="BH722" s="310"/>
      <c r="BI722" s="310"/>
      <c r="BJ722" s="310"/>
      <c r="BK722" s="310"/>
      <c r="BL722" s="310"/>
      <c r="BM722" s="310"/>
      <c r="BN722" s="221"/>
      <c r="BO722" s="221"/>
      <c r="BP722" s="221"/>
      <c r="BQ722" s="221"/>
      <c r="BR722" s="221"/>
    </row>
    <row r="723" ht="15.75" customHeight="1">
      <c r="A723" s="220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309"/>
      <c r="Y723" s="309"/>
      <c r="Z723" s="309"/>
      <c r="AA723" s="309"/>
      <c r="AB723" s="309"/>
      <c r="AC723" s="309"/>
      <c r="AD723" s="309"/>
      <c r="AE723" s="309"/>
      <c r="AF723" s="309"/>
      <c r="AG723" s="309"/>
      <c r="AH723" s="309"/>
      <c r="AI723" s="309"/>
      <c r="AJ723" s="309"/>
      <c r="AK723" s="309"/>
      <c r="AL723" s="309"/>
      <c r="AM723" s="309"/>
      <c r="AN723" s="309"/>
      <c r="AO723" s="309"/>
      <c r="AP723" s="309"/>
      <c r="AQ723" s="309"/>
      <c r="AR723" s="309"/>
      <c r="AS723" s="309"/>
      <c r="AT723" s="309"/>
      <c r="AU723" s="309"/>
      <c r="AV723" s="309"/>
      <c r="AW723" s="309"/>
      <c r="AX723" s="309"/>
      <c r="AY723" s="309"/>
      <c r="AZ723" s="309"/>
      <c r="BA723" s="310"/>
      <c r="BB723" s="310"/>
      <c r="BC723" s="310"/>
      <c r="BD723" s="310"/>
      <c r="BE723" s="310"/>
      <c r="BF723" s="310"/>
      <c r="BG723" s="310"/>
      <c r="BH723" s="310"/>
      <c r="BI723" s="310"/>
      <c r="BJ723" s="310"/>
      <c r="BK723" s="310"/>
      <c r="BL723" s="310"/>
      <c r="BM723" s="310"/>
      <c r="BN723" s="221"/>
      <c r="BO723" s="221"/>
      <c r="BP723" s="221"/>
      <c r="BQ723" s="221"/>
      <c r="BR723" s="221"/>
    </row>
    <row r="724" ht="15.75" customHeight="1">
      <c r="A724" s="220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309"/>
      <c r="Y724" s="309"/>
      <c r="Z724" s="309"/>
      <c r="AA724" s="309"/>
      <c r="AB724" s="309"/>
      <c r="AC724" s="309"/>
      <c r="AD724" s="309"/>
      <c r="AE724" s="309"/>
      <c r="AF724" s="309"/>
      <c r="AG724" s="309"/>
      <c r="AH724" s="309"/>
      <c r="AI724" s="309"/>
      <c r="AJ724" s="309"/>
      <c r="AK724" s="309"/>
      <c r="AL724" s="309"/>
      <c r="AM724" s="309"/>
      <c r="AN724" s="309"/>
      <c r="AO724" s="309"/>
      <c r="AP724" s="309"/>
      <c r="AQ724" s="309"/>
      <c r="AR724" s="309"/>
      <c r="AS724" s="309"/>
      <c r="AT724" s="309"/>
      <c r="AU724" s="309"/>
      <c r="AV724" s="309"/>
      <c r="AW724" s="309"/>
      <c r="AX724" s="309"/>
      <c r="AY724" s="309"/>
      <c r="AZ724" s="309"/>
      <c r="BA724" s="310"/>
      <c r="BB724" s="310"/>
      <c r="BC724" s="310"/>
      <c r="BD724" s="310"/>
      <c r="BE724" s="310"/>
      <c r="BF724" s="310"/>
      <c r="BG724" s="310"/>
      <c r="BH724" s="310"/>
      <c r="BI724" s="310"/>
      <c r="BJ724" s="310"/>
      <c r="BK724" s="310"/>
      <c r="BL724" s="310"/>
      <c r="BM724" s="310"/>
      <c r="BN724" s="221"/>
      <c r="BO724" s="221"/>
      <c r="BP724" s="221"/>
      <c r="BQ724" s="221"/>
      <c r="BR724" s="221"/>
    </row>
    <row r="725" ht="15.75" customHeight="1">
      <c r="A725" s="220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309"/>
      <c r="Y725" s="309"/>
      <c r="Z725" s="309"/>
      <c r="AA725" s="309"/>
      <c r="AB725" s="309"/>
      <c r="AC725" s="309"/>
      <c r="AD725" s="309"/>
      <c r="AE725" s="309"/>
      <c r="AF725" s="309"/>
      <c r="AG725" s="309"/>
      <c r="AH725" s="309"/>
      <c r="AI725" s="309"/>
      <c r="AJ725" s="309"/>
      <c r="AK725" s="309"/>
      <c r="AL725" s="309"/>
      <c r="AM725" s="309"/>
      <c r="AN725" s="309"/>
      <c r="AO725" s="309"/>
      <c r="AP725" s="309"/>
      <c r="AQ725" s="309"/>
      <c r="AR725" s="309"/>
      <c r="AS725" s="309"/>
      <c r="AT725" s="309"/>
      <c r="AU725" s="309"/>
      <c r="AV725" s="309"/>
      <c r="AW725" s="309"/>
      <c r="AX725" s="309"/>
      <c r="AY725" s="309"/>
      <c r="AZ725" s="309"/>
      <c r="BA725" s="310"/>
      <c r="BB725" s="310"/>
      <c r="BC725" s="310"/>
      <c r="BD725" s="310"/>
      <c r="BE725" s="310"/>
      <c r="BF725" s="310"/>
      <c r="BG725" s="310"/>
      <c r="BH725" s="310"/>
      <c r="BI725" s="310"/>
      <c r="BJ725" s="310"/>
      <c r="BK725" s="310"/>
      <c r="BL725" s="310"/>
      <c r="BM725" s="310"/>
      <c r="BN725" s="221"/>
      <c r="BO725" s="221"/>
      <c r="BP725" s="221"/>
      <c r="BQ725" s="221"/>
      <c r="BR725" s="221"/>
    </row>
    <row r="726" ht="15.75" customHeight="1">
      <c r="A726" s="220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309"/>
      <c r="Y726" s="309"/>
      <c r="Z726" s="309"/>
      <c r="AA726" s="309"/>
      <c r="AB726" s="309"/>
      <c r="AC726" s="309"/>
      <c r="AD726" s="309"/>
      <c r="AE726" s="309"/>
      <c r="AF726" s="309"/>
      <c r="AG726" s="309"/>
      <c r="AH726" s="309"/>
      <c r="AI726" s="309"/>
      <c r="AJ726" s="309"/>
      <c r="AK726" s="309"/>
      <c r="AL726" s="309"/>
      <c r="AM726" s="309"/>
      <c r="AN726" s="309"/>
      <c r="AO726" s="309"/>
      <c r="AP726" s="309"/>
      <c r="AQ726" s="309"/>
      <c r="AR726" s="309"/>
      <c r="AS726" s="309"/>
      <c r="AT726" s="309"/>
      <c r="AU726" s="309"/>
      <c r="AV726" s="309"/>
      <c r="AW726" s="309"/>
      <c r="AX726" s="309"/>
      <c r="AY726" s="309"/>
      <c r="AZ726" s="309"/>
      <c r="BA726" s="310"/>
      <c r="BB726" s="310"/>
      <c r="BC726" s="310"/>
      <c r="BD726" s="310"/>
      <c r="BE726" s="310"/>
      <c r="BF726" s="310"/>
      <c r="BG726" s="310"/>
      <c r="BH726" s="310"/>
      <c r="BI726" s="310"/>
      <c r="BJ726" s="310"/>
      <c r="BK726" s="310"/>
      <c r="BL726" s="310"/>
      <c r="BM726" s="310"/>
      <c r="BN726" s="221"/>
      <c r="BO726" s="221"/>
      <c r="BP726" s="221"/>
      <c r="BQ726" s="221"/>
      <c r="BR726" s="221"/>
    </row>
    <row r="727" ht="15.75" customHeight="1">
      <c r="A727" s="220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309"/>
      <c r="Y727" s="309"/>
      <c r="Z727" s="309"/>
      <c r="AA727" s="309"/>
      <c r="AB727" s="309"/>
      <c r="AC727" s="309"/>
      <c r="AD727" s="309"/>
      <c r="AE727" s="309"/>
      <c r="AF727" s="309"/>
      <c r="AG727" s="309"/>
      <c r="AH727" s="309"/>
      <c r="AI727" s="309"/>
      <c r="AJ727" s="309"/>
      <c r="AK727" s="309"/>
      <c r="AL727" s="309"/>
      <c r="AM727" s="309"/>
      <c r="AN727" s="309"/>
      <c r="AO727" s="309"/>
      <c r="AP727" s="309"/>
      <c r="AQ727" s="309"/>
      <c r="AR727" s="309"/>
      <c r="AS727" s="309"/>
      <c r="AT727" s="309"/>
      <c r="AU727" s="309"/>
      <c r="AV727" s="309"/>
      <c r="AW727" s="309"/>
      <c r="AX727" s="309"/>
      <c r="AY727" s="309"/>
      <c r="AZ727" s="309"/>
      <c r="BA727" s="310"/>
      <c r="BB727" s="310"/>
      <c r="BC727" s="310"/>
      <c r="BD727" s="310"/>
      <c r="BE727" s="310"/>
      <c r="BF727" s="310"/>
      <c r="BG727" s="310"/>
      <c r="BH727" s="310"/>
      <c r="BI727" s="310"/>
      <c r="BJ727" s="310"/>
      <c r="BK727" s="310"/>
      <c r="BL727" s="310"/>
      <c r="BM727" s="310"/>
      <c r="BN727" s="221"/>
      <c r="BO727" s="221"/>
      <c r="BP727" s="221"/>
      <c r="BQ727" s="221"/>
      <c r="BR727" s="221"/>
    </row>
    <row r="728" ht="15.75" customHeight="1">
      <c r="A728" s="220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309"/>
      <c r="Y728" s="309"/>
      <c r="Z728" s="309"/>
      <c r="AA728" s="309"/>
      <c r="AB728" s="309"/>
      <c r="AC728" s="309"/>
      <c r="AD728" s="309"/>
      <c r="AE728" s="309"/>
      <c r="AF728" s="309"/>
      <c r="AG728" s="309"/>
      <c r="AH728" s="309"/>
      <c r="AI728" s="309"/>
      <c r="AJ728" s="309"/>
      <c r="AK728" s="309"/>
      <c r="AL728" s="309"/>
      <c r="AM728" s="309"/>
      <c r="AN728" s="309"/>
      <c r="AO728" s="309"/>
      <c r="AP728" s="309"/>
      <c r="AQ728" s="309"/>
      <c r="AR728" s="309"/>
      <c r="AS728" s="309"/>
      <c r="AT728" s="309"/>
      <c r="AU728" s="309"/>
      <c r="AV728" s="309"/>
      <c r="AW728" s="309"/>
      <c r="AX728" s="309"/>
      <c r="AY728" s="309"/>
      <c r="AZ728" s="309"/>
      <c r="BA728" s="310"/>
      <c r="BB728" s="310"/>
      <c r="BC728" s="310"/>
      <c r="BD728" s="310"/>
      <c r="BE728" s="310"/>
      <c r="BF728" s="310"/>
      <c r="BG728" s="310"/>
      <c r="BH728" s="310"/>
      <c r="BI728" s="310"/>
      <c r="BJ728" s="310"/>
      <c r="BK728" s="310"/>
      <c r="BL728" s="310"/>
      <c r="BM728" s="310"/>
      <c r="BN728" s="221"/>
      <c r="BO728" s="221"/>
      <c r="BP728" s="221"/>
      <c r="BQ728" s="221"/>
      <c r="BR728" s="221"/>
    </row>
    <row r="729" ht="15.75" customHeight="1">
      <c r="A729" s="220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309"/>
      <c r="Y729" s="309"/>
      <c r="Z729" s="309"/>
      <c r="AA729" s="309"/>
      <c r="AB729" s="309"/>
      <c r="AC729" s="309"/>
      <c r="AD729" s="309"/>
      <c r="AE729" s="309"/>
      <c r="AF729" s="309"/>
      <c r="AG729" s="309"/>
      <c r="AH729" s="309"/>
      <c r="AI729" s="309"/>
      <c r="AJ729" s="309"/>
      <c r="AK729" s="309"/>
      <c r="AL729" s="309"/>
      <c r="AM729" s="309"/>
      <c r="AN729" s="309"/>
      <c r="AO729" s="309"/>
      <c r="AP729" s="309"/>
      <c r="AQ729" s="309"/>
      <c r="AR729" s="309"/>
      <c r="AS729" s="309"/>
      <c r="AT729" s="309"/>
      <c r="AU729" s="309"/>
      <c r="AV729" s="309"/>
      <c r="AW729" s="309"/>
      <c r="AX729" s="309"/>
      <c r="AY729" s="309"/>
      <c r="AZ729" s="309"/>
      <c r="BA729" s="310"/>
      <c r="BB729" s="310"/>
      <c r="BC729" s="310"/>
      <c r="BD729" s="310"/>
      <c r="BE729" s="310"/>
      <c r="BF729" s="310"/>
      <c r="BG729" s="310"/>
      <c r="BH729" s="310"/>
      <c r="BI729" s="310"/>
      <c r="BJ729" s="310"/>
      <c r="BK729" s="310"/>
      <c r="BL729" s="310"/>
      <c r="BM729" s="310"/>
      <c r="BN729" s="221"/>
      <c r="BO729" s="221"/>
      <c r="BP729" s="221"/>
      <c r="BQ729" s="221"/>
      <c r="BR729" s="221"/>
    </row>
    <row r="730" ht="15.75" customHeight="1">
      <c r="A730" s="220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309"/>
      <c r="Y730" s="309"/>
      <c r="Z730" s="309"/>
      <c r="AA730" s="309"/>
      <c r="AB730" s="309"/>
      <c r="AC730" s="309"/>
      <c r="AD730" s="309"/>
      <c r="AE730" s="309"/>
      <c r="AF730" s="309"/>
      <c r="AG730" s="309"/>
      <c r="AH730" s="309"/>
      <c r="AI730" s="309"/>
      <c r="AJ730" s="309"/>
      <c r="AK730" s="309"/>
      <c r="AL730" s="309"/>
      <c r="AM730" s="309"/>
      <c r="AN730" s="309"/>
      <c r="AO730" s="309"/>
      <c r="AP730" s="309"/>
      <c r="AQ730" s="309"/>
      <c r="AR730" s="309"/>
      <c r="AS730" s="309"/>
      <c r="AT730" s="309"/>
      <c r="AU730" s="309"/>
      <c r="AV730" s="309"/>
      <c r="AW730" s="309"/>
      <c r="AX730" s="309"/>
      <c r="AY730" s="309"/>
      <c r="AZ730" s="309"/>
      <c r="BA730" s="310"/>
      <c r="BB730" s="310"/>
      <c r="BC730" s="310"/>
      <c r="BD730" s="310"/>
      <c r="BE730" s="310"/>
      <c r="BF730" s="310"/>
      <c r="BG730" s="310"/>
      <c r="BH730" s="310"/>
      <c r="BI730" s="310"/>
      <c r="BJ730" s="310"/>
      <c r="BK730" s="310"/>
      <c r="BL730" s="310"/>
      <c r="BM730" s="310"/>
      <c r="BN730" s="221"/>
      <c r="BO730" s="221"/>
      <c r="BP730" s="221"/>
      <c r="BQ730" s="221"/>
      <c r="BR730" s="221"/>
    </row>
    <row r="731" ht="15.75" customHeight="1">
      <c r="A731" s="220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309"/>
      <c r="Y731" s="309"/>
      <c r="Z731" s="309"/>
      <c r="AA731" s="309"/>
      <c r="AB731" s="309"/>
      <c r="AC731" s="309"/>
      <c r="AD731" s="309"/>
      <c r="AE731" s="309"/>
      <c r="AF731" s="309"/>
      <c r="AG731" s="309"/>
      <c r="AH731" s="309"/>
      <c r="AI731" s="309"/>
      <c r="AJ731" s="309"/>
      <c r="AK731" s="309"/>
      <c r="AL731" s="309"/>
      <c r="AM731" s="309"/>
      <c r="AN731" s="309"/>
      <c r="AO731" s="309"/>
      <c r="AP731" s="309"/>
      <c r="AQ731" s="309"/>
      <c r="AR731" s="309"/>
      <c r="AS731" s="309"/>
      <c r="AT731" s="309"/>
      <c r="AU731" s="309"/>
      <c r="AV731" s="309"/>
      <c r="AW731" s="309"/>
      <c r="AX731" s="309"/>
      <c r="AY731" s="309"/>
      <c r="AZ731" s="309"/>
      <c r="BA731" s="310"/>
      <c r="BB731" s="310"/>
      <c r="BC731" s="310"/>
      <c r="BD731" s="310"/>
      <c r="BE731" s="310"/>
      <c r="BF731" s="310"/>
      <c r="BG731" s="310"/>
      <c r="BH731" s="310"/>
      <c r="BI731" s="310"/>
      <c r="BJ731" s="310"/>
      <c r="BK731" s="310"/>
      <c r="BL731" s="310"/>
      <c r="BM731" s="310"/>
      <c r="BN731" s="221"/>
      <c r="BO731" s="221"/>
      <c r="BP731" s="221"/>
      <c r="BQ731" s="221"/>
      <c r="BR731" s="221"/>
    </row>
    <row r="732" ht="15.75" customHeight="1">
      <c r="A732" s="220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309"/>
      <c r="Y732" s="309"/>
      <c r="Z732" s="309"/>
      <c r="AA732" s="309"/>
      <c r="AB732" s="309"/>
      <c r="AC732" s="309"/>
      <c r="AD732" s="309"/>
      <c r="AE732" s="309"/>
      <c r="AF732" s="309"/>
      <c r="AG732" s="309"/>
      <c r="AH732" s="309"/>
      <c r="AI732" s="309"/>
      <c r="AJ732" s="309"/>
      <c r="AK732" s="309"/>
      <c r="AL732" s="309"/>
      <c r="AM732" s="309"/>
      <c r="AN732" s="309"/>
      <c r="AO732" s="309"/>
      <c r="AP732" s="309"/>
      <c r="AQ732" s="309"/>
      <c r="AR732" s="309"/>
      <c r="AS732" s="309"/>
      <c r="AT732" s="309"/>
      <c r="AU732" s="309"/>
      <c r="AV732" s="309"/>
      <c r="AW732" s="309"/>
      <c r="AX732" s="309"/>
      <c r="AY732" s="309"/>
      <c r="AZ732" s="309"/>
      <c r="BA732" s="310"/>
      <c r="BB732" s="310"/>
      <c r="BC732" s="310"/>
      <c r="BD732" s="310"/>
      <c r="BE732" s="310"/>
      <c r="BF732" s="310"/>
      <c r="BG732" s="310"/>
      <c r="BH732" s="310"/>
      <c r="BI732" s="310"/>
      <c r="BJ732" s="310"/>
      <c r="BK732" s="310"/>
      <c r="BL732" s="310"/>
      <c r="BM732" s="310"/>
      <c r="BN732" s="221"/>
      <c r="BO732" s="221"/>
      <c r="BP732" s="221"/>
      <c r="BQ732" s="221"/>
      <c r="BR732" s="221"/>
    </row>
    <row r="733" ht="15.75" customHeight="1">
      <c r="A733" s="220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309"/>
      <c r="Y733" s="309"/>
      <c r="Z733" s="309"/>
      <c r="AA733" s="309"/>
      <c r="AB733" s="309"/>
      <c r="AC733" s="309"/>
      <c r="AD733" s="309"/>
      <c r="AE733" s="309"/>
      <c r="AF733" s="309"/>
      <c r="AG733" s="309"/>
      <c r="AH733" s="309"/>
      <c r="AI733" s="309"/>
      <c r="AJ733" s="309"/>
      <c r="AK733" s="309"/>
      <c r="AL733" s="309"/>
      <c r="AM733" s="309"/>
      <c r="AN733" s="309"/>
      <c r="AO733" s="309"/>
      <c r="AP733" s="309"/>
      <c r="AQ733" s="309"/>
      <c r="AR733" s="309"/>
      <c r="AS733" s="309"/>
      <c r="AT733" s="309"/>
      <c r="AU733" s="309"/>
      <c r="AV733" s="309"/>
      <c r="AW733" s="309"/>
      <c r="AX733" s="309"/>
      <c r="AY733" s="309"/>
      <c r="AZ733" s="309"/>
      <c r="BA733" s="310"/>
      <c r="BB733" s="310"/>
      <c r="BC733" s="310"/>
      <c r="BD733" s="310"/>
      <c r="BE733" s="310"/>
      <c r="BF733" s="310"/>
      <c r="BG733" s="310"/>
      <c r="BH733" s="310"/>
      <c r="BI733" s="310"/>
      <c r="BJ733" s="310"/>
      <c r="BK733" s="310"/>
      <c r="BL733" s="310"/>
      <c r="BM733" s="310"/>
      <c r="BN733" s="221"/>
      <c r="BO733" s="221"/>
      <c r="BP733" s="221"/>
      <c r="BQ733" s="221"/>
      <c r="BR733" s="221"/>
    </row>
    <row r="734" ht="15.75" customHeight="1">
      <c r="A734" s="220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309"/>
      <c r="Y734" s="309"/>
      <c r="Z734" s="309"/>
      <c r="AA734" s="309"/>
      <c r="AB734" s="309"/>
      <c r="AC734" s="309"/>
      <c r="AD734" s="309"/>
      <c r="AE734" s="309"/>
      <c r="AF734" s="309"/>
      <c r="AG734" s="309"/>
      <c r="AH734" s="309"/>
      <c r="AI734" s="309"/>
      <c r="AJ734" s="309"/>
      <c r="AK734" s="309"/>
      <c r="AL734" s="309"/>
      <c r="AM734" s="309"/>
      <c r="AN734" s="309"/>
      <c r="AO734" s="309"/>
      <c r="AP734" s="309"/>
      <c r="AQ734" s="309"/>
      <c r="AR734" s="309"/>
      <c r="AS734" s="309"/>
      <c r="AT734" s="309"/>
      <c r="AU734" s="309"/>
      <c r="AV734" s="309"/>
      <c r="AW734" s="309"/>
      <c r="AX734" s="309"/>
      <c r="AY734" s="309"/>
      <c r="AZ734" s="309"/>
      <c r="BA734" s="310"/>
      <c r="BB734" s="310"/>
      <c r="BC734" s="310"/>
      <c r="BD734" s="310"/>
      <c r="BE734" s="310"/>
      <c r="BF734" s="310"/>
      <c r="BG734" s="310"/>
      <c r="BH734" s="310"/>
      <c r="BI734" s="310"/>
      <c r="BJ734" s="310"/>
      <c r="BK734" s="310"/>
      <c r="BL734" s="310"/>
      <c r="BM734" s="310"/>
      <c r="BN734" s="221"/>
      <c r="BO734" s="221"/>
      <c r="BP734" s="221"/>
      <c r="BQ734" s="221"/>
      <c r="BR734" s="221"/>
    </row>
    <row r="735" ht="15.75" customHeight="1">
      <c r="A735" s="220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309"/>
      <c r="Y735" s="309"/>
      <c r="Z735" s="309"/>
      <c r="AA735" s="309"/>
      <c r="AB735" s="309"/>
      <c r="AC735" s="309"/>
      <c r="AD735" s="309"/>
      <c r="AE735" s="309"/>
      <c r="AF735" s="309"/>
      <c r="AG735" s="309"/>
      <c r="AH735" s="309"/>
      <c r="AI735" s="309"/>
      <c r="AJ735" s="309"/>
      <c r="AK735" s="309"/>
      <c r="AL735" s="309"/>
      <c r="AM735" s="309"/>
      <c r="AN735" s="309"/>
      <c r="AO735" s="309"/>
      <c r="AP735" s="309"/>
      <c r="AQ735" s="309"/>
      <c r="AR735" s="309"/>
      <c r="AS735" s="309"/>
      <c r="AT735" s="309"/>
      <c r="AU735" s="309"/>
      <c r="AV735" s="309"/>
      <c r="AW735" s="309"/>
      <c r="AX735" s="309"/>
      <c r="AY735" s="309"/>
      <c r="AZ735" s="309"/>
      <c r="BA735" s="310"/>
      <c r="BB735" s="310"/>
      <c r="BC735" s="310"/>
      <c r="BD735" s="310"/>
      <c r="BE735" s="310"/>
      <c r="BF735" s="310"/>
      <c r="BG735" s="310"/>
      <c r="BH735" s="310"/>
      <c r="BI735" s="310"/>
      <c r="BJ735" s="310"/>
      <c r="BK735" s="310"/>
      <c r="BL735" s="310"/>
      <c r="BM735" s="310"/>
      <c r="BN735" s="221"/>
      <c r="BO735" s="221"/>
      <c r="BP735" s="221"/>
      <c r="BQ735" s="221"/>
      <c r="BR735" s="221"/>
    </row>
    <row r="736" ht="15.75" customHeight="1">
      <c r="A736" s="220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309"/>
      <c r="Y736" s="309"/>
      <c r="Z736" s="309"/>
      <c r="AA736" s="309"/>
      <c r="AB736" s="309"/>
      <c r="AC736" s="309"/>
      <c r="AD736" s="309"/>
      <c r="AE736" s="309"/>
      <c r="AF736" s="309"/>
      <c r="AG736" s="309"/>
      <c r="AH736" s="309"/>
      <c r="AI736" s="309"/>
      <c r="AJ736" s="309"/>
      <c r="AK736" s="309"/>
      <c r="AL736" s="309"/>
      <c r="AM736" s="309"/>
      <c r="AN736" s="309"/>
      <c r="AO736" s="309"/>
      <c r="AP736" s="309"/>
      <c r="AQ736" s="309"/>
      <c r="AR736" s="309"/>
      <c r="AS736" s="309"/>
      <c r="AT736" s="309"/>
      <c r="AU736" s="309"/>
      <c r="AV736" s="309"/>
      <c r="AW736" s="309"/>
      <c r="AX736" s="309"/>
      <c r="AY736" s="309"/>
      <c r="AZ736" s="309"/>
      <c r="BA736" s="310"/>
      <c r="BB736" s="310"/>
      <c r="BC736" s="310"/>
      <c r="BD736" s="310"/>
      <c r="BE736" s="310"/>
      <c r="BF736" s="310"/>
      <c r="BG736" s="310"/>
      <c r="BH736" s="310"/>
      <c r="BI736" s="310"/>
      <c r="BJ736" s="310"/>
      <c r="BK736" s="310"/>
      <c r="BL736" s="310"/>
      <c r="BM736" s="310"/>
      <c r="BN736" s="221"/>
      <c r="BO736" s="221"/>
      <c r="BP736" s="221"/>
      <c r="BQ736" s="221"/>
      <c r="BR736" s="221"/>
    </row>
    <row r="737" ht="15.75" customHeight="1">
      <c r="A737" s="220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309"/>
      <c r="Y737" s="309"/>
      <c r="Z737" s="309"/>
      <c r="AA737" s="309"/>
      <c r="AB737" s="309"/>
      <c r="AC737" s="309"/>
      <c r="AD737" s="309"/>
      <c r="AE737" s="309"/>
      <c r="AF737" s="309"/>
      <c r="AG737" s="309"/>
      <c r="AH737" s="309"/>
      <c r="AI737" s="309"/>
      <c r="AJ737" s="309"/>
      <c r="AK737" s="309"/>
      <c r="AL737" s="309"/>
      <c r="AM737" s="309"/>
      <c r="AN737" s="309"/>
      <c r="AO737" s="309"/>
      <c r="AP737" s="309"/>
      <c r="AQ737" s="309"/>
      <c r="AR737" s="309"/>
      <c r="AS737" s="309"/>
      <c r="AT737" s="309"/>
      <c r="AU737" s="309"/>
      <c r="AV737" s="309"/>
      <c r="AW737" s="309"/>
      <c r="AX737" s="309"/>
      <c r="AY737" s="309"/>
      <c r="AZ737" s="309"/>
      <c r="BA737" s="310"/>
      <c r="BB737" s="310"/>
      <c r="BC737" s="310"/>
      <c r="BD737" s="310"/>
      <c r="BE737" s="310"/>
      <c r="BF737" s="310"/>
      <c r="BG737" s="310"/>
      <c r="BH737" s="310"/>
      <c r="BI737" s="310"/>
      <c r="BJ737" s="310"/>
      <c r="BK737" s="310"/>
      <c r="BL737" s="310"/>
      <c r="BM737" s="310"/>
      <c r="BN737" s="221"/>
      <c r="BO737" s="221"/>
      <c r="BP737" s="221"/>
      <c r="BQ737" s="221"/>
      <c r="BR737" s="221"/>
    </row>
    <row r="738" ht="15.75" customHeight="1">
      <c r="A738" s="220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309"/>
      <c r="Y738" s="309"/>
      <c r="Z738" s="309"/>
      <c r="AA738" s="309"/>
      <c r="AB738" s="309"/>
      <c r="AC738" s="309"/>
      <c r="AD738" s="309"/>
      <c r="AE738" s="309"/>
      <c r="AF738" s="309"/>
      <c r="AG738" s="309"/>
      <c r="AH738" s="309"/>
      <c r="AI738" s="309"/>
      <c r="AJ738" s="309"/>
      <c r="AK738" s="309"/>
      <c r="AL738" s="309"/>
      <c r="AM738" s="309"/>
      <c r="AN738" s="309"/>
      <c r="AO738" s="309"/>
      <c r="AP738" s="309"/>
      <c r="AQ738" s="309"/>
      <c r="AR738" s="309"/>
      <c r="AS738" s="309"/>
      <c r="AT738" s="309"/>
      <c r="AU738" s="309"/>
      <c r="AV738" s="309"/>
      <c r="AW738" s="309"/>
      <c r="AX738" s="309"/>
      <c r="AY738" s="309"/>
      <c r="AZ738" s="309"/>
      <c r="BA738" s="310"/>
      <c r="BB738" s="310"/>
      <c r="BC738" s="310"/>
      <c r="BD738" s="310"/>
      <c r="BE738" s="310"/>
      <c r="BF738" s="310"/>
      <c r="BG738" s="310"/>
      <c r="BH738" s="310"/>
      <c r="BI738" s="310"/>
      <c r="BJ738" s="310"/>
      <c r="BK738" s="310"/>
      <c r="BL738" s="310"/>
      <c r="BM738" s="310"/>
      <c r="BN738" s="221"/>
      <c r="BO738" s="221"/>
      <c r="BP738" s="221"/>
      <c r="BQ738" s="221"/>
      <c r="BR738" s="221"/>
    </row>
    <row r="739" ht="15.75" customHeight="1">
      <c r="A739" s="220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309"/>
      <c r="Y739" s="309"/>
      <c r="Z739" s="309"/>
      <c r="AA739" s="309"/>
      <c r="AB739" s="309"/>
      <c r="AC739" s="309"/>
      <c r="AD739" s="309"/>
      <c r="AE739" s="309"/>
      <c r="AF739" s="309"/>
      <c r="AG739" s="309"/>
      <c r="AH739" s="309"/>
      <c r="AI739" s="309"/>
      <c r="AJ739" s="309"/>
      <c r="AK739" s="309"/>
      <c r="AL739" s="309"/>
      <c r="AM739" s="309"/>
      <c r="AN739" s="309"/>
      <c r="AO739" s="309"/>
      <c r="AP739" s="309"/>
      <c r="AQ739" s="309"/>
      <c r="AR739" s="309"/>
      <c r="AS739" s="309"/>
      <c r="AT739" s="309"/>
      <c r="AU739" s="309"/>
      <c r="AV739" s="309"/>
      <c r="AW739" s="309"/>
      <c r="AX739" s="309"/>
      <c r="AY739" s="309"/>
      <c r="AZ739" s="309"/>
      <c r="BA739" s="310"/>
      <c r="BB739" s="310"/>
      <c r="BC739" s="310"/>
      <c r="BD739" s="310"/>
      <c r="BE739" s="310"/>
      <c r="BF739" s="310"/>
      <c r="BG739" s="310"/>
      <c r="BH739" s="310"/>
      <c r="BI739" s="310"/>
      <c r="BJ739" s="310"/>
      <c r="BK739" s="310"/>
      <c r="BL739" s="310"/>
      <c r="BM739" s="310"/>
      <c r="BN739" s="221"/>
      <c r="BO739" s="221"/>
      <c r="BP739" s="221"/>
      <c r="BQ739" s="221"/>
      <c r="BR739" s="221"/>
    </row>
    <row r="740" ht="15.75" customHeight="1">
      <c r="A740" s="220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309"/>
      <c r="Y740" s="309"/>
      <c r="Z740" s="309"/>
      <c r="AA740" s="309"/>
      <c r="AB740" s="309"/>
      <c r="AC740" s="309"/>
      <c r="AD740" s="309"/>
      <c r="AE740" s="309"/>
      <c r="AF740" s="309"/>
      <c r="AG740" s="309"/>
      <c r="AH740" s="309"/>
      <c r="AI740" s="309"/>
      <c r="AJ740" s="309"/>
      <c r="AK740" s="309"/>
      <c r="AL740" s="309"/>
      <c r="AM740" s="309"/>
      <c r="AN740" s="309"/>
      <c r="AO740" s="309"/>
      <c r="AP740" s="309"/>
      <c r="AQ740" s="309"/>
      <c r="AR740" s="309"/>
      <c r="AS740" s="309"/>
      <c r="AT740" s="309"/>
      <c r="AU740" s="309"/>
      <c r="AV740" s="309"/>
      <c r="AW740" s="309"/>
      <c r="AX740" s="309"/>
      <c r="AY740" s="309"/>
      <c r="AZ740" s="309"/>
      <c r="BA740" s="310"/>
      <c r="BB740" s="310"/>
      <c r="BC740" s="310"/>
      <c r="BD740" s="310"/>
      <c r="BE740" s="310"/>
      <c r="BF740" s="310"/>
      <c r="BG740" s="310"/>
      <c r="BH740" s="310"/>
      <c r="BI740" s="310"/>
      <c r="BJ740" s="310"/>
      <c r="BK740" s="310"/>
      <c r="BL740" s="310"/>
      <c r="BM740" s="310"/>
      <c r="BN740" s="221"/>
      <c r="BO740" s="221"/>
      <c r="BP740" s="221"/>
      <c r="BQ740" s="221"/>
      <c r="BR740" s="221"/>
    </row>
    <row r="741" ht="15.75" customHeight="1">
      <c r="A741" s="220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309"/>
      <c r="Y741" s="309"/>
      <c r="Z741" s="309"/>
      <c r="AA741" s="309"/>
      <c r="AB741" s="309"/>
      <c r="AC741" s="309"/>
      <c r="AD741" s="309"/>
      <c r="AE741" s="309"/>
      <c r="AF741" s="309"/>
      <c r="AG741" s="309"/>
      <c r="AH741" s="309"/>
      <c r="AI741" s="309"/>
      <c r="AJ741" s="309"/>
      <c r="AK741" s="309"/>
      <c r="AL741" s="309"/>
      <c r="AM741" s="309"/>
      <c r="AN741" s="309"/>
      <c r="AO741" s="309"/>
      <c r="AP741" s="309"/>
      <c r="AQ741" s="309"/>
      <c r="AR741" s="309"/>
      <c r="AS741" s="309"/>
      <c r="AT741" s="309"/>
      <c r="AU741" s="309"/>
      <c r="AV741" s="309"/>
      <c r="AW741" s="309"/>
      <c r="AX741" s="309"/>
      <c r="AY741" s="309"/>
      <c r="AZ741" s="309"/>
      <c r="BA741" s="310"/>
      <c r="BB741" s="310"/>
      <c r="BC741" s="310"/>
      <c r="BD741" s="310"/>
      <c r="BE741" s="310"/>
      <c r="BF741" s="310"/>
      <c r="BG741" s="310"/>
      <c r="BH741" s="310"/>
      <c r="BI741" s="310"/>
      <c r="BJ741" s="310"/>
      <c r="BK741" s="310"/>
      <c r="BL741" s="310"/>
      <c r="BM741" s="310"/>
      <c r="BN741" s="221"/>
      <c r="BO741" s="221"/>
      <c r="BP741" s="221"/>
      <c r="BQ741" s="221"/>
      <c r="BR741" s="221"/>
    </row>
    <row r="742" ht="15.75" customHeight="1">
      <c r="A742" s="220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309"/>
      <c r="Y742" s="309"/>
      <c r="Z742" s="309"/>
      <c r="AA742" s="309"/>
      <c r="AB742" s="309"/>
      <c r="AC742" s="309"/>
      <c r="AD742" s="309"/>
      <c r="AE742" s="309"/>
      <c r="AF742" s="309"/>
      <c r="AG742" s="309"/>
      <c r="AH742" s="309"/>
      <c r="AI742" s="309"/>
      <c r="AJ742" s="309"/>
      <c r="AK742" s="309"/>
      <c r="AL742" s="309"/>
      <c r="AM742" s="309"/>
      <c r="AN742" s="309"/>
      <c r="AO742" s="309"/>
      <c r="AP742" s="309"/>
      <c r="AQ742" s="309"/>
      <c r="AR742" s="309"/>
      <c r="AS742" s="309"/>
      <c r="AT742" s="309"/>
      <c r="AU742" s="309"/>
      <c r="AV742" s="309"/>
      <c r="AW742" s="309"/>
      <c r="AX742" s="309"/>
      <c r="AY742" s="309"/>
      <c r="AZ742" s="309"/>
      <c r="BA742" s="310"/>
      <c r="BB742" s="310"/>
      <c r="BC742" s="310"/>
      <c r="BD742" s="310"/>
      <c r="BE742" s="310"/>
      <c r="BF742" s="310"/>
      <c r="BG742" s="310"/>
      <c r="BH742" s="310"/>
      <c r="BI742" s="310"/>
      <c r="BJ742" s="310"/>
      <c r="BK742" s="310"/>
      <c r="BL742" s="310"/>
      <c r="BM742" s="310"/>
      <c r="BN742" s="221"/>
      <c r="BO742" s="221"/>
      <c r="BP742" s="221"/>
      <c r="BQ742" s="221"/>
      <c r="BR742" s="221"/>
    </row>
    <row r="743" ht="15.75" customHeight="1">
      <c r="A743" s="220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309"/>
      <c r="Y743" s="309"/>
      <c r="Z743" s="309"/>
      <c r="AA743" s="309"/>
      <c r="AB743" s="309"/>
      <c r="AC743" s="309"/>
      <c r="AD743" s="309"/>
      <c r="AE743" s="309"/>
      <c r="AF743" s="309"/>
      <c r="AG743" s="309"/>
      <c r="AH743" s="309"/>
      <c r="AI743" s="309"/>
      <c r="AJ743" s="309"/>
      <c r="AK743" s="309"/>
      <c r="AL743" s="309"/>
      <c r="AM743" s="309"/>
      <c r="AN743" s="309"/>
      <c r="AO743" s="309"/>
      <c r="AP743" s="309"/>
      <c r="AQ743" s="309"/>
      <c r="AR743" s="309"/>
      <c r="AS743" s="309"/>
      <c r="AT743" s="309"/>
      <c r="AU743" s="309"/>
      <c r="AV743" s="309"/>
      <c r="AW743" s="309"/>
      <c r="AX743" s="309"/>
      <c r="AY743" s="309"/>
      <c r="AZ743" s="309"/>
      <c r="BA743" s="310"/>
      <c r="BB743" s="310"/>
      <c r="BC743" s="310"/>
      <c r="BD743" s="310"/>
      <c r="BE743" s="310"/>
      <c r="BF743" s="310"/>
      <c r="BG743" s="310"/>
      <c r="BH743" s="310"/>
      <c r="BI743" s="310"/>
      <c r="BJ743" s="310"/>
      <c r="BK743" s="310"/>
      <c r="BL743" s="310"/>
      <c r="BM743" s="310"/>
      <c r="BN743" s="221"/>
      <c r="BO743" s="221"/>
      <c r="BP743" s="221"/>
      <c r="BQ743" s="221"/>
      <c r="BR743" s="221"/>
    </row>
    <row r="744" ht="15.75" customHeight="1">
      <c r="A744" s="220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309"/>
      <c r="Y744" s="309"/>
      <c r="Z744" s="309"/>
      <c r="AA744" s="309"/>
      <c r="AB744" s="309"/>
      <c r="AC744" s="309"/>
      <c r="AD744" s="309"/>
      <c r="AE744" s="309"/>
      <c r="AF744" s="309"/>
      <c r="AG744" s="309"/>
      <c r="AH744" s="309"/>
      <c r="AI744" s="309"/>
      <c r="AJ744" s="309"/>
      <c r="AK744" s="309"/>
      <c r="AL744" s="309"/>
      <c r="AM744" s="309"/>
      <c r="AN744" s="309"/>
      <c r="AO744" s="309"/>
      <c r="AP744" s="309"/>
      <c r="AQ744" s="309"/>
      <c r="AR744" s="309"/>
      <c r="AS744" s="309"/>
      <c r="AT744" s="309"/>
      <c r="AU744" s="309"/>
      <c r="AV744" s="309"/>
      <c r="AW744" s="309"/>
      <c r="AX744" s="309"/>
      <c r="AY744" s="309"/>
      <c r="AZ744" s="309"/>
      <c r="BA744" s="310"/>
      <c r="BB744" s="310"/>
      <c r="BC744" s="310"/>
      <c r="BD744" s="310"/>
      <c r="BE744" s="310"/>
      <c r="BF744" s="310"/>
      <c r="BG744" s="310"/>
      <c r="BH744" s="310"/>
      <c r="BI744" s="310"/>
      <c r="BJ744" s="310"/>
      <c r="BK744" s="310"/>
      <c r="BL744" s="310"/>
      <c r="BM744" s="310"/>
      <c r="BN744" s="221"/>
      <c r="BO744" s="221"/>
      <c r="BP744" s="221"/>
      <c r="BQ744" s="221"/>
      <c r="BR744" s="221"/>
    </row>
    <row r="745" ht="15.75" customHeight="1">
      <c r="A745" s="220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309"/>
      <c r="Y745" s="309"/>
      <c r="Z745" s="309"/>
      <c r="AA745" s="309"/>
      <c r="AB745" s="309"/>
      <c r="AC745" s="309"/>
      <c r="AD745" s="309"/>
      <c r="AE745" s="309"/>
      <c r="AF745" s="309"/>
      <c r="AG745" s="309"/>
      <c r="AH745" s="309"/>
      <c r="AI745" s="309"/>
      <c r="AJ745" s="309"/>
      <c r="AK745" s="309"/>
      <c r="AL745" s="309"/>
      <c r="AM745" s="309"/>
      <c r="AN745" s="309"/>
      <c r="AO745" s="309"/>
      <c r="AP745" s="309"/>
      <c r="AQ745" s="309"/>
      <c r="AR745" s="309"/>
      <c r="AS745" s="309"/>
      <c r="AT745" s="309"/>
      <c r="AU745" s="309"/>
      <c r="AV745" s="309"/>
      <c r="AW745" s="309"/>
      <c r="AX745" s="309"/>
      <c r="AY745" s="309"/>
      <c r="AZ745" s="309"/>
      <c r="BA745" s="310"/>
      <c r="BB745" s="310"/>
      <c r="BC745" s="310"/>
      <c r="BD745" s="310"/>
      <c r="BE745" s="310"/>
      <c r="BF745" s="310"/>
      <c r="BG745" s="310"/>
      <c r="BH745" s="310"/>
      <c r="BI745" s="310"/>
      <c r="BJ745" s="310"/>
      <c r="BK745" s="310"/>
      <c r="BL745" s="310"/>
      <c r="BM745" s="310"/>
      <c r="BN745" s="221"/>
      <c r="BO745" s="221"/>
      <c r="BP745" s="221"/>
      <c r="BQ745" s="221"/>
      <c r="BR745" s="221"/>
    </row>
    <row r="746" ht="15.75" customHeight="1">
      <c r="A746" s="220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309"/>
      <c r="Y746" s="309"/>
      <c r="Z746" s="309"/>
      <c r="AA746" s="309"/>
      <c r="AB746" s="309"/>
      <c r="AC746" s="309"/>
      <c r="AD746" s="309"/>
      <c r="AE746" s="309"/>
      <c r="AF746" s="309"/>
      <c r="AG746" s="309"/>
      <c r="AH746" s="309"/>
      <c r="AI746" s="309"/>
      <c r="AJ746" s="309"/>
      <c r="AK746" s="309"/>
      <c r="AL746" s="309"/>
      <c r="AM746" s="309"/>
      <c r="AN746" s="309"/>
      <c r="AO746" s="309"/>
      <c r="AP746" s="309"/>
      <c r="AQ746" s="309"/>
      <c r="AR746" s="309"/>
      <c r="AS746" s="309"/>
      <c r="AT746" s="309"/>
      <c r="AU746" s="309"/>
      <c r="AV746" s="309"/>
      <c r="AW746" s="309"/>
      <c r="AX746" s="309"/>
      <c r="AY746" s="309"/>
      <c r="AZ746" s="309"/>
      <c r="BA746" s="310"/>
      <c r="BB746" s="310"/>
      <c r="BC746" s="310"/>
      <c r="BD746" s="310"/>
      <c r="BE746" s="310"/>
      <c r="BF746" s="310"/>
      <c r="BG746" s="310"/>
      <c r="BH746" s="310"/>
      <c r="BI746" s="310"/>
      <c r="BJ746" s="310"/>
      <c r="BK746" s="310"/>
      <c r="BL746" s="310"/>
      <c r="BM746" s="310"/>
      <c r="BN746" s="221"/>
      <c r="BO746" s="221"/>
      <c r="BP746" s="221"/>
      <c r="BQ746" s="221"/>
      <c r="BR746" s="221"/>
    </row>
    <row r="747" ht="15.75" customHeight="1">
      <c r="A747" s="220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309"/>
      <c r="Y747" s="309"/>
      <c r="Z747" s="309"/>
      <c r="AA747" s="309"/>
      <c r="AB747" s="309"/>
      <c r="AC747" s="309"/>
      <c r="AD747" s="309"/>
      <c r="AE747" s="309"/>
      <c r="AF747" s="309"/>
      <c r="AG747" s="309"/>
      <c r="AH747" s="309"/>
      <c r="AI747" s="309"/>
      <c r="AJ747" s="309"/>
      <c r="AK747" s="309"/>
      <c r="AL747" s="309"/>
      <c r="AM747" s="309"/>
      <c r="AN747" s="309"/>
      <c r="AO747" s="309"/>
      <c r="AP747" s="309"/>
      <c r="AQ747" s="309"/>
      <c r="AR747" s="309"/>
      <c r="AS747" s="309"/>
      <c r="AT747" s="309"/>
      <c r="AU747" s="309"/>
      <c r="AV747" s="309"/>
      <c r="AW747" s="309"/>
      <c r="AX747" s="309"/>
      <c r="AY747" s="309"/>
      <c r="AZ747" s="309"/>
      <c r="BA747" s="310"/>
      <c r="BB747" s="310"/>
      <c r="BC747" s="310"/>
      <c r="BD747" s="310"/>
      <c r="BE747" s="310"/>
      <c r="BF747" s="310"/>
      <c r="BG747" s="310"/>
      <c r="BH747" s="310"/>
      <c r="BI747" s="310"/>
      <c r="BJ747" s="310"/>
      <c r="BK747" s="310"/>
      <c r="BL747" s="310"/>
      <c r="BM747" s="310"/>
      <c r="BN747" s="221"/>
      <c r="BO747" s="221"/>
      <c r="BP747" s="221"/>
      <c r="BQ747" s="221"/>
      <c r="BR747" s="221"/>
    </row>
    <row r="748" ht="15.75" customHeight="1">
      <c r="A748" s="220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309"/>
      <c r="Y748" s="309"/>
      <c r="Z748" s="309"/>
      <c r="AA748" s="309"/>
      <c r="AB748" s="309"/>
      <c r="AC748" s="309"/>
      <c r="AD748" s="309"/>
      <c r="AE748" s="309"/>
      <c r="AF748" s="309"/>
      <c r="AG748" s="309"/>
      <c r="AH748" s="309"/>
      <c r="AI748" s="309"/>
      <c r="AJ748" s="309"/>
      <c r="AK748" s="309"/>
      <c r="AL748" s="309"/>
      <c r="AM748" s="309"/>
      <c r="AN748" s="309"/>
      <c r="AO748" s="309"/>
      <c r="AP748" s="309"/>
      <c r="AQ748" s="309"/>
      <c r="AR748" s="309"/>
      <c r="AS748" s="309"/>
      <c r="AT748" s="309"/>
      <c r="AU748" s="309"/>
      <c r="AV748" s="309"/>
      <c r="AW748" s="309"/>
      <c r="AX748" s="309"/>
      <c r="AY748" s="309"/>
      <c r="AZ748" s="309"/>
      <c r="BA748" s="310"/>
      <c r="BB748" s="310"/>
      <c r="BC748" s="310"/>
      <c r="BD748" s="310"/>
      <c r="BE748" s="310"/>
      <c r="BF748" s="310"/>
      <c r="BG748" s="310"/>
      <c r="BH748" s="310"/>
      <c r="BI748" s="310"/>
      <c r="BJ748" s="310"/>
      <c r="BK748" s="310"/>
      <c r="BL748" s="310"/>
      <c r="BM748" s="310"/>
      <c r="BN748" s="221"/>
      <c r="BO748" s="221"/>
      <c r="BP748" s="221"/>
      <c r="BQ748" s="221"/>
      <c r="BR748" s="221"/>
    </row>
    <row r="749" ht="15.75" customHeight="1">
      <c r="A749" s="220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309"/>
      <c r="Y749" s="309"/>
      <c r="Z749" s="309"/>
      <c r="AA749" s="309"/>
      <c r="AB749" s="309"/>
      <c r="AC749" s="309"/>
      <c r="AD749" s="309"/>
      <c r="AE749" s="309"/>
      <c r="AF749" s="309"/>
      <c r="AG749" s="309"/>
      <c r="AH749" s="309"/>
      <c r="AI749" s="309"/>
      <c r="AJ749" s="309"/>
      <c r="AK749" s="309"/>
      <c r="AL749" s="309"/>
      <c r="AM749" s="309"/>
      <c r="AN749" s="309"/>
      <c r="AO749" s="309"/>
      <c r="AP749" s="309"/>
      <c r="AQ749" s="309"/>
      <c r="AR749" s="309"/>
      <c r="AS749" s="309"/>
      <c r="AT749" s="309"/>
      <c r="AU749" s="309"/>
      <c r="AV749" s="309"/>
      <c r="AW749" s="309"/>
      <c r="AX749" s="309"/>
      <c r="AY749" s="309"/>
      <c r="AZ749" s="309"/>
      <c r="BA749" s="310"/>
      <c r="BB749" s="310"/>
      <c r="BC749" s="310"/>
      <c r="BD749" s="310"/>
      <c r="BE749" s="310"/>
      <c r="BF749" s="310"/>
      <c r="BG749" s="310"/>
      <c r="BH749" s="310"/>
      <c r="BI749" s="310"/>
      <c r="BJ749" s="310"/>
      <c r="BK749" s="310"/>
      <c r="BL749" s="310"/>
      <c r="BM749" s="310"/>
      <c r="BN749" s="221"/>
      <c r="BO749" s="221"/>
      <c r="BP749" s="221"/>
      <c r="BQ749" s="221"/>
      <c r="BR749" s="221"/>
    </row>
    <row r="750" ht="15.75" customHeight="1">
      <c r="A750" s="220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309"/>
      <c r="Y750" s="309"/>
      <c r="Z750" s="309"/>
      <c r="AA750" s="309"/>
      <c r="AB750" s="309"/>
      <c r="AC750" s="309"/>
      <c r="AD750" s="309"/>
      <c r="AE750" s="309"/>
      <c r="AF750" s="309"/>
      <c r="AG750" s="309"/>
      <c r="AH750" s="309"/>
      <c r="AI750" s="309"/>
      <c r="AJ750" s="309"/>
      <c r="AK750" s="309"/>
      <c r="AL750" s="309"/>
      <c r="AM750" s="309"/>
      <c r="AN750" s="309"/>
      <c r="AO750" s="309"/>
      <c r="AP750" s="309"/>
      <c r="AQ750" s="309"/>
      <c r="AR750" s="309"/>
      <c r="AS750" s="309"/>
      <c r="AT750" s="309"/>
      <c r="AU750" s="309"/>
      <c r="AV750" s="309"/>
      <c r="AW750" s="309"/>
      <c r="AX750" s="309"/>
      <c r="AY750" s="309"/>
      <c r="AZ750" s="309"/>
      <c r="BA750" s="310"/>
      <c r="BB750" s="310"/>
      <c r="BC750" s="310"/>
      <c r="BD750" s="310"/>
      <c r="BE750" s="310"/>
      <c r="BF750" s="310"/>
      <c r="BG750" s="310"/>
      <c r="BH750" s="310"/>
      <c r="BI750" s="310"/>
      <c r="BJ750" s="310"/>
      <c r="BK750" s="310"/>
      <c r="BL750" s="310"/>
      <c r="BM750" s="310"/>
      <c r="BN750" s="221"/>
      <c r="BO750" s="221"/>
      <c r="BP750" s="221"/>
      <c r="BQ750" s="221"/>
      <c r="BR750" s="221"/>
    </row>
    <row r="751" ht="15.75" customHeight="1">
      <c r="A751" s="220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309"/>
      <c r="Y751" s="309"/>
      <c r="Z751" s="309"/>
      <c r="AA751" s="309"/>
      <c r="AB751" s="309"/>
      <c r="AC751" s="309"/>
      <c r="AD751" s="309"/>
      <c r="AE751" s="309"/>
      <c r="AF751" s="309"/>
      <c r="AG751" s="309"/>
      <c r="AH751" s="309"/>
      <c r="AI751" s="309"/>
      <c r="AJ751" s="309"/>
      <c r="AK751" s="309"/>
      <c r="AL751" s="309"/>
      <c r="AM751" s="309"/>
      <c r="AN751" s="309"/>
      <c r="AO751" s="309"/>
      <c r="AP751" s="309"/>
      <c r="AQ751" s="309"/>
      <c r="AR751" s="309"/>
      <c r="AS751" s="309"/>
      <c r="AT751" s="309"/>
      <c r="AU751" s="309"/>
      <c r="AV751" s="309"/>
      <c r="AW751" s="309"/>
      <c r="AX751" s="309"/>
      <c r="AY751" s="309"/>
      <c r="AZ751" s="309"/>
      <c r="BA751" s="310"/>
      <c r="BB751" s="310"/>
      <c r="BC751" s="310"/>
      <c r="BD751" s="310"/>
      <c r="BE751" s="310"/>
      <c r="BF751" s="310"/>
      <c r="BG751" s="310"/>
      <c r="BH751" s="310"/>
      <c r="BI751" s="310"/>
      <c r="BJ751" s="310"/>
      <c r="BK751" s="310"/>
      <c r="BL751" s="310"/>
      <c r="BM751" s="310"/>
      <c r="BN751" s="221"/>
      <c r="BO751" s="221"/>
      <c r="BP751" s="221"/>
      <c r="BQ751" s="221"/>
      <c r="BR751" s="221"/>
    </row>
    <row r="752" ht="15.75" customHeight="1">
      <c r="A752" s="220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309"/>
      <c r="Y752" s="309"/>
      <c r="Z752" s="309"/>
      <c r="AA752" s="309"/>
      <c r="AB752" s="309"/>
      <c r="AC752" s="309"/>
      <c r="AD752" s="309"/>
      <c r="AE752" s="309"/>
      <c r="AF752" s="309"/>
      <c r="AG752" s="309"/>
      <c r="AH752" s="309"/>
      <c r="AI752" s="309"/>
      <c r="AJ752" s="309"/>
      <c r="AK752" s="309"/>
      <c r="AL752" s="309"/>
      <c r="AM752" s="309"/>
      <c r="AN752" s="309"/>
      <c r="AO752" s="309"/>
      <c r="AP752" s="309"/>
      <c r="AQ752" s="309"/>
      <c r="AR752" s="309"/>
      <c r="AS752" s="309"/>
      <c r="AT752" s="309"/>
      <c r="AU752" s="309"/>
      <c r="AV752" s="309"/>
      <c r="AW752" s="309"/>
      <c r="AX752" s="309"/>
      <c r="AY752" s="309"/>
      <c r="AZ752" s="309"/>
      <c r="BA752" s="310"/>
      <c r="BB752" s="310"/>
      <c r="BC752" s="310"/>
      <c r="BD752" s="310"/>
      <c r="BE752" s="310"/>
      <c r="BF752" s="310"/>
      <c r="BG752" s="310"/>
      <c r="BH752" s="310"/>
      <c r="BI752" s="310"/>
      <c r="BJ752" s="310"/>
      <c r="BK752" s="310"/>
      <c r="BL752" s="310"/>
      <c r="BM752" s="310"/>
      <c r="BN752" s="221"/>
      <c r="BO752" s="221"/>
      <c r="BP752" s="221"/>
      <c r="BQ752" s="221"/>
      <c r="BR752" s="221"/>
    </row>
    <row r="753" ht="15.75" customHeight="1">
      <c r="A753" s="220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309"/>
      <c r="Y753" s="309"/>
      <c r="Z753" s="309"/>
      <c r="AA753" s="309"/>
      <c r="AB753" s="309"/>
      <c r="AC753" s="309"/>
      <c r="AD753" s="309"/>
      <c r="AE753" s="309"/>
      <c r="AF753" s="309"/>
      <c r="AG753" s="309"/>
      <c r="AH753" s="309"/>
      <c r="AI753" s="309"/>
      <c r="AJ753" s="309"/>
      <c r="AK753" s="309"/>
      <c r="AL753" s="309"/>
      <c r="AM753" s="309"/>
      <c r="AN753" s="309"/>
      <c r="AO753" s="309"/>
      <c r="AP753" s="309"/>
      <c r="AQ753" s="309"/>
      <c r="AR753" s="309"/>
      <c r="AS753" s="309"/>
      <c r="AT753" s="309"/>
      <c r="AU753" s="309"/>
      <c r="AV753" s="309"/>
      <c r="AW753" s="309"/>
      <c r="AX753" s="309"/>
      <c r="AY753" s="309"/>
      <c r="AZ753" s="309"/>
      <c r="BA753" s="310"/>
      <c r="BB753" s="310"/>
      <c r="BC753" s="310"/>
      <c r="BD753" s="310"/>
      <c r="BE753" s="310"/>
      <c r="BF753" s="310"/>
      <c r="BG753" s="310"/>
      <c r="BH753" s="310"/>
      <c r="BI753" s="310"/>
      <c r="BJ753" s="310"/>
      <c r="BK753" s="310"/>
      <c r="BL753" s="310"/>
      <c r="BM753" s="310"/>
      <c r="BN753" s="221"/>
      <c r="BO753" s="221"/>
      <c r="BP753" s="221"/>
      <c r="BQ753" s="221"/>
      <c r="BR753" s="221"/>
    </row>
    <row r="754" ht="15.75" customHeight="1">
      <c r="A754" s="220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309"/>
      <c r="Y754" s="309"/>
      <c r="Z754" s="309"/>
      <c r="AA754" s="309"/>
      <c r="AB754" s="309"/>
      <c r="AC754" s="309"/>
      <c r="AD754" s="309"/>
      <c r="AE754" s="309"/>
      <c r="AF754" s="309"/>
      <c r="AG754" s="309"/>
      <c r="AH754" s="309"/>
      <c r="AI754" s="309"/>
      <c r="AJ754" s="309"/>
      <c r="AK754" s="309"/>
      <c r="AL754" s="309"/>
      <c r="AM754" s="309"/>
      <c r="AN754" s="309"/>
      <c r="AO754" s="309"/>
      <c r="AP754" s="309"/>
      <c r="AQ754" s="309"/>
      <c r="AR754" s="309"/>
      <c r="AS754" s="309"/>
      <c r="AT754" s="309"/>
      <c r="AU754" s="309"/>
      <c r="AV754" s="309"/>
      <c r="AW754" s="309"/>
      <c r="AX754" s="309"/>
      <c r="AY754" s="309"/>
      <c r="AZ754" s="309"/>
      <c r="BA754" s="310"/>
      <c r="BB754" s="310"/>
      <c r="BC754" s="310"/>
      <c r="BD754" s="310"/>
      <c r="BE754" s="310"/>
      <c r="BF754" s="310"/>
      <c r="BG754" s="310"/>
      <c r="BH754" s="310"/>
      <c r="BI754" s="310"/>
      <c r="BJ754" s="310"/>
      <c r="BK754" s="310"/>
      <c r="BL754" s="310"/>
      <c r="BM754" s="310"/>
      <c r="BN754" s="221"/>
      <c r="BO754" s="221"/>
      <c r="BP754" s="221"/>
      <c r="BQ754" s="221"/>
      <c r="BR754" s="221"/>
    </row>
    <row r="755" ht="15.75" customHeight="1">
      <c r="A755" s="220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309"/>
      <c r="Y755" s="309"/>
      <c r="Z755" s="309"/>
      <c r="AA755" s="309"/>
      <c r="AB755" s="309"/>
      <c r="AC755" s="309"/>
      <c r="AD755" s="309"/>
      <c r="AE755" s="309"/>
      <c r="AF755" s="309"/>
      <c r="AG755" s="309"/>
      <c r="AH755" s="309"/>
      <c r="AI755" s="309"/>
      <c r="AJ755" s="309"/>
      <c r="AK755" s="309"/>
      <c r="AL755" s="309"/>
      <c r="AM755" s="309"/>
      <c r="AN755" s="309"/>
      <c r="AO755" s="309"/>
      <c r="AP755" s="309"/>
      <c r="AQ755" s="309"/>
      <c r="AR755" s="309"/>
      <c r="AS755" s="309"/>
      <c r="AT755" s="309"/>
      <c r="AU755" s="309"/>
      <c r="AV755" s="309"/>
      <c r="AW755" s="309"/>
      <c r="AX755" s="309"/>
      <c r="AY755" s="309"/>
      <c r="AZ755" s="309"/>
      <c r="BA755" s="310"/>
      <c r="BB755" s="310"/>
      <c r="BC755" s="310"/>
      <c r="BD755" s="310"/>
      <c r="BE755" s="310"/>
      <c r="BF755" s="310"/>
      <c r="BG755" s="310"/>
      <c r="BH755" s="310"/>
      <c r="BI755" s="310"/>
      <c r="BJ755" s="310"/>
      <c r="BK755" s="310"/>
      <c r="BL755" s="310"/>
      <c r="BM755" s="310"/>
      <c r="BN755" s="221"/>
      <c r="BO755" s="221"/>
      <c r="BP755" s="221"/>
      <c r="BQ755" s="221"/>
      <c r="BR755" s="221"/>
    </row>
    <row r="756" ht="15.75" customHeight="1">
      <c r="A756" s="220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309"/>
      <c r="Y756" s="309"/>
      <c r="Z756" s="309"/>
      <c r="AA756" s="309"/>
      <c r="AB756" s="309"/>
      <c r="AC756" s="309"/>
      <c r="AD756" s="309"/>
      <c r="AE756" s="309"/>
      <c r="AF756" s="309"/>
      <c r="AG756" s="309"/>
      <c r="AH756" s="309"/>
      <c r="AI756" s="309"/>
      <c r="AJ756" s="309"/>
      <c r="AK756" s="309"/>
      <c r="AL756" s="309"/>
      <c r="AM756" s="309"/>
      <c r="AN756" s="309"/>
      <c r="AO756" s="309"/>
      <c r="AP756" s="309"/>
      <c r="AQ756" s="309"/>
      <c r="AR756" s="309"/>
      <c r="AS756" s="309"/>
      <c r="AT756" s="309"/>
      <c r="AU756" s="309"/>
      <c r="AV756" s="309"/>
      <c r="AW756" s="309"/>
      <c r="AX756" s="309"/>
      <c r="AY756" s="309"/>
      <c r="AZ756" s="309"/>
      <c r="BA756" s="310"/>
      <c r="BB756" s="310"/>
      <c r="BC756" s="310"/>
      <c r="BD756" s="310"/>
      <c r="BE756" s="310"/>
      <c r="BF756" s="310"/>
      <c r="BG756" s="310"/>
      <c r="BH756" s="310"/>
      <c r="BI756" s="310"/>
      <c r="BJ756" s="310"/>
      <c r="BK756" s="310"/>
      <c r="BL756" s="310"/>
      <c r="BM756" s="310"/>
      <c r="BN756" s="221"/>
      <c r="BO756" s="221"/>
      <c r="BP756" s="221"/>
      <c r="BQ756" s="221"/>
      <c r="BR756" s="221"/>
    </row>
    <row r="757" ht="15.75" customHeight="1">
      <c r="A757" s="220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309"/>
      <c r="Y757" s="309"/>
      <c r="Z757" s="309"/>
      <c r="AA757" s="309"/>
      <c r="AB757" s="309"/>
      <c r="AC757" s="309"/>
      <c r="AD757" s="309"/>
      <c r="AE757" s="309"/>
      <c r="AF757" s="309"/>
      <c r="AG757" s="309"/>
      <c r="AH757" s="309"/>
      <c r="AI757" s="309"/>
      <c r="AJ757" s="309"/>
      <c r="AK757" s="309"/>
      <c r="AL757" s="309"/>
      <c r="AM757" s="309"/>
      <c r="AN757" s="309"/>
      <c r="AO757" s="309"/>
      <c r="AP757" s="309"/>
      <c r="AQ757" s="309"/>
      <c r="AR757" s="309"/>
      <c r="AS757" s="309"/>
      <c r="AT757" s="309"/>
      <c r="AU757" s="309"/>
      <c r="AV757" s="309"/>
      <c r="AW757" s="309"/>
      <c r="AX757" s="309"/>
      <c r="AY757" s="309"/>
      <c r="AZ757" s="309"/>
      <c r="BA757" s="310"/>
      <c r="BB757" s="310"/>
      <c r="BC757" s="310"/>
      <c r="BD757" s="310"/>
      <c r="BE757" s="310"/>
      <c r="BF757" s="310"/>
      <c r="BG757" s="310"/>
      <c r="BH757" s="310"/>
      <c r="BI757" s="310"/>
      <c r="BJ757" s="310"/>
      <c r="BK757" s="310"/>
      <c r="BL757" s="310"/>
      <c r="BM757" s="310"/>
      <c r="BN757" s="221"/>
      <c r="BO757" s="221"/>
      <c r="BP757" s="221"/>
      <c r="BQ757" s="221"/>
      <c r="BR757" s="221"/>
    </row>
    <row r="758" ht="15.75" customHeight="1">
      <c r="A758" s="220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309"/>
      <c r="Y758" s="309"/>
      <c r="Z758" s="309"/>
      <c r="AA758" s="309"/>
      <c r="AB758" s="309"/>
      <c r="AC758" s="309"/>
      <c r="AD758" s="309"/>
      <c r="AE758" s="309"/>
      <c r="AF758" s="309"/>
      <c r="AG758" s="309"/>
      <c r="AH758" s="309"/>
      <c r="AI758" s="309"/>
      <c r="AJ758" s="309"/>
      <c r="AK758" s="309"/>
      <c r="AL758" s="309"/>
      <c r="AM758" s="309"/>
      <c r="AN758" s="309"/>
      <c r="AO758" s="309"/>
      <c r="AP758" s="309"/>
      <c r="AQ758" s="309"/>
      <c r="AR758" s="309"/>
      <c r="AS758" s="309"/>
      <c r="AT758" s="309"/>
      <c r="AU758" s="309"/>
      <c r="AV758" s="309"/>
      <c r="AW758" s="309"/>
      <c r="AX758" s="309"/>
      <c r="AY758" s="309"/>
      <c r="AZ758" s="309"/>
      <c r="BA758" s="310"/>
      <c r="BB758" s="310"/>
      <c r="BC758" s="310"/>
      <c r="BD758" s="310"/>
      <c r="BE758" s="310"/>
      <c r="BF758" s="310"/>
      <c r="BG758" s="310"/>
      <c r="BH758" s="310"/>
      <c r="BI758" s="310"/>
      <c r="BJ758" s="310"/>
      <c r="BK758" s="310"/>
      <c r="BL758" s="310"/>
      <c r="BM758" s="310"/>
      <c r="BN758" s="221"/>
      <c r="BO758" s="221"/>
      <c r="BP758" s="221"/>
      <c r="BQ758" s="221"/>
      <c r="BR758" s="221"/>
    </row>
    <row r="759" ht="15.75" customHeight="1">
      <c r="A759" s="220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309"/>
      <c r="Y759" s="309"/>
      <c r="Z759" s="309"/>
      <c r="AA759" s="309"/>
      <c r="AB759" s="309"/>
      <c r="AC759" s="309"/>
      <c r="AD759" s="309"/>
      <c r="AE759" s="309"/>
      <c r="AF759" s="309"/>
      <c r="AG759" s="309"/>
      <c r="AH759" s="309"/>
      <c r="AI759" s="309"/>
      <c r="AJ759" s="309"/>
      <c r="AK759" s="309"/>
      <c r="AL759" s="309"/>
      <c r="AM759" s="309"/>
      <c r="AN759" s="309"/>
      <c r="AO759" s="309"/>
      <c r="AP759" s="309"/>
      <c r="AQ759" s="309"/>
      <c r="AR759" s="309"/>
      <c r="AS759" s="309"/>
      <c r="AT759" s="309"/>
      <c r="AU759" s="309"/>
      <c r="AV759" s="309"/>
      <c r="AW759" s="309"/>
      <c r="AX759" s="309"/>
      <c r="AY759" s="309"/>
      <c r="AZ759" s="309"/>
      <c r="BA759" s="310"/>
      <c r="BB759" s="310"/>
      <c r="BC759" s="310"/>
      <c r="BD759" s="310"/>
      <c r="BE759" s="310"/>
      <c r="BF759" s="310"/>
      <c r="BG759" s="310"/>
      <c r="BH759" s="310"/>
      <c r="BI759" s="310"/>
      <c r="BJ759" s="310"/>
      <c r="BK759" s="310"/>
      <c r="BL759" s="310"/>
      <c r="BM759" s="310"/>
      <c r="BN759" s="221"/>
      <c r="BO759" s="221"/>
      <c r="BP759" s="221"/>
      <c r="BQ759" s="221"/>
      <c r="BR759" s="221"/>
    </row>
    <row r="760" ht="15.75" customHeight="1">
      <c r="A760" s="220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309"/>
      <c r="Y760" s="309"/>
      <c r="Z760" s="309"/>
      <c r="AA760" s="309"/>
      <c r="AB760" s="309"/>
      <c r="AC760" s="309"/>
      <c r="AD760" s="309"/>
      <c r="AE760" s="309"/>
      <c r="AF760" s="309"/>
      <c r="AG760" s="309"/>
      <c r="AH760" s="309"/>
      <c r="AI760" s="309"/>
      <c r="AJ760" s="309"/>
      <c r="AK760" s="309"/>
      <c r="AL760" s="309"/>
      <c r="AM760" s="309"/>
      <c r="AN760" s="309"/>
      <c r="AO760" s="309"/>
      <c r="AP760" s="309"/>
      <c r="AQ760" s="309"/>
      <c r="AR760" s="309"/>
      <c r="AS760" s="309"/>
      <c r="AT760" s="309"/>
      <c r="AU760" s="309"/>
      <c r="AV760" s="309"/>
      <c r="AW760" s="309"/>
      <c r="AX760" s="309"/>
      <c r="AY760" s="309"/>
      <c r="AZ760" s="309"/>
      <c r="BA760" s="310"/>
      <c r="BB760" s="310"/>
      <c r="BC760" s="310"/>
      <c r="BD760" s="310"/>
      <c r="BE760" s="310"/>
      <c r="BF760" s="310"/>
      <c r="BG760" s="310"/>
      <c r="BH760" s="310"/>
      <c r="BI760" s="310"/>
      <c r="BJ760" s="310"/>
      <c r="BK760" s="310"/>
      <c r="BL760" s="310"/>
      <c r="BM760" s="310"/>
      <c r="BN760" s="221"/>
      <c r="BO760" s="221"/>
      <c r="BP760" s="221"/>
      <c r="BQ760" s="221"/>
      <c r="BR760" s="221"/>
    </row>
    <row r="761" ht="15.75" customHeight="1">
      <c r="A761" s="220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309"/>
      <c r="Y761" s="309"/>
      <c r="Z761" s="309"/>
      <c r="AA761" s="309"/>
      <c r="AB761" s="309"/>
      <c r="AC761" s="309"/>
      <c r="AD761" s="309"/>
      <c r="AE761" s="309"/>
      <c r="AF761" s="309"/>
      <c r="AG761" s="309"/>
      <c r="AH761" s="309"/>
      <c r="AI761" s="309"/>
      <c r="AJ761" s="309"/>
      <c r="AK761" s="309"/>
      <c r="AL761" s="309"/>
      <c r="AM761" s="309"/>
      <c r="AN761" s="309"/>
      <c r="AO761" s="309"/>
      <c r="AP761" s="309"/>
      <c r="AQ761" s="309"/>
      <c r="AR761" s="309"/>
      <c r="AS761" s="309"/>
      <c r="AT761" s="309"/>
      <c r="AU761" s="309"/>
      <c r="AV761" s="309"/>
      <c r="AW761" s="309"/>
      <c r="AX761" s="309"/>
      <c r="AY761" s="309"/>
      <c r="AZ761" s="309"/>
      <c r="BA761" s="310"/>
      <c r="BB761" s="310"/>
      <c r="BC761" s="310"/>
      <c r="BD761" s="310"/>
      <c r="BE761" s="310"/>
      <c r="BF761" s="310"/>
      <c r="BG761" s="310"/>
      <c r="BH761" s="310"/>
      <c r="BI761" s="310"/>
      <c r="BJ761" s="310"/>
      <c r="BK761" s="310"/>
      <c r="BL761" s="310"/>
      <c r="BM761" s="310"/>
      <c r="BN761" s="221"/>
      <c r="BO761" s="221"/>
      <c r="BP761" s="221"/>
      <c r="BQ761" s="221"/>
      <c r="BR761" s="221"/>
    </row>
    <row r="762" ht="15.75" customHeight="1">
      <c r="A762" s="220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309"/>
      <c r="Y762" s="309"/>
      <c r="Z762" s="309"/>
      <c r="AA762" s="309"/>
      <c r="AB762" s="309"/>
      <c r="AC762" s="309"/>
      <c r="AD762" s="309"/>
      <c r="AE762" s="309"/>
      <c r="AF762" s="309"/>
      <c r="AG762" s="309"/>
      <c r="AH762" s="309"/>
      <c r="AI762" s="309"/>
      <c r="AJ762" s="309"/>
      <c r="AK762" s="309"/>
      <c r="AL762" s="309"/>
      <c r="AM762" s="309"/>
      <c r="AN762" s="309"/>
      <c r="AO762" s="309"/>
      <c r="AP762" s="309"/>
      <c r="AQ762" s="309"/>
      <c r="AR762" s="309"/>
      <c r="AS762" s="309"/>
      <c r="AT762" s="309"/>
      <c r="AU762" s="309"/>
      <c r="AV762" s="309"/>
      <c r="AW762" s="309"/>
      <c r="AX762" s="309"/>
      <c r="AY762" s="309"/>
      <c r="AZ762" s="309"/>
      <c r="BA762" s="310"/>
      <c r="BB762" s="310"/>
      <c r="BC762" s="310"/>
      <c r="BD762" s="310"/>
      <c r="BE762" s="310"/>
      <c r="BF762" s="310"/>
      <c r="BG762" s="310"/>
      <c r="BH762" s="310"/>
      <c r="BI762" s="310"/>
      <c r="BJ762" s="310"/>
      <c r="BK762" s="310"/>
      <c r="BL762" s="310"/>
      <c r="BM762" s="310"/>
      <c r="BN762" s="221"/>
      <c r="BO762" s="221"/>
      <c r="BP762" s="221"/>
      <c r="BQ762" s="221"/>
      <c r="BR762" s="221"/>
    </row>
    <row r="763" ht="15.75" customHeight="1">
      <c r="A763" s="220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309"/>
      <c r="Y763" s="309"/>
      <c r="Z763" s="309"/>
      <c r="AA763" s="309"/>
      <c r="AB763" s="309"/>
      <c r="AC763" s="309"/>
      <c r="AD763" s="309"/>
      <c r="AE763" s="309"/>
      <c r="AF763" s="309"/>
      <c r="AG763" s="309"/>
      <c r="AH763" s="309"/>
      <c r="AI763" s="309"/>
      <c r="AJ763" s="309"/>
      <c r="AK763" s="309"/>
      <c r="AL763" s="309"/>
      <c r="AM763" s="309"/>
      <c r="AN763" s="309"/>
      <c r="AO763" s="309"/>
      <c r="AP763" s="309"/>
      <c r="AQ763" s="309"/>
      <c r="AR763" s="309"/>
      <c r="AS763" s="309"/>
      <c r="AT763" s="309"/>
      <c r="AU763" s="309"/>
      <c r="AV763" s="309"/>
      <c r="AW763" s="309"/>
      <c r="AX763" s="309"/>
      <c r="AY763" s="309"/>
      <c r="AZ763" s="309"/>
      <c r="BA763" s="310"/>
      <c r="BB763" s="310"/>
      <c r="BC763" s="310"/>
      <c r="BD763" s="310"/>
      <c r="BE763" s="310"/>
      <c r="BF763" s="310"/>
      <c r="BG763" s="310"/>
      <c r="BH763" s="310"/>
      <c r="BI763" s="310"/>
      <c r="BJ763" s="310"/>
      <c r="BK763" s="310"/>
      <c r="BL763" s="310"/>
      <c r="BM763" s="310"/>
      <c r="BN763" s="221"/>
      <c r="BO763" s="221"/>
      <c r="BP763" s="221"/>
      <c r="BQ763" s="221"/>
      <c r="BR763" s="221"/>
    </row>
    <row r="764" ht="15.75" customHeight="1">
      <c r="A764" s="220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309"/>
      <c r="Y764" s="309"/>
      <c r="Z764" s="309"/>
      <c r="AA764" s="309"/>
      <c r="AB764" s="309"/>
      <c r="AC764" s="309"/>
      <c r="AD764" s="309"/>
      <c r="AE764" s="309"/>
      <c r="AF764" s="309"/>
      <c r="AG764" s="309"/>
      <c r="AH764" s="309"/>
      <c r="AI764" s="309"/>
      <c r="AJ764" s="309"/>
      <c r="AK764" s="309"/>
      <c r="AL764" s="309"/>
      <c r="AM764" s="309"/>
      <c r="AN764" s="309"/>
      <c r="AO764" s="309"/>
      <c r="AP764" s="309"/>
      <c r="AQ764" s="309"/>
      <c r="AR764" s="309"/>
      <c r="AS764" s="309"/>
      <c r="AT764" s="309"/>
      <c r="AU764" s="309"/>
      <c r="AV764" s="309"/>
      <c r="AW764" s="309"/>
      <c r="AX764" s="309"/>
      <c r="AY764" s="309"/>
      <c r="AZ764" s="309"/>
      <c r="BA764" s="310"/>
      <c r="BB764" s="310"/>
      <c r="BC764" s="310"/>
      <c r="BD764" s="310"/>
      <c r="BE764" s="310"/>
      <c r="BF764" s="310"/>
      <c r="BG764" s="310"/>
      <c r="BH764" s="310"/>
      <c r="BI764" s="310"/>
      <c r="BJ764" s="310"/>
      <c r="BK764" s="310"/>
      <c r="BL764" s="310"/>
      <c r="BM764" s="310"/>
      <c r="BN764" s="221"/>
      <c r="BO764" s="221"/>
      <c r="BP764" s="221"/>
      <c r="BQ764" s="221"/>
      <c r="BR764" s="221"/>
    </row>
    <row r="765" ht="15.75" customHeight="1">
      <c r="A765" s="220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309"/>
      <c r="Y765" s="309"/>
      <c r="Z765" s="309"/>
      <c r="AA765" s="309"/>
      <c r="AB765" s="309"/>
      <c r="AC765" s="309"/>
      <c r="AD765" s="309"/>
      <c r="AE765" s="309"/>
      <c r="AF765" s="309"/>
      <c r="AG765" s="309"/>
      <c r="AH765" s="309"/>
      <c r="AI765" s="309"/>
      <c r="AJ765" s="309"/>
      <c r="AK765" s="309"/>
      <c r="AL765" s="309"/>
      <c r="AM765" s="309"/>
      <c r="AN765" s="309"/>
      <c r="AO765" s="309"/>
      <c r="AP765" s="309"/>
      <c r="AQ765" s="309"/>
      <c r="AR765" s="309"/>
      <c r="AS765" s="309"/>
      <c r="AT765" s="309"/>
      <c r="AU765" s="309"/>
      <c r="AV765" s="309"/>
      <c r="AW765" s="309"/>
      <c r="AX765" s="309"/>
      <c r="AY765" s="309"/>
      <c r="AZ765" s="309"/>
      <c r="BA765" s="310"/>
      <c r="BB765" s="310"/>
      <c r="BC765" s="310"/>
      <c r="BD765" s="310"/>
      <c r="BE765" s="310"/>
      <c r="BF765" s="310"/>
      <c r="BG765" s="310"/>
      <c r="BH765" s="310"/>
      <c r="BI765" s="310"/>
      <c r="BJ765" s="310"/>
      <c r="BK765" s="310"/>
      <c r="BL765" s="310"/>
      <c r="BM765" s="310"/>
      <c r="BN765" s="221"/>
      <c r="BO765" s="221"/>
      <c r="BP765" s="221"/>
      <c r="BQ765" s="221"/>
      <c r="BR765" s="221"/>
    </row>
    <row r="766" ht="15.75" customHeight="1">
      <c r="A766" s="220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309"/>
      <c r="Y766" s="309"/>
      <c r="Z766" s="309"/>
      <c r="AA766" s="309"/>
      <c r="AB766" s="309"/>
      <c r="AC766" s="309"/>
      <c r="AD766" s="309"/>
      <c r="AE766" s="309"/>
      <c r="AF766" s="309"/>
      <c r="AG766" s="309"/>
      <c r="AH766" s="309"/>
      <c r="AI766" s="309"/>
      <c r="AJ766" s="309"/>
      <c r="AK766" s="309"/>
      <c r="AL766" s="309"/>
      <c r="AM766" s="309"/>
      <c r="AN766" s="309"/>
      <c r="AO766" s="309"/>
      <c r="AP766" s="309"/>
      <c r="AQ766" s="309"/>
      <c r="AR766" s="309"/>
      <c r="AS766" s="309"/>
      <c r="AT766" s="309"/>
      <c r="AU766" s="309"/>
      <c r="AV766" s="309"/>
      <c r="AW766" s="309"/>
      <c r="AX766" s="309"/>
      <c r="AY766" s="309"/>
      <c r="AZ766" s="309"/>
      <c r="BA766" s="310"/>
      <c r="BB766" s="310"/>
      <c r="BC766" s="310"/>
      <c r="BD766" s="310"/>
      <c r="BE766" s="310"/>
      <c r="BF766" s="310"/>
      <c r="BG766" s="310"/>
      <c r="BH766" s="310"/>
      <c r="BI766" s="310"/>
      <c r="BJ766" s="310"/>
      <c r="BK766" s="310"/>
      <c r="BL766" s="310"/>
      <c r="BM766" s="310"/>
      <c r="BN766" s="221"/>
      <c r="BO766" s="221"/>
      <c r="BP766" s="221"/>
      <c r="BQ766" s="221"/>
      <c r="BR766" s="221"/>
    </row>
    <row r="767" ht="15.75" customHeight="1">
      <c r="A767" s="220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309"/>
      <c r="Y767" s="309"/>
      <c r="Z767" s="309"/>
      <c r="AA767" s="309"/>
      <c r="AB767" s="309"/>
      <c r="AC767" s="309"/>
      <c r="AD767" s="309"/>
      <c r="AE767" s="309"/>
      <c r="AF767" s="309"/>
      <c r="AG767" s="309"/>
      <c r="AH767" s="309"/>
      <c r="AI767" s="309"/>
      <c r="AJ767" s="309"/>
      <c r="AK767" s="309"/>
      <c r="AL767" s="309"/>
      <c r="AM767" s="309"/>
      <c r="AN767" s="309"/>
      <c r="AO767" s="309"/>
      <c r="AP767" s="309"/>
      <c r="AQ767" s="309"/>
      <c r="AR767" s="309"/>
      <c r="AS767" s="309"/>
      <c r="AT767" s="309"/>
      <c r="AU767" s="309"/>
      <c r="AV767" s="309"/>
      <c r="AW767" s="309"/>
      <c r="AX767" s="309"/>
      <c r="AY767" s="309"/>
      <c r="AZ767" s="309"/>
      <c r="BA767" s="310"/>
      <c r="BB767" s="310"/>
      <c r="BC767" s="310"/>
      <c r="BD767" s="310"/>
      <c r="BE767" s="310"/>
      <c r="BF767" s="310"/>
      <c r="BG767" s="310"/>
      <c r="BH767" s="310"/>
      <c r="BI767" s="310"/>
      <c r="BJ767" s="310"/>
      <c r="BK767" s="310"/>
      <c r="BL767" s="310"/>
      <c r="BM767" s="310"/>
      <c r="BN767" s="221"/>
      <c r="BO767" s="221"/>
      <c r="BP767" s="221"/>
      <c r="BQ767" s="221"/>
      <c r="BR767" s="221"/>
    </row>
    <row r="768" ht="15.75" customHeight="1">
      <c r="A768" s="220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309"/>
      <c r="Y768" s="309"/>
      <c r="Z768" s="309"/>
      <c r="AA768" s="309"/>
      <c r="AB768" s="309"/>
      <c r="AC768" s="309"/>
      <c r="AD768" s="309"/>
      <c r="AE768" s="309"/>
      <c r="AF768" s="309"/>
      <c r="AG768" s="309"/>
      <c r="AH768" s="309"/>
      <c r="AI768" s="309"/>
      <c r="AJ768" s="309"/>
      <c r="AK768" s="309"/>
      <c r="AL768" s="309"/>
      <c r="AM768" s="309"/>
      <c r="AN768" s="309"/>
      <c r="AO768" s="309"/>
      <c r="AP768" s="309"/>
      <c r="AQ768" s="309"/>
      <c r="AR768" s="309"/>
      <c r="AS768" s="309"/>
      <c r="AT768" s="309"/>
      <c r="AU768" s="309"/>
      <c r="AV768" s="309"/>
      <c r="AW768" s="309"/>
      <c r="AX768" s="309"/>
      <c r="AY768" s="309"/>
      <c r="AZ768" s="309"/>
      <c r="BA768" s="310"/>
      <c r="BB768" s="310"/>
      <c r="BC768" s="310"/>
      <c r="BD768" s="310"/>
      <c r="BE768" s="310"/>
      <c r="BF768" s="310"/>
      <c r="BG768" s="310"/>
      <c r="BH768" s="310"/>
      <c r="BI768" s="310"/>
      <c r="BJ768" s="310"/>
      <c r="BK768" s="310"/>
      <c r="BL768" s="310"/>
      <c r="BM768" s="310"/>
      <c r="BN768" s="221"/>
      <c r="BO768" s="221"/>
      <c r="BP768" s="221"/>
      <c r="BQ768" s="221"/>
      <c r="BR768" s="221"/>
    </row>
    <row r="769" ht="15.75" customHeight="1">
      <c r="A769" s="220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309"/>
      <c r="Y769" s="309"/>
      <c r="Z769" s="309"/>
      <c r="AA769" s="309"/>
      <c r="AB769" s="309"/>
      <c r="AC769" s="309"/>
      <c r="AD769" s="309"/>
      <c r="AE769" s="309"/>
      <c r="AF769" s="309"/>
      <c r="AG769" s="309"/>
      <c r="AH769" s="309"/>
      <c r="AI769" s="309"/>
      <c r="AJ769" s="309"/>
      <c r="AK769" s="309"/>
      <c r="AL769" s="309"/>
      <c r="AM769" s="309"/>
      <c r="AN769" s="309"/>
      <c r="AO769" s="309"/>
      <c r="AP769" s="309"/>
      <c r="AQ769" s="309"/>
      <c r="AR769" s="309"/>
      <c r="AS769" s="309"/>
      <c r="AT769" s="309"/>
      <c r="AU769" s="309"/>
      <c r="AV769" s="309"/>
      <c r="AW769" s="309"/>
      <c r="AX769" s="309"/>
      <c r="AY769" s="309"/>
      <c r="AZ769" s="309"/>
      <c r="BA769" s="310"/>
      <c r="BB769" s="310"/>
      <c r="BC769" s="310"/>
      <c r="BD769" s="310"/>
      <c r="BE769" s="310"/>
      <c r="BF769" s="310"/>
      <c r="BG769" s="310"/>
      <c r="BH769" s="310"/>
      <c r="BI769" s="310"/>
      <c r="BJ769" s="310"/>
      <c r="BK769" s="310"/>
      <c r="BL769" s="310"/>
      <c r="BM769" s="310"/>
      <c r="BN769" s="221"/>
      <c r="BO769" s="221"/>
      <c r="BP769" s="221"/>
      <c r="BQ769" s="221"/>
      <c r="BR769" s="221"/>
    </row>
    <row r="770" ht="15.75" customHeight="1">
      <c r="A770" s="220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309"/>
      <c r="Y770" s="309"/>
      <c r="Z770" s="309"/>
      <c r="AA770" s="309"/>
      <c r="AB770" s="309"/>
      <c r="AC770" s="309"/>
      <c r="AD770" s="309"/>
      <c r="AE770" s="309"/>
      <c r="AF770" s="309"/>
      <c r="AG770" s="309"/>
      <c r="AH770" s="309"/>
      <c r="AI770" s="309"/>
      <c r="AJ770" s="309"/>
      <c r="AK770" s="309"/>
      <c r="AL770" s="309"/>
      <c r="AM770" s="309"/>
      <c r="AN770" s="309"/>
      <c r="AO770" s="309"/>
      <c r="AP770" s="309"/>
      <c r="AQ770" s="309"/>
      <c r="AR770" s="309"/>
      <c r="AS770" s="309"/>
      <c r="AT770" s="309"/>
      <c r="AU770" s="309"/>
      <c r="AV770" s="309"/>
      <c r="AW770" s="309"/>
      <c r="AX770" s="309"/>
      <c r="AY770" s="309"/>
      <c r="AZ770" s="309"/>
      <c r="BA770" s="310"/>
      <c r="BB770" s="310"/>
      <c r="BC770" s="310"/>
      <c r="BD770" s="310"/>
      <c r="BE770" s="310"/>
      <c r="BF770" s="310"/>
      <c r="BG770" s="310"/>
      <c r="BH770" s="310"/>
      <c r="BI770" s="310"/>
      <c r="BJ770" s="310"/>
      <c r="BK770" s="310"/>
      <c r="BL770" s="310"/>
      <c r="BM770" s="310"/>
      <c r="BN770" s="221"/>
      <c r="BO770" s="221"/>
      <c r="BP770" s="221"/>
      <c r="BQ770" s="221"/>
      <c r="BR770" s="221"/>
    </row>
    <row r="771" ht="15.75" customHeight="1">
      <c r="A771" s="220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309"/>
      <c r="Y771" s="309"/>
      <c r="Z771" s="309"/>
      <c r="AA771" s="309"/>
      <c r="AB771" s="309"/>
      <c r="AC771" s="309"/>
      <c r="AD771" s="309"/>
      <c r="AE771" s="309"/>
      <c r="AF771" s="309"/>
      <c r="AG771" s="309"/>
      <c r="AH771" s="309"/>
      <c r="AI771" s="309"/>
      <c r="AJ771" s="309"/>
      <c r="AK771" s="309"/>
      <c r="AL771" s="309"/>
      <c r="AM771" s="309"/>
      <c r="AN771" s="309"/>
      <c r="AO771" s="309"/>
      <c r="AP771" s="309"/>
      <c r="AQ771" s="309"/>
      <c r="AR771" s="309"/>
      <c r="AS771" s="309"/>
      <c r="AT771" s="309"/>
      <c r="AU771" s="309"/>
      <c r="AV771" s="309"/>
      <c r="AW771" s="309"/>
      <c r="AX771" s="309"/>
      <c r="AY771" s="309"/>
      <c r="AZ771" s="309"/>
      <c r="BA771" s="310"/>
      <c r="BB771" s="310"/>
      <c r="BC771" s="310"/>
      <c r="BD771" s="310"/>
      <c r="BE771" s="310"/>
      <c r="BF771" s="310"/>
      <c r="BG771" s="310"/>
      <c r="BH771" s="310"/>
      <c r="BI771" s="310"/>
      <c r="BJ771" s="310"/>
      <c r="BK771" s="310"/>
      <c r="BL771" s="310"/>
      <c r="BM771" s="310"/>
      <c r="BN771" s="221"/>
      <c r="BO771" s="221"/>
      <c r="BP771" s="221"/>
      <c r="BQ771" s="221"/>
      <c r="BR771" s="221"/>
    </row>
    <row r="772" ht="15.75" customHeight="1">
      <c r="A772" s="220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309"/>
      <c r="Y772" s="309"/>
      <c r="Z772" s="309"/>
      <c r="AA772" s="309"/>
      <c r="AB772" s="309"/>
      <c r="AC772" s="309"/>
      <c r="AD772" s="309"/>
      <c r="AE772" s="309"/>
      <c r="AF772" s="309"/>
      <c r="AG772" s="309"/>
      <c r="AH772" s="309"/>
      <c r="AI772" s="309"/>
      <c r="AJ772" s="309"/>
      <c r="AK772" s="309"/>
      <c r="AL772" s="309"/>
      <c r="AM772" s="309"/>
      <c r="AN772" s="309"/>
      <c r="AO772" s="309"/>
      <c r="AP772" s="309"/>
      <c r="AQ772" s="309"/>
      <c r="AR772" s="309"/>
      <c r="AS772" s="309"/>
      <c r="AT772" s="309"/>
      <c r="AU772" s="309"/>
      <c r="AV772" s="309"/>
      <c r="AW772" s="309"/>
      <c r="AX772" s="309"/>
      <c r="AY772" s="309"/>
      <c r="AZ772" s="309"/>
      <c r="BA772" s="310"/>
      <c r="BB772" s="310"/>
      <c r="BC772" s="310"/>
      <c r="BD772" s="310"/>
      <c r="BE772" s="310"/>
      <c r="BF772" s="310"/>
      <c r="BG772" s="310"/>
      <c r="BH772" s="310"/>
      <c r="BI772" s="310"/>
      <c r="BJ772" s="310"/>
      <c r="BK772" s="310"/>
      <c r="BL772" s="310"/>
      <c r="BM772" s="310"/>
      <c r="BN772" s="221"/>
      <c r="BO772" s="221"/>
      <c r="BP772" s="221"/>
      <c r="BQ772" s="221"/>
      <c r="BR772" s="221"/>
    </row>
    <row r="773" ht="15.75" customHeight="1">
      <c r="A773" s="220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309"/>
      <c r="Y773" s="309"/>
      <c r="Z773" s="309"/>
      <c r="AA773" s="309"/>
      <c r="AB773" s="309"/>
      <c r="AC773" s="309"/>
      <c r="AD773" s="309"/>
      <c r="AE773" s="309"/>
      <c r="AF773" s="309"/>
      <c r="AG773" s="309"/>
      <c r="AH773" s="309"/>
      <c r="AI773" s="309"/>
      <c r="AJ773" s="309"/>
      <c r="AK773" s="309"/>
      <c r="AL773" s="309"/>
      <c r="AM773" s="309"/>
      <c r="AN773" s="309"/>
      <c r="AO773" s="309"/>
      <c r="AP773" s="309"/>
      <c r="AQ773" s="309"/>
      <c r="AR773" s="309"/>
      <c r="AS773" s="309"/>
      <c r="AT773" s="309"/>
      <c r="AU773" s="309"/>
      <c r="AV773" s="309"/>
      <c r="AW773" s="309"/>
      <c r="AX773" s="309"/>
      <c r="AY773" s="309"/>
      <c r="AZ773" s="309"/>
      <c r="BA773" s="310"/>
      <c r="BB773" s="310"/>
      <c r="BC773" s="310"/>
      <c r="BD773" s="310"/>
      <c r="BE773" s="310"/>
      <c r="BF773" s="310"/>
      <c r="BG773" s="310"/>
      <c r="BH773" s="310"/>
      <c r="BI773" s="310"/>
      <c r="BJ773" s="310"/>
      <c r="BK773" s="310"/>
      <c r="BL773" s="310"/>
      <c r="BM773" s="310"/>
      <c r="BN773" s="221"/>
      <c r="BO773" s="221"/>
      <c r="BP773" s="221"/>
      <c r="BQ773" s="221"/>
      <c r="BR773" s="221"/>
    </row>
    <row r="774" ht="15.75" customHeight="1">
      <c r="A774" s="220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309"/>
      <c r="Y774" s="309"/>
      <c r="Z774" s="309"/>
      <c r="AA774" s="309"/>
      <c r="AB774" s="309"/>
      <c r="AC774" s="309"/>
      <c r="AD774" s="309"/>
      <c r="AE774" s="309"/>
      <c r="AF774" s="309"/>
      <c r="AG774" s="309"/>
      <c r="AH774" s="309"/>
      <c r="AI774" s="309"/>
      <c r="AJ774" s="309"/>
      <c r="AK774" s="309"/>
      <c r="AL774" s="309"/>
      <c r="AM774" s="309"/>
      <c r="AN774" s="309"/>
      <c r="AO774" s="309"/>
      <c r="AP774" s="309"/>
      <c r="AQ774" s="309"/>
      <c r="AR774" s="309"/>
      <c r="AS774" s="309"/>
      <c r="AT774" s="309"/>
      <c r="AU774" s="309"/>
      <c r="AV774" s="309"/>
      <c r="AW774" s="309"/>
      <c r="AX774" s="309"/>
      <c r="AY774" s="309"/>
      <c r="AZ774" s="309"/>
      <c r="BA774" s="310"/>
      <c r="BB774" s="310"/>
      <c r="BC774" s="310"/>
      <c r="BD774" s="310"/>
      <c r="BE774" s="310"/>
      <c r="BF774" s="310"/>
      <c r="BG774" s="310"/>
      <c r="BH774" s="310"/>
      <c r="BI774" s="310"/>
      <c r="BJ774" s="310"/>
      <c r="BK774" s="310"/>
      <c r="BL774" s="310"/>
      <c r="BM774" s="310"/>
      <c r="BN774" s="221"/>
      <c r="BO774" s="221"/>
      <c r="BP774" s="221"/>
      <c r="BQ774" s="221"/>
      <c r="BR774" s="221"/>
    </row>
    <row r="775" ht="15.75" customHeight="1">
      <c r="A775" s="220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309"/>
      <c r="Y775" s="309"/>
      <c r="Z775" s="309"/>
      <c r="AA775" s="309"/>
      <c r="AB775" s="309"/>
      <c r="AC775" s="309"/>
      <c r="AD775" s="309"/>
      <c r="AE775" s="309"/>
      <c r="AF775" s="309"/>
      <c r="AG775" s="309"/>
      <c r="AH775" s="309"/>
      <c r="AI775" s="309"/>
      <c r="AJ775" s="309"/>
      <c r="AK775" s="309"/>
      <c r="AL775" s="309"/>
      <c r="AM775" s="309"/>
      <c r="AN775" s="309"/>
      <c r="AO775" s="309"/>
      <c r="AP775" s="309"/>
      <c r="AQ775" s="309"/>
      <c r="AR775" s="309"/>
      <c r="AS775" s="309"/>
      <c r="AT775" s="309"/>
      <c r="AU775" s="309"/>
      <c r="AV775" s="309"/>
      <c r="AW775" s="309"/>
      <c r="AX775" s="309"/>
      <c r="AY775" s="309"/>
      <c r="AZ775" s="309"/>
      <c r="BA775" s="310"/>
      <c r="BB775" s="310"/>
      <c r="BC775" s="310"/>
      <c r="BD775" s="310"/>
      <c r="BE775" s="310"/>
      <c r="BF775" s="310"/>
      <c r="BG775" s="310"/>
      <c r="BH775" s="310"/>
      <c r="BI775" s="310"/>
      <c r="BJ775" s="310"/>
      <c r="BK775" s="310"/>
      <c r="BL775" s="310"/>
      <c r="BM775" s="310"/>
      <c r="BN775" s="221"/>
      <c r="BO775" s="221"/>
      <c r="BP775" s="221"/>
      <c r="BQ775" s="221"/>
      <c r="BR775" s="221"/>
    </row>
    <row r="776" ht="15.75" customHeight="1">
      <c r="A776" s="220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309"/>
      <c r="Y776" s="309"/>
      <c r="Z776" s="309"/>
      <c r="AA776" s="309"/>
      <c r="AB776" s="309"/>
      <c r="AC776" s="309"/>
      <c r="AD776" s="309"/>
      <c r="AE776" s="309"/>
      <c r="AF776" s="309"/>
      <c r="AG776" s="309"/>
      <c r="AH776" s="309"/>
      <c r="AI776" s="309"/>
      <c r="AJ776" s="309"/>
      <c r="AK776" s="309"/>
      <c r="AL776" s="309"/>
      <c r="AM776" s="309"/>
      <c r="AN776" s="309"/>
      <c r="AO776" s="309"/>
      <c r="AP776" s="309"/>
      <c r="AQ776" s="309"/>
      <c r="AR776" s="309"/>
      <c r="AS776" s="309"/>
      <c r="AT776" s="309"/>
      <c r="AU776" s="309"/>
      <c r="AV776" s="309"/>
      <c r="AW776" s="309"/>
      <c r="AX776" s="309"/>
      <c r="AY776" s="309"/>
      <c r="AZ776" s="309"/>
      <c r="BA776" s="310"/>
      <c r="BB776" s="310"/>
      <c r="BC776" s="310"/>
      <c r="BD776" s="310"/>
      <c r="BE776" s="310"/>
      <c r="BF776" s="310"/>
      <c r="BG776" s="310"/>
      <c r="BH776" s="310"/>
      <c r="BI776" s="310"/>
      <c r="BJ776" s="310"/>
      <c r="BK776" s="310"/>
      <c r="BL776" s="310"/>
      <c r="BM776" s="310"/>
      <c r="BN776" s="221"/>
      <c r="BO776" s="221"/>
      <c r="BP776" s="221"/>
      <c r="BQ776" s="221"/>
      <c r="BR776" s="221"/>
    </row>
    <row r="777" ht="15.75" customHeight="1">
      <c r="A777" s="220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309"/>
      <c r="Y777" s="309"/>
      <c r="Z777" s="309"/>
      <c r="AA777" s="309"/>
      <c r="AB777" s="309"/>
      <c r="AC777" s="309"/>
      <c r="AD777" s="309"/>
      <c r="AE777" s="309"/>
      <c r="AF777" s="309"/>
      <c r="AG777" s="309"/>
      <c r="AH777" s="309"/>
      <c r="AI777" s="309"/>
      <c r="AJ777" s="309"/>
      <c r="AK777" s="309"/>
      <c r="AL777" s="309"/>
      <c r="AM777" s="309"/>
      <c r="AN777" s="309"/>
      <c r="AO777" s="309"/>
      <c r="AP777" s="309"/>
      <c r="AQ777" s="309"/>
      <c r="AR777" s="309"/>
      <c r="AS777" s="309"/>
      <c r="AT777" s="309"/>
      <c r="AU777" s="309"/>
      <c r="AV777" s="309"/>
      <c r="AW777" s="309"/>
      <c r="AX777" s="309"/>
      <c r="AY777" s="309"/>
      <c r="AZ777" s="309"/>
      <c r="BA777" s="310"/>
      <c r="BB777" s="310"/>
      <c r="BC777" s="310"/>
      <c r="BD777" s="310"/>
      <c r="BE777" s="310"/>
      <c r="BF777" s="310"/>
      <c r="BG777" s="310"/>
      <c r="BH777" s="310"/>
      <c r="BI777" s="310"/>
      <c r="BJ777" s="310"/>
      <c r="BK777" s="310"/>
      <c r="BL777" s="310"/>
      <c r="BM777" s="310"/>
      <c r="BN777" s="221"/>
      <c r="BO777" s="221"/>
      <c r="BP777" s="221"/>
      <c r="BQ777" s="221"/>
      <c r="BR777" s="221"/>
    </row>
    <row r="778" ht="15.75" customHeight="1">
      <c r="A778" s="220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309"/>
      <c r="Y778" s="309"/>
      <c r="Z778" s="309"/>
      <c r="AA778" s="309"/>
      <c r="AB778" s="309"/>
      <c r="AC778" s="309"/>
      <c r="AD778" s="309"/>
      <c r="AE778" s="309"/>
      <c r="AF778" s="309"/>
      <c r="AG778" s="309"/>
      <c r="AH778" s="309"/>
      <c r="AI778" s="309"/>
      <c r="AJ778" s="309"/>
      <c r="AK778" s="309"/>
      <c r="AL778" s="309"/>
      <c r="AM778" s="309"/>
      <c r="AN778" s="309"/>
      <c r="AO778" s="309"/>
      <c r="AP778" s="309"/>
      <c r="AQ778" s="309"/>
      <c r="AR778" s="309"/>
      <c r="AS778" s="309"/>
      <c r="AT778" s="309"/>
      <c r="AU778" s="309"/>
      <c r="AV778" s="309"/>
      <c r="AW778" s="309"/>
      <c r="AX778" s="309"/>
      <c r="AY778" s="309"/>
      <c r="AZ778" s="309"/>
      <c r="BA778" s="310"/>
      <c r="BB778" s="310"/>
      <c r="BC778" s="310"/>
      <c r="BD778" s="310"/>
      <c r="BE778" s="310"/>
      <c r="BF778" s="310"/>
      <c r="BG778" s="310"/>
      <c r="BH778" s="310"/>
      <c r="BI778" s="310"/>
      <c r="BJ778" s="310"/>
      <c r="BK778" s="310"/>
      <c r="BL778" s="310"/>
      <c r="BM778" s="310"/>
      <c r="BN778" s="221"/>
      <c r="BO778" s="221"/>
      <c r="BP778" s="221"/>
      <c r="BQ778" s="221"/>
      <c r="BR778" s="221"/>
    </row>
    <row r="779" ht="15.75" customHeight="1">
      <c r="A779" s="220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309"/>
      <c r="Y779" s="309"/>
      <c r="Z779" s="309"/>
      <c r="AA779" s="309"/>
      <c r="AB779" s="309"/>
      <c r="AC779" s="309"/>
      <c r="AD779" s="309"/>
      <c r="AE779" s="309"/>
      <c r="AF779" s="309"/>
      <c r="AG779" s="309"/>
      <c r="AH779" s="309"/>
      <c r="AI779" s="309"/>
      <c r="AJ779" s="309"/>
      <c r="AK779" s="309"/>
      <c r="AL779" s="309"/>
      <c r="AM779" s="309"/>
      <c r="AN779" s="309"/>
      <c r="AO779" s="309"/>
      <c r="AP779" s="309"/>
      <c r="AQ779" s="309"/>
      <c r="AR779" s="309"/>
      <c r="AS779" s="309"/>
      <c r="AT779" s="309"/>
      <c r="AU779" s="309"/>
      <c r="AV779" s="309"/>
      <c r="AW779" s="309"/>
      <c r="AX779" s="309"/>
      <c r="AY779" s="309"/>
      <c r="AZ779" s="309"/>
      <c r="BA779" s="310"/>
      <c r="BB779" s="310"/>
      <c r="BC779" s="310"/>
      <c r="BD779" s="310"/>
      <c r="BE779" s="310"/>
      <c r="BF779" s="310"/>
      <c r="BG779" s="310"/>
      <c r="BH779" s="310"/>
      <c r="BI779" s="310"/>
      <c r="BJ779" s="310"/>
      <c r="BK779" s="310"/>
      <c r="BL779" s="310"/>
      <c r="BM779" s="310"/>
      <c r="BN779" s="221"/>
      <c r="BO779" s="221"/>
      <c r="BP779" s="221"/>
      <c r="BQ779" s="221"/>
      <c r="BR779" s="221"/>
    </row>
    <row r="780" ht="15.75" customHeight="1">
      <c r="A780" s="220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309"/>
      <c r="Y780" s="309"/>
      <c r="Z780" s="309"/>
      <c r="AA780" s="309"/>
      <c r="AB780" s="309"/>
      <c r="AC780" s="309"/>
      <c r="AD780" s="309"/>
      <c r="AE780" s="309"/>
      <c r="AF780" s="309"/>
      <c r="AG780" s="309"/>
      <c r="AH780" s="309"/>
      <c r="AI780" s="309"/>
      <c r="AJ780" s="309"/>
      <c r="AK780" s="309"/>
      <c r="AL780" s="309"/>
      <c r="AM780" s="309"/>
      <c r="AN780" s="309"/>
      <c r="AO780" s="309"/>
      <c r="AP780" s="309"/>
      <c r="AQ780" s="309"/>
      <c r="AR780" s="309"/>
      <c r="AS780" s="309"/>
      <c r="AT780" s="309"/>
      <c r="AU780" s="309"/>
      <c r="AV780" s="309"/>
      <c r="AW780" s="309"/>
      <c r="AX780" s="309"/>
      <c r="AY780" s="309"/>
      <c r="AZ780" s="309"/>
      <c r="BA780" s="310"/>
      <c r="BB780" s="310"/>
      <c r="BC780" s="310"/>
      <c r="BD780" s="310"/>
      <c r="BE780" s="310"/>
      <c r="BF780" s="310"/>
      <c r="BG780" s="310"/>
      <c r="BH780" s="310"/>
      <c r="BI780" s="310"/>
      <c r="BJ780" s="310"/>
      <c r="BK780" s="310"/>
      <c r="BL780" s="310"/>
      <c r="BM780" s="310"/>
      <c r="BN780" s="221"/>
      <c r="BO780" s="221"/>
      <c r="BP780" s="221"/>
      <c r="BQ780" s="221"/>
      <c r="BR780" s="221"/>
    </row>
    <row r="781" ht="15.75" customHeight="1">
      <c r="A781" s="220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309"/>
      <c r="Y781" s="309"/>
      <c r="Z781" s="309"/>
      <c r="AA781" s="309"/>
      <c r="AB781" s="309"/>
      <c r="AC781" s="309"/>
      <c r="AD781" s="309"/>
      <c r="AE781" s="309"/>
      <c r="AF781" s="309"/>
      <c r="AG781" s="309"/>
      <c r="AH781" s="309"/>
      <c r="AI781" s="309"/>
      <c r="AJ781" s="309"/>
      <c r="AK781" s="309"/>
      <c r="AL781" s="309"/>
      <c r="AM781" s="309"/>
      <c r="AN781" s="309"/>
      <c r="AO781" s="309"/>
      <c r="AP781" s="309"/>
      <c r="AQ781" s="309"/>
      <c r="AR781" s="309"/>
      <c r="AS781" s="309"/>
      <c r="AT781" s="309"/>
      <c r="AU781" s="309"/>
      <c r="AV781" s="309"/>
      <c r="AW781" s="309"/>
      <c r="AX781" s="309"/>
      <c r="AY781" s="309"/>
      <c r="AZ781" s="309"/>
      <c r="BA781" s="310"/>
      <c r="BB781" s="310"/>
      <c r="BC781" s="310"/>
      <c r="BD781" s="310"/>
      <c r="BE781" s="310"/>
      <c r="BF781" s="310"/>
      <c r="BG781" s="310"/>
      <c r="BH781" s="310"/>
      <c r="BI781" s="310"/>
      <c r="BJ781" s="310"/>
      <c r="BK781" s="310"/>
      <c r="BL781" s="310"/>
      <c r="BM781" s="310"/>
      <c r="BN781" s="221"/>
      <c r="BO781" s="221"/>
      <c r="BP781" s="221"/>
      <c r="BQ781" s="221"/>
      <c r="BR781" s="221"/>
    </row>
    <row r="782" ht="15.75" customHeight="1">
      <c r="A782" s="220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309"/>
      <c r="Y782" s="309"/>
      <c r="Z782" s="309"/>
      <c r="AA782" s="309"/>
      <c r="AB782" s="309"/>
      <c r="AC782" s="309"/>
      <c r="AD782" s="309"/>
      <c r="AE782" s="309"/>
      <c r="AF782" s="309"/>
      <c r="AG782" s="309"/>
      <c r="AH782" s="309"/>
      <c r="AI782" s="309"/>
      <c r="AJ782" s="309"/>
      <c r="AK782" s="309"/>
      <c r="AL782" s="309"/>
      <c r="AM782" s="309"/>
      <c r="AN782" s="309"/>
      <c r="AO782" s="309"/>
      <c r="AP782" s="309"/>
      <c r="AQ782" s="309"/>
      <c r="AR782" s="309"/>
      <c r="AS782" s="309"/>
      <c r="AT782" s="309"/>
      <c r="AU782" s="309"/>
      <c r="AV782" s="309"/>
      <c r="AW782" s="309"/>
      <c r="AX782" s="309"/>
      <c r="AY782" s="309"/>
      <c r="AZ782" s="309"/>
      <c r="BA782" s="310"/>
      <c r="BB782" s="310"/>
      <c r="BC782" s="310"/>
      <c r="BD782" s="310"/>
      <c r="BE782" s="310"/>
      <c r="BF782" s="310"/>
      <c r="BG782" s="310"/>
      <c r="BH782" s="310"/>
      <c r="BI782" s="310"/>
      <c r="BJ782" s="310"/>
      <c r="BK782" s="310"/>
      <c r="BL782" s="310"/>
      <c r="BM782" s="310"/>
      <c r="BN782" s="221"/>
      <c r="BO782" s="221"/>
      <c r="BP782" s="221"/>
      <c r="BQ782" s="221"/>
      <c r="BR782" s="221"/>
    </row>
    <row r="783" ht="15.75" customHeight="1">
      <c r="A783" s="220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309"/>
      <c r="Y783" s="309"/>
      <c r="Z783" s="309"/>
      <c r="AA783" s="309"/>
      <c r="AB783" s="309"/>
      <c r="AC783" s="309"/>
      <c r="AD783" s="309"/>
      <c r="AE783" s="309"/>
      <c r="AF783" s="309"/>
      <c r="AG783" s="309"/>
      <c r="AH783" s="309"/>
      <c r="AI783" s="309"/>
      <c r="AJ783" s="309"/>
      <c r="AK783" s="309"/>
      <c r="AL783" s="309"/>
      <c r="AM783" s="309"/>
      <c r="AN783" s="309"/>
      <c r="AO783" s="309"/>
      <c r="AP783" s="309"/>
      <c r="AQ783" s="309"/>
      <c r="AR783" s="309"/>
      <c r="AS783" s="309"/>
      <c r="AT783" s="309"/>
      <c r="AU783" s="309"/>
      <c r="AV783" s="309"/>
      <c r="AW783" s="309"/>
      <c r="AX783" s="309"/>
      <c r="AY783" s="309"/>
      <c r="AZ783" s="309"/>
      <c r="BA783" s="310"/>
      <c r="BB783" s="310"/>
      <c r="BC783" s="310"/>
      <c r="BD783" s="310"/>
      <c r="BE783" s="310"/>
      <c r="BF783" s="310"/>
      <c r="BG783" s="310"/>
      <c r="BH783" s="310"/>
      <c r="BI783" s="310"/>
      <c r="BJ783" s="310"/>
      <c r="BK783" s="310"/>
      <c r="BL783" s="310"/>
      <c r="BM783" s="310"/>
      <c r="BN783" s="221"/>
      <c r="BO783" s="221"/>
      <c r="BP783" s="221"/>
      <c r="BQ783" s="221"/>
      <c r="BR783" s="221"/>
    </row>
    <row r="784" ht="15.75" customHeight="1">
      <c r="A784" s="220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309"/>
      <c r="Y784" s="309"/>
      <c r="Z784" s="309"/>
      <c r="AA784" s="309"/>
      <c r="AB784" s="309"/>
      <c r="AC784" s="309"/>
      <c r="AD784" s="309"/>
      <c r="AE784" s="309"/>
      <c r="AF784" s="309"/>
      <c r="AG784" s="309"/>
      <c r="AH784" s="309"/>
      <c r="AI784" s="309"/>
      <c r="AJ784" s="309"/>
      <c r="AK784" s="309"/>
      <c r="AL784" s="309"/>
      <c r="AM784" s="309"/>
      <c r="AN784" s="309"/>
      <c r="AO784" s="309"/>
      <c r="AP784" s="309"/>
      <c r="AQ784" s="309"/>
      <c r="AR784" s="309"/>
      <c r="AS784" s="309"/>
      <c r="AT784" s="309"/>
      <c r="AU784" s="309"/>
      <c r="AV784" s="309"/>
      <c r="AW784" s="309"/>
      <c r="AX784" s="309"/>
      <c r="AY784" s="309"/>
      <c r="AZ784" s="309"/>
      <c r="BA784" s="310"/>
      <c r="BB784" s="310"/>
      <c r="BC784" s="310"/>
      <c r="BD784" s="310"/>
      <c r="BE784" s="310"/>
      <c r="BF784" s="310"/>
      <c r="BG784" s="310"/>
      <c r="BH784" s="310"/>
      <c r="BI784" s="310"/>
      <c r="BJ784" s="310"/>
      <c r="BK784" s="310"/>
      <c r="BL784" s="310"/>
      <c r="BM784" s="310"/>
      <c r="BN784" s="221"/>
      <c r="BO784" s="221"/>
      <c r="BP784" s="221"/>
      <c r="BQ784" s="221"/>
      <c r="BR784" s="221"/>
    </row>
    <row r="785" ht="15.75" customHeight="1">
      <c r="A785" s="220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309"/>
      <c r="Y785" s="309"/>
      <c r="Z785" s="309"/>
      <c r="AA785" s="309"/>
      <c r="AB785" s="309"/>
      <c r="AC785" s="309"/>
      <c r="AD785" s="309"/>
      <c r="AE785" s="309"/>
      <c r="AF785" s="309"/>
      <c r="AG785" s="309"/>
      <c r="AH785" s="309"/>
      <c r="AI785" s="309"/>
      <c r="AJ785" s="309"/>
      <c r="AK785" s="309"/>
      <c r="AL785" s="309"/>
      <c r="AM785" s="309"/>
      <c r="AN785" s="309"/>
      <c r="AO785" s="309"/>
      <c r="AP785" s="309"/>
      <c r="AQ785" s="309"/>
      <c r="AR785" s="309"/>
      <c r="AS785" s="309"/>
      <c r="AT785" s="309"/>
      <c r="AU785" s="309"/>
      <c r="AV785" s="309"/>
      <c r="AW785" s="309"/>
      <c r="AX785" s="309"/>
      <c r="AY785" s="309"/>
      <c r="AZ785" s="309"/>
      <c r="BA785" s="310"/>
      <c r="BB785" s="310"/>
      <c r="BC785" s="310"/>
      <c r="BD785" s="310"/>
      <c r="BE785" s="310"/>
      <c r="BF785" s="310"/>
      <c r="BG785" s="310"/>
      <c r="BH785" s="310"/>
      <c r="BI785" s="310"/>
      <c r="BJ785" s="310"/>
      <c r="BK785" s="310"/>
      <c r="BL785" s="310"/>
      <c r="BM785" s="310"/>
      <c r="BN785" s="221"/>
      <c r="BO785" s="221"/>
      <c r="BP785" s="221"/>
      <c r="BQ785" s="221"/>
      <c r="BR785" s="221"/>
    </row>
    <row r="786" ht="15.75" customHeight="1">
      <c r="A786" s="220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309"/>
      <c r="Y786" s="309"/>
      <c r="Z786" s="309"/>
      <c r="AA786" s="309"/>
      <c r="AB786" s="309"/>
      <c r="AC786" s="309"/>
      <c r="AD786" s="309"/>
      <c r="AE786" s="309"/>
      <c r="AF786" s="309"/>
      <c r="AG786" s="309"/>
      <c r="AH786" s="309"/>
      <c r="AI786" s="309"/>
      <c r="AJ786" s="309"/>
      <c r="AK786" s="309"/>
      <c r="AL786" s="309"/>
      <c r="AM786" s="309"/>
      <c r="AN786" s="309"/>
      <c r="AO786" s="309"/>
      <c r="AP786" s="309"/>
      <c r="AQ786" s="309"/>
      <c r="AR786" s="309"/>
      <c r="AS786" s="309"/>
      <c r="AT786" s="309"/>
      <c r="AU786" s="309"/>
      <c r="AV786" s="309"/>
      <c r="AW786" s="309"/>
      <c r="AX786" s="309"/>
      <c r="AY786" s="309"/>
      <c r="AZ786" s="309"/>
      <c r="BA786" s="310"/>
      <c r="BB786" s="310"/>
      <c r="BC786" s="310"/>
      <c r="BD786" s="310"/>
      <c r="BE786" s="310"/>
      <c r="BF786" s="310"/>
      <c r="BG786" s="310"/>
      <c r="BH786" s="310"/>
      <c r="BI786" s="310"/>
      <c r="BJ786" s="310"/>
      <c r="BK786" s="310"/>
      <c r="BL786" s="310"/>
      <c r="BM786" s="310"/>
      <c r="BN786" s="221"/>
      <c r="BO786" s="221"/>
      <c r="BP786" s="221"/>
      <c r="BQ786" s="221"/>
      <c r="BR786" s="221"/>
    </row>
    <row r="787" ht="15.75" customHeight="1">
      <c r="A787" s="220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309"/>
      <c r="Y787" s="309"/>
      <c r="Z787" s="309"/>
      <c r="AA787" s="309"/>
      <c r="AB787" s="309"/>
      <c r="AC787" s="309"/>
      <c r="AD787" s="309"/>
      <c r="AE787" s="309"/>
      <c r="AF787" s="309"/>
      <c r="AG787" s="309"/>
      <c r="AH787" s="309"/>
      <c r="AI787" s="309"/>
      <c r="AJ787" s="309"/>
      <c r="AK787" s="309"/>
      <c r="AL787" s="309"/>
      <c r="AM787" s="309"/>
      <c r="AN787" s="309"/>
      <c r="AO787" s="309"/>
      <c r="AP787" s="309"/>
      <c r="AQ787" s="309"/>
      <c r="AR787" s="309"/>
      <c r="AS787" s="309"/>
      <c r="AT787" s="309"/>
      <c r="AU787" s="309"/>
      <c r="AV787" s="309"/>
      <c r="AW787" s="309"/>
      <c r="AX787" s="309"/>
      <c r="AY787" s="309"/>
      <c r="AZ787" s="309"/>
      <c r="BA787" s="310"/>
      <c r="BB787" s="310"/>
      <c r="BC787" s="310"/>
      <c r="BD787" s="310"/>
      <c r="BE787" s="310"/>
      <c r="BF787" s="310"/>
      <c r="BG787" s="310"/>
      <c r="BH787" s="310"/>
      <c r="BI787" s="310"/>
      <c r="BJ787" s="310"/>
      <c r="BK787" s="310"/>
      <c r="BL787" s="310"/>
      <c r="BM787" s="310"/>
      <c r="BN787" s="221"/>
      <c r="BO787" s="221"/>
      <c r="BP787" s="221"/>
      <c r="BQ787" s="221"/>
      <c r="BR787" s="221"/>
    </row>
    <row r="788" ht="15.75" customHeight="1">
      <c r="A788" s="220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309"/>
      <c r="Y788" s="309"/>
      <c r="Z788" s="309"/>
      <c r="AA788" s="309"/>
      <c r="AB788" s="309"/>
      <c r="AC788" s="309"/>
      <c r="AD788" s="309"/>
      <c r="AE788" s="309"/>
      <c r="AF788" s="309"/>
      <c r="AG788" s="309"/>
      <c r="AH788" s="309"/>
      <c r="AI788" s="309"/>
      <c r="AJ788" s="309"/>
      <c r="AK788" s="309"/>
      <c r="AL788" s="309"/>
      <c r="AM788" s="309"/>
      <c r="AN788" s="309"/>
      <c r="AO788" s="309"/>
      <c r="AP788" s="309"/>
      <c r="AQ788" s="309"/>
      <c r="AR788" s="309"/>
      <c r="AS788" s="309"/>
      <c r="AT788" s="309"/>
      <c r="AU788" s="309"/>
      <c r="AV788" s="309"/>
      <c r="AW788" s="309"/>
      <c r="AX788" s="309"/>
      <c r="AY788" s="309"/>
      <c r="AZ788" s="309"/>
      <c r="BA788" s="310"/>
      <c r="BB788" s="310"/>
      <c r="BC788" s="310"/>
      <c r="BD788" s="310"/>
      <c r="BE788" s="310"/>
      <c r="BF788" s="310"/>
      <c r="BG788" s="310"/>
      <c r="BH788" s="310"/>
      <c r="BI788" s="310"/>
      <c r="BJ788" s="310"/>
      <c r="BK788" s="310"/>
      <c r="BL788" s="310"/>
      <c r="BM788" s="310"/>
      <c r="BN788" s="221"/>
      <c r="BO788" s="221"/>
      <c r="BP788" s="221"/>
      <c r="BQ788" s="221"/>
      <c r="BR788" s="221"/>
    </row>
    <row r="789" ht="15.75" customHeight="1">
      <c r="A789" s="220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309"/>
      <c r="Y789" s="309"/>
      <c r="Z789" s="309"/>
      <c r="AA789" s="309"/>
      <c r="AB789" s="309"/>
      <c r="AC789" s="309"/>
      <c r="AD789" s="309"/>
      <c r="AE789" s="309"/>
      <c r="AF789" s="309"/>
      <c r="AG789" s="309"/>
      <c r="AH789" s="309"/>
      <c r="AI789" s="309"/>
      <c r="AJ789" s="309"/>
      <c r="AK789" s="309"/>
      <c r="AL789" s="309"/>
      <c r="AM789" s="309"/>
      <c r="AN789" s="309"/>
      <c r="AO789" s="309"/>
      <c r="AP789" s="309"/>
      <c r="AQ789" s="309"/>
      <c r="AR789" s="309"/>
      <c r="AS789" s="309"/>
      <c r="AT789" s="309"/>
      <c r="AU789" s="309"/>
      <c r="AV789" s="309"/>
      <c r="AW789" s="309"/>
      <c r="AX789" s="309"/>
      <c r="AY789" s="309"/>
      <c r="AZ789" s="309"/>
      <c r="BA789" s="310"/>
      <c r="BB789" s="310"/>
      <c r="BC789" s="310"/>
      <c r="BD789" s="310"/>
      <c r="BE789" s="310"/>
      <c r="BF789" s="310"/>
      <c r="BG789" s="310"/>
      <c r="BH789" s="310"/>
      <c r="BI789" s="310"/>
      <c r="BJ789" s="310"/>
      <c r="BK789" s="310"/>
      <c r="BL789" s="310"/>
      <c r="BM789" s="310"/>
      <c r="BN789" s="221"/>
      <c r="BO789" s="221"/>
      <c r="BP789" s="221"/>
      <c r="BQ789" s="221"/>
      <c r="BR789" s="221"/>
    </row>
    <row r="790" ht="15.75" customHeight="1">
      <c r="A790" s="220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309"/>
      <c r="Y790" s="309"/>
      <c r="Z790" s="309"/>
      <c r="AA790" s="309"/>
      <c r="AB790" s="309"/>
      <c r="AC790" s="309"/>
      <c r="AD790" s="309"/>
      <c r="AE790" s="309"/>
      <c r="AF790" s="309"/>
      <c r="AG790" s="309"/>
      <c r="AH790" s="309"/>
      <c r="AI790" s="309"/>
      <c r="AJ790" s="309"/>
      <c r="AK790" s="309"/>
      <c r="AL790" s="309"/>
      <c r="AM790" s="309"/>
      <c r="AN790" s="309"/>
      <c r="AO790" s="309"/>
      <c r="AP790" s="309"/>
      <c r="AQ790" s="309"/>
      <c r="AR790" s="309"/>
      <c r="AS790" s="309"/>
      <c r="AT790" s="309"/>
      <c r="AU790" s="309"/>
      <c r="AV790" s="309"/>
      <c r="AW790" s="309"/>
      <c r="AX790" s="309"/>
      <c r="AY790" s="309"/>
      <c r="AZ790" s="309"/>
      <c r="BA790" s="310"/>
      <c r="BB790" s="310"/>
      <c r="BC790" s="310"/>
      <c r="BD790" s="310"/>
      <c r="BE790" s="310"/>
      <c r="BF790" s="310"/>
      <c r="BG790" s="310"/>
      <c r="BH790" s="310"/>
      <c r="BI790" s="310"/>
      <c r="BJ790" s="310"/>
      <c r="BK790" s="310"/>
      <c r="BL790" s="310"/>
      <c r="BM790" s="310"/>
      <c r="BN790" s="221"/>
      <c r="BO790" s="221"/>
      <c r="BP790" s="221"/>
      <c r="BQ790" s="221"/>
      <c r="BR790" s="221"/>
    </row>
    <row r="791" ht="15.75" customHeight="1">
      <c r="A791" s="220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309"/>
      <c r="Y791" s="309"/>
      <c r="Z791" s="309"/>
      <c r="AA791" s="309"/>
      <c r="AB791" s="309"/>
      <c r="AC791" s="309"/>
      <c r="AD791" s="309"/>
      <c r="AE791" s="309"/>
      <c r="AF791" s="309"/>
      <c r="AG791" s="309"/>
      <c r="AH791" s="309"/>
      <c r="AI791" s="309"/>
      <c r="AJ791" s="309"/>
      <c r="AK791" s="309"/>
      <c r="AL791" s="309"/>
      <c r="AM791" s="309"/>
      <c r="AN791" s="309"/>
      <c r="AO791" s="309"/>
      <c r="AP791" s="309"/>
      <c r="AQ791" s="309"/>
      <c r="AR791" s="309"/>
      <c r="AS791" s="309"/>
      <c r="AT791" s="309"/>
      <c r="AU791" s="309"/>
      <c r="AV791" s="309"/>
      <c r="AW791" s="309"/>
      <c r="AX791" s="309"/>
      <c r="AY791" s="309"/>
      <c r="AZ791" s="309"/>
      <c r="BA791" s="310"/>
      <c r="BB791" s="310"/>
      <c r="BC791" s="310"/>
      <c r="BD791" s="310"/>
      <c r="BE791" s="310"/>
      <c r="BF791" s="310"/>
      <c r="BG791" s="310"/>
      <c r="BH791" s="310"/>
      <c r="BI791" s="310"/>
      <c r="BJ791" s="310"/>
      <c r="BK791" s="310"/>
      <c r="BL791" s="310"/>
      <c r="BM791" s="310"/>
      <c r="BN791" s="221"/>
      <c r="BO791" s="221"/>
      <c r="BP791" s="221"/>
      <c r="BQ791" s="221"/>
      <c r="BR791" s="221"/>
    </row>
    <row r="792" ht="15.75" customHeight="1">
      <c r="A792" s="220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309"/>
      <c r="Y792" s="309"/>
      <c r="Z792" s="309"/>
      <c r="AA792" s="309"/>
      <c r="AB792" s="309"/>
      <c r="AC792" s="309"/>
      <c r="AD792" s="309"/>
      <c r="AE792" s="309"/>
      <c r="AF792" s="309"/>
      <c r="AG792" s="309"/>
      <c r="AH792" s="309"/>
      <c r="AI792" s="309"/>
      <c r="AJ792" s="309"/>
      <c r="AK792" s="309"/>
      <c r="AL792" s="309"/>
      <c r="AM792" s="309"/>
      <c r="AN792" s="309"/>
      <c r="AO792" s="309"/>
      <c r="AP792" s="309"/>
      <c r="AQ792" s="309"/>
      <c r="AR792" s="309"/>
      <c r="AS792" s="309"/>
      <c r="AT792" s="309"/>
      <c r="AU792" s="309"/>
      <c r="AV792" s="309"/>
      <c r="AW792" s="309"/>
      <c r="AX792" s="309"/>
      <c r="AY792" s="309"/>
      <c r="AZ792" s="309"/>
      <c r="BA792" s="310"/>
      <c r="BB792" s="310"/>
      <c r="BC792" s="310"/>
      <c r="BD792" s="310"/>
      <c r="BE792" s="310"/>
      <c r="BF792" s="310"/>
      <c r="BG792" s="310"/>
      <c r="BH792" s="310"/>
      <c r="BI792" s="310"/>
      <c r="BJ792" s="310"/>
      <c r="BK792" s="310"/>
      <c r="BL792" s="310"/>
      <c r="BM792" s="310"/>
      <c r="BN792" s="221"/>
      <c r="BO792" s="221"/>
      <c r="BP792" s="221"/>
      <c r="BQ792" s="221"/>
      <c r="BR792" s="221"/>
    </row>
    <row r="793" ht="15.75" customHeight="1">
      <c r="A793" s="220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309"/>
      <c r="Y793" s="309"/>
      <c r="Z793" s="309"/>
      <c r="AA793" s="309"/>
      <c r="AB793" s="309"/>
      <c r="AC793" s="309"/>
      <c r="AD793" s="309"/>
      <c r="AE793" s="309"/>
      <c r="AF793" s="309"/>
      <c r="AG793" s="309"/>
      <c r="AH793" s="309"/>
      <c r="AI793" s="309"/>
      <c r="AJ793" s="309"/>
      <c r="AK793" s="309"/>
      <c r="AL793" s="309"/>
      <c r="AM793" s="309"/>
      <c r="AN793" s="309"/>
      <c r="AO793" s="309"/>
      <c r="AP793" s="309"/>
      <c r="AQ793" s="309"/>
      <c r="AR793" s="309"/>
      <c r="AS793" s="309"/>
      <c r="AT793" s="309"/>
      <c r="AU793" s="309"/>
      <c r="AV793" s="309"/>
      <c r="AW793" s="309"/>
      <c r="AX793" s="309"/>
      <c r="AY793" s="309"/>
      <c r="AZ793" s="309"/>
      <c r="BA793" s="310"/>
      <c r="BB793" s="310"/>
      <c r="BC793" s="310"/>
      <c r="BD793" s="310"/>
      <c r="BE793" s="310"/>
      <c r="BF793" s="310"/>
      <c r="BG793" s="310"/>
      <c r="BH793" s="310"/>
      <c r="BI793" s="310"/>
      <c r="BJ793" s="310"/>
      <c r="BK793" s="310"/>
      <c r="BL793" s="310"/>
      <c r="BM793" s="310"/>
      <c r="BN793" s="221"/>
      <c r="BO793" s="221"/>
      <c r="BP793" s="221"/>
      <c r="BQ793" s="221"/>
      <c r="BR793" s="221"/>
    </row>
    <row r="794" ht="15.75" customHeight="1">
      <c r="A794" s="220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309"/>
      <c r="Y794" s="309"/>
      <c r="Z794" s="309"/>
      <c r="AA794" s="309"/>
      <c r="AB794" s="309"/>
      <c r="AC794" s="309"/>
      <c r="AD794" s="309"/>
      <c r="AE794" s="309"/>
      <c r="AF794" s="309"/>
      <c r="AG794" s="309"/>
      <c r="AH794" s="309"/>
      <c r="AI794" s="309"/>
      <c r="AJ794" s="309"/>
      <c r="AK794" s="309"/>
      <c r="AL794" s="309"/>
      <c r="AM794" s="309"/>
      <c r="AN794" s="309"/>
      <c r="AO794" s="309"/>
      <c r="AP794" s="309"/>
      <c r="AQ794" s="309"/>
      <c r="AR794" s="309"/>
      <c r="AS794" s="309"/>
      <c r="AT794" s="309"/>
      <c r="AU794" s="309"/>
      <c r="AV794" s="309"/>
      <c r="AW794" s="309"/>
      <c r="AX794" s="309"/>
      <c r="AY794" s="309"/>
      <c r="AZ794" s="309"/>
      <c r="BA794" s="310"/>
      <c r="BB794" s="310"/>
      <c r="BC794" s="310"/>
      <c r="BD794" s="310"/>
      <c r="BE794" s="310"/>
      <c r="BF794" s="310"/>
      <c r="BG794" s="310"/>
      <c r="BH794" s="310"/>
      <c r="BI794" s="310"/>
      <c r="BJ794" s="310"/>
      <c r="BK794" s="310"/>
      <c r="BL794" s="310"/>
      <c r="BM794" s="310"/>
      <c r="BN794" s="221"/>
      <c r="BO794" s="221"/>
      <c r="BP794" s="221"/>
      <c r="BQ794" s="221"/>
      <c r="BR794" s="221"/>
    </row>
    <row r="795" ht="15.75" customHeight="1">
      <c r="A795" s="220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309"/>
      <c r="Y795" s="309"/>
      <c r="Z795" s="309"/>
      <c r="AA795" s="309"/>
      <c r="AB795" s="309"/>
      <c r="AC795" s="309"/>
      <c r="AD795" s="309"/>
      <c r="AE795" s="309"/>
      <c r="AF795" s="309"/>
      <c r="AG795" s="309"/>
      <c r="AH795" s="309"/>
      <c r="AI795" s="309"/>
      <c r="AJ795" s="309"/>
      <c r="AK795" s="309"/>
      <c r="AL795" s="309"/>
      <c r="AM795" s="309"/>
      <c r="AN795" s="309"/>
      <c r="AO795" s="309"/>
      <c r="AP795" s="309"/>
      <c r="AQ795" s="309"/>
      <c r="AR795" s="309"/>
      <c r="AS795" s="309"/>
      <c r="AT795" s="309"/>
      <c r="AU795" s="309"/>
      <c r="AV795" s="309"/>
      <c r="AW795" s="309"/>
      <c r="AX795" s="309"/>
      <c r="AY795" s="309"/>
      <c r="AZ795" s="309"/>
      <c r="BA795" s="310"/>
      <c r="BB795" s="310"/>
      <c r="BC795" s="310"/>
      <c r="BD795" s="310"/>
      <c r="BE795" s="310"/>
      <c r="BF795" s="310"/>
      <c r="BG795" s="310"/>
      <c r="BH795" s="310"/>
      <c r="BI795" s="310"/>
      <c r="BJ795" s="310"/>
      <c r="BK795" s="310"/>
      <c r="BL795" s="310"/>
      <c r="BM795" s="310"/>
      <c r="BN795" s="221"/>
      <c r="BO795" s="221"/>
      <c r="BP795" s="221"/>
      <c r="BQ795" s="221"/>
      <c r="BR795" s="221"/>
    </row>
    <row r="796" ht="15.75" customHeight="1">
      <c r="A796" s="220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309"/>
      <c r="Y796" s="309"/>
      <c r="Z796" s="309"/>
      <c r="AA796" s="309"/>
      <c r="AB796" s="309"/>
      <c r="AC796" s="309"/>
      <c r="AD796" s="309"/>
      <c r="AE796" s="309"/>
      <c r="AF796" s="309"/>
      <c r="AG796" s="309"/>
      <c r="AH796" s="309"/>
      <c r="AI796" s="309"/>
      <c r="AJ796" s="309"/>
      <c r="AK796" s="309"/>
      <c r="AL796" s="309"/>
      <c r="AM796" s="309"/>
      <c r="AN796" s="309"/>
      <c r="AO796" s="309"/>
      <c r="AP796" s="309"/>
      <c r="AQ796" s="309"/>
      <c r="AR796" s="309"/>
      <c r="AS796" s="309"/>
      <c r="AT796" s="309"/>
      <c r="AU796" s="309"/>
      <c r="AV796" s="309"/>
      <c r="AW796" s="309"/>
      <c r="AX796" s="309"/>
      <c r="AY796" s="309"/>
      <c r="AZ796" s="309"/>
      <c r="BA796" s="310"/>
      <c r="BB796" s="310"/>
      <c r="BC796" s="310"/>
      <c r="BD796" s="310"/>
      <c r="BE796" s="310"/>
      <c r="BF796" s="310"/>
      <c r="BG796" s="310"/>
      <c r="BH796" s="310"/>
      <c r="BI796" s="310"/>
      <c r="BJ796" s="310"/>
      <c r="BK796" s="310"/>
      <c r="BL796" s="310"/>
      <c r="BM796" s="310"/>
      <c r="BN796" s="221"/>
      <c r="BO796" s="221"/>
      <c r="BP796" s="221"/>
      <c r="BQ796" s="221"/>
      <c r="BR796" s="221"/>
    </row>
    <row r="797" ht="15.75" customHeight="1">
      <c r="A797" s="220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309"/>
      <c r="Y797" s="309"/>
      <c r="Z797" s="309"/>
      <c r="AA797" s="309"/>
      <c r="AB797" s="309"/>
      <c r="AC797" s="309"/>
      <c r="AD797" s="309"/>
      <c r="AE797" s="309"/>
      <c r="AF797" s="309"/>
      <c r="AG797" s="309"/>
      <c r="AH797" s="309"/>
      <c r="AI797" s="309"/>
      <c r="AJ797" s="309"/>
      <c r="AK797" s="309"/>
      <c r="AL797" s="309"/>
      <c r="AM797" s="309"/>
      <c r="AN797" s="309"/>
      <c r="AO797" s="309"/>
      <c r="AP797" s="309"/>
      <c r="AQ797" s="309"/>
      <c r="AR797" s="309"/>
      <c r="AS797" s="309"/>
      <c r="AT797" s="309"/>
      <c r="AU797" s="309"/>
      <c r="AV797" s="309"/>
      <c r="AW797" s="309"/>
      <c r="AX797" s="309"/>
      <c r="AY797" s="309"/>
      <c r="AZ797" s="309"/>
      <c r="BA797" s="310"/>
      <c r="BB797" s="310"/>
      <c r="BC797" s="310"/>
      <c r="BD797" s="310"/>
      <c r="BE797" s="310"/>
      <c r="BF797" s="310"/>
      <c r="BG797" s="310"/>
      <c r="BH797" s="310"/>
      <c r="BI797" s="310"/>
      <c r="BJ797" s="310"/>
      <c r="BK797" s="310"/>
      <c r="BL797" s="310"/>
      <c r="BM797" s="310"/>
      <c r="BN797" s="221"/>
      <c r="BO797" s="221"/>
      <c r="BP797" s="221"/>
      <c r="BQ797" s="221"/>
      <c r="BR797" s="221"/>
    </row>
    <row r="798" ht="15.75" customHeight="1">
      <c r="A798" s="220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309"/>
      <c r="Y798" s="309"/>
      <c r="Z798" s="309"/>
      <c r="AA798" s="309"/>
      <c r="AB798" s="309"/>
      <c r="AC798" s="309"/>
      <c r="AD798" s="309"/>
      <c r="AE798" s="309"/>
      <c r="AF798" s="309"/>
      <c r="AG798" s="309"/>
      <c r="AH798" s="309"/>
      <c r="AI798" s="309"/>
      <c r="AJ798" s="309"/>
      <c r="AK798" s="309"/>
      <c r="AL798" s="309"/>
      <c r="AM798" s="309"/>
      <c r="AN798" s="309"/>
      <c r="AO798" s="309"/>
      <c r="AP798" s="309"/>
      <c r="AQ798" s="309"/>
      <c r="AR798" s="309"/>
      <c r="AS798" s="309"/>
      <c r="AT798" s="309"/>
      <c r="AU798" s="309"/>
      <c r="AV798" s="309"/>
      <c r="AW798" s="309"/>
      <c r="AX798" s="309"/>
      <c r="AY798" s="309"/>
      <c r="AZ798" s="309"/>
      <c r="BA798" s="310"/>
      <c r="BB798" s="310"/>
      <c r="BC798" s="310"/>
      <c r="BD798" s="310"/>
      <c r="BE798" s="310"/>
      <c r="BF798" s="310"/>
      <c r="BG798" s="310"/>
      <c r="BH798" s="310"/>
      <c r="BI798" s="310"/>
      <c r="BJ798" s="310"/>
      <c r="BK798" s="310"/>
      <c r="BL798" s="310"/>
      <c r="BM798" s="310"/>
      <c r="BN798" s="221"/>
      <c r="BO798" s="221"/>
      <c r="BP798" s="221"/>
      <c r="BQ798" s="221"/>
      <c r="BR798" s="221"/>
    </row>
    <row r="799" ht="15.75" customHeight="1">
      <c r="A799" s="220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309"/>
      <c r="Y799" s="309"/>
      <c r="Z799" s="309"/>
      <c r="AA799" s="309"/>
      <c r="AB799" s="309"/>
      <c r="AC799" s="309"/>
      <c r="AD799" s="309"/>
      <c r="AE799" s="309"/>
      <c r="AF799" s="309"/>
      <c r="AG799" s="309"/>
      <c r="AH799" s="309"/>
      <c r="AI799" s="309"/>
      <c r="AJ799" s="309"/>
      <c r="AK799" s="309"/>
      <c r="AL799" s="309"/>
      <c r="AM799" s="309"/>
      <c r="AN799" s="309"/>
      <c r="AO799" s="309"/>
      <c r="AP799" s="309"/>
      <c r="AQ799" s="309"/>
      <c r="AR799" s="309"/>
      <c r="AS799" s="309"/>
      <c r="AT799" s="309"/>
      <c r="AU799" s="309"/>
      <c r="AV799" s="309"/>
      <c r="AW799" s="309"/>
      <c r="AX799" s="309"/>
      <c r="AY799" s="309"/>
      <c r="AZ799" s="309"/>
      <c r="BA799" s="310"/>
      <c r="BB799" s="310"/>
      <c r="BC799" s="310"/>
      <c r="BD799" s="310"/>
      <c r="BE799" s="310"/>
      <c r="BF799" s="310"/>
      <c r="BG799" s="310"/>
      <c r="BH799" s="310"/>
      <c r="BI799" s="310"/>
      <c r="BJ799" s="310"/>
      <c r="BK799" s="310"/>
      <c r="BL799" s="310"/>
      <c r="BM799" s="310"/>
      <c r="BN799" s="221"/>
      <c r="BO799" s="221"/>
      <c r="BP799" s="221"/>
      <c r="BQ799" s="221"/>
      <c r="BR799" s="221"/>
    </row>
    <row r="800" ht="15.75" customHeight="1">
      <c r="A800" s="220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309"/>
      <c r="Y800" s="309"/>
      <c r="Z800" s="309"/>
      <c r="AA800" s="309"/>
      <c r="AB800" s="309"/>
      <c r="AC800" s="309"/>
      <c r="AD800" s="309"/>
      <c r="AE800" s="309"/>
      <c r="AF800" s="309"/>
      <c r="AG800" s="309"/>
      <c r="AH800" s="309"/>
      <c r="AI800" s="309"/>
      <c r="AJ800" s="309"/>
      <c r="AK800" s="309"/>
      <c r="AL800" s="309"/>
      <c r="AM800" s="309"/>
      <c r="AN800" s="309"/>
      <c r="AO800" s="309"/>
      <c r="AP800" s="309"/>
      <c r="AQ800" s="309"/>
      <c r="AR800" s="309"/>
      <c r="AS800" s="309"/>
      <c r="AT800" s="309"/>
      <c r="AU800" s="309"/>
      <c r="AV800" s="309"/>
      <c r="AW800" s="309"/>
      <c r="AX800" s="309"/>
      <c r="AY800" s="309"/>
      <c r="AZ800" s="309"/>
      <c r="BA800" s="310"/>
      <c r="BB800" s="310"/>
      <c r="BC800" s="310"/>
      <c r="BD800" s="310"/>
      <c r="BE800" s="310"/>
      <c r="BF800" s="310"/>
      <c r="BG800" s="310"/>
      <c r="BH800" s="310"/>
      <c r="BI800" s="310"/>
      <c r="BJ800" s="310"/>
      <c r="BK800" s="310"/>
      <c r="BL800" s="310"/>
      <c r="BM800" s="310"/>
      <c r="BN800" s="221"/>
      <c r="BO800" s="221"/>
      <c r="BP800" s="221"/>
      <c r="BQ800" s="221"/>
      <c r="BR800" s="221"/>
    </row>
    <row r="801" ht="15.75" customHeight="1">
      <c r="A801" s="220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309"/>
      <c r="Y801" s="309"/>
      <c r="Z801" s="309"/>
      <c r="AA801" s="309"/>
      <c r="AB801" s="309"/>
      <c r="AC801" s="309"/>
      <c r="AD801" s="309"/>
      <c r="AE801" s="309"/>
      <c r="AF801" s="309"/>
      <c r="AG801" s="309"/>
      <c r="AH801" s="309"/>
      <c r="AI801" s="309"/>
      <c r="AJ801" s="309"/>
      <c r="AK801" s="309"/>
      <c r="AL801" s="309"/>
      <c r="AM801" s="309"/>
      <c r="AN801" s="309"/>
      <c r="AO801" s="309"/>
      <c r="AP801" s="309"/>
      <c r="AQ801" s="309"/>
      <c r="AR801" s="309"/>
      <c r="AS801" s="309"/>
      <c r="AT801" s="309"/>
      <c r="AU801" s="309"/>
      <c r="AV801" s="309"/>
      <c r="AW801" s="309"/>
      <c r="AX801" s="309"/>
      <c r="AY801" s="309"/>
      <c r="AZ801" s="309"/>
      <c r="BA801" s="310"/>
      <c r="BB801" s="310"/>
      <c r="BC801" s="310"/>
      <c r="BD801" s="310"/>
      <c r="BE801" s="310"/>
      <c r="BF801" s="310"/>
      <c r="BG801" s="310"/>
      <c r="BH801" s="310"/>
      <c r="BI801" s="310"/>
      <c r="BJ801" s="310"/>
      <c r="BK801" s="310"/>
      <c r="BL801" s="310"/>
      <c r="BM801" s="310"/>
      <c r="BN801" s="221"/>
      <c r="BO801" s="221"/>
      <c r="BP801" s="221"/>
      <c r="BQ801" s="221"/>
      <c r="BR801" s="221"/>
    </row>
    <row r="802" ht="15.75" customHeight="1">
      <c r="A802" s="220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309"/>
      <c r="Y802" s="309"/>
      <c r="Z802" s="309"/>
      <c r="AA802" s="309"/>
      <c r="AB802" s="309"/>
      <c r="AC802" s="309"/>
      <c r="AD802" s="309"/>
      <c r="AE802" s="309"/>
      <c r="AF802" s="309"/>
      <c r="AG802" s="309"/>
      <c r="AH802" s="309"/>
      <c r="AI802" s="309"/>
      <c r="AJ802" s="309"/>
      <c r="AK802" s="309"/>
      <c r="AL802" s="309"/>
      <c r="AM802" s="309"/>
      <c r="AN802" s="309"/>
      <c r="AO802" s="309"/>
      <c r="AP802" s="309"/>
      <c r="AQ802" s="309"/>
      <c r="AR802" s="309"/>
      <c r="AS802" s="309"/>
      <c r="AT802" s="309"/>
      <c r="AU802" s="309"/>
      <c r="AV802" s="309"/>
      <c r="AW802" s="309"/>
      <c r="AX802" s="309"/>
      <c r="AY802" s="309"/>
      <c r="AZ802" s="309"/>
      <c r="BA802" s="310"/>
      <c r="BB802" s="310"/>
      <c r="BC802" s="310"/>
      <c r="BD802" s="310"/>
      <c r="BE802" s="310"/>
      <c r="BF802" s="310"/>
      <c r="BG802" s="310"/>
      <c r="BH802" s="310"/>
      <c r="BI802" s="310"/>
      <c r="BJ802" s="310"/>
      <c r="BK802" s="310"/>
      <c r="BL802" s="310"/>
      <c r="BM802" s="310"/>
      <c r="BN802" s="221"/>
      <c r="BO802" s="221"/>
      <c r="BP802" s="221"/>
      <c r="BQ802" s="221"/>
      <c r="BR802" s="221"/>
    </row>
    <row r="803" ht="15.75" customHeight="1">
      <c r="A803" s="220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309"/>
      <c r="Y803" s="309"/>
      <c r="Z803" s="309"/>
      <c r="AA803" s="309"/>
      <c r="AB803" s="309"/>
      <c r="AC803" s="309"/>
      <c r="AD803" s="309"/>
      <c r="AE803" s="309"/>
      <c r="AF803" s="309"/>
      <c r="AG803" s="309"/>
      <c r="AH803" s="309"/>
      <c r="AI803" s="309"/>
      <c r="AJ803" s="309"/>
      <c r="AK803" s="309"/>
      <c r="AL803" s="309"/>
      <c r="AM803" s="309"/>
      <c r="AN803" s="309"/>
      <c r="AO803" s="309"/>
      <c r="AP803" s="309"/>
      <c r="AQ803" s="309"/>
      <c r="AR803" s="309"/>
      <c r="AS803" s="309"/>
      <c r="AT803" s="309"/>
      <c r="AU803" s="309"/>
      <c r="AV803" s="309"/>
      <c r="AW803" s="309"/>
      <c r="AX803" s="309"/>
      <c r="AY803" s="309"/>
      <c r="AZ803" s="309"/>
      <c r="BA803" s="310"/>
      <c r="BB803" s="310"/>
      <c r="BC803" s="310"/>
      <c r="BD803" s="310"/>
      <c r="BE803" s="310"/>
      <c r="BF803" s="310"/>
      <c r="BG803" s="310"/>
      <c r="BH803" s="310"/>
      <c r="BI803" s="310"/>
      <c r="BJ803" s="310"/>
      <c r="BK803" s="310"/>
      <c r="BL803" s="310"/>
      <c r="BM803" s="310"/>
      <c r="BN803" s="221"/>
      <c r="BO803" s="221"/>
      <c r="BP803" s="221"/>
      <c r="BQ803" s="221"/>
      <c r="BR803" s="221"/>
    </row>
    <row r="804" ht="15.75" customHeight="1">
      <c r="A804" s="220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309"/>
      <c r="Y804" s="309"/>
      <c r="Z804" s="309"/>
      <c r="AA804" s="309"/>
      <c r="AB804" s="309"/>
      <c r="AC804" s="309"/>
      <c r="AD804" s="309"/>
      <c r="AE804" s="309"/>
      <c r="AF804" s="309"/>
      <c r="AG804" s="309"/>
      <c r="AH804" s="309"/>
      <c r="AI804" s="309"/>
      <c r="AJ804" s="309"/>
      <c r="AK804" s="309"/>
      <c r="AL804" s="309"/>
      <c r="AM804" s="309"/>
      <c r="AN804" s="309"/>
      <c r="AO804" s="309"/>
      <c r="AP804" s="309"/>
      <c r="AQ804" s="309"/>
      <c r="AR804" s="309"/>
      <c r="AS804" s="309"/>
      <c r="AT804" s="309"/>
      <c r="AU804" s="309"/>
      <c r="AV804" s="309"/>
      <c r="AW804" s="309"/>
      <c r="AX804" s="309"/>
      <c r="AY804" s="309"/>
      <c r="AZ804" s="309"/>
      <c r="BA804" s="310"/>
      <c r="BB804" s="310"/>
      <c r="BC804" s="310"/>
      <c r="BD804" s="310"/>
      <c r="BE804" s="310"/>
      <c r="BF804" s="310"/>
      <c r="BG804" s="310"/>
      <c r="BH804" s="310"/>
      <c r="BI804" s="310"/>
      <c r="BJ804" s="310"/>
      <c r="BK804" s="310"/>
      <c r="BL804" s="310"/>
      <c r="BM804" s="310"/>
      <c r="BN804" s="221"/>
      <c r="BO804" s="221"/>
      <c r="BP804" s="221"/>
      <c r="BQ804" s="221"/>
      <c r="BR804" s="221"/>
    </row>
    <row r="805" ht="15.75" customHeight="1">
      <c r="A805" s="220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309"/>
      <c r="Y805" s="309"/>
      <c r="Z805" s="309"/>
      <c r="AA805" s="309"/>
      <c r="AB805" s="309"/>
      <c r="AC805" s="309"/>
      <c r="AD805" s="309"/>
      <c r="AE805" s="309"/>
      <c r="AF805" s="309"/>
      <c r="AG805" s="309"/>
      <c r="AH805" s="309"/>
      <c r="AI805" s="309"/>
      <c r="AJ805" s="309"/>
      <c r="AK805" s="309"/>
      <c r="AL805" s="309"/>
      <c r="AM805" s="309"/>
      <c r="AN805" s="309"/>
      <c r="AO805" s="309"/>
      <c r="AP805" s="309"/>
      <c r="AQ805" s="309"/>
      <c r="AR805" s="309"/>
      <c r="AS805" s="309"/>
      <c r="AT805" s="309"/>
      <c r="AU805" s="309"/>
      <c r="AV805" s="309"/>
      <c r="AW805" s="309"/>
      <c r="AX805" s="309"/>
      <c r="AY805" s="309"/>
      <c r="AZ805" s="309"/>
      <c r="BA805" s="310"/>
      <c r="BB805" s="310"/>
      <c r="BC805" s="310"/>
      <c r="BD805" s="310"/>
      <c r="BE805" s="310"/>
      <c r="BF805" s="310"/>
      <c r="BG805" s="310"/>
      <c r="BH805" s="310"/>
      <c r="BI805" s="310"/>
      <c r="BJ805" s="310"/>
      <c r="BK805" s="310"/>
      <c r="BL805" s="310"/>
      <c r="BM805" s="310"/>
      <c r="BN805" s="221"/>
      <c r="BO805" s="221"/>
      <c r="BP805" s="221"/>
      <c r="BQ805" s="221"/>
      <c r="BR805" s="221"/>
    </row>
    <row r="806" ht="15.75" customHeight="1">
      <c r="A806" s="220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309"/>
      <c r="Y806" s="309"/>
      <c r="Z806" s="309"/>
      <c r="AA806" s="309"/>
      <c r="AB806" s="309"/>
      <c r="AC806" s="309"/>
      <c r="AD806" s="309"/>
      <c r="AE806" s="309"/>
      <c r="AF806" s="309"/>
      <c r="AG806" s="309"/>
      <c r="AH806" s="309"/>
      <c r="AI806" s="309"/>
      <c r="AJ806" s="309"/>
      <c r="AK806" s="309"/>
      <c r="AL806" s="309"/>
      <c r="AM806" s="309"/>
      <c r="AN806" s="309"/>
      <c r="AO806" s="309"/>
      <c r="AP806" s="309"/>
      <c r="AQ806" s="309"/>
      <c r="AR806" s="309"/>
      <c r="AS806" s="309"/>
      <c r="AT806" s="309"/>
      <c r="AU806" s="309"/>
      <c r="AV806" s="309"/>
      <c r="AW806" s="309"/>
      <c r="AX806" s="309"/>
      <c r="AY806" s="309"/>
      <c r="AZ806" s="309"/>
      <c r="BA806" s="310"/>
      <c r="BB806" s="310"/>
      <c r="BC806" s="310"/>
      <c r="BD806" s="310"/>
      <c r="BE806" s="310"/>
      <c r="BF806" s="310"/>
      <c r="BG806" s="310"/>
      <c r="BH806" s="310"/>
      <c r="BI806" s="310"/>
      <c r="BJ806" s="310"/>
      <c r="BK806" s="310"/>
      <c r="BL806" s="310"/>
      <c r="BM806" s="310"/>
      <c r="BN806" s="221"/>
      <c r="BO806" s="221"/>
      <c r="BP806" s="221"/>
      <c r="BQ806" s="221"/>
      <c r="BR806" s="221"/>
    </row>
    <row r="807" ht="15.75" customHeight="1">
      <c r="A807" s="220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309"/>
      <c r="Y807" s="309"/>
      <c r="Z807" s="309"/>
      <c r="AA807" s="309"/>
      <c r="AB807" s="309"/>
      <c r="AC807" s="309"/>
      <c r="AD807" s="309"/>
      <c r="AE807" s="309"/>
      <c r="AF807" s="309"/>
      <c r="AG807" s="309"/>
      <c r="AH807" s="309"/>
      <c r="AI807" s="309"/>
      <c r="AJ807" s="309"/>
      <c r="AK807" s="309"/>
      <c r="AL807" s="309"/>
      <c r="AM807" s="309"/>
      <c r="AN807" s="309"/>
      <c r="AO807" s="309"/>
      <c r="AP807" s="309"/>
      <c r="AQ807" s="309"/>
      <c r="AR807" s="309"/>
      <c r="AS807" s="309"/>
      <c r="AT807" s="309"/>
      <c r="AU807" s="309"/>
      <c r="AV807" s="309"/>
      <c r="AW807" s="309"/>
      <c r="AX807" s="309"/>
      <c r="AY807" s="309"/>
      <c r="AZ807" s="309"/>
      <c r="BA807" s="310"/>
      <c r="BB807" s="310"/>
      <c r="BC807" s="310"/>
      <c r="BD807" s="310"/>
      <c r="BE807" s="310"/>
      <c r="BF807" s="310"/>
      <c r="BG807" s="310"/>
      <c r="BH807" s="310"/>
      <c r="BI807" s="310"/>
      <c r="BJ807" s="310"/>
      <c r="BK807" s="310"/>
      <c r="BL807" s="310"/>
      <c r="BM807" s="310"/>
      <c r="BN807" s="221"/>
      <c r="BO807" s="221"/>
      <c r="BP807" s="221"/>
      <c r="BQ807" s="221"/>
      <c r="BR807" s="221"/>
    </row>
    <row r="808" ht="15.75" customHeight="1">
      <c r="A808" s="220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309"/>
      <c r="Y808" s="309"/>
      <c r="Z808" s="309"/>
      <c r="AA808" s="309"/>
      <c r="AB808" s="309"/>
      <c r="AC808" s="309"/>
      <c r="AD808" s="309"/>
      <c r="AE808" s="309"/>
      <c r="AF808" s="309"/>
      <c r="AG808" s="309"/>
      <c r="AH808" s="309"/>
      <c r="AI808" s="309"/>
      <c r="AJ808" s="309"/>
      <c r="AK808" s="309"/>
      <c r="AL808" s="309"/>
      <c r="AM808" s="309"/>
      <c r="AN808" s="309"/>
      <c r="AO808" s="309"/>
      <c r="AP808" s="309"/>
      <c r="AQ808" s="309"/>
      <c r="AR808" s="309"/>
      <c r="AS808" s="309"/>
      <c r="AT808" s="309"/>
      <c r="AU808" s="309"/>
      <c r="AV808" s="309"/>
      <c r="AW808" s="309"/>
      <c r="AX808" s="309"/>
      <c r="AY808" s="309"/>
      <c r="AZ808" s="309"/>
      <c r="BA808" s="310"/>
      <c r="BB808" s="310"/>
      <c r="BC808" s="310"/>
      <c r="BD808" s="310"/>
      <c r="BE808" s="310"/>
      <c r="BF808" s="310"/>
      <c r="BG808" s="310"/>
      <c r="BH808" s="310"/>
      <c r="BI808" s="310"/>
      <c r="BJ808" s="310"/>
      <c r="BK808" s="310"/>
      <c r="BL808" s="310"/>
      <c r="BM808" s="310"/>
      <c r="BN808" s="221"/>
      <c r="BO808" s="221"/>
      <c r="BP808" s="221"/>
      <c r="BQ808" s="221"/>
      <c r="BR808" s="221"/>
    </row>
    <row r="809" ht="15.75" customHeight="1">
      <c r="A809" s="220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309"/>
      <c r="Y809" s="309"/>
      <c r="Z809" s="309"/>
      <c r="AA809" s="309"/>
      <c r="AB809" s="309"/>
      <c r="AC809" s="309"/>
      <c r="AD809" s="309"/>
      <c r="AE809" s="309"/>
      <c r="AF809" s="309"/>
      <c r="AG809" s="309"/>
      <c r="AH809" s="309"/>
      <c r="AI809" s="309"/>
      <c r="AJ809" s="309"/>
      <c r="AK809" s="309"/>
      <c r="AL809" s="309"/>
      <c r="AM809" s="309"/>
      <c r="AN809" s="309"/>
      <c r="AO809" s="309"/>
      <c r="AP809" s="309"/>
      <c r="AQ809" s="309"/>
      <c r="AR809" s="309"/>
      <c r="AS809" s="309"/>
      <c r="AT809" s="309"/>
      <c r="AU809" s="309"/>
      <c r="AV809" s="309"/>
      <c r="AW809" s="309"/>
      <c r="AX809" s="309"/>
      <c r="AY809" s="309"/>
      <c r="AZ809" s="309"/>
      <c r="BA809" s="310"/>
      <c r="BB809" s="310"/>
      <c r="BC809" s="310"/>
      <c r="BD809" s="310"/>
      <c r="BE809" s="310"/>
      <c r="BF809" s="310"/>
      <c r="BG809" s="310"/>
      <c r="BH809" s="310"/>
      <c r="BI809" s="310"/>
      <c r="BJ809" s="310"/>
      <c r="BK809" s="310"/>
      <c r="BL809" s="310"/>
      <c r="BM809" s="310"/>
      <c r="BN809" s="221"/>
      <c r="BO809" s="221"/>
      <c r="BP809" s="221"/>
      <c r="BQ809" s="221"/>
      <c r="BR809" s="221"/>
    </row>
    <row r="810" ht="15.75" customHeight="1">
      <c r="A810" s="220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309"/>
      <c r="Y810" s="309"/>
      <c r="Z810" s="309"/>
      <c r="AA810" s="309"/>
      <c r="AB810" s="309"/>
      <c r="AC810" s="309"/>
      <c r="AD810" s="309"/>
      <c r="AE810" s="309"/>
      <c r="AF810" s="309"/>
      <c r="AG810" s="309"/>
      <c r="AH810" s="309"/>
      <c r="AI810" s="309"/>
      <c r="AJ810" s="309"/>
      <c r="AK810" s="309"/>
      <c r="AL810" s="309"/>
      <c r="AM810" s="309"/>
      <c r="AN810" s="309"/>
      <c r="AO810" s="309"/>
      <c r="AP810" s="309"/>
      <c r="AQ810" s="309"/>
      <c r="AR810" s="309"/>
      <c r="AS810" s="309"/>
      <c r="AT810" s="309"/>
      <c r="AU810" s="309"/>
      <c r="AV810" s="309"/>
      <c r="AW810" s="309"/>
      <c r="AX810" s="309"/>
      <c r="AY810" s="309"/>
      <c r="AZ810" s="309"/>
      <c r="BA810" s="310"/>
      <c r="BB810" s="310"/>
      <c r="BC810" s="310"/>
      <c r="BD810" s="310"/>
      <c r="BE810" s="310"/>
      <c r="BF810" s="310"/>
      <c r="BG810" s="310"/>
      <c r="BH810" s="310"/>
      <c r="BI810" s="310"/>
      <c r="BJ810" s="310"/>
      <c r="BK810" s="310"/>
      <c r="BL810" s="310"/>
      <c r="BM810" s="310"/>
      <c r="BN810" s="221"/>
      <c r="BO810" s="221"/>
      <c r="BP810" s="221"/>
      <c r="BQ810" s="221"/>
      <c r="BR810" s="221"/>
    </row>
    <row r="811" ht="15.75" customHeight="1">
      <c r="A811" s="220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309"/>
      <c r="Y811" s="309"/>
      <c r="Z811" s="309"/>
      <c r="AA811" s="309"/>
      <c r="AB811" s="309"/>
      <c r="AC811" s="309"/>
      <c r="AD811" s="309"/>
      <c r="AE811" s="309"/>
      <c r="AF811" s="309"/>
      <c r="AG811" s="309"/>
      <c r="AH811" s="309"/>
      <c r="AI811" s="309"/>
      <c r="AJ811" s="309"/>
      <c r="AK811" s="309"/>
      <c r="AL811" s="309"/>
      <c r="AM811" s="309"/>
      <c r="AN811" s="309"/>
      <c r="AO811" s="309"/>
      <c r="AP811" s="309"/>
      <c r="AQ811" s="309"/>
      <c r="AR811" s="309"/>
      <c r="AS811" s="309"/>
      <c r="AT811" s="309"/>
      <c r="AU811" s="309"/>
      <c r="AV811" s="309"/>
      <c r="AW811" s="309"/>
      <c r="AX811" s="309"/>
      <c r="AY811" s="309"/>
      <c r="AZ811" s="309"/>
      <c r="BA811" s="310"/>
      <c r="BB811" s="310"/>
      <c r="BC811" s="310"/>
      <c r="BD811" s="310"/>
      <c r="BE811" s="310"/>
      <c r="BF811" s="310"/>
      <c r="BG811" s="310"/>
      <c r="BH811" s="310"/>
      <c r="BI811" s="310"/>
      <c r="BJ811" s="310"/>
      <c r="BK811" s="310"/>
      <c r="BL811" s="310"/>
      <c r="BM811" s="310"/>
      <c r="BN811" s="221"/>
      <c r="BO811" s="221"/>
      <c r="BP811" s="221"/>
      <c r="BQ811" s="221"/>
      <c r="BR811" s="221"/>
    </row>
    <row r="812" ht="15.75" customHeight="1">
      <c r="A812" s="220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309"/>
      <c r="Y812" s="309"/>
      <c r="Z812" s="309"/>
      <c r="AA812" s="309"/>
      <c r="AB812" s="309"/>
      <c r="AC812" s="309"/>
      <c r="AD812" s="309"/>
      <c r="AE812" s="309"/>
      <c r="AF812" s="309"/>
      <c r="AG812" s="309"/>
      <c r="AH812" s="309"/>
      <c r="AI812" s="309"/>
      <c r="AJ812" s="309"/>
      <c r="AK812" s="309"/>
      <c r="AL812" s="309"/>
      <c r="AM812" s="309"/>
      <c r="AN812" s="309"/>
      <c r="AO812" s="309"/>
      <c r="AP812" s="309"/>
      <c r="AQ812" s="309"/>
      <c r="AR812" s="309"/>
      <c r="AS812" s="309"/>
      <c r="AT812" s="309"/>
      <c r="AU812" s="309"/>
      <c r="AV812" s="309"/>
      <c r="AW812" s="309"/>
      <c r="AX812" s="309"/>
      <c r="AY812" s="309"/>
      <c r="AZ812" s="309"/>
      <c r="BA812" s="310"/>
      <c r="BB812" s="310"/>
      <c r="BC812" s="310"/>
      <c r="BD812" s="310"/>
      <c r="BE812" s="310"/>
      <c r="BF812" s="310"/>
      <c r="BG812" s="310"/>
      <c r="BH812" s="310"/>
      <c r="BI812" s="310"/>
      <c r="BJ812" s="310"/>
      <c r="BK812" s="310"/>
      <c r="BL812" s="310"/>
      <c r="BM812" s="310"/>
      <c r="BN812" s="221"/>
      <c r="BO812" s="221"/>
      <c r="BP812" s="221"/>
      <c r="BQ812" s="221"/>
      <c r="BR812" s="221"/>
    </row>
    <row r="813" ht="15.75" customHeight="1">
      <c r="A813" s="220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309"/>
      <c r="Y813" s="309"/>
      <c r="Z813" s="309"/>
      <c r="AA813" s="309"/>
      <c r="AB813" s="309"/>
      <c r="AC813" s="309"/>
      <c r="AD813" s="309"/>
      <c r="AE813" s="309"/>
      <c r="AF813" s="309"/>
      <c r="AG813" s="309"/>
      <c r="AH813" s="309"/>
      <c r="AI813" s="309"/>
      <c r="AJ813" s="309"/>
      <c r="AK813" s="309"/>
      <c r="AL813" s="309"/>
      <c r="AM813" s="309"/>
      <c r="AN813" s="309"/>
      <c r="AO813" s="309"/>
      <c r="AP813" s="309"/>
      <c r="AQ813" s="309"/>
      <c r="AR813" s="309"/>
      <c r="AS813" s="309"/>
      <c r="AT813" s="309"/>
      <c r="AU813" s="309"/>
      <c r="AV813" s="309"/>
      <c r="AW813" s="309"/>
      <c r="AX813" s="309"/>
      <c r="AY813" s="309"/>
      <c r="AZ813" s="309"/>
      <c r="BA813" s="310"/>
      <c r="BB813" s="310"/>
      <c r="BC813" s="310"/>
      <c r="BD813" s="310"/>
      <c r="BE813" s="310"/>
      <c r="BF813" s="310"/>
      <c r="BG813" s="310"/>
      <c r="BH813" s="310"/>
      <c r="BI813" s="310"/>
      <c r="BJ813" s="310"/>
      <c r="BK813" s="310"/>
      <c r="BL813" s="310"/>
      <c r="BM813" s="310"/>
      <c r="BN813" s="221"/>
      <c r="BO813" s="221"/>
      <c r="BP813" s="221"/>
      <c r="BQ813" s="221"/>
      <c r="BR813" s="221"/>
    </row>
    <row r="814" ht="15.75" customHeight="1">
      <c r="A814" s="220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309"/>
      <c r="Y814" s="309"/>
      <c r="Z814" s="309"/>
      <c r="AA814" s="309"/>
      <c r="AB814" s="309"/>
      <c r="AC814" s="309"/>
      <c r="AD814" s="309"/>
      <c r="AE814" s="309"/>
      <c r="AF814" s="309"/>
      <c r="AG814" s="309"/>
      <c r="AH814" s="309"/>
      <c r="AI814" s="309"/>
      <c r="AJ814" s="309"/>
      <c r="AK814" s="309"/>
      <c r="AL814" s="309"/>
      <c r="AM814" s="309"/>
      <c r="AN814" s="309"/>
      <c r="AO814" s="309"/>
      <c r="AP814" s="309"/>
      <c r="AQ814" s="309"/>
      <c r="AR814" s="309"/>
      <c r="AS814" s="309"/>
      <c r="AT814" s="309"/>
      <c r="AU814" s="309"/>
      <c r="AV814" s="309"/>
      <c r="AW814" s="309"/>
      <c r="AX814" s="309"/>
      <c r="AY814" s="309"/>
      <c r="AZ814" s="309"/>
      <c r="BA814" s="310"/>
      <c r="BB814" s="310"/>
      <c r="BC814" s="310"/>
      <c r="BD814" s="310"/>
      <c r="BE814" s="310"/>
      <c r="BF814" s="310"/>
      <c r="BG814" s="310"/>
      <c r="BH814" s="310"/>
      <c r="BI814" s="310"/>
      <c r="BJ814" s="310"/>
      <c r="BK814" s="310"/>
      <c r="BL814" s="310"/>
      <c r="BM814" s="310"/>
      <c r="BN814" s="221"/>
      <c r="BO814" s="221"/>
      <c r="BP814" s="221"/>
      <c r="BQ814" s="221"/>
      <c r="BR814" s="221"/>
    </row>
    <row r="815" ht="15.75" customHeight="1">
      <c r="A815" s="220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309"/>
      <c r="Y815" s="309"/>
      <c r="Z815" s="309"/>
      <c r="AA815" s="309"/>
      <c r="AB815" s="309"/>
      <c r="AC815" s="309"/>
      <c r="AD815" s="309"/>
      <c r="AE815" s="309"/>
      <c r="AF815" s="309"/>
      <c r="AG815" s="309"/>
      <c r="AH815" s="309"/>
      <c r="AI815" s="309"/>
      <c r="AJ815" s="309"/>
      <c r="AK815" s="309"/>
      <c r="AL815" s="309"/>
      <c r="AM815" s="309"/>
      <c r="AN815" s="309"/>
      <c r="AO815" s="309"/>
      <c r="AP815" s="309"/>
      <c r="AQ815" s="309"/>
      <c r="AR815" s="309"/>
      <c r="AS815" s="309"/>
      <c r="AT815" s="309"/>
      <c r="AU815" s="309"/>
      <c r="AV815" s="309"/>
      <c r="AW815" s="309"/>
      <c r="AX815" s="309"/>
      <c r="AY815" s="309"/>
      <c r="AZ815" s="309"/>
      <c r="BA815" s="310"/>
      <c r="BB815" s="310"/>
      <c r="BC815" s="310"/>
      <c r="BD815" s="310"/>
      <c r="BE815" s="310"/>
      <c r="BF815" s="310"/>
      <c r="BG815" s="310"/>
      <c r="BH815" s="310"/>
      <c r="BI815" s="310"/>
      <c r="BJ815" s="310"/>
      <c r="BK815" s="310"/>
      <c r="BL815" s="310"/>
      <c r="BM815" s="310"/>
      <c r="BN815" s="221"/>
      <c r="BO815" s="221"/>
      <c r="BP815" s="221"/>
      <c r="BQ815" s="221"/>
      <c r="BR815" s="221"/>
    </row>
    <row r="816" ht="15.75" customHeight="1">
      <c r="A816" s="220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309"/>
      <c r="Y816" s="309"/>
      <c r="Z816" s="309"/>
      <c r="AA816" s="309"/>
      <c r="AB816" s="309"/>
      <c r="AC816" s="309"/>
      <c r="AD816" s="309"/>
      <c r="AE816" s="309"/>
      <c r="AF816" s="309"/>
      <c r="AG816" s="309"/>
      <c r="AH816" s="309"/>
      <c r="AI816" s="309"/>
      <c r="AJ816" s="309"/>
      <c r="AK816" s="309"/>
      <c r="AL816" s="309"/>
      <c r="AM816" s="309"/>
      <c r="AN816" s="309"/>
      <c r="AO816" s="309"/>
      <c r="AP816" s="309"/>
      <c r="AQ816" s="309"/>
      <c r="AR816" s="309"/>
      <c r="AS816" s="309"/>
      <c r="AT816" s="309"/>
      <c r="AU816" s="309"/>
      <c r="AV816" s="309"/>
      <c r="AW816" s="309"/>
      <c r="AX816" s="309"/>
      <c r="AY816" s="309"/>
      <c r="AZ816" s="309"/>
      <c r="BA816" s="310"/>
      <c r="BB816" s="310"/>
      <c r="BC816" s="310"/>
      <c r="BD816" s="310"/>
      <c r="BE816" s="310"/>
      <c r="BF816" s="310"/>
      <c r="BG816" s="310"/>
      <c r="BH816" s="310"/>
      <c r="BI816" s="310"/>
      <c r="BJ816" s="310"/>
      <c r="BK816" s="310"/>
      <c r="BL816" s="310"/>
      <c r="BM816" s="310"/>
      <c r="BN816" s="221"/>
      <c r="BO816" s="221"/>
      <c r="BP816" s="221"/>
      <c r="BQ816" s="221"/>
      <c r="BR816" s="221"/>
    </row>
    <row r="817" ht="15.75" customHeight="1">
      <c r="A817" s="220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309"/>
      <c r="Y817" s="309"/>
      <c r="Z817" s="309"/>
      <c r="AA817" s="309"/>
      <c r="AB817" s="309"/>
      <c r="AC817" s="309"/>
      <c r="AD817" s="309"/>
      <c r="AE817" s="309"/>
      <c r="AF817" s="309"/>
      <c r="AG817" s="309"/>
      <c r="AH817" s="309"/>
      <c r="AI817" s="309"/>
      <c r="AJ817" s="309"/>
      <c r="AK817" s="309"/>
      <c r="AL817" s="309"/>
      <c r="AM817" s="309"/>
      <c r="AN817" s="309"/>
      <c r="AO817" s="309"/>
      <c r="AP817" s="309"/>
      <c r="AQ817" s="309"/>
      <c r="AR817" s="309"/>
      <c r="AS817" s="309"/>
      <c r="AT817" s="309"/>
      <c r="AU817" s="309"/>
      <c r="AV817" s="309"/>
      <c r="AW817" s="309"/>
      <c r="AX817" s="309"/>
      <c r="AY817" s="309"/>
      <c r="AZ817" s="309"/>
      <c r="BA817" s="310"/>
      <c r="BB817" s="310"/>
      <c r="BC817" s="310"/>
      <c r="BD817" s="310"/>
      <c r="BE817" s="310"/>
      <c r="BF817" s="310"/>
      <c r="BG817" s="310"/>
      <c r="BH817" s="310"/>
      <c r="BI817" s="310"/>
      <c r="BJ817" s="310"/>
      <c r="BK817" s="310"/>
      <c r="BL817" s="310"/>
      <c r="BM817" s="310"/>
      <c r="BN817" s="221"/>
      <c r="BO817" s="221"/>
      <c r="BP817" s="221"/>
      <c r="BQ817" s="221"/>
      <c r="BR817" s="221"/>
    </row>
    <row r="818" ht="15.75" customHeight="1">
      <c r="A818" s="220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309"/>
      <c r="Y818" s="309"/>
      <c r="Z818" s="309"/>
      <c r="AA818" s="309"/>
      <c r="AB818" s="309"/>
      <c r="AC818" s="309"/>
      <c r="AD818" s="309"/>
      <c r="AE818" s="309"/>
      <c r="AF818" s="309"/>
      <c r="AG818" s="309"/>
      <c r="AH818" s="309"/>
      <c r="AI818" s="309"/>
      <c r="AJ818" s="309"/>
      <c r="AK818" s="309"/>
      <c r="AL818" s="309"/>
      <c r="AM818" s="309"/>
      <c r="AN818" s="309"/>
      <c r="AO818" s="309"/>
      <c r="AP818" s="309"/>
      <c r="AQ818" s="309"/>
      <c r="AR818" s="309"/>
      <c r="AS818" s="309"/>
      <c r="AT818" s="309"/>
      <c r="AU818" s="309"/>
      <c r="AV818" s="309"/>
      <c r="AW818" s="309"/>
      <c r="AX818" s="309"/>
      <c r="AY818" s="309"/>
      <c r="AZ818" s="309"/>
      <c r="BA818" s="310"/>
      <c r="BB818" s="310"/>
      <c r="BC818" s="310"/>
      <c r="BD818" s="310"/>
      <c r="BE818" s="310"/>
      <c r="BF818" s="310"/>
      <c r="BG818" s="310"/>
      <c r="BH818" s="310"/>
      <c r="BI818" s="310"/>
      <c r="BJ818" s="310"/>
      <c r="BK818" s="310"/>
      <c r="BL818" s="310"/>
      <c r="BM818" s="310"/>
      <c r="BN818" s="221"/>
      <c r="BO818" s="221"/>
      <c r="BP818" s="221"/>
      <c r="BQ818" s="221"/>
      <c r="BR818" s="221"/>
    </row>
    <row r="819" ht="15.75" customHeight="1">
      <c r="A819" s="220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309"/>
      <c r="Y819" s="309"/>
      <c r="Z819" s="309"/>
      <c r="AA819" s="309"/>
      <c r="AB819" s="309"/>
      <c r="AC819" s="309"/>
      <c r="AD819" s="309"/>
      <c r="AE819" s="309"/>
      <c r="AF819" s="309"/>
      <c r="AG819" s="309"/>
      <c r="AH819" s="309"/>
      <c r="AI819" s="309"/>
      <c r="AJ819" s="309"/>
      <c r="AK819" s="309"/>
      <c r="AL819" s="309"/>
      <c r="AM819" s="309"/>
      <c r="AN819" s="309"/>
      <c r="AO819" s="309"/>
      <c r="AP819" s="309"/>
      <c r="AQ819" s="309"/>
      <c r="AR819" s="309"/>
      <c r="AS819" s="309"/>
      <c r="AT819" s="309"/>
      <c r="AU819" s="309"/>
      <c r="AV819" s="309"/>
      <c r="AW819" s="309"/>
      <c r="AX819" s="309"/>
      <c r="AY819" s="309"/>
      <c r="AZ819" s="309"/>
      <c r="BA819" s="310"/>
      <c r="BB819" s="310"/>
      <c r="BC819" s="310"/>
      <c r="BD819" s="310"/>
      <c r="BE819" s="310"/>
      <c r="BF819" s="310"/>
      <c r="BG819" s="310"/>
      <c r="BH819" s="310"/>
      <c r="BI819" s="310"/>
      <c r="BJ819" s="310"/>
      <c r="BK819" s="310"/>
      <c r="BL819" s="310"/>
      <c r="BM819" s="310"/>
      <c r="BN819" s="221"/>
      <c r="BO819" s="221"/>
      <c r="BP819" s="221"/>
      <c r="BQ819" s="221"/>
      <c r="BR819" s="221"/>
    </row>
    <row r="820" ht="15.75" customHeight="1">
      <c r="A820" s="220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309"/>
      <c r="Y820" s="309"/>
      <c r="Z820" s="309"/>
      <c r="AA820" s="309"/>
      <c r="AB820" s="309"/>
      <c r="AC820" s="309"/>
      <c r="AD820" s="309"/>
      <c r="AE820" s="309"/>
      <c r="AF820" s="309"/>
      <c r="AG820" s="309"/>
      <c r="AH820" s="309"/>
      <c r="AI820" s="309"/>
      <c r="AJ820" s="309"/>
      <c r="AK820" s="309"/>
      <c r="AL820" s="309"/>
      <c r="AM820" s="309"/>
      <c r="AN820" s="309"/>
      <c r="AO820" s="309"/>
      <c r="AP820" s="309"/>
      <c r="AQ820" s="309"/>
      <c r="AR820" s="309"/>
      <c r="AS820" s="309"/>
      <c r="AT820" s="309"/>
      <c r="AU820" s="309"/>
      <c r="AV820" s="309"/>
      <c r="AW820" s="309"/>
      <c r="AX820" s="309"/>
      <c r="AY820" s="309"/>
      <c r="AZ820" s="309"/>
      <c r="BA820" s="310"/>
      <c r="BB820" s="310"/>
      <c r="BC820" s="310"/>
      <c r="BD820" s="310"/>
      <c r="BE820" s="310"/>
      <c r="BF820" s="310"/>
      <c r="BG820" s="310"/>
      <c r="BH820" s="310"/>
      <c r="BI820" s="310"/>
      <c r="BJ820" s="310"/>
      <c r="BK820" s="310"/>
      <c r="BL820" s="310"/>
      <c r="BM820" s="310"/>
      <c r="BN820" s="221"/>
      <c r="BO820" s="221"/>
      <c r="BP820" s="221"/>
      <c r="BQ820" s="221"/>
      <c r="BR820" s="221"/>
    </row>
    <row r="821" ht="15.75" customHeight="1">
      <c r="A821" s="220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309"/>
      <c r="Y821" s="309"/>
      <c r="Z821" s="309"/>
      <c r="AA821" s="309"/>
      <c r="AB821" s="309"/>
      <c r="AC821" s="309"/>
      <c r="AD821" s="309"/>
      <c r="AE821" s="309"/>
      <c r="AF821" s="309"/>
      <c r="AG821" s="309"/>
      <c r="AH821" s="309"/>
      <c r="AI821" s="309"/>
      <c r="AJ821" s="309"/>
      <c r="AK821" s="309"/>
      <c r="AL821" s="309"/>
      <c r="AM821" s="309"/>
      <c r="AN821" s="309"/>
      <c r="AO821" s="309"/>
      <c r="AP821" s="309"/>
      <c r="AQ821" s="309"/>
      <c r="AR821" s="309"/>
      <c r="AS821" s="309"/>
      <c r="AT821" s="309"/>
      <c r="AU821" s="309"/>
      <c r="AV821" s="309"/>
      <c r="AW821" s="309"/>
      <c r="AX821" s="309"/>
      <c r="AY821" s="309"/>
      <c r="AZ821" s="309"/>
      <c r="BA821" s="310"/>
      <c r="BB821" s="310"/>
      <c r="BC821" s="310"/>
      <c r="BD821" s="310"/>
      <c r="BE821" s="310"/>
      <c r="BF821" s="310"/>
      <c r="BG821" s="310"/>
      <c r="BH821" s="310"/>
      <c r="BI821" s="310"/>
      <c r="BJ821" s="310"/>
      <c r="BK821" s="310"/>
      <c r="BL821" s="310"/>
      <c r="BM821" s="310"/>
      <c r="BN821" s="221"/>
      <c r="BO821" s="221"/>
      <c r="BP821" s="221"/>
      <c r="BQ821" s="221"/>
      <c r="BR821" s="221"/>
    </row>
    <row r="822" ht="15.75" customHeight="1">
      <c r="A822" s="220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309"/>
      <c r="Y822" s="309"/>
      <c r="Z822" s="309"/>
      <c r="AA822" s="309"/>
      <c r="AB822" s="309"/>
      <c r="AC822" s="309"/>
      <c r="AD822" s="309"/>
      <c r="AE822" s="309"/>
      <c r="AF822" s="309"/>
      <c r="AG822" s="309"/>
      <c r="AH822" s="309"/>
      <c r="AI822" s="309"/>
      <c r="AJ822" s="309"/>
      <c r="AK822" s="309"/>
      <c r="AL822" s="309"/>
      <c r="AM822" s="309"/>
      <c r="AN822" s="309"/>
      <c r="AO822" s="309"/>
      <c r="AP822" s="309"/>
      <c r="AQ822" s="309"/>
      <c r="AR822" s="309"/>
      <c r="AS822" s="309"/>
      <c r="AT822" s="309"/>
      <c r="AU822" s="309"/>
      <c r="AV822" s="309"/>
      <c r="AW822" s="309"/>
      <c r="AX822" s="309"/>
      <c r="AY822" s="309"/>
      <c r="AZ822" s="309"/>
      <c r="BA822" s="310"/>
      <c r="BB822" s="310"/>
      <c r="BC822" s="310"/>
      <c r="BD822" s="310"/>
      <c r="BE822" s="310"/>
      <c r="BF822" s="310"/>
      <c r="BG822" s="310"/>
      <c r="BH822" s="310"/>
      <c r="BI822" s="310"/>
      <c r="BJ822" s="310"/>
      <c r="BK822" s="310"/>
      <c r="BL822" s="310"/>
      <c r="BM822" s="310"/>
      <c r="BN822" s="221"/>
      <c r="BO822" s="221"/>
      <c r="BP822" s="221"/>
      <c r="BQ822" s="221"/>
      <c r="BR822" s="221"/>
    </row>
    <row r="823" ht="15.75" customHeight="1">
      <c r="A823" s="220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309"/>
      <c r="Y823" s="309"/>
      <c r="Z823" s="309"/>
      <c r="AA823" s="309"/>
      <c r="AB823" s="309"/>
      <c r="AC823" s="309"/>
      <c r="AD823" s="309"/>
      <c r="AE823" s="309"/>
      <c r="AF823" s="309"/>
      <c r="AG823" s="309"/>
      <c r="AH823" s="309"/>
      <c r="AI823" s="309"/>
      <c r="AJ823" s="309"/>
      <c r="AK823" s="309"/>
      <c r="AL823" s="309"/>
      <c r="AM823" s="309"/>
      <c r="AN823" s="309"/>
      <c r="AO823" s="309"/>
      <c r="AP823" s="309"/>
      <c r="AQ823" s="309"/>
      <c r="AR823" s="309"/>
      <c r="AS823" s="309"/>
      <c r="AT823" s="309"/>
      <c r="AU823" s="309"/>
      <c r="AV823" s="309"/>
      <c r="AW823" s="309"/>
      <c r="AX823" s="309"/>
      <c r="AY823" s="309"/>
      <c r="AZ823" s="309"/>
      <c r="BA823" s="310"/>
      <c r="BB823" s="310"/>
      <c r="BC823" s="310"/>
      <c r="BD823" s="310"/>
      <c r="BE823" s="310"/>
      <c r="BF823" s="310"/>
      <c r="BG823" s="310"/>
      <c r="BH823" s="310"/>
      <c r="BI823" s="310"/>
      <c r="BJ823" s="310"/>
      <c r="BK823" s="310"/>
      <c r="BL823" s="310"/>
      <c r="BM823" s="310"/>
      <c r="BN823" s="221"/>
      <c r="BO823" s="221"/>
      <c r="BP823" s="221"/>
      <c r="BQ823" s="221"/>
      <c r="BR823" s="221"/>
    </row>
    <row r="824" ht="15.75" customHeight="1">
      <c r="A824" s="220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309"/>
      <c r="Y824" s="309"/>
      <c r="Z824" s="309"/>
      <c r="AA824" s="309"/>
      <c r="AB824" s="309"/>
      <c r="AC824" s="309"/>
      <c r="AD824" s="309"/>
      <c r="AE824" s="309"/>
      <c r="AF824" s="309"/>
      <c r="AG824" s="309"/>
      <c r="AH824" s="309"/>
      <c r="AI824" s="309"/>
      <c r="AJ824" s="309"/>
      <c r="AK824" s="309"/>
      <c r="AL824" s="309"/>
      <c r="AM824" s="309"/>
      <c r="AN824" s="309"/>
      <c r="AO824" s="309"/>
      <c r="AP824" s="309"/>
      <c r="AQ824" s="309"/>
      <c r="AR824" s="309"/>
      <c r="AS824" s="309"/>
      <c r="AT824" s="309"/>
      <c r="AU824" s="309"/>
      <c r="AV824" s="309"/>
      <c r="AW824" s="309"/>
      <c r="AX824" s="309"/>
      <c r="AY824" s="309"/>
      <c r="AZ824" s="309"/>
      <c r="BA824" s="310"/>
      <c r="BB824" s="310"/>
      <c r="BC824" s="310"/>
      <c r="BD824" s="310"/>
      <c r="BE824" s="310"/>
      <c r="BF824" s="310"/>
      <c r="BG824" s="310"/>
      <c r="BH824" s="310"/>
      <c r="BI824" s="310"/>
      <c r="BJ824" s="310"/>
      <c r="BK824" s="310"/>
      <c r="BL824" s="310"/>
      <c r="BM824" s="310"/>
      <c r="BN824" s="221"/>
      <c r="BO824" s="221"/>
      <c r="BP824" s="221"/>
      <c r="BQ824" s="221"/>
      <c r="BR824" s="221"/>
    </row>
    <row r="825" ht="15.75" customHeight="1">
      <c r="A825" s="220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309"/>
      <c r="Y825" s="309"/>
      <c r="Z825" s="309"/>
      <c r="AA825" s="309"/>
      <c r="AB825" s="309"/>
      <c r="AC825" s="309"/>
      <c r="AD825" s="309"/>
      <c r="AE825" s="309"/>
      <c r="AF825" s="309"/>
      <c r="AG825" s="309"/>
      <c r="AH825" s="309"/>
      <c r="AI825" s="309"/>
      <c r="AJ825" s="309"/>
      <c r="AK825" s="309"/>
      <c r="AL825" s="309"/>
      <c r="AM825" s="309"/>
      <c r="AN825" s="309"/>
      <c r="AO825" s="309"/>
      <c r="AP825" s="309"/>
      <c r="AQ825" s="309"/>
      <c r="AR825" s="309"/>
      <c r="AS825" s="309"/>
      <c r="AT825" s="309"/>
      <c r="AU825" s="309"/>
      <c r="AV825" s="309"/>
      <c r="AW825" s="309"/>
      <c r="AX825" s="309"/>
      <c r="AY825" s="309"/>
      <c r="AZ825" s="309"/>
      <c r="BA825" s="310"/>
      <c r="BB825" s="310"/>
      <c r="BC825" s="310"/>
      <c r="BD825" s="310"/>
      <c r="BE825" s="310"/>
      <c r="BF825" s="310"/>
      <c r="BG825" s="310"/>
      <c r="BH825" s="310"/>
      <c r="BI825" s="310"/>
      <c r="BJ825" s="310"/>
      <c r="BK825" s="310"/>
      <c r="BL825" s="310"/>
      <c r="BM825" s="310"/>
      <c r="BN825" s="221"/>
      <c r="BO825" s="221"/>
      <c r="BP825" s="221"/>
      <c r="BQ825" s="221"/>
      <c r="BR825" s="221"/>
    </row>
    <row r="826" ht="15.75" customHeight="1">
      <c r="A826" s="220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309"/>
      <c r="Y826" s="309"/>
      <c r="Z826" s="309"/>
      <c r="AA826" s="309"/>
      <c r="AB826" s="309"/>
      <c r="AC826" s="309"/>
      <c r="AD826" s="309"/>
      <c r="AE826" s="309"/>
      <c r="AF826" s="309"/>
      <c r="AG826" s="309"/>
      <c r="AH826" s="309"/>
      <c r="AI826" s="309"/>
      <c r="AJ826" s="309"/>
      <c r="AK826" s="309"/>
      <c r="AL826" s="309"/>
      <c r="AM826" s="309"/>
      <c r="AN826" s="309"/>
      <c r="AO826" s="309"/>
      <c r="AP826" s="309"/>
      <c r="AQ826" s="309"/>
      <c r="AR826" s="309"/>
      <c r="AS826" s="309"/>
      <c r="AT826" s="309"/>
      <c r="AU826" s="309"/>
      <c r="AV826" s="309"/>
      <c r="AW826" s="309"/>
      <c r="AX826" s="309"/>
      <c r="AY826" s="309"/>
      <c r="AZ826" s="309"/>
      <c r="BA826" s="310"/>
      <c r="BB826" s="310"/>
      <c r="BC826" s="310"/>
      <c r="BD826" s="310"/>
      <c r="BE826" s="310"/>
      <c r="BF826" s="310"/>
      <c r="BG826" s="310"/>
      <c r="BH826" s="310"/>
      <c r="BI826" s="310"/>
      <c r="BJ826" s="310"/>
      <c r="BK826" s="310"/>
      <c r="BL826" s="310"/>
      <c r="BM826" s="310"/>
      <c r="BN826" s="221"/>
      <c r="BO826" s="221"/>
      <c r="BP826" s="221"/>
      <c r="BQ826" s="221"/>
      <c r="BR826" s="221"/>
    </row>
    <row r="827" ht="15.75" customHeight="1">
      <c r="A827" s="220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309"/>
      <c r="Y827" s="309"/>
      <c r="Z827" s="309"/>
      <c r="AA827" s="309"/>
      <c r="AB827" s="309"/>
      <c r="AC827" s="309"/>
      <c r="AD827" s="309"/>
      <c r="AE827" s="309"/>
      <c r="AF827" s="309"/>
      <c r="AG827" s="309"/>
      <c r="AH827" s="309"/>
      <c r="AI827" s="309"/>
      <c r="AJ827" s="309"/>
      <c r="AK827" s="309"/>
      <c r="AL827" s="309"/>
      <c r="AM827" s="309"/>
      <c r="AN827" s="309"/>
      <c r="AO827" s="309"/>
      <c r="AP827" s="309"/>
      <c r="AQ827" s="309"/>
      <c r="AR827" s="309"/>
      <c r="AS827" s="309"/>
      <c r="AT827" s="309"/>
      <c r="AU827" s="309"/>
      <c r="AV827" s="309"/>
      <c r="AW827" s="309"/>
      <c r="AX827" s="309"/>
      <c r="AY827" s="309"/>
      <c r="AZ827" s="309"/>
      <c r="BA827" s="310"/>
      <c r="BB827" s="310"/>
      <c r="BC827" s="310"/>
      <c r="BD827" s="310"/>
      <c r="BE827" s="310"/>
      <c r="BF827" s="310"/>
      <c r="BG827" s="310"/>
      <c r="BH827" s="310"/>
      <c r="BI827" s="310"/>
      <c r="BJ827" s="310"/>
      <c r="BK827" s="310"/>
      <c r="BL827" s="310"/>
      <c r="BM827" s="310"/>
      <c r="BN827" s="221"/>
      <c r="BO827" s="221"/>
      <c r="BP827" s="221"/>
      <c r="BQ827" s="221"/>
      <c r="BR827" s="221"/>
    </row>
    <row r="828" ht="15.75" customHeight="1">
      <c r="A828" s="220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309"/>
      <c r="Y828" s="309"/>
      <c r="Z828" s="309"/>
      <c r="AA828" s="309"/>
      <c r="AB828" s="309"/>
      <c r="AC828" s="309"/>
      <c r="AD828" s="309"/>
      <c r="AE828" s="309"/>
      <c r="AF828" s="309"/>
      <c r="AG828" s="309"/>
      <c r="AH828" s="309"/>
      <c r="AI828" s="309"/>
      <c r="AJ828" s="309"/>
      <c r="AK828" s="309"/>
      <c r="AL828" s="309"/>
      <c r="AM828" s="309"/>
      <c r="AN828" s="309"/>
      <c r="AO828" s="309"/>
      <c r="AP828" s="309"/>
      <c r="AQ828" s="309"/>
      <c r="AR828" s="309"/>
      <c r="AS828" s="309"/>
      <c r="AT828" s="309"/>
      <c r="AU828" s="309"/>
      <c r="AV828" s="309"/>
      <c r="AW828" s="309"/>
      <c r="AX828" s="309"/>
      <c r="AY828" s="309"/>
      <c r="AZ828" s="309"/>
      <c r="BA828" s="310"/>
      <c r="BB828" s="310"/>
      <c r="BC828" s="310"/>
      <c r="BD828" s="310"/>
      <c r="BE828" s="310"/>
      <c r="BF828" s="310"/>
      <c r="BG828" s="310"/>
      <c r="BH828" s="310"/>
      <c r="BI828" s="310"/>
      <c r="BJ828" s="310"/>
      <c r="BK828" s="310"/>
      <c r="BL828" s="310"/>
      <c r="BM828" s="310"/>
      <c r="BN828" s="221"/>
      <c r="BO828" s="221"/>
      <c r="BP828" s="221"/>
      <c r="BQ828" s="221"/>
      <c r="BR828" s="221"/>
    </row>
    <row r="829" ht="15.75" customHeight="1">
      <c r="A829" s="220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309"/>
      <c r="Y829" s="309"/>
      <c r="Z829" s="309"/>
      <c r="AA829" s="309"/>
      <c r="AB829" s="309"/>
      <c r="AC829" s="309"/>
      <c r="AD829" s="309"/>
      <c r="AE829" s="309"/>
      <c r="AF829" s="309"/>
      <c r="AG829" s="309"/>
      <c r="AH829" s="309"/>
      <c r="AI829" s="309"/>
      <c r="AJ829" s="309"/>
      <c r="AK829" s="309"/>
      <c r="AL829" s="309"/>
      <c r="AM829" s="309"/>
      <c r="AN829" s="309"/>
      <c r="AO829" s="309"/>
      <c r="AP829" s="309"/>
      <c r="AQ829" s="309"/>
      <c r="AR829" s="309"/>
      <c r="AS829" s="309"/>
      <c r="AT829" s="309"/>
      <c r="AU829" s="309"/>
      <c r="AV829" s="309"/>
      <c r="AW829" s="309"/>
      <c r="AX829" s="309"/>
      <c r="AY829" s="309"/>
      <c r="AZ829" s="309"/>
      <c r="BA829" s="310"/>
      <c r="BB829" s="310"/>
      <c r="BC829" s="310"/>
      <c r="BD829" s="310"/>
      <c r="BE829" s="310"/>
      <c r="BF829" s="310"/>
      <c r="BG829" s="310"/>
      <c r="BH829" s="310"/>
      <c r="BI829" s="310"/>
      <c r="BJ829" s="310"/>
      <c r="BK829" s="310"/>
      <c r="BL829" s="310"/>
      <c r="BM829" s="310"/>
      <c r="BN829" s="221"/>
      <c r="BO829" s="221"/>
      <c r="BP829" s="221"/>
      <c r="BQ829" s="221"/>
      <c r="BR829" s="221"/>
    </row>
    <row r="830" ht="15.75" customHeight="1">
      <c r="A830" s="220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309"/>
      <c r="Y830" s="309"/>
      <c r="Z830" s="309"/>
      <c r="AA830" s="309"/>
      <c r="AB830" s="309"/>
      <c r="AC830" s="309"/>
      <c r="AD830" s="309"/>
      <c r="AE830" s="309"/>
      <c r="AF830" s="309"/>
      <c r="AG830" s="309"/>
      <c r="AH830" s="309"/>
      <c r="AI830" s="309"/>
      <c r="AJ830" s="309"/>
      <c r="AK830" s="309"/>
      <c r="AL830" s="309"/>
      <c r="AM830" s="309"/>
      <c r="AN830" s="309"/>
      <c r="AO830" s="309"/>
      <c r="AP830" s="309"/>
      <c r="AQ830" s="309"/>
      <c r="AR830" s="309"/>
      <c r="AS830" s="309"/>
      <c r="AT830" s="309"/>
      <c r="AU830" s="309"/>
      <c r="AV830" s="309"/>
      <c r="AW830" s="309"/>
      <c r="AX830" s="309"/>
      <c r="AY830" s="309"/>
      <c r="AZ830" s="309"/>
      <c r="BA830" s="310"/>
      <c r="BB830" s="310"/>
      <c r="BC830" s="310"/>
      <c r="BD830" s="310"/>
      <c r="BE830" s="310"/>
      <c r="BF830" s="310"/>
      <c r="BG830" s="310"/>
      <c r="BH830" s="310"/>
      <c r="BI830" s="310"/>
      <c r="BJ830" s="310"/>
      <c r="BK830" s="310"/>
      <c r="BL830" s="310"/>
      <c r="BM830" s="310"/>
      <c r="BN830" s="221"/>
      <c r="BO830" s="221"/>
      <c r="BP830" s="221"/>
      <c r="BQ830" s="221"/>
      <c r="BR830" s="221"/>
    </row>
    <row r="831" ht="15.75" customHeight="1">
      <c r="A831" s="220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309"/>
      <c r="Y831" s="309"/>
      <c r="Z831" s="309"/>
      <c r="AA831" s="309"/>
      <c r="AB831" s="309"/>
      <c r="AC831" s="309"/>
      <c r="AD831" s="309"/>
      <c r="AE831" s="309"/>
      <c r="AF831" s="309"/>
      <c r="AG831" s="309"/>
      <c r="AH831" s="309"/>
      <c r="AI831" s="309"/>
      <c r="AJ831" s="309"/>
      <c r="AK831" s="309"/>
      <c r="AL831" s="309"/>
      <c r="AM831" s="309"/>
      <c r="AN831" s="309"/>
      <c r="AO831" s="309"/>
      <c r="AP831" s="309"/>
      <c r="AQ831" s="309"/>
      <c r="AR831" s="309"/>
      <c r="AS831" s="309"/>
      <c r="AT831" s="309"/>
      <c r="AU831" s="309"/>
      <c r="AV831" s="309"/>
      <c r="AW831" s="309"/>
      <c r="AX831" s="309"/>
      <c r="AY831" s="309"/>
      <c r="AZ831" s="309"/>
      <c r="BA831" s="310"/>
      <c r="BB831" s="310"/>
      <c r="BC831" s="310"/>
      <c r="BD831" s="310"/>
      <c r="BE831" s="310"/>
      <c r="BF831" s="310"/>
      <c r="BG831" s="310"/>
      <c r="BH831" s="310"/>
      <c r="BI831" s="310"/>
      <c r="BJ831" s="310"/>
      <c r="BK831" s="310"/>
      <c r="BL831" s="310"/>
      <c r="BM831" s="310"/>
      <c r="BN831" s="221"/>
      <c r="BO831" s="221"/>
      <c r="BP831" s="221"/>
      <c r="BQ831" s="221"/>
      <c r="BR831" s="221"/>
    </row>
    <row r="832" ht="15.75" customHeight="1">
      <c r="A832" s="220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309"/>
      <c r="Y832" s="309"/>
      <c r="Z832" s="309"/>
      <c r="AA832" s="309"/>
      <c r="AB832" s="309"/>
      <c r="AC832" s="309"/>
      <c r="AD832" s="309"/>
      <c r="AE832" s="309"/>
      <c r="AF832" s="309"/>
      <c r="AG832" s="309"/>
      <c r="AH832" s="309"/>
      <c r="AI832" s="309"/>
      <c r="AJ832" s="309"/>
      <c r="AK832" s="309"/>
      <c r="AL832" s="309"/>
      <c r="AM832" s="309"/>
      <c r="AN832" s="309"/>
      <c r="AO832" s="309"/>
      <c r="AP832" s="309"/>
      <c r="AQ832" s="309"/>
      <c r="AR832" s="309"/>
      <c r="AS832" s="309"/>
      <c r="AT832" s="309"/>
      <c r="AU832" s="309"/>
      <c r="AV832" s="309"/>
      <c r="AW832" s="309"/>
      <c r="AX832" s="309"/>
      <c r="AY832" s="309"/>
      <c r="AZ832" s="309"/>
      <c r="BA832" s="310"/>
      <c r="BB832" s="310"/>
      <c r="BC832" s="310"/>
      <c r="BD832" s="310"/>
      <c r="BE832" s="310"/>
      <c r="BF832" s="310"/>
      <c r="BG832" s="310"/>
      <c r="BH832" s="310"/>
      <c r="BI832" s="310"/>
      <c r="BJ832" s="310"/>
      <c r="BK832" s="310"/>
      <c r="BL832" s="310"/>
      <c r="BM832" s="310"/>
      <c r="BN832" s="221"/>
      <c r="BO832" s="221"/>
      <c r="BP832" s="221"/>
      <c r="BQ832" s="221"/>
      <c r="BR832" s="221"/>
    </row>
    <row r="833" ht="15.75" customHeight="1">
      <c r="A833" s="220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309"/>
      <c r="Y833" s="309"/>
      <c r="Z833" s="309"/>
      <c r="AA833" s="309"/>
      <c r="AB833" s="309"/>
      <c r="AC833" s="309"/>
      <c r="AD833" s="309"/>
      <c r="AE833" s="309"/>
      <c r="AF833" s="309"/>
      <c r="AG833" s="309"/>
      <c r="AH833" s="309"/>
      <c r="AI833" s="309"/>
      <c r="AJ833" s="309"/>
      <c r="AK833" s="309"/>
      <c r="AL833" s="309"/>
      <c r="AM833" s="309"/>
      <c r="AN833" s="309"/>
      <c r="AO833" s="309"/>
      <c r="AP833" s="309"/>
      <c r="AQ833" s="309"/>
      <c r="AR833" s="309"/>
      <c r="AS833" s="309"/>
      <c r="AT833" s="309"/>
      <c r="AU833" s="309"/>
      <c r="AV833" s="309"/>
      <c r="AW833" s="309"/>
      <c r="AX833" s="309"/>
      <c r="AY833" s="309"/>
      <c r="AZ833" s="309"/>
      <c r="BA833" s="310"/>
      <c r="BB833" s="310"/>
      <c r="BC833" s="310"/>
      <c r="BD833" s="310"/>
      <c r="BE833" s="310"/>
      <c r="BF833" s="310"/>
      <c r="BG833" s="310"/>
      <c r="BH833" s="310"/>
      <c r="BI833" s="310"/>
      <c r="BJ833" s="310"/>
      <c r="BK833" s="310"/>
      <c r="BL833" s="310"/>
      <c r="BM833" s="310"/>
      <c r="BN833" s="221"/>
      <c r="BO833" s="221"/>
      <c r="BP833" s="221"/>
      <c r="BQ833" s="221"/>
      <c r="BR833" s="221"/>
    </row>
    <row r="834" ht="15.75" customHeight="1">
      <c r="A834" s="220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309"/>
      <c r="Y834" s="309"/>
      <c r="Z834" s="309"/>
      <c r="AA834" s="309"/>
      <c r="AB834" s="309"/>
      <c r="AC834" s="309"/>
      <c r="AD834" s="309"/>
      <c r="AE834" s="309"/>
      <c r="AF834" s="309"/>
      <c r="AG834" s="309"/>
      <c r="AH834" s="309"/>
      <c r="AI834" s="309"/>
      <c r="AJ834" s="309"/>
      <c r="AK834" s="309"/>
      <c r="AL834" s="309"/>
      <c r="AM834" s="309"/>
      <c r="AN834" s="309"/>
      <c r="AO834" s="309"/>
      <c r="AP834" s="309"/>
      <c r="AQ834" s="309"/>
      <c r="AR834" s="309"/>
      <c r="AS834" s="309"/>
      <c r="AT834" s="309"/>
      <c r="AU834" s="309"/>
      <c r="AV834" s="309"/>
      <c r="AW834" s="309"/>
      <c r="AX834" s="309"/>
      <c r="AY834" s="309"/>
      <c r="AZ834" s="309"/>
      <c r="BA834" s="310"/>
      <c r="BB834" s="310"/>
      <c r="BC834" s="310"/>
      <c r="BD834" s="310"/>
      <c r="BE834" s="310"/>
      <c r="BF834" s="310"/>
      <c r="BG834" s="310"/>
      <c r="BH834" s="310"/>
      <c r="BI834" s="310"/>
      <c r="BJ834" s="310"/>
      <c r="BK834" s="310"/>
      <c r="BL834" s="310"/>
      <c r="BM834" s="310"/>
      <c r="BN834" s="221"/>
      <c r="BO834" s="221"/>
      <c r="BP834" s="221"/>
      <c r="BQ834" s="221"/>
      <c r="BR834" s="221"/>
    </row>
    <row r="835" ht="15.75" customHeight="1">
      <c r="A835" s="220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309"/>
      <c r="Y835" s="309"/>
      <c r="Z835" s="309"/>
      <c r="AA835" s="309"/>
      <c r="AB835" s="309"/>
      <c r="AC835" s="309"/>
      <c r="AD835" s="309"/>
      <c r="AE835" s="309"/>
      <c r="AF835" s="309"/>
      <c r="AG835" s="309"/>
      <c r="AH835" s="309"/>
      <c r="AI835" s="309"/>
      <c r="AJ835" s="309"/>
      <c r="AK835" s="309"/>
      <c r="AL835" s="309"/>
      <c r="AM835" s="309"/>
      <c r="AN835" s="309"/>
      <c r="AO835" s="309"/>
      <c r="AP835" s="309"/>
      <c r="AQ835" s="309"/>
      <c r="AR835" s="309"/>
      <c r="AS835" s="309"/>
      <c r="AT835" s="309"/>
      <c r="AU835" s="309"/>
      <c r="AV835" s="309"/>
      <c r="AW835" s="309"/>
      <c r="AX835" s="309"/>
      <c r="AY835" s="309"/>
      <c r="AZ835" s="309"/>
      <c r="BA835" s="310"/>
      <c r="BB835" s="310"/>
      <c r="BC835" s="310"/>
      <c r="BD835" s="310"/>
      <c r="BE835" s="310"/>
      <c r="BF835" s="310"/>
      <c r="BG835" s="310"/>
      <c r="BH835" s="310"/>
      <c r="BI835" s="310"/>
      <c r="BJ835" s="310"/>
      <c r="BK835" s="310"/>
      <c r="BL835" s="310"/>
      <c r="BM835" s="310"/>
      <c r="BN835" s="221"/>
      <c r="BO835" s="221"/>
      <c r="BP835" s="221"/>
      <c r="BQ835" s="221"/>
      <c r="BR835" s="221"/>
    </row>
    <row r="836" ht="15.75" customHeight="1">
      <c r="A836" s="220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309"/>
      <c r="Y836" s="309"/>
      <c r="Z836" s="309"/>
      <c r="AA836" s="309"/>
      <c r="AB836" s="309"/>
      <c r="AC836" s="309"/>
      <c r="AD836" s="309"/>
      <c r="AE836" s="309"/>
      <c r="AF836" s="309"/>
      <c r="AG836" s="309"/>
      <c r="AH836" s="309"/>
      <c r="AI836" s="309"/>
      <c r="AJ836" s="309"/>
      <c r="AK836" s="309"/>
      <c r="AL836" s="309"/>
      <c r="AM836" s="309"/>
      <c r="AN836" s="309"/>
      <c r="AO836" s="309"/>
      <c r="AP836" s="309"/>
      <c r="AQ836" s="309"/>
      <c r="AR836" s="309"/>
      <c r="AS836" s="309"/>
      <c r="AT836" s="309"/>
      <c r="AU836" s="309"/>
      <c r="AV836" s="309"/>
      <c r="AW836" s="309"/>
      <c r="AX836" s="309"/>
      <c r="AY836" s="309"/>
      <c r="AZ836" s="309"/>
      <c r="BA836" s="310"/>
      <c r="BB836" s="310"/>
      <c r="BC836" s="310"/>
      <c r="BD836" s="310"/>
      <c r="BE836" s="310"/>
      <c r="BF836" s="310"/>
      <c r="BG836" s="310"/>
      <c r="BH836" s="310"/>
      <c r="BI836" s="310"/>
      <c r="BJ836" s="310"/>
      <c r="BK836" s="310"/>
      <c r="BL836" s="310"/>
      <c r="BM836" s="310"/>
      <c r="BN836" s="221"/>
      <c r="BO836" s="221"/>
      <c r="BP836" s="221"/>
      <c r="BQ836" s="221"/>
      <c r="BR836" s="221"/>
    </row>
    <row r="837" ht="15.75" customHeight="1">
      <c r="A837" s="220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309"/>
      <c r="Y837" s="309"/>
      <c r="Z837" s="309"/>
      <c r="AA837" s="309"/>
      <c r="AB837" s="309"/>
      <c r="AC837" s="309"/>
      <c r="AD837" s="309"/>
      <c r="AE837" s="309"/>
      <c r="AF837" s="309"/>
      <c r="AG837" s="309"/>
      <c r="AH837" s="309"/>
      <c r="AI837" s="309"/>
      <c r="AJ837" s="309"/>
      <c r="AK837" s="309"/>
      <c r="AL837" s="309"/>
      <c r="AM837" s="309"/>
      <c r="AN837" s="309"/>
      <c r="AO837" s="309"/>
      <c r="AP837" s="309"/>
      <c r="AQ837" s="309"/>
      <c r="AR837" s="309"/>
      <c r="AS837" s="309"/>
      <c r="AT837" s="309"/>
      <c r="AU837" s="309"/>
      <c r="AV837" s="309"/>
      <c r="AW837" s="309"/>
      <c r="AX837" s="309"/>
      <c r="AY837" s="309"/>
      <c r="AZ837" s="309"/>
      <c r="BA837" s="310"/>
      <c r="BB837" s="310"/>
      <c r="BC837" s="310"/>
      <c r="BD837" s="310"/>
      <c r="BE837" s="310"/>
      <c r="BF837" s="310"/>
      <c r="BG837" s="310"/>
      <c r="BH837" s="310"/>
      <c r="BI837" s="310"/>
      <c r="BJ837" s="310"/>
      <c r="BK837" s="310"/>
      <c r="BL837" s="310"/>
      <c r="BM837" s="310"/>
      <c r="BN837" s="221"/>
      <c r="BO837" s="221"/>
      <c r="BP837" s="221"/>
      <c r="BQ837" s="221"/>
      <c r="BR837" s="221"/>
    </row>
    <row r="838" ht="15.75" customHeight="1">
      <c r="A838" s="220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309"/>
      <c r="Y838" s="309"/>
      <c r="Z838" s="309"/>
      <c r="AA838" s="309"/>
      <c r="AB838" s="309"/>
      <c r="AC838" s="309"/>
      <c r="AD838" s="309"/>
      <c r="AE838" s="309"/>
      <c r="AF838" s="309"/>
      <c r="AG838" s="309"/>
      <c r="AH838" s="309"/>
      <c r="AI838" s="309"/>
      <c r="AJ838" s="309"/>
      <c r="AK838" s="309"/>
      <c r="AL838" s="309"/>
      <c r="AM838" s="309"/>
      <c r="AN838" s="309"/>
      <c r="AO838" s="309"/>
      <c r="AP838" s="309"/>
      <c r="AQ838" s="309"/>
      <c r="AR838" s="309"/>
      <c r="AS838" s="309"/>
      <c r="AT838" s="309"/>
      <c r="AU838" s="309"/>
      <c r="AV838" s="309"/>
      <c r="AW838" s="309"/>
      <c r="AX838" s="309"/>
      <c r="AY838" s="309"/>
      <c r="AZ838" s="309"/>
      <c r="BA838" s="310"/>
      <c r="BB838" s="310"/>
      <c r="BC838" s="310"/>
      <c r="BD838" s="310"/>
      <c r="BE838" s="310"/>
      <c r="BF838" s="310"/>
      <c r="BG838" s="310"/>
      <c r="BH838" s="310"/>
      <c r="BI838" s="310"/>
      <c r="BJ838" s="310"/>
      <c r="BK838" s="310"/>
      <c r="BL838" s="310"/>
      <c r="BM838" s="310"/>
      <c r="BN838" s="221"/>
      <c r="BO838" s="221"/>
      <c r="BP838" s="221"/>
      <c r="BQ838" s="221"/>
      <c r="BR838" s="221"/>
    </row>
    <row r="839" ht="15.75" customHeight="1">
      <c r="A839" s="220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309"/>
      <c r="Y839" s="309"/>
      <c r="Z839" s="309"/>
      <c r="AA839" s="309"/>
      <c r="AB839" s="309"/>
      <c r="AC839" s="309"/>
      <c r="AD839" s="309"/>
      <c r="AE839" s="309"/>
      <c r="AF839" s="309"/>
      <c r="AG839" s="309"/>
      <c r="AH839" s="309"/>
      <c r="AI839" s="309"/>
      <c r="AJ839" s="309"/>
      <c r="AK839" s="309"/>
      <c r="AL839" s="309"/>
      <c r="AM839" s="309"/>
      <c r="AN839" s="309"/>
      <c r="AO839" s="309"/>
      <c r="AP839" s="309"/>
      <c r="AQ839" s="309"/>
      <c r="AR839" s="309"/>
      <c r="AS839" s="309"/>
      <c r="AT839" s="309"/>
      <c r="AU839" s="309"/>
      <c r="AV839" s="309"/>
      <c r="AW839" s="309"/>
      <c r="AX839" s="309"/>
      <c r="AY839" s="309"/>
      <c r="AZ839" s="309"/>
      <c r="BA839" s="310"/>
      <c r="BB839" s="310"/>
      <c r="BC839" s="310"/>
      <c r="BD839" s="310"/>
      <c r="BE839" s="310"/>
      <c r="BF839" s="310"/>
      <c r="BG839" s="310"/>
      <c r="BH839" s="310"/>
      <c r="BI839" s="310"/>
      <c r="BJ839" s="310"/>
      <c r="BK839" s="310"/>
      <c r="BL839" s="310"/>
      <c r="BM839" s="310"/>
      <c r="BN839" s="221"/>
      <c r="BO839" s="221"/>
      <c r="BP839" s="221"/>
      <c r="BQ839" s="221"/>
      <c r="BR839" s="221"/>
    </row>
    <row r="840" ht="15.75" customHeight="1">
      <c r="A840" s="220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309"/>
      <c r="Y840" s="309"/>
      <c r="Z840" s="309"/>
      <c r="AA840" s="309"/>
      <c r="AB840" s="309"/>
      <c r="AC840" s="309"/>
      <c r="AD840" s="309"/>
      <c r="AE840" s="309"/>
      <c r="AF840" s="309"/>
      <c r="AG840" s="309"/>
      <c r="AH840" s="309"/>
      <c r="AI840" s="309"/>
      <c r="AJ840" s="309"/>
      <c r="AK840" s="309"/>
      <c r="AL840" s="309"/>
      <c r="AM840" s="309"/>
      <c r="AN840" s="309"/>
      <c r="AO840" s="309"/>
      <c r="AP840" s="309"/>
      <c r="AQ840" s="309"/>
      <c r="AR840" s="309"/>
      <c r="AS840" s="309"/>
      <c r="AT840" s="309"/>
      <c r="AU840" s="309"/>
      <c r="AV840" s="309"/>
      <c r="AW840" s="309"/>
      <c r="AX840" s="309"/>
      <c r="AY840" s="309"/>
      <c r="AZ840" s="309"/>
      <c r="BA840" s="310"/>
      <c r="BB840" s="310"/>
      <c r="BC840" s="310"/>
      <c r="BD840" s="310"/>
      <c r="BE840" s="310"/>
      <c r="BF840" s="310"/>
      <c r="BG840" s="310"/>
      <c r="BH840" s="310"/>
      <c r="BI840" s="310"/>
      <c r="BJ840" s="310"/>
      <c r="BK840" s="310"/>
      <c r="BL840" s="310"/>
      <c r="BM840" s="310"/>
      <c r="BN840" s="221"/>
      <c r="BO840" s="221"/>
      <c r="BP840" s="221"/>
      <c r="BQ840" s="221"/>
      <c r="BR840" s="221"/>
    </row>
    <row r="841" ht="15.75" customHeight="1">
      <c r="A841" s="220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309"/>
      <c r="Y841" s="309"/>
      <c r="Z841" s="309"/>
      <c r="AA841" s="309"/>
      <c r="AB841" s="309"/>
      <c r="AC841" s="309"/>
      <c r="AD841" s="309"/>
      <c r="AE841" s="309"/>
      <c r="AF841" s="309"/>
      <c r="AG841" s="309"/>
      <c r="AH841" s="309"/>
      <c r="AI841" s="309"/>
      <c r="AJ841" s="309"/>
      <c r="AK841" s="309"/>
      <c r="AL841" s="309"/>
      <c r="AM841" s="309"/>
      <c r="AN841" s="309"/>
      <c r="AO841" s="309"/>
      <c r="AP841" s="309"/>
      <c r="AQ841" s="309"/>
      <c r="AR841" s="309"/>
      <c r="AS841" s="309"/>
      <c r="AT841" s="309"/>
      <c r="AU841" s="309"/>
      <c r="AV841" s="309"/>
      <c r="AW841" s="309"/>
      <c r="AX841" s="309"/>
      <c r="AY841" s="309"/>
      <c r="AZ841" s="309"/>
      <c r="BA841" s="310"/>
      <c r="BB841" s="310"/>
      <c r="BC841" s="310"/>
      <c r="BD841" s="310"/>
      <c r="BE841" s="310"/>
      <c r="BF841" s="310"/>
      <c r="BG841" s="310"/>
      <c r="BH841" s="310"/>
      <c r="BI841" s="310"/>
      <c r="BJ841" s="310"/>
      <c r="BK841" s="310"/>
      <c r="BL841" s="310"/>
      <c r="BM841" s="310"/>
      <c r="BN841" s="221"/>
      <c r="BO841" s="221"/>
      <c r="BP841" s="221"/>
      <c r="BQ841" s="221"/>
      <c r="BR841" s="221"/>
    </row>
    <row r="842" ht="15.75" customHeight="1">
      <c r="A842" s="220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309"/>
      <c r="Y842" s="309"/>
      <c r="Z842" s="309"/>
      <c r="AA842" s="309"/>
      <c r="AB842" s="309"/>
      <c r="AC842" s="309"/>
      <c r="AD842" s="309"/>
      <c r="AE842" s="309"/>
      <c r="AF842" s="309"/>
      <c r="AG842" s="309"/>
      <c r="AH842" s="309"/>
      <c r="AI842" s="309"/>
      <c r="AJ842" s="309"/>
      <c r="AK842" s="309"/>
      <c r="AL842" s="309"/>
      <c r="AM842" s="309"/>
      <c r="AN842" s="309"/>
      <c r="AO842" s="309"/>
      <c r="AP842" s="309"/>
      <c r="AQ842" s="309"/>
      <c r="AR842" s="309"/>
      <c r="AS842" s="309"/>
      <c r="AT842" s="309"/>
      <c r="AU842" s="309"/>
      <c r="AV842" s="309"/>
      <c r="AW842" s="309"/>
      <c r="AX842" s="309"/>
      <c r="AY842" s="309"/>
      <c r="AZ842" s="309"/>
      <c r="BA842" s="310"/>
      <c r="BB842" s="310"/>
      <c r="BC842" s="310"/>
      <c r="BD842" s="310"/>
      <c r="BE842" s="310"/>
      <c r="BF842" s="310"/>
      <c r="BG842" s="310"/>
      <c r="BH842" s="310"/>
      <c r="BI842" s="310"/>
      <c r="BJ842" s="310"/>
      <c r="BK842" s="310"/>
      <c r="BL842" s="310"/>
      <c r="BM842" s="310"/>
      <c r="BN842" s="221"/>
      <c r="BO842" s="221"/>
      <c r="BP842" s="221"/>
      <c r="BQ842" s="221"/>
      <c r="BR842" s="221"/>
    </row>
    <row r="843" ht="15.75" customHeight="1">
      <c r="A843" s="220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309"/>
      <c r="Y843" s="309"/>
      <c r="Z843" s="309"/>
      <c r="AA843" s="309"/>
      <c r="AB843" s="309"/>
      <c r="AC843" s="309"/>
      <c r="AD843" s="309"/>
      <c r="AE843" s="309"/>
      <c r="AF843" s="309"/>
      <c r="AG843" s="309"/>
      <c r="AH843" s="309"/>
      <c r="AI843" s="309"/>
      <c r="AJ843" s="309"/>
      <c r="AK843" s="309"/>
      <c r="AL843" s="309"/>
      <c r="AM843" s="309"/>
      <c r="AN843" s="309"/>
      <c r="AO843" s="309"/>
      <c r="AP843" s="309"/>
      <c r="AQ843" s="309"/>
      <c r="AR843" s="309"/>
      <c r="AS843" s="309"/>
      <c r="AT843" s="309"/>
      <c r="AU843" s="309"/>
      <c r="AV843" s="309"/>
      <c r="AW843" s="309"/>
      <c r="AX843" s="309"/>
      <c r="AY843" s="309"/>
      <c r="AZ843" s="309"/>
      <c r="BA843" s="310"/>
      <c r="BB843" s="310"/>
      <c r="BC843" s="310"/>
      <c r="BD843" s="310"/>
      <c r="BE843" s="310"/>
      <c r="BF843" s="310"/>
      <c r="BG843" s="310"/>
      <c r="BH843" s="310"/>
      <c r="BI843" s="310"/>
      <c r="BJ843" s="310"/>
      <c r="BK843" s="310"/>
      <c r="BL843" s="310"/>
      <c r="BM843" s="310"/>
      <c r="BN843" s="221"/>
      <c r="BO843" s="221"/>
      <c r="BP843" s="221"/>
      <c r="BQ843" s="221"/>
      <c r="BR843" s="221"/>
    </row>
    <row r="844" ht="15.75" customHeight="1">
      <c r="A844" s="220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309"/>
      <c r="Y844" s="309"/>
      <c r="Z844" s="309"/>
      <c r="AA844" s="309"/>
      <c r="AB844" s="309"/>
      <c r="AC844" s="309"/>
      <c r="AD844" s="309"/>
      <c r="AE844" s="309"/>
      <c r="AF844" s="309"/>
      <c r="AG844" s="309"/>
      <c r="AH844" s="309"/>
      <c r="AI844" s="309"/>
      <c r="AJ844" s="309"/>
      <c r="AK844" s="309"/>
      <c r="AL844" s="309"/>
      <c r="AM844" s="309"/>
      <c r="AN844" s="309"/>
      <c r="AO844" s="309"/>
      <c r="AP844" s="309"/>
      <c r="AQ844" s="309"/>
      <c r="AR844" s="309"/>
      <c r="AS844" s="309"/>
      <c r="AT844" s="309"/>
      <c r="AU844" s="309"/>
      <c r="AV844" s="309"/>
      <c r="AW844" s="309"/>
      <c r="AX844" s="309"/>
      <c r="AY844" s="309"/>
      <c r="AZ844" s="309"/>
      <c r="BA844" s="310"/>
      <c r="BB844" s="310"/>
      <c r="BC844" s="310"/>
      <c r="BD844" s="310"/>
      <c r="BE844" s="310"/>
      <c r="BF844" s="310"/>
      <c r="BG844" s="310"/>
      <c r="BH844" s="310"/>
      <c r="BI844" s="310"/>
      <c r="BJ844" s="310"/>
      <c r="BK844" s="310"/>
      <c r="BL844" s="310"/>
      <c r="BM844" s="310"/>
      <c r="BN844" s="221"/>
      <c r="BO844" s="221"/>
      <c r="BP844" s="221"/>
      <c r="BQ844" s="221"/>
      <c r="BR844" s="221"/>
    </row>
    <row r="845" ht="15.75" customHeight="1">
      <c r="A845" s="220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309"/>
      <c r="Y845" s="309"/>
      <c r="Z845" s="309"/>
      <c r="AA845" s="309"/>
      <c r="AB845" s="309"/>
      <c r="AC845" s="309"/>
      <c r="AD845" s="309"/>
      <c r="AE845" s="309"/>
      <c r="AF845" s="309"/>
      <c r="AG845" s="309"/>
      <c r="AH845" s="309"/>
      <c r="AI845" s="309"/>
      <c r="AJ845" s="309"/>
      <c r="AK845" s="309"/>
      <c r="AL845" s="309"/>
      <c r="AM845" s="309"/>
      <c r="AN845" s="309"/>
      <c r="AO845" s="309"/>
      <c r="AP845" s="309"/>
      <c r="AQ845" s="309"/>
      <c r="AR845" s="309"/>
      <c r="AS845" s="309"/>
      <c r="AT845" s="309"/>
      <c r="AU845" s="309"/>
      <c r="AV845" s="309"/>
      <c r="AW845" s="309"/>
      <c r="AX845" s="309"/>
      <c r="AY845" s="309"/>
      <c r="AZ845" s="309"/>
      <c r="BA845" s="310"/>
      <c r="BB845" s="310"/>
      <c r="BC845" s="310"/>
      <c r="BD845" s="310"/>
      <c r="BE845" s="310"/>
      <c r="BF845" s="310"/>
      <c r="BG845" s="310"/>
      <c r="BH845" s="310"/>
      <c r="BI845" s="310"/>
      <c r="BJ845" s="310"/>
      <c r="BK845" s="310"/>
      <c r="BL845" s="310"/>
      <c r="BM845" s="310"/>
      <c r="BN845" s="221"/>
      <c r="BO845" s="221"/>
      <c r="BP845" s="221"/>
      <c r="BQ845" s="221"/>
      <c r="BR845" s="221"/>
    </row>
    <row r="846" ht="15.75" customHeight="1">
      <c r="A846" s="220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309"/>
      <c r="Y846" s="309"/>
      <c r="Z846" s="309"/>
      <c r="AA846" s="309"/>
      <c r="AB846" s="309"/>
      <c r="AC846" s="309"/>
      <c r="AD846" s="309"/>
      <c r="AE846" s="309"/>
      <c r="AF846" s="309"/>
      <c r="AG846" s="309"/>
      <c r="AH846" s="309"/>
      <c r="AI846" s="309"/>
      <c r="AJ846" s="309"/>
      <c r="AK846" s="309"/>
      <c r="AL846" s="309"/>
      <c r="AM846" s="309"/>
      <c r="AN846" s="309"/>
      <c r="AO846" s="309"/>
      <c r="AP846" s="309"/>
      <c r="AQ846" s="309"/>
      <c r="AR846" s="309"/>
      <c r="AS846" s="309"/>
      <c r="AT846" s="309"/>
      <c r="AU846" s="309"/>
      <c r="AV846" s="309"/>
      <c r="AW846" s="309"/>
      <c r="AX846" s="309"/>
      <c r="AY846" s="309"/>
      <c r="AZ846" s="309"/>
      <c r="BA846" s="310"/>
      <c r="BB846" s="310"/>
      <c r="BC846" s="310"/>
      <c r="BD846" s="310"/>
      <c r="BE846" s="310"/>
      <c r="BF846" s="310"/>
      <c r="BG846" s="310"/>
      <c r="BH846" s="310"/>
      <c r="BI846" s="310"/>
      <c r="BJ846" s="310"/>
      <c r="BK846" s="310"/>
      <c r="BL846" s="310"/>
      <c r="BM846" s="310"/>
      <c r="BN846" s="221"/>
      <c r="BO846" s="221"/>
      <c r="BP846" s="221"/>
      <c r="BQ846" s="221"/>
      <c r="BR846" s="221"/>
    </row>
    <row r="847" ht="15.75" customHeight="1">
      <c r="A847" s="220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309"/>
      <c r="Y847" s="309"/>
      <c r="Z847" s="309"/>
      <c r="AA847" s="309"/>
      <c r="AB847" s="309"/>
      <c r="AC847" s="309"/>
      <c r="AD847" s="309"/>
      <c r="AE847" s="309"/>
      <c r="AF847" s="309"/>
      <c r="AG847" s="309"/>
      <c r="AH847" s="309"/>
      <c r="AI847" s="309"/>
      <c r="AJ847" s="309"/>
      <c r="AK847" s="309"/>
      <c r="AL847" s="309"/>
      <c r="AM847" s="309"/>
      <c r="AN847" s="309"/>
      <c r="AO847" s="309"/>
      <c r="AP847" s="309"/>
      <c r="AQ847" s="309"/>
      <c r="AR847" s="309"/>
      <c r="AS847" s="309"/>
      <c r="AT847" s="309"/>
      <c r="AU847" s="309"/>
      <c r="AV847" s="309"/>
      <c r="AW847" s="309"/>
      <c r="AX847" s="309"/>
      <c r="AY847" s="309"/>
      <c r="AZ847" s="309"/>
      <c r="BA847" s="310"/>
      <c r="BB847" s="310"/>
      <c r="BC847" s="310"/>
      <c r="BD847" s="310"/>
      <c r="BE847" s="310"/>
      <c r="BF847" s="310"/>
      <c r="BG847" s="310"/>
      <c r="BH847" s="310"/>
      <c r="BI847" s="310"/>
      <c r="BJ847" s="310"/>
      <c r="BK847" s="310"/>
      <c r="BL847" s="310"/>
      <c r="BM847" s="310"/>
      <c r="BN847" s="221"/>
      <c r="BO847" s="221"/>
      <c r="BP847" s="221"/>
      <c r="BQ847" s="221"/>
      <c r="BR847" s="221"/>
    </row>
    <row r="848" ht="15.75" customHeight="1">
      <c r="A848" s="220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309"/>
      <c r="Y848" s="309"/>
      <c r="Z848" s="309"/>
      <c r="AA848" s="309"/>
      <c r="AB848" s="309"/>
      <c r="AC848" s="309"/>
      <c r="AD848" s="309"/>
      <c r="AE848" s="309"/>
      <c r="AF848" s="309"/>
      <c r="AG848" s="309"/>
      <c r="AH848" s="309"/>
      <c r="AI848" s="309"/>
      <c r="AJ848" s="309"/>
      <c r="AK848" s="309"/>
      <c r="AL848" s="309"/>
      <c r="AM848" s="309"/>
      <c r="AN848" s="309"/>
      <c r="AO848" s="309"/>
      <c r="AP848" s="309"/>
      <c r="AQ848" s="309"/>
      <c r="AR848" s="309"/>
      <c r="AS848" s="309"/>
      <c r="AT848" s="309"/>
      <c r="AU848" s="309"/>
      <c r="AV848" s="309"/>
      <c r="AW848" s="309"/>
      <c r="AX848" s="309"/>
      <c r="AY848" s="309"/>
      <c r="AZ848" s="309"/>
      <c r="BA848" s="310"/>
      <c r="BB848" s="310"/>
      <c r="BC848" s="310"/>
      <c r="BD848" s="310"/>
      <c r="BE848" s="310"/>
      <c r="BF848" s="310"/>
      <c r="BG848" s="310"/>
      <c r="BH848" s="310"/>
      <c r="BI848" s="310"/>
      <c r="BJ848" s="310"/>
      <c r="BK848" s="310"/>
      <c r="BL848" s="310"/>
      <c r="BM848" s="310"/>
      <c r="BN848" s="221"/>
      <c r="BO848" s="221"/>
      <c r="BP848" s="221"/>
      <c r="BQ848" s="221"/>
      <c r="BR848" s="221"/>
    </row>
    <row r="849" ht="15.75" customHeight="1">
      <c r="A849" s="220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309"/>
      <c r="Y849" s="309"/>
      <c r="Z849" s="309"/>
      <c r="AA849" s="309"/>
      <c r="AB849" s="309"/>
      <c r="AC849" s="309"/>
      <c r="AD849" s="309"/>
      <c r="AE849" s="309"/>
      <c r="AF849" s="309"/>
      <c r="AG849" s="309"/>
      <c r="AH849" s="309"/>
      <c r="AI849" s="309"/>
      <c r="AJ849" s="309"/>
      <c r="AK849" s="309"/>
      <c r="AL849" s="309"/>
      <c r="AM849" s="309"/>
      <c r="AN849" s="309"/>
      <c r="AO849" s="309"/>
      <c r="AP849" s="309"/>
      <c r="AQ849" s="309"/>
      <c r="AR849" s="309"/>
      <c r="AS849" s="309"/>
      <c r="AT849" s="309"/>
      <c r="AU849" s="309"/>
      <c r="AV849" s="309"/>
      <c r="AW849" s="309"/>
      <c r="AX849" s="309"/>
      <c r="AY849" s="309"/>
      <c r="AZ849" s="309"/>
      <c r="BA849" s="310"/>
      <c r="BB849" s="310"/>
      <c r="BC849" s="310"/>
      <c r="BD849" s="310"/>
      <c r="BE849" s="310"/>
      <c r="BF849" s="310"/>
      <c r="BG849" s="310"/>
      <c r="BH849" s="310"/>
      <c r="BI849" s="310"/>
      <c r="BJ849" s="310"/>
      <c r="BK849" s="310"/>
      <c r="BL849" s="310"/>
      <c r="BM849" s="310"/>
      <c r="BN849" s="221"/>
      <c r="BO849" s="221"/>
      <c r="BP849" s="221"/>
      <c r="BQ849" s="221"/>
      <c r="BR849" s="221"/>
    </row>
    <row r="850" ht="15.75" customHeight="1">
      <c r="A850" s="220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309"/>
      <c r="Y850" s="309"/>
      <c r="Z850" s="309"/>
      <c r="AA850" s="309"/>
      <c r="AB850" s="309"/>
      <c r="AC850" s="309"/>
      <c r="AD850" s="309"/>
      <c r="AE850" s="309"/>
      <c r="AF850" s="309"/>
      <c r="AG850" s="309"/>
      <c r="AH850" s="309"/>
      <c r="AI850" s="309"/>
      <c r="AJ850" s="309"/>
      <c r="AK850" s="309"/>
      <c r="AL850" s="309"/>
      <c r="AM850" s="309"/>
      <c r="AN850" s="309"/>
      <c r="AO850" s="309"/>
      <c r="AP850" s="309"/>
      <c r="AQ850" s="309"/>
      <c r="AR850" s="309"/>
      <c r="AS850" s="309"/>
      <c r="AT850" s="309"/>
      <c r="AU850" s="309"/>
      <c r="AV850" s="309"/>
      <c r="AW850" s="309"/>
      <c r="AX850" s="309"/>
      <c r="AY850" s="309"/>
      <c r="AZ850" s="309"/>
      <c r="BA850" s="310"/>
      <c r="BB850" s="310"/>
      <c r="BC850" s="310"/>
      <c r="BD850" s="310"/>
      <c r="BE850" s="310"/>
      <c r="BF850" s="310"/>
      <c r="BG850" s="310"/>
      <c r="BH850" s="310"/>
      <c r="BI850" s="310"/>
      <c r="BJ850" s="310"/>
      <c r="BK850" s="310"/>
      <c r="BL850" s="310"/>
      <c r="BM850" s="310"/>
      <c r="BN850" s="221"/>
      <c r="BO850" s="221"/>
      <c r="BP850" s="221"/>
      <c r="BQ850" s="221"/>
      <c r="BR850" s="221"/>
    </row>
    <row r="851" ht="15.75" customHeight="1">
      <c r="A851" s="220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309"/>
      <c r="Y851" s="309"/>
      <c r="Z851" s="309"/>
      <c r="AA851" s="309"/>
      <c r="AB851" s="309"/>
      <c r="AC851" s="309"/>
      <c r="AD851" s="309"/>
      <c r="AE851" s="309"/>
      <c r="AF851" s="309"/>
      <c r="AG851" s="309"/>
      <c r="AH851" s="309"/>
      <c r="AI851" s="309"/>
      <c r="AJ851" s="309"/>
      <c r="AK851" s="309"/>
      <c r="AL851" s="309"/>
      <c r="AM851" s="309"/>
      <c r="AN851" s="309"/>
      <c r="AO851" s="309"/>
      <c r="AP851" s="309"/>
      <c r="AQ851" s="309"/>
      <c r="AR851" s="309"/>
      <c r="AS851" s="309"/>
      <c r="AT851" s="309"/>
      <c r="AU851" s="309"/>
      <c r="AV851" s="309"/>
      <c r="AW851" s="309"/>
      <c r="AX851" s="309"/>
      <c r="AY851" s="309"/>
      <c r="AZ851" s="309"/>
      <c r="BA851" s="310"/>
      <c r="BB851" s="310"/>
      <c r="BC851" s="310"/>
      <c r="BD851" s="310"/>
      <c r="BE851" s="310"/>
      <c r="BF851" s="310"/>
      <c r="BG851" s="310"/>
      <c r="BH851" s="310"/>
      <c r="BI851" s="310"/>
      <c r="BJ851" s="310"/>
      <c r="BK851" s="310"/>
      <c r="BL851" s="310"/>
      <c r="BM851" s="310"/>
      <c r="BN851" s="221"/>
      <c r="BO851" s="221"/>
      <c r="BP851" s="221"/>
      <c r="BQ851" s="221"/>
      <c r="BR851" s="221"/>
    </row>
    <row r="852" ht="15.75" customHeight="1">
      <c r="A852" s="220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309"/>
      <c r="Y852" s="309"/>
      <c r="Z852" s="309"/>
      <c r="AA852" s="309"/>
      <c r="AB852" s="309"/>
      <c r="AC852" s="309"/>
      <c r="AD852" s="309"/>
      <c r="AE852" s="309"/>
      <c r="AF852" s="309"/>
      <c r="AG852" s="309"/>
      <c r="AH852" s="309"/>
      <c r="AI852" s="309"/>
      <c r="AJ852" s="309"/>
      <c r="AK852" s="309"/>
      <c r="AL852" s="309"/>
      <c r="AM852" s="309"/>
      <c r="AN852" s="309"/>
      <c r="AO852" s="309"/>
      <c r="AP852" s="309"/>
      <c r="AQ852" s="309"/>
      <c r="AR852" s="309"/>
      <c r="AS852" s="309"/>
      <c r="AT852" s="309"/>
      <c r="AU852" s="309"/>
      <c r="AV852" s="309"/>
      <c r="AW852" s="309"/>
      <c r="AX852" s="309"/>
      <c r="AY852" s="309"/>
      <c r="AZ852" s="309"/>
      <c r="BA852" s="310"/>
      <c r="BB852" s="310"/>
      <c r="BC852" s="310"/>
      <c r="BD852" s="310"/>
      <c r="BE852" s="310"/>
      <c r="BF852" s="310"/>
      <c r="BG852" s="310"/>
      <c r="BH852" s="310"/>
      <c r="BI852" s="310"/>
      <c r="BJ852" s="310"/>
      <c r="BK852" s="310"/>
      <c r="BL852" s="310"/>
      <c r="BM852" s="310"/>
      <c r="BN852" s="221"/>
      <c r="BO852" s="221"/>
      <c r="BP852" s="221"/>
      <c r="BQ852" s="221"/>
      <c r="BR852" s="221"/>
    </row>
    <row r="853" ht="15.75" customHeight="1">
      <c r="A853" s="220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309"/>
      <c r="Y853" s="309"/>
      <c r="Z853" s="309"/>
      <c r="AA853" s="309"/>
      <c r="AB853" s="309"/>
      <c r="AC853" s="309"/>
      <c r="AD853" s="309"/>
      <c r="AE853" s="309"/>
      <c r="AF853" s="309"/>
      <c r="AG853" s="309"/>
      <c r="AH853" s="309"/>
      <c r="AI853" s="309"/>
      <c r="AJ853" s="309"/>
      <c r="AK853" s="309"/>
      <c r="AL853" s="309"/>
      <c r="AM853" s="309"/>
      <c r="AN853" s="309"/>
      <c r="AO853" s="309"/>
      <c r="AP853" s="309"/>
      <c r="AQ853" s="309"/>
      <c r="AR853" s="309"/>
      <c r="AS853" s="309"/>
      <c r="AT853" s="309"/>
      <c r="AU853" s="309"/>
      <c r="AV853" s="309"/>
      <c r="AW853" s="309"/>
      <c r="AX853" s="309"/>
      <c r="AY853" s="309"/>
      <c r="AZ853" s="309"/>
      <c r="BA853" s="310"/>
      <c r="BB853" s="310"/>
      <c r="BC853" s="310"/>
      <c r="BD853" s="310"/>
      <c r="BE853" s="310"/>
      <c r="BF853" s="310"/>
      <c r="BG853" s="310"/>
      <c r="BH853" s="310"/>
      <c r="BI853" s="310"/>
      <c r="BJ853" s="310"/>
      <c r="BK853" s="310"/>
      <c r="BL853" s="310"/>
      <c r="BM853" s="310"/>
      <c r="BN853" s="221"/>
      <c r="BO853" s="221"/>
      <c r="BP853" s="221"/>
      <c r="BQ853" s="221"/>
      <c r="BR853" s="221"/>
    </row>
    <row r="854" ht="15.75" customHeight="1">
      <c r="A854" s="220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309"/>
      <c r="Y854" s="309"/>
      <c r="Z854" s="309"/>
      <c r="AA854" s="309"/>
      <c r="AB854" s="309"/>
      <c r="AC854" s="309"/>
      <c r="AD854" s="309"/>
      <c r="AE854" s="309"/>
      <c r="AF854" s="309"/>
      <c r="AG854" s="309"/>
      <c r="AH854" s="309"/>
      <c r="AI854" s="309"/>
      <c r="AJ854" s="309"/>
      <c r="AK854" s="309"/>
      <c r="AL854" s="309"/>
      <c r="AM854" s="309"/>
      <c r="AN854" s="309"/>
      <c r="AO854" s="309"/>
      <c r="AP854" s="309"/>
      <c r="AQ854" s="309"/>
      <c r="AR854" s="309"/>
      <c r="AS854" s="309"/>
      <c r="AT854" s="309"/>
      <c r="AU854" s="309"/>
      <c r="AV854" s="309"/>
      <c r="AW854" s="309"/>
      <c r="AX854" s="309"/>
      <c r="AY854" s="309"/>
      <c r="AZ854" s="309"/>
      <c r="BA854" s="310"/>
      <c r="BB854" s="310"/>
      <c r="BC854" s="310"/>
      <c r="BD854" s="310"/>
      <c r="BE854" s="310"/>
      <c r="BF854" s="310"/>
      <c r="BG854" s="310"/>
      <c r="BH854" s="310"/>
      <c r="BI854" s="310"/>
      <c r="BJ854" s="310"/>
      <c r="BK854" s="310"/>
      <c r="BL854" s="310"/>
      <c r="BM854" s="310"/>
      <c r="BN854" s="221"/>
      <c r="BO854" s="221"/>
      <c r="BP854" s="221"/>
      <c r="BQ854" s="221"/>
      <c r="BR854" s="221"/>
    </row>
    <row r="855" ht="15.75" customHeight="1">
      <c r="A855" s="220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309"/>
      <c r="Y855" s="309"/>
      <c r="Z855" s="309"/>
      <c r="AA855" s="309"/>
      <c r="AB855" s="309"/>
      <c r="AC855" s="309"/>
      <c r="AD855" s="309"/>
      <c r="AE855" s="309"/>
      <c r="AF855" s="309"/>
      <c r="AG855" s="309"/>
      <c r="AH855" s="309"/>
      <c r="AI855" s="309"/>
      <c r="AJ855" s="309"/>
      <c r="AK855" s="309"/>
      <c r="AL855" s="309"/>
      <c r="AM855" s="309"/>
      <c r="AN855" s="309"/>
      <c r="AO855" s="309"/>
      <c r="AP855" s="309"/>
      <c r="AQ855" s="309"/>
      <c r="AR855" s="309"/>
      <c r="AS855" s="309"/>
      <c r="AT855" s="309"/>
      <c r="AU855" s="309"/>
      <c r="AV855" s="309"/>
      <c r="AW855" s="309"/>
      <c r="AX855" s="309"/>
      <c r="AY855" s="309"/>
      <c r="AZ855" s="309"/>
      <c r="BA855" s="310"/>
      <c r="BB855" s="310"/>
      <c r="BC855" s="310"/>
      <c r="BD855" s="310"/>
      <c r="BE855" s="310"/>
      <c r="BF855" s="310"/>
      <c r="BG855" s="310"/>
      <c r="BH855" s="310"/>
      <c r="BI855" s="310"/>
      <c r="BJ855" s="310"/>
      <c r="BK855" s="310"/>
      <c r="BL855" s="310"/>
      <c r="BM855" s="310"/>
      <c r="BN855" s="221"/>
      <c r="BO855" s="221"/>
      <c r="BP855" s="221"/>
      <c r="BQ855" s="221"/>
      <c r="BR855" s="221"/>
    </row>
    <row r="856" ht="15.75" customHeight="1">
      <c r="A856" s="220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309"/>
      <c r="Y856" s="309"/>
      <c r="Z856" s="309"/>
      <c r="AA856" s="309"/>
      <c r="AB856" s="309"/>
      <c r="AC856" s="309"/>
      <c r="AD856" s="309"/>
      <c r="AE856" s="309"/>
      <c r="AF856" s="309"/>
      <c r="AG856" s="309"/>
      <c r="AH856" s="309"/>
      <c r="AI856" s="309"/>
      <c r="AJ856" s="309"/>
      <c r="AK856" s="309"/>
      <c r="AL856" s="309"/>
      <c r="AM856" s="309"/>
      <c r="AN856" s="309"/>
      <c r="AO856" s="309"/>
      <c r="AP856" s="309"/>
      <c r="AQ856" s="309"/>
      <c r="AR856" s="309"/>
      <c r="AS856" s="309"/>
      <c r="AT856" s="309"/>
      <c r="AU856" s="309"/>
      <c r="AV856" s="309"/>
      <c r="AW856" s="309"/>
      <c r="AX856" s="309"/>
      <c r="AY856" s="309"/>
      <c r="AZ856" s="309"/>
      <c r="BA856" s="310"/>
      <c r="BB856" s="310"/>
      <c r="BC856" s="310"/>
      <c r="BD856" s="310"/>
      <c r="BE856" s="310"/>
      <c r="BF856" s="310"/>
      <c r="BG856" s="310"/>
      <c r="BH856" s="310"/>
      <c r="BI856" s="310"/>
      <c r="BJ856" s="310"/>
      <c r="BK856" s="310"/>
      <c r="BL856" s="310"/>
      <c r="BM856" s="310"/>
      <c r="BN856" s="221"/>
      <c r="BO856" s="221"/>
      <c r="BP856" s="221"/>
      <c r="BQ856" s="221"/>
      <c r="BR856" s="221"/>
    </row>
    <row r="857" ht="15.75" customHeight="1">
      <c r="A857" s="220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309"/>
      <c r="Y857" s="309"/>
      <c r="Z857" s="309"/>
      <c r="AA857" s="309"/>
      <c r="AB857" s="309"/>
      <c r="AC857" s="309"/>
      <c r="AD857" s="309"/>
      <c r="AE857" s="309"/>
      <c r="AF857" s="309"/>
      <c r="AG857" s="309"/>
      <c r="AH857" s="309"/>
      <c r="AI857" s="309"/>
      <c r="AJ857" s="309"/>
      <c r="AK857" s="309"/>
      <c r="AL857" s="309"/>
      <c r="AM857" s="309"/>
      <c r="AN857" s="309"/>
      <c r="AO857" s="309"/>
      <c r="AP857" s="309"/>
      <c r="AQ857" s="309"/>
      <c r="AR857" s="309"/>
      <c r="AS857" s="309"/>
      <c r="AT857" s="309"/>
      <c r="AU857" s="309"/>
      <c r="AV857" s="309"/>
      <c r="AW857" s="309"/>
      <c r="AX857" s="309"/>
      <c r="AY857" s="309"/>
      <c r="AZ857" s="309"/>
      <c r="BA857" s="310"/>
      <c r="BB857" s="310"/>
      <c r="BC857" s="310"/>
      <c r="BD857" s="310"/>
      <c r="BE857" s="310"/>
      <c r="BF857" s="310"/>
      <c r="BG857" s="310"/>
      <c r="BH857" s="310"/>
      <c r="BI857" s="310"/>
      <c r="BJ857" s="310"/>
      <c r="BK857" s="310"/>
      <c r="BL857" s="310"/>
      <c r="BM857" s="310"/>
      <c r="BN857" s="221"/>
      <c r="BO857" s="221"/>
      <c r="BP857" s="221"/>
      <c r="BQ857" s="221"/>
      <c r="BR857" s="221"/>
    </row>
    <row r="858" ht="15.75" customHeight="1">
      <c r="A858" s="220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309"/>
      <c r="Y858" s="309"/>
      <c r="Z858" s="309"/>
      <c r="AA858" s="309"/>
      <c r="AB858" s="309"/>
      <c r="AC858" s="309"/>
      <c r="AD858" s="309"/>
      <c r="AE858" s="309"/>
      <c r="AF858" s="309"/>
      <c r="AG858" s="309"/>
      <c r="AH858" s="309"/>
      <c r="AI858" s="309"/>
      <c r="AJ858" s="309"/>
      <c r="AK858" s="309"/>
      <c r="AL858" s="309"/>
      <c r="AM858" s="309"/>
      <c r="AN858" s="309"/>
      <c r="AO858" s="309"/>
      <c r="AP858" s="309"/>
      <c r="AQ858" s="309"/>
      <c r="AR858" s="309"/>
      <c r="AS858" s="309"/>
      <c r="AT858" s="309"/>
      <c r="AU858" s="309"/>
      <c r="AV858" s="309"/>
      <c r="AW858" s="309"/>
      <c r="AX858" s="309"/>
      <c r="AY858" s="309"/>
      <c r="AZ858" s="309"/>
      <c r="BA858" s="310"/>
      <c r="BB858" s="310"/>
      <c r="BC858" s="310"/>
      <c r="BD858" s="310"/>
      <c r="BE858" s="310"/>
      <c r="BF858" s="310"/>
      <c r="BG858" s="310"/>
      <c r="BH858" s="310"/>
      <c r="BI858" s="310"/>
      <c r="BJ858" s="310"/>
      <c r="BK858" s="310"/>
      <c r="BL858" s="310"/>
      <c r="BM858" s="310"/>
      <c r="BN858" s="221"/>
      <c r="BO858" s="221"/>
      <c r="BP858" s="221"/>
      <c r="BQ858" s="221"/>
      <c r="BR858" s="221"/>
    </row>
    <row r="859" ht="15.75" customHeight="1">
      <c r="A859" s="220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309"/>
      <c r="Y859" s="309"/>
      <c r="Z859" s="309"/>
      <c r="AA859" s="309"/>
      <c r="AB859" s="309"/>
      <c r="AC859" s="309"/>
      <c r="AD859" s="309"/>
      <c r="AE859" s="309"/>
      <c r="AF859" s="309"/>
      <c r="AG859" s="309"/>
      <c r="AH859" s="309"/>
      <c r="AI859" s="309"/>
      <c r="AJ859" s="309"/>
      <c r="AK859" s="309"/>
      <c r="AL859" s="309"/>
      <c r="AM859" s="309"/>
      <c r="AN859" s="309"/>
      <c r="AO859" s="309"/>
      <c r="AP859" s="309"/>
      <c r="AQ859" s="309"/>
      <c r="AR859" s="309"/>
      <c r="AS859" s="309"/>
      <c r="AT859" s="309"/>
      <c r="AU859" s="309"/>
      <c r="AV859" s="309"/>
      <c r="AW859" s="309"/>
      <c r="AX859" s="309"/>
      <c r="AY859" s="309"/>
      <c r="AZ859" s="309"/>
      <c r="BA859" s="310"/>
      <c r="BB859" s="310"/>
      <c r="BC859" s="310"/>
      <c r="BD859" s="310"/>
      <c r="BE859" s="310"/>
      <c r="BF859" s="310"/>
      <c r="BG859" s="310"/>
      <c r="BH859" s="310"/>
      <c r="BI859" s="310"/>
      <c r="BJ859" s="310"/>
      <c r="BK859" s="310"/>
      <c r="BL859" s="310"/>
      <c r="BM859" s="310"/>
      <c r="BN859" s="221"/>
      <c r="BO859" s="221"/>
      <c r="BP859" s="221"/>
      <c r="BQ859" s="221"/>
      <c r="BR859" s="221"/>
    </row>
    <row r="860" ht="15.75" customHeight="1">
      <c r="A860" s="220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309"/>
      <c r="Y860" s="309"/>
      <c r="Z860" s="309"/>
      <c r="AA860" s="309"/>
      <c r="AB860" s="309"/>
      <c r="AC860" s="309"/>
      <c r="AD860" s="309"/>
      <c r="AE860" s="309"/>
      <c r="AF860" s="309"/>
      <c r="AG860" s="309"/>
      <c r="AH860" s="309"/>
      <c r="AI860" s="309"/>
      <c r="AJ860" s="309"/>
      <c r="AK860" s="309"/>
      <c r="AL860" s="309"/>
      <c r="AM860" s="309"/>
      <c r="AN860" s="309"/>
      <c r="AO860" s="309"/>
      <c r="AP860" s="309"/>
      <c r="AQ860" s="309"/>
      <c r="AR860" s="309"/>
      <c r="AS860" s="309"/>
      <c r="AT860" s="309"/>
      <c r="AU860" s="309"/>
      <c r="AV860" s="309"/>
      <c r="AW860" s="309"/>
      <c r="AX860" s="309"/>
      <c r="AY860" s="309"/>
      <c r="AZ860" s="309"/>
      <c r="BA860" s="310"/>
      <c r="BB860" s="310"/>
      <c r="BC860" s="310"/>
      <c r="BD860" s="310"/>
      <c r="BE860" s="310"/>
      <c r="BF860" s="310"/>
      <c r="BG860" s="310"/>
      <c r="BH860" s="310"/>
      <c r="BI860" s="310"/>
      <c r="BJ860" s="310"/>
      <c r="BK860" s="310"/>
      <c r="BL860" s="310"/>
      <c r="BM860" s="310"/>
      <c r="BN860" s="221"/>
      <c r="BO860" s="221"/>
      <c r="BP860" s="221"/>
      <c r="BQ860" s="221"/>
      <c r="BR860" s="221"/>
    </row>
    <row r="861" ht="15.75" customHeight="1">
      <c r="A861" s="220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309"/>
      <c r="Y861" s="309"/>
      <c r="Z861" s="309"/>
      <c r="AA861" s="309"/>
      <c r="AB861" s="309"/>
      <c r="AC861" s="309"/>
      <c r="AD861" s="309"/>
      <c r="AE861" s="309"/>
      <c r="AF861" s="309"/>
      <c r="AG861" s="309"/>
      <c r="AH861" s="309"/>
      <c r="AI861" s="309"/>
      <c r="AJ861" s="309"/>
      <c r="AK861" s="309"/>
      <c r="AL861" s="309"/>
      <c r="AM861" s="309"/>
      <c r="AN861" s="309"/>
      <c r="AO861" s="309"/>
      <c r="AP861" s="309"/>
      <c r="AQ861" s="309"/>
      <c r="AR861" s="309"/>
      <c r="AS861" s="309"/>
      <c r="AT861" s="309"/>
      <c r="AU861" s="309"/>
      <c r="AV861" s="309"/>
      <c r="AW861" s="309"/>
      <c r="AX861" s="309"/>
      <c r="AY861" s="309"/>
      <c r="AZ861" s="309"/>
      <c r="BA861" s="310"/>
      <c r="BB861" s="310"/>
      <c r="BC861" s="310"/>
      <c r="BD861" s="310"/>
      <c r="BE861" s="310"/>
      <c r="BF861" s="310"/>
      <c r="BG861" s="310"/>
      <c r="BH861" s="310"/>
      <c r="BI861" s="310"/>
      <c r="BJ861" s="310"/>
      <c r="BK861" s="310"/>
      <c r="BL861" s="310"/>
      <c r="BM861" s="310"/>
      <c r="BN861" s="221"/>
      <c r="BO861" s="221"/>
      <c r="BP861" s="221"/>
      <c r="BQ861" s="221"/>
      <c r="BR861" s="221"/>
    </row>
    <row r="862" ht="15.75" customHeight="1">
      <c r="A862" s="220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309"/>
      <c r="Y862" s="309"/>
      <c r="Z862" s="309"/>
      <c r="AA862" s="309"/>
      <c r="AB862" s="309"/>
      <c r="AC862" s="309"/>
      <c r="AD862" s="309"/>
      <c r="AE862" s="309"/>
      <c r="AF862" s="309"/>
      <c r="AG862" s="309"/>
      <c r="AH862" s="309"/>
      <c r="AI862" s="309"/>
      <c r="AJ862" s="309"/>
      <c r="AK862" s="309"/>
      <c r="AL862" s="309"/>
      <c r="AM862" s="309"/>
      <c r="AN862" s="309"/>
      <c r="AO862" s="309"/>
      <c r="AP862" s="309"/>
      <c r="AQ862" s="309"/>
      <c r="AR862" s="309"/>
      <c r="AS862" s="309"/>
      <c r="AT862" s="309"/>
      <c r="AU862" s="309"/>
      <c r="AV862" s="309"/>
      <c r="AW862" s="309"/>
      <c r="AX862" s="309"/>
      <c r="AY862" s="309"/>
      <c r="AZ862" s="309"/>
      <c r="BA862" s="310"/>
      <c r="BB862" s="310"/>
      <c r="BC862" s="310"/>
      <c r="BD862" s="310"/>
      <c r="BE862" s="310"/>
      <c r="BF862" s="310"/>
      <c r="BG862" s="310"/>
      <c r="BH862" s="310"/>
      <c r="BI862" s="310"/>
      <c r="BJ862" s="310"/>
      <c r="BK862" s="310"/>
      <c r="BL862" s="310"/>
      <c r="BM862" s="310"/>
      <c r="BN862" s="221"/>
      <c r="BO862" s="221"/>
      <c r="BP862" s="221"/>
      <c r="BQ862" s="221"/>
      <c r="BR862" s="221"/>
    </row>
    <row r="863" ht="15.75" customHeight="1">
      <c r="A863" s="220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309"/>
      <c r="Y863" s="309"/>
      <c r="Z863" s="309"/>
      <c r="AA863" s="309"/>
      <c r="AB863" s="309"/>
      <c r="AC863" s="309"/>
      <c r="AD863" s="309"/>
      <c r="AE863" s="309"/>
      <c r="AF863" s="309"/>
      <c r="AG863" s="309"/>
      <c r="AH863" s="309"/>
      <c r="AI863" s="309"/>
      <c r="AJ863" s="309"/>
      <c r="AK863" s="309"/>
      <c r="AL863" s="309"/>
      <c r="AM863" s="309"/>
      <c r="AN863" s="309"/>
      <c r="AO863" s="309"/>
      <c r="AP863" s="309"/>
      <c r="AQ863" s="309"/>
      <c r="AR863" s="309"/>
      <c r="AS863" s="309"/>
      <c r="AT863" s="309"/>
      <c r="AU863" s="309"/>
      <c r="AV863" s="309"/>
      <c r="AW863" s="309"/>
      <c r="AX863" s="309"/>
      <c r="AY863" s="309"/>
      <c r="AZ863" s="309"/>
      <c r="BA863" s="310"/>
      <c r="BB863" s="310"/>
      <c r="BC863" s="310"/>
      <c r="BD863" s="310"/>
      <c r="BE863" s="310"/>
      <c r="BF863" s="310"/>
      <c r="BG863" s="310"/>
      <c r="BH863" s="310"/>
      <c r="BI863" s="310"/>
      <c r="BJ863" s="310"/>
      <c r="BK863" s="310"/>
      <c r="BL863" s="310"/>
      <c r="BM863" s="310"/>
      <c r="BN863" s="221"/>
      <c r="BO863" s="221"/>
      <c r="BP863" s="221"/>
      <c r="BQ863" s="221"/>
      <c r="BR863" s="221"/>
    </row>
    <row r="864" ht="15.75" customHeight="1">
      <c r="A864" s="220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309"/>
      <c r="Y864" s="309"/>
      <c r="Z864" s="309"/>
      <c r="AA864" s="309"/>
      <c r="AB864" s="309"/>
      <c r="AC864" s="309"/>
      <c r="AD864" s="309"/>
      <c r="AE864" s="309"/>
      <c r="AF864" s="309"/>
      <c r="AG864" s="309"/>
      <c r="AH864" s="309"/>
      <c r="AI864" s="309"/>
      <c r="AJ864" s="309"/>
      <c r="AK864" s="309"/>
      <c r="AL864" s="309"/>
      <c r="AM864" s="309"/>
      <c r="AN864" s="309"/>
      <c r="AO864" s="309"/>
      <c r="AP864" s="309"/>
      <c r="AQ864" s="309"/>
      <c r="AR864" s="309"/>
      <c r="AS864" s="309"/>
      <c r="AT864" s="309"/>
      <c r="AU864" s="309"/>
      <c r="AV864" s="309"/>
      <c r="AW864" s="309"/>
      <c r="AX864" s="309"/>
      <c r="AY864" s="309"/>
      <c r="AZ864" s="309"/>
      <c r="BA864" s="310"/>
      <c r="BB864" s="310"/>
      <c r="BC864" s="310"/>
      <c r="BD864" s="310"/>
      <c r="BE864" s="310"/>
      <c r="BF864" s="310"/>
      <c r="BG864" s="310"/>
      <c r="BH864" s="310"/>
      <c r="BI864" s="310"/>
      <c r="BJ864" s="310"/>
      <c r="BK864" s="310"/>
      <c r="BL864" s="310"/>
      <c r="BM864" s="310"/>
      <c r="BN864" s="221"/>
      <c r="BO864" s="221"/>
      <c r="BP864" s="221"/>
      <c r="BQ864" s="221"/>
      <c r="BR864" s="221"/>
    </row>
    <row r="865" ht="15.75" customHeight="1">
      <c r="A865" s="220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309"/>
      <c r="Y865" s="309"/>
      <c r="Z865" s="309"/>
      <c r="AA865" s="309"/>
      <c r="AB865" s="309"/>
      <c r="AC865" s="309"/>
      <c r="AD865" s="309"/>
      <c r="AE865" s="309"/>
      <c r="AF865" s="309"/>
      <c r="AG865" s="309"/>
      <c r="AH865" s="309"/>
      <c r="AI865" s="309"/>
      <c r="AJ865" s="309"/>
      <c r="AK865" s="309"/>
      <c r="AL865" s="309"/>
      <c r="AM865" s="309"/>
      <c r="AN865" s="309"/>
      <c r="AO865" s="309"/>
      <c r="AP865" s="309"/>
      <c r="AQ865" s="309"/>
      <c r="AR865" s="309"/>
      <c r="AS865" s="309"/>
      <c r="AT865" s="309"/>
      <c r="AU865" s="309"/>
      <c r="AV865" s="309"/>
      <c r="AW865" s="309"/>
      <c r="AX865" s="309"/>
      <c r="AY865" s="309"/>
      <c r="AZ865" s="309"/>
      <c r="BA865" s="310"/>
      <c r="BB865" s="310"/>
      <c r="BC865" s="310"/>
      <c r="BD865" s="310"/>
      <c r="BE865" s="310"/>
      <c r="BF865" s="310"/>
      <c r="BG865" s="310"/>
      <c r="BH865" s="310"/>
      <c r="BI865" s="310"/>
      <c r="BJ865" s="310"/>
      <c r="BK865" s="310"/>
      <c r="BL865" s="310"/>
      <c r="BM865" s="310"/>
      <c r="BN865" s="221"/>
      <c r="BO865" s="221"/>
      <c r="BP865" s="221"/>
      <c r="BQ865" s="221"/>
      <c r="BR865" s="221"/>
    </row>
    <row r="866" ht="15.75" customHeight="1">
      <c r="A866" s="220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309"/>
      <c r="Y866" s="309"/>
      <c r="Z866" s="309"/>
      <c r="AA866" s="309"/>
      <c r="AB866" s="309"/>
      <c r="AC866" s="309"/>
      <c r="AD866" s="309"/>
      <c r="AE866" s="309"/>
      <c r="AF866" s="309"/>
      <c r="AG866" s="309"/>
      <c r="AH866" s="309"/>
      <c r="AI866" s="309"/>
      <c r="AJ866" s="309"/>
      <c r="AK866" s="309"/>
      <c r="AL866" s="309"/>
      <c r="AM866" s="309"/>
      <c r="AN866" s="309"/>
      <c r="AO866" s="309"/>
      <c r="AP866" s="309"/>
      <c r="AQ866" s="309"/>
      <c r="AR866" s="309"/>
      <c r="AS866" s="309"/>
      <c r="AT866" s="309"/>
      <c r="AU866" s="309"/>
      <c r="AV866" s="309"/>
      <c r="AW866" s="309"/>
      <c r="AX866" s="309"/>
      <c r="AY866" s="309"/>
      <c r="AZ866" s="309"/>
      <c r="BA866" s="310"/>
      <c r="BB866" s="310"/>
      <c r="BC866" s="310"/>
      <c r="BD866" s="310"/>
      <c r="BE866" s="310"/>
      <c r="BF866" s="310"/>
      <c r="BG866" s="310"/>
      <c r="BH866" s="310"/>
      <c r="BI866" s="310"/>
      <c r="BJ866" s="310"/>
      <c r="BK866" s="310"/>
      <c r="BL866" s="310"/>
      <c r="BM866" s="310"/>
      <c r="BN866" s="221"/>
      <c r="BO866" s="221"/>
      <c r="BP866" s="221"/>
      <c r="BQ866" s="221"/>
      <c r="BR866" s="221"/>
    </row>
    <row r="867" ht="15.75" customHeight="1">
      <c r="A867" s="220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309"/>
      <c r="Y867" s="309"/>
      <c r="Z867" s="309"/>
      <c r="AA867" s="309"/>
      <c r="AB867" s="309"/>
      <c r="AC867" s="309"/>
      <c r="AD867" s="309"/>
      <c r="AE867" s="309"/>
      <c r="AF867" s="309"/>
      <c r="AG867" s="309"/>
      <c r="AH867" s="309"/>
      <c r="AI867" s="309"/>
      <c r="AJ867" s="309"/>
      <c r="AK867" s="309"/>
      <c r="AL867" s="309"/>
      <c r="AM867" s="309"/>
      <c r="AN867" s="309"/>
      <c r="AO867" s="309"/>
      <c r="AP867" s="309"/>
      <c r="AQ867" s="309"/>
      <c r="AR867" s="309"/>
      <c r="AS867" s="309"/>
      <c r="AT867" s="309"/>
      <c r="AU867" s="309"/>
      <c r="AV867" s="309"/>
      <c r="AW867" s="309"/>
      <c r="AX867" s="309"/>
      <c r="AY867" s="309"/>
      <c r="AZ867" s="309"/>
      <c r="BA867" s="310"/>
      <c r="BB867" s="310"/>
      <c r="BC867" s="310"/>
      <c r="BD867" s="310"/>
      <c r="BE867" s="310"/>
      <c r="BF867" s="310"/>
      <c r="BG867" s="310"/>
      <c r="BH867" s="310"/>
      <c r="BI867" s="310"/>
      <c r="BJ867" s="310"/>
      <c r="BK867" s="310"/>
      <c r="BL867" s="310"/>
      <c r="BM867" s="310"/>
      <c r="BN867" s="221"/>
      <c r="BO867" s="221"/>
      <c r="BP867" s="221"/>
      <c r="BQ867" s="221"/>
      <c r="BR867" s="221"/>
    </row>
    <row r="868" ht="15.75" customHeight="1">
      <c r="A868" s="220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309"/>
      <c r="Y868" s="309"/>
      <c r="Z868" s="309"/>
      <c r="AA868" s="309"/>
      <c r="AB868" s="309"/>
      <c r="AC868" s="309"/>
      <c r="AD868" s="309"/>
      <c r="AE868" s="309"/>
      <c r="AF868" s="309"/>
      <c r="AG868" s="309"/>
      <c r="AH868" s="309"/>
      <c r="AI868" s="309"/>
      <c r="AJ868" s="309"/>
      <c r="AK868" s="309"/>
      <c r="AL868" s="309"/>
      <c r="AM868" s="309"/>
      <c r="AN868" s="309"/>
      <c r="AO868" s="309"/>
      <c r="AP868" s="309"/>
      <c r="AQ868" s="309"/>
      <c r="AR868" s="309"/>
      <c r="AS868" s="309"/>
      <c r="AT868" s="309"/>
      <c r="AU868" s="309"/>
      <c r="AV868" s="309"/>
      <c r="AW868" s="309"/>
      <c r="AX868" s="309"/>
      <c r="AY868" s="309"/>
      <c r="AZ868" s="309"/>
      <c r="BA868" s="310"/>
      <c r="BB868" s="310"/>
      <c r="BC868" s="310"/>
      <c r="BD868" s="310"/>
      <c r="BE868" s="310"/>
      <c r="BF868" s="310"/>
      <c r="BG868" s="310"/>
      <c r="BH868" s="310"/>
      <c r="BI868" s="310"/>
      <c r="BJ868" s="310"/>
      <c r="BK868" s="310"/>
      <c r="BL868" s="310"/>
      <c r="BM868" s="310"/>
      <c r="BN868" s="221"/>
      <c r="BO868" s="221"/>
      <c r="BP868" s="221"/>
      <c r="BQ868" s="221"/>
      <c r="BR868" s="221"/>
    </row>
    <row r="869" ht="15.75" customHeight="1">
      <c r="A869" s="220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309"/>
      <c r="Y869" s="309"/>
      <c r="Z869" s="309"/>
      <c r="AA869" s="309"/>
      <c r="AB869" s="309"/>
      <c r="AC869" s="309"/>
      <c r="AD869" s="309"/>
      <c r="AE869" s="309"/>
      <c r="AF869" s="309"/>
      <c r="AG869" s="309"/>
      <c r="AH869" s="309"/>
      <c r="AI869" s="309"/>
      <c r="AJ869" s="309"/>
      <c r="AK869" s="309"/>
      <c r="AL869" s="309"/>
      <c r="AM869" s="309"/>
      <c r="AN869" s="309"/>
      <c r="AO869" s="309"/>
      <c r="AP869" s="309"/>
      <c r="AQ869" s="309"/>
      <c r="AR869" s="309"/>
      <c r="AS869" s="309"/>
      <c r="AT869" s="309"/>
      <c r="AU869" s="309"/>
      <c r="AV869" s="309"/>
      <c r="AW869" s="309"/>
      <c r="AX869" s="309"/>
      <c r="AY869" s="309"/>
      <c r="AZ869" s="309"/>
      <c r="BA869" s="310"/>
      <c r="BB869" s="310"/>
      <c r="BC869" s="310"/>
      <c r="BD869" s="310"/>
      <c r="BE869" s="310"/>
      <c r="BF869" s="310"/>
      <c r="BG869" s="310"/>
      <c r="BH869" s="310"/>
      <c r="BI869" s="310"/>
      <c r="BJ869" s="310"/>
      <c r="BK869" s="310"/>
      <c r="BL869" s="310"/>
      <c r="BM869" s="310"/>
      <c r="BN869" s="221"/>
      <c r="BO869" s="221"/>
      <c r="BP869" s="221"/>
      <c r="BQ869" s="221"/>
      <c r="BR869" s="221"/>
    </row>
    <row r="870" ht="15.75" customHeight="1">
      <c r="A870" s="220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309"/>
      <c r="Y870" s="309"/>
      <c r="Z870" s="309"/>
      <c r="AA870" s="309"/>
      <c r="AB870" s="309"/>
      <c r="AC870" s="309"/>
      <c r="AD870" s="309"/>
      <c r="AE870" s="309"/>
      <c r="AF870" s="309"/>
      <c r="AG870" s="309"/>
      <c r="AH870" s="309"/>
      <c r="AI870" s="309"/>
      <c r="AJ870" s="309"/>
      <c r="AK870" s="309"/>
      <c r="AL870" s="309"/>
      <c r="AM870" s="309"/>
      <c r="AN870" s="309"/>
      <c r="AO870" s="309"/>
      <c r="AP870" s="309"/>
      <c r="AQ870" s="309"/>
      <c r="AR870" s="309"/>
      <c r="AS870" s="309"/>
      <c r="AT870" s="309"/>
      <c r="AU870" s="309"/>
      <c r="AV870" s="309"/>
      <c r="AW870" s="309"/>
      <c r="AX870" s="309"/>
      <c r="AY870" s="309"/>
      <c r="AZ870" s="309"/>
      <c r="BA870" s="310"/>
      <c r="BB870" s="310"/>
      <c r="BC870" s="310"/>
      <c r="BD870" s="310"/>
      <c r="BE870" s="310"/>
      <c r="BF870" s="310"/>
      <c r="BG870" s="310"/>
      <c r="BH870" s="310"/>
      <c r="BI870" s="310"/>
      <c r="BJ870" s="310"/>
      <c r="BK870" s="310"/>
      <c r="BL870" s="310"/>
      <c r="BM870" s="310"/>
      <c r="BN870" s="221"/>
      <c r="BO870" s="221"/>
      <c r="BP870" s="221"/>
      <c r="BQ870" s="221"/>
      <c r="BR870" s="221"/>
    </row>
    <row r="871" ht="15.75" customHeight="1">
      <c r="A871" s="220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309"/>
      <c r="Y871" s="309"/>
      <c r="Z871" s="309"/>
      <c r="AA871" s="309"/>
      <c r="AB871" s="309"/>
      <c r="AC871" s="309"/>
      <c r="AD871" s="309"/>
      <c r="AE871" s="309"/>
      <c r="AF871" s="309"/>
      <c r="AG871" s="309"/>
      <c r="AH871" s="309"/>
      <c r="AI871" s="309"/>
      <c r="AJ871" s="309"/>
      <c r="AK871" s="309"/>
      <c r="AL871" s="309"/>
      <c r="AM871" s="309"/>
      <c r="AN871" s="309"/>
      <c r="AO871" s="309"/>
      <c r="AP871" s="309"/>
      <c r="AQ871" s="309"/>
      <c r="AR871" s="309"/>
      <c r="AS871" s="309"/>
      <c r="AT871" s="309"/>
      <c r="AU871" s="309"/>
      <c r="AV871" s="309"/>
      <c r="AW871" s="309"/>
      <c r="AX871" s="309"/>
      <c r="AY871" s="309"/>
      <c r="AZ871" s="309"/>
      <c r="BA871" s="310"/>
      <c r="BB871" s="310"/>
      <c r="BC871" s="310"/>
      <c r="BD871" s="310"/>
      <c r="BE871" s="310"/>
      <c r="BF871" s="310"/>
      <c r="BG871" s="310"/>
      <c r="BH871" s="310"/>
      <c r="BI871" s="310"/>
      <c r="BJ871" s="310"/>
      <c r="BK871" s="310"/>
      <c r="BL871" s="310"/>
      <c r="BM871" s="310"/>
      <c r="BN871" s="221"/>
      <c r="BO871" s="221"/>
      <c r="BP871" s="221"/>
      <c r="BQ871" s="221"/>
      <c r="BR871" s="221"/>
    </row>
    <row r="872" ht="15.75" customHeight="1">
      <c r="A872" s="220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309"/>
      <c r="Y872" s="309"/>
      <c r="Z872" s="309"/>
      <c r="AA872" s="309"/>
      <c r="AB872" s="309"/>
      <c r="AC872" s="309"/>
      <c r="AD872" s="309"/>
      <c r="AE872" s="309"/>
      <c r="AF872" s="309"/>
      <c r="AG872" s="309"/>
      <c r="AH872" s="309"/>
      <c r="AI872" s="309"/>
      <c r="AJ872" s="309"/>
      <c r="AK872" s="309"/>
      <c r="AL872" s="309"/>
      <c r="AM872" s="309"/>
      <c r="AN872" s="309"/>
      <c r="AO872" s="309"/>
      <c r="AP872" s="309"/>
      <c r="AQ872" s="309"/>
      <c r="AR872" s="309"/>
      <c r="AS872" s="309"/>
      <c r="AT872" s="309"/>
      <c r="AU872" s="309"/>
      <c r="AV872" s="309"/>
      <c r="AW872" s="309"/>
      <c r="AX872" s="309"/>
      <c r="AY872" s="309"/>
      <c r="AZ872" s="309"/>
      <c r="BA872" s="310"/>
      <c r="BB872" s="310"/>
      <c r="BC872" s="310"/>
      <c r="BD872" s="310"/>
      <c r="BE872" s="310"/>
      <c r="BF872" s="310"/>
      <c r="BG872" s="310"/>
      <c r="BH872" s="310"/>
      <c r="BI872" s="310"/>
      <c r="BJ872" s="310"/>
      <c r="BK872" s="310"/>
      <c r="BL872" s="310"/>
      <c r="BM872" s="310"/>
      <c r="BN872" s="221"/>
      <c r="BO872" s="221"/>
      <c r="BP872" s="221"/>
      <c r="BQ872" s="221"/>
      <c r="BR872" s="221"/>
    </row>
    <row r="873" ht="15.75" customHeight="1">
      <c r="A873" s="220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309"/>
      <c r="Y873" s="309"/>
      <c r="Z873" s="309"/>
      <c r="AA873" s="309"/>
      <c r="AB873" s="309"/>
      <c r="AC873" s="309"/>
      <c r="AD873" s="309"/>
      <c r="AE873" s="309"/>
      <c r="AF873" s="309"/>
      <c r="AG873" s="309"/>
      <c r="AH873" s="309"/>
      <c r="AI873" s="309"/>
      <c r="AJ873" s="309"/>
      <c r="AK873" s="309"/>
      <c r="AL873" s="309"/>
      <c r="AM873" s="309"/>
      <c r="AN873" s="309"/>
      <c r="AO873" s="309"/>
      <c r="AP873" s="309"/>
      <c r="AQ873" s="309"/>
      <c r="AR873" s="309"/>
      <c r="AS873" s="309"/>
      <c r="AT873" s="309"/>
      <c r="AU873" s="309"/>
      <c r="AV873" s="309"/>
      <c r="AW873" s="309"/>
      <c r="AX873" s="309"/>
      <c r="AY873" s="309"/>
      <c r="AZ873" s="309"/>
      <c r="BA873" s="310"/>
      <c r="BB873" s="310"/>
      <c r="BC873" s="310"/>
      <c r="BD873" s="310"/>
      <c r="BE873" s="310"/>
      <c r="BF873" s="310"/>
      <c r="BG873" s="310"/>
      <c r="BH873" s="310"/>
      <c r="BI873" s="310"/>
      <c r="BJ873" s="310"/>
      <c r="BK873" s="310"/>
      <c r="BL873" s="310"/>
      <c r="BM873" s="310"/>
      <c r="BN873" s="221"/>
      <c r="BO873" s="221"/>
      <c r="BP873" s="221"/>
      <c r="BQ873" s="221"/>
      <c r="BR873" s="221"/>
    </row>
    <row r="874" ht="15.75" customHeight="1">
      <c r="A874" s="220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309"/>
      <c r="Y874" s="309"/>
      <c r="Z874" s="309"/>
      <c r="AA874" s="309"/>
      <c r="AB874" s="309"/>
      <c r="AC874" s="309"/>
      <c r="AD874" s="309"/>
      <c r="AE874" s="309"/>
      <c r="AF874" s="309"/>
      <c r="AG874" s="309"/>
      <c r="AH874" s="309"/>
      <c r="AI874" s="309"/>
      <c r="AJ874" s="309"/>
      <c r="AK874" s="309"/>
      <c r="AL874" s="309"/>
      <c r="AM874" s="309"/>
      <c r="AN874" s="309"/>
      <c r="AO874" s="309"/>
      <c r="AP874" s="309"/>
      <c r="AQ874" s="309"/>
      <c r="AR874" s="309"/>
      <c r="AS874" s="309"/>
      <c r="AT874" s="309"/>
      <c r="AU874" s="309"/>
      <c r="AV874" s="309"/>
      <c r="AW874" s="309"/>
      <c r="AX874" s="309"/>
      <c r="AY874" s="309"/>
      <c r="AZ874" s="309"/>
      <c r="BA874" s="310"/>
      <c r="BB874" s="310"/>
      <c r="BC874" s="310"/>
      <c r="BD874" s="310"/>
      <c r="BE874" s="310"/>
      <c r="BF874" s="310"/>
      <c r="BG874" s="310"/>
      <c r="BH874" s="310"/>
      <c r="BI874" s="310"/>
      <c r="BJ874" s="310"/>
      <c r="BK874" s="310"/>
      <c r="BL874" s="310"/>
      <c r="BM874" s="310"/>
      <c r="BN874" s="221"/>
      <c r="BO874" s="221"/>
      <c r="BP874" s="221"/>
      <c r="BQ874" s="221"/>
      <c r="BR874" s="221"/>
    </row>
    <row r="875" ht="15.75" customHeight="1">
      <c r="A875" s="220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309"/>
      <c r="Y875" s="309"/>
      <c r="Z875" s="309"/>
      <c r="AA875" s="309"/>
      <c r="AB875" s="309"/>
      <c r="AC875" s="309"/>
      <c r="AD875" s="309"/>
      <c r="AE875" s="309"/>
      <c r="AF875" s="309"/>
      <c r="AG875" s="309"/>
      <c r="AH875" s="309"/>
      <c r="AI875" s="309"/>
      <c r="AJ875" s="309"/>
      <c r="AK875" s="309"/>
      <c r="AL875" s="309"/>
      <c r="AM875" s="309"/>
      <c r="AN875" s="309"/>
      <c r="AO875" s="309"/>
      <c r="AP875" s="309"/>
      <c r="AQ875" s="309"/>
      <c r="AR875" s="309"/>
      <c r="AS875" s="309"/>
      <c r="AT875" s="309"/>
      <c r="AU875" s="309"/>
      <c r="AV875" s="309"/>
      <c r="AW875" s="309"/>
      <c r="AX875" s="309"/>
      <c r="AY875" s="309"/>
      <c r="AZ875" s="309"/>
      <c r="BA875" s="310"/>
      <c r="BB875" s="310"/>
      <c r="BC875" s="310"/>
      <c r="BD875" s="310"/>
      <c r="BE875" s="310"/>
      <c r="BF875" s="310"/>
      <c r="BG875" s="310"/>
      <c r="BH875" s="310"/>
      <c r="BI875" s="310"/>
      <c r="BJ875" s="310"/>
      <c r="BK875" s="310"/>
      <c r="BL875" s="310"/>
      <c r="BM875" s="310"/>
      <c r="BN875" s="221"/>
      <c r="BO875" s="221"/>
      <c r="BP875" s="221"/>
      <c r="BQ875" s="221"/>
      <c r="BR875" s="221"/>
    </row>
    <row r="876" ht="15.75" customHeight="1">
      <c r="A876" s="220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309"/>
      <c r="Y876" s="309"/>
      <c r="Z876" s="309"/>
      <c r="AA876" s="309"/>
      <c r="AB876" s="309"/>
      <c r="AC876" s="309"/>
      <c r="AD876" s="309"/>
      <c r="AE876" s="309"/>
      <c r="AF876" s="309"/>
      <c r="AG876" s="309"/>
      <c r="AH876" s="309"/>
      <c r="AI876" s="309"/>
      <c r="AJ876" s="309"/>
      <c r="AK876" s="309"/>
      <c r="AL876" s="309"/>
      <c r="AM876" s="309"/>
      <c r="AN876" s="309"/>
      <c r="AO876" s="309"/>
      <c r="AP876" s="309"/>
      <c r="AQ876" s="309"/>
      <c r="AR876" s="309"/>
      <c r="AS876" s="309"/>
      <c r="AT876" s="309"/>
      <c r="AU876" s="309"/>
      <c r="AV876" s="309"/>
      <c r="AW876" s="309"/>
      <c r="AX876" s="309"/>
      <c r="AY876" s="309"/>
      <c r="AZ876" s="309"/>
      <c r="BA876" s="310"/>
      <c r="BB876" s="310"/>
      <c r="BC876" s="310"/>
      <c r="BD876" s="310"/>
      <c r="BE876" s="310"/>
      <c r="BF876" s="310"/>
      <c r="BG876" s="310"/>
      <c r="BH876" s="310"/>
      <c r="BI876" s="310"/>
      <c r="BJ876" s="310"/>
      <c r="BK876" s="310"/>
      <c r="BL876" s="310"/>
      <c r="BM876" s="310"/>
      <c r="BN876" s="221"/>
      <c r="BO876" s="221"/>
      <c r="BP876" s="221"/>
      <c r="BQ876" s="221"/>
      <c r="BR876" s="221"/>
    </row>
    <row r="877" ht="15.75" customHeight="1">
      <c r="A877" s="220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309"/>
      <c r="Y877" s="309"/>
      <c r="Z877" s="309"/>
      <c r="AA877" s="309"/>
      <c r="AB877" s="309"/>
      <c r="AC877" s="309"/>
      <c r="AD877" s="309"/>
      <c r="AE877" s="309"/>
      <c r="AF877" s="309"/>
      <c r="AG877" s="309"/>
      <c r="AH877" s="309"/>
      <c r="AI877" s="309"/>
      <c r="AJ877" s="309"/>
      <c r="AK877" s="309"/>
      <c r="AL877" s="309"/>
      <c r="AM877" s="309"/>
      <c r="AN877" s="309"/>
      <c r="AO877" s="309"/>
      <c r="AP877" s="309"/>
      <c r="AQ877" s="309"/>
      <c r="AR877" s="309"/>
      <c r="AS877" s="309"/>
      <c r="AT877" s="309"/>
      <c r="AU877" s="309"/>
      <c r="AV877" s="309"/>
      <c r="AW877" s="309"/>
      <c r="AX877" s="309"/>
      <c r="AY877" s="309"/>
      <c r="AZ877" s="309"/>
      <c r="BA877" s="310"/>
      <c r="BB877" s="310"/>
      <c r="BC877" s="310"/>
      <c r="BD877" s="310"/>
      <c r="BE877" s="310"/>
      <c r="BF877" s="310"/>
      <c r="BG877" s="310"/>
      <c r="BH877" s="310"/>
      <c r="BI877" s="310"/>
      <c r="BJ877" s="310"/>
      <c r="BK877" s="310"/>
      <c r="BL877" s="310"/>
      <c r="BM877" s="310"/>
      <c r="BN877" s="221"/>
      <c r="BO877" s="221"/>
      <c r="BP877" s="221"/>
      <c r="BQ877" s="221"/>
      <c r="BR877" s="221"/>
    </row>
    <row r="878" ht="15.75" customHeight="1">
      <c r="A878" s="220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309"/>
      <c r="Y878" s="309"/>
      <c r="Z878" s="309"/>
      <c r="AA878" s="309"/>
      <c r="AB878" s="309"/>
      <c r="AC878" s="309"/>
      <c r="AD878" s="309"/>
      <c r="AE878" s="309"/>
      <c r="AF878" s="309"/>
      <c r="AG878" s="309"/>
      <c r="AH878" s="309"/>
      <c r="AI878" s="309"/>
      <c r="AJ878" s="309"/>
      <c r="AK878" s="309"/>
      <c r="AL878" s="309"/>
      <c r="AM878" s="309"/>
      <c r="AN878" s="309"/>
      <c r="AO878" s="309"/>
      <c r="AP878" s="309"/>
      <c r="AQ878" s="309"/>
      <c r="AR878" s="309"/>
      <c r="AS878" s="309"/>
      <c r="AT878" s="309"/>
      <c r="AU878" s="309"/>
      <c r="AV878" s="309"/>
      <c r="AW878" s="309"/>
      <c r="AX878" s="309"/>
      <c r="AY878" s="309"/>
      <c r="AZ878" s="309"/>
      <c r="BA878" s="310"/>
      <c r="BB878" s="310"/>
      <c r="BC878" s="310"/>
      <c r="BD878" s="310"/>
      <c r="BE878" s="310"/>
      <c r="BF878" s="310"/>
      <c r="BG878" s="310"/>
      <c r="BH878" s="310"/>
      <c r="BI878" s="310"/>
      <c r="BJ878" s="310"/>
      <c r="BK878" s="310"/>
      <c r="BL878" s="310"/>
      <c r="BM878" s="310"/>
      <c r="BN878" s="221"/>
      <c r="BO878" s="221"/>
      <c r="BP878" s="221"/>
      <c r="BQ878" s="221"/>
      <c r="BR878" s="221"/>
    </row>
    <row r="879" ht="15.75" customHeight="1">
      <c r="A879" s="220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309"/>
      <c r="Y879" s="309"/>
      <c r="Z879" s="309"/>
      <c r="AA879" s="309"/>
      <c r="AB879" s="309"/>
      <c r="AC879" s="309"/>
      <c r="AD879" s="309"/>
      <c r="AE879" s="309"/>
      <c r="AF879" s="309"/>
      <c r="AG879" s="309"/>
      <c r="AH879" s="309"/>
      <c r="AI879" s="309"/>
      <c r="AJ879" s="309"/>
      <c r="AK879" s="309"/>
      <c r="AL879" s="309"/>
      <c r="AM879" s="309"/>
      <c r="AN879" s="309"/>
      <c r="AO879" s="309"/>
      <c r="AP879" s="309"/>
      <c r="AQ879" s="309"/>
      <c r="AR879" s="309"/>
      <c r="AS879" s="309"/>
      <c r="AT879" s="309"/>
      <c r="AU879" s="309"/>
      <c r="AV879" s="309"/>
      <c r="AW879" s="309"/>
      <c r="AX879" s="309"/>
      <c r="AY879" s="309"/>
      <c r="AZ879" s="309"/>
      <c r="BA879" s="310"/>
      <c r="BB879" s="310"/>
      <c r="BC879" s="310"/>
      <c r="BD879" s="310"/>
      <c r="BE879" s="310"/>
      <c r="BF879" s="310"/>
      <c r="BG879" s="310"/>
      <c r="BH879" s="310"/>
      <c r="BI879" s="310"/>
      <c r="BJ879" s="310"/>
      <c r="BK879" s="310"/>
      <c r="BL879" s="310"/>
      <c r="BM879" s="310"/>
      <c r="BN879" s="221"/>
      <c r="BO879" s="221"/>
      <c r="BP879" s="221"/>
      <c r="BQ879" s="221"/>
      <c r="BR879" s="221"/>
    </row>
    <row r="880" ht="15.75" customHeight="1">
      <c r="A880" s="220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309"/>
      <c r="Y880" s="309"/>
      <c r="Z880" s="309"/>
      <c r="AA880" s="309"/>
      <c r="AB880" s="309"/>
      <c r="AC880" s="309"/>
      <c r="AD880" s="309"/>
      <c r="AE880" s="309"/>
      <c r="AF880" s="309"/>
      <c r="AG880" s="309"/>
      <c r="AH880" s="309"/>
      <c r="AI880" s="309"/>
      <c r="AJ880" s="309"/>
      <c r="AK880" s="309"/>
      <c r="AL880" s="309"/>
      <c r="AM880" s="309"/>
      <c r="AN880" s="309"/>
      <c r="AO880" s="309"/>
      <c r="AP880" s="309"/>
      <c r="AQ880" s="309"/>
      <c r="AR880" s="309"/>
      <c r="AS880" s="309"/>
      <c r="AT880" s="309"/>
      <c r="AU880" s="309"/>
      <c r="AV880" s="309"/>
      <c r="AW880" s="309"/>
      <c r="AX880" s="309"/>
      <c r="AY880" s="309"/>
      <c r="AZ880" s="309"/>
      <c r="BA880" s="310"/>
      <c r="BB880" s="310"/>
      <c r="BC880" s="310"/>
      <c r="BD880" s="310"/>
      <c r="BE880" s="310"/>
      <c r="BF880" s="310"/>
      <c r="BG880" s="310"/>
      <c r="BH880" s="310"/>
      <c r="BI880" s="310"/>
      <c r="BJ880" s="310"/>
      <c r="BK880" s="310"/>
      <c r="BL880" s="310"/>
      <c r="BM880" s="310"/>
      <c r="BN880" s="221"/>
      <c r="BO880" s="221"/>
      <c r="BP880" s="221"/>
      <c r="BQ880" s="221"/>
      <c r="BR880" s="221"/>
    </row>
    <row r="881" ht="15.75" customHeight="1">
      <c r="A881" s="220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309"/>
      <c r="Y881" s="309"/>
      <c r="Z881" s="309"/>
      <c r="AA881" s="309"/>
      <c r="AB881" s="309"/>
      <c r="AC881" s="309"/>
      <c r="AD881" s="309"/>
      <c r="AE881" s="309"/>
      <c r="AF881" s="309"/>
      <c r="AG881" s="309"/>
      <c r="AH881" s="309"/>
      <c r="AI881" s="309"/>
      <c r="AJ881" s="309"/>
      <c r="AK881" s="309"/>
      <c r="AL881" s="309"/>
      <c r="AM881" s="309"/>
      <c r="AN881" s="309"/>
      <c r="AO881" s="309"/>
      <c r="AP881" s="309"/>
      <c r="AQ881" s="309"/>
      <c r="AR881" s="309"/>
      <c r="AS881" s="309"/>
      <c r="AT881" s="309"/>
      <c r="AU881" s="309"/>
      <c r="AV881" s="309"/>
      <c r="AW881" s="309"/>
      <c r="AX881" s="309"/>
      <c r="AY881" s="309"/>
      <c r="AZ881" s="309"/>
      <c r="BA881" s="310"/>
      <c r="BB881" s="310"/>
      <c r="BC881" s="310"/>
      <c r="BD881" s="310"/>
      <c r="BE881" s="310"/>
      <c r="BF881" s="310"/>
      <c r="BG881" s="310"/>
      <c r="BH881" s="310"/>
      <c r="BI881" s="310"/>
      <c r="BJ881" s="310"/>
      <c r="BK881" s="310"/>
      <c r="BL881" s="310"/>
      <c r="BM881" s="310"/>
      <c r="BN881" s="221"/>
      <c r="BO881" s="221"/>
      <c r="BP881" s="221"/>
      <c r="BQ881" s="221"/>
      <c r="BR881" s="221"/>
    </row>
    <row r="882" ht="15.75" customHeight="1">
      <c r="A882" s="220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309"/>
      <c r="Y882" s="309"/>
      <c r="Z882" s="309"/>
      <c r="AA882" s="309"/>
      <c r="AB882" s="309"/>
      <c r="AC882" s="309"/>
      <c r="AD882" s="309"/>
      <c r="AE882" s="309"/>
      <c r="AF882" s="309"/>
      <c r="AG882" s="309"/>
      <c r="AH882" s="309"/>
      <c r="AI882" s="309"/>
      <c r="AJ882" s="309"/>
      <c r="AK882" s="309"/>
      <c r="AL882" s="309"/>
      <c r="AM882" s="309"/>
      <c r="AN882" s="309"/>
      <c r="AO882" s="309"/>
      <c r="AP882" s="309"/>
      <c r="AQ882" s="309"/>
      <c r="AR882" s="309"/>
      <c r="AS882" s="309"/>
      <c r="AT882" s="309"/>
      <c r="AU882" s="309"/>
      <c r="AV882" s="309"/>
      <c r="AW882" s="309"/>
      <c r="AX882" s="309"/>
      <c r="AY882" s="309"/>
      <c r="AZ882" s="309"/>
      <c r="BA882" s="310"/>
      <c r="BB882" s="310"/>
      <c r="BC882" s="310"/>
      <c r="BD882" s="310"/>
      <c r="BE882" s="310"/>
      <c r="BF882" s="310"/>
      <c r="BG882" s="310"/>
      <c r="BH882" s="310"/>
      <c r="BI882" s="310"/>
      <c r="BJ882" s="310"/>
      <c r="BK882" s="310"/>
      <c r="BL882" s="310"/>
      <c r="BM882" s="310"/>
      <c r="BN882" s="221"/>
      <c r="BO882" s="221"/>
      <c r="BP882" s="221"/>
      <c r="BQ882" s="221"/>
      <c r="BR882" s="221"/>
    </row>
    <row r="883" ht="15.75" customHeight="1">
      <c r="A883" s="220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309"/>
      <c r="Y883" s="309"/>
      <c r="Z883" s="309"/>
      <c r="AA883" s="309"/>
      <c r="AB883" s="309"/>
      <c r="AC883" s="309"/>
      <c r="AD883" s="309"/>
      <c r="AE883" s="309"/>
      <c r="AF883" s="309"/>
      <c r="AG883" s="309"/>
      <c r="AH883" s="309"/>
      <c r="AI883" s="309"/>
      <c r="AJ883" s="309"/>
      <c r="AK883" s="309"/>
      <c r="AL883" s="309"/>
      <c r="AM883" s="309"/>
      <c r="AN883" s="309"/>
      <c r="AO883" s="309"/>
      <c r="AP883" s="309"/>
      <c r="AQ883" s="309"/>
      <c r="AR883" s="309"/>
      <c r="AS883" s="309"/>
      <c r="AT883" s="309"/>
      <c r="AU883" s="309"/>
      <c r="AV883" s="309"/>
      <c r="AW883" s="309"/>
      <c r="AX883" s="309"/>
      <c r="AY883" s="309"/>
      <c r="AZ883" s="309"/>
      <c r="BA883" s="310"/>
      <c r="BB883" s="310"/>
      <c r="BC883" s="310"/>
      <c r="BD883" s="310"/>
      <c r="BE883" s="310"/>
      <c r="BF883" s="310"/>
      <c r="BG883" s="310"/>
      <c r="BH883" s="310"/>
      <c r="BI883" s="310"/>
      <c r="BJ883" s="310"/>
      <c r="BK883" s="310"/>
      <c r="BL883" s="310"/>
      <c r="BM883" s="310"/>
      <c r="BN883" s="221"/>
      <c r="BO883" s="221"/>
      <c r="BP883" s="221"/>
      <c r="BQ883" s="221"/>
      <c r="BR883" s="221"/>
    </row>
    <row r="884" ht="15.75" customHeight="1">
      <c r="A884" s="220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309"/>
      <c r="Y884" s="309"/>
      <c r="Z884" s="309"/>
      <c r="AA884" s="309"/>
      <c r="AB884" s="309"/>
      <c r="AC884" s="309"/>
      <c r="AD884" s="309"/>
      <c r="AE884" s="309"/>
      <c r="AF884" s="309"/>
      <c r="AG884" s="309"/>
      <c r="AH884" s="309"/>
      <c r="AI884" s="309"/>
      <c r="AJ884" s="309"/>
      <c r="AK884" s="309"/>
      <c r="AL884" s="309"/>
      <c r="AM884" s="309"/>
      <c r="AN884" s="309"/>
      <c r="AO884" s="309"/>
      <c r="AP884" s="309"/>
      <c r="AQ884" s="309"/>
      <c r="AR884" s="309"/>
      <c r="AS884" s="309"/>
      <c r="AT884" s="309"/>
      <c r="AU884" s="309"/>
      <c r="AV884" s="309"/>
      <c r="AW884" s="309"/>
      <c r="AX884" s="309"/>
      <c r="AY884" s="309"/>
      <c r="AZ884" s="309"/>
      <c r="BA884" s="310"/>
      <c r="BB884" s="310"/>
      <c r="BC884" s="310"/>
      <c r="BD884" s="310"/>
      <c r="BE884" s="310"/>
      <c r="BF884" s="310"/>
      <c r="BG884" s="310"/>
      <c r="BH884" s="310"/>
      <c r="BI884" s="310"/>
      <c r="BJ884" s="310"/>
      <c r="BK884" s="310"/>
      <c r="BL884" s="310"/>
      <c r="BM884" s="310"/>
      <c r="BN884" s="221"/>
      <c r="BO884" s="221"/>
      <c r="BP884" s="221"/>
      <c r="BQ884" s="221"/>
      <c r="BR884" s="221"/>
    </row>
    <row r="885" ht="15.75" customHeight="1">
      <c r="A885" s="220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309"/>
      <c r="Y885" s="309"/>
      <c r="Z885" s="309"/>
      <c r="AA885" s="309"/>
      <c r="AB885" s="309"/>
      <c r="AC885" s="309"/>
      <c r="AD885" s="309"/>
      <c r="AE885" s="309"/>
      <c r="AF885" s="309"/>
      <c r="AG885" s="309"/>
      <c r="AH885" s="309"/>
      <c r="AI885" s="309"/>
      <c r="AJ885" s="309"/>
      <c r="AK885" s="309"/>
      <c r="AL885" s="309"/>
      <c r="AM885" s="309"/>
      <c r="AN885" s="309"/>
      <c r="AO885" s="309"/>
      <c r="AP885" s="309"/>
      <c r="AQ885" s="309"/>
      <c r="AR885" s="309"/>
      <c r="AS885" s="309"/>
      <c r="AT885" s="309"/>
      <c r="AU885" s="309"/>
      <c r="AV885" s="309"/>
      <c r="AW885" s="309"/>
      <c r="AX885" s="309"/>
      <c r="AY885" s="309"/>
      <c r="AZ885" s="309"/>
      <c r="BA885" s="310"/>
      <c r="BB885" s="310"/>
      <c r="BC885" s="310"/>
      <c r="BD885" s="310"/>
      <c r="BE885" s="310"/>
      <c r="BF885" s="310"/>
      <c r="BG885" s="310"/>
      <c r="BH885" s="310"/>
      <c r="BI885" s="310"/>
      <c r="BJ885" s="310"/>
      <c r="BK885" s="310"/>
      <c r="BL885" s="310"/>
      <c r="BM885" s="310"/>
      <c r="BN885" s="221"/>
      <c r="BO885" s="221"/>
      <c r="BP885" s="221"/>
      <c r="BQ885" s="221"/>
      <c r="BR885" s="221"/>
    </row>
    <row r="886" ht="15.75" customHeight="1">
      <c r="A886" s="220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309"/>
      <c r="Y886" s="309"/>
      <c r="Z886" s="309"/>
      <c r="AA886" s="309"/>
      <c r="AB886" s="309"/>
      <c r="AC886" s="309"/>
      <c r="AD886" s="309"/>
      <c r="AE886" s="309"/>
      <c r="AF886" s="309"/>
      <c r="AG886" s="309"/>
      <c r="AH886" s="309"/>
      <c r="AI886" s="309"/>
      <c r="AJ886" s="309"/>
      <c r="AK886" s="309"/>
      <c r="AL886" s="309"/>
      <c r="AM886" s="309"/>
      <c r="AN886" s="309"/>
      <c r="AO886" s="309"/>
      <c r="AP886" s="309"/>
      <c r="AQ886" s="309"/>
      <c r="AR886" s="309"/>
      <c r="AS886" s="309"/>
      <c r="AT886" s="309"/>
      <c r="AU886" s="309"/>
      <c r="AV886" s="309"/>
      <c r="AW886" s="309"/>
      <c r="AX886" s="309"/>
      <c r="AY886" s="309"/>
      <c r="AZ886" s="309"/>
      <c r="BA886" s="310"/>
      <c r="BB886" s="310"/>
      <c r="BC886" s="310"/>
      <c r="BD886" s="310"/>
      <c r="BE886" s="310"/>
      <c r="BF886" s="310"/>
      <c r="BG886" s="310"/>
      <c r="BH886" s="310"/>
      <c r="BI886" s="310"/>
      <c r="BJ886" s="310"/>
      <c r="BK886" s="310"/>
      <c r="BL886" s="310"/>
      <c r="BM886" s="310"/>
      <c r="BN886" s="221"/>
      <c r="BO886" s="221"/>
      <c r="BP886" s="221"/>
      <c r="BQ886" s="221"/>
      <c r="BR886" s="221"/>
    </row>
    <row r="887" ht="15.75" customHeight="1">
      <c r="A887" s="220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309"/>
      <c r="Y887" s="309"/>
      <c r="Z887" s="309"/>
      <c r="AA887" s="309"/>
      <c r="AB887" s="309"/>
      <c r="AC887" s="309"/>
      <c r="AD887" s="309"/>
      <c r="AE887" s="309"/>
      <c r="AF887" s="309"/>
      <c r="AG887" s="309"/>
      <c r="AH887" s="309"/>
      <c r="AI887" s="309"/>
      <c r="AJ887" s="309"/>
      <c r="AK887" s="309"/>
      <c r="AL887" s="309"/>
      <c r="AM887" s="309"/>
      <c r="AN887" s="309"/>
      <c r="AO887" s="309"/>
      <c r="AP887" s="309"/>
      <c r="AQ887" s="309"/>
      <c r="AR887" s="309"/>
      <c r="AS887" s="309"/>
      <c r="AT887" s="309"/>
      <c r="AU887" s="309"/>
      <c r="AV887" s="309"/>
      <c r="AW887" s="309"/>
      <c r="AX887" s="309"/>
      <c r="AY887" s="309"/>
      <c r="AZ887" s="309"/>
      <c r="BA887" s="310"/>
      <c r="BB887" s="310"/>
      <c r="BC887" s="310"/>
      <c r="BD887" s="310"/>
      <c r="BE887" s="310"/>
      <c r="BF887" s="310"/>
      <c r="BG887" s="310"/>
      <c r="BH887" s="310"/>
      <c r="BI887" s="310"/>
      <c r="BJ887" s="310"/>
      <c r="BK887" s="310"/>
      <c r="BL887" s="310"/>
      <c r="BM887" s="310"/>
      <c r="BN887" s="221"/>
      <c r="BO887" s="221"/>
      <c r="BP887" s="221"/>
      <c r="BQ887" s="221"/>
      <c r="BR887" s="221"/>
    </row>
    <row r="888" ht="15.75" customHeight="1">
      <c r="A888" s="220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309"/>
      <c r="Y888" s="309"/>
      <c r="Z888" s="309"/>
      <c r="AA888" s="309"/>
      <c r="AB888" s="309"/>
      <c r="AC888" s="309"/>
      <c r="AD888" s="309"/>
      <c r="AE888" s="309"/>
      <c r="AF888" s="309"/>
      <c r="AG888" s="309"/>
      <c r="AH888" s="309"/>
      <c r="AI888" s="309"/>
      <c r="AJ888" s="309"/>
      <c r="AK888" s="309"/>
      <c r="AL888" s="309"/>
      <c r="AM888" s="309"/>
      <c r="AN888" s="309"/>
      <c r="AO888" s="309"/>
      <c r="AP888" s="309"/>
      <c r="AQ888" s="309"/>
      <c r="AR888" s="309"/>
      <c r="AS888" s="309"/>
      <c r="AT888" s="309"/>
      <c r="AU888" s="309"/>
      <c r="AV888" s="309"/>
      <c r="AW888" s="309"/>
      <c r="AX888" s="309"/>
      <c r="AY888" s="309"/>
      <c r="AZ888" s="309"/>
      <c r="BA888" s="310"/>
      <c r="BB888" s="310"/>
      <c r="BC888" s="310"/>
      <c r="BD888" s="310"/>
      <c r="BE888" s="310"/>
      <c r="BF888" s="310"/>
      <c r="BG888" s="310"/>
      <c r="BH888" s="310"/>
      <c r="BI888" s="310"/>
      <c r="BJ888" s="310"/>
      <c r="BK888" s="310"/>
      <c r="BL888" s="310"/>
      <c r="BM888" s="310"/>
      <c r="BN888" s="221"/>
      <c r="BO888" s="221"/>
      <c r="BP888" s="221"/>
      <c r="BQ888" s="221"/>
      <c r="BR888" s="221"/>
    </row>
    <row r="889" ht="15.75" customHeight="1">
      <c r="A889" s="220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309"/>
      <c r="Y889" s="309"/>
      <c r="Z889" s="309"/>
      <c r="AA889" s="309"/>
      <c r="AB889" s="309"/>
      <c r="AC889" s="309"/>
      <c r="AD889" s="309"/>
      <c r="AE889" s="309"/>
      <c r="AF889" s="309"/>
      <c r="AG889" s="309"/>
      <c r="AH889" s="309"/>
      <c r="AI889" s="309"/>
      <c r="AJ889" s="309"/>
      <c r="AK889" s="309"/>
      <c r="AL889" s="309"/>
      <c r="AM889" s="309"/>
      <c r="AN889" s="309"/>
      <c r="AO889" s="309"/>
      <c r="AP889" s="309"/>
      <c r="AQ889" s="309"/>
      <c r="AR889" s="309"/>
      <c r="AS889" s="309"/>
      <c r="AT889" s="309"/>
      <c r="AU889" s="309"/>
      <c r="AV889" s="309"/>
      <c r="AW889" s="309"/>
      <c r="AX889" s="309"/>
      <c r="AY889" s="309"/>
      <c r="AZ889" s="309"/>
      <c r="BA889" s="310"/>
      <c r="BB889" s="310"/>
      <c r="BC889" s="310"/>
      <c r="BD889" s="310"/>
      <c r="BE889" s="310"/>
      <c r="BF889" s="310"/>
      <c r="BG889" s="310"/>
      <c r="BH889" s="310"/>
      <c r="BI889" s="310"/>
      <c r="BJ889" s="310"/>
      <c r="BK889" s="310"/>
      <c r="BL889" s="310"/>
      <c r="BM889" s="310"/>
      <c r="BN889" s="221"/>
      <c r="BO889" s="221"/>
      <c r="BP889" s="221"/>
      <c r="BQ889" s="221"/>
      <c r="BR889" s="221"/>
    </row>
    <row r="890" ht="15.75" customHeight="1">
      <c r="A890" s="220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309"/>
      <c r="Y890" s="309"/>
      <c r="Z890" s="309"/>
      <c r="AA890" s="309"/>
      <c r="AB890" s="309"/>
      <c r="AC890" s="309"/>
      <c r="AD890" s="309"/>
      <c r="AE890" s="309"/>
      <c r="AF890" s="309"/>
      <c r="AG890" s="309"/>
      <c r="AH890" s="309"/>
      <c r="AI890" s="309"/>
      <c r="AJ890" s="309"/>
      <c r="AK890" s="309"/>
      <c r="AL890" s="309"/>
      <c r="AM890" s="309"/>
      <c r="AN890" s="309"/>
      <c r="AO890" s="309"/>
      <c r="AP890" s="309"/>
      <c r="AQ890" s="309"/>
      <c r="AR890" s="309"/>
      <c r="AS890" s="309"/>
      <c r="AT890" s="309"/>
      <c r="AU890" s="309"/>
      <c r="AV890" s="309"/>
      <c r="AW890" s="309"/>
      <c r="AX890" s="309"/>
      <c r="AY890" s="309"/>
      <c r="AZ890" s="309"/>
      <c r="BA890" s="310"/>
      <c r="BB890" s="310"/>
      <c r="BC890" s="310"/>
      <c r="BD890" s="310"/>
      <c r="BE890" s="310"/>
      <c r="BF890" s="310"/>
      <c r="BG890" s="310"/>
      <c r="BH890" s="310"/>
      <c r="BI890" s="310"/>
      <c r="BJ890" s="310"/>
      <c r="BK890" s="310"/>
      <c r="BL890" s="310"/>
      <c r="BM890" s="310"/>
      <c r="BN890" s="221"/>
      <c r="BO890" s="221"/>
      <c r="BP890" s="221"/>
      <c r="BQ890" s="221"/>
      <c r="BR890" s="221"/>
    </row>
    <row r="891" ht="15.75" customHeight="1">
      <c r="A891" s="220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309"/>
      <c r="Y891" s="309"/>
      <c r="Z891" s="309"/>
      <c r="AA891" s="309"/>
      <c r="AB891" s="309"/>
      <c r="AC891" s="309"/>
      <c r="AD891" s="309"/>
      <c r="AE891" s="309"/>
      <c r="AF891" s="309"/>
      <c r="AG891" s="309"/>
      <c r="AH891" s="309"/>
      <c r="AI891" s="309"/>
      <c r="AJ891" s="309"/>
      <c r="AK891" s="309"/>
      <c r="AL891" s="309"/>
      <c r="AM891" s="309"/>
      <c r="AN891" s="309"/>
      <c r="AO891" s="309"/>
      <c r="AP891" s="309"/>
      <c r="AQ891" s="309"/>
      <c r="AR891" s="309"/>
      <c r="AS891" s="309"/>
      <c r="AT891" s="309"/>
      <c r="AU891" s="309"/>
      <c r="AV891" s="309"/>
      <c r="AW891" s="309"/>
      <c r="AX891" s="309"/>
      <c r="AY891" s="309"/>
      <c r="AZ891" s="309"/>
      <c r="BA891" s="310"/>
      <c r="BB891" s="310"/>
      <c r="BC891" s="310"/>
      <c r="BD891" s="310"/>
      <c r="BE891" s="310"/>
      <c r="BF891" s="310"/>
      <c r="BG891" s="310"/>
      <c r="BH891" s="310"/>
      <c r="BI891" s="310"/>
      <c r="BJ891" s="310"/>
      <c r="BK891" s="310"/>
      <c r="BL891" s="310"/>
      <c r="BM891" s="310"/>
      <c r="BN891" s="221"/>
      <c r="BO891" s="221"/>
      <c r="BP891" s="221"/>
      <c r="BQ891" s="221"/>
      <c r="BR891" s="221"/>
    </row>
    <row r="892" ht="15.75" customHeight="1">
      <c r="A892" s="220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309"/>
      <c r="Y892" s="309"/>
      <c r="Z892" s="309"/>
      <c r="AA892" s="309"/>
      <c r="AB892" s="309"/>
      <c r="AC892" s="309"/>
      <c r="AD892" s="309"/>
      <c r="AE892" s="309"/>
      <c r="AF892" s="309"/>
      <c r="AG892" s="309"/>
      <c r="AH892" s="309"/>
      <c r="AI892" s="309"/>
      <c r="AJ892" s="309"/>
      <c r="AK892" s="309"/>
      <c r="AL892" s="309"/>
      <c r="AM892" s="309"/>
      <c r="AN892" s="309"/>
      <c r="AO892" s="309"/>
      <c r="AP892" s="309"/>
      <c r="AQ892" s="309"/>
      <c r="AR892" s="309"/>
      <c r="AS892" s="309"/>
      <c r="AT892" s="309"/>
      <c r="AU892" s="309"/>
      <c r="AV892" s="309"/>
      <c r="AW892" s="309"/>
      <c r="AX892" s="309"/>
      <c r="AY892" s="309"/>
      <c r="AZ892" s="309"/>
      <c r="BA892" s="310"/>
      <c r="BB892" s="310"/>
      <c r="BC892" s="310"/>
      <c r="BD892" s="310"/>
      <c r="BE892" s="310"/>
      <c r="BF892" s="310"/>
      <c r="BG892" s="310"/>
      <c r="BH892" s="310"/>
      <c r="BI892" s="310"/>
      <c r="BJ892" s="310"/>
      <c r="BK892" s="310"/>
      <c r="BL892" s="310"/>
      <c r="BM892" s="310"/>
      <c r="BN892" s="221"/>
      <c r="BO892" s="221"/>
      <c r="BP892" s="221"/>
      <c r="BQ892" s="221"/>
      <c r="BR892" s="221"/>
    </row>
    <row r="893" ht="15.75" customHeight="1">
      <c r="A893" s="220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309"/>
      <c r="Y893" s="309"/>
      <c r="Z893" s="309"/>
      <c r="AA893" s="309"/>
      <c r="AB893" s="309"/>
      <c r="AC893" s="309"/>
      <c r="AD893" s="309"/>
      <c r="AE893" s="309"/>
      <c r="AF893" s="309"/>
      <c r="AG893" s="309"/>
      <c r="AH893" s="309"/>
      <c r="AI893" s="309"/>
      <c r="AJ893" s="309"/>
      <c r="AK893" s="309"/>
      <c r="AL893" s="309"/>
      <c r="AM893" s="309"/>
      <c r="AN893" s="309"/>
      <c r="AO893" s="309"/>
      <c r="AP893" s="309"/>
      <c r="AQ893" s="309"/>
      <c r="AR893" s="309"/>
      <c r="AS893" s="309"/>
      <c r="AT893" s="309"/>
      <c r="AU893" s="309"/>
      <c r="AV893" s="309"/>
      <c r="AW893" s="309"/>
      <c r="AX893" s="309"/>
      <c r="AY893" s="309"/>
      <c r="AZ893" s="309"/>
      <c r="BA893" s="310"/>
      <c r="BB893" s="310"/>
      <c r="BC893" s="310"/>
      <c r="BD893" s="310"/>
      <c r="BE893" s="310"/>
      <c r="BF893" s="310"/>
      <c r="BG893" s="310"/>
      <c r="BH893" s="310"/>
      <c r="BI893" s="310"/>
      <c r="BJ893" s="310"/>
      <c r="BK893" s="310"/>
      <c r="BL893" s="310"/>
      <c r="BM893" s="310"/>
      <c r="BN893" s="221"/>
      <c r="BO893" s="221"/>
      <c r="BP893" s="221"/>
      <c r="BQ893" s="221"/>
      <c r="BR893" s="221"/>
    </row>
    <row r="894" ht="15.75" customHeight="1">
      <c r="A894" s="220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309"/>
      <c r="Y894" s="309"/>
      <c r="Z894" s="309"/>
      <c r="AA894" s="309"/>
      <c r="AB894" s="309"/>
      <c r="AC894" s="309"/>
      <c r="AD894" s="309"/>
      <c r="AE894" s="309"/>
      <c r="AF894" s="309"/>
      <c r="AG894" s="309"/>
      <c r="AH894" s="309"/>
      <c r="AI894" s="309"/>
      <c r="AJ894" s="309"/>
      <c r="AK894" s="309"/>
      <c r="AL894" s="309"/>
      <c r="AM894" s="309"/>
      <c r="AN894" s="309"/>
      <c r="AO894" s="309"/>
      <c r="AP894" s="309"/>
      <c r="AQ894" s="309"/>
      <c r="AR894" s="309"/>
      <c r="AS894" s="309"/>
      <c r="AT894" s="309"/>
      <c r="AU894" s="309"/>
      <c r="AV894" s="309"/>
      <c r="AW894" s="309"/>
      <c r="AX894" s="309"/>
      <c r="AY894" s="309"/>
      <c r="AZ894" s="309"/>
      <c r="BA894" s="310"/>
      <c r="BB894" s="310"/>
      <c r="BC894" s="310"/>
      <c r="BD894" s="310"/>
      <c r="BE894" s="310"/>
      <c r="BF894" s="310"/>
      <c r="BG894" s="310"/>
      <c r="BH894" s="310"/>
      <c r="BI894" s="310"/>
      <c r="BJ894" s="310"/>
      <c r="BK894" s="310"/>
      <c r="BL894" s="310"/>
      <c r="BM894" s="310"/>
      <c r="BN894" s="221"/>
      <c r="BO894" s="221"/>
      <c r="BP894" s="221"/>
      <c r="BQ894" s="221"/>
      <c r="BR894" s="221"/>
    </row>
    <row r="895" ht="15.75" customHeight="1">
      <c r="A895" s="220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309"/>
      <c r="Y895" s="309"/>
      <c r="Z895" s="309"/>
      <c r="AA895" s="309"/>
      <c r="AB895" s="309"/>
      <c r="AC895" s="309"/>
      <c r="AD895" s="309"/>
      <c r="AE895" s="309"/>
      <c r="AF895" s="309"/>
      <c r="AG895" s="309"/>
      <c r="AH895" s="309"/>
      <c r="AI895" s="309"/>
      <c r="AJ895" s="309"/>
      <c r="AK895" s="309"/>
      <c r="AL895" s="309"/>
      <c r="AM895" s="309"/>
      <c r="AN895" s="309"/>
      <c r="AO895" s="309"/>
      <c r="AP895" s="309"/>
      <c r="AQ895" s="309"/>
      <c r="AR895" s="309"/>
      <c r="AS895" s="309"/>
      <c r="AT895" s="309"/>
      <c r="AU895" s="309"/>
      <c r="AV895" s="309"/>
      <c r="AW895" s="309"/>
      <c r="AX895" s="309"/>
      <c r="AY895" s="309"/>
      <c r="AZ895" s="309"/>
      <c r="BA895" s="310"/>
      <c r="BB895" s="310"/>
      <c r="BC895" s="310"/>
      <c r="BD895" s="310"/>
      <c r="BE895" s="310"/>
      <c r="BF895" s="310"/>
      <c r="BG895" s="310"/>
      <c r="BH895" s="310"/>
      <c r="BI895" s="310"/>
      <c r="BJ895" s="310"/>
      <c r="BK895" s="310"/>
      <c r="BL895" s="310"/>
      <c r="BM895" s="310"/>
      <c r="BN895" s="221"/>
      <c r="BO895" s="221"/>
      <c r="BP895" s="221"/>
      <c r="BQ895" s="221"/>
      <c r="BR895" s="221"/>
    </row>
    <row r="896" ht="15.75" customHeight="1">
      <c r="A896" s="220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309"/>
      <c r="Y896" s="309"/>
      <c r="Z896" s="309"/>
      <c r="AA896" s="309"/>
      <c r="AB896" s="309"/>
      <c r="AC896" s="309"/>
      <c r="AD896" s="309"/>
      <c r="AE896" s="309"/>
      <c r="AF896" s="309"/>
      <c r="AG896" s="309"/>
      <c r="AH896" s="309"/>
      <c r="AI896" s="309"/>
      <c r="AJ896" s="309"/>
      <c r="AK896" s="309"/>
      <c r="AL896" s="309"/>
      <c r="AM896" s="309"/>
      <c r="AN896" s="309"/>
      <c r="AO896" s="309"/>
      <c r="AP896" s="309"/>
      <c r="AQ896" s="309"/>
      <c r="AR896" s="309"/>
      <c r="AS896" s="309"/>
      <c r="AT896" s="309"/>
      <c r="AU896" s="309"/>
      <c r="AV896" s="309"/>
      <c r="AW896" s="309"/>
      <c r="AX896" s="309"/>
      <c r="AY896" s="309"/>
      <c r="AZ896" s="309"/>
      <c r="BA896" s="310"/>
      <c r="BB896" s="310"/>
      <c r="BC896" s="310"/>
      <c r="BD896" s="310"/>
      <c r="BE896" s="310"/>
      <c r="BF896" s="310"/>
      <c r="BG896" s="310"/>
      <c r="BH896" s="310"/>
      <c r="BI896" s="310"/>
      <c r="BJ896" s="310"/>
      <c r="BK896" s="310"/>
      <c r="BL896" s="310"/>
      <c r="BM896" s="310"/>
      <c r="BN896" s="221"/>
      <c r="BO896" s="221"/>
      <c r="BP896" s="221"/>
      <c r="BQ896" s="221"/>
      <c r="BR896" s="221"/>
    </row>
    <row r="897" ht="15.75" customHeight="1">
      <c r="A897" s="220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309"/>
      <c r="Y897" s="309"/>
      <c r="Z897" s="309"/>
      <c r="AA897" s="309"/>
      <c r="AB897" s="309"/>
      <c r="AC897" s="309"/>
      <c r="AD897" s="309"/>
      <c r="AE897" s="309"/>
      <c r="AF897" s="309"/>
      <c r="AG897" s="309"/>
      <c r="AH897" s="309"/>
      <c r="AI897" s="309"/>
      <c r="AJ897" s="309"/>
      <c r="AK897" s="309"/>
      <c r="AL897" s="309"/>
      <c r="AM897" s="309"/>
      <c r="AN897" s="309"/>
      <c r="AO897" s="309"/>
      <c r="AP897" s="309"/>
      <c r="AQ897" s="309"/>
      <c r="AR897" s="309"/>
      <c r="AS897" s="309"/>
      <c r="AT897" s="309"/>
      <c r="AU897" s="309"/>
      <c r="AV897" s="309"/>
      <c r="AW897" s="309"/>
      <c r="AX897" s="309"/>
      <c r="AY897" s="309"/>
      <c r="AZ897" s="309"/>
      <c r="BA897" s="310"/>
      <c r="BB897" s="310"/>
      <c r="BC897" s="310"/>
      <c r="BD897" s="310"/>
      <c r="BE897" s="310"/>
      <c r="BF897" s="310"/>
      <c r="BG897" s="310"/>
      <c r="BH897" s="310"/>
      <c r="BI897" s="310"/>
      <c r="BJ897" s="310"/>
      <c r="BK897" s="310"/>
      <c r="BL897" s="310"/>
      <c r="BM897" s="310"/>
      <c r="BN897" s="221"/>
      <c r="BO897" s="221"/>
      <c r="BP897" s="221"/>
      <c r="BQ897" s="221"/>
      <c r="BR897" s="221"/>
    </row>
    <row r="898" ht="15.75" customHeight="1">
      <c r="A898" s="220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309"/>
      <c r="Y898" s="309"/>
      <c r="Z898" s="309"/>
      <c r="AA898" s="309"/>
      <c r="AB898" s="309"/>
      <c r="AC898" s="309"/>
      <c r="AD898" s="309"/>
      <c r="AE898" s="309"/>
      <c r="AF898" s="309"/>
      <c r="AG898" s="309"/>
      <c r="AH898" s="309"/>
      <c r="AI898" s="309"/>
      <c r="AJ898" s="309"/>
      <c r="AK898" s="309"/>
      <c r="AL898" s="309"/>
      <c r="AM898" s="309"/>
      <c r="AN898" s="309"/>
      <c r="AO898" s="309"/>
      <c r="AP898" s="309"/>
      <c r="AQ898" s="309"/>
      <c r="AR898" s="309"/>
      <c r="AS898" s="309"/>
      <c r="AT898" s="309"/>
      <c r="AU898" s="309"/>
      <c r="AV898" s="309"/>
      <c r="AW898" s="309"/>
      <c r="AX898" s="309"/>
      <c r="AY898" s="309"/>
      <c r="AZ898" s="309"/>
      <c r="BA898" s="310"/>
      <c r="BB898" s="310"/>
      <c r="BC898" s="310"/>
      <c r="BD898" s="310"/>
      <c r="BE898" s="310"/>
      <c r="BF898" s="310"/>
      <c r="BG898" s="310"/>
      <c r="BH898" s="310"/>
      <c r="BI898" s="310"/>
      <c r="BJ898" s="310"/>
      <c r="BK898" s="310"/>
      <c r="BL898" s="310"/>
      <c r="BM898" s="310"/>
      <c r="BN898" s="221"/>
      <c r="BO898" s="221"/>
      <c r="BP898" s="221"/>
      <c r="BQ898" s="221"/>
      <c r="BR898" s="221"/>
    </row>
    <row r="899" ht="15.75" customHeight="1">
      <c r="A899" s="220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309"/>
      <c r="Y899" s="309"/>
      <c r="Z899" s="309"/>
      <c r="AA899" s="309"/>
      <c r="AB899" s="309"/>
      <c r="AC899" s="309"/>
      <c r="AD899" s="309"/>
      <c r="AE899" s="309"/>
      <c r="AF899" s="309"/>
      <c r="AG899" s="309"/>
      <c r="AH899" s="309"/>
      <c r="AI899" s="309"/>
      <c r="AJ899" s="309"/>
      <c r="AK899" s="309"/>
      <c r="AL899" s="309"/>
      <c r="AM899" s="309"/>
      <c r="AN899" s="309"/>
      <c r="AO899" s="309"/>
      <c r="AP899" s="309"/>
      <c r="AQ899" s="309"/>
      <c r="AR899" s="309"/>
      <c r="AS899" s="309"/>
      <c r="AT899" s="309"/>
      <c r="AU899" s="309"/>
      <c r="AV899" s="309"/>
      <c r="AW899" s="309"/>
      <c r="AX899" s="309"/>
      <c r="AY899" s="309"/>
      <c r="AZ899" s="309"/>
      <c r="BA899" s="310"/>
      <c r="BB899" s="310"/>
      <c r="BC899" s="310"/>
      <c r="BD899" s="310"/>
      <c r="BE899" s="310"/>
      <c r="BF899" s="310"/>
      <c r="BG899" s="310"/>
      <c r="BH899" s="310"/>
      <c r="BI899" s="310"/>
      <c r="BJ899" s="310"/>
      <c r="BK899" s="310"/>
      <c r="BL899" s="310"/>
      <c r="BM899" s="310"/>
      <c r="BN899" s="221"/>
      <c r="BO899" s="221"/>
      <c r="BP899" s="221"/>
      <c r="BQ899" s="221"/>
      <c r="BR899" s="221"/>
    </row>
    <row r="900" ht="15.75" customHeight="1">
      <c r="A900" s="220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309"/>
      <c r="Y900" s="309"/>
      <c r="Z900" s="309"/>
      <c r="AA900" s="309"/>
      <c r="AB900" s="309"/>
      <c r="AC900" s="309"/>
      <c r="AD900" s="309"/>
      <c r="AE900" s="309"/>
      <c r="AF900" s="309"/>
      <c r="AG900" s="309"/>
      <c r="AH900" s="309"/>
      <c r="AI900" s="309"/>
      <c r="AJ900" s="309"/>
      <c r="AK900" s="309"/>
      <c r="AL900" s="309"/>
      <c r="AM900" s="309"/>
      <c r="AN900" s="309"/>
      <c r="AO900" s="309"/>
      <c r="AP900" s="309"/>
      <c r="AQ900" s="309"/>
      <c r="AR900" s="309"/>
      <c r="AS900" s="309"/>
      <c r="AT900" s="309"/>
      <c r="AU900" s="309"/>
      <c r="AV900" s="309"/>
      <c r="AW900" s="309"/>
      <c r="AX900" s="309"/>
      <c r="AY900" s="309"/>
      <c r="AZ900" s="309"/>
      <c r="BA900" s="310"/>
      <c r="BB900" s="310"/>
      <c r="BC900" s="310"/>
      <c r="BD900" s="310"/>
      <c r="BE900" s="310"/>
      <c r="BF900" s="310"/>
      <c r="BG900" s="310"/>
      <c r="BH900" s="310"/>
      <c r="BI900" s="310"/>
      <c r="BJ900" s="310"/>
      <c r="BK900" s="310"/>
      <c r="BL900" s="310"/>
      <c r="BM900" s="310"/>
      <c r="BN900" s="221"/>
      <c r="BO900" s="221"/>
      <c r="BP900" s="221"/>
      <c r="BQ900" s="221"/>
      <c r="BR900" s="221"/>
    </row>
    <row r="901" ht="15.75" customHeight="1">
      <c r="A901" s="220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309"/>
      <c r="Y901" s="309"/>
      <c r="Z901" s="309"/>
      <c r="AA901" s="309"/>
      <c r="AB901" s="309"/>
      <c r="AC901" s="309"/>
      <c r="AD901" s="309"/>
      <c r="AE901" s="309"/>
      <c r="AF901" s="309"/>
      <c r="AG901" s="309"/>
      <c r="AH901" s="309"/>
      <c r="AI901" s="309"/>
      <c r="AJ901" s="309"/>
      <c r="AK901" s="309"/>
      <c r="AL901" s="309"/>
      <c r="AM901" s="309"/>
      <c r="AN901" s="309"/>
      <c r="AO901" s="309"/>
      <c r="AP901" s="309"/>
      <c r="AQ901" s="309"/>
      <c r="AR901" s="309"/>
      <c r="AS901" s="309"/>
      <c r="AT901" s="309"/>
      <c r="AU901" s="309"/>
      <c r="AV901" s="309"/>
      <c r="AW901" s="309"/>
      <c r="AX901" s="309"/>
      <c r="AY901" s="309"/>
      <c r="AZ901" s="309"/>
      <c r="BA901" s="310"/>
      <c r="BB901" s="310"/>
      <c r="BC901" s="310"/>
      <c r="BD901" s="310"/>
      <c r="BE901" s="310"/>
      <c r="BF901" s="310"/>
      <c r="BG901" s="310"/>
      <c r="BH901" s="310"/>
      <c r="BI901" s="310"/>
      <c r="BJ901" s="310"/>
      <c r="BK901" s="310"/>
      <c r="BL901" s="310"/>
      <c r="BM901" s="310"/>
      <c r="BN901" s="221"/>
      <c r="BO901" s="221"/>
      <c r="BP901" s="221"/>
      <c r="BQ901" s="221"/>
      <c r="BR901" s="221"/>
    </row>
    <row r="902" ht="15.75" customHeight="1">
      <c r="A902" s="220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309"/>
      <c r="Y902" s="309"/>
      <c r="Z902" s="309"/>
      <c r="AA902" s="309"/>
      <c r="AB902" s="309"/>
      <c r="AC902" s="309"/>
      <c r="AD902" s="309"/>
      <c r="AE902" s="309"/>
      <c r="AF902" s="309"/>
      <c r="AG902" s="309"/>
      <c r="AH902" s="309"/>
      <c r="AI902" s="309"/>
      <c r="AJ902" s="309"/>
      <c r="AK902" s="309"/>
      <c r="AL902" s="309"/>
      <c r="AM902" s="309"/>
      <c r="AN902" s="309"/>
      <c r="AO902" s="309"/>
      <c r="AP902" s="309"/>
      <c r="AQ902" s="309"/>
      <c r="AR902" s="309"/>
      <c r="AS902" s="309"/>
      <c r="AT902" s="309"/>
      <c r="AU902" s="309"/>
      <c r="AV902" s="309"/>
      <c r="AW902" s="309"/>
      <c r="AX902" s="309"/>
      <c r="AY902" s="309"/>
      <c r="AZ902" s="309"/>
      <c r="BA902" s="310"/>
      <c r="BB902" s="310"/>
      <c r="BC902" s="310"/>
      <c r="BD902" s="310"/>
      <c r="BE902" s="310"/>
      <c r="BF902" s="310"/>
      <c r="BG902" s="310"/>
      <c r="BH902" s="310"/>
      <c r="BI902" s="310"/>
      <c r="BJ902" s="310"/>
      <c r="BK902" s="310"/>
      <c r="BL902" s="310"/>
      <c r="BM902" s="310"/>
      <c r="BN902" s="221"/>
      <c r="BO902" s="221"/>
      <c r="BP902" s="221"/>
      <c r="BQ902" s="221"/>
      <c r="BR902" s="221"/>
    </row>
    <row r="903" ht="15.75" customHeight="1">
      <c r="A903" s="220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309"/>
      <c r="Y903" s="309"/>
      <c r="Z903" s="309"/>
      <c r="AA903" s="309"/>
      <c r="AB903" s="309"/>
      <c r="AC903" s="309"/>
      <c r="AD903" s="309"/>
      <c r="AE903" s="309"/>
      <c r="AF903" s="309"/>
      <c r="AG903" s="309"/>
      <c r="AH903" s="309"/>
      <c r="AI903" s="309"/>
      <c r="AJ903" s="309"/>
      <c r="AK903" s="309"/>
      <c r="AL903" s="309"/>
      <c r="AM903" s="309"/>
      <c r="AN903" s="309"/>
      <c r="AO903" s="309"/>
      <c r="AP903" s="309"/>
      <c r="AQ903" s="309"/>
      <c r="AR903" s="309"/>
      <c r="AS903" s="309"/>
      <c r="AT903" s="309"/>
      <c r="AU903" s="309"/>
      <c r="AV903" s="309"/>
      <c r="AW903" s="309"/>
      <c r="AX903" s="309"/>
      <c r="AY903" s="309"/>
      <c r="AZ903" s="309"/>
      <c r="BA903" s="310"/>
      <c r="BB903" s="310"/>
      <c r="BC903" s="310"/>
      <c r="BD903" s="310"/>
      <c r="BE903" s="310"/>
      <c r="BF903" s="310"/>
      <c r="BG903" s="310"/>
      <c r="BH903" s="310"/>
      <c r="BI903" s="310"/>
      <c r="BJ903" s="310"/>
      <c r="BK903" s="310"/>
      <c r="BL903" s="310"/>
      <c r="BM903" s="310"/>
      <c r="BN903" s="221"/>
      <c r="BO903" s="221"/>
      <c r="BP903" s="221"/>
      <c r="BQ903" s="221"/>
      <c r="BR903" s="221"/>
    </row>
    <row r="904" ht="15.75" customHeight="1">
      <c r="A904" s="220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309"/>
      <c r="Y904" s="309"/>
      <c r="Z904" s="309"/>
      <c r="AA904" s="309"/>
      <c r="AB904" s="309"/>
      <c r="AC904" s="309"/>
      <c r="AD904" s="309"/>
      <c r="AE904" s="309"/>
      <c r="AF904" s="309"/>
      <c r="AG904" s="309"/>
      <c r="AH904" s="309"/>
      <c r="AI904" s="309"/>
      <c r="AJ904" s="309"/>
      <c r="AK904" s="309"/>
      <c r="AL904" s="309"/>
      <c r="AM904" s="309"/>
      <c r="AN904" s="309"/>
      <c r="AO904" s="309"/>
      <c r="AP904" s="309"/>
      <c r="AQ904" s="309"/>
      <c r="AR904" s="309"/>
      <c r="AS904" s="309"/>
      <c r="AT904" s="309"/>
      <c r="AU904" s="309"/>
      <c r="AV904" s="309"/>
      <c r="AW904" s="309"/>
      <c r="AX904" s="309"/>
      <c r="AY904" s="309"/>
      <c r="AZ904" s="309"/>
      <c r="BA904" s="310"/>
      <c r="BB904" s="310"/>
      <c r="BC904" s="310"/>
      <c r="BD904" s="310"/>
      <c r="BE904" s="310"/>
      <c r="BF904" s="310"/>
      <c r="BG904" s="310"/>
      <c r="BH904" s="310"/>
      <c r="BI904" s="310"/>
      <c r="BJ904" s="310"/>
      <c r="BK904" s="310"/>
      <c r="BL904" s="310"/>
      <c r="BM904" s="310"/>
      <c r="BN904" s="221"/>
      <c r="BO904" s="221"/>
      <c r="BP904" s="221"/>
      <c r="BQ904" s="221"/>
      <c r="BR904" s="221"/>
    </row>
    <row r="905" ht="15.75" customHeight="1">
      <c r="A905" s="220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309"/>
      <c r="Y905" s="309"/>
      <c r="Z905" s="309"/>
      <c r="AA905" s="309"/>
      <c r="AB905" s="309"/>
      <c r="AC905" s="309"/>
      <c r="AD905" s="309"/>
      <c r="AE905" s="309"/>
      <c r="AF905" s="309"/>
      <c r="AG905" s="309"/>
      <c r="AH905" s="309"/>
      <c r="AI905" s="309"/>
      <c r="AJ905" s="309"/>
      <c r="AK905" s="309"/>
      <c r="AL905" s="309"/>
      <c r="AM905" s="309"/>
      <c r="AN905" s="309"/>
      <c r="AO905" s="309"/>
      <c r="AP905" s="309"/>
      <c r="AQ905" s="309"/>
      <c r="AR905" s="309"/>
      <c r="AS905" s="309"/>
      <c r="AT905" s="309"/>
      <c r="AU905" s="309"/>
      <c r="AV905" s="309"/>
      <c r="AW905" s="309"/>
      <c r="AX905" s="309"/>
      <c r="AY905" s="309"/>
      <c r="AZ905" s="309"/>
      <c r="BA905" s="310"/>
      <c r="BB905" s="310"/>
      <c r="BC905" s="310"/>
      <c r="BD905" s="310"/>
      <c r="BE905" s="310"/>
      <c r="BF905" s="310"/>
      <c r="BG905" s="310"/>
      <c r="BH905" s="310"/>
      <c r="BI905" s="310"/>
      <c r="BJ905" s="310"/>
      <c r="BK905" s="310"/>
      <c r="BL905" s="310"/>
      <c r="BM905" s="310"/>
      <c r="BN905" s="221"/>
      <c r="BO905" s="221"/>
      <c r="BP905" s="221"/>
      <c r="BQ905" s="221"/>
      <c r="BR905" s="221"/>
    </row>
    <row r="906" ht="15.75" customHeight="1">
      <c r="A906" s="220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309"/>
      <c r="Y906" s="309"/>
      <c r="Z906" s="309"/>
      <c r="AA906" s="309"/>
      <c r="AB906" s="309"/>
      <c r="AC906" s="309"/>
      <c r="AD906" s="309"/>
      <c r="AE906" s="309"/>
      <c r="AF906" s="309"/>
      <c r="AG906" s="309"/>
      <c r="AH906" s="309"/>
      <c r="AI906" s="309"/>
      <c r="AJ906" s="309"/>
      <c r="AK906" s="309"/>
      <c r="AL906" s="309"/>
      <c r="AM906" s="309"/>
      <c r="AN906" s="309"/>
      <c r="AO906" s="309"/>
      <c r="AP906" s="309"/>
      <c r="AQ906" s="309"/>
      <c r="AR906" s="309"/>
      <c r="AS906" s="309"/>
      <c r="AT906" s="309"/>
      <c r="AU906" s="309"/>
      <c r="AV906" s="309"/>
      <c r="AW906" s="309"/>
      <c r="AX906" s="309"/>
      <c r="AY906" s="309"/>
      <c r="AZ906" s="309"/>
      <c r="BA906" s="310"/>
      <c r="BB906" s="310"/>
      <c r="BC906" s="310"/>
      <c r="BD906" s="310"/>
      <c r="BE906" s="310"/>
      <c r="BF906" s="310"/>
      <c r="BG906" s="310"/>
      <c r="BH906" s="310"/>
      <c r="BI906" s="310"/>
      <c r="BJ906" s="310"/>
      <c r="BK906" s="310"/>
      <c r="BL906" s="310"/>
      <c r="BM906" s="310"/>
      <c r="BN906" s="221"/>
      <c r="BO906" s="221"/>
      <c r="BP906" s="221"/>
      <c r="BQ906" s="221"/>
      <c r="BR906" s="221"/>
    </row>
    <row r="907" ht="15.75" customHeight="1">
      <c r="A907" s="220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309"/>
      <c r="Y907" s="309"/>
      <c r="Z907" s="309"/>
      <c r="AA907" s="309"/>
      <c r="AB907" s="309"/>
      <c r="AC907" s="309"/>
      <c r="AD907" s="309"/>
      <c r="AE907" s="309"/>
      <c r="AF907" s="309"/>
      <c r="AG907" s="309"/>
      <c r="AH907" s="309"/>
      <c r="AI907" s="309"/>
      <c r="AJ907" s="309"/>
      <c r="AK907" s="309"/>
      <c r="AL907" s="309"/>
      <c r="AM907" s="309"/>
      <c r="AN907" s="309"/>
      <c r="AO907" s="309"/>
      <c r="AP907" s="309"/>
      <c r="AQ907" s="309"/>
      <c r="AR907" s="309"/>
      <c r="AS907" s="309"/>
      <c r="AT907" s="309"/>
      <c r="AU907" s="309"/>
      <c r="AV907" s="309"/>
      <c r="AW907" s="309"/>
      <c r="AX907" s="309"/>
      <c r="AY907" s="309"/>
      <c r="AZ907" s="309"/>
      <c r="BA907" s="310"/>
      <c r="BB907" s="310"/>
      <c r="BC907" s="310"/>
      <c r="BD907" s="310"/>
      <c r="BE907" s="310"/>
      <c r="BF907" s="310"/>
      <c r="BG907" s="310"/>
      <c r="BH907" s="310"/>
      <c r="BI907" s="310"/>
      <c r="BJ907" s="310"/>
      <c r="BK907" s="310"/>
      <c r="BL907" s="310"/>
      <c r="BM907" s="310"/>
      <c r="BN907" s="221"/>
      <c r="BO907" s="221"/>
      <c r="BP907" s="221"/>
      <c r="BQ907" s="221"/>
      <c r="BR907" s="221"/>
    </row>
    <row r="908" ht="15.75" customHeight="1">
      <c r="A908" s="220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309"/>
      <c r="Y908" s="309"/>
      <c r="Z908" s="309"/>
      <c r="AA908" s="309"/>
      <c r="AB908" s="309"/>
      <c r="AC908" s="309"/>
      <c r="AD908" s="309"/>
      <c r="AE908" s="309"/>
      <c r="AF908" s="309"/>
      <c r="AG908" s="309"/>
      <c r="AH908" s="309"/>
      <c r="AI908" s="309"/>
      <c r="AJ908" s="309"/>
      <c r="AK908" s="309"/>
      <c r="AL908" s="309"/>
      <c r="AM908" s="309"/>
      <c r="AN908" s="309"/>
      <c r="AO908" s="309"/>
      <c r="AP908" s="309"/>
      <c r="AQ908" s="309"/>
      <c r="AR908" s="309"/>
      <c r="AS908" s="309"/>
      <c r="AT908" s="309"/>
      <c r="AU908" s="309"/>
      <c r="AV908" s="309"/>
      <c r="AW908" s="309"/>
      <c r="AX908" s="309"/>
      <c r="AY908" s="309"/>
      <c r="AZ908" s="309"/>
      <c r="BA908" s="310"/>
      <c r="BB908" s="310"/>
      <c r="BC908" s="310"/>
      <c r="BD908" s="310"/>
      <c r="BE908" s="310"/>
      <c r="BF908" s="310"/>
      <c r="BG908" s="310"/>
      <c r="BH908" s="310"/>
      <c r="BI908" s="310"/>
      <c r="BJ908" s="310"/>
      <c r="BK908" s="310"/>
      <c r="BL908" s="310"/>
      <c r="BM908" s="310"/>
      <c r="BN908" s="221"/>
      <c r="BO908" s="221"/>
      <c r="BP908" s="221"/>
      <c r="BQ908" s="221"/>
      <c r="BR908" s="221"/>
    </row>
    <row r="909" ht="15.75" customHeight="1">
      <c r="A909" s="220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309"/>
      <c r="Y909" s="309"/>
      <c r="Z909" s="309"/>
      <c r="AA909" s="309"/>
      <c r="AB909" s="309"/>
      <c r="AC909" s="309"/>
      <c r="AD909" s="309"/>
      <c r="AE909" s="309"/>
      <c r="AF909" s="309"/>
      <c r="AG909" s="309"/>
      <c r="AH909" s="309"/>
      <c r="AI909" s="309"/>
      <c r="AJ909" s="309"/>
      <c r="AK909" s="309"/>
      <c r="AL909" s="309"/>
      <c r="AM909" s="309"/>
      <c r="AN909" s="309"/>
      <c r="AO909" s="309"/>
      <c r="AP909" s="309"/>
      <c r="AQ909" s="309"/>
      <c r="AR909" s="309"/>
      <c r="AS909" s="309"/>
      <c r="AT909" s="309"/>
      <c r="AU909" s="309"/>
      <c r="AV909" s="309"/>
      <c r="AW909" s="309"/>
      <c r="AX909" s="309"/>
      <c r="AY909" s="309"/>
      <c r="AZ909" s="309"/>
      <c r="BA909" s="310"/>
      <c r="BB909" s="310"/>
      <c r="BC909" s="310"/>
      <c r="BD909" s="310"/>
      <c r="BE909" s="310"/>
      <c r="BF909" s="310"/>
      <c r="BG909" s="310"/>
      <c r="BH909" s="310"/>
      <c r="BI909" s="310"/>
      <c r="BJ909" s="310"/>
      <c r="BK909" s="310"/>
      <c r="BL909" s="310"/>
      <c r="BM909" s="310"/>
      <c r="BN909" s="221"/>
      <c r="BO909" s="221"/>
      <c r="BP909" s="221"/>
      <c r="BQ909" s="221"/>
      <c r="BR909" s="221"/>
    </row>
    <row r="910" ht="15.75" customHeight="1">
      <c r="A910" s="220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309"/>
      <c r="Y910" s="309"/>
      <c r="Z910" s="309"/>
      <c r="AA910" s="309"/>
      <c r="AB910" s="309"/>
      <c r="AC910" s="309"/>
      <c r="AD910" s="309"/>
      <c r="AE910" s="309"/>
      <c r="AF910" s="309"/>
      <c r="AG910" s="309"/>
      <c r="AH910" s="309"/>
      <c r="AI910" s="309"/>
      <c r="AJ910" s="309"/>
      <c r="AK910" s="309"/>
      <c r="AL910" s="309"/>
      <c r="AM910" s="309"/>
      <c r="AN910" s="309"/>
      <c r="AO910" s="309"/>
      <c r="AP910" s="309"/>
      <c r="AQ910" s="309"/>
      <c r="AR910" s="309"/>
      <c r="AS910" s="309"/>
      <c r="AT910" s="309"/>
      <c r="AU910" s="309"/>
      <c r="AV910" s="309"/>
      <c r="AW910" s="309"/>
      <c r="AX910" s="309"/>
      <c r="AY910" s="309"/>
      <c r="AZ910" s="309"/>
      <c r="BA910" s="310"/>
      <c r="BB910" s="310"/>
      <c r="BC910" s="310"/>
      <c r="BD910" s="310"/>
      <c r="BE910" s="310"/>
      <c r="BF910" s="310"/>
      <c r="BG910" s="310"/>
      <c r="BH910" s="310"/>
      <c r="BI910" s="310"/>
      <c r="BJ910" s="310"/>
      <c r="BK910" s="310"/>
      <c r="BL910" s="310"/>
      <c r="BM910" s="310"/>
      <c r="BN910" s="221"/>
      <c r="BO910" s="221"/>
      <c r="BP910" s="221"/>
      <c r="BQ910" s="221"/>
      <c r="BR910" s="221"/>
    </row>
    <row r="911" ht="15.75" customHeight="1">
      <c r="A911" s="220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309"/>
      <c r="Y911" s="309"/>
      <c r="Z911" s="309"/>
      <c r="AA911" s="309"/>
      <c r="AB911" s="309"/>
      <c r="AC911" s="309"/>
      <c r="AD911" s="309"/>
      <c r="AE911" s="309"/>
      <c r="AF911" s="309"/>
      <c r="AG911" s="309"/>
      <c r="AH911" s="309"/>
      <c r="AI911" s="309"/>
      <c r="AJ911" s="309"/>
      <c r="AK911" s="309"/>
      <c r="AL911" s="309"/>
      <c r="AM911" s="309"/>
      <c r="AN911" s="309"/>
      <c r="AO911" s="309"/>
      <c r="AP911" s="309"/>
      <c r="AQ911" s="309"/>
      <c r="AR911" s="309"/>
      <c r="AS911" s="309"/>
      <c r="AT911" s="309"/>
      <c r="AU911" s="309"/>
      <c r="AV911" s="309"/>
      <c r="AW911" s="309"/>
      <c r="AX911" s="309"/>
      <c r="AY911" s="309"/>
      <c r="AZ911" s="309"/>
      <c r="BA911" s="310"/>
      <c r="BB911" s="310"/>
      <c r="BC911" s="310"/>
      <c r="BD911" s="310"/>
      <c r="BE911" s="310"/>
      <c r="BF911" s="310"/>
      <c r="BG911" s="310"/>
      <c r="BH911" s="310"/>
      <c r="BI911" s="310"/>
      <c r="BJ911" s="310"/>
      <c r="BK911" s="310"/>
      <c r="BL911" s="310"/>
      <c r="BM911" s="310"/>
      <c r="BN911" s="221"/>
      <c r="BO911" s="221"/>
      <c r="BP911" s="221"/>
      <c r="BQ911" s="221"/>
      <c r="BR911" s="221"/>
    </row>
    <row r="912" ht="15.75" customHeight="1">
      <c r="A912" s="220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309"/>
      <c r="Y912" s="309"/>
      <c r="Z912" s="309"/>
      <c r="AA912" s="309"/>
      <c r="AB912" s="309"/>
      <c r="AC912" s="309"/>
      <c r="AD912" s="309"/>
      <c r="AE912" s="309"/>
      <c r="AF912" s="309"/>
      <c r="AG912" s="309"/>
      <c r="AH912" s="309"/>
      <c r="AI912" s="309"/>
      <c r="AJ912" s="309"/>
      <c r="AK912" s="309"/>
      <c r="AL912" s="309"/>
      <c r="AM912" s="309"/>
      <c r="AN912" s="309"/>
      <c r="AO912" s="309"/>
      <c r="AP912" s="309"/>
      <c r="AQ912" s="309"/>
      <c r="AR912" s="309"/>
      <c r="AS912" s="309"/>
      <c r="AT912" s="309"/>
      <c r="AU912" s="309"/>
      <c r="AV912" s="309"/>
      <c r="AW912" s="309"/>
      <c r="AX912" s="309"/>
      <c r="AY912" s="309"/>
      <c r="AZ912" s="309"/>
      <c r="BA912" s="310"/>
      <c r="BB912" s="310"/>
      <c r="BC912" s="310"/>
      <c r="BD912" s="310"/>
      <c r="BE912" s="310"/>
      <c r="BF912" s="310"/>
      <c r="BG912" s="310"/>
      <c r="BH912" s="310"/>
      <c r="BI912" s="310"/>
      <c r="BJ912" s="310"/>
      <c r="BK912" s="310"/>
      <c r="BL912" s="310"/>
      <c r="BM912" s="310"/>
      <c r="BN912" s="221"/>
      <c r="BO912" s="221"/>
      <c r="BP912" s="221"/>
      <c r="BQ912" s="221"/>
      <c r="BR912" s="221"/>
    </row>
    <row r="913" ht="15.75" customHeight="1">
      <c r="A913" s="220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309"/>
      <c r="Y913" s="309"/>
      <c r="Z913" s="309"/>
      <c r="AA913" s="309"/>
      <c r="AB913" s="309"/>
      <c r="AC913" s="309"/>
      <c r="AD913" s="309"/>
      <c r="AE913" s="309"/>
      <c r="AF913" s="309"/>
      <c r="AG913" s="309"/>
      <c r="AH913" s="309"/>
      <c r="AI913" s="309"/>
      <c r="AJ913" s="309"/>
      <c r="AK913" s="309"/>
      <c r="AL913" s="309"/>
      <c r="AM913" s="309"/>
      <c r="AN913" s="309"/>
      <c r="AO913" s="309"/>
      <c r="AP913" s="309"/>
      <c r="AQ913" s="309"/>
      <c r="AR913" s="309"/>
      <c r="AS913" s="309"/>
      <c r="AT913" s="309"/>
      <c r="AU913" s="309"/>
      <c r="AV913" s="309"/>
      <c r="AW913" s="309"/>
      <c r="AX913" s="309"/>
      <c r="AY913" s="309"/>
      <c r="AZ913" s="309"/>
      <c r="BA913" s="310"/>
      <c r="BB913" s="310"/>
      <c r="BC913" s="310"/>
      <c r="BD913" s="310"/>
      <c r="BE913" s="310"/>
      <c r="BF913" s="310"/>
      <c r="BG913" s="310"/>
      <c r="BH913" s="310"/>
      <c r="BI913" s="310"/>
      <c r="BJ913" s="310"/>
      <c r="BK913" s="310"/>
      <c r="BL913" s="310"/>
      <c r="BM913" s="310"/>
      <c r="BN913" s="221"/>
      <c r="BO913" s="221"/>
      <c r="BP913" s="221"/>
      <c r="BQ913" s="221"/>
      <c r="BR913" s="221"/>
    </row>
    <row r="914" ht="15.75" customHeight="1">
      <c r="A914" s="220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309"/>
      <c r="Y914" s="309"/>
      <c r="Z914" s="309"/>
      <c r="AA914" s="309"/>
      <c r="AB914" s="309"/>
      <c r="AC914" s="309"/>
      <c r="AD914" s="309"/>
      <c r="AE914" s="309"/>
      <c r="AF914" s="309"/>
      <c r="AG914" s="309"/>
      <c r="AH914" s="309"/>
      <c r="AI914" s="309"/>
      <c r="AJ914" s="309"/>
      <c r="AK914" s="309"/>
      <c r="AL914" s="309"/>
      <c r="AM914" s="309"/>
      <c r="AN914" s="309"/>
      <c r="AO914" s="309"/>
      <c r="AP914" s="309"/>
      <c r="AQ914" s="309"/>
      <c r="AR914" s="309"/>
      <c r="AS914" s="309"/>
      <c r="AT914" s="309"/>
      <c r="AU914" s="309"/>
      <c r="AV914" s="309"/>
      <c r="AW914" s="309"/>
      <c r="AX914" s="309"/>
      <c r="AY914" s="309"/>
      <c r="AZ914" s="309"/>
      <c r="BA914" s="310"/>
      <c r="BB914" s="310"/>
      <c r="BC914" s="310"/>
      <c r="BD914" s="310"/>
      <c r="BE914" s="310"/>
      <c r="BF914" s="310"/>
      <c r="BG914" s="310"/>
      <c r="BH914" s="310"/>
      <c r="BI914" s="310"/>
      <c r="BJ914" s="310"/>
      <c r="BK914" s="310"/>
      <c r="BL914" s="310"/>
      <c r="BM914" s="310"/>
      <c r="BN914" s="221"/>
      <c r="BO914" s="221"/>
      <c r="BP914" s="221"/>
      <c r="BQ914" s="221"/>
      <c r="BR914" s="221"/>
    </row>
    <row r="915" ht="15.75" customHeight="1">
      <c r="A915" s="220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309"/>
      <c r="Y915" s="309"/>
      <c r="Z915" s="309"/>
      <c r="AA915" s="309"/>
      <c r="AB915" s="309"/>
      <c r="AC915" s="309"/>
      <c r="AD915" s="309"/>
      <c r="AE915" s="309"/>
      <c r="AF915" s="309"/>
      <c r="AG915" s="309"/>
      <c r="AH915" s="309"/>
      <c r="AI915" s="309"/>
      <c r="AJ915" s="309"/>
      <c r="AK915" s="309"/>
      <c r="AL915" s="309"/>
      <c r="AM915" s="309"/>
      <c r="AN915" s="309"/>
      <c r="AO915" s="309"/>
      <c r="AP915" s="309"/>
      <c r="AQ915" s="309"/>
      <c r="AR915" s="309"/>
      <c r="AS915" s="309"/>
      <c r="AT915" s="309"/>
      <c r="AU915" s="309"/>
      <c r="AV915" s="309"/>
      <c r="AW915" s="309"/>
      <c r="AX915" s="309"/>
      <c r="AY915" s="309"/>
      <c r="AZ915" s="309"/>
      <c r="BA915" s="310"/>
      <c r="BB915" s="310"/>
      <c r="BC915" s="310"/>
      <c r="BD915" s="310"/>
      <c r="BE915" s="310"/>
      <c r="BF915" s="310"/>
      <c r="BG915" s="310"/>
      <c r="BH915" s="310"/>
      <c r="BI915" s="310"/>
      <c r="BJ915" s="310"/>
      <c r="BK915" s="310"/>
      <c r="BL915" s="310"/>
      <c r="BM915" s="310"/>
      <c r="BN915" s="221"/>
      <c r="BO915" s="221"/>
      <c r="BP915" s="221"/>
      <c r="BQ915" s="221"/>
      <c r="BR915" s="221"/>
    </row>
    <row r="916" ht="15.75" customHeight="1">
      <c r="A916" s="220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309"/>
      <c r="Y916" s="309"/>
      <c r="Z916" s="309"/>
      <c r="AA916" s="309"/>
      <c r="AB916" s="309"/>
      <c r="AC916" s="309"/>
      <c r="AD916" s="309"/>
      <c r="AE916" s="309"/>
      <c r="AF916" s="309"/>
      <c r="AG916" s="309"/>
      <c r="AH916" s="309"/>
      <c r="AI916" s="309"/>
      <c r="AJ916" s="309"/>
      <c r="AK916" s="309"/>
      <c r="AL916" s="309"/>
      <c r="AM916" s="309"/>
      <c r="AN916" s="309"/>
      <c r="AO916" s="309"/>
      <c r="AP916" s="309"/>
      <c r="AQ916" s="309"/>
      <c r="AR916" s="309"/>
      <c r="AS916" s="309"/>
      <c r="AT916" s="309"/>
      <c r="AU916" s="309"/>
      <c r="AV916" s="309"/>
      <c r="AW916" s="309"/>
      <c r="AX916" s="309"/>
      <c r="AY916" s="309"/>
      <c r="AZ916" s="309"/>
      <c r="BA916" s="310"/>
      <c r="BB916" s="310"/>
      <c r="BC916" s="310"/>
      <c r="BD916" s="310"/>
      <c r="BE916" s="310"/>
      <c r="BF916" s="310"/>
      <c r="BG916" s="310"/>
      <c r="BH916" s="310"/>
      <c r="BI916" s="310"/>
      <c r="BJ916" s="310"/>
      <c r="BK916" s="310"/>
      <c r="BL916" s="310"/>
      <c r="BM916" s="310"/>
      <c r="BN916" s="221"/>
      <c r="BO916" s="221"/>
      <c r="BP916" s="221"/>
      <c r="BQ916" s="221"/>
      <c r="BR916" s="221"/>
    </row>
    <row r="917" ht="15.75" customHeight="1">
      <c r="A917" s="220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309"/>
      <c r="Y917" s="309"/>
      <c r="Z917" s="309"/>
      <c r="AA917" s="309"/>
      <c r="AB917" s="309"/>
      <c r="AC917" s="309"/>
      <c r="AD917" s="309"/>
      <c r="AE917" s="309"/>
      <c r="AF917" s="309"/>
      <c r="AG917" s="309"/>
      <c r="AH917" s="309"/>
      <c r="AI917" s="309"/>
      <c r="AJ917" s="309"/>
      <c r="AK917" s="309"/>
      <c r="AL917" s="309"/>
      <c r="AM917" s="309"/>
      <c r="AN917" s="309"/>
      <c r="AO917" s="309"/>
      <c r="AP917" s="309"/>
      <c r="AQ917" s="309"/>
      <c r="AR917" s="309"/>
      <c r="AS917" s="309"/>
      <c r="AT917" s="309"/>
      <c r="AU917" s="309"/>
      <c r="AV917" s="309"/>
      <c r="AW917" s="309"/>
      <c r="AX917" s="309"/>
      <c r="AY917" s="309"/>
      <c r="AZ917" s="309"/>
      <c r="BA917" s="310"/>
      <c r="BB917" s="310"/>
      <c r="BC917" s="310"/>
      <c r="BD917" s="310"/>
      <c r="BE917" s="310"/>
      <c r="BF917" s="310"/>
      <c r="BG917" s="310"/>
      <c r="BH917" s="310"/>
      <c r="BI917" s="310"/>
      <c r="BJ917" s="310"/>
      <c r="BK917" s="310"/>
      <c r="BL917" s="310"/>
      <c r="BM917" s="310"/>
      <c r="BN917" s="221"/>
      <c r="BO917" s="221"/>
      <c r="BP917" s="221"/>
      <c r="BQ917" s="221"/>
      <c r="BR917" s="221"/>
    </row>
    <row r="918" ht="15.75" customHeight="1">
      <c r="A918" s="220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309"/>
      <c r="Y918" s="309"/>
      <c r="Z918" s="309"/>
      <c r="AA918" s="309"/>
      <c r="AB918" s="309"/>
      <c r="AC918" s="309"/>
      <c r="AD918" s="309"/>
      <c r="AE918" s="309"/>
      <c r="AF918" s="309"/>
      <c r="AG918" s="309"/>
      <c r="AH918" s="309"/>
      <c r="AI918" s="309"/>
      <c r="AJ918" s="309"/>
      <c r="AK918" s="309"/>
      <c r="AL918" s="309"/>
      <c r="AM918" s="309"/>
      <c r="AN918" s="309"/>
      <c r="AO918" s="309"/>
      <c r="AP918" s="309"/>
      <c r="AQ918" s="309"/>
      <c r="AR918" s="309"/>
      <c r="AS918" s="309"/>
      <c r="AT918" s="309"/>
      <c r="AU918" s="309"/>
      <c r="AV918" s="309"/>
      <c r="AW918" s="309"/>
      <c r="AX918" s="309"/>
      <c r="AY918" s="309"/>
      <c r="AZ918" s="309"/>
      <c r="BA918" s="310"/>
      <c r="BB918" s="310"/>
      <c r="BC918" s="310"/>
      <c r="BD918" s="310"/>
      <c r="BE918" s="310"/>
      <c r="BF918" s="310"/>
      <c r="BG918" s="310"/>
      <c r="BH918" s="310"/>
      <c r="BI918" s="310"/>
      <c r="BJ918" s="310"/>
      <c r="BK918" s="310"/>
      <c r="BL918" s="310"/>
      <c r="BM918" s="310"/>
      <c r="BN918" s="221"/>
      <c r="BO918" s="221"/>
      <c r="BP918" s="221"/>
      <c r="BQ918" s="221"/>
      <c r="BR918" s="221"/>
    </row>
    <row r="919" ht="15.75" customHeight="1">
      <c r="A919" s="220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309"/>
      <c r="Y919" s="309"/>
      <c r="Z919" s="309"/>
      <c r="AA919" s="309"/>
      <c r="AB919" s="309"/>
      <c r="AC919" s="309"/>
      <c r="AD919" s="309"/>
      <c r="AE919" s="309"/>
      <c r="AF919" s="309"/>
      <c r="AG919" s="309"/>
      <c r="AH919" s="309"/>
      <c r="AI919" s="309"/>
      <c r="AJ919" s="309"/>
      <c r="AK919" s="309"/>
      <c r="AL919" s="309"/>
      <c r="AM919" s="309"/>
      <c r="AN919" s="309"/>
      <c r="AO919" s="309"/>
      <c r="AP919" s="309"/>
      <c r="AQ919" s="309"/>
      <c r="AR919" s="309"/>
      <c r="AS919" s="309"/>
      <c r="AT919" s="309"/>
      <c r="AU919" s="309"/>
      <c r="AV919" s="309"/>
      <c r="AW919" s="309"/>
      <c r="AX919" s="309"/>
      <c r="AY919" s="309"/>
      <c r="AZ919" s="309"/>
      <c r="BA919" s="310"/>
      <c r="BB919" s="310"/>
      <c r="BC919" s="310"/>
      <c r="BD919" s="310"/>
      <c r="BE919" s="310"/>
      <c r="BF919" s="310"/>
      <c r="BG919" s="310"/>
      <c r="BH919" s="310"/>
      <c r="BI919" s="310"/>
      <c r="BJ919" s="310"/>
      <c r="BK919" s="310"/>
      <c r="BL919" s="310"/>
      <c r="BM919" s="310"/>
      <c r="BN919" s="221"/>
      <c r="BO919" s="221"/>
      <c r="BP919" s="221"/>
      <c r="BQ919" s="221"/>
      <c r="BR919" s="221"/>
    </row>
    <row r="920" ht="15.75" customHeight="1">
      <c r="A920" s="220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309"/>
      <c r="Y920" s="309"/>
      <c r="Z920" s="309"/>
      <c r="AA920" s="309"/>
      <c r="AB920" s="309"/>
      <c r="AC920" s="309"/>
      <c r="AD920" s="309"/>
      <c r="AE920" s="309"/>
      <c r="AF920" s="309"/>
      <c r="AG920" s="309"/>
      <c r="AH920" s="309"/>
      <c r="AI920" s="309"/>
      <c r="AJ920" s="309"/>
      <c r="AK920" s="309"/>
      <c r="AL920" s="309"/>
      <c r="AM920" s="309"/>
      <c r="AN920" s="309"/>
      <c r="AO920" s="309"/>
      <c r="AP920" s="309"/>
      <c r="AQ920" s="309"/>
      <c r="AR920" s="309"/>
      <c r="AS920" s="309"/>
      <c r="AT920" s="309"/>
      <c r="AU920" s="309"/>
      <c r="AV920" s="309"/>
      <c r="AW920" s="309"/>
      <c r="AX920" s="309"/>
      <c r="AY920" s="309"/>
      <c r="AZ920" s="309"/>
      <c r="BA920" s="310"/>
      <c r="BB920" s="310"/>
      <c r="BC920" s="310"/>
      <c r="BD920" s="310"/>
      <c r="BE920" s="310"/>
      <c r="BF920" s="310"/>
      <c r="BG920" s="310"/>
      <c r="BH920" s="310"/>
      <c r="BI920" s="310"/>
      <c r="BJ920" s="310"/>
      <c r="BK920" s="310"/>
      <c r="BL920" s="310"/>
      <c r="BM920" s="310"/>
      <c r="BN920" s="221"/>
      <c r="BO920" s="221"/>
      <c r="BP920" s="221"/>
      <c r="BQ920" s="221"/>
      <c r="BR920" s="221"/>
    </row>
    <row r="921" ht="15.75" customHeight="1">
      <c r="A921" s="220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309"/>
      <c r="Y921" s="309"/>
      <c r="Z921" s="309"/>
      <c r="AA921" s="309"/>
      <c r="AB921" s="309"/>
      <c r="AC921" s="309"/>
      <c r="AD921" s="309"/>
      <c r="AE921" s="309"/>
      <c r="AF921" s="309"/>
      <c r="AG921" s="309"/>
      <c r="AH921" s="309"/>
      <c r="AI921" s="309"/>
      <c r="AJ921" s="309"/>
      <c r="AK921" s="309"/>
      <c r="AL921" s="309"/>
      <c r="AM921" s="309"/>
      <c r="AN921" s="309"/>
      <c r="AO921" s="309"/>
      <c r="AP921" s="309"/>
      <c r="AQ921" s="309"/>
      <c r="AR921" s="309"/>
      <c r="AS921" s="309"/>
      <c r="AT921" s="309"/>
      <c r="AU921" s="309"/>
      <c r="AV921" s="309"/>
      <c r="AW921" s="309"/>
      <c r="AX921" s="309"/>
      <c r="AY921" s="309"/>
      <c r="AZ921" s="309"/>
      <c r="BA921" s="310"/>
      <c r="BB921" s="310"/>
      <c r="BC921" s="310"/>
      <c r="BD921" s="310"/>
      <c r="BE921" s="310"/>
      <c r="BF921" s="310"/>
      <c r="BG921" s="310"/>
      <c r="BH921" s="310"/>
      <c r="BI921" s="310"/>
      <c r="BJ921" s="310"/>
      <c r="BK921" s="310"/>
      <c r="BL921" s="310"/>
      <c r="BM921" s="310"/>
      <c r="BN921" s="221"/>
      <c r="BO921" s="221"/>
      <c r="BP921" s="221"/>
      <c r="BQ921" s="221"/>
      <c r="BR921" s="221"/>
    </row>
    <row r="922" ht="15.75" customHeight="1">
      <c r="A922" s="220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309"/>
      <c r="Y922" s="309"/>
      <c r="Z922" s="309"/>
      <c r="AA922" s="309"/>
      <c r="AB922" s="309"/>
      <c r="AC922" s="309"/>
      <c r="AD922" s="309"/>
      <c r="AE922" s="309"/>
      <c r="AF922" s="309"/>
      <c r="AG922" s="309"/>
      <c r="AH922" s="309"/>
      <c r="AI922" s="309"/>
      <c r="AJ922" s="309"/>
      <c r="AK922" s="309"/>
      <c r="AL922" s="309"/>
      <c r="AM922" s="309"/>
      <c r="AN922" s="309"/>
      <c r="AO922" s="309"/>
      <c r="AP922" s="309"/>
      <c r="AQ922" s="309"/>
      <c r="AR922" s="309"/>
      <c r="AS922" s="309"/>
      <c r="AT922" s="309"/>
      <c r="AU922" s="309"/>
      <c r="AV922" s="309"/>
      <c r="AW922" s="309"/>
      <c r="AX922" s="309"/>
      <c r="AY922" s="309"/>
      <c r="AZ922" s="309"/>
      <c r="BA922" s="310"/>
      <c r="BB922" s="310"/>
      <c r="BC922" s="310"/>
      <c r="BD922" s="310"/>
      <c r="BE922" s="310"/>
      <c r="BF922" s="310"/>
      <c r="BG922" s="310"/>
      <c r="BH922" s="310"/>
      <c r="BI922" s="310"/>
      <c r="BJ922" s="310"/>
      <c r="BK922" s="310"/>
      <c r="BL922" s="310"/>
      <c r="BM922" s="310"/>
      <c r="BN922" s="221"/>
      <c r="BO922" s="221"/>
      <c r="BP922" s="221"/>
      <c r="BQ922" s="221"/>
      <c r="BR922" s="221"/>
    </row>
    <row r="923" ht="15.75" customHeight="1">
      <c r="A923" s="220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309"/>
      <c r="Y923" s="309"/>
      <c r="Z923" s="309"/>
      <c r="AA923" s="309"/>
      <c r="AB923" s="309"/>
      <c r="AC923" s="309"/>
      <c r="AD923" s="309"/>
      <c r="AE923" s="309"/>
      <c r="AF923" s="309"/>
      <c r="AG923" s="309"/>
      <c r="AH923" s="309"/>
      <c r="AI923" s="309"/>
      <c r="AJ923" s="309"/>
      <c r="AK923" s="309"/>
      <c r="AL923" s="309"/>
      <c r="AM923" s="309"/>
      <c r="AN923" s="309"/>
      <c r="AO923" s="309"/>
      <c r="AP923" s="309"/>
      <c r="AQ923" s="309"/>
      <c r="AR923" s="309"/>
      <c r="AS923" s="309"/>
      <c r="AT923" s="309"/>
      <c r="AU923" s="309"/>
      <c r="AV923" s="309"/>
      <c r="AW923" s="309"/>
      <c r="AX923" s="309"/>
      <c r="AY923" s="309"/>
      <c r="AZ923" s="309"/>
      <c r="BA923" s="310"/>
      <c r="BB923" s="310"/>
      <c r="BC923" s="310"/>
      <c r="BD923" s="310"/>
      <c r="BE923" s="310"/>
      <c r="BF923" s="310"/>
      <c r="BG923" s="310"/>
      <c r="BH923" s="310"/>
      <c r="BI923" s="310"/>
      <c r="BJ923" s="310"/>
      <c r="BK923" s="310"/>
      <c r="BL923" s="310"/>
      <c r="BM923" s="310"/>
      <c r="BN923" s="221"/>
      <c r="BO923" s="221"/>
      <c r="BP923" s="221"/>
      <c r="BQ923" s="221"/>
      <c r="BR923" s="221"/>
    </row>
    <row r="924" ht="15.75" customHeight="1">
      <c r="A924" s="220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309"/>
      <c r="Y924" s="309"/>
      <c r="Z924" s="309"/>
      <c r="AA924" s="309"/>
      <c r="AB924" s="309"/>
      <c r="AC924" s="309"/>
      <c r="AD924" s="309"/>
      <c r="AE924" s="309"/>
      <c r="AF924" s="309"/>
      <c r="AG924" s="309"/>
      <c r="AH924" s="309"/>
      <c r="AI924" s="309"/>
      <c r="AJ924" s="309"/>
      <c r="AK924" s="309"/>
      <c r="AL924" s="309"/>
      <c r="AM924" s="309"/>
      <c r="AN924" s="309"/>
      <c r="AO924" s="309"/>
      <c r="AP924" s="309"/>
      <c r="AQ924" s="309"/>
      <c r="AR924" s="309"/>
      <c r="AS924" s="309"/>
      <c r="AT924" s="309"/>
      <c r="AU924" s="309"/>
      <c r="AV924" s="309"/>
      <c r="AW924" s="309"/>
      <c r="AX924" s="309"/>
      <c r="AY924" s="309"/>
      <c r="AZ924" s="309"/>
      <c r="BA924" s="310"/>
      <c r="BB924" s="310"/>
      <c r="BC924" s="310"/>
      <c r="BD924" s="310"/>
      <c r="BE924" s="310"/>
      <c r="BF924" s="310"/>
      <c r="BG924" s="310"/>
      <c r="BH924" s="310"/>
      <c r="BI924" s="310"/>
      <c r="BJ924" s="310"/>
      <c r="BK924" s="310"/>
      <c r="BL924" s="310"/>
      <c r="BM924" s="310"/>
      <c r="BN924" s="221"/>
      <c r="BO924" s="221"/>
      <c r="BP924" s="221"/>
      <c r="BQ924" s="221"/>
      <c r="BR924" s="221"/>
    </row>
    <row r="925" ht="15.75" customHeight="1">
      <c r="A925" s="220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309"/>
      <c r="Y925" s="309"/>
      <c r="Z925" s="309"/>
      <c r="AA925" s="309"/>
      <c r="AB925" s="309"/>
      <c r="AC925" s="309"/>
      <c r="AD925" s="309"/>
      <c r="AE925" s="309"/>
      <c r="AF925" s="309"/>
      <c r="AG925" s="309"/>
      <c r="AH925" s="309"/>
      <c r="AI925" s="309"/>
      <c r="AJ925" s="309"/>
      <c r="AK925" s="309"/>
      <c r="AL925" s="309"/>
      <c r="AM925" s="309"/>
      <c r="AN925" s="309"/>
      <c r="AO925" s="309"/>
      <c r="AP925" s="309"/>
      <c r="AQ925" s="309"/>
      <c r="AR925" s="309"/>
      <c r="AS925" s="309"/>
      <c r="AT925" s="309"/>
      <c r="AU925" s="309"/>
      <c r="AV925" s="309"/>
      <c r="AW925" s="309"/>
      <c r="AX925" s="309"/>
      <c r="AY925" s="309"/>
      <c r="AZ925" s="309"/>
      <c r="BA925" s="310"/>
      <c r="BB925" s="310"/>
      <c r="BC925" s="310"/>
      <c r="BD925" s="310"/>
      <c r="BE925" s="310"/>
      <c r="BF925" s="310"/>
      <c r="BG925" s="310"/>
      <c r="BH925" s="310"/>
      <c r="BI925" s="310"/>
      <c r="BJ925" s="310"/>
      <c r="BK925" s="310"/>
      <c r="BL925" s="310"/>
      <c r="BM925" s="310"/>
      <c r="BN925" s="221"/>
      <c r="BO925" s="221"/>
      <c r="BP925" s="221"/>
      <c r="BQ925" s="221"/>
      <c r="BR925" s="221"/>
    </row>
    <row r="926" ht="15.75" customHeight="1">
      <c r="A926" s="220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309"/>
      <c r="Y926" s="309"/>
      <c r="Z926" s="309"/>
      <c r="AA926" s="309"/>
      <c r="AB926" s="309"/>
      <c r="AC926" s="309"/>
      <c r="AD926" s="309"/>
      <c r="AE926" s="309"/>
      <c r="AF926" s="309"/>
      <c r="AG926" s="309"/>
      <c r="AH926" s="309"/>
      <c r="AI926" s="309"/>
      <c r="AJ926" s="309"/>
      <c r="AK926" s="309"/>
      <c r="AL926" s="309"/>
      <c r="AM926" s="309"/>
      <c r="AN926" s="309"/>
      <c r="AO926" s="309"/>
      <c r="AP926" s="309"/>
      <c r="AQ926" s="309"/>
      <c r="AR926" s="309"/>
      <c r="AS926" s="309"/>
      <c r="AT926" s="309"/>
      <c r="AU926" s="309"/>
      <c r="AV926" s="309"/>
      <c r="AW926" s="309"/>
      <c r="AX926" s="309"/>
      <c r="AY926" s="309"/>
      <c r="AZ926" s="309"/>
      <c r="BA926" s="310"/>
      <c r="BB926" s="310"/>
      <c r="BC926" s="310"/>
      <c r="BD926" s="310"/>
      <c r="BE926" s="310"/>
      <c r="BF926" s="310"/>
      <c r="BG926" s="310"/>
      <c r="BH926" s="310"/>
      <c r="BI926" s="310"/>
      <c r="BJ926" s="310"/>
      <c r="BK926" s="310"/>
      <c r="BL926" s="310"/>
      <c r="BM926" s="310"/>
      <c r="BN926" s="221"/>
      <c r="BO926" s="221"/>
      <c r="BP926" s="221"/>
      <c r="BQ926" s="221"/>
      <c r="BR926" s="221"/>
    </row>
    <row r="927" ht="15.75" customHeight="1">
      <c r="A927" s="220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309"/>
      <c r="Y927" s="309"/>
      <c r="Z927" s="309"/>
      <c r="AA927" s="309"/>
      <c r="AB927" s="309"/>
      <c r="AC927" s="309"/>
      <c r="AD927" s="309"/>
      <c r="AE927" s="309"/>
      <c r="AF927" s="309"/>
      <c r="AG927" s="309"/>
      <c r="AH927" s="309"/>
      <c r="AI927" s="309"/>
      <c r="AJ927" s="309"/>
      <c r="AK927" s="309"/>
      <c r="AL927" s="309"/>
      <c r="AM927" s="309"/>
      <c r="AN927" s="309"/>
      <c r="AO927" s="309"/>
      <c r="AP927" s="309"/>
      <c r="AQ927" s="309"/>
      <c r="AR927" s="309"/>
      <c r="AS927" s="309"/>
      <c r="AT927" s="309"/>
      <c r="AU927" s="309"/>
      <c r="AV927" s="309"/>
      <c r="AW927" s="309"/>
      <c r="AX927" s="309"/>
      <c r="AY927" s="309"/>
      <c r="AZ927" s="309"/>
      <c r="BA927" s="310"/>
      <c r="BB927" s="310"/>
      <c r="BC927" s="310"/>
      <c r="BD927" s="310"/>
      <c r="BE927" s="310"/>
      <c r="BF927" s="310"/>
      <c r="BG927" s="310"/>
      <c r="BH927" s="310"/>
      <c r="BI927" s="310"/>
      <c r="BJ927" s="310"/>
      <c r="BK927" s="310"/>
      <c r="BL927" s="310"/>
      <c r="BM927" s="310"/>
      <c r="BN927" s="221"/>
      <c r="BO927" s="221"/>
      <c r="BP927" s="221"/>
      <c r="BQ927" s="221"/>
      <c r="BR927" s="221"/>
    </row>
    <row r="928" ht="15.75" customHeight="1">
      <c r="A928" s="220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309"/>
      <c r="Y928" s="309"/>
      <c r="Z928" s="309"/>
      <c r="AA928" s="309"/>
      <c r="AB928" s="309"/>
      <c r="AC928" s="309"/>
      <c r="AD928" s="309"/>
      <c r="AE928" s="309"/>
      <c r="AF928" s="309"/>
      <c r="AG928" s="309"/>
      <c r="AH928" s="309"/>
      <c r="AI928" s="309"/>
      <c r="AJ928" s="309"/>
      <c r="AK928" s="309"/>
      <c r="AL928" s="309"/>
      <c r="AM928" s="309"/>
      <c r="AN928" s="309"/>
      <c r="AO928" s="309"/>
      <c r="AP928" s="309"/>
      <c r="AQ928" s="309"/>
      <c r="AR928" s="309"/>
      <c r="AS928" s="309"/>
      <c r="AT928" s="309"/>
      <c r="AU928" s="309"/>
      <c r="AV928" s="309"/>
      <c r="AW928" s="309"/>
      <c r="AX928" s="309"/>
      <c r="AY928" s="309"/>
      <c r="AZ928" s="309"/>
      <c r="BA928" s="310"/>
      <c r="BB928" s="310"/>
      <c r="BC928" s="310"/>
      <c r="BD928" s="310"/>
      <c r="BE928" s="310"/>
      <c r="BF928" s="310"/>
      <c r="BG928" s="310"/>
      <c r="BH928" s="310"/>
      <c r="BI928" s="310"/>
      <c r="BJ928" s="310"/>
      <c r="BK928" s="310"/>
      <c r="BL928" s="310"/>
      <c r="BM928" s="310"/>
      <c r="BN928" s="221"/>
      <c r="BO928" s="221"/>
      <c r="BP928" s="221"/>
      <c r="BQ928" s="221"/>
      <c r="BR928" s="221"/>
    </row>
    <row r="929" ht="15.75" customHeight="1">
      <c r="A929" s="220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309"/>
      <c r="Y929" s="309"/>
      <c r="Z929" s="309"/>
      <c r="AA929" s="309"/>
      <c r="AB929" s="309"/>
      <c r="AC929" s="309"/>
      <c r="AD929" s="309"/>
      <c r="AE929" s="309"/>
      <c r="AF929" s="309"/>
      <c r="AG929" s="309"/>
      <c r="AH929" s="309"/>
      <c r="AI929" s="309"/>
      <c r="AJ929" s="309"/>
      <c r="AK929" s="309"/>
      <c r="AL929" s="309"/>
      <c r="AM929" s="309"/>
      <c r="AN929" s="309"/>
      <c r="AO929" s="309"/>
      <c r="AP929" s="309"/>
      <c r="AQ929" s="309"/>
      <c r="AR929" s="309"/>
      <c r="AS929" s="309"/>
      <c r="AT929" s="309"/>
      <c r="AU929" s="309"/>
      <c r="AV929" s="309"/>
      <c r="AW929" s="309"/>
      <c r="AX929" s="309"/>
      <c r="AY929" s="309"/>
      <c r="AZ929" s="309"/>
      <c r="BA929" s="310"/>
      <c r="BB929" s="310"/>
      <c r="BC929" s="310"/>
      <c r="BD929" s="310"/>
      <c r="BE929" s="310"/>
      <c r="BF929" s="310"/>
      <c r="BG929" s="310"/>
      <c r="BH929" s="310"/>
      <c r="BI929" s="310"/>
      <c r="BJ929" s="310"/>
      <c r="BK929" s="310"/>
      <c r="BL929" s="310"/>
      <c r="BM929" s="310"/>
      <c r="BN929" s="221"/>
      <c r="BO929" s="221"/>
      <c r="BP929" s="221"/>
      <c r="BQ929" s="221"/>
      <c r="BR929" s="221"/>
    </row>
    <row r="930" ht="15.75" customHeight="1">
      <c r="A930" s="220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309"/>
      <c r="Y930" s="309"/>
      <c r="Z930" s="309"/>
      <c r="AA930" s="309"/>
      <c r="AB930" s="309"/>
      <c r="AC930" s="309"/>
      <c r="AD930" s="309"/>
      <c r="AE930" s="309"/>
      <c r="AF930" s="309"/>
      <c r="AG930" s="309"/>
      <c r="AH930" s="309"/>
      <c r="AI930" s="309"/>
      <c r="AJ930" s="309"/>
      <c r="AK930" s="309"/>
      <c r="AL930" s="309"/>
      <c r="AM930" s="309"/>
      <c r="AN930" s="309"/>
      <c r="AO930" s="309"/>
      <c r="AP930" s="309"/>
      <c r="AQ930" s="309"/>
      <c r="AR930" s="309"/>
      <c r="AS930" s="309"/>
      <c r="AT930" s="309"/>
      <c r="AU930" s="309"/>
      <c r="AV930" s="309"/>
      <c r="AW930" s="309"/>
      <c r="AX930" s="309"/>
      <c r="AY930" s="309"/>
      <c r="AZ930" s="309"/>
      <c r="BA930" s="310"/>
      <c r="BB930" s="310"/>
      <c r="BC930" s="310"/>
      <c r="BD930" s="310"/>
      <c r="BE930" s="310"/>
      <c r="BF930" s="310"/>
      <c r="BG930" s="310"/>
      <c r="BH930" s="310"/>
      <c r="BI930" s="310"/>
      <c r="BJ930" s="310"/>
      <c r="BK930" s="310"/>
      <c r="BL930" s="310"/>
      <c r="BM930" s="310"/>
      <c r="BN930" s="221"/>
      <c r="BO930" s="221"/>
      <c r="BP930" s="221"/>
      <c r="BQ930" s="221"/>
      <c r="BR930" s="221"/>
    </row>
    <row r="931" ht="15.75" customHeight="1">
      <c r="A931" s="220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309"/>
      <c r="Y931" s="309"/>
      <c r="Z931" s="309"/>
      <c r="AA931" s="309"/>
      <c r="AB931" s="309"/>
      <c r="AC931" s="309"/>
      <c r="AD931" s="309"/>
      <c r="AE931" s="309"/>
      <c r="AF931" s="309"/>
      <c r="AG931" s="309"/>
      <c r="AH931" s="309"/>
      <c r="AI931" s="309"/>
      <c r="AJ931" s="309"/>
      <c r="AK931" s="309"/>
      <c r="AL931" s="309"/>
      <c r="AM931" s="309"/>
      <c r="AN931" s="309"/>
      <c r="AO931" s="309"/>
      <c r="AP931" s="309"/>
      <c r="AQ931" s="309"/>
      <c r="AR931" s="309"/>
      <c r="AS931" s="309"/>
      <c r="AT931" s="309"/>
      <c r="AU931" s="309"/>
      <c r="AV931" s="309"/>
      <c r="AW931" s="309"/>
      <c r="AX931" s="309"/>
      <c r="AY931" s="309"/>
      <c r="AZ931" s="309"/>
      <c r="BA931" s="310"/>
      <c r="BB931" s="310"/>
      <c r="BC931" s="310"/>
      <c r="BD931" s="310"/>
      <c r="BE931" s="310"/>
      <c r="BF931" s="310"/>
      <c r="BG931" s="310"/>
      <c r="BH931" s="310"/>
      <c r="BI931" s="310"/>
      <c r="BJ931" s="310"/>
      <c r="BK931" s="310"/>
      <c r="BL931" s="310"/>
      <c r="BM931" s="310"/>
      <c r="BN931" s="221"/>
      <c r="BO931" s="221"/>
      <c r="BP931" s="221"/>
      <c r="BQ931" s="221"/>
      <c r="BR931" s="221"/>
    </row>
    <row r="932" ht="15.75" customHeight="1">
      <c r="A932" s="220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309"/>
      <c r="Y932" s="309"/>
      <c r="Z932" s="309"/>
      <c r="AA932" s="309"/>
      <c r="AB932" s="309"/>
      <c r="AC932" s="309"/>
      <c r="AD932" s="309"/>
      <c r="AE932" s="309"/>
      <c r="AF932" s="309"/>
      <c r="AG932" s="309"/>
      <c r="AH932" s="309"/>
      <c r="AI932" s="309"/>
      <c r="AJ932" s="309"/>
      <c r="AK932" s="309"/>
      <c r="AL932" s="309"/>
      <c r="AM932" s="309"/>
      <c r="AN932" s="309"/>
      <c r="AO932" s="309"/>
      <c r="AP932" s="309"/>
      <c r="AQ932" s="309"/>
      <c r="AR932" s="309"/>
      <c r="AS932" s="309"/>
      <c r="AT932" s="309"/>
      <c r="AU932" s="309"/>
      <c r="AV932" s="309"/>
      <c r="AW932" s="309"/>
      <c r="AX932" s="309"/>
      <c r="AY932" s="309"/>
      <c r="AZ932" s="309"/>
      <c r="BA932" s="310"/>
      <c r="BB932" s="310"/>
      <c r="BC932" s="310"/>
      <c r="BD932" s="310"/>
      <c r="BE932" s="310"/>
      <c r="BF932" s="310"/>
      <c r="BG932" s="310"/>
      <c r="BH932" s="310"/>
      <c r="BI932" s="310"/>
      <c r="BJ932" s="310"/>
      <c r="BK932" s="310"/>
      <c r="BL932" s="310"/>
      <c r="BM932" s="310"/>
      <c r="BN932" s="221"/>
      <c r="BO932" s="221"/>
      <c r="BP932" s="221"/>
      <c r="BQ932" s="221"/>
      <c r="BR932" s="221"/>
    </row>
    <row r="933" ht="15.75" customHeight="1">
      <c r="A933" s="220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309"/>
      <c r="Y933" s="309"/>
      <c r="Z933" s="309"/>
      <c r="AA933" s="309"/>
      <c r="AB933" s="309"/>
      <c r="AC933" s="309"/>
      <c r="AD933" s="309"/>
      <c r="AE933" s="309"/>
      <c r="AF933" s="309"/>
      <c r="AG933" s="309"/>
      <c r="AH933" s="309"/>
      <c r="AI933" s="309"/>
      <c r="AJ933" s="309"/>
      <c r="AK933" s="309"/>
      <c r="AL933" s="309"/>
      <c r="AM933" s="309"/>
      <c r="AN933" s="309"/>
      <c r="AO933" s="309"/>
      <c r="AP933" s="309"/>
      <c r="AQ933" s="309"/>
      <c r="AR933" s="309"/>
      <c r="AS933" s="309"/>
      <c r="AT933" s="309"/>
      <c r="AU933" s="309"/>
      <c r="AV933" s="309"/>
      <c r="AW933" s="309"/>
      <c r="AX933" s="309"/>
      <c r="AY933" s="309"/>
      <c r="AZ933" s="309"/>
      <c r="BA933" s="310"/>
      <c r="BB933" s="310"/>
      <c r="BC933" s="310"/>
      <c r="BD933" s="310"/>
      <c r="BE933" s="310"/>
      <c r="BF933" s="310"/>
      <c r="BG933" s="310"/>
      <c r="BH933" s="310"/>
      <c r="BI933" s="310"/>
      <c r="BJ933" s="310"/>
      <c r="BK933" s="310"/>
      <c r="BL933" s="310"/>
      <c r="BM933" s="310"/>
      <c r="BN933" s="221"/>
      <c r="BO933" s="221"/>
      <c r="BP933" s="221"/>
      <c r="BQ933" s="221"/>
      <c r="BR933" s="221"/>
    </row>
    <row r="934" ht="15.75" customHeight="1">
      <c r="A934" s="220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309"/>
      <c r="Y934" s="309"/>
      <c r="Z934" s="309"/>
      <c r="AA934" s="309"/>
      <c r="AB934" s="309"/>
      <c r="AC934" s="309"/>
      <c r="AD934" s="309"/>
      <c r="AE934" s="309"/>
      <c r="AF934" s="309"/>
      <c r="AG934" s="309"/>
      <c r="AH934" s="309"/>
      <c r="AI934" s="309"/>
      <c r="AJ934" s="309"/>
      <c r="AK934" s="309"/>
      <c r="AL934" s="309"/>
      <c r="AM934" s="309"/>
      <c r="AN934" s="309"/>
      <c r="AO934" s="309"/>
      <c r="AP934" s="309"/>
      <c r="AQ934" s="309"/>
      <c r="AR934" s="309"/>
      <c r="AS934" s="309"/>
      <c r="AT934" s="309"/>
      <c r="AU934" s="309"/>
      <c r="AV934" s="309"/>
      <c r="AW934" s="309"/>
      <c r="AX934" s="309"/>
      <c r="AY934" s="309"/>
      <c r="AZ934" s="309"/>
      <c r="BA934" s="310"/>
      <c r="BB934" s="310"/>
      <c r="BC934" s="310"/>
      <c r="BD934" s="310"/>
      <c r="BE934" s="310"/>
      <c r="BF934" s="310"/>
      <c r="BG934" s="310"/>
      <c r="BH934" s="310"/>
      <c r="BI934" s="310"/>
      <c r="BJ934" s="310"/>
      <c r="BK934" s="310"/>
      <c r="BL934" s="310"/>
      <c r="BM934" s="310"/>
      <c r="BN934" s="221"/>
      <c r="BO934" s="221"/>
      <c r="BP934" s="221"/>
      <c r="BQ934" s="221"/>
      <c r="BR934" s="221"/>
    </row>
    <row r="935" ht="15.75" customHeight="1">
      <c r="A935" s="220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309"/>
      <c r="Y935" s="309"/>
      <c r="Z935" s="309"/>
      <c r="AA935" s="309"/>
      <c r="AB935" s="309"/>
      <c r="AC935" s="309"/>
      <c r="AD935" s="309"/>
      <c r="AE935" s="309"/>
      <c r="AF935" s="309"/>
      <c r="AG935" s="309"/>
      <c r="AH935" s="309"/>
      <c r="AI935" s="309"/>
      <c r="AJ935" s="309"/>
      <c r="AK935" s="309"/>
      <c r="AL935" s="309"/>
      <c r="AM935" s="309"/>
      <c r="AN935" s="309"/>
      <c r="AO935" s="309"/>
      <c r="AP935" s="309"/>
      <c r="AQ935" s="309"/>
      <c r="AR935" s="309"/>
      <c r="AS935" s="309"/>
      <c r="AT935" s="309"/>
      <c r="AU935" s="309"/>
      <c r="AV935" s="309"/>
      <c r="AW935" s="309"/>
      <c r="AX935" s="309"/>
      <c r="AY935" s="309"/>
      <c r="AZ935" s="309"/>
      <c r="BA935" s="310"/>
      <c r="BB935" s="310"/>
      <c r="BC935" s="310"/>
      <c r="BD935" s="310"/>
      <c r="BE935" s="310"/>
      <c r="BF935" s="310"/>
      <c r="BG935" s="310"/>
      <c r="BH935" s="310"/>
      <c r="BI935" s="310"/>
      <c r="BJ935" s="310"/>
      <c r="BK935" s="310"/>
      <c r="BL935" s="310"/>
      <c r="BM935" s="310"/>
      <c r="BN935" s="221"/>
      <c r="BO935" s="221"/>
      <c r="BP935" s="221"/>
      <c r="BQ935" s="221"/>
      <c r="BR935" s="221"/>
    </row>
    <row r="936" ht="15.75" customHeight="1">
      <c r="A936" s="220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309"/>
      <c r="Y936" s="309"/>
      <c r="Z936" s="309"/>
      <c r="AA936" s="309"/>
      <c r="AB936" s="309"/>
      <c r="AC936" s="309"/>
      <c r="AD936" s="309"/>
      <c r="AE936" s="309"/>
      <c r="AF936" s="309"/>
      <c r="AG936" s="309"/>
      <c r="AH936" s="309"/>
      <c r="AI936" s="309"/>
      <c r="AJ936" s="309"/>
      <c r="AK936" s="309"/>
      <c r="AL936" s="309"/>
      <c r="AM936" s="309"/>
      <c r="AN936" s="309"/>
      <c r="AO936" s="309"/>
      <c r="AP936" s="309"/>
      <c r="AQ936" s="309"/>
      <c r="AR936" s="309"/>
      <c r="AS936" s="309"/>
      <c r="AT936" s="309"/>
      <c r="AU936" s="309"/>
      <c r="AV936" s="309"/>
      <c r="AW936" s="309"/>
      <c r="AX936" s="309"/>
      <c r="AY936" s="309"/>
      <c r="AZ936" s="309"/>
      <c r="BA936" s="310"/>
      <c r="BB936" s="310"/>
      <c r="BC936" s="310"/>
      <c r="BD936" s="310"/>
      <c r="BE936" s="310"/>
      <c r="BF936" s="310"/>
      <c r="BG936" s="310"/>
      <c r="BH936" s="310"/>
      <c r="BI936" s="310"/>
      <c r="BJ936" s="310"/>
      <c r="BK936" s="310"/>
      <c r="BL936" s="310"/>
      <c r="BM936" s="310"/>
      <c r="BN936" s="221"/>
      <c r="BO936" s="221"/>
      <c r="BP936" s="221"/>
      <c r="BQ936" s="221"/>
      <c r="BR936" s="221"/>
    </row>
    <row r="937" ht="15.75" customHeight="1">
      <c r="A937" s="220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309"/>
      <c r="Y937" s="309"/>
      <c r="Z937" s="309"/>
      <c r="AA937" s="309"/>
      <c r="AB937" s="309"/>
      <c r="AC937" s="309"/>
      <c r="AD937" s="309"/>
      <c r="AE937" s="309"/>
      <c r="AF937" s="309"/>
      <c r="AG937" s="309"/>
      <c r="AH937" s="309"/>
      <c r="AI937" s="309"/>
      <c r="AJ937" s="309"/>
      <c r="AK937" s="309"/>
      <c r="AL937" s="309"/>
      <c r="AM937" s="309"/>
      <c r="AN937" s="309"/>
      <c r="AO937" s="309"/>
      <c r="AP937" s="309"/>
      <c r="AQ937" s="309"/>
      <c r="AR937" s="309"/>
      <c r="AS937" s="309"/>
      <c r="AT937" s="309"/>
      <c r="AU937" s="309"/>
      <c r="AV937" s="309"/>
      <c r="AW937" s="309"/>
      <c r="AX937" s="309"/>
      <c r="AY937" s="309"/>
      <c r="AZ937" s="309"/>
      <c r="BA937" s="310"/>
      <c r="BB937" s="310"/>
      <c r="BC937" s="310"/>
      <c r="BD937" s="310"/>
      <c r="BE937" s="310"/>
      <c r="BF937" s="310"/>
      <c r="BG937" s="310"/>
      <c r="BH937" s="310"/>
      <c r="BI937" s="310"/>
      <c r="BJ937" s="310"/>
      <c r="BK937" s="310"/>
      <c r="BL937" s="310"/>
      <c r="BM937" s="310"/>
      <c r="BN937" s="221"/>
      <c r="BO937" s="221"/>
      <c r="BP937" s="221"/>
      <c r="BQ937" s="221"/>
      <c r="BR937" s="221"/>
    </row>
    <row r="938" ht="15.75" customHeight="1">
      <c r="A938" s="220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309"/>
      <c r="Y938" s="309"/>
      <c r="Z938" s="309"/>
      <c r="AA938" s="309"/>
      <c r="AB938" s="309"/>
      <c r="AC938" s="309"/>
      <c r="AD938" s="309"/>
      <c r="AE938" s="309"/>
      <c r="AF938" s="309"/>
      <c r="AG938" s="309"/>
      <c r="AH938" s="309"/>
      <c r="AI938" s="309"/>
      <c r="AJ938" s="309"/>
      <c r="AK938" s="309"/>
      <c r="AL938" s="309"/>
      <c r="AM938" s="309"/>
      <c r="AN938" s="309"/>
      <c r="AO938" s="309"/>
      <c r="AP938" s="309"/>
      <c r="AQ938" s="309"/>
      <c r="AR938" s="309"/>
      <c r="AS938" s="309"/>
      <c r="AT938" s="309"/>
      <c r="AU938" s="309"/>
      <c r="AV938" s="309"/>
      <c r="AW938" s="309"/>
      <c r="AX938" s="309"/>
      <c r="AY938" s="309"/>
      <c r="AZ938" s="309"/>
      <c r="BA938" s="310"/>
      <c r="BB938" s="310"/>
      <c r="BC938" s="310"/>
      <c r="BD938" s="310"/>
      <c r="BE938" s="310"/>
      <c r="BF938" s="310"/>
      <c r="BG938" s="310"/>
      <c r="BH938" s="310"/>
      <c r="BI938" s="310"/>
      <c r="BJ938" s="310"/>
      <c r="BK938" s="310"/>
      <c r="BL938" s="310"/>
      <c r="BM938" s="310"/>
      <c r="BN938" s="221"/>
      <c r="BO938" s="221"/>
      <c r="BP938" s="221"/>
      <c r="BQ938" s="221"/>
      <c r="BR938" s="221"/>
    </row>
    <row r="939" ht="15.75" customHeight="1">
      <c r="A939" s="220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309"/>
      <c r="Y939" s="309"/>
      <c r="Z939" s="309"/>
      <c r="AA939" s="309"/>
      <c r="AB939" s="309"/>
      <c r="AC939" s="309"/>
      <c r="AD939" s="309"/>
      <c r="AE939" s="309"/>
      <c r="AF939" s="309"/>
      <c r="AG939" s="309"/>
      <c r="AH939" s="309"/>
      <c r="AI939" s="309"/>
      <c r="AJ939" s="309"/>
      <c r="AK939" s="309"/>
      <c r="AL939" s="309"/>
      <c r="AM939" s="309"/>
      <c r="AN939" s="309"/>
      <c r="AO939" s="309"/>
      <c r="AP939" s="309"/>
      <c r="AQ939" s="309"/>
      <c r="AR939" s="309"/>
      <c r="AS939" s="309"/>
      <c r="AT939" s="309"/>
      <c r="AU939" s="309"/>
      <c r="AV939" s="309"/>
      <c r="AW939" s="309"/>
      <c r="AX939" s="309"/>
      <c r="AY939" s="309"/>
      <c r="AZ939" s="309"/>
      <c r="BA939" s="310"/>
      <c r="BB939" s="310"/>
      <c r="BC939" s="310"/>
      <c r="BD939" s="310"/>
      <c r="BE939" s="310"/>
      <c r="BF939" s="310"/>
      <c r="BG939" s="310"/>
      <c r="BH939" s="310"/>
      <c r="BI939" s="310"/>
      <c r="BJ939" s="310"/>
      <c r="BK939" s="310"/>
      <c r="BL939" s="310"/>
      <c r="BM939" s="310"/>
      <c r="BN939" s="221"/>
      <c r="BO939" s="221"/>
      <c r="BP939" s="221"/>
      <c r="BQ939" s="221"/>
      <c r="BR939" s="221"/>
    </row>
    <row r="940" ht="15.75" customHeight="1">
      <c r="A940" s="220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309"/>
      <c r="Y940" s="309"/>
      <c r="Z940" s="309"/>
      <c r="AA940" s="309"/>
      <c r="AB940" s="309"/>
      <c r="AC940" s="309"/>
      <c r="AD940" s="309"/>
      <c r="AE940" s="309"/>
      <c r="AF940" s="309"/>
      <c r="AG940" s="309"/>
      <c r="AH940" s="309"/>
      <c r="AI940" s="309"/>
      <c r="AJ940" s="309"/>
      <c r="AK940" s="309"/>
      <c r="AL940" s="309"/>
      <c r="AM940" s="309"/>
      <c r="AN940" s="309"/>
      <c r="AO940" s="309"/>
      <c r="AP940" s="309"/>
      <c r="AQ940" s="309"/>
      <c r="AR940" s="309"/>
      <c r="AS940" s="309"/>
      <c r="AT940" s="309"/>
      <c r="AU940" s="309"/>
      <c r="AV940" s="309"/>
      <c r="AW940" s="309"/>
      <c r="AX940" s="309"/>
      <c r="AY940" s="309"/>
      <c r="AZ940" s="309"/>
      <c r="BA940" s="310"/>
      <c r="BB940" s="310"/>
      <c r="BC940" s="310"/>
      <c r="BD940" s="310"/>
      <c r="BE940" s="310"/>
      <c r="BF940" s="310"/>
      <c r="BG940" s="310"/>
      <c r="BH940" s="310"/>
      <c r="BI940" s="310"/>
      <c r="BJ940" s="310"/>
      <c r="BK940" s="310"/>
      <c r="BL940" s="310"/>
      <c r="BM940" s="310"/>
      <c r="BN940" s="221"/>
      <c r="BO940" s="221"/>
      <c r="BP940" s="221"/>
      <c r="BQ940" s="221"/>
      <c r="BR940" s="221"/>
    </row>
    <row r="941" ht="15.75" customHeight="1">
      <c r="A941" s="220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309"/>
      <c r="Y941" s="309"/>
      <c r="Z941" s="309"/>
      <c r="AA941" s="309"/>
      <c r="AB941" s="309"/>
      <c r="AC941" s="309"/>
      <c r="AD941" s="309"/>
      <c r="AE941" s="309"/>
      <c r="AF941" s="309"/>
      <c r="AG941" s="309"/>
      <c r="AH941" s="309"/>
      <c r="AI941" s="309"/>
      <c r="AJ941" s="309"/>
      <c r="AK941" s="309"/>
      <c r="AL941" s="309"/>
      <c r="AM941" s="309"/>
      <c r="AN941" s="309"/>
      <c r="AO941" s="309"/>
      <c r="AP941" s="309"/>
      <c r="AQ941" s="309"/>
      <c r="AR941" s="309"/>
      <c r="AS941" s="309"/>
      <c r="AT941" s="309"/>
      <c r="AU941" s="309"/>
      <c r="AV941" s="309"/>
      <c r="AW941" s="309"/>
      <c r="AX941" s="309"/>
      <c r="AY941" s="309"/>
      <c r="AZ941" s="309"/>
      <c r="BA941" s="310"/>
      <c r="BB941" s="310"/>
      <c r="BC941" s="310"/>
      <c r="BD941" s="310"/>
      <c r="BE941" s="310"/>
      <c r="BF941" s="310"/>
      <c r="BG941" s="310"/>
      <c r="BH941" s="310"/>
      <c r="BI941" s="310"/>
      <c r="BJ941" s="310"/>
      <c r="BK941" s="310"/>
      <c r="BL941" s="310"/>
      <c r="BM941" s="310"/>
      <c r="BN941" s="221"/>
      <c r="BO941" s="221"/>
      <c r="BP941" s="221"/>
      <c r="BQ941" s="221"/>
      <c r="BR941" s="221"/>
    </row>
    <row r="942" ht="15.75" customHeight="1">
      <c r="A942" s="220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309"/>
      <c r="Y942" s="309"/>
      <c r="Z942" s="309"/>
      <c r="AA942" s="309"/>
      <c r="AB942" s="309"/>
      <c r="AC942" s="309"/>
      <c r="AD942" s="309"/>
      <c r="AE942" s="309"/>
      <c r="AF942" s="309"/>
      <c r="AG942" s="309"/>
      <c r="AH942" s="309"/>
      <c r="AI942" s="309"/>
      <c r="AJ942" s="309"/>
      <c r="AK942" s="309"/>
      <c r="AL942" s="309"/>
      <c r="AM942" s="309"/>
      <c r="AN942" s="309"/>
      <c r="AO942" s="309"/>
      <c r="AP942" s="309"/>
      <c r="AQ942" s="309"/>
      <c r="AR942" s="309"/>
      <c r="AS942" s="309"/>
      <c r="AT942" s="309"/>
      <c r="AU942" s="309"/>
      <c r="AV942" s="309"/>
      <c r="AW942" s="309"/>
      <c r="AX942" s="309"/>
      <c r="AY942" s="309"/>
      <c r="AZ942" s="309"/>
      <c r="BA942" s="310"/>
      <c r="BB942" s="310"/>
      <c r="BC942" s="310"/>
      <c r="BD942" s="310"/>
      <c r="BE942" s="310"/>
      <c r="BF942" s="310"/>
      <c r="BG942" s="310"/>
      <c r="BH942" s="310"/>
      <c r="BI942" s="310"/>
      <c r="BJ942" s="310"/>
      <c r="BK942" s="310"/>
      <c r="BL942" s="310"/>
      <c r="BM942" s="310"/>
      <c r="BN942" s="221"/>
      <c r="BO942" s="221"/>
      <c r="BP942" s="221"/>
      <c r="BQ942" s="221"/>
      <c r="BR942" s="221"/>
    </row>
    <row r="943" ht="15.75" customHeight="1">
      <c r="A943" s="220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309"/>
      <c r="Y943" s="309"/>
      <c r="Z943" s="309"/>
      <c r="AA943" s="309"/>
      <c r="AB943" s="309"/>
      <c r="AC943" s="309"/>
      <c r="AD943" s="309"/>
      <c r="AE943" s="309"/>
      <c r="AF943" s="309"/>
      <c r="AG943" s="309"/>
      <c r="AH943" s="309"/>
      <c r="AI943" s="309"/>
      <c r="AJ943" s="309"/>
      <c r="AK943" s="309"/>
      <c r="AL943" s="309"/>
      <c r="AM943" s="309"/>
      <c r="AN943" s="309"/>
      <c r="AO943" s="309"/>
      <c r="AP943" s="309"/>
      <c r="AQ943" s="309"/>
      <c r="AR943" s="309"/>
      <c r="AS943" s="309"/>
      <c r="AT943" s="309"/>
      <c r="AU943" s="309"/>
      <c r="AV943" s="309"/>
      <c r="AW943" s="309"/>
      <c r="AX943" s="309"/>
      <c r="AY943" s="309"/>
      <c r="AZ943" s="309"/>
      <c r="BA943" s="310"/>
      <c r="BB943" s="310"/>
      <c r="BC943" s="310"/>
      <c r="BD943" s="310"/>
      <c r="BE943" s="310"/>
      <c r="BF943" s="310"/>
      <c r="BG943" s="310"/>
      <c r="BH943" s="310"/>
      <c r="BI943" s="310"/>
      <c r="BJ943" s="310"/>
      <c r="BK943" s="310"/>
      <c r="BL943" s="310"/>
      <c r="BM943" s="310"/>
      <c r="BN943" s="221"/>
      <c r="BO943" s="221"/>
      <c r="BP943" s="221"/>
      <c r="BQ943" s="221"/>
      <c r="BR943" s="221"/>
    </row>
    <row r="944" ht="15.75" customHeight="1">
      <c r="A944" s="220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309"/>
      <c r="Y944" s="309"/>
      <c r="Z944" s="309"/>
      <c r="AA944" s="309"/>
      <c r="AB944" s="309"/>
      <c r="AC944" s="309"/>
      <c r="AD944" s="309"/>
      <c r="AE944" s="309"/>
      <c r="AF944" s="309"/>
      <c r="AG944" s="309"/>
      <c r="AH944" s="309"/>
      <c r="AI944" s="309"/>
      <c r="AJ944" s="309"/>
      <c r="AK944" s="309"/>
      <c r="AL944" s="309"/>
      <c r="AM944" s="309"/>
      <c r="AN944" s="309"/>
      <c r="AO944" s="309"/>
      <c r="AP944" s="309"/>
      <c r="AQ944" s="309"/>
      <c r="AR944" s="309"/>
      <c r="AS944" s="309"/>
      <c r="AT944" s="309"/>
      <c r="AU944" s="309"/>
      <c r="AV944" s="309"/>
      <c r="AW944" s="309"/>
      <c r="AX944" s="309"/>
      <c r="AY944" s="309"/>
      <c r="AZ944" s="309"/>
      <c r="BA944" s="310"/>
      <c r="BB944" s="310"/>
      <c r="BC944" s="310"/>
      <c r="BD944" s="310"/>
      <c r="BE944" s="310"/>
      <c r="BF944" s="310"/>
      <c r="BG944" s="310"/>
      <c r="BH944" s="310"/>
      <c r="BI944" s="310"/>
      <c r="BJ944" s="310"/>
      <c r="BK944" s="310"/>
      <c r="BL944" s="310"/>
      <c r="BM944" s="310"/>
      <c r="BN944" s="221"/>
      <c r="BO944" s="221"/>
      <c r="BP944" s="221"/>
      <c r="BQ944" s="221"/>
      <c r="BR944" s="221"/>
    </row>
    <row r="945" ht="15.75" customHeight="1">
      <c r="A945" s="220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309"/>
      <c r="Y945" s="309"/>
      <c r="Z945" s="309"/>
      <c r="AA945" s="309"/>
      <c r="AB945" s="309"/>
      <c r="AC945" s="309"/>
      <c r="AD945" s="309"/>
      <c r="AE945" s="309"/>
      <c r="AF945" s="309"/>
      <c r="AG945" s="309"/>
      <c r="AH945" s="309"/>
      <c r="AI945" s="309"/>
      <c r="AJ945" s="309"/>
      <c r="AK945" s="309"/>
      <c r="AL945" s="309"/>
      <c r="AM945" s="309"/>
      <c r="AN945" s="309"/>
      <c r="AO945" s="309"/>
      <c r="AP945" s="309"/>
      <c r="AQ945" s="309"/>
      <c r="AR945" s="309"/>
      <c r="AS945" s="309"/>
      <c r="AT945" s="309"/>
      <c r="AU945" s="309"/>
      <c r="AV945" s="309"/>
      <c r="AW945" s="309"/>
      <c r="AX945" s="309"/>
      <c r="AY945" s="309"/>
      <c r="AZ945" s="309"/>
      <c r="BA945" s="310"/>
      <c r="BB945" s="310"/>
      <c r="BC945" s="310"/>
      <c r="BD945" s="310"/>
      <c r="BE945" s="310"/>
      <c r="BF945" s="310"/>
      <c r="BG945" s="310"/>
      <c r="BH945" s="310"/>
      <c r="BI945" s="310"/>
      <c r="BJ945" s="310"/>
      <c r="BK945" s="310"/>
      <c r="BL945" s="310"/>
      <c r="BM945" s="310"/>
      <c r="BN945" s="221"/>
      <c r="BO945" s="221"/>
      <c r="BP945" s="221"/>
      <c r="BQ945" s="221"/>
      <c r="BR945" s="221"/>
    </row>
    <row r="946" ht="15.75" customHeight="1">
      <c r="A946" s="220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309"/>
      <c r="Y946" s="309"/>
      <c r="Z946" s="309"/>
      <c r="AA946" s="309"/>
      <c r="AB946" s="309"/>
      <c r="AC946" s="309"/>
      <c r="AD946" s="309"/>
      <c r="AE946" s="309"/>
      <c r="AF946" s="309"/>
      <c r="AG946" s="309"/>
      <c r="AH946" s="309"/>
      <c r="AI946" s="309"/>
      <c r="AJ946" s="309"/>
      <c r="AK946" s="309"/>
      <c r="AL946" s="309"/>
      <c r="AM946" s="309"/>
      <c r="AN946" s="309"/>
      <c r="AO946" s="309"/>
      <c r="AP946" s="309"/>
      <c r="AQ946" s="309"/>
      <c r="AR946" s="309"/>
      <c r="AS946" s="309"/>
      <c r="AT946" s="309"/>
      <c r="AU946" s="309"/>
      <c r="AV946" s="309"/>
      <c r="AW946" s="309"/>
      <c r="AX946" s="309"/>
      <c r="AY946" s="309"/>
      <c r="AZ946" s="309"/>
      <c r="BA946" s="310"/>
      <c r="BB946" s="310"/>
      <c r="BC946" s="310"/>
      <c r="BD946" s="310"/>
      <c r="BE946" s="310"/>
      <c r="BF946" s="310"/>
      <c r="BG946" s="310"/>
      <c r="BH946" s="310"/>
      <c r="BI946" s="310"/>
      <c r="BJ946" s="310"/>
      <c r="BK946" s="310"/>
      <c r="BL946" s="310"/>
      <c r="BM946" s="310"/>
      <c r="BN946" s="221"/>
      <c r="BO946" s="221"/>
      <c r="BP946" s="221"/>
      <c r="BQ946" s="221"/>
      <c r="BR946" s="221"/>
    </row>
    <row r="947" ht="15.75" customHeight="1">
      <c r="A947" s="220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309"/>
      <c r="Y947" s="309"/>
      <c r="Z947" s="309"/>
      <c r="AA947" s="309"/>
      <c r="AB947" s="309"/>
      <c r="AC947" s="309"/>
      <c r="AD947" s="309"/>
      <c r="AE947" s="309"/>
      <c r="AF947" s="309"/>
      <c r="AG947" s="309"/>
      <c r="AH947" s="309"/>
      <c r="AI947" s="309"/>
      <c r="AJ947" s="309"/>
      <c r="AK947" s="309"/>
      <c r="AL947" s="309"/>
      <c r="AM947" s="309"/>
      <c r="AN947" s="309"/>
      <c r="AO947" s="309"/>
      <c r="AP947" s="309"/>
      <c r="AQ947" s="309"/>
      <c r="AR947" s="309"/>
      <c r="AS947" s="309"/>
      <c r="AT947" s="309"/>
      <c r="AU947" s="309"/>
      <c r="AV947" s="309"/>
      <c r="AW947" s="309"/>
      <c r="AX947" s="309"/>
      <c r="AY947" s="309"/>
      <c r="AZ947" s="309"/>
      <c r="BA947" s="310"/>
      <c r="BB947" s="310"/>
      <c r="BC947" s="310"/>
      <c r="BD947" s="310"/>
      <c r="BE947" s="310"/>
      <c r="BF947" s="310"/>
      <c r="BG947" s="310"/>
      <c r="BH947" s="310"/>
      <c r="BI947" s="310"/>
      <c r="BJ947" s="310"/>
      <c r="BK947" s="310"/>
      <c r="BL947" s="310"/>
      <c r="BM947" s="310"/>
      <c r="BN947" s="221"/>
      <c r="BO947" s="221"/>
      <c r="BP947" s="221"/>
      <c r="BQ947" s="221"/>
      <c r="BR947" s="221"/>
    </row>
    <row r="948" ht="15.75" customHeight="1">
      <c r="A948" s="220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309"/>
      <c r="Y948" s="309"/>
      <c r="Z948" s="309"/>
      <c r="AA948" s="309"/>
      <c r="AB948" s="309"/>
      <c r="AC948" s="309"/>
      <c r="AD948" s="309"/>
      <c r="AE948" s="309"/>
      <c r="AF948" s="309"/>
      <c r="AG948" s="309"/>
      <c r="AH948" s="309"/>
      <c r="AI948" s="309"/>
      <c r="AJ948" s="309"/>
      <c r="AK948" s="309"/>
      <c r="AL948" s="309"/>
      <c r="AM948" s="309"/>
      <c r="AN948" s="309"/>
      <c r="AO948" s="309"/>
      <c r="AP948" s="309"/>
      <c r="AQ948" s="309"/>
      <c r="AR948" s="309"/>
      <c r="AS948" s="309"/>
      <c r="AT948" s="309"/>
      <c r="AU948" s="309"/>
      <c r="AV948" s="309"/>
      <c r="AW948" s="309"/>
      <c r="AX948" s="309"/>
      <c r="AY948" s="309"/>
      <c r="AZ948" s="309"/>
      <c r="BA948" s="310"/>
      <c r="BB948" s="310"/>
      <c r="BC948" s="310"/>
      <c r="BD948" s="310"/>
      <c r="BE948" s="310"/>
      <c r="BF948" s="310"/>
      <c r="BG948" s="310"/>
      <c r="BH948" s="310"/>
      <c r="BI948" s="310"/>
      <c r="BJ948" s="310"/>
      <c r="BK948" s="310"/>
      <c r="BL948" s="310"/>
      <c r="BM948" s="310"/>
      <c r="BN948" s="221"/>
      <c r="BO948" s="221"/>
      <c r="BP948" s="221"/>
      <c r="BQ948" s="221"/>
      <c r="BR948" s="221"/>
    </row>
    <row r="949" ht="15.75" customHeight="1">
      <c r="A949" s="220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309"/>
      <c r="Y949" s="309"/>
      <c r="Z949" s="309"/>
      <c r="AA949" s="309"/>
      <c r="AB949" s="309"/>
      <c r="AC949" s="309"/>
      <c r="AD949" s="309"/>
      <c r="AE949" s="309"/>
      <c r="AF949" s="309"/>
      <c r="AG949" s="309"/>
      <c r="AH949" s="309"/>
      <c r="AI949" s="309"/>
      <c r="AJ949" s="309"/>
      <c r="AK949" s="309"/>
      <c r="AL949" s="309"/>
      <c r="AM949" s="309"/>
      <c r="AN949" s="309"/>
      <c r="AO949" s="309"/>
      <c r="AP949" s="309"/>
      <c r="AQ949" s="309"/>
      <c r="AR949" s="309"/>
      <c r="AS949" s="309"/>
      <c r="AT949" s="309"/>
      <c r="AU949" s="309"/>
      <c r="AV949" s="309"/>
      <c r="AW949" s="309"/>
      <c r="AX949" s="309"/>
      <c r="AY949" s="309"/>
      <c r="AZ949" s="309"/>
      <c r="BA949" s="310"/>
      <c r="BB949" s="310"/>
      <c r="BC949" s="310"/>
      <c r="BD949" s="310"/>
      <c r="BE949" s="310"/>
      <c r="BF949" s="310"/>
      <c r="BG949" s="310"/>
      <c r="BH949" s="310"/>
      <c r="BI949" s="310"/>
      <c r="BJ949" s="310"/>
      <c r="BK949" s="310"/>
      <c r="BL949" s="310"/>
      <c r="BM949" s="310"/>
      <c r="BN949" s="221"/>
      <c r="BO949" s="221"/>
      <c r="BP949" s="221"/>
      <c r="BQ949" s="221"/>
      <c r="BR949" s="221"/>
    </row>
    <row r="950" ht="15.75" customHeight="1">
      <c r="A950" s="220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309"/>
      <c r="Y950" s="309"/>
      <c r="Z950" s="309"/>
      <c r="AA950" s="309"/>
      <c r="AB950" s="309"/>
      <c r="AC950" s="309"/>
      <c r="AD950" s="309"/>
      <c r="AE950" s="309"/>
      <c r="AF950" s="309"/>
      <c r="AG950" s="309"/>
      <c r="AH950" s="309"/>
      <c r="AI950" s="309"/>
      <c r="AJ950" s="309"/>
      <c r="AK950" s="309"/>
      <c r="AL950" s="309"/>
      <c r="AM950" s="309"/>
      <c r="AN950" s="309"/>
      <c r="AO950" s="309"/>
      <c r="AP950" s="309"/>
      <c r="AQ950" s="309"/>
      <c r="AR950" s="309"/>
      <c r="AS950" s="309"/>
      <c r="AT950" s="309"/>
      <c r="AU950" s="309"/>
      <c r="AV950" s="309"/>
      <c r="AW950" s="309"/>
      <c r="AX950" s="309"/>
      <c r="AY950" s="309"/>
      <c r="AZ950" s="309"/>
      <c r="BA950" s="310"/>
      <c r="BB950" s="310"/>
      <c r="BC950" s="310"/>
      <c r="BD950" s="310"/>
      <c r="BE950" s="310"/>
      <c r="BF950" s="310"/>
      <c r="BG950" s="310"/>
      <c r="BH950" s="310"/>
      <c r="BI950" s="310"/>
      <c r="BJ950" s="310"/>
      <c r="BK950" s="310"/>
      <c r="BL950" s="310"/>
      <c r="BM950" s="310"/>
      <c r="BN950" s="221"/>
      <c r="BO950" s="221"/>
      <c r="BP950" s="221"/>
      <c r="BQ950" s="221"/>
      <c r="BR950" s="221"/>
    </row>
    <row r="951" ht="15.75" customHeight="1">
      <c r="A951" s="220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309"/>
      <c r="Y951" s="309"/>
      <c r="Z951" s="309"/>
      <c r="AA951" s="309"/>
      <c r="AB951" s="309"/>
      <c r="AC951" s="309"/>
      <c r="AD951" s="309"/>
      <c r="AE951" s="309"/>
      <c r="AF951" s="309"/>
      <c r="AG951" s="309"/>
      <c r="AH951" s="309"/>
      <c r="AI951" s="309"/>
      <c r="AJ951" s="309"/>
      <c r="AK951" s="309"/>
      <c r="AL951" s="309"/>
      <c r="AM951" s="309"/>
      <c r="AN951" s="309"/>
      <c r="AO951" s="309"/>
      <c r="AP951" s="309"/>
      <c r="AQ951" s="309"/>
      <c r="AR951" s="309"/>
      <c r="AS951" s="309"/>
      <c r="AT951" s="309"/>
      <c r="AU951" s="309"/>
      <c r="AV951" s="309"/>
      <c r="AW951" s="309"/>
      <c r="AX951" s="309"/>
      <c r="AY951" s="309"/>
      <c r="AZ951" s="309"/>
      <c r="BA951" s="310"/>
      <c r="BB951" s="310"/>
      <c r="BC951" s="310"/>
      <c r="BD951" s="310"/>
      <c r="BE951" s="310"/>
      <c r="BF951" s="310"/>
      <c r="BG951" s="310"/>
      <c r="BH951" s="310"/>
      <c r="BI951" s="310"/>
      <c r="BJ951" s="310"/>
      <c r="BK951" s="310"/>
      <c r="BL951" s="310"/>
      <c r="BM951" s="310"/>
      <c r="BN951" s="221"/>
      <c r="BO951" s="221"/>
      <c r="BP951" s="221"/>
      <c r="BQ951" s="221"/>
      <c r="BR951" s="221"/>
    </row>
    <row r="952" ht="15.75" customHeight="1">
      <c r="A952" s="220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309"/>
      <c r="Y952" s="309"/>
      <c r="Z952" s="309"/>
      <c r="AA952" s="309"/>
      <c r="AB952" s="309"/>
      <c r="AC952" s="309"/>
      <c r="AD952" s="309"/>
      <c r="AE952" s="309"/>
      <c r="AF952" s="309"/>
      <c r="AG952" s="309"/>
      <c r="AH952" s="309"/>
      <c r="AI952" s="309"/>
      <c r="AJ952" s="309"/>
      <c r="AK952" s="309"/>
      <c r="AL952" s="309"/>
      <c r="AM952" s="309"/>
      <c r="AN952" s="309"/>
      <c r="AO952" s="309"/>
      <c r="AP952" s="309"/>
      <c r="AQ952" s="309"/>
      <c r="AR952" s="309"/>
      <c r="AS952" s="309"/>
      <c r="AT952" s="309"/>
      <c r="AU952" s="309"/>
      <c r="AV952" s="309"/>
      <c r="AW952" s="309"/>
      <c r="AX952" s="309"/>
      <c r="AY952" s="309"/>
      <c r="AZ952" s="309"/>
      <c r="BA952" s="310"/>
      <c r="BB952" s="310"/>
      <c r="BC952" s="310"/>
      <c r="BD952" s="310"/>
      <c r="BE952" s="310"/>
      <c r="BF952" s="310"/>
      <c r="BG952" s="310"/>
      <c r="BH952" s="310"/>
      <c r="BI952" s="310"/>
      <c r="BJ952" s="310"/>
      <c r="BK952" s="310"/>
      <c r="BL952" s="310"/>
      <c r="BM952" s="310"/>
      <c r="BN952" s="221"/>
      <c r="BO952" s="221"/>
      <c r="BP952" s="221"/>
      <c r="BQ952" s="221"/>
      <c r="BR952" s="221"/>
    </row>
    <row r="953" ht="15.75" customHeight="1">
      <c r="A953" s="220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309"/>
      <c r="Y953" s="309"/>
      <c r="Z953" s="309"/>
      <c r="AA953" s="309"/>
      <c r="AB953" s="309"/>
      <c r="AC953" s="309"/>
      <c r="AD953" s="309"/>
      <c r="AE953" s="309"/>
      <c r="AF953" s="309"/>
      <c r="AG953" s="309"/>
      <c r="AH953" s="309"/>
      <c r="AI953" s="309"/>
      <c r="AJ953" s="309"/>
      <c r="AK953" s="309"/>
      <c r="AL953" s="309"/>
      <c r="AM953" s="309"/>
      <c r="AN953" s="309"/>
      <c r="AO953" s="309"/>
      <c r="AP953" s="309"/>
      <c r="AQ953" s="309"/>
      <c r="AR953" s="309"/>
      <c r="AS953" s="309"/>
      <c r="AT953" s="309"/>
      <c r="AU953" s="309"/>
      <c r="AV953" s="309"/>
      <c r="AW953" s="309"/>
      <c r="AX953" s="309"/>
      <c r="AY953" s="309"/>
      <c r="AZ953" s="309"/>
      <c r="BA953" s="310"/>
      <c r="BB953" s="310"/>
      <c r="BC953" s="310"/>
      <c r="BD953" s="310"/>
      <c r="BE953" s="310"/>
      <c r="BF953" s="310"/>
      <c r="BG953" s="310"/>
      <c r="BH953" s="310"/>
      <c r="BI953" s="310"/>
      <c r="BJ953" s="310"/>
      <c r="BK953" s="310"/>
      <c r="BL953" s="310"/>
      <c r="BM953" s="310"/>
      <c r="BN953" s="221"/>
      <c r="BO953" s="221"/>
      <c r="BP953" s="221"/>
      <c r="BQ953" s="221"/>
      <c r="BR953" s="221"/>
    </row>
    <row r="954" ht="15.75" customHeight="1">
      <c r="A954" s="220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309"/>
      <c r="Y954" s="309"/>
      <c r="Z954" s="309"/>
      <c r="AA954" s="309"/>
      <c r="AB954" s="309"/>
      <c r="AC954" s="309"/>
      <c r="AD954" s="309"/>
      <c r="AE954" s="309"/>
      <c r="AF954" s="309"/>
      <c r="AG954" s="309"/>
      <c r="AH954" s="309"/>
      <c r="AI954" s="309"/>
      <c r="AJ954" s="309"/>
      <c r="AK954" s="309"/>
      <c r="AL954" s="309"/>
      <c r="AM954" s="309"/>
      <c r="AN954" s="309"/>
      <c r="AO954" s="309"/>
      <c r="AP954" s="309"/>
      <c r="AQ954" s="309"/>
      <c r="AR954" s="309"/>
      <c r="AS954" s="309"/>
      <c r="AT954" s="309"/>
      <c r="AU954" s="309"/>
      <c r="AV954" s="309"/>
      <c r="AW954" s="309"/>
      <c r="AX954" s="309"/>
      <c r="AY954" s="309"/>
      <c r="AZ954" s="309"/>
      <c r="BA954" s="310"/>
      <c r="BB954" s="310"/>
      <c r="BC954" s="310"/>
      <c r="BD954" s="310"/>
      <c r="BE954" s="310"/>
      <c r="BF954" s="310"/>
      <c r="BG954" s="310"/>
      <c r="BH954" s="310"/>
      <c r="BI954" s="310"/>
      <c r="BJ954" s="310"/>
      <c r="BK954" s="310"/>
      <c r="BL954" s="310"/>
      <c r="BM954" s="310"/>
      <c r="BN954" s="221"/>
      <c r="BO954" s="221"/>
      <c r="BP954" s="221"/>
      <c r="BQ954" s="221"/>
      <c r="BR954" s="221"/>
    </row>
    <row r="955" ht="15.75" customHeight="1">
      <c r="A955" s="220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309"/>
      <c r="Y955" s="309"/>
      <c r="Z955" s="309"/>
      <c r="AA955" s="309"/>
      <c r="AB955" s="309"/>
      <c r="AC955" s="309"/>
      <c r="AD955" s="309"/>
      <c r="AE955" s="309"/>
      <c r="AF955" s="309"/>
      <c r="AG955" s="309"/>
      <c r="AH955" s="309"/>
      <c r="AI955" s="309"/>
      <c r="AJ955" s="309"/>
      <c r="AK955" s="309"/>
      <c r="AL955" s="309"/>
      <c r="AM955" s="309"/>
      <c r="AN955" s="309"/>
      <c r="AO955" s="309"/>
      <c r="AP955" s="309"/>
      <c r="AQ955" s="309"/>
      <c r="AR955" s="309"/>
      <c r="AS955" s="309"/>
      <c r="AT955" s="309"/>
      <c r="AU955" s="309"/>
      <c r="AV955" s="309"/>
      <c r="AW955" s="309"/>
      <c r="AX955" s="309"/>
      <c r="AY955" s="309"/>
      <c r="AZ955" s="309"/>
      <c r="BA955" s="310"/>
      <c r="BB955" s="310"/>
      <c r="BC955" s="310"/>
      <c r="BD955" s="310"/>
      <c r="BE955" s="310"/>
      <c r="BF955" s="310"/>
      <c r="BG955" s="310"/>
      <c r="BH955" s="310"/>
      <c r="BI955" s="310"/>
      <c r="BJ955" s="310"/>
      <c r="BK955" s="310"/>
      <c r="BL955" s="310"/>
      <c r="BM955" s="310"/>
      <c r="BN955" s="221"/>
      <c r="BO955" s="221"/>
      <c r="BP955" s="221"/>
      <c r="BQ955" s="221"/>
      <c r="BR955" s="221"/>
    </row>
    <row r="956" ht="15.75" customHeight="1">
      <c r="A956" s="220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309"/>
      <c r="Y956" s="309"/>
      <c r="Z956" s="309"/>
      <c r="AA956" s="309"/>
      <c r="AB956" s="309"/>
      <c r="AC956" s="309"/>
      <c r="AD956" s="309"/>
      <c r="AE956" s="309"/>
      <c r="AF956" s="309"/>
      <c r="AG956" s="309"/>
      <c r="AH956" s="309"/>
      <c r="AI956" s="309"/>
      <c r="AJ956" s="309"/>
      <c r="AK956" s="309"/>
      <c r="AL956" s="309"/>
      <c r="AM956" s="309"/>
      <c r="AN956" s="309"/>
      <c r="AO956" s="309"/>
      <c r="AP956" s="309"/>
      <c r="AQ956" s="309"/>
      <c r="AR956" s="309"/>
      <c r="AS956" s="309"/>
      <c r="AT956" s="309"/>
      <c r="AU956" s="309"/>
      <c r="AV956" s="309"/>
      <c r="AW956" s="309"/>
      <c r="AX956" s="309"/>
      <c r="AY956" s="309"/>
      <c r="AZ956" s="309"/>
      <c r="BA956" s="310"/>
      <c r="BB956" s="310"/>
      <c r="BC956" s="310"/>
      <c r="BD956" s="310"/>
      <c r="BE956" s="310"/>
      <c r="BF956" s="310"/>
      <c r="BG956" s="310"/>
      <c r="BH956" s="310"/>
      <c r="BI956" s="310"/>
      <c r="BJ956" s="310"/>
      <c r="BK956" s="310"/>
      <c r="BL956" s="310"/>
      <c r="BM956" s="310"/>
      <c r="BN956" s="221"/>
      <c r="BO956" s="221"/>
      <c r="BP956" s="221"/>
      <c r="BQ956" s="221"/>
      <c r="BR956" s="221"/>
    </row>
    <row r="957" ht="15.75" customHeight="1">
      <c r="A957" s="220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309"/>
      <c r="Y957" s="309"/>
      <c r="Z957" s="309"/>
      <c r="AA957" s="309"/>
      <c r="AB957" s="309"/>
      <c r="AC957" s="309"/>
      <c r="AD957" s="309"/>
      <c r="AE957" s="309"/>
      <c r="AF957" s="309"/>
      <c r="AG957" s="309"/>
      <c r="AH957" s="309"/>
      <c r="AI957" s="309"/>
      <c r="AJ957" s="309"/>
      <c r="AK957" s="309"/>
      <c r="AL957" s="309"/>
      <c r="AM957" s="309"/>
      <c r="AN957" s="309"/>
      <c r="AO957" s="309"/>
      <c r="AP957" s="309"/>
      <c r="AQ957" s="309"/>
      <c r="AR957" s="309"/>
      <c r="AS957" s="309"/>
      <c r="AT957" s="309"/>
      <c r="AU957" s="309"/>
      <c r="AV957" s="309"/>
      <c r="AW957" s="309"/>
      <c r="AX957" s="309"/>
      <c r="AY957" s="309"/>
      <c r="AZ957" s="309"/>
      <c r="BA957" s="310"/>
      <c r="BB957" s="310"/>
      <c r="BC957" s="310"/>
      <c r="BD957" s="310"/>
      <c r="BE957" s="310"/>
      <c r="BF957" s="310"/>
      <c r="BG957" s="310"/>
      <c r="BH957" s="310"/>
      <c r="BI957" s="310"/>
      <c r="BJ957" s="310"/>
      <c r="BK957" s="310"/>
      <c r="BL957" s="310"/>
      <c r="BM957" s="310"/>
      <c r="BN957" s="221"/>
      <c r="BO957" s="221"/>
      <c r="BP957" s="221"/>
      <c r="BQ957" s="221"/>
      <c r="BR957" s="221"/>
    </row>
    <row r="958" ht="15.75" customHeight="1">
      <c r="A958" s="220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309"/>
      <c r="Y958" s="309"/>
      <c r="Z958" s="309"/>
      <c r="AA958" s="309"/>
      <c r="AB958" s="309"/>
      <c r="AC958" s="309"/>
      <c r="AD958" s="309"/>
      <c r="AE958" s="309"/>
      <c r="AF958" s="309"/>
      <c r="AG958" s="309"/>
      <c r="AH958" s="309"/>
      <c r="AI958" s="309"/>
      <c r="AJ958" s="309"/>
      <c r="AK958" s="309"/>
      <c r="AL958" s="309"/>
      <c r="AM958" s="309"/>
      <c r="AN958" s="309"/>
      <c r="AO958" s="309"/>
      <c r="AP958" s="309"/>
      <c r="AQ958" s="309"/>
      <c r="AR958" s="309"/>
      <c r="AS958" s="309"/>
      <c r="AT958" s="309"/>
      <c r="AU958" s="309"/>
      <c r="AV958" s="309"/>
      <c r="AW958" s="309"/>
      <c r="AX958" s="309"/>
      <c r="AY958" s="309"/>
      <c r="AZ958" s="309"/>
      <c r="BA958" s="310"/>
      <c r="BB958" s="310"/>
      <c r="BC958" s="310"/>
      <c r="BD958" s="310"/>
      <c r="BE958" s="310"/>
      <c r="BF958" s="310"/>
      <c r="BG958" s="310"/>
      <c r="BH958" s="310"/>
      <c r="BI958" s="310"/>
      <c r="BJ958" s="310"/>
      <c r="BK958" s="310"/>
      <c r="BL958" s="310"/>
      <c r="BM958" s="310"/>
      <c r="BN958" s="221"/>
      <c r="BO958" s="221"/>
      <c r="BP958" s="221"/>
      <c r="BQ958" s="221"/>
      <c r="BR958" s="221"/>
    </row>
    <row r="959" ht="15.75" customHeight="1">
      <c r="A959" s="220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309"/>
      <c r="Y959" s="309"/>
      <c r="Z959" s="309"/>
      <c r="AA959" s="309"/>
      <c r="AB959" s="309"/>
      <c r="AC959" s="309"/>
      <c r="AD959" s="309"/>
      <c r="AE959" s="309"/>
      <c r="AF959" s="309"/>
      <c r="AG959" s="309"/>
      <c r="AH959" s="309"/>
      <c r="AI959" s="309"/>
      <c r="AJ959" s="309"/>
      <c r="AK959" s="309"/>
      <c r="AL959" s="309"/>
      <c r="AM959" s="309"/>
      <c r="AN959" s="309"/>
      <c r="AO959" s="309"/>
      <c r="AP959" s="309"/>
      <c r="AQ959" s="309"/>
      <c r="AR959" s="309"/>
      <c r="AS959" s="309"/>
      <c r="AT959" s="309"/>
      <c r="AU959" s="309"/>
      <c r="AV959" s="309"/>
      <c r="AW959" s="309"/>
      <c r="AX959" s="309"/>
      <c r="AY959" s="309"/>
      <c r="AZ959" s="309"/>
      <c r="BA959" s="310"/>
      <c r="BB959" s="310"/>
      <c r="BC959" s="310"/>
      <c r="BD959" s="310"/>
      <c r="BE959" s="310"/>
      <c r="BF959" s="310"/>
      <c r="BG959" s="310"/>
      <c r="BH959" s="310"/>
      <c r="BI959" s="310"/>
      <c r="BJ959" s="310"/>
      <c r="BK959" s="310"/>
      <c r="BL959" s="310"/>
      <c r="BM959" s="310"/>
      <c r="BN959" s="221"/>
      <c r="BO959" s="221"/>
      <c r="BP959" s="221"/>
      <c r="BQ959" s="221"/>
      <c r="BR959" s="221"/>
    </row>
    <row r="960" ht="15.75" customHeight="1">
      <c r="A960" s="220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309"/>
      <c r="Y960" s="309"/>
      <c r="Z960" s="309"/>
      <c r="AA960" s="309"/>
      <c r="AB960" s="309"/>
      <c r="AC960" s="309"/>
      <c r="AD960" s="309"/>
      <c r="AE960" s="309"/>
      <c r="AF960" s="309"/>
      <c r="AG960" s="309"/>
      <c r="AH960" s="309"/>
      <c r="AI960" s="309"/>
      <c r="AJ960" s="309"/>
      <c r="AK960" s="309"/>
      <c r="AL960" s="309"/>
      <c r="AM960" s="309"/>
      <c r="AN960" s="309"/>
      <c r="AO960" s="309"/>
      <c r="AP960" s="309"/>
      <c r="AQ960" s="309"/>
      <c r="AR960" s="309"/>
      <c r="AS960" s="309"/>
      <c r="AT960" s="309"/>
      <c r="AU960" s="309"/>
      <c r="AV960" s="309"/>
      <c r="AW960" s="309"/>
      <c r="AX960" s="309"/>
      <c r="AY960" s="309"/>
      <c r="AZ960" s="309"/>
      <c r="BA960" s="310"/>
      <c r="BB960" s="310"/>
      <c r="BC960" s="310"/>
      <c r="BD960" s="310"/>
      <c r="BE960" s="310"/>
      <c r="BF960" s="310"/>
      <c r="BG960" s="310"/>
      <c r="BH960" s="310"/>
      <c r="BI960" s="310"/>
      <c r="BJ960" s="310"/>
      <c r="BK960" s="310"/>
      <c r="BL960" s="310"/>
      <c r="BM960" s="310"/>
      <c r="BN960" s="221"/>
      <c r="BO960" s="221"/>
      <c r="BP960" s="221"/>
      <c r="BQ960" s="221"/>
      <c r="BR960" s="221"/>
    </row>
    <row r="961" ht="15.75" customHeight="1">
      <c r="A961" s="220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309"/>
      <c r="Y961" s="309"/>
      <c r="Z961" s="309"/>
      <c r="AA961" s="309"/>
      <c r="AB961" s="309"/>
      <c r="AC961" s="309"/>
      <c r="AD961" s="309"/>
      <c r="AE961" s="309"/>
      <c r="AF961" s="309"/>
      <c r="AG961" s="309"/>
      <c r="AH961" s="309"/>
      <c r="AI961" s="309"/>
      <c r="AJ961" s="309"/>
      <c r="AK961" s="309"/>
      <c r="AL961" s="309"/>
      <c r="AM961" s="309"/>
      <c r="AN961" s="309"/>
      <c r="AO961" s="309"/>
      <c r="AP961" s="309"/>
      <c r="AQ961" s="309"/>
      <c r="AR961" s="309"/>
      <c r="AS961" s="309"/>
      <c r="AT961" s="309"/>
      <c r="AU961" s="309"/>
      <c r="AV961" s="309"/>
      <c r="AW961" s="309"/>
      <c r="AX961" s="309"/>
      <c r="AY961" s="309"/>
      <c r="AZ961" s="309"/>
      <c r="BA961" s="310"/>
      <c r="BB961" s="310"/>
      <c r="BC961" s="310"/>
      <c r="BD961" s="310"/>
      <c r="BE961" s="310"/>
      <c r="BF961" s="310"/>
      <c r="BG961" s="310"/>
      <c r="BH961" s="310"/>
      <c r="BI961" s="310"/>
      <c r="BJ961" s="310"/>
      <c r="BK961" s="310"/>
      <c r="BL961" s="310"/>
      <c r="BM961" s="310"/>
      <c r="BN961" s="221"/>
      <c r="BO961" s="221"/>
      <c r="BP961" s="221"/>
      <c r="BQ961" s="221"/>
      <c r="BR961" s="221"/>
    </row>
    <row r="962" ht="15.75" customHeight="1">
      <c r="A962" s="220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309"/>
      <c r="Y962" s="309"/>
      <c r="Z962" s="309"/>
      <c r="AA962" s="309"/>
      <c r="AB962" s="309"/>
      <c r="AC962" s="309"/>
      <c r="AD962" s="309"/>
      <c r="AE962" s="309"/>
      <c r="AF962" s="309"/>
      <c r="AG962" s="309"/>
      <c r="AH962" s="309"/>
      <c r="AI962" s="309"/>
      <c r="AJ962" s="309"/>
      <c r="AK962" s="309"/>
      <c r="AL962" s="309"/>
      <c r="AM962" s="309"/>
      <c r="AN962" s="309"/>
      <c r="AO962" s="309"/>
      <c r="AP962" s="309"/>
      <c r="AQ962" s="309"/>
      <c r="AR962" s="309"/>
      <c r="AS962" s="309"/>
      <c r="AT962" s="309"/>
      <c r="AU962" s="309"/>
      <c r="AV962" s="309"/>
      <c r="AW962" s="309"/>
      <c r="AX962" s="309"/>
      <c r="AY962" s="309"/>
      <c r="AZ962" s="309"/>
      <c r="BA962" s="310"/>
      <c r="BB962" s="310"/>
      <c r="BC962" s="310"/>
      <c r="BD962" s="310"/>
      <c r="BE962" s="310"/>
      <c r="BF962" s="310"/>
      <c r="BG962" s="310"/>
      <c r="BH962" s="310"/>
      <c r="BI962" s="310"/>
      <c r="BJ962" s="310"/>
      <c r="BK962" s="310"/>
      <c r="BL962" s="310"/>
      <c r="BM962" s="310"/>
      <c r="BN962" s="221"/>
      <c r="BO962" s="221"/>
      <c r="BP962" s="221"/>
      <c r="BQ962" s="221"/>
      <c r="BR962" s="221"/>
    </row>
    <row r="963" ht="15.75" customHeight="1">
      <c r="A963" s="220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309"/>
      <c r="Y963" s="309"/>
      <c r="Z963" s="309"/>
      <c r="AA963" s="309"/>
      <c r="AB963" s="309"/>
      <c r="AC963" s="309"/>
      <c r="AD963" s="309"/>
      <c r="AE963" s="309"/>
      <c r="AF963" s="309"/>
      <c r="AG963" s="309"/>
      <c r="AH963" s="309"/>
      <c r="AI963" s="309"/>
      <c r="AJ963" s="309"/>
      <c r="AK963" s="309"/>
      <c r="AL963" s="309"/>
      <c r="AM963" s="309"/>
      <c r="AN963" s="309"/>
      <c r="AO963" s="309"/>
      <c r="AP963" s="309"/>
      <c r="AQ963" s="309"/>
      <c r="AR963" s="309"/>
      <c r="AS963" s="309"/>
      <c r="AT963" s="309"/>
      <c r="AU963" s="309"/>
      <c r="AV963" s="309"/>
      <c r="AW963" s="309"/>
      <c r="AX963" s="309"/>
      <c r="AY963" s="309"/>
      <c r="AZ963" s="309"/>
      <c r="BA963" s="310"/>
      <c r="BB963" s="310"/>
      <c r="BC963" s="310"/>
      <c r="BD963" s="310"/>
      <c r="BE963" s="310"/>
      <c r="BF963" s="310"/>
      <c r="BG963" s="310"/>
      <c r="BH963" s="310"/>
      <c r="BI963" s="310"/>
      <c r="BJ963" s="310"/>
      <c r="BK963" s="310"/>
      <c r="BL963" s="310"/>
      <c r="BM963" s="310"/>
      <c r="BN963" s="221"/>
      <c r="BO963" s="221"/>
      <c r="BP963" s="221"/>
      <c r="BQ963" s="221"/>
      <c r="BR963" s="221"/>
    </row>
    <row r="964" ht="15.75" customHeight="1">
      <c r="A964" s="220"/>
      <c r="B964" s="220"/>
      <c r="C964" s="220"/>
      <c r="D964" s="220"/>
      <c r="E964" s="220"/>
      <c r="F964" s="220"/>
      <c r="G964" s="220"/>
      <c r="H964" s="220"/>
      <c r="I964" s="220"/>
      <c r="J964" s="220"/>
      <c r="K964" s="220"/>
      <c r="L964" s="220"/>
      <c r="M964" s="220"/>
      <c r="N964" s="220"/>
      <c r="O964" s="220"/>
      <c r="P964" s="220"/>
      <c r="Q964" s="220"/>
      <c r="R964" s="220"/>
      <c r="S964" s="220"/>
      <c r="T964" s="220"/>
      <c r="U964" s="220"/>
      <c r="V964" s="220"/>
      <c r="W964" s="220"/>
      <c r="X964" s="309"/>
      <c r="Y964" s="309"/>
      <c r="Z964" s="309"/>
      <c r="AA964" s="309"/>
      <c r="AB964" s="309"/>
      <c r="AC964" s="309"/>
      <c r="AD964" s="309"/>
      <c r="AE964" s="309"/>
      <c r="AF964" s="309"/>
      <c r="AG964" s="309"/>
      <c r="AH964" s="309"/>
      <c r="AI964" s="309"/>
      <c r="AJ964" s="309"/>
      <c r="AK964" s="309"/>
      <c r="AL964" s="309"/>
      <c r="AM964" s="309"/>
      <c r="AN964" s="309"/>
      <c r="AO964" s="309"/>
      <c r="AP964" s="309"/>
      <c r="AQ964" s="309"/>
      <c r="AR964" s="309"/>
      <c r="AS964" s="309"/>
      <c r="AT964" s="309"/>
      <c r="AU964" s="309"/>
      <c r="AV964" s="309"/>
      <c r="AW964" s="309"/>
      <c r="AX964" s="309"/>
      <c r="AY964" s="309"/>
      <c r="AZ964" s="309"/>
      <c r="BA964" s="310"/>
      <c r="BB964" s="310"/>
      <c r="BC964" s="310"/>
      <c r="BD964" s="310"/>
      <c r="BE964" s="310"/>
      <c r="BF964" s="310"/>
      <c r="BG964" s="310"/>
      <c r="BH964" s="310"/>
      <c r="BI964" s="310"/>
      <c r="BJ964" s="310"/>
      <c r="BK964" s="310"/>
      <c r="BL964" s="310"/>
      <c r="BM964" s="310"/>
      <c r="BN964" s="221"/>
      <c r="BO964" s="221"/>
      <c r="BP964" s="221"/>
      <c r="BQ964" s="221"/>
      <c r="BR964" s="221"/>
    </row>
    <row r="965" ht="15.75" customHeight="1">
      <c r="A965" s="220"/>
      <c r="B965" s="220"/>
      <c r="C965" s="220"/>
      <c r="D965" s="220"/>
      <c r="E965" s="220"/>
      <c r="F965" s="220"/>
      <c r="G965" s="220"/>
      <c r="H965" s="220"/>
      <c r="I965" s="220"/>
      <c r="J965" s="220"/>
      <c r="K965" s="220"/>
      <c r="L965" s="220"/>
      <c r="M965" s="220"/>
      <c r="N965" s="220"/>
      <c r="O965" s="220"/>
      <c r="P965" s="220"/>
      <c r="Q965" s="220"/>
      <c r="R965" s="220"/>
      <c r="S965" s="220"/>
      <c r="T965" s="220"/>
      <c r="U965" s="220"/>
      <c r="V965" s="220"/>
      <c r="W965" s="220"/>
      <c r="X965" s="309"/>
      <c r="Y965" s="309"/>
      <c r="Z965" s="309"/>
      <c r="AA965" s="309"/>
      <c r="AB965" s="309"/>
      <c r="AC965" s="309"/>
      <c r="AD965" s="309"/>
      <c r="AE965" s="309"/>
      <c r="AF965" s="309"/>
      <c r="AG965" s="309"/>
      <c r="AH965" s="309"/>
      <c r="AI965" s="309"/>
      <c r="AJ965" s="309"/>
      <c r="AK965" s="309"/>
      <c r="AL965" s="309"/>
      <c r="AM965" s="309"/>
      <c r="AN965" s="309"/>
      <c r="AO965" s="309"/>
      <c r="AP965" s="309"/>
      <c r="AQ965" s="309"/>
      <c r="AR965" s="309"/>
      <c r="AS965" s="309"/>
      <c r="AT965" s="309"/>
      <c r="AU965" s="309"/>
      <c r="AV965" s="309"/>
      <c r="AW965" s="309"/>
      <c r="AX965" s="309"/>
      <c r="AY965" s="309"/>
      <c r="AZ965" s="309"/>
      <c r="BA965" s="310"/>
      <c r="BB965" s="310"/>
      <c r="BC965" s="310"/>
      <c r="BD965" s="310"/>
      <c r="BE965" s="310"/>
      <c r="BF965" s="310"/>
      <c r="BG965" s="310"/>
      <c r="BH965" s="310"/>
      <c r="BI965" s="310"/>
      <c r="BJ965" s="310"/>
      <c r="BK965" s="310"/>
      <c r="BL965" s="310"/>
      <c r="BM965" s="310"/>
      <c r="BN965" s="221"/>
      <c r="BO965" s="221"/>
      <c r="BP965" s="221"/>
      <c r="BQ965" s="221"/>
      <c r="BR965" s="221"/>
    </row>
    <row r="966" ht="15.75" customHeight="1">
      <c r="A966" s="220"/>
      <c r="B966" s="220"/>
      <c r="C966" s="220"/>
      <c r="D966" s="220"/>
      <c r="E966" s="220"/>
      <c r="F966" s="220"/>
      <c r="G966" s="220"/>
      <c r="H966" s="220"/>
      <c r="I966" s="220"/>
      <c r="J966" s="220"/>
      <c r="K966" s="220"/>
      <c r="L966" s="220"/>
      <c r="M966" s="220"/>
      <c r="N966" s="220"/>
      <c r="O966" s="220"/>
      <c r="P966" s="220"/>
      <c r="Q966" s="220"/>
      <c r="R966" s="220"/>
      <c r="S966" s="220"/>
      <c r="T966" s="220"/>
      <c r="U966" s="220"/>
      <c r="V966" s="220"/>
      <c r="W966" s="220"/>
      <c r="X966" s="309"/>
      <c r="Y966" s="309"/>
      <c r="Z966" s="309"/>
      <c r="AA966" s="309"/>
      <c r="AB966" s="309"/>
      <c r="AC966" s="309"/>
      <c r="AD966" s="309"/>
      <c r="AE966" s="309"/>
      <c r="AF966" s="309"/>
      <c r="AG966" s="309"/>
      <c r="AH966" s="309"/>
      <c r="AI966" s="309"/>
      <c r="AJ966" s="309"/>
      <c r="AK966" s="309"/>
      <c r="AL966" s="309"/>
      <c r="AM966" s="309"/>
      <c r="AN966" s="309"/>
      <c r="AO966" s="309"/>
      <c r="AP966" s="309"/>
      <c r="AQ966" s="309"/>
      <c r="AR966" s="309"/>
      <c r="AS966" s="309"/>
      <c r="AT966" s="309"/>
      <c r="AU966" s="309"/>
      <c r="AV966" s="309"/>
      <c r="AW966" s="309"/>
      <c r="AX966" s="309"/>
      <c r="AY966" s="309"/>
      <c r="AZ966" s="309"/>
      <c r="BA966" s="310"/>
      <c r="BB966" s="310"/>
      <c r="BC966" s="310"/>
      <c r="BD966" s="310"/>
      <c r="BE966" s="310"/>
      <c r="BF966" s="310"/>
      <c r="BG966" s="310"/>
      <c r="BH966" s="310"/>
      <c r="BI966" s="310"/>
      <c r="BJ966" s="310"/>
      <c r="BK966" s="310"/>
      <c r="BL966" s="310"/>
      <c r="BM966" s="310"/>
      <c r="BN966" s="221"/>
      <c r="BO966" s="221"/>
      <c r="BP966" s="221"/>
      <c r="BQ966" s="221"/>
      <c r="BR966" s="221"/>
    </row>
    <row r="967" ht="15.75" customHeight="1">
      <c r="A967" s="220"/>
      <c r="B967" s="220"/>
      <c r="C967" s="220"/>
      <c r="D967" s="220"/>
      <c r="E967" s="220"/>
      <c r="F967" s="220"/>
      <c r="G967" s="220"/>
      <c r="H967" s="220"/>
      <c r="I967" s="220"/>
      <c r="J967" s="220"/>
      <c r="K967" s="220"/>
      <c r="L967" s="220"/>
      <c r="M967" s="220"/>
      <c r="N967" s="220"/>
      <c r="O967" s="220"/>
      <c r="P967" s="220"/>
      <c r="Q967" s="220"/>
      <c r="R967" s="220"/>
      <c r="S967" s="220"/>
      <c r="T967" s="220"/>
      <c r="U967" s="220"/>
      <c r="V967" s="220"/>
      <c r="W967" s="220"/>
      <c r="X967" s="309"/>
      <c r="Y967" s="309"/>
      <c r="Z967" s="309"/>
      <c r="AA967" s="309"/>
      <c r="AB967" s="309"/>
      <c r="AC967" s="309"/>
      <c r="AD967" s="309"/>
      <c r="AE967" s="309"/>
      <c r="AF967" s="309"/>
      <c r="AG967" s="309"/>
      <c r="AH967" s="309"/>
      <c r="AI967" s="309"/>
      <c r="AJ967" s="309"/>
      <c r="AK967" s="309"/>
      <c r="AL967" s="309"/>
      <c r="AM967" s="309"/>
      <c r="AN967" s="309"/>
      <c r="AO967" s="309"/>
      <c r="AP967" s="309"/>
      <c r="AQ967" s="309"/>
      <c r="AR967" s="309"/>
      <c r="AS967" s="309"/>
      <c r="AT967" s="309"/>
      <c r="AU967" s="309"/>
      <c r="AV967" s="309"/>
      <c r="AW967" s="309"/>
      <c r="AX967" s="309"/>
      <c r="AY967" s="309"/>
      <c r="AZ967" s="309"/>
      <c r="BA967" s="310"/>
      <c r="BB967" s="310"/>
      <c r="BC967" s="310"/>
      <c r="BD967" s="310"/>
      <c r="BE967" s="310"/>
      <c r="BF967" s="310"/>
      <c r="BG967" s="310"/>
      <c r="BH967" s="310"/>
      <c r="BI967" s="310"/>
      <c r="BJ967" s="310"/>
      <c r="BK967" s="310"/>
      <c r="BL967" s="310"/>
      <c r="BM967" s="310"/>
      <c r="BN967" s="221"/>
      <c r="BO967" s="221"/>
      <c r="BP967" s="221"/>
      <c r="BQ967" s="221"/>
      <c r="BR967" s="221"/>
    </row>
    <row r="968" ht="15.75" customHeight="1">
      <c r="A968" s="220"/>
      <c r="B968" s="220"/>
      <c r="C968" s="220"/>
      <c r="D968" s="220"/>
      <c r="E968" s="220"/>
      <c r="F968" s="220"/>
      <c r="G968" s="220"/>
      <c r="H968" s="220"/>
      <c r="I968" s="220"/>
      <c r="J968" s="220"/>
      <c r="K968" s="220"/>
      <c r="L968" s="220"/>
      <c r="M968" s="220"/>
      <c r="N968" s="220"/>
      <c r="O968" s="220"/>
      <c r="P968" s="220"/>
      <c r="Q968" s="220"/>
      <c r="R968" s="220"/>
      <c r="S968" s="220"/>
      <c r="T968" s="220"/>
      <c r="U968" s="220"/>
      <c r="V968" s="220"/>
      <c r="W968" s="220"/>
      <c r="X968" s="309"/>
      <c r="Y968" s="309"/>
      <c r="Z968" s="309"/>
      <c r="AA968" s="309"/>
      <c r="AB968" s="309"/>
      <c r="AC968" s="309"/>
      <c r="AD968" s="309"/>
      <c r="AE968" s="309"/>
      <c r="AF968" s="309"/>
      <c r="AG968" s="309"/>
      <c r="AH968" s="309"/>
      <c r="AI968" s="309"/>
      <c r="AJ968" s="309"/>
      <c r="AK968" s="309"/>
      <c r="AL968" s="309"/>
      <c r="AM968" s="309"/>
      <c r="AN968" s="309"/>
      <c r="AO968" s="309"/>
      <c r="AP968" s="309"/>
      <c r="AQ968" s="309"/>
      <c r="AR968" s="309"/>
      <c r="AS968" s="309"/>
      <c r="AT968" s="309"/>
      <c r="AU968" s="309"/>
      <c r="AV968" s="309"/>
      <c r="AW968" s="309"/>
      <c r="AX968" s="309"/>
      <c r="AY968" s="309"/>
      <c r="AZ968" s="309"/>
      <c r="BA968" s="310"/>
      <c r="BB968" s="310"/>
      <c r="BC968" s="310"/>
      <c r="BD968" s="310"/>
      <c r="BE968" s="310"/>
      <c r="BF968" s="310"/>
      <c r="BG968" s="310"/>
      <c r="BH968" s="310"/>
      <c r="BI968" s="310"/>
      <c r="BJ968" s="310"/>
      <c r="BK968" s="310"/>
      <c r="BL968" s="310"/>
      <c r="BM968" s="310"/>
      <c r="BN968" s="221"/>
      <c r="BO968" s="221"/>
      <c r="BP968" s="221"/>
      <c r="BQ968" s="221"/>
      <c r="BR968" s="221"/>
    </row>
    <row r="969" ht="15.75" customHeight="1">
      <c r="A969" s="220"/>
      <c r="B969" s="220"/>
      <c r="C969" s="220"/>
      <c r="D969" s="220"/>
      <c r="E969" s="220"/>
      <c r="F969" s="220"/>
      <c r="G969" s="220"/>
      <c r="H969" s="220"/>
      <c r="I969" s="220"/>
      <c r="J969" s="220"/>
      <c r="K969" s="220"/>
      <c r="L969" s="220"/>
      <c r="M969" s="220"/>
      <c r="N969" s="220"/>
      <c r="O969" s="220"/>
      <c r="P969" s="220"/>
      <c r="Q969" s="220"/>
      <c r="R969" s="220"/>
      <c r="S969" s="220"/>
      <c r="T969" s="220"/>
      <c r="U969" s="220"/>
      <c r="V969" s="220"/>
      <c r="W969" s="220"/>
      <c r="X969" s="309"/>
      <c r="Y969" s="309"/>
      <c r="Z969" s="309"/>
      <c r="AA969" s="309"/>
      <c r="AB969" s="309"/>
      <c r="AC969" s="309"/>
      <c r="AD969" s="309"/>
      <c r="AE969" s="309"/>
      <c r="AF969" s="309"/>
      <c r="AG969" s="309"/>
      <c r="AH969" s="309"/>
      <c r="AI969" s="309"/>
      <c r="AJ969" s="309"/>
      <c r="AK969" s="309"/>
      <c r="AL969" s="309"/>
      <c r="AM969" s="309"/>
      <c r="AN969" s="309"/>
      <c r="AO969" s="309"/>
      <c r="AP969" s="309"/>
      <c r="AQ969" s="309"/>
      <c r="AR969" s="309"/>
      <c r="AS969" s="309"/>
      <c r="AT969" s="309"/>
      <c r="AU969" s="309"/>
      <c r="AV969" s="309"/>
      <c r="AW969" s="309"/>
      <c r="AX969" s="309"/>
      <c r="AY969" s="309"/>
      <c r="AZ969" s="309"/>
      <c r="BA969" s="310"/>
      <c r="BB969" s="310"/>
      <c r="BC969" s="310"/>
      <c r="BD969" s="310"/>
      <c r="BE969" s="310"/>
      <c r="BF969" s="310"/>
      <c r="BG969" s="310"/>
      <c r="BH969" s="310"/>
      <c r="BI969" s="310"/>
      <c r="BJ969" s="310"/>
      <c r="BK969" s="310"/>
      <c r="BL969" s="310"/>
      <c r="BM969" s="310"/>
      <c r="BN969" s="221"/>
      <c r="BO969" s="221"/>
      <c r="BP969" s="221"/>
      <c r="BQ969" s="221"/>
      <c r="BR969" s="221"/>
    </row>
    <row r="970" ht="15.75" customHeight="1">
      <c r="A970" s="220"/>
      <c r="B970" s="220"/>
      <c r="C970" s="220"/>
      <c r="D970" s="220"/>
      <c r="E970" s="220"/>
      <c r="F970" s="220"/>
      <c r="G970" s="220"/>
      <c r="H970" s="220"/>
      <c r="I970" s="220"/>
      <c r="J970" s="220"/>
      <c r="K970" s="220"/>
      <c r="L970" s="220"/>
      <c r="M970" s="220"/>
      <c r="N970" s="220"/>
      <c r="O970" s="220"/>
      <c r="P970" s="220"/>
      <c r="Q970" s="220"/>
      <c r="R970" s="220"/>
      <c r="S970" s="220"/>
      <c r="T970" s="220"/>
      <c r="U970" s="220"/>
      <c r="V970" s="220"/>
      <c r="W970" s="220"/>
      <c r="X970" s="309"/>
      <c r="Y970" s="309"/>
      <c r="Z970" s="309"/>
      <c r="AA970" s="309"/>
      <c r="AB970" s="309"/>
      <c r="AC970" s="309"/>
      <c r="AD970" s="309"/>
      <c r="AE970" s="309"/>
      <c r="AF970" s="309"/>
      <c r="AG970" s="309"/>
      <c r="AH970" s="309"/>
      <c r="AI970" s="309"/>
      <c r="AJ970" s="309"/>
      <c r="AK970" s="309"/>
      <c r="AL970" s="309"/>
      <c r="AM970" s="309"/>
      <c r="AN970" s="309"/>
      <c r="AO970" s="309"/>
      <c r="AP970" s="309"/>
      <c r="AQ970" s="309"/>
      <c r="AR970" s="309"/>
      <c r="AS970" s="309"/>
      <c r="AT970" s="309"/>
      <c r="AU970" s="309"/>
      <c r="AV970" s="309"/>
      <c r="AW970" s="309"/>
      <c r="AX970" s="309"/>
      <c r="AY970" s="309"/>
      <c r="AZ970" s="309"/>
      <c r="BA970" s="310"/>
      <c r="BB970" s="310"/>
      <c r="BC970" s="310"/>
      <c r="BD970" s="310"/>
      <c r="BE970" s="310"/>
      <c r="BF970" s="310"/>
      <c r="BG970" s="310"/>
      <c r="BH970" s="310"/>
      <c r="BI970" s="310"/>
      <c r="BJ970" s="310"/>
      <c r="BK970" s="310"/>
      <c r="BL970" s="310"/>
      <c r="BM970" s="310"/>
      <c r="BN970" s="221"/>
      <c r="BO970" s="221"/>
      <c r="BP970" s="221"/>
      <c r="BQ970" s="221"/>
      <c r="BR970" s="221"/>
    </row>
    <row r="971" ht="15.75" customHeight="1">
      <c r="A971" s="220"/>
      <c r="B971" s="220"/>
      <c r="C971" s="220"/>
      <c r="D971" s="220"/>
      <c r="E971" s="220"/>
      <c r="F971" s="220"/>
      <c r="G971" s="220"/>
      <c r="H971" s="220"/>
      <c r="I971" s="220"/>
      <c r="J971" s="220"/>
      <c r="K971" s="220"/>
      <c r="L971" s="220"/>
      <c r="M971" s="220"/>
      <c r="N971" s="220"/>
      <c r="O971" s="220"/>
      <c r="P971" s="220"/>
      <c r="Q971" s="220"/>
      <c r="R971" s="220"/>
      <c r="S971" s="220"/>
      <c r="T971" s="220"/>
      <c r="U971" s="220"/>
      <c r="V971" s="220"/>
      <c r="W971" s="220"/>
      <c r="X971" s="309"/>
      <c r="Y971" s="309"/>
      <c r="Z971" s="309"/>
      <c r="AA971" s="309"/>
      <c r="AB971" s="309"/>
      <c r="AC971" s="309"/>
      <c r="AD971" s="309"/>
      <c r="AE971" s="309"/>
      <c r="AF971" s="309"/>
      <c r="AG971" s="309"/>
      <c r="AH971" s="309"/>
      <c r="AI971" s="309"/>
      <c r="AJ971" s="309"/>
      <c r="AK971" s="309"/>
      <c r="AL971" s="309"/>
      <c r="AM971" s="309"/>
      <c r="AN971" s="309"/>
      <c r="AO971" s="309"/>
      <c r="AP971" s="309"/>
      <c r="AQ971" s="309"/>
      <c r="AR971" s="309"/>
      <c r="AS971" s="309"/>
      <c r="AT971" s="309"/>
      <c r="AU971" s="309"/>
      <c r="AV971" s="309"/>
      <c r="AW971" s="309"/>
      <c r="AX971" s="309"/>
      <c r="AY971" s="309"/>
      <c r="AZ971" s="309"/>
      <c r="BA971" s="310"/>
      <c r="BB971" s="310"/>
      <c r="BC971" s="310"/>
      <c r="BD971" s="310"/>
      <c r="BE971" s="310"/>
      <c r="BF971" s="310"/>
      <c r="BG971" s="310"/>
      <c r="BH971" s="310"/>
      <c r="BI971" s="310"/>
      <c r="BJ971" s="310"/>
      <c r="BK971" s="310"/>
      <c r="BL971" s="310"/>
      <c r="BM971" s="310"/>
      <c r="BN971" s="221"/>
      <c r="BO971" s="221"/>
      <c r="BP971" s="221"/>
      <c r="BQ971" s="221"/>
      <c r="BR971" s="221"/>
    </row>
    <row r="972" ht="15.75" customHeight="1">
      <c r="A972" s="220"/>
      <c r="B972" s="220"/>
      <c r="C972" s="220"/>
      <c r="D972" s="220"/>
      <c r="E972" s="220"/>
      <c r="F972" s="220"/>
      <c r="G972" s="220"/>
      <c r="H972" s="220"/>
      <c r="I972" s="220"/>
      <c r="J972" s="220"/>
      <c r="K972" s="220"/>
      <c r="L972" s="220"/>
      <c r="M972" s="220"/>
      <c r="N972" s="220"/>
      <c r="O972" s="220"/>
      <c r="P972" s="220"/>
      <c r="Q972" s="220"/>
      <c r="R972" s="220"/>
      <c r="S972" s="220"/>
      <c r="T972" s="220"/>
      <c r="U972" s="220"/>
      <c r="V972" s="220"/>
      <c r="W972" s="220"/>
      <c r="X972" s="309"/>
      <c r="Y972" s="309"/>
      <c r="Z972" s="309"/>
      <c r="AA972" s="309"/>
      <c r="AB972" s="309"/>
      <c r="AC972" s="309"/>
      <c r="AD972" s="309"/>
      <c r="AE972" s="309"/>
      <c r="AF972" s="309"/>
      <c r="AG972" s="309"/>
      <c r="AH972" s="309"/>
      <c r="AI972" s="309"/>
      <c r="AJ972" s="309"/>
      <c r="AK972" s="309"/>
      <c r="AL972" s="309"/>
      <c r="AM972" s="309"/>
      <c r="AN972" s="309"/>
      <c r="AO972" s="309"/>
      <c r="AP972" s="309"/>
      <c r="AQ972" s="309"/>
      <c r="AR972" s="309"/>
      <c r="AS972" s="309"/>
      <c r="AT972" s="309"/>
      <c r="AU972" s="309"/>
      <c r="AV972" s="309"/>
      <c r="AW972" s="309"/>
      <c r="AX972" s="309"/>
      <c r="AY972" s="309"/>
      <c r="AZ972" s="309"/>
      <c r="BA972" s="310"/>
      <c r="BB972" s="310"/>
      <c r="BC972" s="310"/>
      <c r="BD972" s="310"/>
      <c r="BE972" s="310"/>
      <c r="BF972" s="310"/>
      <c r="BG972" s="310"/>
      <c r="BH972" s="310"/>
      <c r="BI972" s="310"/>
      <c r="BJ972" s="310"/>
      <c r="BK972" s="310"/>
      <c r="BL972" s="310"/>
      <c r="BM972" s="310"/>
      <c r="BN972" s="221"/>
      <c r="BO972" s="221"/>
      <c r="BP972" s="221"/>
      <c r="BQ972" s="221"/>
      <c r="BR972" s="221"/>
    </row>
    <row r="973" ht="15.75" customHeight="1">
      <c r="A973" s="220"/>
      <c r="B973" s="220"/>
      <c r="C973" s="220"/>
      <c r="D973" s="220"/>
      <c r="E973" s="220"/>
      <c r="F973" s="220"/>
      <c r="G973" s="220"/>
      <c r="H973" s="220"/>
      <c r="I973" s="220"/>
      <c r="J973" s="220"/>
      <c r="K973" s="220"/>
      <c r="L973" s="220"/>
      <c r="M973" s="220"/>
      <c r="N973" s="220"/>
      <c r="O973" s="220"/>
      <c r="P973" s="220"/>
      <c r="Q973" s="220"/>
      <c r="R973" s="220"/>
      <c r="S973" s="220"/>
      <c r="T973" s="220"/>
      <c r="U973" s="220"/>
      <c r="V973" s="220"/>
      <c r="W973" s="220"/>
      <c r="X973" s="309"/>
      <c r="Y973" s="309"/>
      <c r="Z973" s="309"/>
      <c r="AA973" s="309"/>
      <c r="AB973" s="309"/>
      <c r="AC973" s="309"/>
      <c r="AD973" s="309"/>
      <c r="AE973" s="309"/>
      <c r="AF973" s="309"/>
      <c r="AG973" s="309"/>
      <c r="AH973" s="309"/>
      <c r="AI973" s="309"/>
      <c r="AJ973" s="309"/>
      <c r="AK973" s="309"/>
      <c r="AL973" s="309"/>
      <c r="AM973" s="309"/>
      <c r="AN973" s="309"/>
      <c r="AO973" s="309"/>
      <c r="AP973" s="309"/>
      <c r="AQ973" s="309"/>
      <c r="AR973" s="309"/>
      <c r="AS973" s="309"/>
      <c r="AT973" s="309"/>
      <c r="AU973" s="309"/>
      <c r="AV973" s="309"/>
      <c r="AW973" s="309"/>
      <c r="AX973" s="309"/>
      <c r="AY973" s="309"/>
      <c r="AZ973" s="309"/>
      <c r="BA973" s="310"/>
      <c r="BB973" s="310"/>
      <c r="BC973" s="310"/>
      <c r="BD973" s="310"/>
      <c r="BE973" s="310"/>
      <c r="BF973" s="310"/>
      <c r="BG973" s="310"/>
      <c r="BH973" s="310"/>
      <c r="BI973" s="310"/>
      <c r="BJ973" s="310"/>
      <c r="BK973" s="310"/>
      <c r="BL973" s="310"/>
      <c r="BM973" s="310"/>
      <c r="BN973" s="221"/>
      <c r="BO973" s="221"/>
      <c r="BP973" s="221"/>
      <c r="BQ973" s="221"/>
      <c r="BR973" s="221"/>
    </row>
    <row r="974" ht="15.75" customHeight="1">
      <c r="A974" s="220"/>
      <c r="B974" s="220"/>
      <c r="C974" s="220"/>
      <c r="D974" s="220"/>
      <c r="E974" s="220"/>
      <c r="F974" s="220"/>
      <c r="G974" s="220"/>
      <c r="H974" s="220"/>
      <c r="I974" s="220"/>
      <c r="J974" s="220"/>
      <c r="K974" s="220"/>
      <c r="L974" s="220"/>
      <c r="M974" s="220"/>
      <c r="N974" s="220"/>
      <c r="O974" s="220"/>
      <c r="P974" s="220"/>
      <c r="Q974" s="220"/>
      <c r="R974" s="220"/>
      <c r="S974" s="220"/>
      <c r="T974" s="220"/>
      <c r="U974" s="220"/>
      <c r="V974" s="220"/>
      <c r="W974" s="220"/>
      <c r="X974" s="309"/>
      <c r="Y974" s="309"/>
      <c r="Z974" s="309"/>
      <c r="AA974" s="309"/>
      <c r="AB974" s="309"/>
      <c r="AC974" s="309"/>
      <c r="AD974" s="309"/>
      <c r="AE974" s="309"/>
      <c r="AF974" s="309"/>
      <c r="AG974" s="309"/>
      <c r="AH974" s="309"/>
      <c r="AI974" s="309"/>
      <c r="AJ974" s="309"/>
      <c r="AK974" s="309"/>
      <c r="AL974" s="309"/>
      <c r="AM974" s="309"/>
      <c r="AN974" s="309"/>
      <c r="AO974" s="309"/>
      <c r="AP974" s="309"/>
      <c r="AQ974" s="309"/>
      <c r="AR974" s="309"/>
      <c r="AS974" s="309"/>
      <c r="AT974" s="309"/>
      <c r="AU974" s="309"/>
      <c r="AV974" s="309"/>
      <c r="AW974" s="309"/>
      <c r="AX974" s="309"/>
      <c r="AY974" s="309"/>
      <c r="AZ974" s="309"/>
      <c r="BA974" s="310"/>
      <c r="BB974" s="310"/>
      <c r="BC974" s="310"/>
      <c r="BD974" s="310"/>
      <c r="BE974" s="310"/>
      <c r="BF974" s="310"/>
      <c r="BG974" s="310"/>
      <c r="BH974" s="310"/>
      <c r="BI974" s="310"/>
      <c r="BJ974" s="310"/>
      <c r="BK974" s="310"/>
      <c r="BL974" s="310"/>
      <c r="BM974" s="310"/>
      <c r="BN974" s="221"/>
      <c r="BO974" s="221"/>
      <c r="BP974" s="221"/>
      <c r="BQ974" s="221"/>
      <c r="BR974" s="221"/>
    </row>
    <row r="975" ht="15.75" customHeight="1">
      <c r="A975" s="220"/>
      <c r="B975" s="220"/>
      <c r="C975" s="220"/>
      <c r="D975" s="220"/>
      <c r="E975" s="220"/>
      <c r="F975" s="220"/>
      <c r="G975" s="220"/>
      <c r="H975" s="220"/>
      <c r="I975" s="220"/>
      <c r="J975" s="220"/>
      <c r="K975" s="220"/>
      <c r="L975" s="220"/>
      <c r="M975" s="220"/>
      <c r="N975" s="220"/>
      <c r="O975" s="220"/>
      <c r="P975" s="220"/>
      <c r="Q975" s="220"/>
      <c r="R975" s="220"/>
      <c r="S975" s="220"/>
      <c r="T975" s="220"/>
      <c r="U975" s="220"/>
      <c r="V975" s="220"/>
      <c r="W975" s="220"/>
      <c r="X975" s="309"/>
      <c r="Y975" s="309"/>
      <c r="Z975" s="309"/>
      <c r="AA975" s="309"/>
      <c r="AB975" s="309"/>
      <c r="AC975" s="309"/>
      <c r="AD975" s="309"/>
      <c r="AE975" s="309"/>
      <c r="AF975" s="309"/>
      <c r="AG975" s="309"/>
      <c r="AH975" s="309"/>
      <c r="AI975" s="309"/>
      <c r="AJ975" s="309"/>
      <c r="AK975" s="309"/>
      <c r="AL975" s="309"/>
      <c r="AM975" s="309"/>
      <c r="AN975" s="309"/>
      <c r="AO975" s="309"/>
      <c r="AP975" s="309"/>
      <c r="AQ975" s="309"/>
      <c r="AR975" s="309"/>
      <c r="AS975" s="309"/>
      <c r="AT975" s="309"/>
      <c r="AU975" s="309"/>
      <c r="AV975" s="309"/>
      <c r="AW975" s="309"/>
      <c r="AX975" s="309"/>
      <c r="AY975" s="309"/>
      <c r="AZ975" s="309"/>
      <c r="BA975" s="310"/>
      <c r="BB975" s="310"/>
      <c r="BC975" s="310"/>
      <c r="BD975" s="310"/>
      <c r="BE975" s="310"/>
      <c r="BF975" s="310"/>
      <c r="BG975" s="310"/>
      <c r="BH975" s="310"/>
      <c r="BI975" s="310"/>
      <c r="BJ975" s="310"/>
      <c r="BK975" s="310"/>
      <c r="BL975" s="310"/>
      <c r="BM975" s="310"/>
      <c r="BN975" s="221"/>
      <c r="BO975" s="221"/>
      <c r="BP975" s="221"/>
      <c r="BQ975" s="221"/>
      <c r="BR975" s="221"/>
    </row>
    <row r="976" ht="15.75" customHeight="1">
      <c r="A976" s="220"/>
      <c r="B976" s="220"/>
      <c r="C976" s="220"/>
      <c r="D976" s="220"/>
      <c r="E976" s="220"/>
      <c r="F976" s="220"/>
      <c r="G976" s="220"/>
      <c r="H976" s="220"/>
      <c r="I976" s="220"/>
      <c r="J976" s="220"/>
      <c r="K976" s="220"/>
      <c r="L976" s="220"/>
      <c r="M976" s="220"/>
      <c r="N976" s="220"/>
      <c r="O976" s="220"/>
      <c r="P976" s="220"/>
      <c r="Q976" s="220"/>
      <c r="R976" s="220"/>
      <c r="S976" s="220"/>
      <c r="T976" s="220"/>
      <c r="U976" s="220"/>
      <c r="V976" s="220"/>
      <c r="W976" s="220"/>
      <c r="X976" s="309"/>
      <c r="Y976" s="309"/>
      <c r="Z976" s="309"/>
      <c r="AA976" s="309"/>
      <c r="AB976" s="309"/>
      <c r="AC976" s="309"/>
      <c r="AD976" s="309"/>
      <c r="AE976" s="309"/>
      <c r="AF976" s="309"/>
      <c r="AG976" s="309"/>
      <c r="AH976" s="309"/>
      <c r="AI976" s="309"/>
      <c r="AJ976" s="309"/>
      <c r="AK976" s="309"/>
      <c r="AL976" s="309"/>
      <c r="AM976" s="309"/>
      <c r="AN976" s="309"/>
      <c r="AO976" s="309"/>
      <c r="AP976" s="309"/>
      <c r="AQ976" s="309"/>
      <c r="AR976" s="309"/>
      <c r="AS976" s="309"/>
      <c r="AT976" s="309"/>
      <c r="AU976" s="309"/>
      <c r="AV976" s="309"/>
      <c r="AW976" s="309"/>
      <c r="AX976" s="309"/>
      <c r="AY976" s="309"/>
      <c r="AZ976" s="309"/>
      <c r="BA976" s="310"/>
      <c r="BB976" s="310"/>
      <c r="BC976" s="310"/>
      <c r="BD976" s="310"/>
      <c r="BE976" s="310"/>
      <c r="BF976" s="310"/>
      <c r="BG976" s="310"/>
      <c r="BH976" s="310"/>
      <c r="BI976" s="310"/>
      <c r="BJ976" s="310"/>
      <c r="BK976" s="310"/>
      <c r="BL976" s="310"/>
      <c r="BM976" s="310"/>
      <c r="BN976" s="221"/>
      <c r="BO976" s="221"/>
      <c r="BP976" s="221"/>
      <c r="BQ976" s="221"/>
      <c r="BR976" s="221"/>
    </row>
    <row r="977" ht="15.75" customHeight="1">
      <c r="A977" s="220"/>
      <c r="B977" s="220"/>
      <c r="C977" s="220"/>
      <c r="D977" s="220"/>
      <c r="E977" s="220"/>
      <c r="F977" s="220"/>
      <c r="G977" s="220"/>
      <c r="H977" s="220"/>
      <c r="I977" s="220"/>
      <c r="J977" s="220"/>
      <c r="K977" s="220"/>
      <c r="L977" s="220"/>
      <c r="M977" s="220"/>
      <c r="N977" s="220"/>
      <c r="O977" s="220"/>
      <c r="P977" s="220"/>
      <c r="Q977" s="220"/>
      <c r="R977" s="220"/>
      <c r="S977" s="220"/>
      <c r="T977" s="220"/>
      <c r="U977" s="220"/>
      <c r="V977" s="220"/>
      <c r="W977" s="220"/>
      <c r="X977" s="309"/>
      <c r="Y977" s="309"/>
      <c r="Z977" s="309"/>
      <c r="AA977" s="309"/>
      <c r="AB977" s="309"/>
      <c r="AC977" s="309"/>
      <c r="AD977" s="309"/>
      <c r="AE977" s="309"/>
      <c r="AF977" s="309"/>
      <c r="AG977" s="309"/>
      <c r="AH977" s="309"/>
      <c r="AI977" s="309"/>
      <c r="AJ977" s="309"/>
      <c r="AK977" s="309"/>
      <c r="AL977" s="309"/>
      <c r="AM977" s="309"/>
      <c r="AN977" s="309"/>
      <c r="AO977" s="309"/>
      <c r="AP977" s="309"/>
      <c r="AQ977" s="309"/>
      <c r="AR977" s="309"/>
      <c r="AS977" s="309"/>
      <c r="AT977" s="309"/>
      <c r="AU977" s="309"/>
      <c r="AV977" s="309"/>
      <c r="AW977" s="309"/>
      <c r="AX977" s="309"/>
      <c r="AY977" s="309"/>
      <c r="AZ977" s="309"/>
      <c r="BA977" s="310"/>
      <c r="BB977" s="310"/>
      <c r="BC977" s="310"/>
      <c r="BD977" s="310"/>
      <c r="BE977" s="310"/>
      <c r="BF977" s="310"/>
      <c r="BG977" s="310"/>
      <c r="BH977" s="310"/>
      <c r="BI977" s="310"/>
      <c r="BJ977" s="310"/>
      <c r="BK977" s="310"/>
      <c r="BL977" s="310"/>
      <c r="BM977" s="310"/>
      <c r="BN977" s="221"/>
      <c r="BO977" s="221"/>
      <c r="BP977" s="221"/>
      <c r="BQ977" s="221"/>
      <c r="BR977" s="221"/>
    </row>
    <row r="978" ht="15.75" customHeight="1">
      <c r="A978" s="220"/>
      <c r="B978" s="220"/>
      <c r="C978" s="220"/>
      <c r="D978" s="220"/>
      <c r="E978" s="220"/>
      <c r="F978" s="220"/>
      <c r="G978" s="220"/>
      <c r="H978" s="220"/>
      <c r="I978" s="220"/>
      <c r="J978" s="220"/>
      <c r="K978" s="220"/>
      <c r="L978" s="220"/>
      <c r="M978" s="220"/>
      <c r="N978" s="220"/>
      <c r="O978" s="220"/>
      <c r="P978" s="220"/>
      <c r="Q978" s="220"/>
      <c r="R978" s="220"/>
      <c r="S978" s="220"/>
      <c r="T978" s="220"/>
      <c r="U978" s="220"/>
      <c r="V978" s="220"/>
      <c r="W978" s="220"/>
      <c r="X978" s="309"/>
      <c r="Y978" s="309"/>
      <c r="Z978" s="309"/>
      <c r="AA978" s="309"/>
      <c r="AB978" s="309"/>
      <c r="AC978" s="309"/>
      <c r="AD978" s="309"/>
      <c r="AE978" s="309"/>
      <c r="AF978" s="309"/>
      <c r="AG978" s="309"/>
      <c r="AH978" s="309"/>
      <c r="AI978" s="309"/>
      <c r="AJ978" s="309"/>
      <c r="AK978" s="309"/>
      <c r="AL978" s="309"/>
      <c r="AM978" s="309"/>
      <c r="AN978" s="309"/>
      <c r="AO978" s="309"/>
      <c r="AP978" s="309"/>
      <c r="AQ978" s="309"/>
      <c r="AR978" s="309"/>
      <c r="AS978" s="309"/>
      <c r="AT978" s="309"/>
      <c r="AU978" s="309"/>
      <c r="AV978" s="309"/>
      <c r="AW978" s="309"/>
      <c r="AX978" s="309"/>
      <c r="AY978" s="309"/>
      <c r="AZ978" s="309"/>
      <c r="BA978" s="310"/>
      <c r="BB978" s="310"/>
      <c r="BC978" s="310"/>
      <c r="BD978" s="310"/>
      <c r="BE978" s="310"/>
      <c r="BF978" s="310"/>
      <c r="BG978" s="310"/>
      <c r="BH978" s="310"/>
      <c r="BI978" s="310"/>
      <c r="BJ978" s="310"/>
      <c r="BK978" s="310"/>
      <c r="BL978" s="310"/>
      <c r="BM978" s="310"/>
      <c r="BN978" s="221"/>
      <c r="BO978" s="221"/>
      <c r="BP978" s="221"/>
      <c r="BQ978" s="221"/>
      <c r="BR978" s="221"/>
    </row>
    <row r="979" ht="15.75" customHeight="1">
      <c r="A979" s="220"/>
      <c r="B979" s="220"/>
      <c r="C979" s="220"/>
      <c r="D979" s="220"/>
      <c r="E979" s="220"/>
      <c r="F979" s="220"/>
      <c r="G979" s="220"/>
      <c r="H979" s="220"/>
      <c r="I979" s="220"/>
      <c r="J979" s="220"/>
      <c r="K979" s="220"/>
      <c r="L979" s="220"/>
      <c r="M979" s="220"/>
      <c r="N979" s="220"/>
      <c r="O979" s="220"/>
      <c r="P979" s="220"/>
      <c r="Q979" s="220"/>
      <c r="R979" s="220"/>
      <c r="S979" s="220"/>
      <c r="T979" s="220"/>
      <c r="U979" s="220"/>
      <c r="V979" s="220"/>
      <c r="W979" s="220"/>
      <c r="X979" s="309"/>
      <c r="Y979" s="309"/>
      <c r="Z979" s="309"/>
      <c r="AA979" s="309"/>
      <c r="AB979" s="309"/>
      <c r="AC979" s="309"/>
      <c r="AD979" s="309"/>
      <c r="AE979" s="309"/>
      <c r="AF979" s="309"/>
      <c r="AG979" s="309"/>
      <c r="AH979" s="309"/>
      <c r="AI979" s="309"/>
      <c r="AJ979" s="309"/>
      <c r="AK979" s="309"/>
      <c r="AL979" s="309"/>
      <c r="AM979" s="309"/>
      <c r="AN979" s="309"/>
      <c r="AO979" s="309"/>
      <c r="AP979" s="309"/>
      <c r="AQ979" s="309"/>
      <c r="AR979" s="309"/>
      <c r="AS979" s="309"/>
      <c r="AT979" s="309"/>
      <c r="AU979" s="309"/>
      <c r="AV979" s="309"/>
      <c r="AW979" s="309"/>
      <c r="AX979" s="309"/>
      <c r="AY979" s="309"/>
      <c r="AZ979" s="309"/>
      <c r="BA979" s="310"/>
      <c r="BB979" s="310"/>
      <c r="BC979" s="310"/>
      <c r="BD979" s="310"/>
      <c r="BE979" s="310"/>
      <c r="BF979" s="310"/>
      <c r="BG979" s="310"/>
      <c r="BH979" s="310"/>
      <c r="BI979" s="310"/>
      <c r="BJ979" s="310"/>
      <c r="BK979" s="310"/>
      <c r="BL979" s="310"/>
      <c r="BM979" s="310"/>
      <c r="BN979" s="221"/>
      <c r="BO979" s="221"/>
      <c r="BP979" s="221"/>
      <c r="BQ979" s="221"/>
      <c r="BR979" s="221"/>
    </row>
    <row r="980" ht="15.75" customHeight="1">
      <c r="A980" s="220"/>
      <c r="B980" s="220"/>
      <c r="C980" s="220"/>
      <c r="D980" s="220"/>
      <c r="E980" s="220"/>
      <c r="F980" s="220"/>
      <c r="G980" s="220"/>
      <c r="H980" s="220"/>
      <c r="I980" s="220"/>
      <c r="J980" s="220"/>
      <c r="K980" s="220"/>
      <c r="L980" s="220"/>
      <c r="M980" s="220"/>
      <c r="N980" s="220"/>
      <c r="O980" s="220"/>
      <c r="P980" s="220"/>
      <c r="Q980" s="220"/>
      <c r="R980" s="220"/>
      <c r="S980" s="220"/>
      <c r="T980" s="220"/>
      <c r="U980" s="220"/>
      <c r="V980" s="220"/>
      <c r="W980" s="220"/>
      <c r="X980" s="309"/>
      <c r="Y980" s="309"/>
      <c r="Z980" s="309"/>
      <c r="AA980" s="309"/>
      <c r="AB980" s="309"/>
      <c r="AC980" s="309"/>
      <c r="AD980" s="309"/>
      <c r="AE980" s="309"/>
      <c r="AF980" s="309"/>
      <c r="AG980" s="309"/>
      <c r="AH980" s="309"/>
      <c r="AI980" s="309"/>
      <c r="AJ980" s="309"/>
      <c r="AK980" s="309"/>
      <c r="AL980" s="309"/>
      <c r="AM980" s="309"/>
      <c r="AN980" s="309"/>
      <c r="AO980" s="309"/>
      <c r="AP980" s="309"/>
      <c r="AQ980" s="309"/>
      <c r="AR980" s="309"/>
      <c r="AS980" s="309"/>
      <c r="AT980" s="309"/>
      <c r="AU980" s="309"/>
      <c r="AV980" s="309"/>
      <c r="AW980" s="309"/>
      <c r="AX980" s="309"/>
      <c r="AY980" s="309"/>
      <c r="AZ980" s="309"/>
      <c r="BA980" s="310"/>
      <c r="BB980" s="310"/>
      <c r="BC980" s="310"/>
      <c r="BD980" s="310"/>
      <c r="BE980" s="310"/>
      <c r="BF980" s="310"/>
      <c r="BG980" s="310"/>
      <c r="BH980" s="310"/>
      <c r="BI980" s="310"/>
      <c r="BJ980" s="310"/>
      <c r="BK980" s="310"/>
      <c r="BL980" s="310"/>
      <c r="BM980" s="310"/>
      <c r="BN980" s="221"/>
      <c r="BO980" s="221"/>
      <c r="BP980" s="221"/>
      <c r="BQ980" s="221"/>
      <c r="BR980" s="221"/>
    </row>
    <row r="981" ht="15.75" customHeight="1">
      <c r="A981" s="220"/>
      <c r="B981" s="220"/>
      <c r="C981" s="220"/>
      <c r="D981" s="220"/>
      <c r="E981" s="220"/>
      <c r="F981" s="220"/>
      <c r="G981" s="220"/>
      <c r="H981" s="220"/>
      <c r="I981" s="220"/>
      <c r="J981" s="220"/>
      <c r="K981" s="220"/>
      <c r="L981" s="220"/>
      <c r="M981" s="220"/>
      <c r="N981" s="220"/>
      <c r="O981" s="220"/>
      <c r="P981" s="220"/>
      <c r="Q981" s="220"/>
      <c r="R981" s="220"/>
      <c r="S981" s="220"/>
      <c r="T981" s="220"/>
      <c r="U981" s="220"/>
      <c r="V981" s="220"/>
      <c r="W981" s="220"/>
      <c r="X981" s="309"/>
      <c r="Y981" s="309"/>
      <c r="Z981" s="309"/>
      <c r="AA981" s="309"/>
      <c r="AB981" s="309"/>
      <c r="AC981" s="309"/>
      <c r="AD981" s="309"/>
      <c r="AE981" s="309"/>
      <c r="AF981" s="309"/>
      <c r="AG981" s="309"/>
      <c r="AH981" s="309"/>
      <c r="AI981" s="309"/>
      <c r="AJ981" s="309"/>
      <c r="AK981" s="309"/>
      <c r="AL981" s="309"/>
      <c r="AM981" s="309"/>
      <c r="AN981" s="309"/>
      <c r="AO981" s="309"/>
      <c r="AP981" s="309"/>
      <c r="AQ981" s="309"/>
      <c r="AR981" s="309"/>
      <c r="AS981" s="309"/>
      <c r="AT981" s="309"/>
      <c r="AU981" s="309"/>
      <c r="AV981" s="309"/>
      <c r="AW981" s="309"/>
      <c r="AX981" s="309"/>
      <c r="AY981" s="309"/>
      <c r="AZ981" s="309"/>
      <c r="BA981" s="310"/>
      <c r="BB981" s="310"/>
      <c r="BC981" s="310"/>
      <c r="BD981" s="310"/>
      <c r="BE981" s="310"/>
      <c r="BF981" s="310"/>
      <c r="BG981" s="310"/>
      <c r="BH981" s="310"/>
      <c r="BI981" s="310"/>
      <c r="BJ981" s="310"/>
      <c r="BK981" s="310"/>
      <c r="BL981" s="310"/>
      <c r="BM981" s="310"/>
      <c r="BN981" s="221"/>
      <c r="BO981" s="221"/>
      <c r="BP981" s="221"/>
      <c r="BQ981" s="221"/>
      <c r="BR981" s="221"/>
    </row>
    <row r="982" ht="15.75" customHeight="1">
      <c r="A982" s="220"/>
      <c r="B982" s="220"/>
      <c r="C982" s="220"/>
      <c r="D982" s="220"/>
      <c r="E982" s="220"/>
      <c r="F982" s="220"/>
      <c r="G982" s="220"/>
      <c r="H982" s="220"/>
      <c r="I982" s="220"/>
      <c r="J982" s="220"/>
      <c r="K982" s="220"/>
      <c r="L982" s="220"/>
      <c r="M982" s="220"/>
      <c r="N982" s="220"/>
      <c r="O982" s="220"/>
      <c r="P982" s="220"/>
      <c r="Q982" s="220"/>
      <c r="R982" s="220"/>
      <c r="S982" s="220"/>
      <c r="T982" s="220"/>
      <c r="U982" s="220"/>
      <c r="V982" s="220"/>
      <c r="W982" s="220"/>
      <c r="X982" s="309"/>
      <c r="Y982" s="309"/>
      <c r="Z982" s="309"/>
      <c r="AA982" s="309"/>
      <c r="AB982" s="309"/>
      <c r="AC982" s="309"/>
      <c r="AD982" s="309"/>
      <c r="AE982" s="309"/>
      <c r="AF982" s="309"/>
      <c r="AG982" s="309"/>
      <c r="AH982" s="309"/>
      <c r="AI982" s="309"/>
      <c r="AJ982" s="309"/>
      <c r="AK982" s="309"/>
      <c r="AL982" s="309"/>
      <c r="AM982" s="309"/>
      <c r="AN982" s="309"/>
      <c r="AO982" s="309"/>
      <c r="AP982" s="309"/>
      <c r="AQ982" s="309"/>
      <c r="AR982" s="309"/>
      <c r="AS982" s="309"/>
      <c r="AT982" s="309"/>
      <c r="AU982" s="309"/>
      <c r="AV982" s="309"/>
      <c r="AW982" s="309"/>
      <c r="AX982" s="309"/>
      <c r="AY982" s="309"/>
      <c r="AZ982" s="309"/>
      <c r="BA982" s="310"/>
      <c r="BB982" s="310"/>
      <c r="BC982" s="310"/>
      <c r="BD982" s="310"/>
      <c r="BE982" s="310"/>
      <c r="BF982" s="310"/>
      <c r="BG982" s="310"/>
      <c r="BH982" s="310"/>
      <c r="BI982" s="310"/>
      <c r="BJ982" s="310"/>
      <c r="BK982" s="310"/>
      <c r="BL982" s="310"/>
      <c r="BM982" s="310"/>
      <c r="BN982" s="221"/>
      <c r="BO982" s="221"/>
      <c r="BP982" s="221"/>
      <c r="BQ982" s="221"/>
      <c r="BR982" s="221"/>
    </row>
    <row r="983" ht="15.75" customHeight="1">
      <c r="A983" s="220"/>
      <c r="B983" s="220"/>
      <c r="C983" s="220"/>
      <c r="D983" s="220"/>
      <c r="E983" s="220"/>
      <c r="F983" s="220"/>
      <c r="G983" s="220"/>
      <c r="H983" s="220"/>
      <c r="I983" s="220"/>
      <c r="J983" s="220"/>
      <c r="K983" s="220"/>
      <c r="L983" s="220"/>
      <c r="M983" s="220"/>
      <c r="N983" s="220"/>
      <c r="O983" s="220"/>
      <c r="P983" s="220"/>
      <c r="Q983" s="220"/>
      <c r="R983" s="220"/>
      <c r="S983" s="220"/>
      <c r="T983" s="220"/>
      <c r="U983" s="220"/>
      <c r="V983" s="220"/>
      <c r="W983" s="220"/>
      <c r="X983" s="309"/>
      <c r="Y983" s="309"/>
      <c r="Z983" s="309"/>
      <c r="AA983" s="309"/>
      <c r="AB983" s="309"/>
      <c r="AC983" s="309"/>
      <c r="AD983" s="309"/>
      <c r="AE983" s="309"/>
      <c r="AF983" s="309"/>
      <c r="AG983" s="309"/>
      <c r="AH983" s="309"/>
      <c r="AI983" s="309"/>
      <c r="AJ983" s="309"/>
      <c r="AK983" s="309"/>
      <c r="AL983" s="309"/>
      <c r="AM983" s="309"/>
      <c r="AN983" s="309"/>
      <c r="AO983" s="309"/>
      <c r="AP983" s="309"/>
      <c r="AQ983" s="309"/>
      <c r="AR983" s="309"/>
      <c r="AS983" s="309"/>
      <c r="AT983" s="309"/>
      <c r="AU983" s="309"/>
      <c r="AV983" s="309"/>
      <c r="AW983" s="309"/>
      <c r="AX983" s="309"/>
      <c r="AY983" s="309"/>
      <c r="AZ983" s="309"/>
      <c r="BA983" s="310"/>
      <c r="BB983" s="310"/>
      <c r="BC983" s="310"/>
      <c r="BD983" s="310"/>
      <c r="BE983" s="310"/>
      <c r="BF983" s="310"/>
      <c r="BG983" s="310"/>
      <c r="BH983" s="310"/>
      <c r="BI983" s="310"/>
      <c r="BJ983" s="310"/>
      <c r="BK983" s="310"/>
      <c r="BL983" s="310"/>
      <c r="BM983" s="310"/>
      <c r="BN983" s="221"/>
      <c r="BO983" s="221"/>
      <c r="BP983" s="221"/>
      <c r="BQ983" s="221"/>
      <c r="BR983" s="221"/>
    </row>
    <row r="984" ht="15.75" customHeight="1">
      <c r="A984" s="220"/>
      <c r="B984" s="220"/>
      <c r="C984" s="220"/>
      <c r="D984" s="220"/>
      <c r="E984" s="220"/>
      <c r="F984" s="220"/>
      <c r="G984" s="220"/>
      <c r="H984" s="220"/>
      <c r="I984" s="220"/>
      <c r="J984" s="220"/>
      <c r="K984" s="220"/>
      <c r="L984" s="220"/>
      <c r="M984" s="220"/>
      <c r="N984" s="220"/>
      <c r="O984" s="220"/>
      <c r="P984" s="220"/>
      <c r="Q984" s="220"/>
      <c r="R984" s="220"/>
      <c r="S984" s="220"/>
      <c r="T984" s="220"/>
      <c r="U984" s="220"/>
      <c r="V984" s="220"/>
      <c r="W984" s="220"/>
      <c r="X984" s="309"/>
      <c r="Y984" s="309"/>
      <c r="Z984" s="309"/>
      <c r="AA984" s="309"/>
      <c r="AB984" s="309"/>
      <c r="AC984" s="309"/>
      <c r="AD984" s="309"/>
      <c r="AE984" s="309"/>
      <c r="AF984" s="309"/>
      <c r="AG984" s="309"/>
      <c r="AH984" s="309"/>
      <c r="AI984" s="309"/>
      <c r="AJ984" s="309"/>
      <c r="AK984" s="309"/>
      <c r="AL984" s="309"/>
      <c r="AM984" s="309"/>
      <c r="AN984" s="309"/>
      <c r="AO984" s="309"/>
      <c r="AP984" s="309"/>
      <c r="AQ984" s="309"/>
      <c r="AR984" s="309"/>
      <c r="AS984" s="309"/>
      <c r="AT984" s="309"/>
      <c r="AU984" s="309"/>
      <c r="AV984" s="309"/>
      <c r="AW984" s="309"/>
      <c r="AX984" s="309"/>
      <c r="AY984" s="309"/>
      <c r="AZ984" s="309"/>
      <c r="BA984" s="310"/>
      <c r="BB984" s="310"/>
      <c r="BC984" s="310"/>
      <c r="BD984" s="310"/>
      <c r="BE984" s="310"/>
      <c r="BF984" s="310"/>
      <c r="BG984" s="310"/>
      <c r="BH984" s="310"/>
      <c r="BI984" s="310"/>
      <c r="BJ984" s="310"/>
      <c r="BK984" s="310"/>
      <c r="BL984" s="310"/>
      <c r="BM984" s="310"/>
      <c r="BN984" s="221"/>
      <c r="BO984" s="221"/>
      <c r="BP984" s="221"/>
      <c r="BQ984" s="221"/>
      <c r="BR984" s="221"/>
    </row>
    <row r="985" ht="15.75" customHeight="1">
      <c r="A985" s="220"/>
      <c r="B985" s="220"/>
      <c r="C985" s="220"/>
      <c r="D985" s="220"/>
      <c r="E985" s="220"/>
      <c r="F985" s="220"/>
      <c r="G985" s="220"/>
      <c r="H985" s="220"/>
      <c r="I985" s="220"/>
      <c r="J985" s="220"/>
      <c r="K985" s="220"/>
      <c r="L985" s="220"/>
      <c r="M985" s="220"/>
      <c r="N985" s="220"/>
      <c r="O985" s="220"/>
      <c r="P985" s="220"/>
      <c r="Q985" s="220"/>
      <c r="R985" s="220"/>
      <c r="S985" s="220"/>
      <c r="T985" s="220"/>
      <c r="U985" s="220"/>
      <c r="V985" s="220"/>
      <c r="W985" s="220"/>
      <c r="X985" s="309"/>
      <c r="Y985" s="309"/>
      <c r="Z985" s="309"/>
      <c r="AA985" s="309"/>
      <c r="AB985" s="309"/>
      <c r="AC985" s="309"/>
      <c r="AD985" s="309"/>
      <c r="AE985" s="309"/>
      <c r="AF985" s="309"/>
      <c r="AG985" s="309"/>
      <c r="AH985" s="309"/>
      <c r="AI985" s="309"/>
      <c r="AJ985" s="309"/>
      <c r="AK985" s="309"/>
      <c r="AL985" s="309"/>
      <c r="AM985" s="309"/>
      <c r="AN985" s="309"/>
      <c r="AO985" s="309"/>
      <c r="AP985" s="309"/>
      <c r="AQ985" s="309"/>
      <c r="AR985" s="309"/>
      <c r="AS985" s="309"/>
      <c r="AT985" s="309"/>
      <c r="AU985" s="309"/>
      <c r="AV985" s="309"/>
      <c r="AW985" s="309"/>
      <c r="AX985" s="309"/>
      <c r="AY985" s="309"/>
      <c r="AZ985" s="309"/>
      <c r="BA985" s="310"/>
      <c r="BB985" s="310"/>
      <c r="BC985" s="310"/>
      <c r="BD985" s="310"/>
      <c r="BE985" s="310"/>
      <c r="BF985" s="310"/>
      <c r="BG985" s="310"/>
      <c r="BH985" s="310"/>
      <c r="BI985" s="310"/>
      <c r="BJ985" s="310"/>
      <c r="BK985" s="310"/>
      <c r="BL985" s="310"/>
      <c r="BM985" s="310"/>
      <c r="BN985" s="221"/>
      <c r="BO985" s="221"/>
      <c r="BP985" s="221"/>
      <c r="BQ985" s="221"/>
      <c r="BR985" s="221"/>
    </row>
    <row r="986" ht="15.75" customHeight="1">
      <c r="A986" s="220"/>
      <c r="B986" s="220"/>
      <c r="C986" s="220"/>
      <c r="D986" s="220"/>
      <c r="E986" s="220"/>
      <c r="F986" s="220"/>
      <c r="G986" s="220"/>
      <c r="H986" s="220"/>
      <c r="I986" s="220"/>
      <c r="J986" s="220"/>
      <c r="K986" s="220"/>
      <c r="L986" s="220"/>
      <c r="M986" s="220"/>
      <c r="N986" s="220"/>
      <c r="O986" s="220"/>
      <c r="P986" s="220"/>
      <c r="Q986" s="220"/>
      <c r="R986" s="220"/>
      <c r="S986" s="220"/>
      <c r="T986" s="220"/>
      <c r="U986" s="220"/>
      <c r="V986" s="220"/>
      <c r="W986" s="220"/>
      <c r="X986" s="309"/>
      <c r="Y986" s="309"/>
      <c r="Z986" s="309"/>
      <c r="AA986" s="309"/>
      <c r="AB986" s="309"/>
      <c r="AC986" s="309"/>
      <c r="AD986" s="309"/>
      <c r="AE986" s="309"/>
      <c r="AF986" s="309"/>
      <c r="AG986" s="309"/>
      <c r="AH986" s="309"/>
      <c r="AI986" s="309"/>
      <c r="AJ986" s="309"/>
      <c r="AK986" s="309"/>
      <c r="AL986" s="309"/>
      <c r="AM986" s="309"/>
      <c r="AN986" s="309"/>
      <c r="AO986" s="309"/>
      <c r="AP986" s="309"/>
      <c r="AQ986" s="309"/>
      <c r="AR986" s="309"/>
      <c r="AS986" s="309"/>
      <c r="AT986" s="309"/>
      <c r="AU986" s="309"/>
      <c r="AV986" s="309"/>
      <c r="AW986" s="309"/>
      <c r="AX986" s="309"/>
      <c r="AY986" s="309"/>
      <c r="AZ986" s="309"/>
      <c r="BA986" s="310"/>
      <c r="BB986" s="310"/>
      <c r="BC986" s="310"/>
      <c r="BD986" s="310"/>
      <c r="BE986" s="310"/>
      <c r="BF986" s="310"/>
      <c r="BG986" s="310"/>
      <c r="BH986" s="310"/>
      <c r="BI986" s="310"/>
      <c r="BJ986" s="310"/>
      <c r="BK986" s="310"/>
      <c r="BL986" s="310"/>
      <c r="BM986" s="310"/>
      <c r="BN986" s="221"/>
      <c r="BO986" s="221"/>
      <c r="BP986" s="221"/>
      <c r="BQ986" s="221"/>
      <c r="BR986" s="221"/>
    </row>
    <row r="987" ht="15.75" customHeight="1">
      <c r="A987" s="220"/>
      <c r="B987" s="220"/>
      <c r="C987" s="220"/>
      <c r="D987" s="220"/>
      <c r="E987" s="220"/>
      <c r="F987" s="220"/>
      <c r="G987" s="220"/>
      <c r="H987" s="220"/>
      <c r="I987" s="220"/>
      <c r="J987" s="220"/>
      <c r="K987" s="220"/>
      <c r="L987" s="220"/>
      <c r="M987" s="220"/>
      <c r="N987" s="220"/>
      <c r="O987" s="220"/>
      <c r="P987" s="220"/>
      <c r="Q987" s="220"/>
      <c r="R987" s="220"/>
      <c r="S987" s="220"/>
      <c r="T987" s="220"/>
      <c r="U987" s="220"/>
      <c r="V987" s="220"/>
      <c r="W987" s="220"/>
      <c r="X987" s="309"/>
      <c r="Y987" s="309"/>
      <c r="Z987" s="309"/>
      <c r="AA987" s="309"/>
      <c r="AB987" s="309"/>
      <c r="AC987" s="309"/>
      <c r="AD987" s="309"/>
      <c r="AE987" s="309"/>
      <c r="AF987" s="309"/>
      <c r="AG987" s="309"/>
      <c r="AH987" s="309"/>
      <c r="AI987" s="309"/>
      <c r="AJ987" s="309"/>
      <c r="AK987" s="309"/>
      <c r="AL987" s="309"/>
      <c r="AM987" s="309"/>
      <c r="AN987" s="309"/>
      <c r="AO987" s="309"/>
      <c r="AP987" s="309"/>
      <c r="AQ987" s="309"/>
      <c r="AR987" s="309"/>
      <c r="AS987" s="309"/>
      <c r="AT987" s="309"/>
      <c r="AU987" s="309"/>
      <c r="AV987" s="309"/>
      <c r="AW987" s="309"/>
      <c r="AX987" s="309"/>
      <c r="AY987" s="309"/>
      <c r="AZ987" s="309"/>
      <c r="BA987" s="310"/>
      <c r="BB987" s="310"/>
      <c r="BC987" s="310"/>
      <c r="BD987" s="310"/>
      <c r="BE987" s="310"/>
      <c r="BF987" s="310"/>
      <c r="BG987" s="310"/>
      <c r="BH987" s="310"/>
      <c r="BI987" s="310"/>
      <c r="BJ987" s="310"/>
      <c r="BK987" s="310"/>
      <c r="BL987" s="310"/>
      <c r="BM987" s="310"/>
      <c r="BN987" s="221"/>
      <c r="BO987" s="221"/>
      <c r="BP987" s="221"/>
      <c r="BQ987" s="221"/>
      <c r="BR987" s="221"/>
    </row>
    <row r="988" ht="15.75" customHeight="1">
      <c r="A988" s="220"/>
      <c r="B988" s="220"/>
      <c r="C988" s="220"/>
      <c r="D988" s="220"/>
      <c r="E988" s="220"/>
      <c r="F988" s="220"/>
      <c r="G988" s="220"/>
      <c r="H988" s="220"/>
      <c r="I988" s="220"/>
      <c r="J988" s="220"/>
      <c r="K988" s="220"/>
      <c r="L988" s="220"/>
      <c r="M988" s="220"/>
      <c r="N988" s="220"/>
      <c r="O988" s="220"/>
      <c r="P988" s="220"/>
      <c r="Q988" s="220"/>
      <c r="R988" s="220"/>
      <c r="S988" s="220"/>
      <c r="T988" s="220"/>
      <c r="U988" s="220"/>
      <c r="V988" s="220"/>
      <c r="W988" s="220"/>
      <c r="X988" s="309"/>
      <c r="Y988" s="309"/>
      <c r="Z988" s="309"/>
      <c r="AA988" s="309"/>
      <c r="AB988" s="309"/>
      <c r="AC988" s="309"/>
      <c r="AD988" s="309"/>
      <c r="AE988" s="309"/>
      <c r="AF988" s="309"/>
      <c r="AG988" s="309"/>
      <c r="AH988" s="309"/>
      <c r="AI988" s="309"/>
      <c r="AJ988" s="309"/>
      <c r="AK988" s="309"/>
      <c r="AL988" s="309"/>
      <c r="AM988" s="309"/>
      <c r="AN988" s="309"/>
      <c r="AO988" s="309"/>
      <c r="AP988" s="309"/>
      <c r="AQ988" s="309"/>
      <c r="AR988" s="309"/>
      <c r="AS988" s="309"/>
      <c r="AT988" s="309"/>
      <c r="AU988" s="309"/>
      <c r="AV988" s="309"/>
      <c r="AW988" s="309"/>
      <c r="AX988" s="309"/>
      <c r="AY988" s="309"/>
      <c r="AZ988" s="309"/>
      <c r="BA988" s="310"/>
      <c r="BB988" s="310"/>
      <c r="BC988" s="310"/>
      <c r="BD988" s="310"/>
      <c r="BE988" s="310"/>
      <c r="BF988" s="310"/>
      <c r="BG988" s="310"/>
      <c r="BH988" s="310"/>
      <c r="BI988" s="310"/>
      <c r="BJ988" s="310"/>
      <c r="BK988" s="310"/>
      <c r="BL988" s="310"/>
      <c r="BM988" s="310"/>
      <c r="BN988" s="221"/>
      <c r="BO988" s="221"/>
      <c r="BP988" s="221"/>
      <c r="BQ988" s="221"/>
      <c r="BR988" s="221"/>
    </row>
    <row r="989" ht="15.75" customHeight="1">
      <c r="A989" s="220"/>
      <c r="B989" s="220"/>
      <c r="C989" s="220"/>
      <c r="D989" s="220"/>
      <c r="E989" s="220"/>
      <c r="F989" s="220"/>
      <c r="G989" s="220"/>
      <c r="H989" s="220"/>
      <c r="I989" s="220"/>
      <c r="J989" s="220"/>
      <c r="K989" s="220"/>
      <c r="L989" s="220"/>
      <c r="M989" s="220"/>
      <c r="N989" s="220"/>
      <c r="O989" s="220"/>
      <c r="P989" s="220"/>
      <c r="Q989" s="220"/>
      <c r="R989" s="220"/>
      <c r="S989" s="220"/>
      <c r="T989" s="220"/>
      <c r="U989" s="220"/>
      <c r="V989" s="220"/>
      <c r="W989" s="220"/>
      <c r="X989" s="309"/>
      <c r="Y989" s="309"/>
      <c r="Z989" s="309"/>
      <c r="AA989" s="309"/>
      <c r="AB989" s="309"/>
      <c r="AC989" s="309"/>
      <c r="AD989" s="309"/>
      <c r="AE989" s="309"/>
      <c r="AF989" s="309"/>
      <c r="AG989" s="309"/>
      <c r="AH989" s="309"/>
      <c r="AI989" s="309"/>
      <c r="AJ989" s="309"/>
      <c r="AK989" s="309"/>
      <c r="AL989" s="309"/>
      <c r="AM989" s="309"/>
      <c r="AN989" s="309"/>
      <c r="AO989" s="309"/>
      <c r="AP989" s="309"/>
      <c r="AQ989" s="309"/>
      <c r="AR989" s="309"/>
      <c r="AS989" s="309"/>
      <c r="AT989" s="309"/>
      <c r="AU989" s="309"/>
      <c r="AV989" s="309"/>
      <c r="AW989" s="309"/>
      <c r="AX989" s="309"/>
      <c r="AY989" s="309"/>
      <c r="AZ989" s="309"/>
      <c r="BA989" s="310"/>
      <c r="BB989" s="310"/>
      <c r="BC989" s="310"/>
      <c r="BD989" s="310"/>
      <c r="BE989" s="310"/>
      <c r="BF989" s="310"/>
      <c r="BG989" s="310"/>
      <c r="BH989" s="310"/>
      <c r="BI989" s="310"/>
      <c r="BJ989" s="310"/>
      <c r="BK989" s="310"/>
      <c r="BL989" s="310"/>
      <c r="BM989" s="310"/>
      <c r="BN989" s="221"/>
      <c r="BO989" s="221"/>
      <c r="BP989" s="221"/>
      <c r="BQ989" s="221"/>
      <c r="BR989" s="221"/>
    </row>
    <row r="990" ht="15.75" customHeight="1">
      <c r="A990" s="220"/>
      <c r="B990" s="220"/>
      <c r="C990" s="220"/>
      <c r="D990" s="220"/>
      <c r="E990" s="220"/>
      <c r="F990" s="220"/>
      <c r="G990" s="220"/>
      <c r="H990" s="220"/>
      <c r="I990" s="220"/>
      <c r="J990" s="220"/>
      <c r="K990" s="220"/>
      <c r="L990" s="220"/>
      <c r="M990" s="220"/>
      <c r="N990" s="220"/>
      <c r="O990" s="220"/>
      <c r="P990" s="220"/>
      <c r="Q990" s="220"/>
      <c r="R990" s="220"/>
      <c r="S990" s="220"/>
      <c r="T990" s="220"/>
      <c r="U990" s="220"/>
      <c r="V990" s="220"/>
      <c r="W990" s="220"/>
      <c r="X990" s="309"/>
      <c r="Y990" s="309"/>
      <c r="Z990" s="309"/>
      <c r="AA990" s="309"/>
      <c r="AB990" s="309"/>
      <c r="AC990" s="309"/>
      <c r="AD990" s="309"/>
      <c r="AE990" s="309"/>
      <c r="AF990" s="309"/>
      <c r="AG990" s="309"/>
      <c r="AH990" s="309"/>
      <c r="AI990" s="309"/>
      <c r="AJ990" s="309"/>
      <c r="AK990" s="309"/>
      <c r="AL990" s="309"/>
      <c r="AM990" s="309"/>
      <c r="AN990" s="309"/>
      <c r="AO990" s="309"/>
      <c r="AP990" s="309"/>
      <c r="AQ990" s="309"/>
      <c r="AR990" s="309"/>
      <c r="AS990" s="309"/>
      <c r="AT990" s="309"/>
      <c r="AU990" s="309"/>
      <c r="AV990" s="309"/>
      <c r="AW990" s="309"/>
      <c r="AX990" s="309"/>
      <c r="AY990" s="309"/>
      <c r="AZ990" s="309"/>
      <c r="BA990" s="310"/>
      <c r="BB990" s="310"/>
      <c r="BC990" s="310"/>
      <c r="BD990" s="310"/>
      <c r="BE990" s="310"/>
      <c r="BF990" s="310"/>
      <c r="BG990" s="310"/>
      <c r="BH990" s="310"/>
      <c r="BI990" s="310"/>
      <c r="BJ990" s="310"/>
      <c r="BK990" s="310"/>
      <c r="BL990" s="310"/>
      <c r="BM990" s="310"/>
      <c r="BN990" s="221"/>
      <c r="BO990" s="221"/>
      <c r="BP990" s="221"/>
      <c r="BQ990" s="221"/>
      <c r="BR990" s="221"/>
    </row>
    <row r="991" ht="15.75" customHeight="1">
      <c r="A991" s="220"/>
      <c r="B991" s="220"/>
      <c r="C991" s="220"/>
      <c r="D991" s="220"/>
      <c r="E991" s="220"/>
      <c r="F991" s="220"/>
      <c r="G991" s="220"/>
      <c r="H991" s="220"/>
      <c r="I991" s="220"/>
      <c r="J991" s="220"/>
      <c r="K991" s="220"/>
      <c r="L991" s="220"/>
      <c r="M991" s="220"/>
      <c r="N991" s="220"/>
      <c r="O991" s="220"/>
      <c r="P991" s="220"/>
      <c r="Q991" s="220"/>
      <c r="R991" s="220"/>
      <c r="S991" s="220"/>
      <c r="T991" s="220"/>
      <c r="U991" s="220"/>
      <c r="V991" s="220"/>
      <c r="W991" s="220"/>
      <c r="X991" s="309"/>
      <c r="Y991" s="309"/>
      <c r="Z991" s="309"/>
      <c r="AA991" s="309"/>
      <c r="AB991" s="309"/>
      <c r="AC991" s="309"/>
      <c r="AD991" s="309"/>
      <c r="AE991" s="309"/>
      <c r="AF991" s="309"/>
      <c r="AG991" s="309"/>
      <c r="AH991" s="309"/>
      <c r="AI991" s="309"/>
      <c r="AJ991" s="309"/>
      <c r="AK991" s="309"/>
      <c r="AL991" s="309"/>
      <c r="AM991" s="309"/>
      <c r="AN991" s="309"/>
      <c r="AO991" s="309"/>
      <c r="AP991" s="309"/>
      <c r="AQ991" s="309"/>
      <c r="AR991" s="309"/>
      <c r="AS991" s="309"/>
      <c r="AT991" s="309"/>
      <c r="AU991" s="309"/>
      <c r="AV991" s="309"/>
      <c r="AW991" s="309"/>
      <c r="AX991" s="309"/>
      <c r="AY991" s="309"/>
      <c r="AZ991" s="309"/>
      <c r="BA991" s="310"/>
      <c r="BB991" s="310"/>
      <c r="BC991" s="310"/>
      <c r="BD991" s="310"/>
      <c r="BE991" s="310"/>
      <c r="BF991" s="310"/>
      <c r="BG991" s="310"/>
      <c r="BH991" s="310"/>
      <c r="BI991" s="310"/>
      <c r="BJ991" s="310"/>
      <c r="BK991" s="310"/>
      <c r="BL991" s="310"/>
      <c r="BM991" s="310"/>
      <c r="BN991" s="221"/>
      <c r="BO991" s="221"/>
      <c r="BP991" s="221"/>
      <c r="BQ991" s="221"/>
      <c r="BR991" s="221"/>
    </row>
    <row r="992" ht="15.75" customHeight="1">
      <c r="A992" s="220"/>
      <c r="B992" s="220"/>
      <c r="C992" s="220"/>
      <c r="D992" s="220"/>
      <c r="E992" s="220"/>
      <c r="F992" s="220"/>
      <c r="G992" s="220"/>
      <c r="H992" s="220"/>
      <c r="I992" s="220"/>
      <c r="J992" s="220"/>
      <c r="K992" s="220"/>
      <c r="L992" s="220"/>
      <c r="M992" s="220"/>
      <c r="N992" s="220"/>
      <c r="O992" s="220"/>
      <c r="P992" s="220"/>
      <c r="Q992" s="220"/>
      <c r="R992" s="220"/>
      <c r="S992" s="220"/>
      <c r="T992" s="220"/>
      <c r="U992" s="220"/>
      <c r="V992" s="220"/>
      <c r="W992" s="220"/>
      <c r="X992" s="309"/>
      <c r="Y992" s="309"/>
      <c r="Z992" s="309"/>
      <c r="AA992" s="309"/>
      <c r="AB992" s="309"/>
      <c r="AC992" s="309"/>
      <c r="AD992" s="309"/>
      <c r="AE992" s="309"/>
      <c r="AF992" s="309"/>
      <c r="AG992" s="309"/>
      <c r="AH992" s="309"/>
      <c r="AI992" s="309"/>
      <c r="AJ992" s="309"/>
      <c r="AK992" s="309"/>
      <c r="AL992" s="309"/>
      <c r="AM992" s="309"/>
      <c r="AN992" s="309"/>
      <c r="AO992" s="309"/>
      <c r="AP992" s="309"/>
      <c r="AQ992" s="309"/>
      <c r="AR992" s="309"/>
      <c r="AS992" s="309"/>
      <c r="AT992" s="309"/>
      <c r="AU992" s="309"/>
      <c r="AV992" s="309"/>
      <c r="AW992" s="309"/>
      <c r="AX992" s="309"/>
      <c r="AY992" s="309"/>
      <c r="AZ992" s="309"/>
      <c r="BA992" s="310"/>
      <c r="BB992" s="310"/>
      <c r="BC992" s="310"/>
      <c r="BD992" s="310"/>
      <c r="BE992" s="310"/>
      <c r="BF992" s="310"/>
      <c r="BG992" s="310"/>
      <c r="BH992" s="310"/>
      <c r="BI992" s="310"/>
      <c r="BJ992" s="310"/>
      <c r="BK992" s="310"/>
      <c r="BL992" s="310"/>
      <c r="BM992" s="310"/>
      <c r="BN992" s="221"/>
      <c r="BO992" s="221"/>
      <c r="BP992" s="221"/>
      <c r="BQ992" s="221"/>
      <c r="BR992" s="221"/>
    </row>
    <row r="993" ht="15.75" customHeight="1">
      <c r="A993" s="220"/>
      <c r="B993" s="220"/>
      <c r="C993" s="220"/>
      <c r="D993" s="220"/>
      <c r="E993" s="220"/>
      <c r="F993" s="220"/>
      <c r="G993" s="220"/>
      <c r="H993" s="220"/>
      <c r="I993" s="220"/>
      <c r="J993" s="220"/>
      <c r="K993" s="220"/>
      <c r="L993" s="220"/>
      <c r="M993" s="220"/>
      <c r="N993" s="220"/>
      <c r="O993" s="220"/>
      <c r="P993" s="220"/>
      <c r="Q993" s="220"/>
      <c r="R993" s="220"/>
      <c r="S993" s="220"/>
      <c r="T993" s="220"/>
      <c r="U993" s="220"/>
      <c r="V993" s="220"/>
      <c r="W993" s="220"/>
      <c r="X993" s="309"/>
      <c r="Y993" s="309"/>
      <c r="Z993" s="309"/>
      <c r="AA993" s="309"/>
      <c r="AB993" s="309"/>
      <c r="AC993" s="309"/>
      <c r="AD993" s="309"/>
      <c r="AE993" s="309"/>
      <c r="AF993" s="309"/>
      <c r="AG993" s="309"/>
      <c r="AH993" s="309"/>
      <c r="AI993" s="309"/>
      <c r="AJ993" s="309"/>
      <c r="AK993" s="309"/>
      <c r="AL993" s="309"/>
      <c r="AM993" s="309"/>
      <c r="AN993" s="309"/>
      <c r="AO993" s="309"/>
      <c r="AP993" s="309"/>
      <c r="AQ993" s="309"/>
      <c r="AR993" s="309"/>
      <c r="AS993" s="309"/>
      <c r="AT993" s="309"/>
      <c r="AU993" s="309"/>
      <c r="AV993" s="309"/>
      <c r="AW993" s="309"/>
      <c r="AX993" s="309"/>
      <c r="AY993" s="309"/>
      <c r="AZ993" s="309"/>
      <c r="BA993" s="310"/>
      <c r="BB993" s="310"/>
      <c r="BC993" s="310"/>
      <c r="BD993" s="310"/>
      <c r="BE993" s="310"/>
      <c r="BF993" s="310"/>
      <c r="BG993" s="310"/>
      <c r="BH993" s="310"/>
      <c r="BI993" s="310"/>
      <c r="BJ993" s="310"/>
      <c r="BK993" s="310"/>
      <c r="BL993" s="310"/>
      <c r="BM993" s="310"/>
      <c r="BN993" s="221"/>
      <c r="BO993" s="221"/>
      <c r="BP993" s="221"/>
      <c r="BQ993" s="221"/>
      <c r="BR993" s="221"/>
    </row>
    <row r="994" ht="15.75" customHeight="1">
      <c r="A994" s="220"/>
      <c r="B994" s="220"/>
      <c r="C994" s="220"/>
      <c r="D994" s="220"/>
      <c r="E994" s="220"/>
      <c r="F994" s="220"/>
      <c r="G994" s="220"/>
      <c r="H994" s="220"/>
      <c r="I994" s="220"/>
      <c r="J994" s="220"/>
      <c r="K994" s="220"/>
      <c r="L994" s="220"/>
      <c r="M994" s="220"/>
      <c r="N994" s="220"/>
      <c r="O994" s="220"/>
      <c r="P994" s="220"/>
      <c r="Q994" s="220"/>
      <c r="R994" s="220"/>
      <c r="S994" s="220"/>
      <c r="T994" s="220"/>
      <c r="U994" s="220"/>
      <c r="V994" s="220"/>
      <c r="W994" s="220"/>
      <c r="X994" s="309"/>
      <c r="Y994" s="309"/>
      <c r="Z994" s="309"/>
      <c r="AA994" s="309"/>
      <c r="AB994" s="309"/>
      <c r="AC994" s="309"/>
      <c r="AD994" s="309"/>
      <c r="AE994" s="309"/>
      <c r="AF994" s="309"/>
      <c r="AG994" s="309"/>
      <c r="AH994" s="309"/>
      <c r="AI994" s="309"/>
      <c r="AJ994" s="309"/>
      <c r="AK994" s="309"/>
      <c r="AL994" s="309"/>
      <c r="AM994" s="309"/>
      <c r="AN994" s="309"/>
      <c r="AO994" s="309"/>
      <c r="AP994" s="309"/>
      <c r="AQ994" s="309"/>
      <c r="AR994" s="309"/>
      <c r="AS994" s="309"/>
      <c r="AT994" s="309"/>
      <c r="AU994" s="309"/>
      <c r="AV994" s="309"/>
      <c r="AW994" s="309"/>
      <c r="AX994" s="309"/>
      <c r="AY994" s="309"/>
      <c r="AZ994" s="309"/>
      <c r="BA994" s="310"/>
      <c r="BB994" s="310"/>
      <c r="BC994" s="310"/>
      <c r="BD994" s="310"/>
      <c r="BE994" s="310"/>
      <c r="BF994" s="310"/>
      <c r="BG994" s="310"/>
      <c r="BH994" s="310"/>
      <c r="BI994" s="310"/>
      <c r="BJ994" s="310"/>
      <c r="BK994" s="310"/>
      <c r="BL994" s="310"/>
      <c r="BM994" s="310"/>
      <c r="BN994" s="221"/>
      <c r="BO994" s="221"/>
      <c r="BP994" s="221"/>
      <c r="BQ994" s="221"/>
      <c r="BR994" s="221"/>
    </row>
    <row r="995" ht="15.75" customHeight="1">
      <c r="A995" s="220"/>
      <c r="B995" s="220"/>
      <c r="C995" s="220"/>
      <c r="D995" s="220"/>
      <c r="E995" s="220"/>
      <c r="F995" s="220"/>
      <c r="G995" s="220"/>
      <c r="H995" s="220"/>
      <c r="I995" s="220"/>
      <c r="J995" s="220"/>
      <c r="K995" s="220"/>
      <c r="L995" s="220"/>
      <c r="M995" s="220"/>
      <c r="N995" s="220"/>
      <c r="O995" s="220"/>
      <c r="P995" s="220"/>
      <c r="Q995" s="220"/>
      <c r="R995" s="220"/>
      <c r="S995" s="220"/>
      <c r="T995" s="220"/>
      <c r="U995" s="220"/>
      <c r="V995" s="220"/>
      <c r="W995" s="220"/>
      <c r="X995" s="309"/>
      <c r="Y995" s="309"/>
      <c r="Z995" s="309"/>
      <c r="AA995" s="309"/>
      <c r="AB995" s="309"/>
      <c r="AC995" s="309"/>
      <c r="AD995" s="309"/>
      <c r="AE995" s="309"/>
      <c r="AF995" s="309"/>
      <c r="AG995" s="309"/>
      <c r="AH995" s="309"/>
      <c r="AI995" s="309"/>
      <c r="AJ995" s="309"/>
      <c r="AK995" s="309"/>
      <c r="AL995" s="309"/>
      <c r="AM995" s="309"/>
      <c r="AN995" s="309"/>
      <c r="AO995" s="309"/>
      <c r="AP995" s="309"/>
      <c r="AQ995" s="309"/>
      <c r="AR995" s="309"/>
      <c r="AS995" s="309"/>
      <c r="AT995" s="309"/>
      <c r="AU995" s="309"/>
      <c r="AV995" s="309"/>
      <c r="AW995" s="309"/>
      <c r="AX995" s="309"/>
      <c r="AY995" s="309"/>
      <c r="AZ995" s="309"/>
      <c r="BA995" s="310"/>
      <c r="BB995" s="310"/>
      <c r="BC995" s="310"/>
      <c r="BD995" s="310"/>
      <c r="BE995" s="310"/>
      <c r="BF995" s="310"/>
      <c r="BG995" s="310"/>
      <c r="BH995" s="310"/>
      <c r="BI995" s="310"/>
      <c r="BJ995" s="310"/>
      <c r="BK995" s="310"/>
      <c r="BL995" s="310"/>
      <c r="BM995" s="310"/>
      <c r="BN995" s="221"/>
      <c r="BO995" s="221"/>
      <c r="BP995" s="221"/>
      <c r="BQ995" s="221"/>
      <c r="BR995" s="221"/>
    </row>
    <row r="996" ht="15.75" customHeight="1">
      <c r="A996" s="220"/>
      <c r="B996" s="220"/>
      <c r="C996" s="220"/>
      <c r="D996" s="220"/>
      <c r="E996" s="220"/>
      <c r="F996" s="220"/>
      <c r="G996" s="220"/>
      <c r="H996" s="220"/>
      <c r="I996" s="220"/>
      <c r="J996" s="220"/>
      <c r="K996" s="220"/>
      <c r="L996" s="220"/>
      <c r="M996" s="220"/>
      <c r="N996" s="220"/>
      <c r="O996" s="220"/>
      <c r="P996" s="220"/>
      <c r="Q996" s="220"/>
      <c r="R996" s="220"/>
      <c r="S996" s="220"/>
      <c r="T996" s="220"/>
      <c r="U996" s="220"/>
      <c r="V996" s="220"/>
      <c r="W996" s="220"/>
      <c r="X996" s="309"/>
      <c r="Y996" s="309"/>
      <c r="Z996" s="309"/>
      <c r="AA996" s="309"/>
      <c r="AB996" s="309"/>
      <c r="AC996" s="309"/>
      <c r="AD996" s="309"/>
      <c r="AE996" s="309"/>
      <c r="AF996" s="309"/>
      <c r="AG996" s="309"/>
      <c r="AH996" s="309"/>
      <c r="AI996" s="309"/>
      <c r="AJ996" s="309"/>
      <c r="AK996" s="309"/>
      <c r="AL996" s="309"/>
      <c r="AM996" s="309"/>
      <c r="AN996" s="309"/>
      <c r="AO996" s="309"/>
      <c r="AP996" s="309"/>
      <c r="AQ996" s="309"/>
      <c r="AR996" s="309"/>
      <c r="AS996" s="309"/>
      <c r="AT996" s="309"/>
      <c r="AU996" s="309"/>
      <c r="AV996" s="309"/>
      <c r="AW996" s="309"/>
      <c r="AX996" s="309"/>
      <c r="AY996" s="309"/>
      <c r="AZ996" s="309"/>
      <c r="BA996" s="310"/>
      <c r="BB996" s="310"/>
      <c r="BC996" s="310"/>
      <c r="BD996" s="310"/>
      <c r="BE996" s="310"/>
      <c r="BF996" s="310"/>
      <c r="BG996" s="310"/>
      <c r="BH996" s="310"/>
      <c r="BI996" s="310"/>
      <c r="BJ996" s="310"/>
      <c r="BK996" s="310"/>
      <c r="BL996" s="310"/>
      <c r="BM996" s="310"/>
      <c r="BN996" s="221"/>
      <c r="BO996" s="221"/>
      <c r="BP996" s="221"/>
      <c r="BQ996" s="221"/>
      <c r="BR996" s="221"/>
    </row>
    <row r="997" ht="15.75" customHeight="1">
      <c r="A997" s="220"/>
      <c r="B997" s="220"/>
      <c r="C997" s="220"/>
      <c r="D997" s="220"/>
      <c r="E997" s="220"/>
      <c r="F997" s="220"/>
      <c r="G997" s="220"/>
      <c r="H997" s="220"/>
      <c r="I997" s="220"/>
      <c r="J997" s="220"/>
      <c r="K997" s="220"/>
      <c r="L997" s="220"/>
      <c r="M997" s="220"/>
      <c r="N997" s="220"/>
      <c r="O997" s="220"/>
      <c r="P997" s="220"/>
      <c r="Q997" s="220"/>
      <c r="R997" s="220"/>
      <c r="S997" s="220"/>
      <c r="T997" s="220"/>
      <c r="U997" s="220"/>
      <c r="V997" s="220"/>
      <c r="W997" s="220"/>
      <c r="X997" s="309"/>
      <c r="Y997" s="309"/>
      <c r="Z997" s="309"/>
      <c r="AA997" s="309"/>
      <c r="AB997" s="309"/>
      <c r="AC997" s="309"/>
      <c r="AD997" s="309"/>
      <c r="AE997" s="309"/>
      <c r="AF997" s="309"/>
      <c r="AG997" s="309"/>
      <c r="AH997" s="309"/>
      <c r="AI997" s="309"/>
      <c r="AJ997" s="309"/>
      <c r="AK997" s="309"/>
      <c r="AL997" s="309"/>
      <c r="AM997" s="309"/>
      <c r="AN997" s="309"/>
      <c r="AO997" s="309"/>
      <c r="AP997" s="309"/>
      <c r="AQ997" s="309"/>
      <c r="AR997" s="309"/>
      <c r="AS997" s="309"/>
      <c r="AT997" s="309"/>
      <c r="AU997" s="309"/>
      <c r="AV997" s="309"/>
      <c r="AW997" s="309"/>
      <c r="AX997" s="309"/>
      <c r="AY997" s="309"/>
      <c r="AZ997" s="309"/>
      <c r="BA997" s="310"/>
      <c r="BB997" s="310"/>
      <c r="BC997" s="310"/>
      <c r="BD997" s="310"/>
      <c r="BE997" s="310"/>
      <c r="BF997" s="310"/>
      <c r="BG997" s="310"/>
      <c r="BH997" s="310"/>
      <c r="BI997" s="310"/>
      <c r="BJ997" s="310"/>
      <c r="BK997" s="310"/>
      <c r="BL997" s="310"/>
      <c r="BM997" s="310"/>
      <c r="BN997" s="221"/>
      <c r="BO997" s="221"/>
      <c r="BP997" s="221"/>
      <c r="BQ997" s="221"/>
      <c r="BR997" s="221"/>
    </row>
    <row r="998" ht="15.75" customHeight="1">
      <c r="A998" s="220"/>
      <c r="B998" s="220"/>
      <c r="C998" s="220"/>
      <c r="D998" s="220"/>
      <c r="E998" s="220"/>
      <c r="F998" s="220"/>
      <c r="G998" s="220"/>
      <c r="H998" s="220"/>
      <c r="I998" s="220"/>
      <c r="J998" s="220"/>
      <c r="K998" s="220"/>
      <c r="L998" s="220"/>
      <c r="M998" s="220"/>
      <c r="N998" s="220"/>
      <c r="O998" s="220"/>
      <c r="P998" s="220"/>
      <c r="Q998" s="220"/>
      <c r="R998" s="220"/>
      <c r="S998" s="220"/>
      <c r="T998" s="220"/>
      <c r="U998" s="220"/>
      <c r="V998" s="220"/>
      <c r="W998" s="220"/>
      <c r="X998" s="309"/>
      <c r="Y998" s="309"/>
      <c r="Z998" s="309"/>
      <c r="AA998" s="309"/>
      <c r="AB998" s="309"/>
      <c r="AC998" s="309"/>
      <c r="AD998" s="309"/>
      <c r="AE998" s="309"/>
      <c r="AF998" s="309"/>
      <c r="AG998" s="309"/>
      <c r="AH998" s="309"/>
      <c r="AI998" s="309"/>
      <c r="AJ998" s="309"/>
      <c r="AK998" s="309"/>
      <c r="AL998" s="309"/>
      <c r="AM998" s="309"/>
      <c r="AN998" s="309"/>
      <c r="AO998" s="309"/>
      <c r="AP998" s="309"/>
      <c r="AQ998" s="309"/>
      <c r="AR998" s="309"/>
      <c r="AS998" s="309"/>
      <c r="AT998" s="309"/>
      <c r="AU998" s="309"/>
      <c r="AV998" s="309"/>
      <c r="AW998" s="309"/>
      <c r="AX998" s="309"/>
      <c r="AY998" s="309"/>
      <c r="AZ998" s="309"/>
      <c r="BA998" s="310"/>
      <c r="BB998" s="310"/>
      <c r="BC998" s="310"/>
      <c r="BD998" s="310"/>
      <c r="BE998" s="310"/>
      <c r="BF998" s="310"/>
      <c r="BG998" s="310"/>
      <c r="BH998" s="310"/>
      <c r="BI998" s="310"/>
      <c r="BJ998" s="310"/>
      <c r="BK998" s="310"/>
      <c r="BL998" s="310"/>
      <c r="BM998" s="310"/>
      <c r="BN998" s="221"/>
      <c r="BO998" s="221"/>
      <c r="BP998" s="221"/>
      <c r="BQ998" s="221"/>
      <c r="BR998" s="221"/>
    </row>
    <row r="999" ht="15.75" customHeight="1">
      <c r="A999" s="220"/>
      <c r="B999" s="220"/>
      <c r="C999" s="220"/>
      <c r="D999" s="220"/>
      <c r="E999" s="220"/>
      <c r="F999" s="220"/>
      <c r="G999" s="220"/>
      <c r="H999" s="220"/>
      <c r="I999" s="220"/>
      <c r="J999" s="220"/>
      <c r="K999" s="220"/>
      <c r="L999" s="220"/>
      <c r="M999" s="220"/>
      <c r="N999" s="220"/>
      <c r="O999" s="220"/>
      <c r="P999" s="220"/>
      <c r="Q999" s="220"/>
      <c r="R999" s="220"/>
      <c r="S999" s="220"/>
      <c r="T999" s="220"/>
      <c r="U999" s="220"/>
      <c r="V999" s="220"/>
      <c r="W999" s="220"/>
      <c r="X999" s="309"/>
      <c r="Y999" s="309"/>
      <c r="Z999" s="309"/>
      <c r="AA999" s="309"/>
      <c r="AB999" s="309"/>
      <c r="AC999" s="309"/>
      <c r="AD999" s="309"/>
      <c r="AE999" s="309"/>
      <c r="AF999" s="309"/>
      <c r="AG999" s="309"/>
      <c r="AH999" s="309"/>
      <c r="AI999" s="309"/>
      <c r="AJ999" s="309"/>
      <c r="AK999" s="309"/>
      <c r="AL999" s="309"/>
      <c r="AM999" s="309"/>
      <c r="AN999" s="309"/>
      <c r="AO999" s="309"/>
      <c r="AP999" s="309"/>
      <c r="AQ999" s="309"/>
      <c r="AR999" s="309"/>
      <c r="AS999" s="309"/>
      <c r="AT999" s="309"/>
      <c r="AU999" s="309"/>
      <c r="AV999" s="309"/>
      <c r="AW999" s="309"/>
      <c r="AX999" s="309"/>
      <c r="AY999" s="309"/>
      <c r="AZ999" s="309"/>
      <c r="BA999" s="310"/>
      <c r="BB999" s="310"/>
      <c r="BC999" s="310"/>
      <c r="BD999" s="310"/>
      <c r="BE999" s="310"/>
      <c r="BF999" s="310"/>
      <c r="BG999" s="310"/>
      <c r="BH999" s="310"/>
      <c r="BI999" s="310"/>
      <c r="BJ999" s="310"/>
      <c r="BK999" s="310"/>
      <c r="BL999" s="310"/>
      <c r="BM999" s="310"/>
      <c r="BN999" s="221"/>
      <c r="BO999" s="221"/>
      <c r="BP999" s="221"/>
      <c r="BQ999" s="221"/>
      <c r="BR999" s="221"/>
    </row>
    <row r="1000" ht="15.75" customHeight="1">
      <c r="A1000" s="220"/>
      <c r="B1000" s="220"/>
      <c r="C1000" s="220"/>
      <c r="D1000" s="220"/>
      <c r="E1000" s="220"/>
      <c r="F1000" s="220"/>
      <c r="G1000" s="220"/>
      <c r="H1000" s="220"/>
      <c r="I1000" s="220"/>
      <c r="J1000" s="220"/>
      <c r="K1000" s="220"/>
      <c r="L1000" s="220"/>
      <c r="M1000" s="220"/>
      <c r="N1000" s="220"/>
      <c r="O1000" s="220"/>
      <c r="P1000" s="220"/>
      <c r="Q1000" s="220"/>
      <c r="R1000" s="220"/>
      <c r="S1000" s="220"/>
      <c r="T1000" s="220"/>
      <c r="U1000" s="220"/>
      <c r="V1000" s="220"/>
      <c r="W1000" s="220"/>
      <c r="X1000" s="309"/>
      <c r="Y1000" s="309"/>
      <c r="Z1000" s="309"/>
      <c r="AA1000" s="309"/>
      <c r="AB1000" s="309"/>
      <c r="AC1000" s="309"/>
      <c r="AD1000" s="309"/>
      <c r="AE1000" s="309"/>
      <c r="AF1000" s="309"/>
      <c r="AG1000" s="309"/>
      <c r="AH1000" s="309"/>
      <c r="AI1000" s="309"/>
      <c r="AJ1000" s="309"/>
      <c r="AK1000" s="309"/>
      <c r="AL1000" s="309"/>
      <c r="AM1000" s="309"/>
      <c r="AN1000" s="309"/>
      <c r="AO1000" s="309"/>
      <c r="AP1000" s="309"/>
      <c r="AQ1000" s="309"/>
      <c r="AR1000" s="309"/>
      <c r="AS1000" s="309"/>
      <c r="AT1000" s="309"/>
      <c r="AU1000" s="309"/>
      <c r="AV1000" s="309"/>
      <c r="AW1000" s="309"/>
      <c r="AX1000" s="309"/>
      <c r="AY1000" s="309"/>
      <c r="AZ1000" s="309"/>
      <c r="BA1000" s="310"/>
      <c r="BB1000" s="310"/>
      <c r="BC1000" s="310"/>
      <c r="BD1000" s="310"/>
      <c r="BE1000" s="310"/>
      <c r="BF1000" s="310"/>
      <c r="BG1000" s="310"/>
      <c r="BH1000" s="310"/>
      <c r="BI1000" s="310"/>
      <c r="BJ1000" s="310"/>
      <c r="BK1000" s="310"/>
      <c r="BL1000" s="310"/>
      <c r="BM1000" s="310"/>
      <c r="BN1000" s="221"/>
      <c r="BO1000" s="221"/>
      <c r="BP1000" s="221"/>
      <c r="BQ1000" s="221"/>
      <c r="BR1000" s="221"/>
    </row>
  </sheetData>
  <mergeCells count="5">
    <mergeCell ref="Q4:V4"/>
    <mergeCell ref="Q10:V10"/>
    <mergeCell ref="Q16:V16"/>
    <mergeCell ref="Q22:V22"/>
    <mergeCell ref="Q28:V28"/>
  </mergeCells>
  <conditionalFormatting sqref="BB5:BL7 BB11:BL13 BB17:BL19 BB23:BL25 BB29:BL31">
    <cfRule type="cellIs" dxfId="0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8.57"/>
    <col customWidth="1" min="3" max="3" width="11.57"/>
    <col customWidth="1" min="4" max="4" width="11.0"/>
    <col customWidth="1" min="5" max="5" width="8.86"/>
    <col customWidth="1" min="6" max="6" width="2.86"/>
    <col customWidth="1" min="7" max="7" width="13.43"/>
    <col customWidth="1" min="8" max="8" width="14.86"/>
    <col customWidth="1" min="9" max="9" width="7.29"/>
    <col customWidth="1" min="10" max="10" width="2.86"/>
    <col customWidth="1" min="11" max="11" width="10.57"/>
    <col customWidth="1" min="12" max="12" width="14.14"/>
    <col customWidth="1" min="13" max="14" width="10.71"/>
    <col customWidth="1" min="18" max="18" width="11.29"/>
    <col customWidth="1" min="19" max="19" width="11.57"/>
    <col customWidth="1" min="20" max="20" width="18.14"/>
    <col customWidth="1" min="21" max="21" width="6.43"/>
    <col customWidth="1" min="22" max="22" width="11.0"/>
    <col customWidth="1" min="23" max="23" width="14.43"/>
    <col customWidth="1" min="24" max="24" width="13.43"/>
    <col customWidth="1" min="25" max="25" width="14.86"/>
    <col customWidth="1" min="26" max="26" width="7.29"/>
    <col customWidth="1" min="27" max="27" width="14.29"/>
    <col customWidth="1" min="28" max="28" width="21.14"/>
    <col customWidth="1" min="29" max="29" width="21.0"/>
    <col customWidth="1" min="30" max="30" width="21.29"/>
    <col customWidth="1" min="31" max="31" width="9.43"/>
    <col customWidth="1" min="32" max="34" width="10.71"/>
  </cols>
  <sheetData>
    <row r="1"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ht="15.0" customHeight="1">
      <c r="B2" s="311" t="s">
        <v>153</v>
      </c>
      <c r="C2" s="311" t="s">
        <v>154</v>
      </c>
      <c r="D2" s="312" t="s">
        <v>155</v>
      </c>
      <c r="E2" s="313" t="s">
        <v>156</v>
      </c>
      <c r="F2" s="311"/>
      <c r="G2" s="311" t="s">
        <v>157</v>
      </c>
      <c r="H2" s="311" t="s">
        <v>158</v>
      </c>
      <c r="I2" s="311" t="s">
        <v>159</v>
      </c>
      <c r="J2" s="311"/>
      <c r="K2" s="311" t="s">
        <v>160</v>
      </c>
      <c r="L2" s="311" t="s">
        <v>161</v>
      </c>
      <c r="M2" s="311" t="s">
        <v>162</v>
      </c>
      <c r="N2" s="311" t="s">
        <v>163</v>
      </c>
      <c r="R2" s="314" t="s">
        <v>164</v>
      </c>
      <c r="S2" s="314" t="s">
        <v>154</v>
      </c>
      <c r="T2" s="314" t="s">
        <v>165</v>
      </c>
      <c r="U2" s="314" t="s">
        <v>156</v>
      </c>
      <c r="V2" s="314" t="s">
        <v>166</v>
      </c>
      <c r="W2" s="314" t="s">
        <v>167</v>
      </c>
      <c r="X2" s="314" t="s">
        <v>157</v>
      </c>
      <c r="Y2" s="314" t="s">
        <v>168</v>
      </c>
      <c r="Z2" s="314" t="s">
        <v>159</v>
      </c>
      <c r="AA2" s="314" t="s">
        <v>169</v>
      </c>
      <c r="AB2" s="314" t="s">
        <v>170</v>
      </c>
      <c r="AC2" s="314" t="s">
        <v>171</v>
      </c>
      <c r="AD2" s="314" t="s">
        <v>172</v>
      </c>
      <c r="AE2" s="314" t="s">
        <v>173</v>
      </c>
      <c r="AF2" s="314" t="s">
        <v>174</v>
      </c>
      <c r="AG2" s="314" t="s">
        <v>162</v>
      </c>
      <c r="AH2" s="314" t="s">
        <v>163</v>
      </c>
    </row>
    <row r="3" ht="15.0" customHeight="1">
      <c r="B3" s="315" t="s">
        <v>43</v>
      </c>
      <c r="C3" s="316">
        <v>1.5894073E7</v>
      </c>
      <c r="D3" s="317">
        <v>0.5804</v>
      </c>
      <c r="E3" s="318">
        <f t="shared" ref="E3:E7" si="1">C3/120</f>
        <v>132450.6083</v>
      </c>
      <c r="F3" s="316"/>
      <c r="G3" s="316">
        <v>1044688.0</v>
      </c>
      <c r="H3" s="317">
        <v>0.1123</v>
      </c>
      <c r="I3" s="316">
        <v>0.1003</v>
      </c>
      <c r="J3" s="316"/>
      <c r="K3" s="316">
        <v>3.79</v>
      </c>
      <c r="L3" s="316">
        <v>2.0</v>
      </c>
      <c r="M3" s="316">
        <v>5.0</v>
      </c>
      <c r="N3" s="316">
        <v>8.0</v>
      </c>
      <c r="R3" s="319" t="s">
        <v>175</v>
      </c>
      <c r="S3" s="320">
        <v>5749232.0</v>
      </c>
      <c r="T3" s="321">
        <v>0.2108</v>
      </c>
      <c r="U3" s="320">
        <v>47910.0</v>
      </c>
      <c r="V3" s="321">
        <v>0.2108</v>
      </c>
      <c r="W3" s="320">
        <v>1044860.0</v>
      </c>
      <c r="X3" s="320">
        <v>28032.0</v>
      </c>
      <c r="Y3" s="321">
        <v>0.003</v>
      </c>
      <c r="Z3" s="320">
        <v>0.0049</v>
      </c>
      <c r="AA3" s="320">
        <v>0.4</v>
      </c>
      <c r="AB3" s="320">
        <v>2.6</v>
      </c>
      <c r="AC3" s="320">
        <v>1.0878</v>
      </c>
      <c r="AD3" s="320">
        <v>1.71</v>
      </c>
      <c r="AE3" s="320">
        <v>0.033</v>
      </c>
      <c r="AF3" s="320">
        <v>0.0</v>
      </c>
      <c r="AG3" s="320">
        <v>0.0</v>
      </c>
      <c r="AH3" s="320">
        <v>0.0</v>
      </c>
    </row>
    <row r="4" ht="15.0" customHeight="1">
      <c r="B4" s="315" t="s">
        <v>44</v>
      </c>
      <c r="C4" s="316">
        <v>6169454.0</v>
      </c>
      <c r="D4" s="317">
        <v>0.2253</v>
      </c>
      <c r="E4" s="318">
        <f t="shared" si="1"/>
        <v>51412.11667</v>
      </c>
      <c r="F4" s="316"/>
      <c r="G4" s="316">
        <v>2205962.0</v>
      </c>
      <c r="H4" s="317">
        <v>0.2373</v>
      </c>
      <c r="I4" s="316">
        <v>0.3576</v>
      </c>
      <c r="J4" s="316"/>
      <c r="K4" s="316">
        <v>9.31</v>
      </c>
      <c r="L4" s="316">
        <v>7.0</v>
      </c>
      <c r="M4" s="316">
        <v>13.0</v>
      </c>
      <c r="N4" s="316">
        <v>19.0</v>
      </c>
      <c r="R4" s="319" t="s">
        <v>176</v>
      </c>
      <c r="S4" s="320">
        <v>1.0147182E7</v>
      </c>
      <c r="T4" s="321">
        <v>0.3721</v>
      </c>
      <c r="U4" s="320">
        <v>84560.0</v>
      </c>
      <c r="V4" s="321">
        <v>0.3721</v>
      </c>
      <c r="W4" s="320">
        <v>1051813.0</v>
      </c>
      <c r="X4" s="320">
        <v>1008572.0</v>
      </c>
      <c r="Y4" s="321">
        <v>0.109</v>
      </c>
      <c r="Z4" s="320">
        <v>0.0994</v>
      </c>
      <c r="AA4" s="320">
        <v>5.67</v>
      </c>
      <c r="AB4" s="320">
        <v>60.67</v>
      </c>
      <c r="AC4" s="320">
        <v>4.2582</v>
      </c>
      <c r="AD4" s="320">
        <v>11.78</v>
      </c>
      <c r="AE4" s="320">
        <v>0.3734</v>
      </c>
      <c r="AF4" s="320">
        <v>2.0</v>
      </c>
      <c r="AG4" s="320">
        <v>5.0</v>
      </c>
      <c r="AH4" s="320">
        <v>8.0</v>
      </c>
    </row>
    <row r="5" ht="15.0" customHeight="1">
      <c r="B5" s="315" t="s">
        <v>45</v>
      </c>
      <c r="C5" s="316">
        <v>3573447.0</v>
      </c>
      <c r="D5" s="317">
        <v>0.1305</v>
      </c>
      <c r="E5" s="318">
        <f t="shared" si="1"/>
        <v>29778.725</v>
      </c>
      <c r="F5" s="316"/>
      <c r="G5" s="316">
        <v>2854914.0</v>
      </c>
      <c r="H5" s="317">
        <v>0.3071</v>
      </c>
      <c r="I5" s="316">
        <v>0.7989</v>
      </c>
      <c r="J5" s="316"/>
      <c r="K5" s="316">
        <v>17.65</v>
      </c>
      <c r="L5" s="316">
        <v>14.0</v>
      </c>
      <c r="M5" s="316">
        <v>25.0</v>
      </c>
      <c r="N5" s="316">
        <v>36.0</v>
      </c>
      <c r="R5" s="319" t="s">
        <v>177</v>
      </c>
      <c r="S5" s="320">
        <v>6094511.0</v>
      </c>
      <c r="T5" s="321">
        <v>0.2235</v>
      </c>
      <c r="U5" s="320">
        <v>50788.0</v>
      </c>
      <c r="V5" s="321">
        <v>0.2235</v>
      </c>
      <c r="W5" s="320">
        <v>738516.0</v>
      </c>
      <c r="X5" s="320">
        <v>2179824.0</v>
      </c>
      <c r="Y5" s="321">
        <v>0.2357</v>
      </c>
      <c r="Z5" s="320">
        <v>0.3577</v>
      </c>
      <c r="AA5" s="320">
        <v>9.93</v>
      </c>
      <c r="AB5" s="320">
        <v>124.76</v>
      </c>
      <c r="AC5" s="320">
        <v>4.4645</v>
      </c>
      <c r="AD5" s="320">
        <v>20.51</v>
      </c>
      <c r="AE5" s="320">
        <v>0.5002</v>
      </c>
      <c r="AF5" s="320">
        <v>7.0</v>
      </c>
      <c r="AG5" s="320">
        <v>13.0</v>
      </c>
      <c r="AH5" s="320">
        <v>19.0</v>
      </c>
    </row>
    <row r="6" ht="15.0" customHeight="1">
      <c r="B6" s="315" t="s">
        <v>46</v>
      </c>
      <c r="C6" s="316">
        <v>1550533.0</v>
      </c>
      <c r="D6" s="317">
        <v>0.0566</v>
      </c>
      <c r="E6" s="318">
        <f t="shared" si="1"/>
        <v>12921.10833</v>
      </c>
      <c r="F6" s="316"/>
      <c r="G6" s="316">
        <v>2602478.0</v>
      </c>
      <c r="H6" s="317">
        <v>0.2799</v>
      </c>
      <c r="I6" s="316">
        <v>1.6784</v>
      </c>
      <c r="J6" s="316"/>
      <c r="K6" s="316">
        <v>36.2</v>
      </c>
      <c r="L6" s="316">
        <v>29.0</v>
      </c>
      <c r="M6" s="316">
        <v>50.0</v>
      </c>
      <c r="N6" s="316">
        <v>76.0</v>
      </c>
      <c r="R6" s="319" t="s">
        <v>178</v>
      </c>
      <c r="S6" s="320">
        <v>2403766.0</v>
      </c>
      <c r="T6" s="321">
        <v>0.08810000000000001</v>
      </c>
      <c r="U6" s="320">
        <v>20031.0</v>
      </c>
      <c r="V6" s="321">
        <v>0.08810000000000001</v>
      </c>
      <c r="W6" s="320">
        <v>462082.0</v>
      </c>
      <c r="X6" s="320">
        <v>1708528.0</v>
      </c>
      <c r="Y6" s="321">
        <v>0.18469999999999998</v>
      </c>
      <c r="Z6" s="320">
        <v>0.7108</v>
      </c>
      <c r="AA6" s="320">
        <v>12.0</v>
      </c>
      <c r="AB6" s="320">
        <v>202.34</v>
      </c>
      <c r="AC6" s="320">
        <v>5.141</v>
      </c>
      <c r="AD6" s="320">
        <v>24.81</v>
      </c>
      <c r="AE6" s="320">
        <v>0.6082</v>
      </c>
      <c r="AF6" s="320">
        <v>13.0</v>
      </c>
      <c r="AG6" s="320">
        <v>22.0</v>
      </c>
      <c r="AH6" s="320">
        <v>31.0</v>
      </c>
    </row>
    <row r="7" ht="15.0" customHeight="1">
      <c r="B7" s="315" t="s">
        <v>47</v>
      </c>
      <c r="C7" s="316">
        <v>199432.0</v>
      </c>
      <c r="D7" s="317">
        <v>0.0073</v>
      </c>
      <c r="E7" s="318">
        <f t="shared" si="1"/>
        <v>1661.933333</v>
      </c>
      <c r="F7" s="316"/>
      <c r="G7" s="316">
        <v>589016.0</v>
      </c>
      <c r="H7" s="317">
        <v>0.0634</v>
      </c>
      <c r="I7" s="316">
        <v>2.9535</v>
      </c>
      <c r="J7" s="316"/>
      <c r="K7" s="316">
        <v>84.06</v>
      </c>
      <c r="L7" s="316">
        <v>68.0</v>
      </c>
      <c r="M7" s="316">
        <v>118.0</v>
      </c>
      <c r="N7" s="316">
        <v>172.0</v>
      </c>
      <c r="R7" s="319" t="s">
        <v>179</v>
      </c>
      <c r="S7" s="320">
        <v>1134609.0</v>
      </c>
      <c r="T7" s="321">
        <v>0.0416</v>
      </c>
      <c r="U7" s="320">
        <v>9455.0</v>
      </c>
      <c r="V7" s="321">
        <v>0.0416</v>
      </c>
      <c r="W7" s="320">
        <v>295676.0</v>
      </c>
      <c r="X7" s="320">
        <v>1125455.0</v>
      </c>
      <c r="Y7" s="321">
        <v>0.1217</v>
      </c>
      <c r="Z7" s="320">
        <v>0.9919</v>
      </c>
      <c r="AA7" s="320">
        <v>12.97</v>
      </c>
      <c r="AB7" s="320">
        <v>269.33</v>
      </c>
      <c r="AC7" s="320">
        <v>5.5089</v>
      </c>
      <c r="AD7" s="320">
        <v>25.72</v>
      </c>
      <c r="AE7" s="320">
        <v>0.6674</v>
      </c>
      <c r="AF7" s="320">
        <v>18.0</v>
      </c>
      <c r="AG7" s="320">
        <v>31.0</v>
      </c>
      <c r="AH7" s="320">
        <v>44.0</v>
      </c>
    </row>
    <row r="8"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R8" s="319" t="s">
        <v>180</v>
      </c>
      <c r="S8" s="320">
        <v>631042.0</v>
      </c>
      <c r="T8" s="321">
        <v>0.0231</v>
      </c>
      <c r="U8" s="320">
        <v>5259.0</v>
      </c>
      <c r="V8" s="321">
        <v>0.0231</v>
      </c>
      <c r="W8" s="320">
        <v>195452.0</v>
      </c>
      <c r="X8" s="320">
        <v>886387.0</v>
      </c>
      <c r="Y8" s="321">
        <v>0.0958</v>
      </c>
      <c r="Z8" s="320">
        <v>1.4046</v>
      </c>
      <c r="AA8" s="320">
        <v>13.92</v>
      </c>
      <c r="AB8" s="320">
        <v>357.23</v>
      </c>
      <c r="AC8" s="320">
        <v>5.9406</v>
      </c>
      <c r="AD8" s="320">
        <v>27.64</v>
      </c>
      <c r="AE8" s="320">
        <v>0.7205</v>
      </c>
      <c r="AF8" s="320">
        <v>23.0</v>
      </c>
      <c r="AG8" s="320">
        <v>40.0</v>
      </c>
      <c r="AH8" s="320">
        <v>55.0</v>
      </c>
    </row>
    <row r="9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R9" s="319" t="s">
        <v>181</v>
      </c>
      <c r="S9" s="320">
        <v>365572.0</v>
      </c>
      <c r="T9" s="321">
        <v>0.0134</v>
      </c>
      <c r="U9" s="320">
        <v>3046.0</v>
      </c>
      <c r="V9" s="321">
        <v>0.0134</v>
      </c>
      <c r="W9" s="320">
        <v>131209.0</v>
      </c>
      <c r="X9" s="320">
        <v>576473.0</v>
      </c>
      <c r="Y9" s="321">
        <v>0.0623</v>
      </c>
      <c r="Z9" s="320">
        <v>1.5769</v>
      </c>
      <c r="AA9" s="320">
        <v>14.31</v>
      </c>
      <c r="AB9" s="320">
        <v>405.77</v>
      </c>
      <c r="AC9" s="320">
        <v>6.0074</v>
      </c>
      <c r="AD9" s="320">
        <v>27.11</v>
      </c>
      <c r="AE9" s="320">
        <v>0.7482</v>
      </c>
      <c r="AF9" s="320">
        <v>28.0</v>
      </c>
      <c r="AG9" s="320">
        <v>50.0</v>
      </c>
      <c r="AH9" s="320">
        <v>69.0</v>
      </c>
    </row>
    <row r="10">
      <c r="B10" s="96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R10" s="319" t="s">
        <v>182</v>
      </c>
      <c r="S10" s="320">
        <v>229523.0</v>
      </c>
      <c r="T10" s="321">
        <v>0.0084</v>
      </c>
      <c r="U10" s="320">
        <v>1913.0</v>
      </c>
      <c r="V10" s="321">
        <v>0.0084</v>
      </c>
      <c r="W10" s="320">
        <v>91957.0</v>
      </c>
      <c r="X10" s="320">
        <v>419188.0</v>
      </c>
      <c r="Y10" s="321">
        <v>0.0453</v>
      </c>
      <c r="Z10" s="320">
        <v>1.8263</v>
      </c>
      <c r="AA10" s="320">
        <v>14.78</v>
      </c>
      <c r="AB10" s="320">
        <v>467.2</v>
      </c>
      <c r="AC10" s="320">
        <v>6.0688</v>
      </c>
      <c r="AD10" s="320">
        <v>27.55</v>
      </c>
      <c r="AE10" s="320">
        <v>0.7729</v>
      </c>
      <c r="AF10" s="320">
        <v>34.0</v>
      </c>
      <c r="AG10" s="320">
        <v>59.0</v>
      </c>
      <c r="AH10" s="320">
        <v>80.0</v>
      </c>
    </row>
    <row r="11">
      <c r="B11" s="96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R11" s="319" t="s">
        <v>183</v>
      </c>
      <c r="S11" s="320">
        <v>145855.0</v>
      </c>
      <c r="T11" s="321">
        <v>0.0053</v>
      </c>
      <c r="U11" s="320">
        <v>1215.0</v>
      </c>
      <c r="V11" s="321">
        <v>0.0053</v>
      </c>
      <c r="W11" s="320">
        <v>63007.0</v>
      </c>
      <c r="X11" s="320">
        <v>310005.0</v>
      </c>
      <c r="Y11" s="321">
        <v>0.0335</v>
      </c>
      <c r="Z11" s="320">
        <v>2.1254</v>
      </c>
      <c r="AA11" s="320">
        <v>15.97</v>
      </c>
      <c r="AB11" s="320">
        <v>534.33</v>
      </c>
      <c r="AC11" s="320">
        <v>6.1436</v>
      </c>
      <c r="AD11" s="320">
        <v>27.18</v>
      </c>
      <c r="AE11" s="320">
        <v>0.7894</v>
      </c>
      <c r="AF11" s="320">
        <v>38.0</v>
      </c>
      <c r="AG11" s="320">
        <v>69.0</v>
      </c>
      <c r="AH11" s="320">
        <v>94.0</v>
      </c>
    </row>
    <row r="12">
      <c r="B12" s="96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R12" s="319" t="s">
        <v>184</v>
      </c>
      <c r="S12" s="320">
        <v>101355.0</v>
      </c>
      <c r="T12" s="321">
        <v>0.0037</v>
      </c>
      <c r="U12" s="320">
        <v>845.0</v>
      </c>
      <c r="V12" s="321">
        <v>0.0037</v>
      </c>
      <c r="W12" s="320">
        <v>47807.0</v>
      </c>
      <c r="X12" s="320">
        <v>236535.0</v>
      </c>
      <c r="Y12" s="321">
        <v>0.0256</v>
      </c>
      <c r="Z12" s="320">
        <v>2.3337</v>
      </c>
      <c r="AA12" s="320">
        <v>16.09</v>
      </c>
      <c r="AB12" s="320">
        <v>587.14</v>
      </c>
      <c r="AC12" s="320">
        <v>6.0948</v>
      </c>
      <c r="AD12" s="320">
        <v>27.24</v>
      </c>
      <c r="AE12" s="320">
        <v>0.8042</v>
      </c>
      <c r="AF12" s="320">
        <v>44.0</v>
      </c>
      <c r="AG12" s="320">
        <v>78.0</v>
      </c>
      <c r="AH12" s="320">
        <v>103.0</v>
      </c>
    </row>
    <row r="13"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R13" s="319" t="s">
        <v>185</v>
      </c>
      <c r="S13" s="320">
        <v>69857.0</v>
      </c>
      <c r="T13" s="321">
        <v>0.0026</v>
      </c>
      <c r="U13" s="320">
        <v>582.0</v>
      </c>
      <c r="V13" s="321">
        <v>0.0026</v>
      </c>
      <c r="W13" s="320">
        <v>35610.0</v>
      </c>
      <c r="X13" s="320">
        <v>171099.0</v>
      </c>
      <c r="Y13" s="321">
        <v>0.018500000000000003</v>
      </c>
      <c r="Z13" s="320">
        <v>2.4493</v>
      </c>
      <c r="AA13" s="320">
        <v>15.89</v>
      </c>
      <c r="AB13" s="320">
        <v>631.65</v>
      </c>
      <c r="AC13" s="320">
        <v>5.9629</v>
      </c>
      <c r="AD13" s="320">
        <v>26.62</v>
      </c>
      <c r="AE13" s="320">
        <v>0.8203</v>
      </c>
      <c r="AF13" s="320">
        <v>49.0</v>
      </c>
      <c r="AG13" s="320">
        <v>88.0</v>
      </c>
      <c r="AH13" s="320">
        <v>116.0</v>
      </c>
    </row>
    <row r="14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R14" s="319" t="s">
        <v>186</v>
      </c>
      <c r="S14" s="320">
        <v>50288.0</v>
      </c>
      <c r="T14" s="321">
        <v>0.0018</v>
      </c>
      <c r="U14" s="320">
        <v>419.0</v>
      </c>
      <c r="V14" s="321">
        <v>0.0018</v>
      </c>
      <c r="W14" s="320">
        <v>27333.0</v>
      </c>
      <c r="X14" s="320">
        <v>128892.0</v>
      </c>
      <c r="Y14" s="321">
        <v>0.0139</v>
      </c>
      <c r="Z14" s="320">
        <v>2.5631</v>
      </c>
      <c r="AA14" s="320">
        <v>16.32</v>
      </c>
      <c r="AB14" s="320">
        <v>696.87</v>
      </c>
      <c r="AC14" s="320">
        <v>5.9938</v>
      </c>
      <c r="AD14" s="320">
        <v>25.67</v>
      </c>
      <c r="AE14" s="320">
        <v>0.8256</v>
      </c>
      <c r="AF14" s="320">
        <v>54.0</v>
      </c>
      <c r="AG14" s="320">
        <v>97.0</v>
      </c>
      <c r="AH14" s="320">
        <v>127.0</v>
      </c>
    </row>
    <row r="15"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R15" s="319" t="s">
        <v>187</v>
      </c>
      <c r="S15" s="320">
        <v>37356.0</v>
      </c>
      <c r="T15" s="321">
        <v>0.0014000000000000002</v>
      </c>
      <c r="U15" s="320">
        <v>311.0</v>
      </c>
      <c r="V15" s="321">
        <v>0.0014000000000000002</v>
      </c>
      <c r="W15" s="320">
        <v>21776.0</v>
      </c>
      <c r="X15" s="320">
        <v>99530.0</v>
      </c>
      <c r="Y15" s="321">
        <v>0.0108</v>
      </c>
      <c r="Z15" s="320">
        <v>2.6644</v>
      </c>
      <c r="AA15" s="320">
        <v>16.03</v>
      </c>
      <c r="AB15" s="320">
        <v>768.01</v>
      </c>
      <c r="AC15" s="320">
        <v>6.0989</v>
      </c>
      <c r="AD15" s="320">
        <v>25.72</v>
      </c>
      <c r="AE15" s="320">
        <v>0.8358</v>
      </c>
      <c r="AF15" s="320">
        <v>60.0</v>
      </c>
      <c r="AG15" s="320">
        <v>107.0</v>
      </c>
      <c r="AH15" s="320">
        <v>137.0</v>
      </c>
    </row>
    <row r="16"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R16" s="319" t="s">
        <v>188</v>
      </c>
      <c r="S16" s="320">
        <v>26470.0</v>
      </c>
      <c r="T16" s="321">
        <v>0.001</v>
      </c>
      <c r="U16" s="320">
        <v>221.0</v>
      </c>
      <c r="V16" s="321">
        <v>0.001</v>
      </c>
      <c r="W16" s="320">
        <v>15794.0</v>
      </c>
      <c r="X16" s="320">
        <v>73988.0</v>
      </c>
      <c r="Y16" s="321">
        <v>0.008</v>
      </c>
      <c r="Z16" s="320">
        <v>2.7952</v>
      </c>
      <c r="AA16" s="320">
        <v>16.7</v>
      </c>
      <c r="AB16" s="320">
        <v>805.87</v>
      </c>
      <c r="AC16" s="320">
        <v>5.9204</v>
      </c>
      <c r="AD16" s="320">
        <v>24.57</v>
      </c>
      <c r="AE16" s="320">
        <v>0.8403</v>
      </c>
      <c r="AF16" s="320">
        <v>64.0</v>
      </c>
      <c r="AG16" s="320">
        <v>116.0</v>
      </c>
      <c r="AH16" s="320">
        <v>149.0</v>
      </c>
    </row>
    <row r="17"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R17" s="322" t="s">
        <v>189</v>
      </c>
      <c r="S17" s="322">
        <v>19263.0</v>
      </c>
      <c r="T17" s="323">
        <v>7.000000000000001E-4</v>
      </c>
      <c r="U17" s="322">
        <v>161.0</v>
      </c>
      <c r="V17" s="323">
        <v>7.000000000000001E-4</v>
      </c>
      <c r="W17" s="322">
        <v>11936.0</v>
      </c>
      <c r="X17" s="322">
        <v>58032.0</v>
      </c>
      <c r="Y17" s="323">
        <v>0.0063</v>
      </c>
      <c r="Z17" s="322">
        <v>3.0126</v>
      </c>
      <c r="AA17" s="322">
        <v>17.4</v>
      </c>
      <c r="AB17" s="322">
        <v>866.11</v>
      </c>
      <c r="AC17" s="322">
        <v>5.9007</v>
      </c>
      <c r="AD17" s="322">
        <v>25.26</v>
      </c>
      <c r="AE17" s="322">
        <v>0.847</v>
      </c>
      <c r="AF17" s="322">
        <v>69.0</v>
      </c>
      <c r="AG17" s="322">
        <v>125.0</v>
      </c>
      <c r="AH17" s="322">
        <v>162.0</v>
      </c>
    </row>
    <row r="18"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R18" s="322" t="s">
        <v>190</v>
      </c>
      <c r="S18" s="322">
        <v>14105.0</v>
      </c>
      <c r="T18" s="323">
        <v>5.0E-4</v>
      </c>
      <c r="U18" s="322">
        <v>118.0</v>
      </c>
      <c r="V18" s="323">
        <v>5.0E-4</v>
      </c>
      <c r="W18" s="322">
        <v>8986.0</v>
      </c>
      <c r="X18" s="322">
        <v>46248.0</v>
      </c>
      <c r="Y18" s="323">
        <v>0.005</v>
      </c>
      <c r="Z18" s="322">
        <v>3.2788</v>
      </c>
      <c r="AA18" s="322">
        <v>17.81</v>
      </c>
      <c r="AB18" s="322">
        <v>895.37</v>
      </c>
      <c r="AC18" s="322">
        <v>5.6916</v>
      </c>
      <c r="AD18" s="322">
        <v>26.63</v>
      </c>
      <c r="AE18" s="322">
        <v>0.8508</v>
      </c>
      <c r="AF18" s="322">
        <v>76.0</v>
      </c>
      <c r="AG18" s="322">
        <v>135.0</v>
      </c>
      <c r="AH18" s="322">
        <v>172.0</v>
      </c>
    </row>
    <row r="19"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R19" s="322" t="s">
        <v>191</v>
      </c>
      <c r="S19" s="322">
        <v>11521.0</v>
      </c>
      <c r="T19" s="323">
        <v>4.0E-4</v>
      </c>
      <c r="U19" s="322">
        <v>96.0</v>
      </c>
      <c r="V19" s="323">
        <v>4.0E-4</v>
      </c>
      <c r="W19" s="322">
        <v>7734.0</v>
      </c>
      <c r="X19" s="322">
        <v>34665.0</v>
      </c>
      <c r="Y19" s="323">
        <v>0.0037</v>
      </c>
      <c r="Z19" s="322">
        <v>3.0089</v>
      </c>
      <c r="AA19" s="322">
        <v>16.63</v>
      </c>
      <c r="AB19" s="322">
        <v>934.48</v>
      </c>
      <c r="AC19" s="322">
        <v>5.5597</v>
      </c>
      <c r="AD19" s="322">
        <v>23.15</v>
      </c>
      <c r="AE19" s="322">
        <v>0.8511</v>
      </c>
      <c r="AF19" s="322">
        <v>79.0</v>
      </c>
      <c r="AG19" s="322">
        <v>140.0</v>
      </c>
      <c r="AH19" s="322">
        <v>180.0</v>
      </c>
    </row>
    <row r="20"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R20" s="322" t="s">
        <v>192</v>
      </c>
      <c r="S20" s="322">
        <v>40337.0</v>
      </c>
      <c r="T20" s="323">
        <v>0.0015</v>
      </c>
      <c r="U20" s="322">
        <v>336.0</v>
      </c>
      <c r="V20" s="323">
        <v>0.0015</v>
      </c>
      <c r="W20" s="322">
        <v>15254.0</v>
      </c>
      <c r="X20" s="322">
        <v>158546.0</v>
      </c>
      <c r="Y20" s="323">
        <v>0.0171</v>
      </c>
      <c r="Z20" s="322">
        <v>3.9305</v>
      </c>
      <c r="AA20" s="322">
        <v>21.58</v>
      </c>
      <c r="AB20" s="322">
        <v>1237.87</v>
      </c>
      <c r="AC20" s="322">
        <v>5.6182</v>
      </c>
      <c r="AD20" s="322">
        <v>23.73</v>
      </c>
      <c r="AE20" s="322">
        <v>0.8693</v>
      </c>
      <c r="AF20" s="322">
        <v>103.0</v>
      </c>
      <c r="AG20" s="322">
        <v>177.0</v>
      </c>
      <c r="AH20" s="322">
        <v>245.0</v>
      </c>
    </row>
    <row r="21" ht="15.75" customHeight="1"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</row>
    <row r="22" ht="15.75" customHeight="1"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</row>
    <row r="23" ht="15.75" customHeight="1"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</row>
    <row r="24" ht="15.75" customHeight="1"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</row>
    <row r="25" ht="15.75" customHeight="1"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</row>
    <row r="26" ht="15.75" customHeight="1"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</row>
    <row r="27" ht="15.75" customHeight="1"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</row>
    <row r="28" ht="15.75" customHeight="1"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</row>
    <row r="29" ht="15.75" customHeight="1"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</row>
    <row r="30" ht="15.75" customHeight="1"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</row>
    <row r="31" ht="15.75" customHeight="1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</row>
    <row r="32" ht="15.75" customHeight="1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</row>
    <row r="33" ht="15.75" customHeight="1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</row>
    <row r="34" ht="15.75" customHeight="1"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</row>
    <row r="35" ht="15.75" customHeight="1"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</row>
    <row r="36" ht="15.75" customHeight="1"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</row>
    <row r="37" ht="15.75" customHeight="1"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</row>
    <row r="38" ht="15.75" customHeight="1"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</row>
    <row r="39" ht="15.75" customHeight="1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</row>
    <row r="40" ht="15.75" customHeight="1"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</row>
    <row r="41" ht="15.75" customHeight="1"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</row>
    <row r="42" ht="15.75" customHeight="1"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</row>
    <row r="43" ht="15.75" customHeight="1"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</row>
    <row r="44" ht="15.75" customHeight="1"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</row>
    <row r="45" ht="15.75" customHeight="1"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</row>
    <row r="46" ht="15.75" customHeight="1"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</row>
    <row r="47" ht="15.75" customHeight="1"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</row>
    <row r="48" ht="15.75" customHeight="1"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</row>
    <row r="49" ht="15.75" customHeight="1"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</row>
    <row r="50" ht="15.75" customHeight="1"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</row>
    <row r="51" ht="15.75" customHeight="1"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</row>
    <row r="52" ht="15.75" customHeight="1"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</row>
    <row r="53" ht="15.75" customHeight="1"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</row>
    <row r="54" ht="15.75" customHeight="1"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</row>
    <row r="55" ht="15.75" customHeight="1"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</row>
    <row r="56" ht="15.75" customHeight="1"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</row>
    <row r="57" ht="15.75" customHeight="1"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</row>
    <row r="58" ht="15.75" customHeight="1"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</row>
    <row r="59" ht="15.75" customHeight="1"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</row>
    <row r="60" ht="15.75" customHeight="1"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</row>
    <row r="61" ht="15.75" customHeight="1"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</row>
    <row r="62" ht="15.75" customHeight="1"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</row>
    <row r="63" ht="15.75" customHeight="1"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</row>
    <row r="64" ht="15.75" customHeight="1"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</row>
    <row r="65" ht="15.75" customHeight="1"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</row>
    <row r="66" ht="15.75" customHeight="1"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</row>
    <row r="67" ht="15.75" customHeight="1"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</row>
    <row r="68" ht="15.75" customHeight="1"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</row>
    <row r="69" ht="15.75" customHeight="1"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</row>
    <row r="70" ht="15.75" customHeight="1"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</row>
    <row r="71" ht="15.75" customHeight="1"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</row>
    <row r="72" ht="15.75" customHeight="1"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</row>
    <row r="73" ht="15.75" customHeight="1"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</row>
    <row r="74" ht="15.75" customHeight="1"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</row>
    <row r="75" ht="15.75" customHeight="1"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</row>
    <row r="76" ht="15.75" customHeight="1"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</row>
    <row r="77" ht="15.75" customHeight="1"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</row>
    <row r="78" ht="15.75" customHeight="1"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</row>
    <row r="79" ht="15.75" customHeight="1"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</row>
    <row r="80" ht="15.75" customHeight="1"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</row>
    <row r="81" ht="15.75" customHeight="1"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</row>
    <row r="82" ht="15.75" customHeight="1"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</row>
    <row r="83" ht="15.75" customHeight="1"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</row>
    <row r="84" ht="15.75" customHeight="1"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</row>
    <row r="85" ht="15.75" customHeight="1"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</row>
    <row r="86" ht="15.75" customHeight="1"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</row>
    <row r="87" ht="15.75" customHeight="1"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</row>
    <row r="88" ht="15.75" customHeight="1"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</row>
    <row r="89" ht="15.75" customHeight="1"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</row>
    <row r="90" ht="15.75" customHeight="1"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</row>
    <row r="91" ht="15.75" customHeight="1"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</row>
    <row r="92" ht="15.75" customHeight="1"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</row>
    <row r="93" ht="15.75" customHeight="1"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</row>
    <row r="94" ht="15.75" customHeight="1"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</row>
    <row r="95" ht="15.75" customHeight="1"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</row>
    <row r="96" ht="15.75" customHeight="1"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</row>
    <row r="97" ht="15.75" customHeight="1"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</row>
    <row r="98" ht="15.75" customHeight="1"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</row>
    <row r="99" ht="15.75" customHeight="1"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</row>
    <row r="100" ht="15.75" customHeight="1"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</row>
    <row r="101" ht="15.75" customHeight="1"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</row>
    <row r="102" ht="15.75" customHeight="1"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</row>
    <row r="103" ht="15.75" customHeight="1"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</row>
    <row r="104" ht="15.75" customHeight="1"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</row>
    <row r="105" ht="15.75" customHeight="1"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</row>
    <row r="106" ht="15.75" customHeight="1"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</row>
    <row r="107" ht="15.75" customHeight="1"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</row>
    <row r="108" ht="15.75" customHeight="1"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</row>
    <row r="109" ht="15.75" customHeight="1"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</row>
    <row r="110" ht="15.75" customHeight="1"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</row>
    <row r="111" ht="15.75" customHeight="1"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</row>
    <row r="112" ht="15.75" customHeight="1"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</row>
    <row r="113" ht="15.75" customHeight="1"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</row>
    <row r="114" ht="15.75" customHeight="1"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</row>
    <row r="115" ht="15.75" customHeight="1"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</row>
    <row r="116" ht="15.75" customHeight="1"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</row>
    <row r="117" ht="15.75" customHeight="1"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</row>
    <row r="118" ht="15.75" customHeight="1"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</row>
    <row r="119" ht="15.75" customHeight="1"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</row>
    <row r="120" ht="15.75" customHeight="1"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</row>
    <row r="121" ht="15.75" customHeight="1"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</row>
    <row r="122" ht="15.75" customHeight="1"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</row>
    <row r="123" ht="15.75" customHeight="1"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</row>
    <row r="124" ht="15.75" customHeight="1"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</row>
    <row r="125" ht="15.75" customHeight="1"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</row>
    <row r="126" ht="15.75" customHeight="1"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</row>
    <row r="127" ht="15.75" customHeight="1"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</row>
    <row r="128" ht="15.75" customHeight="1"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</row>
    <row r="129" ht="15.75" customHeight="1"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</row>
    <row r="130" ht="15.75" customHeight="1"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</row>
    <row r="131" ht="15.75" customHeight="1"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</row>
    <row r="132" ht="15.75" customHeight="1"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</row>
    <row r="133" ht="15.75" customHeight="1"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</row>
    <row r="134" ht="15.75" customHeight="1"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</row>
    <row r="135" ht="15.75" customHeight="1"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</row>
    <row r="136" ht="15.75" customHeight="1"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</row>
    <row r="137" ht="15.75" customHeight="1"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</row>
    <row r="138" ht="15.75" customHeight="1"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</row>
    <row r="139" ht="15.75" customHeight="1"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</row>
    <row r="140" ht="15.75" customHeight="1"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</row>
    <row r="141" ht="15.75" customHeight="1"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</row>
    <row r="142" ht="15.75" customHeight="1"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</row>
    <row r="143" ht="15.75" customHeight="1"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</row>
    <row r="144" ht="15.75" customHeight="1"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</row>
    <row r="145" ht="15.75" customHeight="1"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</row>
    <row r="146" ht="15.75" customHeight="1"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</row>
    <row r="147" ht="15.75" customHeight="1"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</row>
    <row r="148" ht="15.75" customHeight="1"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</row>
    <row r="149" ht="15.75" customHeight="1"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</row>
    <row r="150" ht="15.75" customHeight="1"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</row>
    <row r="151" ht="15.75" customHeight="1"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</row>
    <row r="152" ht="15.75" customHeight="1"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</row>
    <row r="153" ht="15.75" customHeight="1"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</row>
    <row r="154" ht="15.75" customHeight="1"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</row>
    <row r="155" ht="15.75" customHeight="1"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</row>
    <row r="156" ht="15.75" customHeight="1"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</row>
    <row r="157" ht="15.75" customHeight="1"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</row>
    <row r="158" ht="15.75" customHeight="1"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</row>
    <row r="159" ht="15.75" customHeight="1"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</row>
    <row r="160" ht="15.75" customHeight="1"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</row>
    <row r="161" ht="15.75" customHeight="1"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</row>
    <row r="162" ht="15.75" customHeight="1"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</row>
    <row r="163" ht="15.75" customHeight="1"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</row>
    <row r="164" ht="15.75" customHeight="1"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</row>
    <row r="165" ht="15.75" customHeight="1"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</row>
    <row r="166" ht="15.75" customHeight="1"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</row>
    <row r="167" ht="15.75" customHeight="1"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</row>
    <row r="168" ht="15.75" customHeight="1"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</row>
    <row r="169" ht="15.75" customHeight="1"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</row>
    <row r="170" ht="15.75" customHeight="1"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</row>
    <row r="171" ht="15.75" customHeight="1"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</row>
    <row r="172" ht="15.75" customHeight="1"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</row>
    <row r="173" ht="15.75" customHeight="1"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</row>
    <row r="174" ht="15.75" customHeight="1"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</row>
    <row r="175" ht="15.75" customHeight="1"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</row>
    <row r="176" ht="15.75" customHeight="1"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</row>
    <row r="177" ht="15.75" customHeight="1"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</row>
    <row r="178" ht="15.75" customHeight="1"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</row>
    <row r="179" ht="15.75" customHeight="1"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</row>
    <row r="180" ht="15.75" customHeight="1"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</row>
    <row r="181" ht="15.75" customHeight="1"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</row>
    <row r="182" ht="15.75" customHeight="1"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</row>
    <row r="183" ht="15.75" customHeight="1"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</row>
    <row r="184" ht="15.75" customHeight="1"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</row>
    <row r="185" ht="15.75" customHeight="1"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</row>
    <row r="186" ht="15.75" customHeight="1"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</row>
    <row r="187" ht="15.75" customHeight="1"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</row>
    <row r="188" ht="15.75" customHeight="1"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</row>
    <row r="189" ht="15.75" customHeight="1"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</row>
    <row r="190" ht="15.75" customHeight="1"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</row>
    <row r="191" ht="15.75" customHeight="1"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</row>
    <row r="192" ht="15.75" customHeight="1"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</row>
    <row r="193" ht="15.75" customHeight="1"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</row>
    <row r="194" ht="15.75" customHeight="1"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</row>
    <row r="195" ht="15.75" customHeight="1"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</row>
    <row r="196" ht="15.75" customHeight="1"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</row>
    <row r="197" ht="15.75" customHeight="1"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</row>
    <row r="198" ht="15.75" customHeight="1"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</row>
    <row r="199" ht="15.75" customHeight="1"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</row>
    <row r="200" ht="15.75" customHeight="1"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</row>
    <row r="201" ht="15.75" customHeight="1"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</row>
    <row r="202" ht="15.75" customHeight="1"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</row>
    <row r="203" ht="15.75" customHeight="1"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</row>
    <row r="204" ht="15.75" customHeight="1"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</row>
    <row r="205" ht="15.75" customHeight="1"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</row>
    <row r="206" ht="15.75" customHeight="1"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</row>
    <row r="207" ht="15.75" customHeight="1"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</row>
    <row r="208" ht="15.75" customHeight="1"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</row>
    <row r="209" ht="15.75" customHeight="1"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</row>
    <row r="210" ht="15.75" customHeight="1"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</row>
    <row r="211" ht="15.75" customHeight="1"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</row>
    <row r="212" ht="15.75" customHeight="1"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</row>
    <row r="213" ht="15.75" customHeight="1"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</row>
    <row r="214" ht="15.75" customHeight="1"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</row>
    <row r="215" ht="15.75" customHeight="1"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</row>
    <row r="216" ht="15.75" customHeight="1"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</row>
    <row r="217" ht="15.75" customHeight="1"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</row>
    <row r="218" ht="15.75" customHeight="1"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</row>
    <row r="219" ht="15.75" customHeight="1"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</row>
    <row r="220" ht="15.75" customHeight="1"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</row>
    <row r="221" ht="15.75" customHeight="1"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</row>
    <row r="222" ht="15.75" customHeight="1"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</row>
    <row r="223" ht="15.75" customHeight="1"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</row>
    <row r="224" ht="15.75" customHeight="1"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</row>
    <row r="225" ht="15.75" customHeight="1"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</row>
    <row r="226" ht="15.75" customHeight="1"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</row>
    <row r="227" ht="15.75" customHeight="1"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</row>
    <row r="228" ht="15.75" customHeight="1"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</row>
    <row r="229" ht="15.75" customHeight="1"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</row>
    <row r="230" ht="15.75" customHeight="1"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</row>
    <row r="231" ht="15.75" customHeight="1"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</row>
    <row r="232" ht="15.75" customHeight="1"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</row>
    <row r="233" ht="15.75" customHeight="1"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</row>
    <row r="234" ht="15.75" customHeight="1"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</row>
    <row r="235" ht="15.75" customHeight="1"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</row>
    <row r="236" ht="15.75" customHeight="1"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</row>
    <row r="237" ht="15.75" customHeight="1"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</row>
    <row r="238" ht="15.75" customHeight="1"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</row>
    <row r="239" ht="15.75" customHeight="1"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</row>
    <row r="240" ht="15.75" customHeight="1"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</row>
    <row r="241" ht="15.75" customHeight="1"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</row>
    <row r="242" ht="15.75" customHeight="1"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</row>
    <row r="243" ht="15.75" customHeight="1"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</row>
    <row r="244" ht="15.75" customHeight="1"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</row>
    <row r="245" ht="15.75" customHeight="1"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</row>
    <row r="246" ht="15.75" customHeight="1"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</row>
    <row r="247" ht="15.75" customHeight="1"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</row>
    <row r="248" ht="15.75" customHeight="1"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</row>
    <row r="249" ht="15.75" customHeight="1"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</row>
    <row r="250" ht="15.75" customHeight="1"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</row>
    <row r="251" ht="15.75" customHeight="1"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</row>
    <row r="252" ht="15.75" customHeight="1"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</row>
    <row r="253" ht="15.75" customHeight="1"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</row>
    <row r="254" ht="15.75" customHeight="1"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</row>
    <row r="255" ht="15.75" customHeight="1"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</row>
    <row r="256" ht="15.75" customHeight="1"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</row>
    <row r="257" ht="15.75" customHeight="1"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</row>
    <row r="258" ht="15.75" customHeight="1"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</row>
    <row r="259" ht="15.75" customHeight="1"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</row>
    <row r="260" ht="15.75" customHeight="1"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</row>
    <row r="261" ht="15.75" customHeight="1"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</row>
    <row r="262" ht="15.75" customHeight="1"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</row>
    <row r="263" ht="15.75" customHeight="1"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</row>
    <row r="264" ht="15.75" customHeight="1"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</row>
    <row r="265" ht="15.75" customHeight="1"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</row>
    <row r="266" ht="15.75" customHeight="1"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</row>
    <row r="267" ht="15.75" customHeight="1"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</row>
    <row r="268" ht="15.75" customHeight="1"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</row>
    <row r="269" ht="15.75" customHeight="1"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</row>
    <row r="270" ht="15.75" customHeight="1"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</row>
    <row r="271" ht="15.75" customHeight="1"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</row>
    <row r="272" ht="15.75" customHeight="1"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</row>
    <row r="273" ht="15.75" customHeight="1"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</row>
    <row r="274" ht="15.75" customHeight="1"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</row>
    <row r="275" ht="15.75" customHeight="1"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</row>
    <row r="276" ht="15.75" customHeight="1"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</row>
    <row r="277" ht="15.75" customHeight="1"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</row>
    <row r="278" ht="15.75" customHeight="1"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</row>
    <row r="279" ht="15.75" customHeight="1"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</row>
    <row r="280" ht="15.75" customHeight="1"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</row>
    <row r="281" ht="15.75" customHeight="1"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</row>
    <row r="282" ht="15.75" customHeight="1"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</row>
    <row r="283" ht="15.75" customHeight="1"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</row>
    <row r="284" ht="15.75" customHeight="1"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</row>
    <row r="285" ht="15.75" customHeight="1"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</row>
    <row r="286" ht="15.75" customHeight="1"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</row>
    <row r="287" ht="15.75" customHeight="1"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</row>
    <row r="288" ht="15.75" customHeight="1"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</row>
    <row r="289" ht="15.75" customHeight="1"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</row>
    <row r="290" ht="15.75" customHeight="1"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</row>
    <row r="291" ht="15.75" customHeight="1"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</row>
    <row r="292" ht="15.75" customHeight="1"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</row>
    <row r="293" ht="15.75" customHeight="1"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</row>
    <row r="294" ht="15.75" customHeight="1"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</row>
    <row r="295" ht="15.75" customHeight="1"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</row>
    <row r="296" ht="15.75" customHeight="1"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</row>
    <row r="297" ht="15.75" customHeight="1"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</row>
    <row r="298" ht="15.75" customHeight="1"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</row>
    <row r="299" ht="15.75" customHeight="1"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</row>
    <row r="300" ht="15.75" customHeight="1"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</row>
    <row r="301" ht="15.75" customHeight="1"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</row>
    <row r="302" ht="15.75" customHeight="1"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</row>
    <row r="303" ht="15.75" customHeight="1"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</row>
    <row r="304" ht="15.75" customHeight="1"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</row>
    <row r="305" ht="15.75" customHeight="1"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</row>
    <row r="306" ht="15.75" customHeight="1"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</row>
    <row r="307" ht="15.75" customHeight="1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</row>
    <row r="308" ht="15.75" customHeight="1"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</row>
    <row r="309" ht="15.75" customHeight="1"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</row>
    <row r="310" ht="15.75" customHeight="1"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</row>
    <row r="311" ht="15.75" customHeight="1"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</row>
    <row r="312" ht="15.75" customHeight="1"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</row>
    <row r="313" ht="15.75" customHeight="1"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</row>
    <row r="314" ht="15.75" customHeight="1"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</row>
    <row r="315" ht="15.75" customHeight="1"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</row>
    <row r="316" ht="15.75" customHeight="1"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</row>
    <row r="317" ht="15.75" customHeight="1"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</row>
    <row r="318" ht="15.75" customHeight="1"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</row>
    <row r="319" ht="15.75" customHeight="1"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</row>
    <row r="320" ht="15.75" customHeight="1"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</row>
    <row r="321" ht="15.75" customHeight="1"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</row>
    <row r="322" ht="15.75" customHeight="1"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</row>
    <row r="323" ht="15.75" customHeight="1"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</row>
    <row r="324" ht="15.75" customHeight="1"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</row>
    <row r="325" ht="15.75" customHeight="1"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</row>
    <row r="326" ht="15.75" customHeight="1"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</row>
    <row r="327" ht="15.75" customHeight="1"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</row>
    <row r="328" ht="15.75" customHeight="1"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</row>
    <row r="329" ht="15.75" customHeight="1"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</row>
    <row r="330" ht="15.75" customHeight="1"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</row>
    <row r="331" ht="15.75" customHeight="1"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</row>
    <row r="332" ht="15.75" customHeight="1"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</row>
    <row r="333" ht="15.75" customHeight="1"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</row>
    <row r="334" ht="15.75" customHeight="1"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</row>
    <row r="335" ht="15.75" customHeight="1"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</row>
    <row r="336" ht="15.75" customHeight="1"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</row>
    <row r="337" ht="15.75" customHeight="1"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</row>
    <row r="338" ht="15.75" customHeight="1"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</row>
    <row r="339" ht="15.75" customHeight="1"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</row>
    <row r="340" ht="15.75" customHeight="1"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</row>
    <row r="341" ht="15.75" customHeight="1"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</row>
    <row r="342" ht="15.75" customHeight="1"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</row>
    <row r="343" ht="15.75" customHeight="1"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</row>
    <row r="344" ht="15.75" customHeight="1"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</row>
    <row r="345" ht="15.75" customHeight="1"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</row>
    <row r="346" ht="15.75" customHeight="1"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</row>
    <row r="347" ht="15.75" customHeight="1"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</row>
    <row r="348" ht="15.75" customHeight="1"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</row>
    <row r="349" ht="15.75" customHeight="1"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</row>
    <row r="350" ht="15.75" customHeight="1"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</row>
    <row r="351" ht="15.75" customHeight="1"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</row>
    <row r="352" ht="15.75" customHeight="1"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</row>
    <row r="353" ht="15.75" customHeight="1"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</row>
    <row r="354" ht="15.75" customHeight="1"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</row>
    <row r="355" ht="15.75" customHeight="1"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</row>
    <row r="356" ht="15.75" customHeight="1"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</row>
    <row r="357" ht="15.75" customHeight="1"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</row>
    <row r="358" ht="15.75" customHeight="1"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</row>
    <row r="359" ht="15.75" customHeight="1"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</row>
    <row r="360" ht="15.75" customHeight="1"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</row>
    <row r="361" ht="15.75" customHeight="1"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</row>
    <row r="362" ht="15.75" customHeight="1"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</row>
    <row r="363" ht="15.75" customHeight="1"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</row>
    <row r="364" ht="15.75" customHeight="1"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</row>
    <row r="365" ht="15.75" customHeight="1"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</row>
    <row r="366" ht="15.75" customHeight="1"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</row>
    <row r="367" ht="15.75" customHeight="1"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</row>
    <row r="368" ht="15.75" customHeight="1"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</row>
    <row r="369" ht="15.75" customHeight="1"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</row>
    <row r="370" ht="15.75" customHeight="1"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</row>
    <row r="371" ht="15.75" customHeight="1"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</row>
    <row r="372" ht="15.75" customHeight="1"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</row>
    <row r="373" ht="15.75" customHeight="1"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</row>
    <row r="374" ht="15.75" customHeight="1"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</row>
    <row r="375" ht="15.75" customHeight="1"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</row>
    <row r="376" ht="15.75" customHeight="1"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</row>
    <row r="377" ht="15.75" customHeight="1"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</row>
    <row r="378" ht="15.75" customHeight="1"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</row>
    <row r="379" ht="15.75" customHeight="1"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</row>
    <row r="380" ht="15.75" customHeight="1"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</row>
    <row r="381" ht="15.75" customHeight="1"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</row>
    <row r="382" ht="15.75" customHeight="1"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</row>
    <row r="383" ht="15.75" customHeight="1"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</row>
    <row r="384" ht="15.75" customHeight="1"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</row>
    <row r="385" ht="15.75" customHeight="1"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</row>
    <row r="386" ht="15.75" customHeight="1"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</row>
    <row r="387" ht="15.75" customHeight="1"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</row>
    <row r="388" ht="15.75" customHeight="1"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</row>
    <row r="389" ht="15.75" customHeight="1"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</row>
    <row r="390" ht="15.75" customHeight="1"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</row>
    <row r="391" ht="15.75" customHeight="1"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</row>
    <row r="392" ht="15.75" customHeight="1"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</row>
    <row r="393" ht="15.75" customHeight="1"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</row>
    <row r="394" ht="15.75" customHeight="1"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</row>
    <row r="395" ht="15.75" customHeight="1"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</row>
    <row r="396" ht="15.75" customHeight="1"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</row>
    <row r="397" ht="15.75" customHeight="1"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</row>
    <row r="398" ht="15.75" customHeight="1"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</row>
    <row r="399" ht="15.75" customHeight="1"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</row>
    <row r="400" ht="15.75" customHeight="1"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</row>
    <row r="401" ht="15.75" customHeight="1"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</row>
    <row r="402" ht="15.75" customHeight="1"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</row>
    <row r="403" ht="15.75" customHeight="1"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</row>
    <row r="404" ht="15.75" customHeight="1"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</row>
    <row r="405" ht="15.75" customHeight="1"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</row>
    <row r="406" ht="15.75" customHeight="1"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</row>
    <row r="407" ht="15.75" customHeight="1"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</row>
    <row r="408" ht="15.75" customHeight="1"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</row>
    <row r="409" ht="15.75" customHeight="1"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</row>
    <row r="410" ht="15.75" customHeight="1"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</row>
    <row r="411" ht="15.75" customHeight="1"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</row>
    <row r="412" ht="15.75" customHeight="1"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</row>
    <row r="413" ht="15.75" customHeight="1"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</row>
    <row r="414" ht="15.75" customHeight="1"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</row>
    <row r="415" ht="15.75" customHeight="1"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</row>
    <row r="416" ht="15.75" customHeight="1"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</row>
    <row r="417" ht="15.75" customHeight="1"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</row>
    <row r="418" ht="15.75" customHeight="1"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</row>
    <row r="419" ht="15.75" customHeight="1"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</row>
    <row r="420" ht="15.75" customHeight="1"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</row>
    <row r="421" ht="15.75" customHeight="1"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</row>
    <row r="422" ht="15.75" customHeight="1"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</row>
    <row r="423" ht="15.75" customHeight="1"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</row>
    <row r="424" ht="15.75" customHeight="1"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</row>
    <row r="425" ht="15.75" customHeight="1"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</row>
    <row r="426" ht="15.75" customHeight="1"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</row>
    <row r="427" ht="15.75" customHeight="1"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</row>
    <row r="428" ht="15.75" customHeight="1"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</row>
    <row r="429" ht="15.75" customHeight="1"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</row>
    <row r="430" ht="15.75" customHeight="1"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</row>
    <row r="431" ht="15.75" customHeight="1"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</row>
    <row r="432" ht="15.75" customHeight="1"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</row>
    <row r="433" ht="15.75" customHeight="1"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</row>
    <row r="434" ht="15.75" customHeight="1"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</row>
    <row r="435" ht="15.75" customHeight="1"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</row>
    <row r="436" ht="15.75" customHeight="1"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</row>
    <row r="437" ht="15.75" customHeight="1"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</row>
    <row r="438" ht="15.75" customHeight="1"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</row>
    <row r="439" ht="15.75" customHeight="1"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</row>
    <row r="440" ht="15.75" customHeight="1"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</row>
    <row r="441" ht="15.75" customHeight="1"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</row>
    <row r="442" ht="15.75" customHeight="1"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</row>
    <row r="443" ht="15.75" customHeight="1"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</row>
    <row r="444" ht="15.75" customHeight="1"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</row>
    <row r="445" ht="15.75" customHeight="1"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</row>
    <row r="446" ht="15.75" customHeight="1"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</row>
    <row r="447" ht="15.75" customHeight="1"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</row>
    <row r="448" ht="15.75" customHeight="1"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</row>
    <row r="449" ht="15.75" customHeight="1"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</row>
    <row r="450" ht="15.75" customHeight="1"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</row>
    <row r="451" ht="15.75" customHeight="1"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</row>
    <row r="452" ht="15.75" customHeight="1"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</row>
    <row r="453" ht="15.75" customHeight="1"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</row>
    <row r="454" ht="15.75" customHeight="1"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</row>
    <row r="455" ht="15.75" customHeight="1"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</row>
    <row r="456" ht="15.75" customHeight="1"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</row>
    <row r="457" ht="15.75" customHeight="1"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</row>
    <row r="458" ht="15.75" customHeight="1"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</row>
    <row r="459" ht="15.75" customHeight="1"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</row>
    <row r="460" ht="15.75" customHeight="1"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</row>
    <row r="461" ht="15.75" customHeight="1"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</row>
    <row r="462" ht="15.75" customHeight="1"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</row>
    <row r="463" ht="15.75" customHeight="1"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</row>
    <row r="464" ht="15.75" customHeight="1"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</row>
    <row r="465" ht="15.75" customHeight="1"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</row>
    <row r="466" ht="15.75" customHeight="1"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</row>
    <row r="467" ht="15.75" customHeight="1"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</row>
    <row r="468" ht="15.75" customHeight="1"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</row>
    <row r="469" ht="15.75" customHeight="1"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</row>
    <row r="470" ht="15.75" customHeight="1"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</row>
    <row r="471" ht="15.75" customHeight="1"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</row>
    <row r="472" ht="15.75" customHeight="1"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</row>
    <row r="473" ht="15.75" customHeight="1"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</row>
    <row r="474" ht="15.75" customHeight="1"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</row>
    <row r="475" ht="15.75" customHeight="1"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</row>
    <row r="476" ht="15.75" customHeight="1"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</row>
    <row r="477" ht="15.75" customHeight="1"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</row>
    <row r="478" ht="15.75" customHeight="1"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</row>
    <row r="479" ht="15.75" customHeight="1"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</row>
    <row r="480" ht="15.75" customHeight="1"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</row>
    <row r="481" ht="15.75" customHeight="1"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</row>
    <row r="482" ht="15.75" customHeight="1"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</row>
    <row r="483" ht="15.75" customHeight="1"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</row>
    <row r="484" ht="15.75" customHeight="1"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</row>
    <row r="485" ht="15.75" customHeight="1"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</row>
    <row r="486" ht="15.75" customHeight="1"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</row>
    <row r="487" ht="15.75" customHeight="1"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</row>
    <row r="488" ht="15.75" customHeight="1"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</row>
    <row r="489" ht="15.75" customHeight="1"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</row>
    <row r="490" ht="15.75" customHeight="1"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</row>
    <row r="491" ht="15.75" customHeight="1"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</row>
    <row r="492" ht="15.75" customHeight="1"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</row>
    <row r="493" ht="15.75" customHeight="1"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</row>
    <row r="494" ht="15.75" customHeight="1"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</row>
    <row r="495" ht="15.75" customHeight="1"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</row>
    <row r="496" ht="15.75" customHeight="1"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</row>
    <row r="497" ht="15.75" customHeight="1"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</row>
    <row r="498" ht="15.75" customHeight="1"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</row>
    <row r="499" ht="15.75" customHeight="1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</row>
    <row r="500" ht="15.75" customHeight="1"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</row>
    <row r="501" ht="15.75" customHeight="1"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</row>
    <row r="502" ht="15.75" customHeight="1"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</row>
    <row r="503" ht="15.75" customHeight="1"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</row>
    <row r="504" ht="15.75" customHeight="1"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</row>
    <row r="505" ht="15.75" customHeight="1"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</row>
    <row r="506" ht="15.75" customHeight="1"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</row>
    <row r="507" ht="15.75" customHeight="1"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</row>
    <row r="508" ht="15.75" customHeight="1"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</row>
    <row r="509" ht="15.75" customHeight="1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</row>
    <row r="510" ht="15.75" customHeight="1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</row>
    <row r="511" ht="15.75" customHeight="1"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</row>
    <row r="512" ht="15.75" customHeight="1"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</row>
    <row r="513" ht="15.75" customHeight="1"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</row>
    <row r="514" ht="15.75" customHeight="1"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</row>
    <row r="515" ht="15.75" customHeight="1"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</row>
    <row r="516" ht="15.75" customHeight="1"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</row>
    <row r="517" ht="15.75" customHeight="1"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</row>
    <row r="518" ht="15.75" customHeight="1"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</row>
    <row r="519" ht="15.75" customHeight="1"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</row>
    <row r="520" ht="15.75" customHeight="1"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</row>
    <row r="521" ht="15.75" customHeight="1"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</row>
    <row r="522" ht="15.75" customHeight="1"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</row>
    <row r="523" ht="15.75" customHeight="1"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</row>
    <row r="524" ht="15.75" customHeight="1"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</row>
    <row r="525" ht="15.75" customHeight="1"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</row>
    <row r="526" ht="15.75" customHeight="1"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</row>
    <row r="527" ht="15.75" customHeight="1"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</row>
    <row r="528" ht="15.75" customHeight="1"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</row>
    <row r="529" ht="15.75" customHeight="1"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</row>
    <row r="530" ht="15.75" customHeight="1"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</row>
    <row r="531" ht="15.75" customHeight="1"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</row>
    <row r="532" ht="15.75" customHeight="1"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</row>
    <row r="533" ht="15.75" customHeight="1"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</row>
    <row r="534" ht="15.75" customHeight="1"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</row>
    <row r="535" ht="15.75" customHeight="1"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</row>
    <row r="536" ht="15.75" customHeight="1"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</row>
    <row r="537" ht="15.75" customHeight="1"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</row>
    <row r="538" ht="15.75" customHeight="1"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</row>
    <row r="539" ht="15.75" customHeight="1"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</row>
    <row r="540" ht="15.75" customHeight="1"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</row>
    <row r="541" ht="15.75" customHeight="1"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</row>
    <row r="542" ht="15.75" customHeight="1"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</row>
    <row r="543" ht="15.75" customHeight="1"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</row>
    <row r="544" ht="15.75" customHeight="1"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</row>
    <row r="545" ht="15.75" customHeight="1"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</row>
    <row r="546" ht="15.75" customHeight="1"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</row>
    <row r="547" ht="15.75" customHeight="1"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</row>
    <row r="548" ht="15.75" customHeight="1"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</row>
    <row r="549" ht="15.75" customHeight="1"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</row>
    <row r="550" ht="15.75" customHeight="1"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</row>
    <row r="551" ht="15.75" customHeight="1"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</row>
    <row r="552" ht="15.75" customHeight="1"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</row>
    <row r="553" ht="15.75" customHeight="1"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</row>
    <row r="554" ht="15.75" customHeight="1"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</row>
    <row r="555" ht="15.75" customHeight="1"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</row>
    <row r="556" ht="15.75" customHeight="1"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</row>
    <row r="557" ht="15.75" customHeight="1"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</row>
    <row r="558" ht="15.75" customHeight="1"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</row>
    <row r="559" ht="15.75" customHeight="1"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</row>
    <row r="560" ht="15.75" customHeight="1"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</row>
    <row r="561" ht="15.75" customHeight="1"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</row>
    <row r="562" ht="15.75" customHeight="1"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</row>
    <row r="563" ht="15.75" customHeight="1"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</row>
    <row r="564" ht="15.75" customHeight="1"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</row>
    <row r="565" ht="15.75" customHeight="1"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</row>
    <row r="566" ht="15.75" customHeight="1"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</row>
    <row r="567" ht="15.75" customHeight="1"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</row>
    <row r="568" ht="15.75" customHeight="1"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</row>
    <row r="569" ht="15.75" customHeight="1"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</row>
    <row r="570" ht="15.75" customHeight="1"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</row>
    <row r="571" ht="15.75" customHeight="1"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</row>
    <row r="572" ht="15.75" customHeight="1"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</row>
    <row r="573" ht="15.75" customHeight="1"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</row>
    <row r="574" ht="15.75" customHeight="1"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</row>
    <row r="575" ht="15.75" customHeight="1"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</row>
    <row r="576" ht="15.75" customHeight="1"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</row>
    <row r="577" ht="15.75" customHeight="1"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</row>
    <row r="578" ht="15.75" customHeight="1"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</row>
    <row r="579" ht="15.75" customHeight="1"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</row>
    <row r="580" ht="15.75" customHeight="1"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</row>
    <row r="581" ht="15.75" customHeight="1"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</row>
    <row r="582" ht="15.75" customHeight="1"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</row>
    <row r="583" ht="15.75" customHeight="1"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</row>
    <row r="584" ht="15.75" customHeight="1"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</row>
    <row r="585" ht="15.75" customHeight="1"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</row>
    <row r="586" ht="15.75" customHeight="1"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</row>
    <row r="587" ht="15.75" customHeight="1"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</row>
    <row r="588" ht="15.75" customHeight="1"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</row>
    <row r="589" ht="15.75" customHeight="1"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</row>
    <row r="590" ht="15.75" customHeight="1"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</row>
    <row r="591" ht="15.75" customHeight="1"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</row>
    <row r="592" ht="15.75" customHeight="1"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</row>
    <row r="593" ht="15.75" customHeight="1"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</row>
    <row r="594" ht="15.75" customHeight="1"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</row>
    <row r="595" ht="15.75" customHeight="1"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</row>
    <row r="596" ht="15.75" customHeight="1"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</row>
    <row r="597" ht="15.75" customHeight="1"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</row>
    <row r="598" ht="15.75" customHeight="1"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</row>
    <row r="599" ht="15.75" customHeight="1"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</row>
    <row r="600" ht="15.75" customHeight="1"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</row>
    <row r="601" ht="15.75" customHeight="1"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</row>
    <row r="602" ht="15.75" customHeight="1"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</row>
    <row r="603" ht="15.75" customHeight="1"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</row>
    <row r="604" ht="15.75" customHeight="1"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</row>
    <row r="605" ht="15.75" customHeight="1"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</row>
    <row r="606" ht="15.75" customHeight="1"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</row>
    <row r="607" ht="15.75" customHeight="1"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</row>
    <row r="608" ht="15.75" customHeight="1"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</row>
    <row r="609" ht="15.75" customHeight="1"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</row>
    <row r="610" ht="15.75" customHeight="1"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</row>
    <row r="611" ht="15.75" customHeight="1"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</row>
    <row r="612" ht="15.75" customHeight="1"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</row>
    <row r="613" ht="15.75" customHeight="1"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</row>
    <row r="614" ht="15.75" customHeight="1"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</row>
    <row r="615" ht="15.75" customHeight="1"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</row>
    <row r="616" ht="15.75" customHeight="1"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</row>
    <row r="617" ht="15.75" customHeight="1"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</row>
    <row r="618" ht="15.75" customHeight="1"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</row>
    <row r="619" ht="15.75" customHeight="1"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</row>
    <row r="620" ht="15.75" customHeight="1"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</row>
    <row r="621" ht="15.75" customHeight="1"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</row>
    <row r="622" ht="15.75" customHeight="1"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</row>
    <row r="623" ht="15.75" customHeight="1"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</row>
    <row r="624" ht="15.75" customHeight="1"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</row>
    <row r="625" ht="15.75" customHeight="1"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</row>
    <row r="626" ht="15.75" customHeight="1"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</row>
    <row r="627" ht="15.75" customHeight="1"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</row>
    <row r="628" ht="15.75" customHeight="1"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</row>
    <row r="629" ht="15.75" customHeight="1"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</row>
    <row r="630" ht="15.75" customHeight="1"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</row>
    <row r="631" ht="15.75" customHeight="1"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</row>
    <row r="632" ht="15.75" customHeight="1"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</row>
    <row r="633" ht="15.75" customHeight="1"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</row>
    <row r="634" ht="15.75" customHeight="1"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</row>
    <row r="635" ht="15.75" customHeight="1"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</row>
    <row r="636" ht="15.75" customHeight="1"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</row>
    <row r="637" ht="15.75" customHeight="1"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</row>
    <row r="638" ht="15.75" customHeight="1"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</row>
    <row r="639" ht="15.75" customHeight="1"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</row>
    <row r="640" ht="15.75" customHeight="1"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</row>
    <row r="641" ht="15.75" customHeight="1"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</row>
    <row r="642" ht="15.75" customHeight="1"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</row>
    <row r="643" ht="15.75" customHeight="1"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</row>
    <row r="644" ht="15.75" customHeight="1"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</row>
    <row r="645" ht="15.75" customHeight="1"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</row>
    <row r="646" ht="15.75" customHeight="1"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</row>
    <row r="647" ht="15.75" customHeight="1"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</row>
    <row r="648" ht="15.75" customHeight="1"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</row>
    <row r="649" ht="15.75" customHeight="1"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</row>
    <row r="650" ht="15.75" customHeight="1"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</row>
    <row r="651" ht="15.75" customHeight="1"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</row>
    <row r="652" ht="15.75" customHeight="1"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</row>
    <row r="653" ht="15.75" customHeight="1"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</row>
    <row r="654" ht="15.75" customHeight="1"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</row>
    <row r="655" ht="15.75" customHeight="1"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</row>
    <row r="656" ht="15.75" customHeight="1"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</row>
    <row r="657" ht="15.75" customHeight="1"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</row>
    <row r="658" ht="15.75" customHeight="1"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</row>
    <row r="659" ht="15.75" customHeight="1"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</row>
    <row r="660" ht="15.75" customHeight="1"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</row>
    <row r="661" ht="15.75" customHeight="1"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</row>
    <row r="662" ht="15.75" customHeight="1"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</row>
    <row r="663" ht="15.75" customHeight="1"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</row>
    <row r="664" ht="15.75" customHeight="1"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</row>
    <row r="665" ht="15.75" customHeight="1"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</row>
    <row r="666" ht="15.75" customHeight="1"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</row>
    <row r="667" ht="15.75" customHeight="1"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</row>
    <row r="668" ht="15.75" customHeight="1"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</row>
    <row r="669" ht="15.75" customHeight="1"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</row>
    <row r="670" ht="15.75" customHeight="1"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</row>
    <row r="671" ht="15.75" customHeight="1"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</row>
    <row r="672" ht="15.75" customHeight="1"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</row>
    <row r="673" ht="15.75" customHeight="1"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</row>
    <row r="674" ht="15.75" customHeight="1"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</row>
    <row r="675" ht="15.75" customHeight="1"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</row>
    <row r="676" ht="15.75" customHeight="1"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</row>
    <row r="677" ht="15.75" customHeight="1"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</row>
    <row r="678" ht="15.75" customHeight="1"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</row>
    <row r="679" ht="15.75" customHeight="1"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</row>
    <row r="680" ht="15.75" customHeight="1"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</row>
    <row r="681" ht="15.75" customHeight="1"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</row>
    <row r="682" ht="15.75" customHeight="1"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</row>
    <row r="683" ht="15.75" customHeight="1"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</row>
    <row r="684" ht="15.75" customHeight="1"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</row>
    <row r="685" ht="15.75" customHeight="1"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</row>
    <row r="686" ht="15.75" customHeight="1"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</row>
    <row r="687" ht="15.75" customHeight="1"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</row>
    <row r="688" ht="15.75" customHeight="1"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</row>
    <row r="689" ht="15.75" customHeight="1"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</row>
    <row r="690" ht="15.75" customHeight="1"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</row>
    <row r="691" ht="15.75" customHeight="1"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</row>
    <row r="692" ht="15.75" customHeight="1"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</row>
    <row r="693" ht="15.75" customHeight="1"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</row>
    <row r="694" ht="15.75" customHeight="1"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</row>
    <row r="695" ht="15.75" customHeight="1"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</row>
    <row r="696" ht="15.75" customHeight="1"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</row>
    <row r="697" ht="15.75" customHeight="1"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</row>
    <row r="698" ht="15.75" customHeight="1"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</row>
    <row r="699" ht="15.75" customHeight="1"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</row>
    <row r="700" ht="15.75" customHeight="1"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</row>
    <row r="701" ht="15.75" customHeight="1"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</row>
    <row r="702" ht="15.75" customHeight="1"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</row>
    <row r="703" ht="15.75" customHeight="1"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</row>
    <row r="704" ht="15.75" customHeight="1"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</row>
    <row r="705" ht="15.75" customHeight="1"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</row>
    <row r="706" ht="15.75" customHeight="1"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</row>
    <row r="707" ht="15.75" customHeight="1"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</row>
    <row r="708" ht="15.75" customHeight="1"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</row>
    <row r="709" ht="15.75" customHeight="1"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</row>
    <row r="710" ht="15.75" customHeight="1"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</row>
    <row r="711" ht="15.75" customHeight="1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</row>
    <row r="712" ht="15.75" customHeight="1"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</row>
    <row r="713" ht="15.75" customHeight="1"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</row>
    <row r="714" ht="15.75" customHeight="1"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</row>
    <row r="715" ht="15.75" customHeight="1"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</row>
    <row r="716" ht="15.75" customHeight="1"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</row>
    <row r="717" ht="15.75" customHeight="1"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</row>
    <row r="718" ht="15.75" customHeight="1"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</row>
    <row r="719" ht="15.75" customHeight="1"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</row>
    <row r="720" ht="15.75" customHeight="1"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</row>
    <row r="721" ht="15.75" customHeight="1"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</row>
    <row r="722" ht="15.75" customHeight="1"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</row>
    <row r="723" ht="15.75" customHeight="1"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</row>
    <row r="724" ht="15.75" customHeight="1"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</row>
    <row r="725" ht="15.75" customHeight="1"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</row>
    <row r="726" ht="15.75" customHeight="1"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</row>
    <row r="727" ht="15.75" customHeight="1"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</row>
    <row r="728" ht="15.75" customHeight="1"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</row>
    <row r="729" ht="15.75" customHeight="1"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</row>
    <row r="730" ht="15.75" customHeight="1"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</row>
    <row r="731" ht="15.75" customHeight="1"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</row>
    <row r="732" ht="15.75" customHeight="1"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</row>
    <row r="733" ht="15.75" customHeight="1"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</row>
    <row r="734" ht="15.75" customHeight="1"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</row>
    <row r="735" ht="15.75" customHeight="1"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</row>
    <row r="736" ht="15.75" customHeight="1"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</row>
    <row r="737" ht="15.75" customHeight="1"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</row>
    <row r="738" ht="15.75" customHeight="1"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</row>
    <row r="739" ht="15.75" customHeight="1"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</row>
    <row r="740" ht="15.75" customHeight="1"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</row>
    <row r="741" ht="15.75" customHeight="1"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</row>
    <row r="742" ht="15.75" customHeight="1"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</row>
    <row r="743" ht="15.75" customHeight="1"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</row>
    <row r="744" ht="15.75" customHeight="1"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</row>
    <row r="745" ht="15.75" customHeight="1"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</row>
    <row r="746" ht="15.75" customHeight="1"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</row>
    <row r="747" ht="15.75" customHeight="1"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</row>
    <row r="748" ht="15.75" customHeight="1"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</row>
    <row r="749" ht="15.75" customHeight="1"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</row>
    <row r="750" ht="15.75" customHeight="1"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</row>
    <row r="751" ht="15.75" customHeight="1"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</row>
    <row r="752" ht="15.75" customHeight="1"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</row>
    <row r="753" ht="15.75" customHeight="1"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</row>
    <row r="754" ht="15.75" customHeight="1"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</row>
    <row r="755" ht="15.75" customHeight="1"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</row>
    <row r="756" ht="15.75" customHeight="1"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</row>
    <row r="757" ht="15.75" customHeight="1"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</row>
    <row r="758" ht="15.75" customHeight="1"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</row>
    <row r="759" ht="15.75" customHeight="1"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</row>
    <row r="760" ht="15.75" customHeight="1"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</row>
    <row r="761" ht="15.75" customHeight="1"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</row>
    <row r="762" ht="15.75" customHeight="1"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</row>
    <row r="763" ht="15.75" customHeight="1"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</row>
    <row r="764" ht="15.75" customHeight="1"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</row>
    <row r="765" ht="15.75" customHeight="1"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</row>
    <row r="766" ht="15.75" customHeight="1"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</row>
    <row r="767" ht="15.75" customHeight="1"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</row>
    <row r="768" ht="15.75" customHeight="1"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</row>
    <row r="769" ht="15.75" customHeight="1"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</row>
    <row r="770" ht="15.75" customHeight="1"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</row>
    <row r="771" ht="15.75" customHeight="1"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</row>
    <row r="772" ht="15.75" customHeight="1"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</row>
    <row r="773" ht="15.75" customHeight="1"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</row>
    <row r="774" ht="15.75" customHeight="1"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</row>
    <row r="775" ht="15.75" customHeight="1"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</row>
    <row r="776" ht="15.75" customHeight="1"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</row>
    <row r="777" ht="15.75" customHeight="1"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</row>
    <row r="778" ht="15.75" customHeight="1"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</row>
    <row r="779" ht="15.75" customHeight="1"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</row>
    <row r="780" ht="15.75" customHeight="1"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</row>
    <row r="781" ht="15.75" customHeight="1"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</row>
    <row r="782" ht="15.75" customHeight="1"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</row>
    <row r="783" ht="15.75" customHeight="1"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</row>
    <row r="784" ht="15.75" customHeight="1"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</row>
    <row r="785" ht="15.75" customHeight="1"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</row>
    <row r="786" ht="15.75" customHeight="1"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</row>
    <row r="787" ht="15.75" customHeight="1"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</row>
    <row r="788" ht="15.75" customHeight="1"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</row>
    <row r="789" ht="15.75" customHeight="1"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</row>
    <row r="790" ht="15.75" customHeight="1"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</row>
    <row r="791" ht="15.75" customHeight="1"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</row>
    <row r="792" ht="15.75" customHeight="1"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</row>
    <row r="793" ht="15.75" customHeight="1"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</row>
    <row r="794" ht="15.75" customHeight="1"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</row>
    <row r="795" ht="15.75" customHeight="1"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</row>
    <row r="796" ht="15.75" customHeight="1"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</row>
    <row r="797" ht="15.75" customHeight="1"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</row>
    <row r="798" ht="15.75" customHeight="1"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</row>
    <row r="799" ht="15.75" customHeight="1"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</row>
    <row r="800" ht="15.75" customHeight="1"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</row>
    <row r="801" ht="15.75" customHeight="1"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</row>
    <row r="802" ht="15.75" customHeight="1"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</row>
    <row r="803" ht="15.75" customHeight="1"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</row>
    <row r="804" ht="15.75" customHeight="1"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</row>
    <row r="805" ht="15.75" customHeight="1"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</row>
    <row r="806" ht="15.75" customHeight="1"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</row>
    <row r="807" ht="15.75" customHeight="1"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</row>
    <row r="808" ht="15.75" customHeight="1"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</row>
    <row r="809" ht="15.75" customHeight="1"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</row>
    <row r="810" ht="15.75" customHeight="1"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</row>
    <row r="811" ht="15.75" customHeight="1"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</row>
    <row r="812" ht="15.75" customHeight="1"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</row>
    <row r="813" ht="15.75" customHeight="1"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</row>
    <row r="814" ht="15.75" customHeight="1"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</row>
    <row r="815" ht="15.75" customHeight="1"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</row>
    <row r="816" ht="15.75" customHeight="1"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</row>
    <row r="817" ht="15.75" customHeight="1"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</row>
    <row r="818" ht="15.75" customHeight="1"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</row>
    <row r="819" ht="15.75" customHeight="1"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</row>
    <row r="820" ht="15.75" customHeight="1"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</row>
    <row r="821" ht="15.75" customHeight="1"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</row>
    <row r="822" ht="15.75" customHeight="1"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</row>
    <row r="823" ht="15.75" customHeight="1"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</row>
    <row r="824" ht="15.75" customHeight="1"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</row>
    <row r="825" ht="15.75" customHeight="1"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</row>
    <row r="826" ht="15.75" customHeight="1"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</row>
    <row r="827" ht="15.75" customHeight="1"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</row>
    <row r="828" ht="15.75" customHeight="1"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</row>
    <row r="829" ht="15.75" customHeight="1"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</row>
    <row r="830" ht="15.75" customHeight="1"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</row>
    <row r="831" ht="15.75" customHeight="1"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</row>
    <row r="832" ht="15.75" customHeight="1"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</row>
    <row r="833" ht="15.75" customHeight="1"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</row>
    <row r="834" ht="15.75" customHeight="1"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</row>
    <row r="835" ht="15.75" customHeight="1"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</row>
    <row r="836" ht="15.75" customHeight="1"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</row>
    <row r="837" ht="15.75" customHeight="1"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</row>
    <row r="838" ht="15.75" customHeight="1"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</row>
    <row r="839" ht="15.75" customHeight="1"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</row>
    <row r="840" ht="15.75" customHeight="1"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</row>
    <row r="841" ht="15.75" customHeight="1"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</row>
    <row r="842" ht="15.75" customHeight="1"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</row>
    <row r="843" ht="15.75" customHeight="1"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</row>
    <row r="844" ht="15.75" customHeight="1"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</row>
    <row r="845" ht="15.75" customHeight="1"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</row>
    <row r="846" ht="15.75" customHeight="1"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</row>
    <row r="847" ht="15.75" customHeight="1"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</row>
    <row r="848" ht="15.75" customHeight="1"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</row>
    <row r="849" ht="15.75" customHeight="1"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</row>
    <row r="850" ht="15.75" customHeight="1"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</row>
    <row r="851" ht="15.75" customHeight="1"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</row>
    <row r="852" ht="15.75" customHeight="1"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</row>
    <row r="853" ht="15.75" customHeight="1"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</row>
    <row r="854" ht="15.75" customHeight="1"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</row>
    <row r="855" ht="15.75" customHeight="1"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</row>
    <row r="856" ht="15.75" customHeight="1"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</row>
    <row r="857" ht="15.75" customHeight="1"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</row>
    <row r="858" ht="15.75" customHeight="1"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</row>
    <row r="859" ht="15.75" customHeight="1"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</row>
    <row r="860" ht="15.75" customHeight="1"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</row>
    <row r="861" ht="15.75" customHeight="1"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</row>
    <row r="862" ht="15.75" customHeight="1"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</row>
    <row r="863" ht="15.75" customHeight="1"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</row>
    <row r="864" ht="15.75" customHeight="1"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</row>
    <row r="865" ht="15.75" customHeight="1"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</row>
    <row r="866" ht="15.75" customHeight="1"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</row>
    <row r="867" ht="15.75" customHeight="1"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</row>
    <row r="868" ht="15.75" customHeight="1"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</row>
    <row r="869" ht="15.75" customHeight="1"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</row>
    <row r="870" ht="15.75" customHeight="1"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</row>
    <row r="871" ht="15.75" customHeight="1"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</row>
    <row r="872" ht="15.75" customHeight="1"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</row>
    <row r="873" ht="15.75" customHeight="1"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</row>
    <row r="874" ht="15.75" customHeight="1"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</row>
    <row r="875" ht="15.75" customHeight="1"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</row>
    <row r="876" ht="15.75" customHeight="1"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</row>
    <row r="877" ht="15.75" customHeight="1"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</row>
    <row r="878" ht="15.75" customHeight="1"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</row>
    <row r="879" ht="15.75" customHeight="1"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</row>
    <row r="880" ht="15.75" customHeight="1"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</row>
    <row r="881" ht="15.75" customHeight="1"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</row>
    <row r="882" ht="15.75" customHeight="1"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</row>
    <row r="883" ht="15.75" customHeight="1"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</row>
    <row r="884" ht="15.75" customHeight="1"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</row>
    <row r="885" ht="15.75" customHeight="1"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</row>
    <row r="886" ht="15.75" customHeight="1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</row>
    <row r="887" ht="15.75" customHeight="1"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</row>
    <row r="888" ht="15.75" customHeight="1"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</row>
    <row r="889" ht="15.75" customHeight="1"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</row>
    <row r="890" ht="15.75" customHeight="1"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</row>
    <row r="891" ht="15.75" customHeight="1"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</row>
    <row r="892" ht="15.75" customHeight="1"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</row>
    <row r="893" ht="15.75" customHeight="1"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</row>
    <row r="894" ht="15.75" customHeight="1"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</row>
    <row r="895" ht="15.75" customHeight="1"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</row>
    <row r="896" ht="15.75" customHeight="1"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</row>
    <row r="897" ht="15.75" customHeight="1"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</row>
    <row r="898" ht="15.75" customHeight="1"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</row>
    <row r="899" ht="15.75" customHeight="1"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</row>
    <row r="900" ht="15.75" customHeight="1"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</row>
    <row r="901" ht="15.75" customHeight="1"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</row>
    <row r="902" ht="15.75" customHeight="1"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</row>
    <row r="903" ht="15.75" customHeight="1"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</row>
    <row r="904" ht="15.75" customHeight="1"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</row>
    <row r="905" ht="15.75" customHeight="1"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</row>
    <row r="906" ht="15.75" customHeight="1"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</row>
    <row r="907" ht="15.75" customHeight="1"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</row>
    <row r="908" ht="15.75" customHeight="1"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</row>
    <row r="909" ht="15.75" customHeight="1"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</row>
    <row r="910" ht="15.75" customHeight="1"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</row>
    <row r="911" ht="15.75" customHeight="1"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</row>
    <row r="912" ht="15.75" customHeight="1"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</row>
    <row r="913" ht="15.75" customHeight="1"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</row>
    <row r="914" ht="15.75" customHeight="1"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</row>
    <row r="915" ht="15.75" customHeight="1"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</row>
    <row r="916" ht="15.75" customHeight="1"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</row>
    <row r="917" ht="15.75" customHeight="1"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</row>
    <row r="918" ht="15.75" customHeight="1"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</row>
    <row r="919" ht="15.75" customHeight="1"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</row>
    <row r="920" ht="15.75" customHeight="1"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</row>
    <row r="921" ht="15.75" customHeight="1"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</row>
    <row r="922" ht="15.75" customHeight="1"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</row>
    <row r="923" ht="15.75" customHeight="1"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</row>
    <row r="924" ht="15.75" customHeight="1"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</row>
    <row r="925" ht="15.75" customHeight="1"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</row>
    <row r="926" ht="15.75" customHeight="1"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</row>
    <row r="927" ht="15.75" customHeight="1"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</row>
    <row r="928" ht="15.75" customHeight="1"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</row>
    <row r="929" ht="15.75" customHeight="1"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</row>
    <row r="930" ht="15.75" customHeight="1"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</row>
    <row r="931" ht="15.75" customHeight="1"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</row>
    <row r="932" ht="15.75" customHeight="1"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</row>
    <row r="933" ht="15.75" customHeight="1"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</row>
    <row r="934" ht="15.75" customHeight="1"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</row>
    <row r="935" ht="15.75" customHeight="1"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</row>
    <row r="936" ht="15.75" customHeight="1"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</row>
    <row r="937" ht="15.75" customHeight="1"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</row>
    <row r="938" ht="15.75" customHeight="1"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</row>
    <row r="939" ht="15.75" customHeight="1"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</row>
    <row r="940" ht="15.75" customHeight="1"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</row>
    <row r="941" ht="15.75" customHeight="1"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</row>
    <row r="942" ht="15.75" customHeight="1"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</row>
    <row r="943" ht="15.75" customHeight="1"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</row>
    <row r="944" ht="15.75" customHeight="1"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</row>
    <row r="945" ht="15.75" customHeight="1"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</row>
    <row r="946" ht="15.75" customHeight="1"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</row>
    <row r="947" ht="15.75" customHeight="1"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</row>
    <row r="948" ht="15.75" customHeight="1"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</row>
    <row r="949" ht="15.75" customHeight="1"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</row>
    <row r="950" ht="15.75" customHeight="1"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</row>
    <row r="951" ht="15.75" customHeight="1"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</row>
    <row r="952" ht="15.75" customHeight="1"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</row>
    <row r="953" ht="15.75" customHeight="1"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</row>
    <row r="954" ht="15.75" customHeight="1"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</row>
    <row r="955" ht="15.75" customHeight="1"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</row>
    <row r="956" ht="15.75" customHeight="1"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</row>
    <row r="957" ht="15.75" customHeight="1"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</row>
    <row r="958" ht="15.75" customHeight="1"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</row>
    <row r="959" ht="15.75" customHeight="1"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</row>
    <row r="960" ht="15.75" customHeight="1"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</row>
    <row r="961" ht="15.75" customHeight="1"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</row>
    <row r="962" ht="15.75" customHeight="1"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</row>
    <row r="963" ht="15.75" customHeight="1"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</row>
    <row r="964" ht="15.75" customHeight="1"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</row>
    <row r="965" ht="15.75" customHeight="1"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</row>
    <row r="966" ht="15.75" customHeight="1"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</row>
    <row r="967" ht="15.75" customHeight="1"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</row>
    <row r="968" ht="15.75" customHeight="1"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</row>
    <row r="969" ht="15.75" customHeight="1"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</row>
    <row r="970" ht="15.75" customHeight="1"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</row>
    <row r="971" ht="15.75" customHeight="1"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</row>
    <row r="972" ht="15.75" customHeight="1"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</row>
    <row r="973" ht="15.75" customHeight="1"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</row>
    <row r="974" ht="15.75" customHeight="1"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</row>
    <row r="975" ht="15.75" customHeight="1"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</row>
    <row r="976" ht="15.75" customHeight="1"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</row>
    <row r="977" ht="15.75" customHeight="1"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</row>
    <row r="978" ht="15.75" customHeight="1"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</row>
    <row r="979" ht="15.75" customHeight="1"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</row>
    <row r="980" ht="15.75" customHeight="1"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</row>
    <row r="981" ht="15.75" customHeight="1"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</row>
    <row r="982" ht="15.75" customHeight="1"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</row>
    <row r="983" ht="15.75" customHeight="1"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</row>
    <row r="984" ht="15.75" customHeight="1"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</row>
    <row r="985" ht="15.75" customHeight="1"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</row>
    <row r="986" ht="15.75" customHeight="1"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</row>
    <row r="987" ht="15.75" customHeight="1"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</row>
    <row r="988" ht="15.75" customHeight="1"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</row>
    <row r="989" ht="15.75" customHeight="1"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</row>
    <row r="990" ht="15.75" customHeight="1"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</row>
    <row r="991" ht="15.75" customHeight="1"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</row>
    <row r="992" ht="15.75" customHeight="1"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</row>
    <row r="993" ht="15.75" customHeight="1"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</row>
    <row r="994" ht="15.75" customHeight="1"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</row>
    <row r="995" ht="15.75" customHeight="1"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</row>
    <row r="996" ht="15.75" customHeight="1"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</row>
    <row r="997" ht="15.75" customHeight="1"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</row>
    <row r="998" ht="15.75" customHeight="1"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</row>
    <row r="999" ht="15.75" customHeight="1"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</row>
    <row r="1000" ht="15.75" customHeight="1"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4" width="14.0"/>
    <col customWidth="1" min="5" max="5" width="13.0"/>
    <col customWidth="1" min="6" max="6" width="9.43"/>
    <col customWidth="1" min="7" max="7" width="14.14"/>
    <col customWidth="1" min="8" max="8" width="13.0"/>
    <col customWidth="1" min="9" max="9" width="12.71"/>
    <col customWidth="1" min="10" max="10" width="24.14"/>
    <col customWidth="1" min="11" max="11" width="9.0"/>
    <col customWidth="1" min="12" max="14" width="10.86"/>
    <col customWidth="1" min="15" max="15" width="10.71"/>
    <col customWidth="1" min="16" max="16" width="10.14"/>
    <col customWidth="1" min="17" max="17" width="10.71"/>
    <col customWidth="1" min="18" max="18" width="10.14"/>
    <col customWidth="1" min="19" max="19" width="10.71"/>
    <col customWidth="1" min="20" max="20" width="10.14"/>
    <col customWidth="1" min="21" max="21" width="10.71"/>
    <col customWidth="1" min="22" max="22" width="10.14"/>
    <col customWidth="1" min="23" max="23" width="8.71"/>
    <col customWidth="1" min="24" max="24" width="18.86"/>
    <col customWidth="1" min="25" max="25" width="16.43"/>
  </cols>
  <sheetData>
    <row r="1" ht="15.0" customHeight="1">
      <c r="A1" s="324" t="s">
        <v>153</v>
      </c>
      <c r="B1" s="324" t="s">
        <v>193</v>
      </c>
      <c r="C1" s="324" t="s">
        <v>194</v>
      </c>
      <c r="D1" s="324" t="s">
        <v>195</v>
      </c>
      <c r="E1" s="324" t="s">
        <v>196</v>
      </c>
      <c r="F1" s="324" t="s">
        <v>173</v>
      </c>
      <c r="G1" s="324" t="s">
        <v>197</v>
      </c>
      <c r="H1" s="324" t="s">
        <v>198</v>
      </c>
      <c r="I1" s="324" t="s">
        <v>199</v>
      </c>
      <c r="J1" s="324" t="s">
        <v>200</v>
      </c>
      <c r="K1" s="324" t="s">
        <v>201</v>
      </c>
      <c r="L1" s="324" t="s">
        <v>202</v>
      </c>
      <c r="M1" s="324" t="s">
        <v>203</v>
      </c>
      <c r="N1" s="324" t="s">
        <v>204</v>
      </c>
      <c r="O1" s="324" t="s">
        <v>205</v>
      </c>
      <c r="P1" s="324" t="s">
        <v>206</v>
      </c>
      <c r="Q1" s="324" t="s">
        <v>174</v>
      </c>
      <c r="R1" s="324" t="s">
        <v>207</v>
      </c>
      <c r="S1" s="324" t="s">
        <v>162</v>
      </c>
      <c r="T1" s="324" t="s">
        <v>208</v>
      </c>
      <c r="U1" s="324" t="s">
        <v>163</v>
      </c>
      <c r="V1" s="324" t="s">
        <v>209</v>
      </c>
      <c r="W1" s="85" t="s">
        <v>160</v>
      </c>
      <c r="X1" s="325" t="s">
        <v>210</v>
      </c>
      <c r="Y1" s="325" t="s">
        <v>211</v>
      </c>
      <c r="Z1" s="85"/>
    </row>
    <row r="2" ht="15.0" customHeight="1">
      <c r="A2" s="85" t="s">
        <v>43</v>
      </c>
      <c r="B2" s="85" t="s">
        <v>212</v>
      </c>
      <c r="C2" s="85" t="s">
        <v>213</v>
      </c>
      <c r="D2" s="85" t="s">
        <v>214</v>
      </c>
      <c r="E2" s="326">
        <f>IFERROR(SUMPRODUCT((data_raw_segmentation_nonpay!$B$2:$B$721=$D2)*ISNUMBER(data_raw_segmentation_nonpay!$J$2:$J$721)*data_raw_segmentation_nonpay!$J$2:$J$721*data_raw_segmentation_nonpay!$C$2:$C$721)/SUMPRODUCT((data_raw_segmentation_nonpay!$B$2:$B$721=$D2)*ISNUMBER(data_raw_segmentation_nonpay!$J$2:$J$721)*data_raw_segmentation_nonpay!$C$2:$C$721),0)</f>
        <v>13.79924534</v>
      </c>
      <c r="F2" s="327">
        <f>IFERROR(SUMPRODUCT((data_raw_segmentation_nonpay!$B$2:$B$721=$D2)*ISNUMBER(data_raw_segmentation_nonpay!$L$2:$L$721)*data_raw_segmentation_nonpay!$L$2:$L$721*data_raw_segmentation_nonpay!$C$2:$C$721)/SUMPRODUCT((data_raw_segmentation_nonpay!$B$2:$B$721=$D2)*ISNUMBER(data_raw_segmentation_nonpay!$L$2:$L$721)*data_raw_segmentation_nonpay!$C$2:$C$721),0)</f>
        <v>0.4120850428</v>
      </c>
      <c r="G2" s="326">
        <f>IFERROR(SUMPRODUCT((data_raw_segmentation_nonpay!$B$2:$B$721=$D2)*ISNUMBER(data_raw_segmentation_nonpay!$K$2:$K$721)*data_raw_segmentation_nonpay!$K$2:$K$721*data_raw_segmentation_nonpay!$C$2:$C$721)/SUMPRODUCT((data_raw_segmentation_nonpay!$B$2:$B$721=$D2)*ISNUMBER(data_raw_segmentation_nonpay!$K$2:$K$721)*data_raw_segmentation_nonpay!$C$2:$C$721),0)</f>
        <v>5.678563939</v>
      </c>
      <c r="H2" s="326">
        <f>IFERROR(SUMPRODUCT((data_raw_segmentation_nonpay!$B$2:$B$721=$D2)*ISNUMBER(data_raw_segmentation_nonpay!$P$2:$P$721)*data_raw_segmentation_nonpay!$P$2:$P$721*data_raw_segmentation_nonpay!$C$2:$C$721)/SUMPRODUCT((data_raw_segmentation_nonpay!$B$2:$B$721=$D2)*ISNUMBER(data_raw_segmentation_nonpay!$P$2:$P$721)*data_raw_segmentation_nonpay!$C$2:$C$721),0)</f>
        <v>55.05672093</v>
      </c>
      <c r="I2" s="326">
        <f>IFERROR(SUMPRODUCT((data_raw_segmentation_nonpay!$B$2:$B$721=$D2)*ISNUMBER(data_raw_segmentation_nonpay!$R$2:$R$721)*data_raw_segmentation_nonpay!$R$2:$R$721*data_raw_segmentation_nonpay!$C$2:$C$721)/SUMPRODUCT((data_raw_segmentation_nonpay!$B$2:$B$721=$D2)*ISNUMBER(data_raw_segmentation_nonpay!$R$2:$R$721)*data_raw_segmentation_nonpay!$C$2:$C$721),0)</f>
        <v>11.09847012</v>
      </c>
      <c r="J2" s="326">
        <f>IFERROR(SUMPRODUCT((data_raw_segmentation_nonpay!$B$2:$B$721=$D2)*ISNUMBER(data_raw_segmentation_nonpay!$Q$2:$Q$721)*data_raw_segmentation_nonpay!$Q$2:$Q$721*data_raw_segmentation_nonpay!$C$2:$C$721)/SUMPRODUCT((data_raw_segmentation_nonpay!$B$2:$B$721=$D2)*ISNUMBER(data_raw_segmentation_nonpay!$Q$2:$Q$721)*data_raw_segmentation_nonpay!$C$2:$C$721),0)</f>
        <v>43.95859503</v>
      </c>
      <c r="K2" s="326">
        <f>IFERROR(SUMPRODUCT((data_raw_segmentation_nonpay!$B$2:$B$721=$D2)*ISNUMBER(data_raw_segmentation_nonpay!$U$2:$U$721)*data_raw_segmentation_nonpay!$U$2:$U$721*data_raw_segmentation_nonpay!$C$2:$C$721)/SUMPRODUCT((data_raw_segmentation_nonpay!$B$2:$B$721=$D2)*ISNUMBER(data_raw_segmentation_nonpay!$U$2:$U$721)*data_raw_segmentation_nonpay!$C$2:$C$721),0)</f>
        <v>53.73250265</v>
      </c>
      <c r="L2" s="327">
        <f>IFERROR(SUMPRODUCT((data_raw_segmentation_nonpay!$B$2:$B$721=$D2)*ISNUMBER(data_raw_segmentation_nonpay!$AH$2:$AH$721)*data_raw_segmentation_nonpay!$AH$2:$AH$721*data_raw_segmentation_nonpay!$C$2:$C$721)/SUMPRODUCT((data_raw_segmentation_nonpay!$B$2:$B$721=$D2)*ISNUMBER(data_raw_segmentation_nonpay!$AH$2:$AH$721)*data_raw_segmentation_nonpay!$C$2:$C$721),0)/100</f>
        <v>0.7316577627</v>
      </c>
      <c r="M2" s="327">
        <f>IFERROR(SUMPRODUCT((data_raw_segmentation_nonpay!$B$2:$B$721=$D2)*ISNUMBER(data_raw_segmentation_nonpay!$AI$2:$AI$721)*data_raw_segmentation_nonpay!$AI$2:$AI$721*data_raw_segmentation_nonpay!$C$2:$C$721)/SUMPRODUCT((data_raw_segmentation_nonpay!$B$2:$B$721=$D2)*ISNUMBER(data_raw_segmentation_nonpay!$AI$2:$AI$721)*data_raw_segmentation_nonpay!$C$2:$C$721),0)/100</f>
        <v>0.3092837433</v>
      </c>
      <c r="N2" s="327">
        <f>IFERROR(SUMPRODUCT((data_raw_segmentation_nonpay!$B$2:$B$721=$D2)*ISNUMBER(data_raw_segmentation_nonpay!$AJ$2:$AJ$721)*data_raw_segmentation_nonpay!$AJ$2:$AJ$721*data_raw_segmentation_nonpay!$C$2:$C$721)/SUMPRODUCT((data_raw_segmentation_nonpay!$B$2:$B$721=$D2)*ISNUMBER(data_raw_segmentation_nonpay!$AJ$2:$AJ$721)*data_raw_segmentation_nonpay!$C$2:$C$721),0)/100</f>
        <v>0.08611681279</v>
      </c>
      <c r="O2" s="326">
        <f>SUMPRODUCT((data_raw_slopes!$A$2:$A$41=$A2)*(data_raw_slopes!$B$2:$B$41=$B2)*(data_raw_slopes!$C$2:$C$41="p25")*data_raw_slopes!$D$2:$D$41)</f>
        <v>0</v>
      </c>
      <c r="P2" s="326">
        <f>IF(SUMPRODUCT((data_raw_slopes!$A$2:$A$41=$A2)*(data_raw_slopes!$B$2:$B$41=$B2)*(data_raw_slopes!$C$2:$C$41="p25")*data_raw_slopes!$F$2:$F$41)&lt;&gt;0,SUMPRODUCT((data_raw_slopes!$A$2:$A$41=$A2)*(data_raw_slopes!$B$2:$B$41=$B2)*(data_raw_slopes!$C$2:$C$41="p25")*data_raw_slopes!$F$2:$F$41),SUMPRODUCT((data_raw_slopes!$A$2:$A$41=$A2)*(data_raw_slopes!$B$2:$B$41=$B2)*(data_raw_slopes!$C$2:$C$41="p25")*data_raw_slopes!$G$2:$G$41))</f>
        <v>18.4634</v>
      </c>
      <c r="Q2" s="326">
        <f>SUMPRODUCT((data_raw_slopes!$A$2:$A$41=$A2)*(data_raw_slopes!$B$2:$B$41=$B2)*(data_raw_slopes!$C$2:$C$41="p50")*data_raw_slopes!$D$2:$D$41)</f>
        <v>1</v>
      </c>
      <c r="R2" s="326">
        <f>IF(SUMPRODUCT((data_raw_slopes!$A$2:$A$41=$A2)*(data_raw_slopes!$B$2:$B$41=$B2)*(data_raw_slopes!$C$2:$C$41="p50")*data_raw_slopes!$F$2:$F$41)&lt;&gt;0,SUMPRODUCT((data_raw_slopes!$A$2:$A$41=$A2)*(data_raw_slopes!$B$2:$B$41=$B2)*(data_raw_slopes!$C$2:$C$41="p50")*data_raw_slopes!$F$2:$F$41),SUMPRODUCT((data_raw_slopes!$A$2:$A$41=$A2)*(data_raw_slopes!$B$2:$B$41=$B2)*(data_raw_slopes!$C$2:$C$41="p50")*data_raw_slopes!$G$2:$G$41))</f>
        <v>17.833</v>
      </c>
      <c r="S2" s="326">
        <f>SUMPRODUCT((data_raw_slopes!$A$2:$A$41=$A2)*(data_raw_slopes!$B$2:$B$41=$B2)*(data_raw_slopes!$C$2:$C$41="p75")*data_raw_slopes!$D$2:$D$41)</f>
        <v>4</v>
      </c>
      <c r="T2" s="326">
        <f>IF(SUMPRODUCT((data_raw_slopes!$A$2:$A$41=$A2)*(data_raw_slopes!$B$2:$B$41=$B2)*(data_raw_slopes!$C$2:$C$41="p75")*data_raw_slopes!$F$2:$F$41)&lt;&gt;0,SUMPRODUCT((data_raw_slopes!$A$2:$A$41=$A2)*(data_raw_slopes!$B$2:$B$41=$B2)*(data_raw_slopes!$C$2:$C$41="p75")*data_raw_slopes!$F$2:$F$41),SUMPRODUCT((data_raw_slopes!$A$2:$A$41=$A2)*(data_raw_slopes!$B$2:$B$41=$B2)*(data_raw_slopes!$C$2:$C$41="p75")*data_raw_slopes!$G$2:$G$41))</f>
        <v>8.6283</v>
      </c>
      <c r="U2" s="326">
        <f>SUMPRODUCT((data_raw_slopes!$A$2:$A$41=$A2)*(data_raw_slopes!$B$2:$B$41=$B2)*(data_raw_slopes!$C$2:$C$41="p90")*data_raw_slopes!$D$2:$D$41)</f>
        <v>7</v>
      </c>
      <c r="V2" s="326">
        <f>IF(SUMPRODUCT((data_raw_slopes!$A$2:$A$41=$A2)*(data_raw_slopes!$B$2:$B$41=$B2)*(data_raw_slopes!$C$2:$C$41="p90")*data_raw_slopes!$F$2:$F$41)&lt;&gt;0,SUMPRODUCT((data_raw_slopes!$A$2:$A$41=$A2)*(data_raw_slopes!$B$2:$B$41=$B2)*(data_raw_slopes!$C$2:$C$41="p90")*data_raw_slopes!$F$2:$F$41),SUMPRODUCT((data_raw_slopes!$A$2:$A$41=$A2)*(data_raw_slopes!$B$2:$B$41=$B2)*(data_raw_slopes!$C$2:$C$41="p90")*data_raw_slopes!$G$2:$G$41))</f>
        <v>6.9925</v>
      </c>
      <c r="W2" s="85">
        <f>IFERROR(SUMPRODUCT((data_raw_segmentation_nonpay!$B$2:$B$721=$D2)*ISNUMBER(data_raw_segmentation_nonpay!$AC$2:$AC$721)*data_raw_segmentation_nonpay!$AC$2:$AC$721*data_raw_segmentation_nonpay!$C$2:$C$721)/SUMPRODUCT((data_raw_segmentation_nonpay!$B$2:$B$721=$D2)*ISNUMBER(data_raw_segmentation_nonpay!$AC$2:$AC$721)*data_raw_segmentation_nonpay!$C$2:$C$721),0)</f>
        <v>4.014309565</v>
      </c>
      <c r="X2" s="326">
        <f>IFERROR(SUMPRODUCT((data_raw_segmentation_nonpay!$B$2:$B$721=$D2)*ISNUMBER(data_raw_segmentation_nonpay!$AL$2:$AL$721)*data_raw_segmentation_nonpay!$AL$2:$AL$721*data_raw_segmentation_nonpay!$C$2:$C$721)/SUMPRODUCT((data_raw_segmentation_nonpay!$B$2:$B$721=$D2)*ISNUMBER(data_raw_segmentation_nonpay!$AL$2:$AL$721)*data_raw_segmentation_nonpay!$C$2:$C$721),0)</f>
        <v>19.72543734</v>
      </c>
      <c r="Y2" s="326">
        <f>IFERROR(SUMPRODUCT((data_raw_segmentation_nonpay!$B$2:$B$721=$D2)*ISNUMBER(data_raw_segmentation_nonpay!$AN$2:$AN$721)*data_raw_segmentation_nonpay!$AN$2:$AN$721*data_raw_segmentation_nonpay!$C$2:$C$721)/SUMPRODUCT((data_raw_segmentation_nonpay!$B$2:$B$721=$D2)*ISNUMBER(data_raw_segmentation_nonpay!$AN$2:$AN$721)*data_raw_segmentation_nonpay!$C$2:$C$721),0)/100</f>
        <v>0.6383970091</v>
      </c>
      <c r="Z2" s="85"/>
    </row>
    <row r="3" ht="15.0" customHeight="1">
      <c r="A3" s="85" t="s">
        <v>44</v>
      </c>
      <c r="B3" s="85" t="s">
        <v>212</v>
      </c>
      <c r="C3" s="85" t="s">
        <v>213</v>
      </c>
      <c r="D3" s="85" t="s">
        <v>215</v>
      </c>
      <c r="E3" s="326">
        <f>IFERROR(SUMPRODUCT((data_raw_segmentation_nonpay!$B$2:$B$721=$D3)*ISNUMBER(data_raw_segmentation_nonpay!$J$2:$J$721)*data_raw_segmentation_nonpay!$J$2:$J$721*data_raw_segmentation_nonpay!$C$2:$C$721)/SUMPRODUCT((data_raw_segmentation_nonpay!$B$2:$B$721=$D3)*ISNUMBER(data_raw_segmentation_nonpay!$J$2:$J$721)*data_raw_segmentation_nonpay!$C$2:$C$721),0)</f>
        <v>26.96606394</v>
      </c>
      <c r="F3" s="327">
        <f>IFERROR(SUMPRODUCT((data_raw_segmentation_nonpay!$B$2:$B$721=$D3)*ISNUMBER(data_raw_segmentation_nonpay!$L$2:$L$721)*data_raw_segmentation_nonpay!$L$2:$L$721*data_raw_segmentation_nonpay!$C$2:$C$721)/SUMPRODUCT((data_raw_segmentation_nonpay!$B$2:$B$721=$D3)*ISNUMBER(data_raw_segmentation_nonpay!$L$2:$L$721)*data_raw_segmentation_nonpay!$C$2:$C$721),0)</f>
        <v>0.5341598574</v>
      </c>
      <c r="G3" s="326">
        <f>IFERROR(SUMPRODUCT((data_raw_segmentation_nonpay!$B$2:$B$721=$D3)*ISNUMBER(data_raw_segmentation_nonpay!$K$2:$K$721)*data_raw_segmentation_nonpay!$K$2:$K$721*data_raw_segmentation_nonpay!$C$2:$C$721)/SUMPRODUCT((data_raw_segmentation_nonpay!$B$2:$B$721=$D3)*ISNUMBER(data_raw_segmentation_nonpay!$K$2:$K$721)*data_raw_segmentation_nonpay!$C$2:$C$721),0)</f>
        <v>14.38549436</v>
      </c>
      <c r="H3" s="326">
        <f>IFERROR(SUMPRODUCT((data_raw_segmentation_nonpay!$B$2:$B$721=$D3)*ISNUMBER(data_raw_segmentation_nonpay!$P$2:$P$721)*data_raw_segmentation_nonpay!$P$2:$P$721*data_raw_segmentation_nonpay!$C$2:$C$721)/SUMPRODUCT((data_raw_segmentation_nonpay!$B$2:$B$721=$D3)*ISNUMBER(data_raw_segmentation_nonpay!$P$2:$P$721)*data_raw_segmentation_nonpay!$C$2:$C$721),0)</f>
        <v>100.2844624</v>
      </c>
      <c r="I3" s="326">
        <f>IFERROR(SUMPRODUCT((data_raw_segmentation_nonpay!$B$2:$B$721=$D3)*ISNUMBER(data_raw_segmentation_nonpay!$R$2:$R$721)*data_raw_segmentation_nonpay!$R$2:$R$721*data_raw_segmentation_nonpay!$C$2:$C$721)/SUMPRODUCT((data_raw_segmentation_nonpay!$B$2:$B$721=$D3)*ISNUMBER(data_raw_segmentation_nonpay!$R$2:$R$721)*data_raw_segmentation_nonpay!$C$2:$C$721),0)</f>
        <v>27.60077982</v>
      </c>
      <c r="J3" s="326">
        <f>IFERROR(SUMPRODUCT((data_raw_segmentation_nonpay!$B$2:$B$721=$D3)*ISNUMBER(data_raw_segmentation_nonpay!$Q$2:$Q$721)*data_raw_segmentation_nonpay!$Q$2:$Q$721*data_raw_segmentation_nonpay!$C$2:$C$721)/SUMPRODUCT((data_raw_segmentation_nonpay!$B$2:$B$721=$D3)*ISNUMBER(data_raw_segmentation_nonpay!$Q$2:$Q$721)*data_raw_segmentation_nonpay!$C$2:$C$721),0)</f>
        <v>72.68375847</v>
      </c>
      <c r="K3" s="326">
        <f>IFERROR(SUMPRODUCT((data_raw_segmentation_nonpay!$B$2:$B$721=$D3)*ISNUMBER(data_raw_segmentation_nonpay!$U$2:$U$721)*data_raw_segmentation_nonpay!$U$2:$U$721*data_raw_segmentation_nonpay!$C$2:$C$721)/SUMPRODUCT((data_raw_segmentation_nonpay!$B$2:$B$721=$D3)*ISNUMBER(data_raw_segmentation_nonpay!$U$2:$U$721)*data_raw_segmentation_nonpay!$C$2:$C$721),0)</f>
        <v>101.0060543</v>
      </c>
      <c r="L3" s="327">
        <f>IFERROR(SUMPRODUCT((data_raw_segmentation_nonpay!$B$2:$B$721=$D3)*ISNUMBER(data_raw_segmentation_nonpay!$AH$2:$AH$721)*data_raw_segmentation_nonpay!$AH$2:$AH$721*data_raw_segmentation_nonpay!$C$2:$C$721)/SUMPRODUCT((data_raw_segmentation_nonpay!$B$2:$B$721=$D3)*ISNUMBER(data_raw_segmentation_nonpay!$AH$2:$AH$721)*data_raw_segmentation_nonpay!$C$2:$C$721),0)/100</f>
        <v>0.6092783093</v>
      </c>
      <c r="M3" s="327">
        <f>IFERROR(SUMPRODUCT((data_raw_segmentation_nonpay!$B$2:$B$721=$D3)*ISNUMBER(data_raw_segmentation_nonpay!$AI$2:$AI$721)*data_raw_segmentation_nonpay!$AI$2:$AI$721*data_raw_segmentation_nonpay!$C$2:$C$721)/SUMPRODUCT((data_raw_segmentation_nonpay!$B$2:$B$721=$D3)*ISNUMBER(data_raw_segmentation_nonpay!$AI$2:$AI$721)*data_raw_segmentation_nonpay!$C$2:$C$721),0)/100</f>
        <v>0.2625770105</v>
      </c>
      <c r="N3" s="327">
        <f>IFERROR(SUMPRODUCT((data_raw_segmentation_nonpay!$B$2:$B$721=$D3)*ISNUMBER(data_raw_segmentation_nonpay!$AJ$2:$AJ$721)*data_raw_segmentation_nonpay!$AJ$2:$AJ$721*data_raw_segmentation_nonpay!$C$2:$C$721)/SUMPRODUCT((data_raw_segmentation_nonpay!$B$2:$B$721=$D3)*ISNUMBER(data_raw_segmentation_nonpay!$AJ$2:$AJ$721)*data_raw_segmentation_nonpay!$C$2:$C$721),0)/100</f>
        <v>0.0464029229</v>
      </c>
      <c r="O3" s="326">
        <f>SUMPRODUCT((data_raw_slopes!$A$2:$A$41=$A3)*(data_raw_slopes!$B$2:$B$41=$B3)*(data_raw_slopes!$C$2:$C$41="p25")*data_raw_slopes!$D$2:$D$41)</f>
        <v>4</v>
      </c>
      <c r="P3" s="326">
        <f>IF(SUMPRODUCT((data_raw_slopes!$A$2:$A$41=$A3)*(data_raw_slopes!$B$2:$B$41=$B3)*(data_raw_slopes!$C$2:$C$41="p25")*data_raw_slopes!$F$2:$F$41)&lt;&gt;0,SUMPRODUCT((data_raw_slopes!$A$2:$A$41=$A3)*(data_raw_slopes!$B$2:$B$41=$B3)*(data_raw_slopes!$C$2:$C$41="p25")*data_raw_slopes!$F$2:$F$41),SUMPRODUCT((data_raw_slopes!$A$2:$A$41=$A3)*(data_raw_slopes!$B$2:$B$41=$B3)*(data_raw_slopes!$C$2:$C$41="p25")*data_raw_slopes!$G$2:$G$41))</f>
        <v>10.9869</v>
      </c>
      <c r="Q3" s="326">
        <f>SUMPRODUCT((data_raw_slopes!$A$2:$A$41=$A3)*(data_raw_slopes!$B$2:$B$41=$B3)*(data_raw_slopes!$C$2:$C$41="p50")*data_raw_slopes!$D$2:$D$41)</f>
        <v>7</v>
      </c>
      <c r="R3" s="326">
        <f>IF(SUMPRODUCT((data_raw_slopes!$A$2:$A$41=$A3)*(data_raw_slopes!$B$2:$B$41=$B3)*(data_raw_slopes!$C$2:$C$41="p50")*data_raw_slopes!$F$2:$F$41)&lt;&gt;0,SUMPRODUCT((data_raw_slopes!$A$2:$A$41=$A3)*(data_raw_slopes!$B$2:$B$41=$B3)*(data_raw_slopes!$C$2:$C$41="p50")*data_raw_slopes!$F$2:$F$41),SUMPRODUCT((data_raw_slopes!$A$2:$A$41=$A3)*(data_raw_slopes!$B$2:$B$41=$B3)*(data_raw_slopes!$C$2:$C$41="p50")*data_raw_slopes!$G$2:$G$41))</f>
        <v>5.3655</v>
      </c>
      <c r="S3" s="326">
        <f>SUMPRODUCT((data_raw_slopes!$A$2:$A$41=$A3)*(data_raw_slopes!$B$2:$B$41=$B3)*(data_raw_slopes!$C$2:$C$41="p75")*data_raw_slopes!$D$2:$D$41)</f>
        <v>13</v>
      </c>
      <c r="T3" s="326">
        <f>IF(SUMPRODUCT((data_raw_slopes!$A$2:$A$41=$A3)*(data_raw_slopes!$B$2:$B$41=$B3)*(data_raw_slopes!$C$2:$C$41="p75")*data_raw_slopes!$F$2:$F$41)&lt;&gt;0,SUMPRODUCT((data_raw_slopes!$A$2:$A$41=$A3)*(data_raw_slopes!$B$2:$B$41=$B3)*(data_raw_slopes!$C$2:$C$41="p75")*data_raw_slopes!$F$2:$F$41),SUMPRODUCT((data_raw_slopes!$A$2:$A$41=$A3)*(data_raw_slopes!$B$2:$B$41=$B3)*(data_raw_slopes!$C$2:$C$41="p75")*data_raw_slopes!$G$2:$G$41))</f>
        <v>5.9567</v>
      </c>
      <c r="U3" s="326">
        <f>SUMPRODUCT((data_raw_slopes!$A$2:$A$41=$A3)*(data_raw_slopes!$B$2:$B$41=$B3)*(data_raw_slopes!$C$2:$C$41="p90")*data_raw_slopes!$D$2:$D$41)</f>
        <v>20</v>
      </c>
      <c r="V3" s="326">
        <f>IF(SUMPRODUCT((data_raw_slopes!$A$2:$A$41=$A3)*(data_raw_slopes!$B$2:$B$41=$B3)*(data_raw_slopes!$C$2:$C$41="p90")*data_raw_slopes!$F$2:$F$41)&lt;&gt;0,SUMPRODUCT((data_raw_slopes!$A$2:$A$41=$A3)*(data_raw_slopes!$B$2:$B$41=$B3)*(data_raw_slopes!$C$2:$C$41="p90")*data_raw_slopes!$F$2:$F$41),SUMPRODUCT((data_raw_slopes!$A$2:$A$41=$A3)*(data_raw_slopes!$B$2:$B$41=$B3)*(data_raw_slopes!$C$2:$C$41="p90")*data_raw_slopes!$G$2:$G$41))</f>
        <v>6.4777</v>
      </c>
      <c r="W3" s="85">
        <f>IFERROR(SUMPRODUCT((data_raw_segmentation_nonpay!$B$2:$B$721=$D3)*ISNUMBER(data_raw_segmentation_nonpay!$AC$2:$AC$721)*data_raw_segmentation_nonpay!$AC$2:$AC$721*data_raw_segmentation_nonpay!$C$2:$C$721)/SUMPRODUCT((data_raw_segmentation_nonpay!$B$2:$B$721=$D3)*ISNUMBER(data_raw_segmentation_nonpay!$AC$2:$AC$721)*data_raw_segmentation_nonpay!$C$2:$C$721),0)</f>
        <v>9.449236951</v>
      </c>
      <c r="X3" s="326">
        <f>IFERROR(SUMPRODUCT((data_raw_segmentation_nonpay!$B$2:$B$721=$D3)*ISNUMBER(data_raw_segmentation_nonpay!$AL$2:$AL$721)*data_raw_segmentation_nonpay!$AL$2:$AL$721*data_raw_segmentation_nonpay!$C$2:$C$721)/SUMPRODUCT((data_raw_segmentation_nonpay!$B$2:$B$721=$D3)*ISNUMBER(data_raw_segmentation_nonpay!$AL$2:$AL$721)*data_raw_segmentation_nonpay!$C$2:$C$721),0)</f>
        <v>20.63398846</v>
      </c>
      <c r="Y3" s="326">
        <f>IFERROR(SUMPRODUCT((data_raw_segmentation_nonpay!$B$2:$B$721=$D3)*ISNUMBER(data_raw_segmentation_nonpay!$AN$2:$AN$721)*data_raw_segmentation_nonpay!$AN$2:$AN$721*data_raw_segmentation_nonpay!$C$2:$C$721)/SUMPRODUCT((data_raw_segmentation_nonpay!$B$2:$B$721=$D3)*ISNUMBER(data_raw_segmentation_nonpay!$AN$2:$AN$721)*data_raw_segmentation_nonpay!$C$2:$C$721),0)/100</f>
        <v>0.722380037</v>
      </c>
      <c r="Z3" s="85"/>
    </row>
    <row r="4" ht="15.0" customHeight="1">
      <c r="A4" s="85" t="s">
        <v>45</v>
      </c>
      <c r="B4" s="85" t="s">
        <v>212</v>
      </c>
      <c r="C4" s="85" t="s">
        <v>213</v>
      </c>
      <c r="D4" s="85" t="s">
        <v>216</v>
      </c>
      <c r="E4" s="326">
        <f>IFERROR(SUMPRODUCT((data_raw_segmentation_nonpay!$B$2:$B$721=$D4)*ISNUMBER(data_raw_segmentation_nonpay!$J$2:$J$721)*data_raw_segmentation_nonpay!$J$2:$J$721*data_raw_segmentation_nonpay!$C$2:$C$721)/SUMPRODUCT((data_raw_segmentation_nonpay!$B$2:$B$721=$D4)*ISNUMBER(data_raw_segmentation_nonpay!$J$2:$J$721)*data_raw_segmentation_nonpay!$C$2:$C$721),0)</f>
        <v>41.8411042</v>
      </c>
      <c r="F4" s="327">
        <f>IFERROR(SUMPRODUCT((data_raw_segmentation_nonpay!$B$2:$B$721=$D4)*ISNUMBER(data_raw_segmentation_nonpay!$L$2:$L$721)*data_raw_segmentation_nonpay!$L$2:$L$721*data_raw_segmentation_nonpay!$C$2:$C$721)/SUMPRODUCT((data_raw_segmentation_nonpay!$B$2:$B$721=$D4)*ISNUMBER(data_raw_segmentation_nonpay!$L$2:$L$721)*data_raw_segmentation_nonpay!$C$2:$C$721),0)</f>
        <v>0.662245061</v>
      </c>
      <c r="G4" s="326">
        <f>IFERROR(SUMPRODUCT((data_raw_segmentation_nonpay!$B$2:$B$721=$D4)*ISNUMBER(data_raw_segmentation_nonpay!$K$2:$K$721)*data_raw_segmentation_nonpay!$K$2:$K$721*data_raw_segmentation_nonpay!$C$2:$C$721)/SUMPRODUCT((data_raw_segmentation_nonpay!$B$2:$B$721=$D4)*ISNUMBER(data_raw_segmentation_nonpay!$K$2:$K$721)*data_raw_segmentation_nonpay!$C$2:$C$721),0)</f>
        <v>27.70998334</v>
      </c>
      <c r="H4" s="326">
        <f>IFERROR(SUMPRODUCT((data_raw_segmentation_nonpay!$B$2:$B$721=$D4)*ISNUMBER(data_raw_segmentation_nonpay!$P$2:$P$721)*data_raw_segmentation_nonpay!$P$2:$P$721*data_raw_segmentation_nonpay!$C$2:$C$721)/SUMPRODUCT((data_raw_segmentation_nonpay!$B$2:$B$721=$D4)*ISNUMBER(data_raw_segmentation_nonpay!$P$2:$P$721)*data_raw_segmentation_nonpay!$C$2:$C$721),0)</f>
        <v>170.387522</v>
      </c>
      <c r="I4" s="326">
        <f>IFERROR(SUMPRODUCT((data_raw_segmentation_nonpay!$B$2:$B$721=$D4)*ISNUMBER(data_raw_segmentation_nonpay!$R$2:$R$721)*data_raw_segmentation_nonpay!$R$2:$R$721*data_raw_segmentation_nonpay!$C$2:$C$721)/SUMPRODUCT((data_raw_segmentation_nonpay!$B$2:$B$721=$D4)*ISNUMBER(data_raw_segmentation_nonpay!$R$2:$R$721)*data_raw_segmentation_nonpay!$C$2:$C$721),0)</f>
        <v>53.23721451</v>
      </c>
      <c r="J4" s="326">
        <f>IFERROR(SUMPRODUCT((data_raw_segmentation_nonpay!$B$2:$B$721=$D4)*ISNUMBER(data_raw_segmentation_nonpay!$Q$2:$Q$721)*data_raw_segmentation_nonpay!$Q$2:$Q$721*data_raw_segmentation_nonpay!$C$2:$C$721)/SUMPRODUCT((data_raw_segmentation_nonpay!$B$2:$B$721=$D4)*ISNUMBER(data_raw_segmentation_nonpay!$Q$2:$Q$721)*data_raw_segmentation_nonpay!$C$2:$C$721),0)</f>
        <v>117.1507876</v>
      </c>
      <c r="K4" s="326">
        <f>IFERROR(SUMPRODUCT((data_raw_segmentation_nonpay!$B$2:$B$721=$D4)*ISNUMBER(data_raw_segmentation_nonpay!$U$2:$U$721)*data_raw_segmentation_nonpay!$U$2:$U$721*data_raw_segmentation_nonpay!$C$2:$C$721)/SUMPRODUCT((data_raw_segmentation_nonpay!$B$2:$B$721=$D4)*ISNUMBER(data_raw_segmentation_nonpay!$U$2:$U$721)*data_raw_segmentation_nonpay!$C$2:$C$721),0)</f>
        <v>174.9874242</v>
      </c>
      <c r="L4" s="327">
        <f>IFERROR(SUMPRODUCT((data_raw_segmentation_nonpay!$B$2:$B$721=$D4)*ISNUMBER(data_raw_segmentation_nonpay!$AH$2:$AH$721)*data_raw_segmentation_nonpay!$AH$2:$AH$721*data_raw_segmentation_nonpay!$C$2:$C$721)/SUMPRODUCT((data_raw_segmentation_nonpay!$B$2:$B$721=$D4)*ISNUMBER(data_raw_segmentation_nonpay!$AH$2:$AH$721)*data_raw_segmentation_nonpay!$C$2:$C$721),0)/100</f>
        <v>0.6109214535</v>
      </c>
      <c r="M4" s="327">
        <f>IFERROR(SUMPRODUCT((data_raw_segmentation_nonpay!$B$2:$B$721=$D4)*ISNUMBER(data_raw_segmentation_nonpay!$AI$2:$AI$721)*data_raw_segmentation_nonpay!$AI$2:$AI$721*data_raw_segmentation_nonpay!$C$2:$C$721)/SUMPRODUCT((data_raw_segmentation_nonpay!$B$2:$B$721=$D4)*ISNUMBER(data_raw_segmentation_nonpay!$AI$2:$AI$721)*data_raw_segmentation_nonpay!$C$2:$C$721),0)/100</f>
        <v>0.2396288743</v>
      </c>
      <c r="N4" s="327">
        <f>IFERROR(SUMPRODUCT((data_raw_segmentation_nonpay!$B$2:$B$721=$D4)*ISNUMBER(data_raw_segmentation_nonpay!$AJ$2:$AJ$721)*data_raw_segmentation_nonpay!$AJ$2:$AJ$721*data_raw_segmentation_nonpay!$C$2:$C$721)/SUMPRODUCT((data_raw_segmentation_nonpay!$B$2:$B$721=$D4)*ISNUMBER(data_raw_segmentation_nonpay!$AJ$2:$AJ$721)*data_raw_segmentation_nonpay!$C$2:$C$721),0)/100</f>
        <v>0.06936363401</v>
      </c>
      <c r="O4" s="326">
        <f>SUMPRODUCT((data_raw_slopes!$A$2:$A$41=$A4)*(data_raw_slopes!$B$2:$B$41=$B4)*(data_raw_slopes!$C$2:$C$41="p25")*data_raw_slopes!$D$2:$D$41)</f>
        <v>7</v>
      </c>
      <c r="P4" s="326">
        <f>IF(SUMPRODUCT((data_raw_slopes!$A$2:$A$41=$A4)*(data_raw_slopes!$B$2:$B$41=$B4)*(data_raw_slopes!$C$2:$C$41="p25")*data_raw_slopes!$F$2:$F$41)&lt;&gt;0,SUMPRODUCT((data_raw_slopes!$A$2:$A$41=$A4)*(data_raw_slopes!$B$2:$B$41=$B4)*(data_raw_slopes!$C$2:$C$41="p25")*data_raw_slopes!$F$2:$F$41),SUMPRODUCT((data_raw_slopes!$A$2:$A$41=$A4)*(data_raw_slopes!$B$2:$B$41=$B4)*(data_raw_slopes!$C$2:$C$41="p25")*data_raw_slopes!$G$2:$G$41))</f>
        <v>9.5117</v>
      </c>
      <c r="Q4" s="326">
        <f>SUMPRODUCT((data_raw_slopes!$A$2:$A$41=$A4)*(data_raw_slopes!$B$2:$B$41=$B4)*(data_raw_slopes!$C$2:$C$41="p50")*data_raw_slopes!$D$2:$D$41)</f>
        <v>14</v>
      </c>
      <c r="R4" s="326">
        <f>IF(SUMPRODUCT((data_raw_slopes!$A$2:$A$41=$A4)*(data_raw_slopes!$B$2:$B$41=$B4)*(data_raw_slopes!$C$2:$C$41="p50")*data_raw_slopes!$F$2:$F$41)&lt;&gt;0,SUMPRODUCT((data_raw_slopes!$A$2:$A$41=$A4)*(data_raw_slopes!$B$2:$B$41=$B4)*(data_raw_slopes!$C$2:$C$41="p50")*data_raw_slopes!$F$2:$F$41),SUMPRODUCT((data_raw_slopes!$A$2:$A$41=$A4)*(data_raw_slopes!$B$2:$B$41=$B4)*(data_raw_slopes!$C$2:$C$41="p50")*data_raw_slopes!$G$2:$G$41))</f>
        <v>5.6273</v>
      </c>
      <c r="S4" s="326">
        <f>SUMPRODUCT((data_raw_slopes!$A$2:$A$41=$A4)*(data_raw_slopes!$B$2:$B$41=$B4)*(data_raw_slopes!$C$2:$C$41="p75")*data_raw_slopes!$D$2:$D$41)</f>
        <v>25</v>
      </c>
      <c r="T4" s="326">
        <f>IF(SUMPRODUCT((data_raw_slopes!$A$2:$A$41=$A4)*(data_raw_slopes!$B$2:$B$41=$B4)*(data_raw_slopes!$C$2:$C$41="p75")*data_raw_slopes!$F$2:$F$41)&lt;&gt;0,SUMPRODUCT((data_raw_slopes!$A$2:$A$41=$A4)*(data_raw_slopes!$B$2:$B$41=$B4)*(data_raw_slopes!$C$2:$C$41="p75")*data_raw_slopes!$F$2:$F$41),SUMPRODUCT((data_raw_slopes!$A$2:$A$41=$A4)*(data_raw_slopes!$B$2:$B$41=$B4)*(data_raw_slopes!$C$2:$C$41="p75")*data_raw_slopes!$G$2:$G$41))</f>
        <v>5.4463</v>
      </c>
      <c r="U4" s="326">
        <f>SUMPRODUCT((data_raw_slopes!$A$2:$A$41=$A4)*(data_raw_slopes!$B$2:$B$41=$B4)*(data_raw_slopes!$C$2:$C$41="p90")*data_raw_slopes!$D$2:$D$41)</f>
        <v>37</v>
      </c>
      <c r="V4" s="326">
        <f>IF(SUMPRODUCT((data_raw_slopes!$A$2:$A$41=$A4)*(data_raw_slopes!$B$2:$B$41=$B4)*(data_raw_slopes!$C$2:$C$41="p90")*data_raw_slopes!$F$2:$F$41)&lt;&gt;0,SUMPRODUCT((data_raw_slopes!$A$2:$A$41=$A4)*(data_raw_slopes!$B$2:$B$41=$B4)*(data_raw_slopes!$C$2:$C$41="p90")*data_raw_slopes!$F$2:$F$41),SUMPRODUCT((data_raw_slopes!$A$2:$A$41=$A4)*(data_raw_slopes!$B$2:$B$41=$B4)*(data_raw_slopes!$C$2:$C$41="p90")*data_raw_slopes!$G$2:$G$41))</f>
        <v>5.5887</v>
      </c>
      <c r="W4" s="85">
        <f>IFERROR(SUMPRODUCT((data_raw_segmentation_nonpay!$B$2:$B$721=$D4)*ISNUMBER(data_raw_segmentation_nonpay!$AC$2:$AC$721)*data_raw_segmentation_nonpay!$AC$2:$AC$721*data_raw_segmentation_nonpay!$C$2:$C$721)/SUMPRODUCT((data_raw_segmentation_nonpay!$B$2:$B$721=$D4)*ISNUMBER(data_raw_segmentation_nonpay!$AC$2:$AC$721)*data_raw_segmentation_nonpay!$C$2:$C$721),0)</f>
        <v>18.06210043</v>
      </c>
      <c r="X4" s="326">
        <f>IFERROR(SUMPRODUCT((data_raw_segmentation_nonpay!$B$2:$B$721=$D4)*ISNUMBER(data_raw_segmentation_nonpay!$AL$2:$AL$721)*data_raw_segmentation_nonpay!$AL$2:$AL$721*data_raw_segmentation_nonpay!$C$2:$C$721)/SUMPRODUCT((data_raw_segmentation_nonpay!$B$2:$B$721=$D4)*ISNUMBER(data_raw_segmentation_nonpay!$AL$2:$AL$721)*data_raw_segmentation_nonpay!$C$2:$C$721),0)</f>
        <v>20.94996818</v>
      </c>
      <c r="Y4" s="326">
        <f>IFERROR(SUMPRODUCT((data_raw_segmentation_nonpay!$B$2:$B$721=$D4)*ISNUMBER(data_raw_segmentation_nonpay!$AN$2:$AN$721)*data_raw_segmentation_nonpay!$AN$2:$AN$721*data_raw_segmentation_nonpay!$C$2:$C$721)/SUMPRODUCT((data_raw_segmentation_nonpay!$B$2:$B$721=$D4)*ISNUMBER(data_raw_segmentation_nonpay!$AN$2:$AN$721)*data_raw_segmentation_nonpay!$C$2:$C$721),0)/100</f>
        <v>0.7432388536</v>
      </c>
      <c r="Z4" s="85"/>
    </row>
    <row r="5" ht="15.0" customHeight="1">
      <c r="A5" s="85" t="s">
        <v>46</v>
      </c>
      <c r="B5" s="85" t="s">
        <v>212</v>
      </c>
      <c r="C5" s="85" t="s">
        <v>213</v>
      </c>
      <c r="D5" s="85" t="s">
        <v>217</v>
      </c>
      <c r="E5" s="326">
        <f>IFERROR(SUMPRODUCT((data_raw_segmentation_nonpay!$B$2:$B$721=$D5)*ISNUMBER(data_raw_segmentation_nonpay!$J$2:$J$721)*data_raw_segmentation_nonpay!$J$2:$J$721*data_raw_segmentation_nonpay!$C$2:$C$721)/SUMPRODUCT((data_raw_segmentation_nonpay!$B$2:$B$721=$D5)*ISNUMBER(data_raw_segmentation_nonpay!$J$2:$J$721)*data_raw_segmentation_nonpay!$C$2:$C$721),0)</f>
        <v>71.43060546</v>
      </c>
      <c r="F5" s="327">
        <f>IFERROR(SUMPRODUCT((data_raw_segmentation_nonpay!$B$2:$B$721=$D5)*ISNUMBER(data_raw_segmentation_nonpay!$L$2:$L$721)*data_raw_segmentation_nonpay!$L$2:$L$721*data_raw_segmentation_nonpay!$C$2:$C$721)/SUMPRODUCT((data_raw_segmentation_nonpay!$B$2:$B$721=$D5)*ISNUMBER(data_raw_segmentation_nonpay!$L$2:$L$721)*data_raw_segmentation_nonpay!$C$2:$C$721),0)</f>
        <v>0.7877741949</v>
      </c>
      <c r="G5" s="326">
        <f>IFERROR(SUMPRODUCT((data_raw_segmentation_nonpay!$B$2:$B$721=$D5)*ISNUMBER(data_raw_segmentation_nonpay!$K$2:$K$721)*data_raw_segmentation_nonpay!$K$2:$K$721*data_raw_segmentation_nonpay!$C$2:$C$721)/SUMPRODUCT((data_raw_segmentation_nonpay!$B$2:$B$721=$D5)*ISNUMBER(data_raw_segmentation_nonpay!$K$2:$K$721)*data_raw_segmentation_nonpay!$C$2:$C$721),0)</f>
        <v>56.27039272</v>
      </c>
      <c r="H5" s="326">
        <f>IFERROR(SUMPRODUCT((data_raw_segmentation_nonpay!$B$2:$B$721=$D5)*ISNUMBER(data_raw_segmentation_nonpay!$P$2:$P$721)*data_raw_segmentation_nonpay!$P$2:$P$721*data_raw_segmentation_nonpay!$C$2:$C$721)/SUMPRODUCT((data_raw_segmentation_nonpay!$B$2:$B$721=$D5)*ISNUMBER(data_raw_segmentation_nonpay!$P$2:$P$721)*data_raw_segmentation_nonpay!$C$2:$C$721),0)</f>
        <v>314.9946168</v>
      </c>
      <c r="I5" s="326">
        <f>IFERROR(SUMPRODUCT((data_raw_segmentation_nonpay!$B$2:$B$721=$D5)*ISNUMBER(data_raw_segmentation_nonpay!$R$2:$R$721)*data_raw_segmentation_nonpay!$R$2:$R$721*data_raw_segmentation_nonpay!$C$2:$C$721)/SUMPRODUCT((data_raw_segmentation_nonpay!$B$2:$B$721=$D5)*ISNUMBER(data_raw_segmentation_nonpay!$R$2:$R$721)*data_raw_segmentation_nonpay!$C$2:$C$721),0)</f>
        <v>109.414804</v>
      </c>
      <c r="J5" s="326">
        <f>IFERROR(SUMPRODUCT((data_raw_segmentation_nonpay!$B$2:$B$721=$D5)*ISNUMBER(data_raw_segmentation_nonpay!$Q$2:$Q$721)*data_raw_segmentation_nonpay!$Q$2:$Q$721*data_raw_segmentation_nonpay!$C$2:$C$721)/SUMPRODUCT((data_raw_segmentation_nonpay!$B$2:$B$721=$D5)*ISNUMBER(data_raw_segmentation_nonpay!$Q$2:$Q$721)*data_raw_segmentation_nonpay!$C$2:$C$721),0)</f>
        <v>205.5790253</v>
      </c>
      <c r="K5" s="326">
        <f>IFERROR(SUMPRODUCT((data_raw_segmentation_nonpay!$B$2:$B$721=$D5)*ISNUMBER(data_raw_segmentation_nonpay!$U$2:$U$721)*data_raw_segmentation_nonpay!$U$2:$U$721*data_raw_segmentation_nonpay!$C$2:$C$721)/SUMPRODUCT((data_raw_segmentation_nonpay!$B$2:$B$721=$D5)*ISNUMBER(data_raw_segmentation_nonpay!$U$2:$U$721)*data_raw_segmentation_nonpay!$C$2:$C$721),0)</f>
        <v>330.3528177</v>
      </c>
      <c r="L5" s="327">
        <f>IFERROR(SUMPRODUCT((data_raw_segmentation_nonpay!$B$2:$B$721=$D5)*ISNUMBER(data_raw_segmentation_nonpay!$AH$2:$AH$721)*data_raw_segmentation_nonpay!$AH$2:$AH$721*data_raw_segmentation_nonpay!$C$2:$C$721)/SUMPRODUCT((data_raw_segmentation_nonpay!$B$2:$B$721=$D5)*ISNUMBER(data_raw_segmentation_nonpay!$AH$2:$AH$721)*data_raw_segmentation_nonpay!$C$2:$C$721),0)/100</f>
        <v>0.5358222521</v>
      </c>
      <c r="M5" s="327">
        <f>IFERROR(SUMPRODUCT((data_raw_segmentation_nonpay!$B$2:$B$721=$D5)*ISNUMBER(data_raw_segmentation_nonpay!$AI$2:$AI$721)*data_raw_segmentation_nonpay!$AI$2:$AI$721*data_raw_segmentation_nonpay!$C$2:$C$721)/SUMPRODUCT((data_raw_segmentation_nonpay!$B$2:$B$721=$D5)*ISNUMBER(data_raw_segmentation_nonpay!$AI$2:$AI$721)*data_raw_segmentation_nonpay!$C$2:$C$721),0)/100</f>
        <v>0.196710823</v>
      </c>
      <c r="N5" s="327">
        <f>IFERROR(SUMPRODUCT((data_raw_segmentation_nonpay!$B$2:$B$721=$D5)*ISNUMBER(data_raw_segmentation_nonpay!$AJ$2:$AJ$721)*data_raw_segmentation_nonpay!$AJ$2:$AJ$721*data_raw_segmentation_nonpay!$C$2:$C$721)/SUMPRODUCT((data_raw_segmentation_nonpay!$B$2:$B$721=$D5)*ISNUMBER(data_raw_segmentation_nonpay!$AJ$2:$AJ$721)*data_raw_segmentation_nonpay!$C$2:$C$721),0)/100</f>
        <v>0.04774950489</v>
      </c>
      <c r="O5" s="326">
        <f>SUMPRODUCT((data_raw_slopes!$A$2:$A$41=$A5)*(data_raw_slopes!$B$2:$B$41=$B5)*(data_raw_slopes!$C$2:$C$41="p25")*data_raw_slopes!$D$2:$D$41)</f>
        <v>15</v>
      </c>
      <c r="P5" s="326">
        <f>IF(SUMPRODUCT((data_raw_slopes!$A$2:$A$41=$A5)*(data_raw_slopes!$B$2:$B$41=$B5)*(data_raw_slopes!$C$2:$C$41="p25")*data_raw_slopes!$F$2:$F$41)&lt;&gt;0,SUMPRODUCT((data_raw_slopes!$A$2:$A$41=$A5)*(data_raw_slopes!$B$2:$B$41=$B5)*(data_raw_slopes!$C$2:$C$41="p25")*data_raw_slopes!$F$2:$F$41),SUMPRODUCT((data_raw_slopes!$A$2:$A$41=$A5)*(data_raw_slopes!$B$2:$B$41=$B5)*(data_raw_slopes!$C$2:$C$41="p25")*data_raw_slopes!$G$2:$G$41))</f>
        <v>8.6335</v>
      </c>
      <c r="Q5" s="326">
        <f>SUMPRODUCT((data_raw_slopes!$A$2:$A$41=$A5)*(data_raw_slopes!$B$2:$B$41=$B5)*(data_raw_slopes!$C$2:$C$41="p50")*data_raw_slopes!$D$2:$D$41)</f>
        <v>30</v>
      </c>
      <c r="R5" s="326">
        <f>IF(SUMPRODUCT((data_raw_slopes!$A$2:$A$41=$A5)*(data_raw_slopes!$B$2:$B$41=$B5)*(data_raw_slopes!$C$2:$C$41="p50")*data_raw_slopes!$F$2:$F$41)&lt;&gt;0,SUMPRODUCT((data_raw_slopes!$A$2:$A$41=$A5)*(data_raw_slopes!$B$2:$B$41=$B5)*(data_raw_slopes!$C$2:$C$41="p50")*data_raw_slopes!$F$2:$F$41),SUMPRODUCT((data_raw_slopes!$A$2:$A$41=$A5)*(data_raw_slopes!$B$2:$B$41=$B5)*(data_raw_slopes!$C$2:$C$41="p50")*data_raw_slopes!$G$2:$G$41))</f>
        <v>5.0627</v>
      </c>
      <c r="S5" s="326">
        <f>SUMPRODUCT((data_raw_slopes!$A$2:$A$41=$A5)*(data_raw_slopes!$B$2:$B$41=$B5)*(data_raw_slopes!$C$2:$C$41="p75")*data_raw_slopes!$D$2:$D$41)</f>
        <v>52</v>
      </c>
      <c r="T5" s="326">
        <f>IF(SUMPRODUCT((data_raw_slopes!$A$2:$A$41=$A5)*(data_raw_slopes!$B$2:$B$41=$B5)*(data_raw_slopes!$C$2:$C$41="p75")*data_raw_slopes!$F$2:$F$41)&lt;&gt;0,SUMPRODUCT((data_raw_slopes!$A$2:$A$41=$A5)*(data_raw_slopes!$B$2:$B$41=$B5)*(data_raw_slopes!$C$2:$C$41="p75")*data_raw_slopes!$F$2:$F$41),SUMPRODUCT((data_raw_slopes!$A$2:$A$41=$A5)*(data_raw_slopes!$B$2:$B$41=$B5)*(data_raw_slopes!$C$2:$C$41="p75")*data_raw_slopes!$G$2:$G$41))</f>
        <v>4.2011</v>
      </c>
      <c r="U5" s="326">
        <f>SUMPRODUCT((data_raw_slopes!$A$2:$A$41=$A5)*(data_raw_slopes!$B$2:$B$41=$B5)*(data_raw_slopes!$C$2:$C$41="p90")*data_raw_slopes!$D$2:$D$41)</f>
        <v>79</v>
      </c>
      <c r="V5" s="326">
        <f>IF(SUMPRODUCT((data_raw_slopes!$A$2:$A$41=$A5)*(data_raw_slopes!$B$2:$B$41=$B5)*(data_raw_slopes!$C$2:$C$41="p90")*data_raw_slopes!$F$2:$F$41)&lt;&gt;0,SUMPRODUCT((data_raw_slopes!$A$2:$A$41=$A5)*(data_raw_slopes!$B$2:$B$41=$B5)*(data_raw_slopes!$C$2:$C$41="p90")*data_raw_slopes!$F$2:$F$41),SUMPRODUCT((data_raw_slopes!$A$2:$A$41=$A5)*(data_raw_slopes!$B$2:$B$41=$B5)*(data_raw_slopes!$C$2:$C$41="p90")*data_raw_slopes!$G$2:$G$41))</f>
        <v>5.5147</v>
      </c>
      <c r="W5" s="85">
        <f>IFERROR(SUMPRODUCT((data_raw_segmentation_nonpay!$B$2:$B$721=$D5)*ISNUMBER(data_raw_segmentation_nonpay!$AC$2:$AC$721)*data_raw_segmentation_nonpay!$AC$2:$AC$721*data_raw_segmentation_nonpay!$C$2:$C$721)/SUMPRODUCT((data_raw_segmentation_nonpay!$B$2:$B$721=$D5)*ISNUMBER(data_raw_segmentation_nonpay!$AC$2:$AC$721)*data_raw_segmentation_nonpay!$C$2:$C$721),0)</f>
        <v>38.00161727</v>
      </c>
      <c r="X5" s="326">
        <f>IFERROR(SUMPRODUCT((data_raw_segmentation_nonpay!$B$2:$B$721=$D5)*ISNUMBER(data_raw_segmentation_nonpay!$AL$2:$AL$721)*data_raw_segmentation_nonpay!$AL$2:$AL$721*data_raw_segmentation_nonpay!$C$2:$C$721)/SUMPRODUCT((data_raw_segmentation_nonpay!$B$2:$B$721=$D5)*ISNUMBER(data_raw_segmentation_nonpay!$AL$2:$AL$721)*data_raw_segmentation_nonpay!$C$2:$C$721),0)</f>
        <v>21.83850189</v>
      </c>
      <c r="Y5" s="326">
        <f>IFERROR(SUMPRODUCT((data_raw_segmentation_nonpay!$B$2:$B$721=$D5)*ISNUMBER(data_raw_segmentation_nonpay!$AN$2:$AN$721)*data_raw_segmentation_nonpay!$AN$2:$AN$721*data_raw_segmentation_nonpay!$C$2:$C$721)/SUMPRODUCT((data_raw_segmentation_nonpay!$B$2:$B$721=$D5)*ISNUMBER(data_raw_segmentation_nonpay!$AN$2:$AN$721)*data_raw_segmentation_nonpay!$C$2:$C$721),0)/100</f>
        <v>0.7886220304</v>
      </c>
      <c r="Z5" s="85"/>
    </row>
    <row r="6" ht="15.0" customHeight="1">
      <c r="A6" s="85" t="s">
        <v>47</v>
      </c>
      <c r="B6" s="85" t="s">
        <v>212</v>
      </c>
      <c r="C6" s="85" t="s">
        <v>213</v>
      </c>
      <c r="D6" s="85" t="s">
        <v>218</v>
      </c>
      <c r="E6" s="326">
        <f>IFERROR(SUMPRODUCT((data_raw_segmentation_nonpay!$B$2:$B$721=$D6)*ISNUMBER(data_raw_segmentation_nonpay!$J$2:$J$721)*data_raw_segmentation_nonpay!$J$2:$J$721*data_raw_segmentation_nonpay!$C$2:$C$721)/SUMPRODUCT((data_raw_segmentation_nonpay!$B$2:$B$721=$D6)*ISNUMBER(data_raw_segmentation_nonpay!$J$2:$J$721)*data_raw_segmentation_nonpay!$C$2:$C$721),0)</f>
        <v>144.472665</v>
      </c>
      <c r="F6" s="327">
        <f>IFERROR(SUMPRODUCT((data_raw_segmentation_nonpay!$B$2:$B$721=$D6)*ISNUMBER(data_raw_segmentation_nonpay!$L$2:$L$721)*data_raw_segmentation_nonpay!$L$2:$L$721*data_raw_segmentation_nonpay!$C$2:$C$721)/SUMPRODUCT((data_raw_segmentation_nonpay!$B$2:$B$721=$D6)*ISNUMBER(data_raw_segmentation_nonpay!$L$2:$L$721)*data_raw_segmentation_nonpay!$C$2:$C$721),0)</f>
        <v>0.8752311958</v>
      </c>
      <c r="G6" s="326">
        <f>IFERROR(SUMPRODUCT((data_raw_segmentation_nonpay!$B$2:$B$721=$D6)*ISNUMBER(data_raw_segmentation_nonpay!$K$2:$K$721)*data_raw_segmentation_nonpay!$K$2:$K$721*data_raw_segmentation_nonpay!$C$2:$C$721)/SUMPRODUCT((data_raw_segmentation_nonpay!$B$2:$B$721=$D6)*ISNUMBER(data_raw_segmentation_nonpay!$K$2:$K$721)*data_raw_segmentation_nonpay!$C$2:$C$721),0)</f>
        <v>126.4408947</v>
      </c>
      <c r="H6" s="326">
        <f>IFERROR(SUMPRODUCT((data_raw_segmentation_nonpay!$B$2:$B$721=$D6)*ISNUMBER(data_raw_segmentation_nonpay!$P$2:$P$721)*data_raw_segmentation_nonpay!$P$2:$P$721*data_raw_segmentation_nonpay!$C$2:$C$721)/SUMPRODUCT((data_raw_segmentation_nonpay!$B$2:$B$721=$D6)*ISNUMBER(data_raw_segmentation_nonpay!$P$2:$P$721)*data_raw_segmentation_nonpay!$C$2:$C$721),0)</f>
        <v>616.8101726</v>
      </c>
      <c r="I6" s="326">
        <f>IFERROR(SUMPRODUCT((data_raw_segmentation_nonpay!$B$2:$B$721=$D6)*ISNUMBER(data_raw_segmentation_nonpay!$R$2:$R$721)*data_raw_segmentation_nonpay!$R$2:$R$721*data_raw_segmentation_nonpay!$C$2:$C$721)/SUMPRODUCT((data_raw_segmentation_nonpay!$B$2:$B$721=$D6)*ISNUMBER(data_raw_segmentation_nonpay!$R$2:$R$721)*data_raw_segmentation_nonpay!$C$2:$C$721),0)</f>
        <v>252.5799115</v>
      </c>
      <c r="J6" s="326">
        <f>IFERROR(SUMPRODUCT((data_raw_segmentation_nonpay!$B$2:$B$721=$D6)*ISNUMBER(data_raw_segmentation_nonpay!$Q$2:$Q$721)*data_raw_segmentation_nonpay!$Q$2:$Q$721*data_raw_segmentation_nonpay!$C$2:$C$721)/SUMPRODUCT((data_raw_segmentation_nonpay!$B$2:$B$721=$D6)*ISNUMBER(data_raw_segmentation_nonpay!$Q$2:$Q$721)*data_raw_segmentation_nonpay!$C$2:$C$721),0)</f>
        <v>364.2298595</v>
      </c>
      <c r="K6" s="326">
        <f>IFERROR(SUMPRODUCT((data_raw_segmentation_nonpay!$B$2:$B$721=$D6)*ISNUMBER(data_raw_segmentation_nonpay!$U$2:$U$721)*data_raw_segmentation_nonpay!$U$2:$U$721*data_raw_segmentation_nonpay!$C$2:$C$721)/SUMPRODUCT((data_raw_segmentation_nonpay!$B$2:$B$721=$D6)*ISNUMBER(data_raw_segmentation_nonpay!$U$2:$U$721)*data_raw_segmentation_nonpay!$C$2:$C$721),0)</f>
        <v>689.6887316</v>
      </c>
      <c r="L6" s="327">
        <f>IFERROR(SUMPRODUCT((data_raw_segmentation_nonpay!$B$2:$B$721=$D6)*ISNUMBER(data_raw_segmentation_nonpay!$AH$2:$AH$721)*data_raw_segmentation_nonpay!$AH$2:$AH$721*data_raw_segmentation_nonpay!$C$2:$C$721)/SUMPRODUCT((data_raw_segmentation_nonpay!$B$2:$B$721=$D6)*ISNUMBER(data_raw_segmentation_nonpay!$AH$2:$AH$721)*data_raw_segmentation_nonpay!$C$2:$C$721),0)/100</f>
        <v>0.4732223038</v>
      </c>
      <c r="M6" s="327">
        <f>IFERROR(SUMPRODUCT((data_raw_segmentation_nonpay!$B$2:$B$721=$D6)*ISNUMBER(data_raw_segmentation_nonpay!$AI$2:$AI$721)*data_raw_segmentation_nonpay!$AI$2:$AI$721*data_raw_segmentation_nonpay!$C$2:$C$721)/SUMPRODUCT((data_raw_segmentation_nonpay!$B$2:$B$721=$D6)*ISNUMBER(data_raw_segmentation_nonpay!$AI$2:$AI$721)*data_raw_segmentation_nonpay!$C$2:$C$721),0)/100</f>
        <v>0.1035863541</v>
      </c>
      <c r="N6" s="327">
        <f>IFERROR(SUMPRODUCT((data_raw_segmentation_nonpay!$B$2:$B$721=$D6)*ISNUMBER(data_raw_segmentation_nonpay!$AJ$2:$AJ$721)*data_raw_segmentation_nonpay!$AJ$2:$AJ$721*data_raw_segmentation_nonpay!$C$2:$C$721)/SUMPRODUCT((data_raw_segmentation_nonpay!$B$2:$B$721=$D6)*ISNUMBER(data_raw_segmentation_nonpay!$AJ$2:$AJ$721)*data_raw_segmentation_nonpay!$C$2:$C$721),0)/100</f>
        <v>0.01392235508</v>
      </c>
      <c r="O6" s="326">
        <f>SUMPRODUCT((data_raw_slopes!$A$2:$A$41=$A6)*(data_raw_slopes!$B$2:$B$41=$B6)*(data_raw_slopes!$C$2:$C$41="p25")*data_raw_slopes!$D$2:$D$41)</f>
        <v>36</v>
      </c>
      <c r="P6" s="326">
        <f>IF(SUMPRODUCT((data_raw_slopes!$A$2:$A$41=$A6)*(data_raw_slopes!$B$2:$B$41=$B6)*(data_raw_slopes!$C$2:$C$41="p25")*data_raw_slopes!$F$2:$F$41)&lt;&gt;0,SUMPRODUCT((data_raw_slopes!$A$2:$A$41=$A6)*(data_raw_slopes!$B$2:$B$41=$B6)*(data_raw_slopes!$C$2:$C$41="p25")*data_raw_slopes!$F$2:$F$41),SUMPRODUCT((data_raw_slopes!$A$2:$A$41=$A6)*(data_raw_slopes!$B$2:$B$41=$B6)*(data_raw_slopes!$C$2:$C$41="p25")*data_raw_slopes!$G$2:$G$41))</f>
        <v>5.8677</v>
      </c>
      <c r="Q6" s="326">
        <f>SUMPRODUCT((data_raw_slopes!$A$2:$A$41=$A6)*(data_raw_slopes!$B$2:$B$41=$B6)*(data_raw_slopes!$C$2:$C$41="p50")*data_raw_slopes!$D$2:$D$41)</f>
        <v>74</v>
      </c>
      <c r="R6" s="326">
        <f>IF(SUMPRODUCT((data_raw_slopes!$A$2:$A$41=$A6)*(data_raw_slopes!$B$2:$B$41=$B6)*(data_raw_slopes!$C$2:$C$41="p50")*data_raw_slopes!$F$2:$F$41)&lt;&gt;0,SUMPRODUCT((data_raw_slopes!$A$2:$A$41=$A6)*(data_raw_slopes!$B$2:$B$41=$B6)*(data_raw_slopes!$C$2:$C$41="p50")*data_raw_slopes!$F$2:$F$41),SUMPRODUCT((data_raw_slopes!$A$2:$A$41=$A6)*(data_raw_slopes!$B$2:$B$41=$B6)*(data_raw_slopes!$C$2:$C$41="p50")*data_raw_slopes!$G$2:$G$41))</f>
        <v>3.9052</v>
      </c>
      <c r="S6" s="326">
        <f>SUMPRODUCT((data_raw_slopes!$A$2:$A$41=$A6)*(data_raw_slopes!$B$2:$B$41=$B6)*(data_raw_slopes!$C$2:$C$41="p75")*data_raw_slopes!$D$2:$D$41)</f>
        <v>124</v>
      </c>
      <c r="T6" s="326">
        <f>IF(SUMPRODUCT((data_raw_slopes!$A$2:$A$41=$A6)*(data_raw_slopes!$B$2:$B$41=$B6)*(data_raw_slopes!$C$2:$C$41="p75")*data_raw_slopes!$F$2:$F$41)&lt;&gt;0,SUMPRODUCT((data_raw_slopes!$A$2:$A$41=$A6)*(data_raw_slopes!$B$2:$B$41=$B6)*(data_raw_slopes!$C$2:$C$41="p75")*data_raw_slopes!$F$2:$F$41),SUMPRODUCT((data_raw_slopes!$A$2:$A$41=$A6)*(data_raw_slopes!$B$2:$B$41=$B6)*(data_raw_slopes!$C$2:$C$41="p75")*data_raw_slopes!$G$2:$G$41))</f>
        <v>4.0989</v>
      </c>
      <c r="U6" s="326">
        <f>SUMPRODUCT((data_raw_slopes!$A$2:$A$41=$A6)*(data_raw_slopes!$B$2:$B$41=$B6)*(data_raw_slopes!$C$2:$C$41="p90")*data_raw_slopes!$D$2:$D$41)</f>
        <v>177</v>
      </c>
      <c r="V6" s="326">
        <f>IF(SUMPRODUCT((data_raw_slopes!$A$2:$A$41=$A6)*(data_raw_slopes!$B$2:$B$41=$B6)*(data_raw_slopes!$C$2:$C$41="p90")*data_raw_slopes!$F$2:$F$41)&lt;&gt;0,SUMPRODUCT((data_raw_slopes!$A$2:$A$41=$A6)*(data_raw_slopes!$B$2:$B$41=$B6)*(data_raw_slopes!$C$2:$C$41="p90")*data_raw_slopes!$F$2:$F$41),SUMPRODUCT((data_raw_slopes!$A$2:$A$41=$A6)*(data_raw_slopes!$B$2:$B$41=$B6)*(data_raw_slopes!$C$2:$C$41="p90")*data_raw_slopes!$G$2:$G$41))</f>
        <v>4.5044</v>
      </c>
      <c r="W6" s="85">
        <f>IFERROR(SUMPRODUCT((data_raw_segmentation_nonpay!$B$2:$B$721=$D6)*ISNUMBER(data_raw_segmentation_nonpay!$AC$2:$AC$721)*data_raw_segmentation_nonpay!$AC$2:$AC$721*data_raw_segmentation_nonpay!$C$2:$C$721)/SUMPRODUCT((data_raw_segmentation_nonpay!$B$2:$B$721=$D6)*ISNUMBER(data_raw_segmentation_nonpay!$AC$2:$AC$721)*data_raw_segmentation_nonpay!$C$2:$C$721),0)</f>
        <v>88.58836444</v>
      </c>
      <c r="X6" s="326">
        <f>IFERROR(SUMPRODUCT((data_raw_segmentation_nonpay!$B$2:$B$721=$D6)*ISNUMBER(data_raw_segmentation_nonpay!$AL$2:$AL$721)*data_raw_segmentation_nonpay!$AL$2:$AL$721*data_raw_segmentation_nonpay!$C$2:$C$721)/SUMPRODUCT((data_raw_segmentation_nonpay!$B$2:$B$721=$D6)*ISNUMBER(data_raw_segmentation_nonpay!$AL$2:$AL$721)*data_raw_segmentation_nonpay!$C$2:$C$721),0)</f>
        <v>23.43151454</v>
      </c>
      <c r="Y6" s="326">
        <f>IFERROR(SUMPRODUCT((data_raw_segmentation_nonpay!$B$2:$B$721=$D6)*ISNUMBER(data_raw_segmentation_nonpay!$AN$2:$AN$721)*data_raw_segmentation_nonpay!$AN$2:$AN$721*data_raw_segmentation_nonpay!$C$2:$C$721)/SUMPRODUCT((data_raw_segmentation_nonpay!$B$2:$B$721=$D6)*ISNUMBER(data_raw_segmentation_nonpay!$AN$2:$AN$721)*data_raw_segmentation_nonpay!$C$2:$C$721),0)/100</f>
        <v>0.8179747419</v>
      </c>
      <c r="Z6" s="85"/>
    </row>
    <row r="7" ht="15.0" customHeight="1">
      <c r="A7" s="85" t="s">
        <v>43</v>
      </c>
      <c r="B7" s="85" t="s">
        <v>219</v>
      </c>
      <c r="C7" s="85" t="s">
        <v>220</v>
      </c>
      <c r="D7" s="85" t="s">
        <v>214</v>
      </c>
      <c r="E7" s="326">
        <f>IFERROR(SUMPRODUCT((data_raw_segmentation_payers!$B$2:$B$721=$D7)*ISNUMBER(data_raw_segmentation_payers!$J$2:$J$721)*data_raw_segmentation_payers!$J$2:$J$721*data_raw_segmentation_payers!$C$2:$C$721)/SUMPRODUCT((data_raw_segmentation_payers!$B$2:$B$721=$D7)*ISNUMBER(data_raw_segmentation_payers!$J$2:$J$721)*data_raw_segmentation_payers!$C$2:$C$721),0)</f>
        <v>17.5839349</v>
      </c>
      <c r="F7" s="327">
        <f>IFERROR(SUMPRODUCT((data_raw_segmentation_payers!$B$2:$B$721=$D7)*ISNUMBER(data_raw_segmentation_payers!$L$2:$L$721)*data_raw_segmentation_payers!$L$2:$L$721*data_raw_segmentation_payers!$C$2:$C$721)/SUMPRODUCT((data_raw_segmentation_payers!$B$2:$B$721=$D7)*ISNUMBER(data_raw_segmentation_payers!$L$2:$L$721)*data_raw_segmentation_payers!$C$2:$C$721),0)</f>
        <v>0.3055982517</v>
      </c>
      <c r="G7" s="326">
        <f>IFERROR(SUMPRODUCT((data_raw_segmentation_payers!$B$2:$B$721=$D7)*ISNUMBER(data_raw_segmentation_payers!$K$2:$K$721)*data_raw_segmentation_payers!$K$2:$K$721*data_raw_segmentation_payers!$C$2:$C$721)/SUMPRODUCT((data_raw_segmentation_payers!$B$2:$B$721=$D7)*ISNUMBER(data_raw_segmentation_payers!$K$2:$K$721)*data_raw_segmentation_payers!$C$2:$C$721),0)</f>
        <v>5.357665721</v>
      </c>
      <c r="H7" s="326">
        <f>IFERROR(SUMPRODUCT((data_raw_segmentation_payers!$B$2:$B$721=$D7)*ISNUMBER(data_raw_segmentation_payers!$P$2:$P$721)*data_raw_segmentation_payers!$P$2:$P$721*data_raw_segmentation_payers!$C$2:$C$721)/SUMPRODUCT((data_raw_segmentation_payers!$B$2:$B$721=$D7)*ISNUMBER(data_raw_segmentation_payers!$P$2:$P$721)*data_raw_segmentation_payers!$C$2:$C$721),0)</f>
        <v>75.58081843</v>
      </c>
      <c r="I7" s="326">
        <f>IFERROR(SUMPRODUCT((data_raw_segmentation_payers!$B$2:$B$721=$D7)*ISNUMBER(data_raw_segmentation_payers!$R$2:$R$721)*data_raw_segmentation_payers!$R$2:$R$721*data_raw_segmentation_payers!$C$2:$C$721)/SUMPRODUCT((data_raw_segmentation_payers!$B$2:$B$721=$D7)*ISNUMBER(data_raw_segmentation_payers!$R$2:$R$721)*data_raw_segmentation_payers!$C$2:$C$721),0)</f>
        <v>10.43502499</v>
      </c>
      <c r="J7" s="326">
        <f>IFERROR(SUMPRODUCT((data_raw_segmentation_payers!$B$2:$B$721=$D7)*ISNUMBER(data_raw_segmentation_payers!$Q$2:$Q$721)*data_raw_segmentation_payers!$Q$2:$Q$721*data_raw_segmentation_payers!$C$2:$C$721)/SUMPRODUCT((data_raw_segmentation_payers!$B$2:$B$721=$D7)*ISNUMBER(data_raw_segmentation_payers!$Q$2:$Q$721)*data_raw_segmentation_payers!$C$2:$C$721),0)</f>
        <v>65.14610682</v>
      </c>
      <c r="K7" s="326">
        <f>IFERROR(SUMPRODUCT((data_raw_segmentation_payers!$B$2:$B$721=$D7)*ISNUMBER(data_raw_segmentation_payers!$U$2:$U$721)*data_raw_segmentation_payers!$U$2:$U$721*data_raw_segmentation_payers!$C$2:$C$721)/SUMPRODUCT((data_raw_segmentation_payers!$B$2:$B$721=$D7)*ISNUMBER(data_raw_segmentation_payers!$U$2:$U$721)*data_raw_segmentation_payers!$C$2:$C$721),0)</f>
        <v>77.20980923</v>
      </c>
      <c r="L7" s="327">
        <f>IFERROR(SUMPRODUCT((data_raw_segmentation_payers!$B$2:$B$721=$D7)*ISNUMBER(data_raw_segmentation_payers!$AH$2:$AH$721)*data_raw_segmentation_payers!$AH$2:$AH$721*data_raw_segmentation_payers!$C$2:$C$721)/SUMPRODUCT((data_raw_segmentation_payers!$B$2:$B$721=$D7)*ISNUMBER(data_raw_segmentation_payers!$AH$2:$AH$721)*data_raw_segmentation_payers!$C$2:$C$721),0)/100</f>
        <v>0.6679737144</v>
      </c>
      <c r="M7" s="327">
        <f>IFERROR(SUMPRODUCT((data_raw_segmentation_payers!$B$2:$B$721=$D7)*ISNUMBER(data_raw_segmentation_payers!$AI$2:$AI$721)*data_raw_segmentation_payers!$AI$2:$AI$721*data_raw_segmentation_payers!$C$2:$C$721)/SUMPRODUCT((data_raw_segmentation_payers!$B$2:$B$721=$D7)*ISNUMBER(data_raw_segmentation_payers!$AI$2:$AI$721)*data_raw_segmentation_payers!$C$2:$C$721),0)/100</f>
        <v>0.2499168202</v>
      </c>
      <c r="N7" s="327">
        <f>IFERROR(SUMPRODUCT((data_raw_segmentation_payers!$B$2:$B$721=$D7)*ISNUMBER(data_raw_segmentation_payers!$AJ$2:$AJ$721)*data_raw_segmentation_payers!$AJ$2:$AJ$721*data_raw_segmentation_payers!$C$2:$C$721)/SUMPRODUCT((data_raw_segmentation_payers!$B$2:$B$721=$D7)*ISNUMBER(data_raw_segmentation_payers!$AJ$2:$AJ$721)*data_raw_segmentation_payers!$C$2:$C$721),0)/100</f>
        <v>0.06954441119</v>
      </c>
      <c r="O7" s="326">
        <f>SUMPRODUCT((data_raw_slopes!$A$2:$A$41=$A7)*(data_raw_slopes!$B$2:$B$41=$B7)*(data_raw_slopes!$C$2:$C$41="p25")*data_raw_slopes!$D$2:$D$41)</f>
        <v>0</v>
      </c>
      <c r="P7" s="326">
        <f>IF(SUMPRODUCT((data_raw_slopes!$A$2:$A$41=$A7)*(data_raw_slopes!$B$2:$B$41=$B7)*(data_raw_slopes!$C$2:$C$41="p25")*data_raw_slopes!$F$2:$F$41)&lt;&gt;0,SUMPRODUCT((data_raw_slopes!$A$2:$A$41=$A7)*(data_raw_slopes!$B$2:$B$41=$B7)*(data_raw_slopes!$C$2:$C$41="p25")*data_raw_slopes!$F$2:$F$41),SUMPRODUCT((data_raw_slopes!$A$2:$A$41=$A7)*(data_raw_slopes!$B$2:$B$41=$B7)*(data_raw_slopes!$C$2:$C$41="p25")*data_raw_slopes!$G$2:$G$41))</f>
        <v>22.4936</v>
      </c>
      <c r="Q7" s="326">
        <f>SUMPRODUCT((data_raw_slopes!$A$2:$A$41=$A7)*(data_raw_slopes!$B$2:$B$41=$B7)*(data_raw_slopes!$C$2:$C$41="p50")*data_raw_slopes!$D$2:$D$41)</f>
        <v>1</v>
      </c>
      <c r="R7" s="326">
        <f>IF(SUMPRODUCT((data_raw_slopes!$A$2:$A$41=$A7)*(data_raw_slopes!$B$2:$B$41=$B7)*(data_raw_slopes!$C$2:$C$41="p50")*data_raw_slopes!$F$2:$F$41)&lt;&gt;0,SUMPRODUCT((data_raw_slopes!$A$2:$A$41=$A7)*(data_raw_slopes!$B$2:$B$41=$B7)*(data_raw_slopes!$C$2:$C$41="p50")*data_raw_slopes!$F$2:$F$41),SUMPRODUCT((data_raw_slopes!$A$2:$A$41=$A7)*(data_raw_slopes!$B$2:$B$41=$B7)*(data_raw_slopes!$C$2:$C$41="p50")*data_raw_slopes!$G$2:$G$41))</f>
        <v>28.5464</v>
      </c>
      <c r="S7" s="326">
        <f>SUMPRODUCT((data_raw_slopes!$A$2:$A$41=$A7)*(data_raw_slopes!$B$2:$B$41=$B7)*(data_raw_slopes!$C$2:$C$41="p75")*data_raw_slopes!$D$2:$D$41)</f>
        <v>3</v>
      </c>
      <c r="T7" s="326">
        <f>IF(SUMPRODUCT((data_raw_slopes!$A$2:$A$41=$A7)*(data_raw_slopes!$B$2:$B$41=$B7)*(data_raw_slopes!$C$2:$C$41="p75")*data_raw_slopes!$F$2:$F$41)&lt;&gt;0,SUMPRODUCT((data_raw_slopes!$A$2:$A$41=$A7)*(data_raw_slopes!$B$2:$B$41=$B7)*(data_raw_slopes!$C$2:$C$41="p75")*data_raw_slopes!$F$2:$F$41),SUMPRODUCT((data_raw_slopes!$A$2:$A$41=$A7)*(data_raw_slopes!$B$2:$B$41=$B7)*(data_raw_slopes!$C$2:$C$41="p75")*data_raw_slopes!$G$2:$G$41))</f>
        <v>17.3257</v>
      </c>
      <c r="U7" s="326">
        <f>SUMPRODUCT((data_raw_slopes!$A$2:$A$41=$A7)*(data_raw_slopes!$B$2:$B$41=$B7)*(data_raw_slopes!$C$2:$C$41="p90")*data_raw_slopes!$D$2:$D$41)</f>
        <v>6</v>
      </c>
      <c r="V7" s="326">
        <f>IF(SUMPRODUCT((data_raw_slopes!$A$2:$A$41=$A7)*(data_raw_slopes!$B$2:$B$41=$B7)*(data_raw_slopes!$C$2:$C$41="p90")*data_raw_slopes!$F$2:$F$41)&lt;&gt;0,SUMPRODUCT((data_raw_slopes!$A$2:$A$41=$A7)*(data_raw_slopes!$B$2:$B$41=$B7)*(data_raw_slopes!$C$2:$C$41="p90")*data_raw_slopes!$F$2:$F$41),SUMPRODUCT((data_raw_slopes!$A$2:$A$41=$A7)*(data_raw_slopes!$B$2:$B$41=$B7)*(data_raw_slopes!$C$2:$C$41="p90")*data_raw_slopes!$G$2:$G$41))</f>
        <v>14.8668</v>
      </c>
      <c r="W7" s="85">
        <f>IFERROR(SUMPRODUCT((data_raw_segmentation_payers!$B$2:$B$721=$D7)*ISNUMBER(data_raw_segmentation_payers!$AC$2:$AC$721)*data_raw_segmentation_payers!$AC$2:$AC$721*data_raw_segmentation_payers!$C$2:$C$721)/SUMPRODUCT((data_raw_segmentation_payers!$B$2:$B$721=$D7)*ISNUMBER(data_raw_segmentation_payers!$AC$2:$AC$721)*data_raw_segmentation_payers!$C$2:$C$721),0)</f>
        <v>3.547780721</v>
      </c>
      <c r="X7" s="326">
        <f>IFERROR(SUMPRODUCT((data_raw_segmentation_payers!$B$2:$B$721=$D7)*ISNUMBER(data_raw_segmentation_payers!$AL$2:$AL$721)*data_raw_segmentation_payers!$AL$2:$AL$721*data_raw_segmentation_payers!$C$2:$C$721)/SUMPRODUCT((data_raw_segmentation_payers!$B$2:$B$721=$D7)*ISNUMBER(data_raw_segmentation_payers!$AL$2:$AL$721)*data_raw_segmentation_payers!$C$2:$C$721),0)</f>
        <v>20.4470219</v>
      </c>
      <c r="Y7" s="326">
        <f>IFERROR(SUMPRODUCT((data_raw_segmentation_payers!$B$2:$B$721=$D7)*ISNUMBER(data_raw_segmentation_payers!$AN$2:$AN$721)*data_raw_segmentation_payers!$AN$2:$AN$721*data_raw_segmentation_payers!$C$2:$C$721)/SUMPRODUCT((data_raw_segmentation_payers!$B$2:$B$721=$D7)*ISNUMBER(data_raw_segmentation_payers!$AN$2:$AN$721)*data_raw_segmentation_payers!$C$2:$C$721),0)/100</f>
        <v>0.6642265376</v>
      </c>
      <c r="Z7" s="85"/>
    </row>
    <row r="8" ht="15.0" customHeight="1">
      <c r="A8" s="85" t="s">
        <v>44</v>
      </c>
      <c r="B8" s="85" t="s">
        <v>219</v>
      </c>
      <c r="C8" s="85" t="s">
        <v>220</v>
      </c>
      <c r="D8" s="85" t="s">
        <v>215</v>
      </c>
      <c r="E8" s="326">
        <f>IFERROR(SUMPRODUCT((data_raw_segmentation_payers!$B$2:$B$721=$D8)*ISNUMBER(data_raw_segmentation_payers!$J$2:$J$721)*data_raw_segmentation_payers!$J$2:$J$721*data_raw_segmentation_payers!$C$2:$C$721)/SUMPRODUCT((data_raw_segmentation_payers!$B$2:$B$721=$D8)*ISNUMBER(data_raw_segmentation_payers!$J$2:$J$721)*data_raw_segmentation_payers!$C$2:$C$721),0)</f>
        <v>34.26794995</v>
      </c>
      <c r="F8" s="327">
        <f>IFERROR(SUMPRODUCT((data_raw_segmentation_payers!$B$2:$B$721=$D8)*ISNUMBER(data_raw_segmentation_payers!$L$2:$L$721)*data_raw_segmentation_payers!$L$2:$L$721*data_raw_segmentation_payers!$C$2:$C$721)/SUMPRODUCT((data_raw_segmentation_payers!$B$2:$B$721=$D8)*ISNUMBER(data_raw_segmentation_payers!$L$2:$L$721)*data_raw_segmentation_payers!$C$2:$C$721),0)</f>
        <v>0.4131870853</v>
      </c>
      <c r="G8" s="326">
        <f>IFERROR(SUMPRODUCT((data_raw_segmentation_payers!$B$2:$B$721=$D8)*ISNUMBER(data_raw_segmentation_payers!$K$2:$K$721)*data_raw_segmentation_payers!$K$2:$K$721*data_raw_segmentation_payers!$C$2:$C$721)/SUMPRODUCT((data_raw_segmentation_payers!$B$2:$B$721=$D8)*ISNUMBER(data_raw_segmentation_payers!$K$2:$K$721)*data_raw_segmentation_payers!$C$2:$C$721),0)</f>
        <v>14.12438225</v>
      </c>
      <c r="H8" s="326">
        <f>IFERROR(SUMPRODUCT((data_raw_segmentation_payers!$B$2:$B$721=$D8)*ISNUMBER(data_raw_segmentation_payers!$P$2:$P$721)*data_raw_segmentation_payers!$P$2:$P$721*data_raw_segmentation_payers!$C$2:$C$721)/SUMPRODUCT((data_raw_segmentation_payers!$B$2:$B$721=$D8)*ISNUMBER(data_raw_segmentation_payers!$P$2:$P$721)*data_raw_segmentation_payers!$C$2:$C$721),0)</f>
        <v>175.7865835</v>
      </c>
      <c r="I8" s="326">
        <f>IFERROR(SUMPRODUCT((data_raw_segmentation_payers!$B$2:$B$721=$D8)*ISNUMBER(data_raw_segmentation_payers!$R$2:$R$721)*data_raw_segmentation_payers!$R$2:$R$721*data_raw_segmentation_payers!$C$2:$C$721)/SUMPRODUCT((data_raw_segmentation_payers!$B$2:$B$721=$D8)*ISNUMBER(data_raw_segmentation_payers!$R$2:$R$721)*data_raw_segmentation_payers!$C$2:$C$721),0)</f>
        <v>27.04350865</v>
      </c>
      <c r="J8" s="326">
        <f>IFERROR(SUMPRODUCT((data_raw_segmentation_payers!$B$2:$B$721=$D8)*ISNUMBER(data_raw_segmentation_payers!$Q$2:$Q$721)*data_raw_segmentation_payers!$Q$2:$Q$721*data_raw_segmentation_payers!$C$2:$C$721)/SUMPRODUCT((data_raw_segmentation_payers!$B$2:$B$721=$D8)*ISNUMBER(data_raw_segmentation_payers!$Q$2:$Q$721)*data_raw_segmentation_payers!$C$2:$C$721),0)</f>
        <v>148.743599</v>
      </c>
      <c r="K8" s="326">
        <f>IFERROR(SUMPRODUCT((data_raw_segmentation_payers!$B$2:$B$721=$D8)*ISNUMBER(data_raw_segmentation_payers!$U$2:$U$721)*data_raw_segmentation_payers!$U$2:$U$721*data_raw_segmentation_payers!$C$2:$C$721)/SUMPRODUCT((data_raw_segmentation_payers!$B$2:$B$721=$D8)*ISNUMBER(data_raw_segmentation_payers!$U$2:$U$721)*data_raw_segmentation_payers!$C$2:$C$721),0)</f>
        <v>181.4248544</v>
      </c>
      <c r="L8" s="327">
        <f>IFERROR(SUMPRODUCT((data_raw_segmentation_payers!$B$2:$B$721=$D8)*ISNUMBER(data_raw_segmentation_payers!$AH$2:$AH$721)*data_raw_segmentation_payers!$AH$2:$AH$721*data_raw_segmentation_payers!$C$2:$C$721)/SUMPRODUCT((data_raw_segmentation_payers!$B$2:$B$721=$D8)*ISNUMBER(data_raw_segmentation_payers!$AH$2:$AH$721)*data_raw_segmentation_payers!$C$2:$C$721),0)/100</f>
        <v>0.5452161393</v>
      </c>
      <c r="M8" s="327">
        <f>IFERROR(SUMPRODUCT((data_raw_segmentation_payers!$B$2:$B$721=$D8)*ISNUMBER(data_raw_segmentation_payers!$AI$2:$AI$721)*data_raw_segmentation_payers!$AI$2:$AI$721*data_raw_segmentation_payers!$C$2:$C$721)/SUMPRODUCT((data_raw_segmentation_payers!$B$2:$B$721=$D8)*ISNUMBER(data_raw_segmentation_payers!$AI$2:$AI$721)*data_raw_segmentation_payers!$C$2:$C$721),0)/100</f>
        <v>0.245690148</v>
      </c>
      <c r="N8" s="327">
        <f>IFERROR(SUMPRODUCT((data_raw_segmentation_payers!$B$2:$B$721=$D8)*ISNUMBER(data_raw_segmentation_payers!$AJ$2:$AJ$721)*data_raw_segmentation_payers!$AJ$2:$AJ$721*data_raw_segmentation_payers!$C$2:$C$721)/SUMPRODUCT((data_raw_segmentation_payers!$B$2:$B$721=$D8)*ISNUMBER(data_raw_segmentation_payers!$AJ$2:$AJ$721)*data_raw_segmentation_payers!$C$2:$C$721),0)/100</f>
        <v>0.04839591322</v>
      </c>
      <c r="O8" s="326">
        <f>SUMPRODUCT((data_raw_slopes!$A$2:$A$41=$A8)*(data_raw_slopes!$B$2:$B$41=$B8)*(data_raw_slopes!$C$2:$C$41="p25")*data_raw_slopes!$D$2:$D$41)</f>
        <v>3</v>
      </c>
      <c r="P8" s="326">
        <f>IF(SUMPRODUCT((data_raw_slopes!$A$2:$A$41=$A8)*(data_raw_slopes!$B$2:$B$41=$B8)*(data_raw_slopes!$C$2:$C$41="p25")*data_raw_slopes!$F$2:$F$41)&lt;&gt;0,SUMPRODUCT((data_raw_slopes!$A$2:$A$41=$A8)*(data_raw_slopes!$B$2:$B$41=$B8)*(data_raw_slopes!$C$2:$C$41="p25")*data_raw_slopes!$F$2:$F$41),SUMPRODUCT((data_raw_slopes!$A$2:$A$41=$A8)*(data_raw_slopes!$B$2:$B$41=$B8)*(data_raw_slopes!$C$2:$C$41="p25")*data_raw_slopes!$G$2:$G$41))</f>
        <v>23.1203</v>
      </c>
      <c r="Q8" s="326">
        <f>SUMPRODUCT((data_raw_slopes!$A$2:$A$41=$A8)*(data_raw_slopes!$B$2:$B$41=$B8)*(data_raw_slopes!$C$2:$C$41="p50")*data_raw_slopes!$D$2:$D$41)</f>
        <v>6</v>
      </c>
      <c r="R8" s="326">
        <f>IF(SUMPRODUCT((data_raw_slopes!$A$2:$A$41=$A8)*(data_raw_slopes!$B$2:$B$41=$B8)*(data_raw_slopes!$C$2:$C$41="p50")*data_raw_slopes!$F$2:$F$41)&lt;&gt;0,SUMPRODUCT((data_raw_slopes!$A$2:$A$41=$A8)*(data_raw_slopes!$B$2:$B$41=$B8)*(data_raw_slopes!$C$2:$C$41="p50")*data_raw_slopes!$F$2:$F$41),SUMPRODUCT((data_raw_slopes!$A$2:$A$41=$A8)*(data_raw_slopes!$B$2:$B$41=$B8)*(data_raw_slopes!$C$2:$C$41="p50")*data_raw_slopes!$G$2:$G$41))</f>
        <v>13.3578</v>
      </c>
      <c r="S8" s="326">
        <f>SUMPRODUCT((data_raw_slopes!$A$2:$A$41=$A8)*(data_raw_slopes!$B$2:$B$41=$B8)*(data_raw_slopes!$C$2:$C$41="p75")*data_raw_slopes!$D$2:$D$41)</f>
        <v>12</v>
      </c>
      <c r="T8" s="326">
        <f>IF(SUMPRODUCT((data_raw_slopes!$A$2:$A$41=$A8)*(data_raw_slopes!$B$2:$B$41=$B8)*(data_raw_slopes!$C$2:$C$41="p75")*data_raw_slopes!$F$2:$F$41)&lt;&gt;0,SUMPRODUCT((data_raw_slopes!$A$2:$A$41=$A8)*(data_raw_slopes!$B$2:$B$41=$B8)*(data_raw_slopes!$C$2:$C$41="p75")*data_raw_slopes!$F$2:$F$41),SUMPRODUCT((data_raw_slopes!$A$2:$A$41=$A8)*(data_raw_slopes!$B$2:$B$41=$B8)*(data_raw_slopes!$C$2:$C$41="p75")*data_raw_slopes!$G$2:$G$41))</f>
        <v>12.1652</v>
      </c>
      <c r="U8" s="326">
        <f>SUMPRODUCT((data_raw_slopes!$A$2:$A$41=$A8)*(data_raw_slopes!$B$2:$B$41=$B8)*(data_raw_slopes!$C$2:$C$41="p90")*data_raw_slopes!$D$2:$D$41)</f>
        <v>20</v>
      </c>
      <c r="V8" s="326">
        <f>IF(SUMPRODUCT((data_raw_slopes!$A$2:$A$41=$A8)*(data_raw_slopes!$B$2:$B$41=$B8)*(data_raw_slopes!$C$2:$C$41="p90")*data_raw_slopes!$F$2:$F$41)&lt;&gt;0,SUMPRODUCT((data_raw_slopes!$A$2:$A$41=$A8)*(data_raw_slopes!$B$2:$B$41=$B8)*(data_raw_slopes!$C$2:$C$41="p90")*data_raw_slopes!$F$2:$F$41),SUMPRODUCT((data_raw_slopes!$A$2:$A$41=$A8)*(data_raw_slopes!$B$2:$B$41=$B8)*(data_raw_slopes!$C$2:$C$41="p90")*data_raw_slopes!$G$2:$G$41))</f>
        <v>16.9029</v>
      </c>
      <c r="W8" s="85">
        <f>IFERROR(SUMPRODUCT((data_raw_segmentation_payers!$B$2:$B$721=$D8)*ISNUMBER(data_raw_segmentation_payers!$AC$2:$AC$721)*data_raw_segmentation_payers!$AC$2:$AC$721*data_raw_segmentation_payers!$C$2:$C$721)/SUMPRODUCT((data_raw_segmentation_payers!$B$2:$B$721=$D8)*ISNUMBER(data_raw_segmentation_payers!$AC$2:$AC$721)*data_raw_segmentation_payers!$C$2:$C$721),0)</f>
        <v>8.891659208</v>
      </c>
      <c r="X8" s="326">
        <f>IFERROR(SUMPRODUCT((data_raw_segmentation_payers!$B$2:$B$721=$D8)*ISNUMBER(data_raw_segmentation_payers!$AL$2:$AL$721)*data_raw_segmentation_payers!$AL$2:$AL$721*data_raw_segmentation_payers!$C$2:$C$721)/SUMPRODUCT((data_raw_segmentation_payers!$B$2:$B$721=$D8)*ISNUMBER(data_raw_segmentation_payers!$AL$2:$AL$721)*data_raw_segmentation_payers!$C$2:$C$721),0)</f>
        <v>21.03606262</v>
      </c>
      <c r="Y8" s="326">
        <f>IFERROR(SUMPRODUCT((data_raw_segmentation_payers!$B$2:$B$721=$D8)*ISNUMBER(data_raw_segmentation_payers!$AN$2:$AN$721)*data_raw_segmentation_payers!$AN$2:$AN$721*data_raw_segmentation_payers!$C$2:$C$721)/SUMPRODUCT((data_raw_segmentation_payers!$B$2:$B$721=$D8)*ISNUMBER(data_raw_segmentation_payers!$AN$2:$AN$721)*data_raw_segmentation_payers!$C$2:$C$721),0)/100</f>
        <v>0.7150998364</v>
      </c>
      <c r="Z8" s="85"/>
    </row>
    <row r="9" ht="15.0" customHeight="1">
      <c r="A9" s="85" t="s">
        <v>45</v>
      </c>
      <c r="B9" s="85" t="s">
        <v>219</v>
      </c>
      <c r="C9" s="85" t="s">
        <v>220</v>
      </c>
      <c r="D9" s="85" t="s">
        <v>216</v>
      </c>
      <c r="E9" s="326">
        <f>IFERROR(SUMPRODUCT((data_raw_segmentation_payers!$B$2:$B$721=$D9)*ISNUMBER(data_raw_segmentation_payers!$J$2:$J$721)*data_raw_segmentation_payers!$J$2:$J$721*data_raw_segmentation_payers!$C$2:$C$721)/SUMPRODUCT((data_raw_segmentation_payers!$B$2:$B$721=$D9)*ISNUMBER(data_raw_segmentation_payers!$J$2:$J$721)*data_raw_segmentation_payers!$C$2:$C$721),0)</f>
        <v>50.83676421</v>
      </c>
      <c r="F9" s="327">
        <f>IFERROR(SUMPRODUCT((data_raw_segmentation_payers!$B$2:$B$721=$D9)*ISNUMBER(data_raw_segmentation_payers!$L$2:$L$721)*data_raw_segmentation_payers!$L$2:$L$721*data_raw_segmentation_payers!$C$2:$C$721)/SUMPRODUCT((data_raw_segmentation_payers!$B$2:$B$721=$D9)*ISNUMBER(data_raw_segmentation_payers!$L$2:$L$721)*data_raw_segmentation_payers!$C$2:$C$721),0)</f>
        <v>0.5345602536</v>
      </c>
      <c r="G9" s="326">
        <f>IFERROR(SUMPRODUCT((data_raw_segmentation_payers!$B$2:$B$721=$D9)*ISNUMBER(data_raw_segmentation_payers!$K$2:$K$721)*data_raw_segmentation_payers!$K$2:$K$721*data_raw_segmentation_payers!$C$2:$C$721)/SUMPRODUCT((data_raw_segmentation_payers!$B$2:$B$721=$D9)*ISNUMBER(data_raw_segmentation_payers!$K$2:$K$721)*data_raw_segmentation_payers!$C$2:$C$721),0)</f>
        <v>27.15266855</v>
      </c>
      <c r="H9" s="326">
        <f>IFERROR(SUMPRODUCT((data_raw_segmentation_payers!$B$2:$B$721=$D9)*ISNUMBER(data_raw_segmentation_payers!$P$2:$P$721)*data_raw_segmentation_payers!$P$2:$P$721*data_raw_segmentation_payers!$C$2:$C$721)/SUMPRODUCT((data_raw_segmentation_payers!$B$2:$B$721=$D9)*ISNUMBER(data_raw_segmentation_payers!$P$2:$P$721)*data_raw_segmentation_payers!$C$2:$C$721),0)</f>
        <v>341.0461314</v>
      </c>
      <c r="I9" s="326">
        <f>IFERROR(SUMPRODUCT((data_raw_segmentation_payers!$B$2:$B$721=$D9)*ISNUMBER(data_raw_segmentation_payers!$R$2:$R$721)*data_raw_segmentation_payers!$R$2:$R$721*data_raw_segmentation_payers!$C$2:$C$721)/SUMPRODUCT((data_raw_segmentation_payers!$B$2:$B$721=$D9)*ISNUMBER(data_raw_segmentation_payers!$R$2:$R$721)*data_raw_segmentation_payers!$C$2:$C$721),0)</f>
        <v>52.40180758</v>
      </c>
      <c r="J9" s="326">
        <f>IFERROR(SUMPRODUCT((data_raw_segmentation_payers!$B$2:$B$721=$D9)*ISNUMBER(data_raw_segmentation_payers!$Q$2:$Q$721)*data_raw_segmentation_payers!$Q$2:$Q$721*data_raw_segmentation_payers!$C$2:$C$721)/SUMPRODUCT((data_raw_segmentation_payers!$B$2:$B$721=$D9)*ISNUMBER(data_raw_segmentation_payers!$Q$2:$Q$721)*data_raw_segmentation_payers!$C$2:$C$721),0)</f>
        <v>288.645357</v>
      </c>
      <c r="K9" s="326">
        <f>IFERROR(SUMPRODUCT((data_raw_segmentation_payers!$B$2:$B$721=$D9)*ISNUMBER(data_raw_segmentation_payers!$U$2:$U$721)*data_raw_segmentation_payers!$U$2:$U$721*data_raw_segmentation_payers!$C$2:$C$721)/SUMPRODUCT((data_raw_segmentation_payers!$B$2:$B$721=$D9)*ISNUMBER(data_raw_segmentation_payers!$U$2:$U$721)*data_raw_segmentation_payers!$C$2:$C$721),0)</f>
        <v>351.6417196</v>
      </c>
      <c r="L9" s="327">
        <f>IFERROR(SUMPRODUCT((data_raw_segmentation_payers!$B$2:$B$721=$D9)*ISNUMBER(data_raw_segmentation_payers!$AH$2:$AH$721)*data_raw_segmentation_payers!$AH$2:$AH$721*data_raw_segmentation_payers!$C$2:$C$721)/SUMPRODUCT((data_raw_segmentation_payers!$B$2:$B$721=$D9)*ISNUMBER(data_raw_segmentation_payers!$AH$2:$AH$721)*data_raw_segmentation_payers!$C$2:$C$721),0)/100</f>
        <v>0.5579668812</v>
      </c>
      <c r="M9" s="327">
        <f>IFERROR(SUMPRODUCT((data_raw_segmentation_payers!$B$2:$B$721=$D9)*ISNUMBER(data_raw_segmentation_payers!$AI$2:$AI$721)*data_raw_segmentation_payers!$AI$2:$AI$721*data_raw_segmentation_payers!$C$2:$C$721)/SUMPRODUCT((data_raw_segmentation_payers!$B$2:$B$721=$D9)*ISNUMBER(data_raw_segmentation_payers!$AI$2:$AI$721)*data_raw_segmentation_payers!$C$2:$C$721),0)/100</f>
        <v>0.2316840878</v>
      </c>
      <c r="N9" s="327">
        <f>IFERROR(SUMPRODUCT((data_raw_segmentation_payers!$B$2:$B$721=$D9)*ISNUMBER(data_raw_segmentation_payers!$AJ$2:$AJ$721)*data_raw_segmentation_payers!$AJ$2:$AJ$721*data_raw_segmentation_payers!$C$2:$C$721)/SUMPRODUCT((data_raw_segmentation_payers!$B$2:$B$721=$D9)*ISNUMBER(data_raw_segmentation_payers!$AJ$2:$AJ$721)*data_raw_segmentation_payers!$C$2:$C$721),0)/100</f>
        <v>0.07016236709</v>
      </c>
      <c r="O9" s="326">
        <f>SUMPRODUCT((data_raw_slopes!$A$2:$A$41=$A9)*(data_raw_slopes!$B$2:$B$41=$B9)*(data_raw_slopes!$C$2:$C$41="p25")*data_raw_slopes!$D$2:$D$41)</f>
        <v>6</v>
      </c>
      <c r="P9" s="326">
        <f>IF(SUMPRODUCT((data_raw_slopes!$A$2:$A$41=$A9)*(data_raw_slopes!$B$2:$B$41=$B9)*(data_raw_slopes!$C$2:$C$41="p25")*data_raw_slopes!$F$2:$F$41)&lt;&gt;0,SUMPRODUCT((data_raw_slopes!$A$2:$A$41=$A9)*(data_raw_slopes!$B$2:$B$41=$B9)*(data_raw_slopes!$C$2:$C$41="p25")*data_raw_slopes!$F$2:$F$41),SUMPRODUCT((data_raw_slopes!$A$2:$A$41=$A9)*(data_raw_slopes!$B$2:$B$41=$B9)*(data_raw_slopes!$C$2:$C$41="p25")*data_raw_slopes!$G$2:$G$41))</f>
        <v>21.3296</v>
      </c>
      <c r="Q9" s="326">
        <f>SUMPRODUCT((data_raw_slopes!$A$2:$A$41=$A9)*(data_raw_slopes!$B$2:$B$41=$B9)*(data_raw_slopes!$C$2:$C$41="p50")*data_raw_slopes!$D$2:$D$41)</f>
        <v>13</v>
      </c>
      <c r="R9" s="326">
        <f>IF(SUMPRODUCT((data_raw_slopes!$A$2:$A$41=$A9)*(data_raw_slopes!$B$2:$B$41=$B9)*(data_raw_slopes!$C$2:$C$41="p50")*data_raw_slopes!$F$2:$F$41)&lt;&gt;0,SUMPRODUCT((data_raw_slopes!$A$2:$A$41=$A9)*(data_raw_slopes!$B$2:$B$41=$B9)*(data_raw_slopes!$C$2:$C$41="p50")*data_raw_slopes!$F$2:$F$41),SUMPRODUCT((data_raw_slopes!$A$2:$A$41=$A9)*(data_raw_slopes!$B$2:$B$41=$B9)*(data_raw_slopes!$C$2:$C$41="p50")*data_raw_slopes!$G$2:$G$41))</f>
        <v>12.7456</v>
      </c>
      <c r="S9" s="326">
        <f>SUMPRODUCT((data_raw_slopes!$A$2:$A$41=$A9)*(data_raw_slopes!$B$2:$B$41=$B9)*(data_raw_slopes!$C$2:$C$41="p75")*data_raw_slopes!$D$2:$D$41)</f>
        <v>24</v>
      </c>
      <c r="T9" s="326">
        <f>IF(SUMPRODUCT((data_raw_slopes!$A$2:$A$41=$A9)*(data_raw_slopes!$B$2:$B$41=$B9)*(data_raw_slopes!$C$2:$C$41="p75")*data_raw_slopes!$F$2:$F$41)&lt;&gt;0,SUMPRODUCT((data_raw_slopes!$A$2:$A$41=$A9)*(data_raw_slopes!$B$2:$B$41=$B9)*(data_raw_slopes!$C$2:$C$41="p75")*data_raw_slopes!$F$2:$F$41),SUMPRODUCT((data_raw_slopes!$A$2:$A$41=$A9)*(data_raw_slopes!$B$2:$B$41=$B9)*(data_raw_slopes!$C$2:$C$41="p75")*data_raw_slopes!$G$2:$G$41))</f>
        <v>13.2772</v>
      </c>
      <c r="U9" s="326">
        <f>SUMPRODUCT((data_raw_slopes!$A$2:$A$41=$A9)*(data_raw_slopes!$B$2:$B$41=$B9)*(data_raw_slopes!$C$2:$C$41="p90")*data_raw_slopes!$D$2:$D$41)</f>
        <v>37</v>
      </c>
      <c r="V9" s="326">
        <f>IF(SUMPRODUCT((data_raw_slopes!$A$2:$A$41=$A9)*(data_raw_slopes!$B$2:$B$41=$B9)*(data_raw_slopes!$C$2:$C$41="p90")*data_raw_slopes!$F$2:$F$41)&lt;&gt;0,SUMPRODUCT((data_raw_slopes!$A$2:$A$41=$A9)*(data_raw_slopes!$B$2:$B$41=$B9)*(data_raw_slopes!$C$2:$C$41="p90")*data_raw_slopes!$F$2:$F$41),SUMPRODUCT((data_raw_slopes!$A$2:$A$41=$A9)*(data_raw_slopes!$B$2:$B$41=$B9)*(data_raw_slopes!$C$2:$C$41="p90")*data_raw_slopes!$G$2:$G$41))</f>
        <v>17.2879</v>
      </c>
      <c r="W9" s="85">
        <f>IFERROR(SUMPRODUCT((data_raw_segmentation_payers!$B$2:$B$721=$D9)*ISNUMBER(data_raw_segmentation_payers!$AC$2:$AC$721)*data_raw_segmentation_payers!$AC$2:$AC$721*data_raw_segmentation_payers!$C$2:$C$721)/SUMPRODUCT((data_raw_segmentation_payers!$B$2:$B$721=$D9)*ISNUMBER(data_raw_segmentation_payers!$AC$2:$AC$721)*data_raw_segmentation_payers!$C$2:$C$721),0)</f>
        <v>17.23782168</v>
      </c>
      <c r="X9" s="326">
        <f>IFERROR(SUMPRODUCT((data_raw_segmentation_payers!$B$2:$B$721=$D9)*ISNUMBER(data_raw_segmentation_payers!$AL$2:$AL$721)*data_raw_segmentation_payers!$AL$2:$AL$721*data_raw_segmentation_payers!$C$2:$C$721)/SUMPRODUCT((data_raw_segmentation_payers!$B$2:$B$721=$D9)*ISNUMBER(data_raw_segmentation_payers!$AL$2:$AL$721)*data_raw_segmentation_payers!$C$2:$C$721),0)</f>
        <v>20.84465693</v>
      </c>
      <c r="Y9" s="326">
        <f>IFERROR(SUMPRODUCT((data_raw_segmentation_payers!$B$2:$B$721=$D9)*ISNUMBER(data_raw_segmentation_payers!$AN$2:$AN$721)*data_raw_segmentation_payers!$AN$2:$AN$721*data_raw_segmentation_payers!$C$2:$C$721)/SUMPRODUCT((data_raw_segmentation_payers!$B$2:$B$721=$D9)*ISNUMBER(data_raw_segmentation_payers!$AN$2:$AN$721)*data_raw_segmentation_payers!$C$2:$C$721),0)/100</f>
        <v>0.7166172977</v>
      </c>
      <c r="Z9" s="85"/>
    </row>
    <row r="10" ht="15.0" customHeight="1">
      <c r="A10" s="85" t="s">
        <v>46</v>
      </c>
      <c r="B10" s="85" t="s">
        <v>219</v>
      </c>
      <c r="C10" s="85" t="s">
        <v>220</v>
      </c>
      <c r="D10" s="85" t="s">
        <v>217</v>
      </c>
      <c r="E10" s="326">
        <f>IFERROR(SUMPRODUCT((data_raw_segmentation_payers!$B$2:$B$721=$D10)*ISNUMBER(data_raw_segmentation_payers!$J$2:$J$721)*data_raw_segmentation_payers!$J$2:$J$721*data_raw_segmentation_payers!$C$2:$C$721)/SUMPRODUCT((data_raw_segmentation_payers!$B$2:$B$721=$D10)*ISNUMBER(data_raw_segmentation_payers!$J$2:$J$721)*data_raw_segmentation_payers!$C$2:$C$721),0)</f>
        <v>81.61387398</v>
      </c>
      <c r="F10" s="327">
        <f>IFERROR(SUMPRODUCT((data_raw_segmentation_payers!$B$2:$B$721=$D10)*ISNUMBER(data_raw_segmentation_payers!$L$2:$L$721)*data_raw_segmentation_payers!$L$2:$L$721*data_raw_segmentation_payers!$C$2:$C$721)/SUMPRODUCT((data_raw_segmentation_payers!$B$2:$B$721=$D10)*ISNUMBER(data_raw_segmentation_payers!$L$2:$L$721)*data_raw_segmentation_payers!$C$2:$C$721),0)</f>
        <v>0.6742247838</v>
      </c>
      <c r="G10" s="326">
        <f>IFERROR(SUMPRODUCT((data_raw_segmentation_payers!$B$2:$B$721=$D10)*ISNUMBER(data_raw_segmentation_payers!$K$2:$K$721)*data_raw_segmentation_payers!$K$2:$K$721*data_raw_segmentation_payers!$C$2:$C$721)/SUMPRODUCT((data_raw_segmentation_payers!$B$2:$B$721=$D10)*ISNUMBER(data_raw_segmentation_payers!$K$2:$K$721)*data_raw_segmentation_payers!$C$2:$C$721),0)</f>
        <v>55.00386983</v>
      </c>
      <c r="H10" s="326">
        <f>IFERROR(SUMPRODUCT((data_raw_segmentation_payers!$B$2:$B$721=$D10)*ISNUMBER(data_raw_segmentation_payers!$P$2:$P$721)*data_raw_segmentation_payers!$P$2:$P$721*data_raw_segmentation_payers!$C$2:$C$721)/SUMPRODUCT((data_raw_segmentation_payers!$B$2:$B$721=$D10)*ISNUMBER(data_raw_segmentation_payers!$P$2:$P$721)*data_raw_segmentation_payers!$C$2:$C$721),0)</f>
        <v>684.6909244</v>
      </c>
      <c r="I10" s="326">
        <f>IFERROR(SUMPRODUCT((data_raw_segmentation_payers!$B$2:$B$721=$D10)*ISNUMBER(data_raw_segmentation_payers!$R$2:$R$721)*data_raw_segmentation_payers!$R$2:$R$721*data_raw_segmentation_payers!$C$2:$C$721)/SUMPRODUCT((data_raw_segmentation_payers!$B$2:$B$721=$D10)*ISNUMBER(data_raw_segmentation_payers!$R$2:$R$721)*data_raw_segmentation_payers!$C$2:$C$721),0)</f>
        <v>107.1579817</v>
      </c>
      <c r="J10" s="326">
        <f>IFERROR(SUMPRODUCT((data_raw_segmentation_payers!$B$2:$B$721=$D10)*ISNUMBER(data_raw_segmentation_payers!$Q$2:$Q$721)*data_raw_segmentation_payers!$Q$2:$Q$721*data_raw_segmentation_payers!$C$2:$C$721)/SUMPRODUCT((data_raw_segmentation_payers!$B$2:$B$721=$D10)*ISNUMBER(data_raw_segmentation_payers!$Q$2:$Q$721)*data_raw_segmentation_payers!$C$2:$C$721),0)</f>
        <v>577.5332307</v>
      </c>
      <c r="K10" s="326">
        <f>IFERROR(SUMPRODUCT((data_raw_segmentation_payers!$B$2:$B$721=$D10)*ISNUMBER(data_raw_segmentation_payers!$U$2:$U$721)*data_raw_segmentation_payers!$U$2:$U$721*data_raw_segmentation_payers!$C$2:$C$721)/SUMPRODUCT((data_raw_segmentation_payers!$B$2:$B$721=$D10)*ISNUMBER(data_raw_segmentation_payers!$U$2:$U$721)*data_raw_segmentation_payers!$C$2:$C$721),0)</f>
        <v>705.6426113</v>
      </c>
      <c r="L10" s="327">
        <f>IFERROR(SUMPRODUCT((data_raw_segmentation_payers!$B$2:$B$721=$D10)*ISNUMBER(data_raw_segmentation_payers!$AH$2:$AH$721)*data_raw_segmentation_payers!$AH$2:$AH$721*data_raw_segmentation_payers!$C$2:$C$721)/SUMPRODUCT((data_raw_segmentation_payers!$B$2:$B$721=$D10)*ISNUMBER(data_raw_segmentation_payers!$AH$2:$AH$721)*data_raw_segmentation_payers!$C$2:$C$721),0)/100</f>
        <v>0.4972475514</v>
      </c>
      <c r="M10" s="327">
        <f>IFERROR(SUMPRODUCT((data_raw_segmentation_payers!$B$2:$B$721=$D10)*ISNUMBER(data_raw_segmentation_payers!$AI$2:$AI$721)*data_raw_segmentation_payers!$AI$2:$AI$721*data_raw_segmentation_payers!$C$2:$C$721)/SUMPRODUCT((data_raw_segmentation_payers!$B$2:$B$721=$D10)*ISNUMBER(data_raw_segmentation_payers!$AI$2:$AI$721)*data_raw_segmentation_payers!$C$2:$C$721),0)/100</f>
        <v>0.1849134422</v>
      </c>
      <c r="N10" s="327">
        <f>IFERROR(SUMPRODUCT((data_raw_segmentation_payers!$B$2:$B$721=$D10)*ISNUMBER(data_raw_segmentation_payers!$AJ$2:$AJ$721)*data_raw_segmentation_payers!$AJ$2:$AJ$721*data_raw_segmentation_payers!$C$2:$C$721)/SUMPRODUCT((data_raw_segmentation_payers!$B$2:$B$721=$D10)*ISNUMBER(data_raw_segmentation_payers!$AJ$2:$AJ$721)*data_raw_segmentation_payers!$C$2:$C$721),0)/100</f>
        <v>0.04720710806</v>
      </c>
      <c r="O10" s="326">
        <f>SUMPRODUCT((data_raw_slopes!$A$2:$A$41=$A10)*(data_raw_slopes!$B$2:$B$41=$B10)*(data_raw_slopes!$C$2:$C$41="p25")*data_raw_slopes!$D$2:$D$41)</f>
        <v>12</v>
      </c>
      <c r="P10" s="326">
        <f>IF(SUMPRODUCT((data_raw_slopes!$A$2:$A$41=$A10)*(data_raw_slopes!$B$2:$B$41=$B10)*(data_raw_slopes!$C$2:$C$41="p25")*data_raw_slopes!$F$2:$F$41)&lt;&gt;0,SUMPRODUCT((data_raw_slopes!$A$2:$A$41=$A10)*(data_raw_slopes!$B$2:$B$41=$B10)*(data_raw_slopes!$C$2:$C$41="p25")*data_raw_slopes!$F$2:$F$41),SUMPRODUCT((data_raw_slopes!$A$2:$A$41=$A10)*(data_raw_slopes!$B$2:$B$41=$B10)*(data_raw_slopes!$C$2:$C$41="p25")*data_raw_slopes!$G$2:$G$41))</f>
        <v>20.668</v>
      </c>
      <c r="Q10" s="326">
        <f>SUMPRODUCT((data_raw_slopes!$A$2:$A$41=$A10)*(data_raw_slopes!$B$2:$B$41=$B10)*(data_raw_slopes!$C$2:$C$41="p50")*data_raw_slopes!$D$2:$D$41)</f>
        <v>27</v>
      </c>
      <c r="R10" s="326">
        <f>IF(SUMPRODUCT((data_raw_slopes!$A$2:$A$41=$A10)*(data_raw_slopes!$B$2:$B$41=$B10)*(data_raw_slopes!$C$2:$C$41="p50")*data_raw_slopes!$F$2:$F$41)&lt;&gt;0,SUMPRODUCT((data_raw_slopes!$A$2:$A$41=$A10)*(data_raw_slopes!$B$2:$B$41=$B10)*(data_raw_slopes!$C$2:$C$41="p50")*data_raw_slopes!$F$2:$F$41),SUMPRODUCT((data_raw_slopes!$A$2:$A$41=$A10)*(data_raw_slopes!$B$2:$B$41=$B10)*(data_raw_slopes!$C$2:$C$41="p50")*data_raw_slopes!$G$2:$G$41))</f>
        <v>15.4689</v>
      </c>
      <c r="S10" s="326">
        <f>SUMPRODUCT((data_raw_slopes!$A$2:$A$41=$A10)*(data_raw_slopes!$B$2:$B$41=$B10)*(data_raw_slopes!$C$2:$C$41="p75")*data_raw_slopes!$D$2:$D$41)</f>
        <v>50</v>
      </c>
      <c r="T10" s="326">
        <f>IF(SUMPRODUCT((data_raw_slopes!$A$2:$A$41=$A10)*(data_raw_slopes!$B$2:$B$41=$B10)*(data_raw_slopes!$C$2:$C$41="p75")*data_raw_slopes!$F$2:$F$41)&lt;&gt;0,SUMPRODUCT((data_raw_slopes!$A$2:$A$41=$A10)*(data_raw_slopes!$B$2:$B$41=$B10)*(data_raw_slopes!$C$2:$C$41="p75")*data_raw_slopes!$F$2:$F$41),SUMPRODUCT((data_raw_slopes!$A$2:$A$41=$A10)*(data_raw_slopes!$B$2:$B$41=$B10)*(data_raw_slopes!$C$2:$C$41="p75")*data_raw_slopes!$G$2:$G$41))</f>
        <v>11.8018</v>
      </c>
      <c r="U10" s="326">
        <f>SUMPRODUCT((data_raw_slopes!$A$2:$A$41=$A10)*(data_raw_slopes!$B$2:$B$41=$B10)*(data_raw_slopes!$C$2:$C$41="p90")*data_raw_slopes!$D$2:$D$41)</f>
        <v>77</v>
      </c>
      <c r="V10" s="326">
        <f>IF(SUMPRODUCT((data_raw_slopes!$A$2:$A$41=$A10)*(data_raw_slopes!$B$2:$B$41=$B10)*(data_raw_slopes!$C$2:$C$41="p90")*data_raw_slopes!$F$2:$F$41)&lt;&gt;0,SUMPRODUCT((data_raw_slopes!$A$2:$A$41=$A10)*(data_raw_slopes!$B$2:$B$41=$B10)*(data_raw_slopes!$C$2:$C$41="p90")*data_raw_slopes!$F$2:$F$41),SUMPRODUCT((data_raw_slopes!$A$2:$A$41=$A10)*(data_raw_slopes!$B$2:$B$41=$B10)*(data_raw_slopes!$C$2:$C$41="p90")*data_raw_slopes!$G$2:$G$41))</f>
        <v>15.5223</v>
      </c>
      <c r="W10" s="85">
        <f>IFERROR(SUMPRODUCT((data_raw_segmentation_payers!$B$2:$B$721=$D10)*ISNUMBER(data_raw_segmentation_payers!$AC$2:$AC$721)*data_raw_segmentation_payers!$AC$2:$AC$721*data_raw_segmentation_payers!$C$2:$C$721)/SUMPRODUCT((data_raw_segmentation_payers!$B$2:$B$721=$D10)*ISNUMBER(data_raw_segmentation_payers!$AC$2:$AC$721)*data_raw_segmentation_payers!$C$2:$C$721),0)</f>
        <v>35.95612431</v>
      </c>
      <c r="X10" s="326">
        <f>IFERROR(SUMPRODUCT((data_raw_segmentation_payers!$B$2:$B$721=$D10)*ISNUMBER(data_raw_segmentation_payers!$AL$2:$AL$721)*data_raw_segmentation_payers!$AL$2:$AL$721*data_raw_segmentation_payers!$C$2:$C$721)/SUMPRODUCT((data_raw_segmentation_payers!$B$2:$B$721=$D10)*ISNUMBER(data_raw_segmentation_payers!$AL$2:$AL$721)*data_raw_segmentation_payers!$C$2:$C$721),0)</f>
        <v>20.85832578</v>
      </c>
      <c r="Y10" s="326">
        <f>IFERROR(SUMPRODUCT((data_raw_segmentation_payers!$B$2:$B$721=$D10)*ISNUMBER(data_raw_segmentation_payers!$AN$2:$AN$721)*data_raw_segmentation_payers!$AN$2:$AN$721*data_raw_segmentation_payers!$C$2:$C$721)/SUMPRODUCT((data_raw_segmentation_payers!$B$2:$B$721=$D10)*ISNUMBER(data_raw_segmentation_payers!$AN$2:$AN$721)*data_raw_segmentation_payers!$C$2:$C$721),0)/100</f>
        <v>0.7220512497</v>
      </c>
      <c r="Z10" s="85"/>
    </row>
    <row r="11" ht="15.0" customHeight="1">
      <c r="A11" s="85" t="s">
        <v>47</v>
      </c>
      <c r="B11" s="85" t="s">
        <v>219</v>
      </c>
      <c r="C11" s="85" t="s">
        <v>220</v>
      </c>
      <c r="D11" s="85" t="s">
        <v>218</v>
      </c>
      <c r="E11" s="326">
        <f>IFERROR(SUMPRODUCT((data_raw_segmentation_payers!$B$2:$B$721=$D11)*ISNUMBER(data_raw_segmentation_payers!$J$2:$J$721)*data_raw_segmentation_payers!$J$2:$J$721*data_raw_segmentation_payers!$C$2:$C$721)/SUMPRODUCT((data_raw_segmentation_payers!$B$2:$B$721=$D11)*ISNUMBER(data_raw_segmentation_payers!$J$2:$J$721)*data_raw_segmentation_payers!$C$2:$C$721),0)</f>
        <v>158.4660972</v>
      </c>
      <c r="F11" s="327">
        <f>IFERROR(SUMPRODUCT((data_raw_segmentation_payers!$B$2:$B$721=$D11)*ISNUMBER(data_raw_segmentation_payers!$L$2:$L$721)*data_raw_segmentation_payers!$L$2:$L$721*data_raw_segmentation_payers!$C$2:$C$721)/SUMPRODUCT((data_raw_segmentation_payers!$B$2:$B$721=$D11)*ISNUMBER(data_raw_segmentation_payers!$L$2:$L$721)*data_raw_segmentation_payers!$C$2:$C$721),0)</f>
        <v>0.8063904402</v>
      </c>
      <c r="G11" s="326">
        <f>IFERROR(SUMPRODUCT((data_raw_segmentation_payers!$B$2:$B$721=$D11)*ISNUMBER(data_raw_segmentation_payers!$K$2:$K$721)*data_raw_segmentation_payers!$K$2:$K$721*data_raw_segmentation_payers!$C$2:$C$721)/SUMPRODUCT((data_raw_segmentation_payers!$B$2:$B$721=$D11)*ISNUMBER(data_raw_segmentation_payers!$K$2:$K$721)*data_raw_segmentation_payers!$C$2:$C$721),0)</f>
        <v>127.7556596</v>
      </c>
      <c r="H11" s="326">
        <f>IFERROR(SUMPRODUCT((data_raw_segmentation_payers!$B$2:$B$721=$D11)*ISNUMBER(data_raw_segmentation_payers!$P$2:$P$721)*data_raw_segmentation_payers!$P$2:$P$721*data_raw_segmentation_payers!$C$2:$C$721)/SUMPRODUCT((data_raw_segmentation_payers!$B$2:$B$721=$D11)*ISNUMBER(data_raw_segmentation_payers!$P$2:$P$721)*data_raw_segmentation_payers!$C$2:$C$721),0)</f>
        <v>1315.776031</v>
      </c>
      <c r="I11" s="326">
        <f>IFERROR(SUMPRODUCT((data_raw_segmentation_payers!$B$2:$B$721=$D11)*ISNUMBER(data_raw_segmentation_payers!$R$2:$R$721)*data_raw_segmentation_payers!$R$2:$R$721*data_raw_segmentation_payers!$C$2:$C$721)/SUMPRODUCT((data_raw_segmentation_payers!$B$2:$B$721=$D11)*ISNUMBER(data_raw_segmentation_payers!$R$2:$R$721)*data_raw_segmentation_payers!$C$2:$C$721),0)</f>
        <v>255.2872968</v>
      </c>
      <c r="J11" s="326">
        <f>IFERROR(SUMPRODUCT((data_raw_segmentation_payers!$B$2:$B$721=$D11)*ISNUMBER(data_raw_segmentation_payers!$Q$2:$Q$721)*data_raw_segmentation_payers!$Q$2:$Q$721*data_raw_segmentation_payers!$C$2:$C$721)/SUMPRODUCT((data_raw_segmentation_payers!$B$2:$B$721=$D11)*ISNUMBER(data_raw_segmentation_payers!$Q$2:$Q$721)*data_raw_segmentation_payers!$C$2:$C$721),0)</f>
        <v>1060.489098</v>
      </c>
      <c r="K11" s="326">
        <f>IFERROR(SUMPRODUCT((data_raw_segmentation_payers!$B$2:$B$721=$D11)*ISNUMBER(data_raw_segmentation_payers!$U$2:$U$721)*data_raw_segmentation_payers!$U$2:$U$721*data_raw_segmentation_payers!$C$2:$C$721)/SUMPRODUCT((data_raw_segmentation_payers!$B$2:$B$721=$D11)*ISNUMBER(data_raw_segmentation_payers!$U$2:$U$721)*data_raw_segmentation_payers!$C$2:$C$721),0)</f>
        <v>1368.011309</v>
      </c>
      <c r="L11" s="327">
        <f>IFERROR(SUMPRODUCT((data_raw_segmentation_payers!$B$2:$B$721=$D11)*ISNUMBER(data_raw_segmentation_payers!$AH$2:$AH$721)*data_raw_segmentation_payers!$AH$2:$AH$721*data_raw_segmentation_payers!$C$2:$C$721)/SUMPRODUCT((data_raw_segmentation_payers!$B$2:$B$721=$D11)*ISNUMBER(data_raw_segmentation_payers!$AH$2:$AH$721)*data_raw_segmentation_payers!$C$2:$C$721),0)/100</f>
        <v>0.442252152</v>
      </c>
      <c r="M11" s="327">
        <f>IFERROR(SUMPRODUCT((data_raw_segmentation_payers!$B$2:$B$721=$D11)*ISNUMBER(data_raw_segmentation_payers!$AI$2:$AI$721)*data_raw_segmentation_payers!$AI$2:$AI$721*data_raw_segmentation_payers!$C$2:$C$721)/SUMPRODUCT((data_raw_segmentation_payers!$B$2:$B$721=$D11)*ISNUMBER(data_raw_segmentation_payers!$AI$2:$AI$721)*data_raw_segmentation_payers!$C$2:$C$721),0)/100</f>
        <v>0.1086571512</v>
      </c>
      <c r="N11" s="327">
        <f>IFERROR(SUMPRODUCT((data_raw_segmentation_payers!$B$2:$B$721=$D11)*ISNUMBER(data_raw_segmentation_payers!$AJ$2:$AJ$721)*data_raw_segmentation_payers!$AJ$2:$AJ$721*data_raw_segmentation_payers!$C$2:$C$721)/SUMPRODUCT((data_raw_segmentation_payers!$B$2:$B$721=$D11)*ISNUMBER(data_raw_segmentation_payers!$AJ$2:$AJ$721)*data_raw_segmentation_payers!$C$2:$C$721),0)/100</f>
        <v>0.01977833065</v>
      </c>
      <c r="O11" s="326">
        <f>SUMPRODUCT((data_raw_slopes!$A$2:$A$41=$A11)*(data_raw_slopes!$B$2:$B$41=$B11)*(data_raw_slopes!$C$2:$C$41="p25")*data_raw_slopes!$D$2:$D$41)</f>
        <v>28</v>
      </c>
      <c r="P11" s="326">
        <f>IF(SUMPRODUCT((data_raw_slopes!$A$2:$A$41=$A11)*(data_raw_slopes!$B$2:$B$41=$B11)*(data_raw_slopes!$C$2:$C$41="p25")*data_raw_slopes!$F$2:$F$41)&lt;&gt;0,SUMPRODUCT((data_raw_slopes!$A$2:$A$41=$A11)*(data_raw_slopes!$B$2:$B$41=$B11)*(data_raw_slopes!$C$2:$C$41="p25")*data_raw_slopes!$F$2:$F$41),SUMPRODUCT((data_raw_slopes!$A$2:$A$41=$A11)*(data_raw_slopes!$B$2:$B$41=$B11)*(data_raw_slopes!$C$2:$C$41="p25")*data_raw_slopes!$G$2:$G$41))</f>
        <v>17.6282</v>
      </c>
      <c r="Q11" s="326">
        <f>SUMPRODUCT((data_raw_slopes!$A$2:$A$41=$A11)*(data_raw_slopes!$B$2:$B$41=$B11)*(data_raw_slopes!$C$2:$C$41="p50")*data_raw_slopes!$D$2:$D$41)</f>
        <v>66</v>
      </c>
      <c r="R11" s="326">
        <f>IF(SUMPRODUCT((data_raw_slopes!$A$2:$A$41=$A11)*(data_raw_slopes!$B$2:$B$41=$B11)*(data_raw_slopes!$C$2:$C$41="p50")*data_raw_slopes!$F$2:$F$41)&lt;&gt;0,SUMPRODUCT((data_raw_slopes!$A$2:$A$41=$A11)*(data_raw_slopes!$B$2:$B$41=$B11)*(data_raw_slopes!$C$2:$C$41="p50")*data_raw_slopes!$F$2:$F$41),SUMPRODUCT((data_raw_slopes!$A$2:$A$41=$A11)*(data_raw_slopes!$B$2:$B$41=$B11)*(data_raw_slopes!$C$2:$C$41="p50")*data_raw_slopes!$G$2:$G$41))</f>
        <v>10.8686</v>
      </c>
      <c r="S11" s="326">
        <f>SUMPRODUCT((data_raw_slopes!$A$2:$A$41=$A11)*(data_raw_slopes!$B$2:$B$41=$B11)*(data_raw_slopes!$C$2:$C$41="p75")*data_raw_slopes!$D$2:$D$41)</f>
        <v>121</v>
      </c>
      <c r="T11" s="326">
        <f>IF(SUMPRODUCT((data_raw_slopes!$A$2:$A$41=$A11)*(data_raw_slopes!$B$2:$B$41=$B11)*(data_raw_slopes!$C$2:$C$41="p75")*data_raw_slopes!$F$2:$F$41)&lt;&gt;0,SUMPRODUCT((data_raw_slopes!$A$2:$A$41=$A11)*(data_raw_slopes!$B$2:$B$41=$B11)*(data_raw_slopes!$C$2:$C$41="p75")*data_raw_slopes!$F$2:$F$41),SUMPRODUCT((data_raw_slopes!$A$2:$A$41=$A11)*(data_raw_slopes!$B$2:$B$41=$B11)*(data_raw_slopes!$C$2:$C$41="p75")*data_raw_slopes!$G$2:$G$41))</f>
        <v>9.4274</v>
      </c>
      <c r="U11" s="326">
        <f>SUMPRODUCT((data_raw_slopes!$A$2:$A$41=$A11)*(data_raw_slopes!$B$2:$B$41=$B11)*(data_raw_slopes!$C$2:$C$41="p90")*data_raw_slopes!$D$2:$D$41)</f>
        <v>179</v>
      </c>
      <c r="V11" s="326">
        <f>IF(SUMPRODUCT((data_raw_slopes!$A$2:$A$41=$A11)*(data_raw_slopes!$B$2:$B$41=$B11)*(data_raw_slopes!$C$2:$C$41="p90")*data_raw_slopes!$F$2:$F$41)&lt;&gt;0,SUMPRODUCT((data_raw_slopes!$A$2:$A$41=$A11)*(data_raw_slopes!$B$2:$B$41=$B11)*(data_raw_slopes!$C$2:$C$41="p90")*data_raw_slopes!$F$2:$F$41),SUMPRODUCT((data_raw_slopes!$A$2:$A$41=$A11)*(data_raw_slopes!$B$2:$B$41=$B11)*(data_raw_slopes!$C$2:$C$41="p90")*data_raw_slopes!$G$2:$G$41))</f>
        <v>9.4098</v>
      </c>
      <c r="W11" s="85">
        <f>IFERROR(SUMPRODUCT((data_raw_segmentation_payers!$B$2:$B$721=$D11)*ISNUMBER(data_raw_segmentation_payers!$AC$2:$AC$721)*data_raw_segmentation_payers!$AC$2:$AC$721*data_raw_segmentation_payers!$C$2:$C$721)/SUMPRODUCT((data_raw_segmentation_payers!$B$2:$B$721=$D11)*ISNUMBER(data_raw_segmentation_payers!$AC$2:$AC$721)*data_raw_segmentation_payers!$C$2:$C$721),0)</f>
        <v>85.41678074</v>
      </c>
      <c r="X11" s="326">
        <f>IFERROR(SUMPRODUCT((data_raw_segmentation_payers!$B$2:$B$721=$D11)*ISNUMBER(data_raw_segmentation_payers!$AL$2:$AL$721)*data_raw_segmentation_payers!$AL$2:$AL$721*data_raw_segmentation_payers!$C$2:$C$721)/SUMPRODUCT((data_raw_segmentation_payers!$B$2:$B$721=$D11)*ISNUMBER(data_raw_segmentation_payers!$AL$2:$AL$721)*data_raw_segmentation_payers!$C$2:$C$721),0)</f>
        <v>21.6458124</v>
      </c>
      <c r="Y11" s="326">
        <f>IFERROR(SUMPRODUCT((data_raw_segmentation_payers!$B$2:$B$721=$D11)*ISNUMBER(data_raw_segmentation_payers!$AN$2:$AN$721)*data_raw_segmentation_payers!$AN$2:$AN$721*data_raw_segmentation_payers!$C$2:$C$721)/SUMPRODUCT((data_raw_segmentation_payers!$B$2:$B$721=$D11)*ISNUMBER(data_raw_segmentation_payers!$AN$2:$AN$721)*data_raw_segmentation_payers!$C$2:$C$721),0)/100</f>
        <v>0.696524716</v>
      </c>
      <c r="Z11" s="85"/>
    </row>
    <row r="12" ht="15.0" customHeight="1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ht="15.0" customHeight="1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ht="15.0" customHeight="1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ht="15.0" customHeight="1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ht="15.0" customHeight="1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15.0" customHeight="1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ht="15.0" customHeight="1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ht="15.0" customHeight="1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15.0" customHeight="1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ht="15.75" customHeight="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15.75" customHeight="1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ht="15.75" customHeight="1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ht="15.75" customHeight="1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ht="15.75" customHeight="1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ht="15.75" customHeight="1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ht="15.75" customHeight="1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15.75" customHeight="1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5.75" customHeight="1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ht="15.75" customHeight="1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ht="15.75" customHeight="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ht="15.75" customHeight="1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ht="15.75" customHeight="1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ht="15.75" customHeight="1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ht="15.75" customHeight="1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ht="15.75" customHeight="1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ht="15.75" customHeight="1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ht="15.75" customHeight="1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ht="15.75" customHeight="1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ht="15.75" customHeight="1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ht="15.75" customHeight="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ht="15.75" customHeight="1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ht="15.75" customHeight="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ht="15.7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ht="15.75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ht="15.75" customHeight="1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ht="15.75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ht="15.75" customHeight="1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ht="15.75" customHeight="1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ht="15.75" customHeight="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ht="15.75" customHeight="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ht="15.75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ht="15.75" customHeight="1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ht="15.75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ht="15.75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ht="15.75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ht="15.7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ht="15.7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ht="15.7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ht="15.7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ht="15.7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ht="15.7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ht="15.7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ht="15.7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ht="15.7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ht="15.7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ht="15.7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ht="15.7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ht="15.7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ht="15.7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ht="15.7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ht="15.7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ht="15.7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ht="15.7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ht="15.7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ht="15.7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ht="15.7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ht="15.7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ht="15.7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ht="15.7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ht="15.7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ht="15.7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ht="15.7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ht="15.7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ht="15.7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ht="15.7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ht="15.7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ht="15.7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ht="15.7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ht="15.7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ht="15.7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ht="15.7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ht="15.7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ht="15.7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ht="15.7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ht="15.7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ht="15.7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ht="15.7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ht="15.7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ht="15.7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ht="15.7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ht="15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ht="15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ht="15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ht="15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ht="15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ht="15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ht="15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ht="15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ht="15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ht="15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ht="15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ht="15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ht="15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ht="15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ht="15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ht="15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ht="15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ht="15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ht="15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ht="15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ht="15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ht="15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ht="15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ht="15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ht="15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ht="15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ht="15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ht="15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ht="15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ht="15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ht="15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ht="15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ht="15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ht="15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ht="15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ht="15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ht="15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ht="15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ht="15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ht="15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ht="15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ht="15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ht="15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ht="15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ht="15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ht="15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ht="15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ht="15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ht="15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ht="15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ht="15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ht="15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ht="15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ht="15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ht="15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ht="15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ht="15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ht="15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ht="15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ht="15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ht="15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ht="15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ht="15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ht="15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ht="15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ht="15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ht="15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ht="15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ht="15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ht="15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ht="15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ht="15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ht="15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ht="15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ht="15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ht="15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ht="15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ht="15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ht="15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ht="15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ht="15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ht="15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ht="15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ht="15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ht="15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ht="15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ht="15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ht="15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ht="15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ht="15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ht="15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ht="15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ht="15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ht="15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ht="15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ht="15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ht="15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ht="15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ht="15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ht="15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ht="15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ht="15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ht="15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ht="15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ht="15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ht="15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ht="15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ht="15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ht="15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ht="15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ht="15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ht="15.7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ht="15.7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ht="15.7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ht="15.7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ht="15.7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ht="15.7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ht="15.7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ht="15.7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ht="15.7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ht="15.7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ht="15.7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ht="15.7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ht="15.7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ht="15.7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ht="15.7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ht="15.7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ht="15.7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ht="15.7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ht="15.7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ht="15.7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ht="15.7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ht="15.7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ht="15.7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ht="15.7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ht="15.7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ht="15.7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ht="15.7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ht="15.7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ht="15.7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ht="15.7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ht="15.7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ht="15.7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ht="15.7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ht="15.7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ht="15.7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ht="15.7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ht="15.7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ht="15.7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ht="15.7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ht="15.7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ht="15.7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ht="15.7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ht="15.7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ht="15.7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ht="15.7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ht="15.7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ht="15.7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ht="15.7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ht="15.7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ht="15.7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ht="15.7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ht="15.7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ht="15.7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ht="15.7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ht="15.7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ht="15.7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ht="15.7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ht="15.7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ht="15.7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ht="15.7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ht="15.7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ht="15.7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ht="15.7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ht="15.7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ht="15.7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ht="15.7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ht="15.7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ht="15.7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ht="15.7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ht="15.7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ht="15.7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ht="15.7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ht="15.7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ht="15.7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ht="15.7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ht="15.7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ht="15.7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ht="15.7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ht="15.7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ht="15.7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ht="15.7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ht="15.7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ht="15.7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ht="15.7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ht="15.7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ht="15.7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ht="15.7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ht="15.7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ht="15.7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ht="15.7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ht="15.7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ht="15.7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ht="15.7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ht="15.7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ht="15.7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ht="15.7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ht="15.7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ht="15.7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ht="15.7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ht="15.7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ht="15.7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ht="15.7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ht="15.7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ht="15.7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ht="15.7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ht="15.7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ht="15.7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ht="15.7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ht="15.7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ht="15.7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ht="15.7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ht="15.7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ht="15.7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ht="15.7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ht="15.7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ht="15.7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ht="15.7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ht="15.7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ht="15.7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ht="15.7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ht="15.7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ht="15.7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ht="15.7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ht="15.7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ht="15.7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ht="15.7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ht="15.7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ht="15.7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ht="15.7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ht="15.7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ht="15.7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ht="15.7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ht="15.7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ht="15.7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ht="15.7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ht="15.7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ht="15.7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ht="15.7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ht="15.7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ht="15.7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ht="15.7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ht="15.7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ht="15.7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ht="15.7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ht="15.7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ht="15.7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ht="15.7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ht="15.7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ht="15.7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ht="15.7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ht="15.7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ht="15.7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ht="15.7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ht="15.7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ht="15.7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ht="15.7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ht="15.7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ht="15.7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ht="15.7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ht="15.7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ht="15.7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ht="15.7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ht="15.7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ht="15.7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ht="15.7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ht="15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ht="15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ht="15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ht="15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ht="15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ht="15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ht="15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ht="15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ht="15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ht="15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ht="15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ht="15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ht="15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ht="15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ht="15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ht="15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ht="15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ht="15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ht="15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ht="15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ht="15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ht="15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ht="15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ht="15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ht="15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ht="15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ht="15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ht="15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ht="15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ht="15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ht="15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ht="15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ht="15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ht="15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ht="15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ht="15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ht="15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ht="15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ht="15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ht="15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ht="15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ht="15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ht="15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ht="15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ht="15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ht="15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ht="15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ht="15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ht="15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ht="15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ht="15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ht="15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ht="15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ht="15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ht="15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ht="15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ht="15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ht="15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ht="15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ht="15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ht="15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ht="15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ht="15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ht="15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ht="15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ht="15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ht="15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ht="15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ht="15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ht="15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ht="15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ht="15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ht="15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ht="15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ht="15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ht="15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ht="15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ht="15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ht="15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ht="15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ht="15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ht="15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ht="15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ht="15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ht="15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ht="15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ht="15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ht="15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ht="15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ht="15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ht="15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ht="15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ht="15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ht="15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ht="15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ht="15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ht="15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ht="15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ht="15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ht="15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ht="15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ht="15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ht="15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ht="15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ht="15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ht="15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ht="15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ht="15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ht="15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ht="15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ht="15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ht="15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ht="15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ht="15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ht="15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ht="15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ht="15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ht="15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ht="15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ht="15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ht="15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ht="15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ht="15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ht="15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ht="15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ht="15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ht="15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ht="15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ht="15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ht="15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ht="15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ht="15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ht="15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ht="15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ht="15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ht="15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ht="15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ht="15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ht="15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ht="15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ht="15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ht="15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ht="15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ht="15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ht="15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ht="15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ht="15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ht="15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ht="15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ht="15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ht="15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ht="15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ht="15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ht="15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ht="15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ht="15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ht="15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ht="15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ht="15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ht="15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ht="15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ht="15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ht="15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ht="15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ht="15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ht="15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ht="15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ht="15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ht="15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ht="15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ht="15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ht="15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ht="15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ht="15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ht="15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ht="15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ht="15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ht="15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ht="15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ht="15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ht="15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ht="15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ht="15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ht="15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ht="15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ht="15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ht="15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ht="15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ht="15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ht="15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ht="15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ht="15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ht="15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ht="15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ht="15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ht="15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ht="15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ht="15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ht="15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ht="15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ht="15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ht="15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ht="15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ht="15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ht="15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ht="15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ht="15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ht="15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ht="15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ht="15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ht="15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ht="15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ht="15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ht="15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ht="15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ht="15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ht="15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ht="15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ht="15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ht="15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ht="15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ht="15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ht="15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ht="15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ht="15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ht="15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ht="15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ht="15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ht="15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ht="15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ht="15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ht="15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ht="15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ht="15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ht="15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ht="15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ht="15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ht="15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ht="15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ht="15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ht="15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ht="15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ht="15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ht="15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ht="15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ht="15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ht="15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ht="15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ht="15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ht="15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ht="15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ht="15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ht="15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ht="15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ht="15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ht="15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ht="15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ht="15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ht="15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ht="15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ht="15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ht="15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ht="15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ht="15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ht="15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ht="15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ht="15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ht="15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ht="15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ht="15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ht="15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ht="15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ht="15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ht="15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ht="15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ht="15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ht="15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ht="15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ht="15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ht="15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ht="15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ht="15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ht="15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ht="15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ht="15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ht="15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ht="15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ht="15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ht="15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ht="15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ht="15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ht="15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ht="15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ht="15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ht="15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ht="15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ht="15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ht="15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ht="15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ht="15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ht="15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ht="15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ht="15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ht="15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ht="15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ht="15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ht="15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ht="15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ht="15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ht="15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ht="15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ht="15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ht="15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ht="15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ht="15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ht="15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ht="15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ht="15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ht="15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ht="15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ht="15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ht="15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ht="15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ht="15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ht="15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ht="15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ht="15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ht="15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ht="15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ht="15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ht="15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ht="15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ht="15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ht="15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ht="15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ht="15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ht="15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ht="15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ht="15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ht="15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ht="15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ht="15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ht="15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ht="15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ht="15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ht="15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ht="15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ht="15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ht="15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ht="15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ht="15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ht="15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ht="15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ht="15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ht="15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ht="15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ht="15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ht="15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ht="15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ht="15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ht="15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ht="15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ht="15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ht="15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ht="15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ht="15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ht="15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ht="15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ht="15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ht="15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ht="15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ht="15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ht="15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ht="15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ht="15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ht="15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ht="15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ht="15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ht="15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ht="15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ht="15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ht="15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ht="15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ht="15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ht="15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ht="15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ht="15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ht="15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ht="15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ht="15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ht="15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ht="15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ht="15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ht="15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ht="15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ht="15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ht="15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ht="15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ht="15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ht="15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ht="15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ht="15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ht="15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ht="15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ht="15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ht="15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ht="15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ht="15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ht="15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ht="15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ht="15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ht="15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ht="15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ht="15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ht="15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ht="15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ht="15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ht="15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ht="15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ht="15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ht="15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ht="15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ht="15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ht="15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ht="15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ht="15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ht="15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ht="15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ht="15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ht="15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ht="15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ht="15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ht="15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ht="15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ht="15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ht="15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ht="15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ht="15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ht="15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ht="15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ht="15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ht="15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ht="15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ht="15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ht="15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ht="15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ht="15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ht="15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ht="15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ht="15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ht="15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ht="15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ht="15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ht="15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ht="15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ht="15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ht="15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ht="15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ht="15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ht="15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ht="15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ht="15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ht="15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ht="15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ht="15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ht="15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ht="15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ht="15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ht="15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ht="15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ht="15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ht="15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ht="15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ht="15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ht="15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ht="15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ht="15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ht="15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ht="15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ht="15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ht="15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ht="15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ht="15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ht="15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ht="15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ht="15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ht="15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ht="15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ht="15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ht="15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ht="15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ht="15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ht="15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ht="15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ht="15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ht="15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ht="15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ht="15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ht="15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ht="15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ht="15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ht="15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ht="15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ht="15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ht="15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ht="15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ht="15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ht="15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ht="15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ht="15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ht="15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ht="15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ht="15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ht="15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ht="15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ht="15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ht="15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ht="15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ht="15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ht="15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ht="15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ht="15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ht="15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ht="15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ht="15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ht="15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ht="15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ht="15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ht="15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ht="15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ht="15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ht="15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ht="15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ht="15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ht="15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ht="15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ht="15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ht="15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ht="15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ht="15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ht="15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ht="15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ht="15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ht="15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ht="15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ht="15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ht="15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ht="15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ht="15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ht="15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ht="15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ht="15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ht="15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ht="15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ht="15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ht="15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ht="15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ht="15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ht="15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ht="15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ht="15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ht="15.7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ht="15.7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ht="15.7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ht="15.7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ht="15.7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ht="15.7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ht="15.7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ht="15.7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ht="15.7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ht="15.7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ht="15.7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ht="15.7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ht="15.7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ht="15.7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ht="15.7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ht="15.7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ht="15.7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ht="15.7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ht="15.7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ht="15.7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ht="15.7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ht="15.7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ht="15.7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ht="15.7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ht="15.7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ht="15.7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ht="15.7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ht="15.7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ht="15.7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ht="15.7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ht="15.7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ht="15.7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ht="15.7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ht="15.7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ht="15.7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ht="15.7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ht="15.7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ht="15.7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19" t="s">
        <v>221</v>
      </c>
      <c r="B1" s="319" t="s">
        <v>222</v>
      </c>
      <c r="C1" s="319" t="s">
        <v>223</v>
      </c>
      <c r="D1" s="319" t="s">
        <v>224</v>
      </c>
      <c r="E1" s="319" t="s">
        <v>166</v>
      </c>
      <c r="F1" s="319" t="s">
        <v>157</v>
      </c>
      <c r="G1" s="319" t="s">
        <v>159</v>
      </c>
      <c r="H1" s="319" t="s">
        <v>169</v>
      </c>
      <c r="I1" s="319" t="s">
        <v>225</v>
      </c>
      <c r="J1" s="319" t="s">
        <v>226</v>
      </c>
      <c r="K1" s="319" t="s">
        <v>227</v>
      </c>
      <c r="L1" s="319" t="s">
        <v>228</v>
      </c>
      <c r="M1" s="319" t="s">
        <v>173</v>
      </c>
      <c r="N1" s="319" t="s">
        <v>229</v>
      </c>
      <c r="O1" s="319" t="s">
        <v>230</v>
      </c>
      <c r="P1" s="319" t="s">
        <v>231</v>
      </c>
      <c r="Q1" s="319" t="s">
        <v>232</v>
      </c>
      <c r="R1" s="319" t="s">
        <v>233</v>
      </c>
      <c r="S1" s="319" t="s">
        <v>234</v>
      </c>
      <c r="T1" s="319" t="s">
        <v>235</v>
      </c>
      <c r="U1" s="319" t="s">
        <v>236</v>
      </c>
      <c r="V1" s="319" t="s">
        <v>237</v>
      </c>
      <c r="W1" s="319" t="s">
        <v>171</v>
      </c>
      <c r="X1" s="319" t="s">
        <v>172</v>
      </c>
      <c r="Y1" s="319" t="s">
        <v>238</v>
      </c>
      <c r="Z1" s="319" t="s">
        <v>239</v>
      </c>
      <c r="AA1" s="319" t="s">
        <v>240</v>
      </c>
      <c r="AB1" s="319" t="s">
        <v>241</v>
      </c>
      <c r="AC1" s="319" t="s">
        <v>242</v>
      </c>
      <c r="AD1" s="319" t="s">
        <v>243</v>
      </c>
      <c r="AE1" s="319" t="s">
        <v>244</v>
      </c>
      <c r="AF1" s="319" t="s">
        <v>245</v>
      </c>
      <c r="AG1" s="319" t="s">
        <v>246</v>
      </c>
      <c r="AH1" s="319" t="s">
        <v>247</v>
      </c>
      <c r="AI1" s="319" t="s">
        <v>248</v>
      </c>
      <c r="AJ1" s="319" t="s">
        <v>249</v>
      </c>
      <c r="AK1" s="319" t="s">
        <v>250</v>
      </c>
      <c r="AL1" s="319" t="s">
        <v>251</v>
      </c>
      <c r="AM1" s="319" t="s">
        <v>252</v>
      </c>
      <c r="AN1" s="319" t="s">
        <v>253</v>
      </c>
      <c r="AO1" s="319" t="s">
        <v>254</v>
      </c>
      <c r="AP1" s="319" t="s">
        <v>255</v>
      </c>
    </row>
    <row r="2">
      <c r="A2" s="319" t="s">
        <v>256</v>
      </c>
      <c r="B2" s="328">
        <v>46050.0</v>
      </c>
      <c r="C2" s="319" t="s">
        <v>257</v>
      </c>
      <c r="D2" s="320">
        <v>22724.0</v>
      </c>
      <c r="E2" s="320">
        <v>19.42</v>
      </c>
      <c r="F2" s="320">
        <v>0.0</v>
      </c>
      <c r="G2" s="320">
        <v>0.0</v>
      </c>
      <c r="H2" s="320">
        <v>0.0</v>
      </c>
      <c r="I2" s="329"/>
      <c r="J2" s="320">
        <v>6.36</v>
      </c>
      <c r="K2" s="320">
        <v>2.61</v>
      </c>
      <c r="L2" s="320">
        <v>0.05</v>
      </c>
      <c r="M2" s="320">
        <v>0.0205</v>
      </c>
      <c r="N2" s="320">
        <v>0.9847</v>
      </c>
      <c r="O2" s="320">
        <v>0.8222</v>
      </c>
      <c r="P2" s="320">
        <v>48.726</v>
      </c>
      <c r="Q2" s="320">
        <v>20.72</v>
      </c>
      <c r="R2" s="320">
        <v>20.58</v>
      </c>
      <c r="S2" s="320">
        <v>0.14</v>
      </c>
      <c r="T2" s="320">
        <v>0.0</v>
      </c>
      <c r="U2" s="320">
        <v>20.72</v>
      </c>
      <c r="V2" s="320">
        <v>2.25</v>
      </c>
      <c r="W2" s="320">
        <v>0.8612</v>
      </c>
      <c r="X2" s="320">
        <v>0.0</v>
      </c>
      <c r="Y2" s="320">
        <v>249.0</v>
      </c>
      <c r="Z2" s="320">
        <v>2999.0</v>
      </c>
      <c r="AA2" s="320">
        <v>13498.0</v>
      </c>
      <c r="AB2" s="320">
        <v>49.0528</v>
      </c>
      <c r="AC2" s="320">
        <v>0.5513</v>
      </c>
      <c r="AD2" s="329"/>
      <c r="AE2" s="329"/>
      <c r="AF2" s="329"/>
      <c r="AG2" s="329"/>
      <c r="AH2" s="329"/>
      <c r="AI2" s="320">
        <v>0.0</v>
      </c>
      <c r="AJ2" s="320">
        <v>0.0</v>
      </c>
      <c r="AK2" s="320">
        <v>0.0</v>
      </c>
      <c r="AL2" s="320">
        <v>0.3058</v>
      </c>
      <c r="AM2" s="320">
        <v>15.43</v>
      </c>
      <c r="AN2" s="320">
        <v>5.15</v>
      </c>
      <c r="AO2" s="329"/>
      <c r="AP2" s="329"/>
    </row>
    <row r="3">
      <c r="A3" s="319" t="s">
        <v>256</v>
      </c>
      <c r="B3" s="328">
        <v>46050.0</v>
      </c>
      <c r="C3" s="319" t="s">
        <v>214</v>
      </c>
      <c r="D3" s="320">
        <v>48248.0</v>
      </c>
      <c r="E3" s="320">
        <v>41.22</v>
      </c>
      <c r="F3" s="320">
        <v>0.0</v>
      </c>
      <c r="G3" s="320">
        <v>0.0</v>
      </c>
      <c r="H3" s="320">
        <v>0.0</v>
      </c>
      <c r="I3" s="329"/>
      <c r="J3" s="320">
        <v>27.01</v>
      </c>
      <c r="K3" s="320">
        <v>12.12</v>
      </c>
      <c r="L3" s="320">
        <v>4.56</v>
      </c>
      <c r="M3" s="320">
        <v>0.3761</v>
      </c>
      <c r="N3" s="320">
        <v>0.7778</v>
      </c>
      <c r="O3" s="320">
        <v>0.5753</v>
      </c>
      <c r="P3" s="320">
        <v>2.6587</v>
      </c>
      <c r="Q3" s="320">
        <v>42.33</v>
      </c>
      <c r="R3" s="320">
        <v>33.34</v>
      </c>
      <c r="S3" s="320">
        <v>8.99</v>
      </c>
      <c r="T3" s="320">
        <v>1.26</v>
      </c>
      <c r="U3" s="320">
        <v>41.07</v>
      </c>
      <c r="V3" s="320">
        <v>43.99</v>
      </c>
      <c r="W3" s="320">
        <v>3.6279</v>
      </c>
      <c r="X3" s="320">
        <v>2.98</v>
      </c>
      <c r="Y3" s="320">
        <v>137.0</v>
      </c>
      <c r="Z3" s="320">
        <v>823.0</v>
      </c>
      <c r="AA3" s="320">
        <v>5558.0</v>
      </c>
      <c r="AB3" s="320">
        <v>49.9508</v>
      </c>
      <c r="AC3" s="320">
        <v>0.5809</v>
      </c>
      <c r="AD3" s="320">
        <v>3.07</v>
      </c>
      <c r="AE3" s="320">
        <v>1.0</v>
      </c>
      <c r="AF3" s="320">
        <v>2.0</v>
      </c>
      <c r="AG3" s="320">
        <v>4.0</v>
      </c>
      <c r="AH3" s="320">
        <v>6.0</v>
      </c>
      <c r="AI3" s="320">
        <v>70.69</v>
      </c>
      <c r="AJ3" s="320">
        <v>22.93</v>
      </c>
      <c r="AK3" s="320">
        <v>0.0</v>
      </c>
      <c r="AL3" s="320">
        <v>0.2521</v>
      </c>
      <c r="AM3" s="320">
        <v>17.26</v>
      </c>
      <c r="AN3" s="320">
        <v>16.08</v>
      </c>
      <c r="AO3" s="320">
        <v>14.29</v>
      </c>
      <c r="AP3" s="320">
        <v>2.47</v>
      </c>
    </row>
    <row r="4">
      <c r="A4" s="319" t="s">
        <v>256</v>
      </c>
      <c r="B4" s="328">
        <v>46050.0</v>
      </c>
      <c r="C4" s="319" t="s">
        <v>215</v>
      </c>
      <c r="D4" s="320">
        <v>22737.0</v>
      </c>
      <c r="E4" s="320">
        <v>19.43</v>
      </c>
      <c r="F4" s="320">
        <v>0.0</v>
      </c>
      <c r="G4" s="320">
        <v>0.0</v>
      </c>
      <c r="H4" s="320">
        <v>0.0</v>
      </c>
      <c r="I4" s="329"/>
      <c r="J4" s="320">
        <v>57.13</v>
      </c>
      <c r="K4" s="320">
        <v>27.02</v>
      </c>
      <c r="L4" s="320">
        <v>14.01</v>
      </c>
      <c r="M4" s="320">
        <v>0.5185</v>
      </c>
      <c r="N4" s="320">
        <v>0.6683</v>
      </c>
      <c r="O4" s="320">
        <v>0.4685</v>
      </c>
      <c r="P4" s="320">
        <v>1.9285</v>
      </c>
      <c r="Q4" s="320">
        <v>84.4</v>
      </c>
      <c r="R4" s="320">
        <v>55.39</v>
      </c>
      <c r="S4" s="320">
        <v>29.01</v>
      </c>
      <c r="T4" s="320">
        <v>5.12</v>
      </c>
      <c r="U4" s="320">
        <v>79.28</v>
      </c>
      <c r="V4" s="320">
        <v>99.11</v>
      </c>
      <c r="W4" s="320">
        <v>3.6677</v>
      </c>
      <c r="X4" s="320">
        <v>6.07</v>
      </c>
      <c r="Y4" s="320">
        <v>129.0</v>
      </c>
      <c r="Z4" s="320">
        <v>828.0</v>
      </c>
      <c r="AA4" s="320">
        <v>5665.0</v>
      </c>
      <c r="AB4" s="320">
        <v>52.0122</v>
      </c>
      <c r="AC4" s="320">
        <v>0.6243</v>
      </c>
      <c r="AD4" s="320">
        <v>9.32</v>
      </c>
      <c r="AE4" s="320">
        <v>5.0</v>
      </c>
      <c r="AF4" s="320">
        <v>10.0</v>
      </c>
      <c r="AG4" s="320">
        <v>12.0</v>
      </c>
      <c r="AH4" s="320">
        <v>16.0</v>
      </c>
      <c r="AI4" s="320">
        <v>75.19</v>
      </c>
      <c r="AJ4" s="320">
        <v>24.41</v>
      </c>
      <c r="AK4" s="320">
        <v>0.0</v>
      </c>
      <c r="AL4" s="320">
        <v>0.1972</v>
      </c>
      <c r="AM4" s="320">
        <v>20.3</v>
      </c>
      <c r="AN4" s="320">
        <v>35.09</v>
      </c>
      <c r="AO4" s="320">
        <v>14.29</v>
      </c>
      <c r="AP4" s="320">
        <v>2.9</v>
      </c>
    </row>
    <row r="5">
      <c r="A5" s="319" t="s">
        <v>256</v>
      </c>
      <c r="B5" s="328">
        <v>46050.0</v>
      </c>
      <c r="C5" s="319" t="s">
        <v>216</v>
      </c>
      <c r="D5" s="320">
        <v>15469.0</v>
      </c>
      <c r="E5" s="320">
        <v>13.22</v>
      </c>
      <c r="F5" s="320">
        <v>0.0</v>
      </c>
      <c r="G5" s="320">
        <v>0.0</v>
      </c>
      <c r="H5" s="320">
        <v>0.0</v>
      </c>
      <c r="I5" s="329"/>
      <c r="J5" s="320">
        <v>87.78</v>
      </c>
      <c r="K5" s="320">
        <v>43.3</v>
      </c>
      <c r="L5" s="320">
        <v>27.4</v>
      </c>
      <c r="M5" s="320">
        <v>0.6328</v>
      </c>
      <c r="N5" s="320">
        <v>0.5606</v>
      </c>
      <c r="O5" s="320">
        <v>0.3917</v>
      </c>
      <c r="P5" s="320">
        <v>1.5803</v>
      </c>
      <c r="Q5" s="320">
        <v>136.8</v>
      </c>
      <c r="R5" s="320">
        <v>78.98</v>
      </c>
      <c r="S5" s="320">
        <v>57.83</v>
      </c>
      <c r="T5" s="320">
        <v>7.41</v>
      </c>
      <c r="U5" s="320">
        <v>129.39</v>
      </c>
      <c r="V5" s="320">
        <v>168.26</v>
      </c>
      <c r="W5" s="320">
        <v>3.8858</v>
      </c>
      <c r="X5" s="320">
        <v>5.42</v>
      </c>
      <c r="Y5" s="320">
        <v>138.0</v>
      </c>
      <c r="Z5" s="320">
        <v>986.0</v>
      </c>
      <c r="AA5" s="320">
        <v>6169.0</v>
      </c>
      <c r="AB5" s="320">
        <v>54.0374</v>
      </c>
      <c r="AC5" s="320">
        <v>0.6854</v>
      </c>
      <c r="AD5" s="320">
        <v>17.98</v>
      </c>
      <c r="AE5" s="320">
        <v>10.0</v>
      </c>
      <c r="AF5" s="320">
        <v>18.0</v>
      </c>
      <c r="AG5" s="320">
        <v>24.0</v>
      </c>
      <c r="AH5" s="320">
        <v>31.0</v>
      </c>
      <c r="AI5" s="320">
        <v>72.14</v>
      </c>
      <c r="AJ5" s="320">
        <v>21.73</v>
      </c>
      <c r="AK5" s="320">
        <v>0.0</v>
      </c>
      <c r="AL5" s="320">
        <v>0.1724</v>
      </c>
      <c r="AM5" s="320">
        <v>22.96</v>
      </c>
      <c r="AN5" s="320">
        <v>56.02</v>
      </c>
      <c r="AO5" s="320">
        <v>14.29</v>
      </c>
      <c r="AP5" s="320">
        <v>3.28</v>
      </c>
    </row>
    <row r="6">
      <c r="A6" s="319" t="s">
        <v>256</v>
      </c>
      <c r="B6" s="328">
        <v>46050.0</v>
      </c>
      <c r="C6" s="319" t="s">
        <v>217</v>
      </c>
      <c r="D6" s="320">
        <v>6833.0</v>
      </c>
      <c r="E6" s="320">
        <v>5.84</v>
      </c>
      <c r="F6" s="320">
        <v>0.0</v>
      </c>
      <c r="G6" s="320">
        <v>0.0</v>
      </c>
      <c r="H6" s="320">
        <v>0.0</v>
      </c>
      <c r="I6" s="329"/>
      <c r="J6" s="320">
        <v>145.95</v>
      </c>
      <c r="K6" s="320">
        <v>76.86</v>
      </c>
      <c r="L6" s="320">
        <v>57.52</v>
      </c>
      <c r="M6" s="320">
        <v>0.7484</v>
      </c>
      <c r="N6" s="320">
        <v>0.4363</v>
      </c>
      <c r="O6" s="320">
        <v>0.31</v>
      </c>
      <c r="P6" s="320">
        <v>1.3362</v>
      </c>
      <c r="Q6" s="320">
        <v>243.59</v>
      </c>
      <c r="R6" s="320">
        <v>121.51</v>
      </c>
      <c r="S6" s="320">
        <v>122.08</v>
      </c>
      <c r="T6" s="320">
        <v>16.27</v>
      </c>
      <c r="U6" s="320">
        <v>227.32</v>
      </c>
      <c r="V6" s="320">
        <v>323.84</v>
      </c>
      <c r="W6" s="320">
        <v>4.2131</v>
      </c>
      <c r="X6" s="320">
        <v>6.68</v>
      </c>
      <c r="Y6" s="320">
        <v>191.0</v>
      </c>
      <c r="Z6" s="320">
        <v>1964.0</v>
      </c>
      <c r="AA6" s="320">
        <v>8950.0</v>
      </c>
      <c r="AB6" s="320">
        <v>57.4882</v>
      </c>
      <c r="AC6" s="320">
        <v>0.7812</v>
      </c>
      <c r="AD6" s="320">
        <v>37.32</v>
      </c>
      <c r="AE6" s="320">
        <v>19.0</v>
      </c>
      <c r="AF6" s="320">
        <v>35.0</v>
      </c>
      <c r="AG6" s="320">
        <v>51.0</v>
      </c>
      <c r="AH6" s="320">
        <v>68.0</v>
      </c>
      <c r="AI6" s="320">
        <v>59.96</v>
      </c>
      <c r="AJ6" s="320">
        <v>15.91</v>
      </c>
      <c r="AK6" s="320">
        <v>0.0</v>
      </c>
      <c r="AL6" s="320">
        <v>0.1244</v>
      </c>
      <c r="AM6" s="320">
        <v>24.12</v>
      </c>
      <c r="AN6" s="320">
        <v>97.39</v>
      </c>
      <c r="AO6" s="320">
        <v>14.29</v>
      </c>
      <c r="AP6" s="320">
        <v>3.45</v>
      </c>
    </row>
    <row r="7">
      <c r="A7" s="319" t="s">
        <v>256</v>
      </c>
      <c r="B7" s="328">
        <v>46050.0</v>
      </c>
      <c r="C7" s="319" t="s">
        <v>218</v>
      </c>
      <c r="D7" s="320">
        <v>1028.0</v>
      </c>
      <c r="E7" s="320">
        <v>0.88</v>
      </c>
      <c r="F7" s="320">
        <v>0.0</v>
      </c>
      <c r="G7" s="320">
        <v>0.0</v>
      </c>
      <c r="H7" s="320">
        <v>0.0</v>
      </c>
      <c r="I7" s="329"/>
      <c r="J7" s="320">
        <v>279.52</v>
      </c>
      <c r="K7" s="320">
        <v>161.42</v>
      </c>
      <c r="L7" s="320">
        <v>139.09</v>
      </c>
      <c r="M7" s="320">
        <v>0.8616</v>
      </c>
      <c r="N7" s="320">
        <v>0.2962</v>
      </c>
      <c r="O7" s="320">
        <v>0.2223</v>
      </c>
      <c r="P7" s="320">
        <v>1.1606</v>
      </c>
      <c r="Q7" s="320">
        <v>486.61</v>
      </c>
      <c r="R7" s="320">
        <v>192.2</v>
      </c>
      <c r="S7" s="320">
        <v>294.41</v>
      </c>
      <c r="T7" s="320">
        <v>3.84</v>
      </c>
      <c r="U7" s="320">
        <v>482.77</v>
      </c>
      <c r="V7" s="320">
        <v>720.14</v>
      </c>
      <c r="W7" s="320">
        <v>4.4611</v>
      </c>
      <c r="X7" s="320">
        <v>0.79</v>
      </c>
      <c r="Y7" s="320">
        <v>675.0</v>
      </c>
      <c r="Z7" s="320">
        <v>4040.0</v>
      </c>
      <c r="AA7" s="320">
        <v>11373.0</v>
      </c>
      <c r="AB7" s="320">
        <v>62.4799</v>
      </c>
      <c r="AC7" s="320">
        <v>0.8877</v>
      </c>
      <c r="AD7" s="320">
        <v>94.25</v>
      </c>
      <c r="AE7" s="320">
        <v>44.0</v>
      </c>
      <c r="AF7" s="320">
        <v>97.0</v>
      </c>
      <c r="AG7" s="320">
        <v>127.0</v>
      </c>
      <c r="AH7" s="320">
        <v>162.0</v>
      </c>
      <c r="AI7" s="320">
        <v>57.68</v>
      </c>
      <c r="AJ7" s="320">
        <v>7.39</v>
      </c>
      <c r="AK7" s="320">
        <v>1.07</v>
      </c>
      <c r="AL7" s="320">
        <v>0.07</v>
      </c>
      <c r="AM7" s="320">
        <v>24.89</v>
      </c>
      <c r="AN7" s="320">
        <v>167.3</v>
      </c>
      <c r="AO7" s="320">
        <v>14.29</v>
      </c>
      <c r="AP7" s="320">
        <v>3.56</v>
      </c>
    </row>
    <row r="8">
      <c r="A8" s="319" t="s">
        <v>256</v>
      </c>
      <c r="B8" s="328">
        <v>46051.0</v>
      </c>
      <c r="C8" s="319" t="s">
        <v>257</v>
      </c>
      <c r="D8" s="320">
        <v>22997.0</v>
      </c>
      <c r="E8" s="320">
        <v>20.0</v>
      </c>
      <c r="F8" s="320">
        <v>0.0</v>
      </c>
      <c r="G8" s="320">
        <v>0.0</v>
      </c>
      <c r="H8" s="320">
        <v>0.0</v>
      </c>
      <c r="I8" s="329"/>
      <c r="J8" s="320">
        <v>6.35</v>
      </c>
      <c r="K8" s="320">
        <v>2.61</v>
      </c>
      <c r="L8" s="320">
        <v>0.04</v>
      </c>
      <c r="M8" s="320">
        <v>0.0142</v>
      </c>
      <c r="N8" s="320">
        <v>0.9896</v>
      </c>
      <c r="O8" s="320">
        <v>0.8678</v>
      </c>
      <c r="P8" s="320">
        <v>70.6353</v>
      </c>
      <c r="Q8" s="320">
        <v>22.97</v>
      </c>
      <c r="R8" s="320">
        <v>22.84</v>
      </c>
      <c r="S8" s="320">
        <v>0.13</v>
      </c>
      <c r="T8" s="320">
        <v>0.0</v>
      </c>
      <c r="U8" s="320">
        <v>22.97</v>
      </c>
      <c r="V8" s="320">
        <v>2.12</v>
      </c>
      <c r="W8" s="320">
        <v>0.8128</v>
      </c>
      <c r="X8" s="320">
        <v>0.02</v>
      </c>
      <c r="Y8" s="320">
        <v>252.0</v>
      </c>
      <c r="Z8" s="320">
        <v>2823.0</v>
      </c>
      <c r="AA8" s="320">
        <v>12998.0</v>
      </c>
      <c r="AB8" s="320">
        <v>48.8513</v>
      </c>
      <c r="AC8" s="320">
        <v>0.5432</v>
      </c>
      <c r="AD8" s="329"/>
      <c r="AE8" s="329"/>
      <c r="AF8" s="329"/>
      <c r="AG8" s="329"/>
      <c r="AH8" s="329"/>
      <c r="AI8" s="320">
        <v>0.0</v>
      </c>
      <c r="AJ8" s="320">
        <v>0.0</v>
      </c>
      <c r="AK8" s="320">
        <v>0.0</v>
      </c>
      <c r="AL8" s="320">
        <v>0.3118</v>
      </c>
      <c r="AM8" s="320">
        <v>16.44</v>
      </c>
      <c r="AN8" s="320">
        <v>6.41</v>
      </c>
      <c r="AO8" s="329"/>
      <c r="AP8" s="329"/>
    </row>
    <row r="9">
      <c r="A9" s="319" t="s">
        <v>256</v>
      </c>
      <c r="B9" s="328">
        <v>46051.0</v>
      </c>
      <c r="C9" s="319" t="s">
        <v>214</v>
      </c>
      <c r="D9" s="320">
        <v>45445.0</v>
      </c>
      <c r="E9" s="320">
        <v>39.53</v>
      </c>
      <c r="F9" s="320">
        <v>0.0</v>
      </c>
      <c r="G9" s="320">
        <v>0.0</v>
      </c>
      <c r="H9" s="320">
        <v>0.0</v>
      </c>
      <c r="I9" s="329"/>
      <c r="J9" s="320">
        <v>26.49</v>
      </c>
      <c r="K9" s="320">
        <v>11.85</v>
      </c>
      <c r="L9" s="320">
        <v>4.81</v>
      </c>
      <c r="M9" s="320">
        <v>0.4056</v>
      </c>
      <c r="N9" s="320">
        <v>0.7604</v>
      </c>
      <c r="O9" s="320">
        <v>0.5695</v>
      </c>
      <c r="P9" s="320">
        <v>2.4657</v>
      </c>
      <c r="Q9" s="320">
        <v>45.88</v>
      </c>
      <c r="R9" s="320">
        <v>36.06</v>
      </c>
      <c r="S9" s="320">
        <v>9.82</v>
      </c>
      <c r="T9" s="320">
        <v>1.17</v>
      </c>
      <c r="U9" s="320">
        <v>44.7</v>
      </c>
      <c r="V9" s="320">
        <v>45.99</v>
      </c>
      <c r="W9" s="320">
        <v>3.8817</v>
      </c>
      <c r="X9" s="320">
        <v>2.56</v>
      </c>
      <c r="Y9" s="320">
        <v>137.0</v>
      </c>
      <c r="Z9" s="320">
        <v>814.0</v>
      </c>
      <c r="AA9" s="320">
        <v>5349.0</v>
      </c>
      <c r="AB9" s="320">
        <v>49.5182</v>
      </c>
      <c r="AC9" s="320">
        <v>0.5684</v>
      </c>
      <c r="AD9" s="320">
        <v>3.37</v>
      </c>
      <c r="AE9" s="320">
        <v>1.0</v>
      </c>
      <c r="AF9" s="320">
        <v>2.0</v>
      </c>
      <c r="AG9" s="320">
        <v>5.0</v>
      </c>
      <c r="AH9" s="320">
        <v>7.0</v>
      </c>
      <c r="AI9" s="320">
        <v>70.55</v>
      </c>
      <c r="AJ9" s="320">
        <v>25.99</v>
      </c>
      <c r="AK9" s="320">
        <v>4.05</v>
      </c>
      <c r="AL9" s="320">
        <v>0.2663</v>
      </c>
      <c r="AM9" s="320">
        <v>18.87</v>
      </c>
      <c r="AN9" s="320">
        <v>17.19</v>
      </c>
      <c r="AO9" s="320">
        <v>23.39</v>
      </c>
      <c r="AP9" s="320">
        <v>4.41</v>
      </c>
    </row>
    <row r="10">
      <c r="A10" s="319" t="s">
        <v>256</v>
      </c>
      <c r="B10" s="328">
        <v>46051.0</v>
      </c>
      <c r="C10" s="319" t="s">
        <v>215</v>
      </c>
      <c r="D10" s="320">
        <v>24538.0</v>
      </c>
      <c r="E10" s="320">
        <v>21.34</v>
      </c>
      <c r="F10" s="320">
        <v>0.0</v>
      </c>
      <c r="G10" s="320">
        <v>0.0</v>
      </c>
      <c r="H10" s="320">
        <v>0.0</v>
      </c>
      <c r="I10" s="329"/>
      <c r="J10" s="320">
        <v>52.26</v>
      </c>
      <c r="K10" s="320">
        <v>24.34</v>
      </c>
      <c r="L10" s="320">
        <v>13.73</v>
      </c>
      <c r="M10" s="320">
        <v>0.564</v>
      </c>
      <c r="N10" s="320">
        <v>0.6337</v>
      </c>
      <c r="O10" s="320">
        <v>0.4503</v>
      </c>
      <c r="P10" s="320">
        <v>1.7729</v>
      </c>
      <c r="Q10" s="320">
        <v>101.09</v>
      </c>
      <c r="R10" s="320">
        <v>72.64</v>
      </c>
      <c r="S10" s="320">
        <v>28.45</v>
      </c>
      <c r="T10" s="320">
        <v>5.15</v>
      </c>
      <c r="U10" s="320">
        <v>95.94</v>
      </c>
      <c r="V10" s="320">
        <v>96.04</v>
      </c>
      <c r="W10" s="320">
        <v>3.9465</v>
      </c>
      <c r="X10" s="320">
        <v>5.09</v>
      </c>
      <c r="Y10" s="320">
        <v>137.0</v>
      </c>
      <c r="Z10" s="320">
        <v>890.0</v>
      </c>
      <c r="AA10" s="320">
        <v>6099.0</v>
      </c>
      <c r="AB10" s="320">
        <v>52.3029</v>
      </c>
      <c r="AC10" s="320">
        <v>0.6348</v>
      </c>
      <c r="AD10" s="320">
        <v>9.33</v>
      </c>
      <c r="AE10" s="320">
        <v>4.0</v>
      </c>
      <c r="AF10" s="320">
        <v>9.0</v>
      </c>
      <c r="AG10" s="320">
        <v>13.0</v>
      </c>
      <c r="AH10" s="320">
        <v>17.0</v>
      </c>
      <c r="AI10" s="320">
        <v>68.15</v>
      </c>
      <c r="AJ10" s="320">
        <v>26.09</v>
      </c>
      <c r="AK10" s="320">
        <v>1.65</v>
      </c>
      <c r="AL10" s="320">
        <v>0.204</v>
      </c>
      <c r="AM10" s="320">
        <v>20.79</v>
      </c>
      <c r="AN10" s="320">
        <v>51.84</v>
      </c>
      <c r="AO10" s="320">
        <v>25.16</v>
      </c>
      <c r="AP10" s="320">
        <v>5.23</v>
      </c>
    </row>
    <row r="11">
      <c r="A11" s="319" t="s">
        <v>256</v>
      </c>
      <c r="B11" s="328">
        <v>46051.0</v>
      </c>
      <c r="C11" s="319" t="s">
        <v>216</v>
      </c>
      <c r="D11" s="320">
        <v>14754.0</v>
      </c>
      <c r="E11" s="320">
        <v>12.83</v>
      </c>
      <c r="F11" s="320">
        <v>0.0</v>
      </c>
      <c r="G11" s="320">
        <v>0.0</v>
      </c>
      <c r="H11" s="320">
        <v>0.0</v>
      </c>
      <c r="I11" s="329"/>
      <c r="J11" s="320">
        <v>79.85</v>
      </c>
      <c r="K11" s="320">
        <v>39.23</v>
      </c>
      <c r="L11" s="320">
        <v>26.77</v>
      </c>
      <c r="M11" s="320">
        <v>0.6824</v>
      </c>
      <c r="N11" s="320">
        <v>0.5183</v>
      </c>
      <c r="O11" s="320">
        <v>0.3696</v>
      </c>
      <c r="P11" s="320">
        <v>1.4655</v>
      </c>
      <c r="Q11" s="320">
        <v>186.84</v>
      </c>
      <c r="R11" s="320">
        <v>130.03</v>
      </c>
      <c r="S11" s="320">
        <v>56.81</v>
      </c>
      <c r="T11" s="320">
        <v>5.11</v>
      </c>
      <c r="U11" s="320">
        <v>181.73</v>
      </c>
      <c r="V11" s="320">
        <v>176.73</v>
      </c>
      <c r="W11" s="320">
        <v>4.5045</v>
      </c>
      <c r="X11" s="320">
        <v>2.74</v>
      </c>
      <c r="Y11" s="320">
        <v>165.0</v>
      </c>
      <c r="Z11" s="320">
        <v>1091.0</v>
      </c>
      <c r="AA11" s="320">
        <v>6611.0</v>
      </c>
      <c r="AB11" s="320">
        <v>54.9018</v>
      </c>
      <c r="AC11" s="320">
        <v>0.7198</v>
      </c>
      <c r="AD11" s="320">
        <v>18.3</v>
      </c>
      <c r="AE11" s="320">
        <v>9.0</v>
      </c>
      <c r="AF11" s="320">
        <v>16.0</v>
      </c>
      <c r="AG11" s="320">
        <v>25.0</v>
      </c>
      <c r="AH11" s="320">
        <v>35.0</v>
      </c>
      <c r="AI11" s="320">
        <v>67.71</v>
      </c>
      <c r="AJ11" s="320">
        <v>24.25</v>
      </c>
      <c r="AK11" s="320">
        <v>4.22</v>
      </c>
      <c r="AL11" s="320">
        <v>0.19</v>
      </c>
      <c r="AM11" s="320">
        <v>22.32</v>
      </c>
      <c r="AN11" s="320">
        <v>107.71</v>
      </c>
      <c r="AO11" s="320">
        <v>25.31</v>
      </c>
      <c r="AP11" s="320">
        <v>5.65</v>
      </c>
    </row>
    <row r="12">
      <c r="A12" s="319" t="s">
        <v>256</v>
      </c>
      <c r="B12" s="328">
        <v>46051.0</v>
      </c>
      <c r="C12" s="319" t="s">
        <v>217</v>
      </c>
      <c r="D12" s="320">
        <v>6404.0</v>
      </c>
      <c r="E12" s="320">
        <v>5.57</v>
      </c>
      <c r="F12" s="320">
        <v>0.0</v>
      </c>
      <c r="G12" s="320">
        <v>0.0</v>
      </c>
      <c r="H12" s="320">
        <v>0.0</v>
      </c>
      <c r="I12" s="329"/>
      <c r="J12" s="320">
        <v>133.13</v>
      </c>
      <c r="K12" s="320">
        <v>71.0</v>
      </c>
      <c r="L12" s="320">
        <v>57.23</v>
      </c>
      <c r="M12" s="320">
        <v>0.806</v>
      </c>
      <c r="N12" s="320">
        <v>0.3791</v>
      </c>
      <c r="O12" s="320">
        <v>0.2779</v>
      </c>
      <c r="P12" s="320">
        <v>1.2408</v>
      </c>
      <c r="Q12" s="320">
        <v>402.55</v>
      </c>
      <c r="R12" s="320">
        <v>281.62</v>
      </c>
      <c r="S12" s="320">
        <v>120.93</v>
      </c>
      <c r="T12" s="320">
        <v>10.76</v>
      </c>
      <c r="U12" s="320">
        <v>391.8</v>
      </c>
      <c r="V12" s="320">
        <v>347.89</v>
      </c>
      <c r="W12" s="320">
        <v>4.8997</v>
      </c>
      <c r="X12" s="320">
        <v>2.67</v>
      </c>
      <c r="Y12" s="320">
        <v>280.0</v>
      </c>
      <c r="Z12" s="320">
        <v>2136.0</v>
      </c>
      <c r="AA12" s="320">
        <v>8756.0</v>
      </c>
      <c r="AB12" s="320">
        <v>58.7333</v>
      </c>
      <c r="AC12" s="320">
        <v>0.814</v>
      </c>
      <c r="AD12" s="320">
        <v>40.11</v>
      </c>
      <c r="AE12" s="320">
        <v>19.0</v>
      </c>
      <c r="AF12" s="320">
        <v>36.0</v>
      </c>
      <c r="AG12" s="320">
        <v>56.0</v>
      </c>
      <c r="AH12" s="320">
        <v>76.0</v>
      </c>
      <c r="AI12" s="320">
        <v>60.76</v>
      </c>
      <c r="AJ12" s="320">
        <v>21.42</v>
      </c>
      <c r="AK12" s="320">
        <v>2.89</v>
      </c>
      <c r="AL12" s="320">
        <v>0.1419</v>
      </c>
      <c r="AM12" s="320">
        <v>22.27</v>
      </c>
      <c r="AN12" s="320">
        <v>259.35</v>
      </c>
      <c r="AO12" s="320">
        <v>26.01</v>
      </c>
      <c r="AP12" s="320">
        <v>5.79</v>
      </c>
    </row>
    <row r="13">
      <c r="A13" s="319" t="s">
        <v>256</v>
      </c>
      <c r="B13" s="328">
        <v>46051.0</v>
      </c>
      <c r="C13" s="319" t="s">
        <v>218</v>
      </c>
      <c r="D13" s="320">
        <v>828.0</v>
      </c>
      <c r="E13" s="320">
        <v>0.72</v>
      </c>
      <c r="F13" s="320">
        <v>0.0</v>
      </c>
      <c r="G13" s="320">
        <v>0.0</v>
      </c>
      <c r="H13" s="320">
        <v>0.0</v>
      </c>
      <c r="I13" s="329"/>
      <c r="J13" s="320">
        <v>260.08</v>
      </c>
      <c r="K13" s="320">
        <v>151.22</v>
      </c>
      <c r="L13" s="320">
        <v>133.59</v>
      </c>
      <c r="M13" s="320">
        <v>0.8835</v>
      </c>
      <c r="N13" s="320">
        <v>0.2756</v>
      </c>
      <c r="O13" s="320">
        <v>0.2135</v>
      </c>
      <c r="P13" s="320">
        <v>1.1319</v>
      </c>
      <c r="Q13" s="320">
        <v>803.55</v>
      </c>
      <c r="R13" s="320">
        <v>521.11</v>
      </c>
      <c r="S13" s="320">
        <v>282.43</v>
      </c>
      <c r="T13" s="320">
        <v>5.43</v>
      </c>
      <c r="U13" s="320">
        <v>798.11</v>
      </c>
      <c r="V13" s="320">
        <v>696.2</v>
      </c>
      <c r="W13" s="320">
        <v>4.604</v>
      </c>
      <c r="X13" s="320">
        <v>0.68</v>
      </c>
      <c r="Y13" s="320">
        <v>773.0</v>
      </c>
      <c r="Z13" s="320">
        <v>4190.0</v>
      </c>
      <c r="AA13" s="320">
        <v>11363.0</v>
      </c>
      <c r="AB13" s="320">
        <v>62.9365</v>
      </c>
      <c r="AC13" s="320">
        <v>0.8846</v>
      </c>
      <c r="AD13" s="320">
        <v>91.99</v>
      </c>
      <c r="AE13" s="320">
        <v>46.0</v>
      </c>
      <c r="AF13" s="320">
        <v>83.0</v>
      </c>
      <c r="AG13" s="320">
        <v>128.0</v>
      </c>
      <c r="AH13" s="320">
        <v>167.0</v>
      </c>
      <c r="AI13" s="320">
        <v>52.05</v>
      </c>
      <c r="AJ13" s="320">
        <v>8.45</v>
      </c>
      <c r="AK13" s="320">
        <v>0.85</v>
      </c>
      <c r="AL13" s="320">
        <v>0.0954</v>
      </c>
      <c r="AM13" s="320">
        <v>20.6</v>
      </c>
      <c r="AN13" s="320">
        <v>500.51</v>
      </c>
      <c r="AO13" s="320">
        <v>26.9</v>
      </c>
      <c r="AP13" s="320">
        <v>5.54</v>
      </c>
    </row>
    <row r="14">
      <c r="A14" s="319" t="s">
        <v>256</v>
      </c>
      <c r="B14" s="328">
        <v>46052.0</v>
      </c>
      <c r="C14" s="319" t="s">
        <v>257</v>
      </c>
      <c r="D14" s="320">
        <v>21240.0</v>
      </c>
      <c r="E14" s="320">
        <v>18.89</v>
      </c>
      <c r="F14" s="320">
        <v>0.0</v>
      </c>
      <c r="G14" s="320">
        <v>0.0</v>
      </c>
      <c r="H14" s="320">
        <v>0.0</v>
      </c>
      <c r="I14" s="329"/>
      <c r="J14" s="320">
        <v>5.96</v>
      </c>
      <c r="K14" s="320">
        <v>2.39</v>
      </c>
      <c r="L14" s="320">
        <v>0.02</v>
      </c>
      <c r="M14" s="320">
        <v>0.0067</v>
      </c>
      <c r="N14" s="320">
        <v>0.9952</v>
      </c>
      <c r="O14" s="320">
        <v>0.9358</v>
      </c>
      <c r="P14" s="320">
        <v>149.0323</v>
      </c>
      <c r="Q14" s="320">
        <v>26.05</v>
      </c>
      <c r="R14" s="320">
        <v>25.88</v>
      </c>
      <c r="S14" s="320">
        <v>0.17</v>
      </c>
      <c r="T14" s="320">
        <v>0.0</v>
      </c>
      <c r="U14" s="320">
        <v>26.05</v>
      </c>
      <c r="V14" s="320">
        <v>1.93</v>
      </c>
      <c r="W14" s="320">
        <v>0.8058</v>
      </c>
      <c r="X14" s="320">
        <v>0.0</v>
      </c>
      <c r="Y14" s="320">
        <v>316.0</v>
      </c>
      <c r="Z14" s="320">
        <v>3149.0</v>
      </c>
      <c r="AA14" s="320">
        <v>13316.0</v>
      </c>
      <c r="AB14" s="320">
        <v>49.0736</v>
      </c>
      <c r="AC14" s="320">
        <v>0.5482</v>
      </c>
      <c r="AD14" s="329"/>
      <c r="AE14" s="329"/>
      <c r="AF14" s="329"/>
      <c r="AG14" s="329"/>
      <c r="AH14" s="329"/>
      <c r="AI14" s="320">
        <v>0.0</v>
      </c>
      <c r="AJ14" s="320">
        <v>0.0</v>
      </c>
      <c r="AK14" s="320">
        <v>0.0</v>
      </c>
      <c r="AL14" s="320">
        <v>0.3265</v>
      </c>
      <c r="AM14" s="320">
        <v>16.82</v>
      </c>
      <c r="AN14" s="320">
        <v>9.06</v>
      </c>
      <c r="AO14" s="329"/>
      <c r="AP14" s="329"/>
    </row>
    <row r="15">
      <c r="A15" s="319" t="s">
        <v>256</v>
      </c>
      <c r="B15" s="328">
        <v>46052.0</v>
      </c>
      <c r="C15" s="319" t="s">
        <v>214</v>
      </c>
      <c r="D15" s="320">
        <v>43576.0</v>
      </c>
      <c r="E15" s="320">
        <v>38.75</v>
      </c>
      <c r="F15" s="320">
        <v>0.0</v>
      </c>
      <c r="G15" s="320">
        <v>0.0</v>
      </c>
      <c r="H15" s="320">
        <v>0.0</v>
      </c>
      <c r="I15" s="329"/>
      <c r="J15" s="320">
        <v>29.06</v>
      </c>
      <c r="K15" s="320">
        <v>13.02</v>
      </c>
      <c r="L15" s="320">
        <v>5.25</v>
      </c>
      <c r="M15" s="320">
        <v>0.4033</v>
      </c>
      <c r="N15" s="320">
        <v>0.7614</v>
      </c>
      <c r="O15" s="320">
        <v>0.5617</v>
      </c>
      <c r="P15" s="320">
        <v>2.4796</v>
      </c>
      <c r="Q15" s="320">
        <v>57.45</v>
      </c>
      <c r="R15" s="320">
        <v>46.6</v>
      </c>
      <c r="S15" s="320">
        <v>10.85</v>
      </c>
      <c r="T15" s="320">
        <v>1.17</v>
      </c>
      <c r="U15" s="320">
        <v>56.28</v>
      </c>
      <c r="V15" s="320">
        <v>50.82</v>
      </c>
      <c r="W15" s="320">
        <v>3.9023</v>
      </c>
      <c r="X15" s="320">
        <v>2.04</v>
      </c>
      <c r="Y15" s="320">
        <v>148.0</v>
      </c>
      <c r="Z15" s="320">
        <v>847.0</v>
      </c>
      <c r="AA15" s="320">
        <v>5398.0</v>
      </c>
      <c r="AB15" s="320">
        <v>49.1559</v>
      </c>
      <c r="AC15" s="320">
        <v>0.5607</v>
      </c>
      <c r="AD15" s="320">
        <v>3.67</v>
      </c>
      <c r="AE15" s="320">
        <v>1.0</v>
      </c>
      <c r="AF15" s="320">
        <v>3.0</v>
      </c>
      <c r="AG15" s="320">
        <v>5.0</v>
      </c>
      <c r="AH15" s="320">
        <v>8.0</v>
      </c>
      <c r="AI15" s="320">
        <v>72.4</v>
      </c>
      <c r="AJ15" s="320">
        <v>28.78</v>
      </c>
      <c r="AK15" s="320">
        <v>5.92</v>
      </c>
      <c r="AL15" s="320">
        <v>0.2758</v>
      </c>
      <c r="AM15" s="320">
        <v>19.45</v>
      </c>
      <c r="AN15" s="320">
        <v>27.15</v>
      </c>
      <c r="AO15" s="320">
        <v>31.85</v>
      </c>
      <c r="AP15" s="320">
        <v>6.19</v>
      </c>
    </row>
    <row r="16">
      <c r="A16" s="319" t="s">
        <v>256</v>
      </c>
      <c r="B16" s="328">
        <v>46052.0</v>
      </c>
      <c r="C16" s="319" t="s">
        <v>215</v>
      </c>
      <c r="D16" s="320">
        <v>25588.0</v>
      </c>
      <c r="E16" s="320">
        <v>22.75</v>
      </c>
      <c r="F16" s="320">
        <v>0.0</v>
      </c>
      <c r="G16" s="320">
        <v>0.0</v>
      </c>
      <c r="H16" s="320">
        <v>0.0</v>
      </c>
      <c r="I16" s="329"/>
      <c r="J16" s="320">
        <v>57.76</v>
      </c>
      <c r="K16" s="320">
        <v>27.05</v>
      </c>
      <c r="L16" s="320">
        <v>14.42</v>
      </c>
      <c r="M16" s="320">
        <v>0.5333</v>
      </c>
      <c r="N16" s="320">
        <v>0.6543</v>
      </c>
      <c r="O16" s="320">
        <v>0.4561</v>
      </c>
      <c r="P16" s="320">
        <v>1.8753</v>
      </c>
      <c r="Q16" s="320">
        <v>108.07</v>
      </c>
      <c r="R16" s="320">
        <v>77.84</v>
      </c>
      <c r="S16" s="320">
        <v>30.24</v>
      </c>
      <c r="T16" s="320">
        <v>5.84</v>
      </c>
      <c r="U16" s="320">
        <v>102.23</v>
      </c>
      <c r="V16" s="320">
        <v>104.18</v>
      </c>
      <c r="W16" s="320">
        <v>3.8513</v>
      </c>
      <c r="X16" s="320">
        <v>5.41</v>
      </c>
      <c r="Y16" s="320">
        <v>129.0</v>
      </c>
      <c r="Z16" s="320">
        <v>758.0</v>
      </c>
      <c r="AA16" s="320">
        <v>5465.0</v>
      </c>
      <c r="AB16" s="320">
        <v>52.2147</v>
      </c>
      <c r="AC16" s="320">
        <v>0.6316</v>
      </c>
      <c r="AD16" s="320">
        <v>9.66</v>
      </c>
      <c r="AE16" s="320">
        <v>4.0</v>
      </c>
      <c r="AF16" s="320">
        <v>8.0</v>
      </c>
      <c r="AG16" s="320">
        <v>13.0</v>
      </c>
      <c r="AH16" s="320">
        <v>19.0</v>
      </c>
      <c r="AI16" s="320">
        <v>67.32</v>
      </c>
      <c r="AJ16" s="320">
        <v>27.35</v>
      </c>
      <c r="AK16" s="320">
        <v>3.21</v>
      </c>
      <c r="AL16" s="320">
        <v>0.2144</v>
      </c>
      <c r="AM16" s="320">
        <v>21.72</v>
      </c>
      <c r="AN16" s="320">
        <v>56.12</v>
      </c>
      <c r="AO16" s="320">
        <v>35.43</v>
      </c>
      <c r="AP16" s="320">
        <v>7.7</v>
      </c>
    </row>
    <row r="17">
      <c r="A17" s="319" t="s">
        <v>256</v>
      </c>
      <c r="B17" s="328">
        <v>46052.0</v>
      </c>
      <c r="C17" s="319" t="s">
        <v>216</v>
      </c>
      <c r="D17" s="320">
        <v>15147.0</v>
      </c>
      <c r="E17" s="320">
        <v>13.47</v>
      </c>
      <c r="F17" s="320">
        <v>0.0</v>
      </c>
      <c r="G17" s="320">
        <v>0.0</v>
      </c>
      <c r="H17" s="320">
        <v>0.0</v>
      </c>
      <c r="I17" s="329"/>
      <c r="J17" s="320">
        <v>86.54</v>
      </c>
      <c r="K17" s="320">
        <v>42.65</v>
      </c>
      <c r="L17" s="320">
        <v>27.54</v>
      </c>
      <c r="M17" s="320">
        <v>0.6457</v>
      </c>
      <c r="N17" s="320">
        <v>0.5439</v>
      </c>
      <c r="O17" s="320">
        <v>0.3753</v>
      </c>
      <c r="P17" s="320">
        <v>1.5488</v>
      </c>
      <c r="Q17" s="320">
        <v>167.41</v>
      </c>
      <c r="R17" s="320">
        <v>109.08</v>
      </c>
      <c r="S17" s="320">
        <v>58.33</v>
      </c>
      <c r="T17" s="320">
        <v>6.24</v>
      </c>
      <c r="U17" s="320">
        <v>161.17</v>
      </c>
      <c r="V17" s="320">
        <v>175.32</v>
      </c>
      <c r="W17" s="320">
        <v>4.1108</v>
      </c>
      <c r="X17" s="320">
        <v>3.73</v>
      </c>
      <c r="Y17" s="320">
        <v>155.0</v>
      </c>
      <c r="Z17" s="320">
        <v>1022.0</v>
      </c>
      <c r="AA17" s="320">
        <v>6585.0</v>
      </c>
      <c r="AB17" s="320">
        <v>55.0005</v>
      </c>
      <c r="AC17" s="320">
        <v>0.7294</v>
      </c>
      <c r="AD17" s="320">
        <v>18.2</v>
      </c>
      <c r="AE17" s="320">
        <v>9.0</v>
      </c>
      <c r="AF17" s="320">
        <v>15.0</v>
      </c>
      <c r="AG17" s="320">
        <v>25.0</v>
      </c>
      <c r="AH17" s="320">
        <v>36.0</v>
      </c>
      <c r="AI17" s="320">
        <v>65.33</v>
      </c>
      <c r="AJ17" s="320">
        <v>24.47</v>
      </c>
      <c r="AK17" s="320">
        <v>5.41</v>
      </c>
      <c r="AL17" s="320">
        <v>0.2019</v>
      </c>
      <c r="AM17" s="320">
        <v>22.1</v>
      </c>
      <c r="AN17" s="320">
        <v>86.98</v>
      </c>
      <c r="AO17" s="320">
        <v>36.28</v>
      </c>
      <c r="AP17" s="320">
        <v>8.02</v>
      </c>
    </row>
    <row r="18">
      <c r="A18" s="319" t="s">
        <v>256</v>
      </c>
      <c r="B18" s="328">
        <v>46052.0</v>
      </c>
      <c r="C18" s="319" t="s">
        <v>217</v>
      </c>
      <c r="D18" s="320">
        <v>6161.0</v>
      </c>
      <c r="E18" s="320">
        <v>5.48</v>
      </c>
      <c r="F18" s="320">
        <v>0.0</v>
      </c>
      <c r="G18" s="320">
        <v>0.0</v>
      </c>
      <c r="H18" s="320">
        <v>0.0</v>
      </c>
      <c r="I18" s="329"/>
      <c r="J18" s="320">
        <v>139.6</v>
      </c>
      <c r="K18" s="320">
        <v>73.35</v>
      </c>
      <c r="L18" s="320">
        <v>56.49</v>
      </c>
      <c r="M18" s="320">
        <v>0.7702</v>
      </c>
      <c r="N18" s="320">
        <v>0.4074</v>
      </c>
      <c r="O18" s="320">
        <v>0.2884</v>
      </c>
      <c r="P18" s="320">
        <v>1.2983</v>
      </c>
      <c r="Q18" s="320">
        <v>289.57</v>
      </c>
      <c r="R18" s="320">
        <v>170.3</v>
      </c>
      <c r="S18" s="320">
        <v>119.27</v>
      </c>
      <c r="T18" s="320">
        <v>9.52</v>
      </c>
      <c r="U18" s="320">
        <v>280.05</v>
      </c>
      <c r="V18" s="320">
        <v>330.38</v>
      </c>
      <c r="W18" s="320">
        <v>4.5044</v>
      </c>
      <c r="X18" s="320">
        <v>3.29</v>
      </c>
      <c r="Y18" s="320">
        <v>254.0</v>
      </c>
      <c r="Z18" s="320">
        <v>2257.0</v>
      </c>
      <c r="AA18" s="320">
        <v>9428.0</v>
      </c>
      <c r="AB18" s="320">
        <v>59.1326</v>
      </c>
      <c r="AC18" s="320">
        <v>0.8334</v>
      </c>
      <c r="AD18" s="320">
        <v>37.92</v>
      </c>
      <c r="AE18" s="320">
        <v>16.0</v>
      </c>
      <c r="AF18" s="320">
        <v>32.0</v>
      </c>
      <c r="AG18" s="320">
        <v>52.0</v>
      </c>
      <c r="AH18" s="320">
        <v>76.0</v>
      </c>
      <c r="AI18" s="320">
        <v>55.8</v>
      </c>
      <c r="AJ18" s="320">
        <v>19.32</v>
      </c>
      <c r="AK18" s="320">
        <v>3.49</v>
      </c>
      <c r="AL18" s="320">
        <v>0.1621</v>
      </c>
      <c r="AM18" s="320">
        <v>22.62</v>
      </c>
      <c r="AN18" s="320">
        <v>147.68</v>
      </c>
      <c r="AO18" s="320">
        <v>37.64</v>
      </c>
      <c r="AP18" s="320">
        <v>8.51</v>
      </c>
    </row>
    <row r="19">
      <c r="A19" s="319" t="s">
        <v>256</v>
      </c>
      <c r="B19" s="328">
        <v>46052.0</v>
      </c>
      <c r="C19" s="319" t="s">
        <v>218</v>
      </c>
      <c r="D19" s="320">
        <v>739.0</v>
      </c>
      <c r="E19" s="320">
        <v>0.66</v>
      </c>
      <c r="F19" s="320">
        <v>0.0</v>
      </c>
      <c r="G19" s="320">
        <v>0.0</v>
      </c>
      <c r="H19" s="320">
        <v>0.0</v>
      </c>
      <c r="I19" s="329"/>
      <c r="J19" s="320">
        <v>268.46</v>
      </c>
      <c r="K19" s="320">
        <v>157.52</v>
      </c>
      <c r="L19" s="320">
        <v>134.28</v>
      </c>
      <c r="M19" s="320">
        <v>0.8525</v>
      </c>
      <c r="N19" s="320">
        <v>0.2948</v>
      </c>
      <c r="O19" s="320">
        <v>0.2142</v>
      </c>
      <c r="P19" s="320">
        <v>1.1731</v>
      </c>
      <c r="Q19" s="320">
        <v>599.14</v>
      </c>
      <c r="R19" s="320">
        <v>317.97</v>
      </c>
      <c r="S19" s="320">
        <v>281.17</v>
      </c>
      <c r="T19" s="320">
        <v>0.0</v>
      </c>
      <c r="U19" s="320">
        <v>599.14</v>
      </c>
      <c r="V19" s="320">
        <v>706.9</v>
      </c>
      <c r="W19" s="320">
        <v>4.4877</v>
      </c>
      <c r="X19" s="320">
        <v>0.0</v>
      </c>
      <c r="Y19" s="320">
        <v>813.0</v>
      </c>
      <c r="Z19" s="320">
        <v>3791.0</v>
      </c>
      <c r="AA19" s="320">
        <v>10527.0</v>
      </c>
      <c r="AB19" s="320">
        <v>62.5294</v>
      </c>
      <c r="AC19" s="320">
        <v>0.8901</v>
      </c>
      <c r="AD19" s="320">
        <v>88.73</v>
      </c>
      <c r="AE19" s="320">
        <v>37.0</v>
      </c>
      <c r="AF19" s="320">
        <v>77.0</v>
      </c>
      <c r="AG19" s="320">
        <v>124.0</v>
      </c>
      <c r="AH19" s="320">
        <v>170.0</v>
      </c>
      <c r="AI19" s="320">
        <v>48.85</v>
      </c>
      <c r="AJ19" s="320">
        <v>9.2</v>
      </c>
      <c r="AK19" s="320">
        <v>1.22</v>
      </c>
      <c r="AL19" s="320">
        <v>0.1096</v>
      </c>
      <c r="AM19" s="320">
        <v>24.01</v>
      </c>
      <c r="AN19" s="320">
        <v>293.97</v>
      </c>
      <c r="AO19" s="320">
        <v>38.82</v>
      </c>
      <c r="AP19" s="320">
        <v>9.32</v>
      </c>
    </row>
    <row r="20">
      <c r="A20" s="319" t="s">
        <v>256</v>
      </c>
      <c r="B20" s="328">
        <v>46053.0</v>
      </c>
      <c r="C20" s="319" t="s">
        <v>257</v>
      </c>
      <c r="D20" s="320">
        <v>21448.0</v>
      </c>
      <c r="E20" s="320">
        <v>19.23</v>
      </c>
      <c r="F20" s="320">
        <v>0.0</v>
      </c>
      <c r="G20" s="320">
        <v>0.0</v>
      </c>
      <c r="H20" s="320">
        <v>0.0</v>
      </c>
      <c r="I20" s="329"/>
      <c r="J20" s="320">
        <v>6.06</v>
      </c>
      <c r="K20" s="320">
        <v>2.46</v>
      </c>
      <c r="L20" s="320">
        <v>0.06</v>
      </c>
      <c r="M20" s="320">
        <v>0.0224</v>
      </c>
      <c r="N20" s="320">
        <v>0.9829</v>
      </c>
      <c r="O20" s="320">
        <v>0.8077</v>
      </c>
      <c r="P20" s="320">
        <v>44.6746</v>
      </c>
      <c r="Q20" s="320">
        <v>24.25</v>
      </c>
      <c r="R20" s="320">
        <v>24.11</v>
      </c>
      <c r="S20" s="320">
        <v>0.14</v>
      </c>
      <c r="T20" s="320">
        <v>0.0</v>
      </c>
      <c r="U20" s="320">
        <v>24.25</v>
      </c>
      <c r="V20" s="320">
        <v>2.37</v>
      </c>
      <c r="W20" s="320">
        <v>0.9622</v>
      </c>
      <c r="X20" s="320">
        <v>0.0</v>
      </c>
      <c r="Y20" s="320">
        <v>291.0</v>
      </c>
      <c r="Z20" s="320">
        <v>3004.0</v>
      </c>
      <c r="AA20" s="320">
        <v>12848.0</v>
      </c>
      <c r="AB20" s="320">
        <v>48.7359</v>
      </c>
      <c r="AC20" s="320">
        <v>0.5387</v>
      </c>
      <c r="AD20" s="329"/>
      <c r="AE20" s="329"/>
      <c r="AF20" s="329"/>
      <c r="AG20" s="329"/>
      <c r="AH20" s="329"/>
      <c r="AI20" s="320">
        <v>0.0</v>
      </c>
      <c r="AJ20" s="320">
        <v>0.0</v>
      </c>
      <c r="AK20" s="320">
        <v>0.0</v>
      </c>
      <c r="AL20" s="320">
        <v>0.3127</v>
      </c>
      <c r="AM20" s="320">
        <v>17.8</v>
      </c>
      <c r="AN20" s="320">
        <v>6.31</v>
      </c>
      <c r="AO20" s="329"/>
      <c r="AP20" s="329"/>
    </row>
    <row r="21">
      <c r="A21" s="319" t="s">
        <v>256</v>
      </c>
      <c r="B21" s="328">
        <v>46053.0</v>
      </c>
      <c r="C21" s="319" t="s">
        <v>214</v>
      </c>
      <c r="D21" s="320">
        <v>41738.0</v>
      </c>
      <c r="E21" s="320">
        <v>37.42</v>
      </c>
      <c r="F21" s="320">
        <v>0.0</v>
      </c>
      <c r="G21" s="320">
        <v>0.0</v>
      </c>
      <c r="H21" s="320">
        <v>0.0</v>
      </c>
      <c r="I21" s="329"/>
      <c r="J21" s="320">
        <v>28.76</v>
      </c>
      <c r="K21" s="320">
        <v>12.93</v>
      </c>
      <c r="L21" s="320">
        <v>5.43</v>
      </c>
      <c r="M21" s="320">
        <v>0.4201</v>
      </c>
      <c r="N21" s="320">
        <v>0.7513</v>
      </c>
      <c r="O21" s="320">
        <v>0.5573</v>
      </c>
      <c r="P21" s="320">
        <v>2.3802</v>
      </c>
      <c r="Q21" s="320">
        <v>52.58</v>
      </c>
      <c r="R21" s="320">
        <v>41.38</v>
      </c>
      <c r="S21" s="320">
        <v>11.2</v>
      </c>
      <c r="T21" s="320">
        <v>1.49</v>
      </c>
      <c r="U21" s="320">
        <v>51.09</v>
      </c>
      <c r="V21" s="320">
        <v>53.7</v>
      </c>
      <c r="W21" s="320">
        <v>4.153</v>
      </c>
      <c r="X21" s="320">
        <v>2.84</v>
      </c>
      <c r="Y21" s="320">
        <v>142.0</v>
      </c>
      <c r="Z21" s="320">
        <v>820.0</v>
      </c>
      <c r="AA21" s="320">
        <v>5293.0</v>
      </c>
      <c r="AB21" s="320">
        <v>48.9334</v>
      </c>
      <c r="AC21" s="320">
        <v>0.5568</v>
      </c>
      <c r="AD21" s="320">
        <v>3.85</v>
      </c>
      <c r="AE21" s="320">
        <v>1.0</v>
      </c>
      <c r="AF21" s="320">
        <v>3.0</v>
      </c>
      <c r="AG21" s="320">
        <v>5.0</v>
      </c>
      <c r="AH21" s="320">
        <v>8.0</v>
      </c>
      <c r="AI21" s="320">
        <v>72.59</v>
      </c>
      <c r="AJ21" s="320">
        <v>30.36</v>
      </c>
      <c r="AK21" s="320">
        <v>7.42</v>
      </c>
      <c r="AL21" s="320">
        <v>0.2705</v>
      </c>
      <c r="AM21" s="320">
        <v>20.98</v>
      </c>
      <c r="AN21" s="320">
        <v>20.41</v>
      </c>
      <c r="AO21" s="320">
        <v>39.78</v>
      </c>
      <c r="AP21" s="320">
        <v>8.35</v>
      </c>
    </row>
    <row r="22">
      <c r="A22" s="319" t="s">
        <v>256</v>
      </c>
      <c r="B22" s="328">
        <v>46053.0</v>
      </c>
      <c r="C22" s="319" t="s">
        <v>215</v>
      </c>
      <c r="D22" s="320">
        <v>26301.0</v>
      </c>
      <c r="E22" s="320">
        <v>23.58</v>
      </c>
      <c r="F22" s="320">
        <v>0.0</v>
      </c>
      <c r="G22" s="320">
        <v>0.0</v>
      </c>
      <c r="H22" s="320">
        <v>0.0</v>
      </c>
      <c r="I22" s="329"/>
      <c r="J22" s="320">
        <v>55.16</v>
      </c>
      <c r="K22" s="320">
        <v>25.74</v>
      </c>
      <c r="L22" s="320">
        <v>14.19</v>
      </c>
      <c r="M22" s="320">
        <v>0.5511</v>
      </c>
      <c r="N22" s="320">
        <v>0.6435</v>
      </c>
      <c r="O22" s="320">
        <v>0.4535</v>
      </c>
      <c r="P22" s="320">
        <v>1.8147</v>
      </c>
      <c r="Q22" s="320">
        <v>101.14</v>
      </c>
      <c r="R22" s="320">
        <v>71.1</v>
      </c>
      <c r="S22" s="320">
        <v>30.04</v>
      </c>
      <c r="T22" s="320">
        <v>3.96</v>
      </c>
      <c r="U22" s="320">
        <v>97.18</v>
      </c>
      <c r="V22" s="320">
        <v>102.17</v>
      </c>
      <c r="W22" s="320">
        <v>3.9684</v>
      </c>
      <c r="X22" s="320">
        <v>3.92</v>
      </c>
      <c r="Y22" s="320">
        <v>136.0</v>
      </c>
      <c r="Z22" s="320">
        <v>855.0</v>
      </c>
      <c r="AA22" s="320">
        <v>5573.0</v>
      </c>
      <c r="AB22" s="320">
        <v>52.2089</v>
      </c>
      <c r="AC22" s="320">
        <v>0.6393</v>
      </c>
      <c r="AD22" s="320">
        <v>9.71</v>
      </c>
      <c r="AE22" s="320">
        <v>4.0</v>
      </c>
      <c r="AF22" s="320">
        <v>8.0</v>
      </c>
      <c r="AG22" s="320">
        <v>13.0</v>
      </c>
      <c r="AH22" s="320">
        <v>19.0</v>
      </c>
      <c r="AI22" s="320">
        <v>65.05</v>
      </c>
      <c r="AJ22" s="320">
        <v>27.81</v>
      </c>
      <c r="AK22" s="320">
        <v>3.86</v>
      </c>
      <c r="AL22" s="320">
        <v>0.2074</v>
      </c>
      <c r="AM22" s="320">
        <v>22.49</v>
      </c>
      <c r="AN22" s="320">
        <v>48.62</v>
      </c>
      <c r="AO22" s="320">
        <v>45.03</v>
      </c>
      <c r="AP22" s="320">
        <v>10.13</v>
      </c>
    </row>
    <row r="23">
      <c r="A23" s="319" t="s">
        <v>256</v>
      </c>
      <c r="B23" s="328">
        <v>46053.0</v>
      </c>
      <c r="C23" s="319" t="s">
        <v>216</v>
      </c>
      <c r="D23" s="320">
        <v>15301.0</v>
      </c>
      <c r="E23" s="320">
        <v>13.72</v>
      </c>
      <c r="F23" s="320">
        <v>0.0</v>
      </c>
      <c r="G23" s="320">
        <v>0.0</v>
      </c>
      <c r="H23" s="320">
        <v>0.0</v>
      </c>
      <c r="I23" s="329"/>
      <c r="J23" s="320">
        <v>82.3</v>
      </c>
      <c r="K23" s="320">
        <v>40.54</v>
      </c>
      <c r="L23" s="320">
        <v>27.03</v>
      </c>
      <c r="M23" s="320">
        <v>0.6667</v>
      </c>
      <c r="N23" s="320">
        <v>0.5288</v>
      </c>
      <c r="O23" s="320">
        <v>0.3715</v>
      </c>
      <c r="P23" s="320">
        <v>1.5</v>
      </c>
      <c r="Q23" s="320">
        <v>169.69</v>
      </c>
      <c r="R23" s="320">
        <v>112.7</v>
      </c>
      <c r="S23" s="320">
        <v>56.99</v>
      </c>
      <c r="T23" s="320">
        <v>5.09</v>
      </c>
      <c r="U23" s="320">
        <v>164.6</v>
      </c>
      <c r="V23" s="320">
        <v>176.57</v>
      </c>
      <c r="W23" s="320">
        <v>4.3552</v>
      </c>
      <c r="X23" s="320">
        <v>3.0</v>
      </c>
      <c r="Y23" s="320">
        <v>152.0</v>
      </c>
      <c r="Z23" s="320">
        <v>1091.0</v>
      </c>
      <c r="AA23" s="320">
        <v>6459.0</v>
      </c>
      <c r="AB23" s="320">
        <v>55.2173</v>
      </c>
      <c r="AC23" s="320">
        <v>0.74</v>
      </c>
      <c r="AD23" s="320">
        <v>18.14</v>
      </c>
      <c r="AE23" s="320">
        <v>8.0</v>
      </c>
      <c r="AF23" s="320">
        <v>15.0</v>
      </c>
      <c r="AG23" s="320">
        <v>25.0</v>
      </c>
      <c r="AH23" s="320">
        <v>37.0</v>
      </c>
      <c r="AI23" s="320">
        <v>62.65</v>
      </c>
      <c r="AJ23" s="320">
        <v>24.19</v>
      </c>
      <c r="AK23" s="320">
        <v>6.45</v>
      </c>
      <c r="AL23" s="320">
        <v>0.1923</v>
      </c>
      <c r="AM23" s="320">
        <v>22.86</v>
      </c>
      <c r="AN23" s="320">
        <v>89.84</v>
      </c>
      <c r="AO23" s="320">
        <v>46.23</v>
      </c>
      <c r="AP23" s="320">
        <v>10.57</v>
      </c>
    </row>
    <row r="24">
      <c r="A24" s="319" t="s">
        <v>256</v>
      </c>
      <c r="B24" s="328">
        <v>46053.0</v>
      </c>
      <c r="C24" s="319" t="s">
        <v>217</v>
      </c>
      <c r="D24" s="320">
        <v>6026.0</v>
      </c>
      <c r="E24" s="320">
        <v>5.4</v>
      </c>
      <c r="F24" s="320">
        <v>0.0</v>
      </c>
      <c r="G24" s="320">
        <v>0.0</v>
      </c>
      <c r="H24" s="320">
        <v>0.0</v>
      </c>
      <c r="I24" s="329"/>
      <c r="J24" s="320">
        <v>133.53</v>
      </c>
      <c r="K24" s="320">
        <v>70.76</v>
      </c>
      <c r="L24" s="320">
        <v>56.23</v>
      </c>
      <c r="M24" s="320">
        <v>0.7947</v>
      </c>
      <c r="N24" s="320">
        <v>0.3857</v>
      </c>
      <c r="O24" s="320">
        <v>0.2781</v>
      </c>
      <c r="P24" s="320">
        <v>1.2584</v>
      </c>
      <c r="Q24" s="320">
        <v>331.1</v>
      </c>
      <c r="R24" s="320">
        <v>212.18</v>
      </c>
      <c r="S24" s="320">
        <v>118.93</v>
      </c>
      <c r="T24" s="320">
        <v>6.86</v>
      </c>
      <c r="U24" s="320">
        <v>324.24</v>
      </c>
      <c r="V24" s="320">
        <v>321.74</v>
      </c>
      <c r="W24" s="320">
        <v>4.5471</v>
      </c>
      <c r="X24" s="320">
        <v>2.07</v>
      </c>
      <c r="Y24" s="320">
        <v>293.0</v>
      </c>
      <c r="Z24" s="320">
        <v>2403.0</v>
      </c>
      <c r="AA24" s="320">
        <v>9213.0</v>
      </c>
      <c r="AB24" s="320">
        <v>59.1654</v>
      </c>
      <c r="AC24" s="320">
        <v>0.8278</v>
      </c>
      <c r="AD24" s="320">
        <v>38.7</v>
      </c>
      <c r="AE24" s="320">
        <v>16.0</v>
      </c>
      <c r="AF24" s="320">
        <v>31.0</v>
      </c>
      <c r="AG24" s="320">
        <v>53.0</v>
      </c>
      <c r="AH24" s="320">
        <v>79.0</v>
      </c>
      <c r="AI24" s="320">
        <v>54.98</v>
      </c>
      <c r="AJ24" s="320">
        <v>20.43</v>
      </c>
      <c r="AK24" s="320">
        <v>4.6</v>
      </c>
      <c r="AL24" s="320">
        <v>0.1497</v>
      </c>
      <c r="AM24" s="320">
        <v>23.38</v>
      </c>
      <c r="AN24" s="320">
        <v>188.79</v>
      </c>
      <c r="AO24" s="320">
        <v>47.81</v>
      </c>
      <c r="AP24" s="320">
        <v>11.18</v>
      </c>
    </row>
    <row r="25">
      <c r="A25" s="319" t="s">
        <v>256</v>
      </c>
      <c r="B25" s="328">
        <v>46053.0</v>
      </c>
      <c r="C25" s="319" t="s">
        <v>218</v>
      </c>
      <c r="D25" s="320">
        <v>735.0</v>
      </c>
      <c r="E25" s="320">
        <v>0.66</v>
      </c>
      <c r="F25" s="320">
        <v>0.0</v>
      </c>
      <c r="G25" s="320">
        <v>0.0</v>
      </c>
      <c r="H25" s="320">
        <v>0.0</v>
      </c>
      <c r="I25" s="329"/>
      <c r="J25" s="320">
        <v>246.36</v>
      </c>
      <c r="K25" s="320">
        <v>146.54</v>
      </c>
      <c r="L25" s="320">
        <v>127.72</v>
      </c>
      <c r="M25" s="320">
        <v>0.8716</v>
      </c>
      <c r="N25" s="320">
        <v>0.2767</v>
      </c>
      <c r="O25" s="320">
        <v>0.2074</v>
      </c>
      <c r="P25" s="320">
        <v>1.1474</v>
      </c>
      <c r="Q25" s="320">
        <v>651.36</v>
      </c>
      <c r="R25" s="320">
        <v>380.66</v>
      </c>
      <c r="S25" s="320">
        <v>270.7</v>
      </c>
      <c r="T25" s="320">
        <v>0.5</v>
      </c>
      <c r="U25" s="320">
        <v>650.87</v>
      </c>
      <c r="V25" s="320">
        <v>660.75</v>
      </c>
      <c r="W25" s="320">
        <v>4.5089</v>
      </c>
      <c r="X25" s="320">
        <v>0.08</v>
      </c>
      <c r="Y25" s="320">
        <v>829.0</v>
      </c>
      <c r="Z25" s="320">
        <v>3679.0</v>
      </c>
      <c r="AA25" s="320">
        <v>10853.0</v>
      </c>
      <c r="AB25" s="320">
        <v>62.8769</v>
      </c>
      <c r="AC25" s="320">
        <v>0.893</v>
      </c>
      <c r="AD25" s="320">
        <v>86.41</v>
      </c>
      <c r="AE25" s="320">
        <v>40.0</v>
      </c>
      <c r="AF25" s="320">
        <v>72.0</v>
      </c>
      <c r="AG25" s="320">
        <v>119.0</v>
      </c>
      <c r="AH25" s="320">
        <v>165.0</v>
      </c>
      <c r="AI25" s="320">
        <v>46.12</v>
      </c>
      <c r="AJ25" s="320">
        <v>8.3</v>
      </c>
      <c r="AK25" s="320">
        <v>1.77</v>
      </c>
      <c r="AL25" s="320">
        <v>0.102</v>
      </c>
      <c r="AM25" s="320">
        <v>24.0</v>
      </c>
      <c r="AN25" s="320">
        <v>356.66</v>
      </c>
      <c r="AO25" s="320">
        <v>48.9</v>
      </c>
      <c r="AP25" s="320">
        <v>11.74</v>
      </c>
    </row>
    <row r="26">
      <c r="A26" s="319" t="s">
        <v>256</v>
      </c>
      <c r="B26" s="328">
        <v>46054.0</v>
      </c>
      <c r="C26" s="319" t="s">
        <v>257</v>
      </c>
      <c r="D26" s="320">
        <v>21640.0</v>
      </c>
      <c r="E26" s="320">
        <v>19.25</v>
      </c>
      <c r="F26" s="320">
        <v>0.0</v>
      </c>
      <c r="G26" s="320">
        <v>0.0</v>
      </c>
      <c r="H26" s="320">
        <v>0.0</v>
      </c>
      <c r="I26" s="329"/>
      <c r="J26" s="320">
        <v>6.4</v>
      </c>
      <c r="K26" s="320">
        <v>2.65</v>
      </c>
      <c r="L26" s="320">
        <v>0.04</v>
      </c>
      <c r="M26" s="320">
        <v>0.0141</v>
      </c>
      <c r="N26" s="320">
        <v>0.9893</v>
      </c>
      <c r="O26" s="320">
        <v>0.8601</v>
      </c>
      <c r="P26" s="320">
        <v>71.1266</v>
      </c>
      <c r="Q26" s="320">
        <v>22.19</v>
      </c>
      <c r="R26" s="320">
        <v>22.05</v>
      </c>
      <c r="S26" s="320">
        <v>0.15</v>
      </c>
      <c r="T26" s="320">
        <v>0.02</v>
      </c>
      <c r="U26" s="320">
        <v>22.17</v>
      </c>
      <c r="V26" s="320">
        <v>2.05</v>
      </c>
      <c r="W26" s="320">
        <v>0.7745</v>
      </c>
      <c r="X26" s="320">
        <v>0.11</v>
      </c>
      <c r="Y26" s="320">
        <v>265.0</v>
      </c>
      <c r="Z26" s="320">
        <v>3065.0</v>
      </c>
      <c r="AA26" s="320">
        <v>13321.0</v>
      </c>
      <c r="AB26" s="320">
        <v>48.977</v>
      </c>
      <c r="AC26" s="320">
        <v>0.5523</v>
      </c>
      <c r="AD26" s="329"/>
      <c r="AE26" s="329"/>
      <c r="AF26" s="329"/>
      <c r="AG26" s="329"/>
      <c r="AH26" s="329"/>
      <c r="AI26" s="320">
        <v>0.0</v>
      </c>
      <c r="AJ26" s="320">
        <v>0.0</v>
      </c>
      <c r="AK26" s="320">
        <v>0.0</v>
      </c>
      <c r="AL26" s="320">
        <v>0.3116</v>
      </c>
      <c r="AM26" s="320">
        <v>17.74</v>
      </c>
      <c r="AN26" s="320">
        <v>4.3</v>
      </c>
      <c r="AO26" s="329"/>
      <c r="AP26" s="329"/>
    </row>
    <row r="27">
      <c r="A27" s="319" t="s">
        <v>256</v>
      </c>
      <c r="B27" s="328">
        <v>46054.0</v>
      </c>
      <c r="C27" s="319" t="s">
        <v>214</v>
      </c>
      <c r="D27" s="320">
        <v>40946.0</v>
      </c>
      <c r="E27" s="320">
        <v>36.42</v>
      </c>
      <c r="F27" s="320">
        <v>0.0</v>
      </c>
      <c r="G27" s="320">
        <v>0.0</v>
      </c>
      <c r="H27" s="320">
        <v>0.0</v>
      </c>
      <c r="I27" s="329"/>
      <c r="J27" s="320">
        <v>30.93</v>
      </c>
      <c r="K27" s="320">
        <v>14.12</v>
      </c>
      <c r="L27" s="320">
        <v>5.56</v>
      </c>
      <c r="M27" s="320">
        <v>0.3941</v>
      </c>
      <c r="N27" s="320">
        <v>0.7682</v>
      </c>
      <c r="O27" s="320">
        <v>0.5665</v>
      </c>
      <c r="P27" s="320">
        <v>2.5373</v>
      </c>
      <c r="Q27" s="320">
        <v>47.22</v>
      </c>
      <c r="R27" s="320">
        <v>35.67</v>
      </c>
      <c r="S27" s="320">
        <v>11.55</v>
      </c>
      <c r="T27" s="320">
        <v>0.68</v>
      </c>
      <c r="U27" s="320">
        <v>46.54</v>
      </c>
      <c r="V27" s="320">
        <v>52.5</v>
      </c>
      <c r="W27" s="320">
        <v>3.7186</v>
      </c>
      <c r="X27" s="320">
        <v>1.45</v>
      </c>
      <c r="Y27" s="320">
        <v>136.0</v>
      </c>
      <c r="Z27" s="320">
        <v>802.0</v>
      </c>
      <c r="AA27" s="320">
        <v>5321.0</v>
      </c>
      <c r="AB27" s="320">
        <v>48.7516</v>
      </c>
      <c r="AC27" s="320">
        <v>0.5476</v>
      </c>
      <c r="AD27" s="320">
        <v>3.86</v>
      </c>
      <c r="AE27" s="320">
        <v>1.0</v>
      </c>
      <c r="AF27" s="320">
        <v>3.0</v>
      </c>
      <c r="AG27" s="320">
        <v>5.0</v>
      </c>
      <c r="AH27" s="320">
        <v>9.0</v>
      </c>
      <c r="AI27" s="320">
        <v>73.15</v>
      </c>
      <c r="AJ27" s="320">
        <v>30.01</v>
      </c>
      <c r="AK27" s="320">
        <v>7.4</v>
      </c>
      <c r="AL27" s="320">
        <v>0.2801</v>
      </c>
      <c r="AM27" s="320">
        <v>20.33</v>
      </c>
      <c r="AN27" s="320">
        <v>15.34</v>
      </c>
      <c r="AO27" s="320">
        <v>47.88</v>
      </c>
      <c r="AP27" s="320">
        <v>9.73</v>
      </c>
    </row>
    <row r="28">
      <c r="A28" s="319" t="s">
        <v>256</v>
      </c>
      <c r="B28" s="328">
        <v>46054.0</v>
      </c>
      <c r="C28" s="319" t="s">
        <v>215</v>
      </c>
      <c r="D28" s="320">
        <v>27108.0</v>
      </c>
      <c r="E28" s="320">
        <v>24.11</v>
      </c>
      <c r="F28" s="320">
        <v>0.0</v>
      </c>
      <c r="G28" s="320">
        <v>0.0</v>
      </c>
      <c r="H28" s="320">
        <v>0.0</v>
      </c>
      <c r="I28" s="329"/>
      <c r="J28" s="320">
        <v>59.08</v>
      </c>
      <c r="K28" s="320">
        <v>27.87</v>
      </c>
      <c r="L28" s="320">
        <v>14.29</v>
      </c>
      <c r="M28" s="320">
        <v>0.5129</v>
      </c>
      <c r="N28" s="320">
        <v>0.6699</v>
      </c>
      <c r="O28" s="320">
        <v>0.467</v>
      </c>
      <c r="P28" s="320">
        <v>1.9497</v>
      </c>
      <c r="Q28" s="320">
        <v>83.67</v>
      </c>
      <c r="R28" s="320">
        <v>53.59</v>
      </c>
      <c r="S28" s="320">
        <v>30.08</v>
      </c>
      <c r="T28" s="320">
        <v>2.74</v>
      </c>
      <c r="U28" s="320">
        <v>80.94</v>
      </c>
      <c r="V28" s="320">
        <v>96.01</v>
      </c>
      <c r="W28" s="320">
        <v>3.4454</v>
      </c>
      <c r="X28" s="320">
        <v>3.27</v>
      </c>
      <c r="Y28" s="320">
        <v>124.0</v>
      </c>
      <c r="Z28" s="320">
        <v>718.0</v>
      </c>
      <c r="AA28" s="320">
        <v>5149.0</v>
      </c>
      <c r="AB28" s="320">
        <v>52.1319</v>
      </c>
      <c r="AC28" s="320">
        <v>0.6373</v>
      </c>
      <c r="AD28" s="320">
        <v>9.42</v>
      </c>
      <c r="AE28" s="320">
        <v>4.0</v>
      </c>
      <c r="AF28" s="320">
        <v>8.0</v>
      </c>
      <c r="AG28" s="320">
        <v>13.0</v>
      </c>
      <c r="AH28" s="320">
        <v>19.0</v>
      </c>
      <c r="AI28" s="320">
        <v>62.57</v>
      </c>
      <c r="AJ28" s="320">
        <v>25.97</v>
      </c>
      <c r="AK28" s="320">
        <v>4.08</v>
      </c>
      <c r="AL28" s="320">
        <v>0.2168</v>
      </c>
      <c r="AM28" s="320">
        <v>21.57</v>
      </c>
      <c r="AN28" s="320">
        <v>32.02</v>
      </c>
      <c r="AO28" s="320">
        <v>54.67</v>
      </c>
      <c r="AP28" s="320">
        <v>11.79</v>
      </c>
    </row>
    <row r="29">
      <c r="A29" s="319" t="s">
        <v>256</v>
      </c>
      <c r="B29" s="328">
        <v>46054.0</v>
      </c>
      <c r="C29" s="319" t="s">
        <v>216</v>
      </c>
      <c r="D29" s="320">
        <v>15802.0</v>
      </c>
      <c r="E29" s="320">
        <v>14.05</v>
      </c>
      <c r="F29" s="320">
        <v>0.0</v>
      </c>
      <c r="G29" s="320">
        <v>0.0</v>
      </c>
      <c r="H29" s="320">
        <v>0.0</v>
      </c>
      <c r="I29" s="329"/>
      <c r="J29" s="320">
        <v>87.67</v>
      </c>
      <c r="K29" s="320">
        <v>43.6</v>
      </c>
      <c r="L29" s="320">
        <v>27.91</v>
      </c>
      <c r="M29" s="320">
        <v>0.6402</v>
      </c>
      <c r="N29" s="320">
        <v>0.5465</v>
      </c>
      <c r="O29" s="320">
        <v>0.376</v>
      </c>
      <c r="P29" s="320">
        <v>1.5621</v>
      </c>
      <c r="Q29" s="320">
        <v>136.15</v>
      </c>
      <c r="R29" s="320">
        <v>77.07</v>
      </c>
      <c r="S29" s="320">
        <v>59.08</v>
      </c>
      <c r="T29" s="320">
        <v>3.49</v>
      </c>
      <c r="U29" s="320">
        <v>132.66</v>
      </c>
      <c r="V29" s="320">
        <v>167.76</v>
      </c>
      <c r="W29" s="320">
        <v>3.8474</v>
      </c>
      <c r="X29" s="320">
        <v>2.56</v>
      </c>
      <c r="Y29" s="320">
        <v>139.0</v>
      </c>
      <c r="Z29" s="320">
        <v>1081.0</v>
      </c>
      <c r="AA29" s="320">
        <v>6349.0</v>
      </c>
      <c r="AB29" s="320">
        <v>55.2325</v>
      </c>
      <c r="AC29" s="320">
        <v>0.7422</v>
      </c>
      <c r="AD29" s="320">
        <v>18.2</v>
      </c>
      <c r="AE29" s="320">
        <v>8.0</v>
      </c>
      <c r="AF29" s="320">
        <v>14.0</v>
      </c>
      <c r="AG29" s="320">
        <v>25.0</v>
      </c>
      <c r="AH29" s="320">
        <v>37.0</v>
      </c>
      <c r="AI29" s="320">
        <v>61.43</v>
      </c>
      <c r="AJ29" s="320">
        <v>23.82</v>
      </c>
      <c r="AK29" s="320">
        <v>7.42</v>
      </c>
      <c r="AL29" s="320">
        <v>0.2114</v>
      </c>
      <c r="AM29" s="320">
        <v>20.96</v>
      </c>
      <c r="AN29" s="320">
        <v>56.11</v>
      </c>
      <c r="AO29" s="320">
        <v>55.83</v>
      </c>
      <c r="AP29" s="320">
        <v>11.7</v>
      </c>
    </row>
    <row r="30">
      <c r="A30" s="319" t="s">
        <v>256</v>
      </c>
      <c r="B30" s="328">
        <v>46054.0</v>
      </c>
      <c r="C30" s="319" t="s">
        <v>217</v>
      </c>
      <c r="D30" s="320">
        <v>6227.0</v>
      </c>
      <c r="E30" s="320">
        <v>5.54</v>
      </c>
      <c r="F30" s="320">
        <v>0.0</v>
      </c>
      <c r="G30" s="320">
        <v>0.0</v>
      </c>
      <c r="H30" s="320">
        <v>0.0</v>
      </c>
      <c r="I30" s="329"/>
      <c r="J30" s="320">
        <v>136.96</v>
      </c>
      <c r="K30" s="320">
        <v>73.5</v>
      </c>
      <c r="L30" s="320">
        <v>56.81</v>
      </c>
      <c r="M30" s="320">
        <v>0.7729</v>
      </c>
      <c r="N30" s="320">
        <v>0.4018</v>
      </c>
      <c r="O30" s="320">
        <v>0.2822</v>
      </c>
      <c r="P30" s="320">
        <v>1.2939</v>
      </c>
      <c r="Q30" s="320">
        <v>244.41</v>
      </c>
      <c r="R30" s="320">
        <v>124.5</v>
      </c>
      <c r="S30" s="320">
        <v>119.91</v>
      </c>
      <c r="T30" s="320">
        <v>1.47</v>
      </c>
      <c r="U30" s="320">
        <v>242.94</v>
      </c>
      <c r="V30" s="320">
        <v>319.2</v>
      </c>
      <c r="W30" s="320">
        <v>4.3428</v>
      </c>
      <c r="X30" s="320">
        <v>0.6</v>
      </c>
      <c r="Y30" s="320">
        <v>267.0</v>
      </c>
      <c r="Z30" s="320">
        <v>2440.0</v>
      </c>
      <c r="AA30" s="320">
        <v>9746.0</v>
      </c>
      <c r="AB30" s="320">
        <v>59.4944</v>
      </c>
      <c r="AC30" s="320">
        <v>0.837</v>
      </c>
      <c r="AD30" s="320">
        <v>37.95</v>
      </c>
      <c r="AE30" s="320">
        <v>15.0</v>
      </c>
      <c r="AF30" s="320">
        <v>29.0</v>
      </c>
      <c r="AG30" s="320">
        <v>52.0</v>
      </c>
      <c r="AH30" s="320">
        <v>80.0</v>
      </c>
      <c r="AI30" s="320">
        <v>52.22</v>
      </c>
      <c r="AJ30" s="320">
        <v>19.8</v>
      </c>
      <c r="AK30" s="320">
        <v>5.12</v>
      </c>
      <c r="AL30" s="320">
        <v>0.1744</v>
      </c>
      <c r="AM30" s="320">
        <v>21.36</v>
      </c>
      <c r="AN30" s="320">
        <v>103.14</v>
      </c>
      <c r="AO30" s="320">
        <v>58.19</v>
      </c>
      <c r="AP30" s="320">
        <v>12.43</v>
      </c>
    </row>
    <row r="31">
      <c r="A31" s="319" t="s">
        <v>256</v>
      </c>
      <c r="B31" s="328">
        <v>46054.0</v>
      </c>
      <c r="C31" s="319" t="s">
        <v>218</v>
      </c>
      <c r="D31" s="320">
        <v>712.0</v>
      </c>
      <c r="E31" s="320">
        <v>0.63</v>
      </c>
      <c r="F31" s="320">
        <v>0.0</v>
      </c>
      <c r="G31" s="320">
        <v>0.0</v>
      </c>
      <c r="H31" s="320">
        <v>0.0</v>
      </c>
      <c r="I31" s="329"/>
      <c r="J31" s="320">
        <v>249.7</v>
      </c>
      <c r="K31" s="320">
        <v>148.56</v>
      </c>
      <c r="L31" s="320">
        <v>128.82</v>
      </c>
      <c r="M31" s="320">
        <v>0.8672</v>
      </c>
      <c r="N31" s="320">
        <v>0.2764</v>
      </c>
      <c r="O31" s="320">
        <v>0.2039</v>
      </c>
      <c r="P31" s="320">
        <v>1.1532</v>
      </c>
      <c r="Q31" s="320">
        <v>503.77</v>
      </c>
      <c r="R31" s="320">
        <v>230.86</v>
      </c>
      <c r="S31" s="320">
        <v>272.91</v>
      </c>
      <c r="T31" s="320">
        <v>0.0</v>
      </c>
      <c r="U31" s="320">
        <v>503.77</v>
      </c>
      <c r="V31" s="320">
        <v>628.16</v>
      </c>
      <c r="W31" s="320">
        <v>4.2284</v>
      </c>
      <c r="X31" s="320">
        <v>0.0</v>
      </c>
      <c r="Y31" s="320">
        <v>905.0</v>
      </c>
      <c r="Z31" s="320">
        <v>4313.0</v>
      </c>
      <c r="AA31" s="320">
        <v>11119.0</v>
      </c>
      <c r="AB31" s="320">
        <v>63.4562</v>
      </c>
      <c r="AC31" s="320">
        <v>0.8936</v>
      </c>
      <c r="AD31" s="320">
        <v>90.41</v>
      </c>
      <c r="AE31" s="320">
        <v>35.0</v>
      </c>
      <c r="AF31" s="320">
        <v>72.0</v>
      </c>
      <c r="AG31" s="320">
        <v>130.0</v>
      </c>
      <c r="AH31" s="320">
        <v>185.0</v>
      </c>
      <c r="AI31" s="320">
        <v>47.05</v>
      </c>
      <c r="AJ31" s="320">
        <v>11.8</v>
      </c>
      <c r="AK31" s="320">
        <v>1.97</v>
      </c>
      <c r="AL31" s="320">
        <v>0.1194</v>
      </c>
      <c r="AM31" s="320">
        <v>22.73</v>
      </c>
      <c r="AN31" s="320">
        <v>208.13</v>
      </c>
      <c r="AO31" s="320">
        <v>59.59</v>
      </c>
      <c r="AP31" s="320">
        <v>13.54</v>
      </c>
    </row>
    <row r="32">
      <c r="A32" s="319" t="s">
        <v>256</v>
      </c>
      <c r="B32" s="328">
        <v>46055.0</v>
      </c>
      <c r="C32" s="319" t="s">
        <v>257</v>
      </c>
      <c r="D32" s="320">
        <v>21772.0</v>
      </c>
      <c r="E32" s="320">
        <v>18.69</v>
      </c>
      <c r="F32" s="320">
        <v>0.0</v>
      </c>
      <c r="G32" s="320">
        <v>0.0</v>
      </c>
      <c r="H32" s="320">
        <v>0.0</v>
      </c>
      <c r="I32" s="329"/>
      <c r="J32" s="320">
        <v>5.82</v>
      </c>
      <c r="K32" s="320">
        <v>2.37</v>
      </c>
      <c r="L32" s="320">
        <v>0.07</v>
      </c>
      <c r="M32" s="320">
        <v>0.031</v>
      </c>
      <c r="N32" s="320">
        <v>0.9746</v>
      </c>
      <c r="O32" s="320">
        <v>0.7575</v>
      </c>
      <c r="P32" s="320">
        <v>32.2983</v>
      </c>
      <c r="Q32" s="320">
        <v>32.06</v>
      </c>
      <c r="R32" s="320">
        <v>31.95</v>
      </c>
      <c r="S32" s="320">
        <v>0.11</v>
      </c>
      <c r="T32" s="320">
        <v>0.03</v>
      </c>
      <c r="U32" s="320">
        <v>32.03</v>
      </c>
      <c r="V32" s="320">
        <v>2.1</v>
      </c>
      <c r="W32" s="320">
        <v>0.8839</v>
      </c>
      <c r="X32" s="320">
        <v>0.11</v>
      </c>
      <c r="Y32" s="320">
        <v>346.0</v>
      </c>
      <c r="Z32" s="320">
        <v>3536.0</v>
      </c>
      <c r="AA32" s="320">
        <v>14180.0</v>
      </c>
      <c r="AB32" s="320">
        <v>49.1012</v>
      </c>
      <c r="AC32" s="320">
        <v>0.5584</v>
      </c>
      <c r="AD32" s="329"/>
      <c r="AE32" s="329"/>
      <c r="AF32" s="329"/>
      <c r="AG32" s="329"/>
      <c r="AH32" s="329"/>
      <c r="AI32" s="320">
        <v>0.0</v>
      </c>
      <c r="AJ32" s="320">
        <v>0.0</v>
      </c>
      <c r="AK32" s="320">
        <v>0.0</v>
      </c>
      <c r="AL32" s="320">
        <v>0.295</v>
      </c>
      <c r="AM32" s="320">
        <v>16.23</v>
      </c>
      <c r="AN32" s="320">
        <v>15.72</v>
      </c>
      <c r="AO32" s="329"/>
      <c r="AP32" s="329"/>
    </row>
    <row r="33">
      <c r="A33" s="319" t="s">
        <v>256</v>
      </c>
      <c r="B33" s="328">
        <v>46055.0</v>
      </c>
      <c r="C33" s="319" t="s">
        <v>214</v>
      </c>
      <c r="D33" s="320">
        <v>41655.0</v>
      </c>
      <c r="E33" s="320">
        <v>35.76</v>
      </c>
      <c r="F33" s="320">
        <v>0.0</v>
      </c>
      <c r="G33" s="320">
        <v>0.0</v>
      </c>
      <c r="H33" s="320">
        <v>0.0</v>
      </c>
      <c r="I33" s="329"/>
      <c r="J33" s="320">
        <v>32.2</v>
      </c>
      <c r="K33" s="320">
        <v>14.43</v>
      </c>
      <c r="L33" s="320">
        <v>5.76</v>
      </c>
      <c r="M33" s="320">
        <v>0.3996</v>
      </c>
      <c r="N33" s="320">
        <v>0.7706</v>
      </c>
      <c r="O33" s="320">
        <v>0.5719</v>
      </c>
      <c r="P33" s="320">
        <v>2.5027</v>
      </c>
      <c r="Q33" s="320">
        <v>73.67</v>
      </c>
      <c r="R33" s="320">
        <v>62.34</v>
      </c>
      <c r="S33" s="320">
        <v>11.33</v>
      </c>
      <c r="T33" s="320">
        <v>1.16</v>
      </c>
      <c r="U33" s="320">
        <v>72.51</v>
      </c>
      <c r="V33" s="320">
        <v>61.78</v>
      </c>
      <c r="W33" s="320">
        <v>4.2825</v>
      </c>
      <c r="X33" s="320">
        <v>1.57</v>
      </c>
      <c r="Y33" s="320">
        <v>155.0</v>
      </c>
      <c r="Z33" s="320">
        <v>831.0</v>
      </c>
      <c r="AA33" s="320">
        <v>5461.0</v>
      </c>
      <c r="AB33" s="320">
        <v>48.669</v>
      </c>
      <c r="AC33" s="320">
        <v>0.5272</v>
      </c>
      <c r="AD33" s="320">
        <v>3.91</v>
      </c>
      <c r="AE33" s="320">
        <v>1.0</v>
      </c>
      <c r="AF33" s="320">
        <v>3.0</v>
      </c>
      <c r="AG33" s="320">
        <v>5.0</v>
      </c>
      <c r="AH33" s="320">
        <v>9.0</v>
      </c>
      <c r="AI33" s="320">
        <v>73.29</v>
      </c>
      <c r="AJ33" s="320">
        <v>29.85</v>
      </c>
      <c r="AK33" s="320">
        <v>7.81</v>
      </c>
      <c r="AL33" s="320">
        <v>0.2513</v>
      </c>
      <c r="AM33" s="320">
        <v>18.33</v>
      </c>
      <c r="AN33" s="320">
        <v>44.01</v>
      </c>
      <c r="AO33" s="320">
        <v>56.0</v>
      </c>
      <c r="AP33" s="320">
        <v>10.26</v>
      </c>
    </row>
    <row r="34">
      <c r="A34" s="319" t="s">
        <v>256</v>
      </c>
      <c r="B34" s="328">
        <v>46055.0</v>
      </c>
      <c r="C34" s="319" t="s">
        <v>215</v>
      </c>
      <c r="D34" s="320">
        <v>28655.0</v>
      </c>
      <c r="E34" s="320">
        <v>24.6</v>
      </c>
      <c r="F34" s="320">
        <v>0.0</v>
      </c>
      <c r="G34" s="320">
        <v>0.0</v>
      </c>
      <c r="H34" s="320">
        <v>0.0</v>
      </c>
      <c r="I34" s="329"/>
      <c r="J34" s="320">
        <v>59.86</v>
      </c>
      <c r="K34" s="320">
        <v>27.69</v>
      </c>
      <c r="L34" s="320">
        <v>14.58</v>
      </c>
      <c r="M34" s="320">
        <v>0.5265</v>
      </c>
      <c r="N34" s="320">
        <v>0.6694</v>
      </c>
      <c r="O34" s="320">
        <v>0.4733</v>
      </c>
      <c r="P34" s="320">
        <v>1.8992</v>
      </c>
      <c r="Q34" s="320">
        <v>132.86</v>
      </c>
      <c r="R34" s="320">
        <v>103.29</v>
      </c>
      <c r="S34" s="320">
        <v>29.57</v>
      </c>
      <c r="T34" s="320">
        <v>4.17</v>
      </c>
      <c r="U34" s="320">
        <v>128.69</v>
      </c>
      <c r="V34" s="320">
        <v>117.88</v>
      </c>
      <c r="W34" s="320">
        <v>4.2569</v>
      </c>
      <c r="X34" s="320">
        <v>3.14</v>
      </c>
      <c r="Y34" s="320">
        <v>140.0</v>
      </c>
      <c r="Z34" s="320">
        <v>739.0</v>
      </c>
      <c r="AA34" s="320">
        <v>5559.0</v>
      </c>
      <c r="AB34" s="320">
        <v>51.9586</v>
      </c>
      <c r="AC34" s="320">
        <v>0.6051</v>
      </c>
      <c r="AD34" s="320">
        <v>9.52</v>
      </c>
      <c r="AE34" s="320">
        <v>4.0</v>
      </c>
      <c r="AF34" s="320">
        <v>7.0</v>
      </c>
      <c r="AG34" s="320">
        <v>13.0</v>
      </c>
      <c r="AH34" s="320">
        <v>20.0</v>
      </c>
      <c r="AI34" s="320">
        <v>61.72</v>
      </c>
      <c r="AJ34" s="320">
        <v>26.67</v>
      </c>
      <c r="AK34" s="320">
        <v>4.71</v>
      </c>
      <c r="AL34" s="320">
        <v>0.1824</v>
      </c>
      <c r="AM34" s="320">
        <v>19.16</v>
      </c>
      <c r="AN34" s="320">
        <v>84.13</v>
      </c>
      <c r="AO34" s="320">
        <v>63.76</v>
      </c>
      <c r="AP34" s="320">
        <v>12.22</v>
      </c>
    </row>
    <row r="35">
      <c r="A35" s="319" t="s">
        <v>256</v>
      </c>
      <c r="B35" s="328">
        <v>46055.0</v>
      </c>
      <c r="C35" s="319" t="s">
        <v>216</v>
      </c>
      <c r="D35" s="320">
        <v>16644.0</v>
      </c>
      <c r="E35" s="320">
        <v>14.29</v>
      </c>
      <c r="F35" s="320">
        <v>0.0</v>
      </c>
      <c r="G35" s="320">
        <v>0.0</v>
      </c>
      <c r="H35" s="320">
        <v>0.0</v>
      </c>
      <c r="I35" s="329"/>
      <c r="J35" s="320">
        <v>88.71</v>
      </c>
      <c r="K35" s="320">
        <v>43.37</v>
      </c>
      <c r="L35" s="320">
        <v>28.83</v>
      </c>
      <c r="M35" s="320">
        <v>0.6646</v>
      </c>
      <c r="N35" s="320">
        <v>0.5338</v>
      </c>
      <c r="O35" s="320">
        <v>0.3737</v>
      </c>
      <c r="P35" s="320">
        <v>1.5047</v>
      </c>
      <c r="Q35" s="320">
        <v>218.3</v>
      </c>
      <c r="R35" s="320">
        <v>159.19</v>
      </c>
      <c r="S35" s="320">
        <v>59.1</v>
      </c>
      <c r="T35" s="320">
        <v>2.64</v>
      </c>
      <c r="U35" s="320">
        <v>215.66</v>
      </c>
      <c r="V35" s="320">
        <v>200.36</v>
      </c>
      <c r="W35" s="320">
        <v>4.6192</v>
      </c>
      <c r="X35" s="320">
        <v>1.21</v>
      </c>
      <c r="Y35" s="320">
        <v>184.0</v>
      </c>
      <c r="Z35" s="320">
        <v>1214.0</v>
      </c>
      <c r="AA35" s="320">
        <v>7291.0</v>
      </c>
      <c r="AB35" s="320">
        <v>55.1454</v>
      </c>
      <c r="AC35" s="320">
        <v>0.6892</v>
      </c>
      <c r="AD35" s="320">
        <v>18.65</v>
      </c>
      <c r="AE35" s="320">
        <v>8.0</v>
      </c>
      <c r="AF35" s="320">
        <v>15.0</v>
      </c>
      <c r="AG35" s="320">
        <v>26.0</v>
      </c>
      <c r="AH35" s="320">
        <v>38.0</v>
      </c>
      <c r="AI35" s="320">
        <v>63.67</v>
      </c>
      <c r="AJ35" s="320">
        <v>25.91</v>
      </c>
      <c r="AK35" s="320">
        <v>6.66</v>
      </c>
      <c r="AL35" s="320">
        <v>0.1704</v>
      </c>
      <c r="AM35" s="320">
        <v>19.46</v>
      </c>
      <c r="AN35" s="320">
        <v>139.73</v>
      </c>
      <c r="AO35" s="320">
        <v>64.39</v>
      </c>
      <c r="AP35" s="320">
        <v>12.53</v>
      </c>
    </row>
    <row r="36">
      <c r="A36" s="319" t="s">
        <v>256</v>
      </c>
      <c r="B36" s="328">
        <v>46055.0</v>
      </c>
      <c r="C36" s="319" t="s">
        <v>217</v>
      </c>
      <c r="D36" s="320">
        <v>7064.0</v>
      </c>
      <c r="E36" s="320">
        <v>6.06</v>
      </c>
      <c r="F36" s="320">
        <v>0.0</v>
      </c>
      <c r="G36" s="320">
        <v>0.0</v>
      </c>
      <c r="H36" s="320">
        <v>0.0</v>
      </c>
      <c r="I36" s="329"/>
      <c r="J36" s="320">
        <v>145.09</v>
      </c>
      <c r="K36" s="320">
        <v>76.58</v>
      </c>
      <c r="L36" s="320">
        <v>62.29</v>
      </c>
      <c r="M36" s="320">
        <v>0.8134</v>
      </c>
      <c r="N36" s="320">
        <v>0.3766</v>
      </c>
      <c r="O36" s="320">
        <v>0.2767</v>
      </c>
      <c r="P36" s="320">
        <v>1.2293</v>
      </c>
      <c r="Q36" s="320">
        <v>414.3</v>
      </c>
      <c r="R36" s="320">
        <v>298.34</v>
      </c>
      <c r="S36" s="320">
        <v>115.96</v>
      </c>
      <c r="T36" s="320">
        <v>3.03</v>
      </c>
      <c r="U36" s="320">
        <v>411.28</v>
      </c>
      <c r="V36" s="320">
        <v>407.45</v>
      </c>
      <c r="W36" s="320">
        <v>5.321</v>
      </c>
      <c r="X36" s="320">
        <v>0.73</v>
      </c>
      <c r="Y36" s="320">
        <v>418.0</v>
      </c>
      <c r="Z36" s="320">
        <v>3026.0</v>
      </c>
      <c r="AA36" s="320">
        <v>12667.0</v>
      </c>
      <c r="AB36" s="320">
        <v>58.723</v>
      </c>
      <c r="AC36" s="320">
        <v>0.7152</v>
      </c>
      <c r="AD36" s="320">
        <v>38.8</v>
      </c>
      <c r="AE36" s="320">
        <v>17.0</v>
      </c>
      <c r="AF36" s="320">
        <v>33.0</v>
      </c>
      <c r="AG36" s="320">
        <v>49.0</v>
      </c>
      <c r="AH36" s="320">
        <v>78.0</v>
      </c>
      <c r="AI36" s="320">
        <v>58.22</v>
      </c>
      <c r="AJ36" s="320">
        <v>18.33</v>
      </c>
      <c r="AK36" s="320">
        <v>4.74</v>
      </c>
      <c r="AL36" s="320">
        <v>0.1183</v>
      </c>
      <c r="AM36" s="320">
        <v>20.7</v>
      </c>
      <c r="AN36" s="320">
        <v>277.64</v>
      </c>
      <c r="AO36" s="320">
        <v>62.61</v>
      </c>
      <c r="AP36" s="320">
        <v>12.96</v>
      </c>
    </row>
    <row r="37">
      <c r="A37" s="319" t="s">
        <v>256</v>
      </c>
      <c r="B37" s="328">
        <v>46055.0</v>
      </c>
      <c r="C37" s="319" t="s">
        <v>218</v>
      </c>
      <c r="D37" s="320">
        <v>682.0</v>
      </c>
      <c r="E37" s="320">
        <v>0.59</v>
      </c>
      <c r="F37" s="320">
        <v>0.0</v>
      </c>
      <c r="G37" s="320">
        <v>0.0</v>
      </c>
      <c r="H37" s="320">
        <v>0.0</v>
      </c>
      <c r="I37" s="329"/>
      <c r="J37" s="320">
        <v>254.56</v>
      </c>
      <c r="K37" s="320">
        <v>150.49</v>
      </c>
      <c r="L37" s="320">
        <v>131.64</v>
      </c>
      <c r="M37" s="320">
        <v>0.8747</v>
      </c>
      <c r="N37" s="320">
        <v>0.2704</v>
      </c>
      <c r="O37" s="320">
        <v>0.2017</v>
      </c>
      <c r="P37" s="320">
        <v>1.1432</v>
      </c>
      <c r="Q37" s="320">
        <v>757.61</v>
      </c>
      <c r="R37" s="320">
        <v>479.55</v>
      </c>
      <c r="S37" s="320">
        <v>278.06</v>
      </c>
      <c r="T37" s="320">
        <v>0.0</v>
      </c>
      <c r="U37" s="320">
        <v>757.61</v>
      </c>
      <c r="V37" s="320">
        <v>677.49</v>
      </c>
      <c r="W37" s="320">
        <v>4.5019</v>
      </c>
      <c r="X37" s="320">
        <v>0.0</v>
      </c>
      <c r="Y37" s="320">
        <v>1047.0</v>
      </c>
      <c r="Z37" s="320">
        <v>4599.0</v>
      </c>
      <c r="AA37" s="320">
        <v>11684.0</v>
      </c>
      <c r="AB37" s="320">
        <v>63.6232</v>
      </c>
      <c r="AC37" s="320">
        <v>0.889</v>
      </c>
      <c r="AD37" s="320">
        <v>91.37</v>
      </c>
      <c r="AE37" s="320">
        <v>39.0</v>
      </c>
      <c r="AF37" s="320">
        <v>78.0</v>
      </c>
      <c r="AG37" s="320">
        <v>131.0</v>
      </c>
      <c r="AH37" s="320">
        <v>186.0</v>
      </c>
      <c r="AI37" s="320">
        <v>48.68</v>
      </c>
      <c r="AJ37" s="320">
        <v>11.73</v>
      </c>
      <c r="AK37" s="320">
        <v>1.17</v>
      </c>
      <c r="AL37" s="320">
        <v>0.0748</v>
      </c>
      <c r="AM37" s="320">
        <v>22.24</v>
      </c>
      <c r="AN37" s="320">
        <v>457.31</v>
      </c>
      <c r="AO37" s="320">
        <v>72.37</v>
      </c>
      <c r="AP37" s="320">
        <v>16.1</v>
      </c>
    </row>
    <row r="38">
      <c r="A38" s="319" t="s">
        <v>256</v>
      </c>
      <c r="B38" s="328">
        <v>46056.0</v>
      </c>
      <c r="C38" s="319" t="s">
        <v>257</v>
      </c>
      <c r="D38" s="320">
        <v>20353.0</v>
      </c>
      <c r="E38" s="320">
        <v>17.52</v>
      </c>
      <c r="F38" s="320">
        <v>0.0</v>
      </c>
      <c r="G38" s="320">
        <v>0.0</v>
      </c>
      <c r="H38" s="320">
        <v>0.0</v>
      </c>
      <c r="I38" s="329"/>
      <c r="J38" s="320">
        <v>6.14</v>
      </c>
      <c r="K38" s="320">
        <v>2.43</v>
      </c>
      <c r="L38" s="320">
        <v>0.11</v>
      </c>
      <c r="M38" s="320">
        <v>0.0465</v>
      </c>
      <c r="N38" s="320">
        <v>0.9596</v>
      </c>
      <c r="O38" s="320">
        <v>0.6392</v>
      </c>
      <c r="P38" s="320">
        <v>21.5126</v>
      </c>
      <c r="Q38" s="320">
        <v>34.74</v>
      </c>
      <c r="R38" s="320">
        <v>34.51</v>
      </c>
      <c r="S38" s="320">
        <v>0.24</v>
      </c>
      <c r="T38" s="320">
        <v>0.01</v>
      </c>
      <c r="U38" s="320">
        <v>34.73</v>
      </c>
      <c r="V38" s="320">
        <v>2.28</v>
      </c>
      <c r="W38" s="320">
        <v>0.9376</v>
      </c>
      <c r="X38" s="320">
        <v>0.03</v>
      </c>
      <c r="Y38" s="320">
        <v>332.0</v>
      </c>
      <c r="Z38" s="320">
        <v>3296.0</v>
      </c>
      <c r="AA38" s="320">
        <v>13708.0</v>
      </c>
      <c r="AB38" s="320">
        <v>48.8555</v>
      </c>
      <c r="AC38" s="320">
        <v>0.543</v>
      </c>
      <c r="AD38" s="329"/>
      <c r="AE38" s="329"/>
      <c r="AF38" s="329"/>
      <c r="AG38" s="329"/>
      <c r="AH38" s="329"/>
      <c r="AI38" s="320">
        <v>0.0</v>
      </c>
      <c r="AJ38" s="320">
        <v>0.0</v>
      </c>
      <c r="AK38" s="320">
        <v>0.0</v>
      </c>
      <c r="AL38" s="320">
        <v>0.299</v>
      </c>
      <c r="AM38" s="320">
        <v>17.47</v>
      </c>
      <c r="AN38" s="320">
        <v>17.04</v>
      </c>
      <c r="AO38" s="329"/>
      <c r="AP38" s="329"/>
    </row>
    <row r="39">
      <c r="A39" s="319" t="s">
        <v>256</v>
      </c>
      <c r="B39" s="328">
        <v>46056.0</v>
      </c>
      <c r="C39" s="319" t="s">
        <v>214</v>
      </c>
      <c r="D39" s="320">
        <v>40664.0</v>
      </c>
      <c r="E39" s="320">
        <v>35.01</v>
      </c>
      <c r="F39" s="320">
        <v>0.0</v>
      </c>
      <c r="G39" s="320">
        <v>0.0</v>
      </c>
      <c r="H39" s="320">
        <v>0.0</v>
      </c>
      <c r="I39" s="329"/>
      <c r="J39" s="320">
        <v>31.29</v>
      </c>
      <c r="K39" s="320">
        <v>14.05</v>
      </c>
      <c r="L39" s="320">
        <v>6.06</v>
      </c>
      <c r="M39" s="320">
        <v>0.4314</v>
      </c>
      <c r="N39" s="320">
        <v>0.7372</v>
      </c>
      <c r="O39" s="320">
        <v>0.5306</v>
      </c>
      <c r="P39" s="320">
        <v>2.3179</v>
      </c>
      <c r="Q39" s="320">
        <v>81.01</v>
      </c>
      <c r="R39" s="320">
        <v>68.08</v>
      </c>
      <c r="S39" s="320">
        <v>12.93</v>
      </c>
      <c r="T39" s="320">
        <v>2.13</v>
      </c>
      <c r="U39" s="320">
        <v>78.88</v>
      </c>
      <c r="V39" s="320">
        <v>58.61</v>
      </c>
      <c r="W39" s="320">
        <v>4.1714</v>
      </c>
      <c r="X39" s="320">
        <v>2.62</v>
      </c>
      <c r="Y39" s="320">
        <v>170.0</v>
      </c>
      <c r="Z39" s="320">
        <v>916.0</v>
      </c>
      <c r="AA39" s="320">
        <v>5827.0</v>
      </c>
      <c r="AB39" s="320">
        <v>48.4212</v>
      </c>
      <c r="AC39" s="320">
        <v>0.5321</v>
      </c>
      <c r="AD39" s="320">
        <v>4.42</v>
      </c>
      <c r="AE39" s="320">
        <v>2.0</v>
      </c>
      <c r="AF39" s="320">
        <v>3.0</v>
      </c>
      <c r="AG39" s="320">
        <v>6.0</v>
      </c>
      <c r="AH39" s="320">
        <v>10.0</v>
      </c>
      <c r="AI39" s="320">
        <v>75.49</v>
      </c>
      <c r="AJ39" s="320">
        <v>34.61</v>
      </c>
      <c r="AK39" s="320">
        <v>11.27</v>
      </c>
      <c r="AL39" s="320">
        <v>0.2499</v>
      </c>
      <c r="AM39" s="320">
        <v>20.11</v>
      </c>
      <c r="AN39" s="320">
        <v>47.97</v>
      </c>
      <c r="AO39" s="320">
        <v>64.28</v>
      </c>
      <c r="AP39" s="320">
        <v>12.93</v>
      </c>
    </row>
    <row r="40">
      <c r="A40" s="319" t="s">
        <v>256</v>
      </c>
      <c r="B40" s="328">
        <v>46056.0</v>
      </c>
      <c r="C40" s="319" t="s">
        <v>215</v>
      </c>
      <c r="D40" s="320">
        <v>30697.0</v>
      </c>
      <c r="E40" s="320">
        <v>26.43</v>
      </c>
      <c r="F40" s="320">
        <v>0.0</v>
      </c>
      <c r="G40" s="320">
        <v>0.0</v>
      </c>
      <c r="H40" s="320">
        <v>0.0</v>
      </c>
      <c r="I40" s="329"/>
      <c r="J40" s="320">
        <v>60.17</v>
      </c>
      <c r="K40" s="320">
        <v>28.42</v>
      </c>
      <c r="L40" s="320">
        <v>16.12</v>
      </c>
      <c r="M40" s="320">
        <v>0.5671</v>
      </c>
      <c r="N40" s="320">
        <v>0.6248</v>
      </c>
      <c r="O40" s="320">
        <v>0.4283</v>
      </c>
      <c r="P40" s="320">
        <v>1.7633</v>
      </c>
      <c r="Q40" s="320">
        <v>151.51</v>
      </c>
      <c r="R40" s="320">
        <v>118.7</v>
      </c>
      <c r="S40" s="320">
        <v>32.81</v>
      </c>
      <c r="T40" s="320">
        <v>4.81</v>
      </c>
      <c r="U40" s="320">
        <v>146.7</v>
      </c>
      <c r="V40" s="320">
        <v>119.99</v>
      </c>
      <c r="W40" s="320">
        <v>4.2221</v>
      </c>
      <c r="X40" s="320">
        <v>3.18</v>
      </c>
      <c r="Y40" s="320">
        <v>155.0</v>
      </c>
      <c r="Z40" s="320">
        <v>827.0</v>
      </c>
      <c r="AA40" s="320">
        <v>6031.0</v>
      </c>
      <c r="AB40" s="320">
        <v>51.8958</v>
      </c>
      <c r="AC40" s="320">
        <v>0.6068</v>
      </c>
      <c r="AD40" s="320">
        <v>10.65</v>
      </c>
      <c r="AE40" s="320">
        <v>4.0</v>
      </c>
      <c r="AF40" s="320">
        <v>9.0</v>
      </c>
      <c r="AG40" s="320">
        <v>15.0</v>
      </c>
      <c r="AH40" s="320">
        <v>22.0</v>
      </c>
      <c r="AI40" s="320">
        <v>66.81</v>
      </c>
      <c r="AJ40" s="320">
        <v>32.0</v>
      </c>
      <c r="AK40" s="320">
        <v>6.39</v>
      </c>
      <c r="AL40" s="320">
        <v>0.1816</v>
      </c>
      <c r="AM40" s="320">
        <v>22.92</v>
      </c>
      <c r="AN40" s="320">
        <v>95.78</v>
      </c>
      <c r="AO40" s="320">
        <v>73.1</v>
      </c>
      <c r="AP40" s="320">
        <v>16.75</v>
      </c>
    </row>
    <row r="41">
      <c r="A41" s="319" t="s">
        <v>256</v>
      </c>
      <c r="B41" s="328">
        <v>46056.0</v>
      </c>
      <c r="C41" s="319" t="s">
        <v>216</v>
      </c>
      <c r="D41" s="320">
        <v>17438.0</v>
      </c>
      <c r="E41" s="320">
        <v>15.01</v>
      </c>
      <c r="F41" s="320">
        <v>0.0</v>
      </c>
      <c r="G41" s="320">
        <v>0.0</v>
      </c>
      <c r="H41" s="320">
        <v>0.0</v>
      </c>
      <c r="I41" s="329"/>
      <c r="J41" s="320">
        <v>90.5</v>
      </c>
      <c r="K41" s="320">
        <v>45.69</v>
      </c>
      <c r="L41" s="320">
        <v>31.95</v>
      </c>
      <c r="M41" s="320">
        <v>0.6992</v>
      </c>
      <c r="N41" s="320">
        <v>0.4915</v>
      </c>
      <c r="O41" s="320">
        <v>0.3379</v>
      </c>
      <c r="P41" s="320">
        <v>1.4301</v>
      </c>
      <c r="Q41" s="320">
        <v>263.75</v>
      </c>
      <c r="R41" s="320">
        <v>202.31</v>
      </c>
      <c r="S41" s="320">
        <v>61.44</v>
      </c>
      <c r="T41" s="320">
        <v>3.49</v>
      </c>
      <c r="U41" s="320">
        <v>260.26</v>
      </c>
      <c r="V41" s="320">
        <v>208.1</v>
      </c>
      <c r="W41" s="320">
        <v>4.5546</v>
      </c>
      <c r="X41" s="320">
        <v>1.32</v>
      </c>
      <c r="Y41" s="320">
        <v>212.0</v>
      </c>
      <c r="Z41" s="320">
        <v>1197.0</v>
      </c>
      <c r="AA41" s="320">
        <v>7408.0</v>
      </c>
      <c r="AB41" s="320">
        <v>55.0984</v>
      </c>
      <c r="AC41" s="320">
        <v>0.6905</v>
      </c>
      <c r="AD41" s="320">
        <v>19.63</v>
      </c>
      <c r="AE41" s="320">
        <v>9.0</v>
      </c>
      <c r="AF41" s="320">
        <v>16.0</v>
      </c>
      <c r="AG41" s="320">
        <v>27.0</v>
      </c>
      <c r="AH41" s="320">
        <v>39.0</v>
      </c>
      <c r="AI41" s="320">
        <v>66.42</v>
      </c>
      <c r="AJ41" s="320">
        <v>27.08</v>
      </c>
      <c r="AK41" s="320">
        <v>8.25</v>
      </c>
      <c r="AL41" s="320">
        <v>0.1668</v>
      </c>
      <c r="AM41" s="320">
        <v>25.0</v>
      </c>
      <c r="AN41" s="320">
        <v>177.32</v>
      </c>
      <c r="AO41" s="320">
        <v>74.33</v>
      </c>
      <c r="AP41" s="320">
        <v>18.58</v>
      </c>
    </row>
    <row r="42">
      <c r="A42" s="319" t="s">
        <v>256</v>
      </c>
      <c r="B42" s="328">
        <v>46056.0</v>
      </c>
      <c r="C42" s="319" t="s">
        <v>217</v>
      </c>
      <c r="D42" s="320">
        <v>6289.0</v>
      </c>
      <c r="E42" s="320">
        <v>5.41</v>
      </c>
      <c r="F42" s="320">
        <v>0.0</v>
      </c>
      <c r="G42" s="320">
        <v>0.0</v>
      </c>
      <c r="H42" s="320">
        <v>0.0</v>
      </c>
      <c r="I42" s="329"/>
      <c r="J42" s="320">
        <v>135.59</v>
      </c>
      <c r="K42" s="320">
        <v>73.52</v>
      </c>
      <c r="L42" s="320">
        <v>59.17</v>
      </c>
      <c r="M42" s="320">
        <v>0.8049</v>
      </c>
      <c r="N42" s="320">
        <v>0.3747</v>
      </c>
      <c r="O42" s="320">
        <v>0.2698</v>
      </c>
      <c r="P42" s="320">
        <v>1.2424</v>
      </c>
      <c r="Q42" s="320">
        <v>525.89</v>
      </c>
      <c r="R42" s="320">
        <v>401.35</v>
      </c>
      <c r="S42" s="320">
        <v>124.54</v>
      </c>
      <c r="T42" s="320">
        <v>9.67</v>
      </c>
      <c r="U42" s="320">
        <v>516.22</v>
      </c>
      <c r="V42" s="320">
        <v>395.09</v>
      </c>
      <c r="W42" s="320">
        <v>5.374</v>
      </c>
      <c r="X42" s="320">
        <v>1.84</v>
      </c>
      <c r="Y42" s="320">
        <v>465.0</v>
      </c>
      <c r="Z42" s="320">
        <v>2646.0</v>
      </c>
      <c r="AA42" s="320">
        <v>9954.0</v>
      </c>
      <c r="AB42" s="320">
        <v>59.3707</v>
      </c>
      <c r="AC42" s="320">
        <v>0.826</v>
      </c>
      <c r="AD42" s="320">
        <v>41.32</v>
      </c>
      <c r="AE42" s="320">
        <v>18.0</v>
      </c>
      <c r="AF42" s="320">
        <v>34.0</v>
      </c>
      <c r="AG42" s="320">
        <v>56.0</v>
      </c>
      <c r="AH42" s="320">
        <v>83.0</v>
      </c>
      <c r="AI42" s="320">
        <v>59.1</v>
      </c>
      <c r="AJ42" s="320">
        <v>22.28</v>
      </c>
      <c r="AK42" s="320">
        <v>5.53</v>
      </c>
      <c r="AL42" s="320">
        <v>0.1404</v>
      </c>
      <c r="AM42" s="320">
        <v>26.57</v>
      </c>
      <c r="AN42" s="320">
        <v>374.77</v>
      </c>
      <c r="AO42" s="320">
        <v>81.14</v>
      </c>
      <c r="AP42" s="320">
        <v>21.56</v>
      </c>
    </row>
    <row r="43">
      <c r="A43" s="319" t="s">
        <v>256</v>
      </c>
      <c r="B43" s="328">
        <v>46056.0</v>
      </c>
      <c r="C43" s="319" t="s">
        <v>218</v>
      </c>
      <c r="D43" s="320">
        <v>707.0</v>
      </c>
      <c r="E43" s="320">
        <v>0.61</v>
      </c>
      <c r="F43" s="320">
        <v>0.0</v>
      </c>
      <c r="G43" s="320">
        <v>0.0</v>
      </c>
      <c r="H43" s="320">
        <v>0.0</v>
      </c>
      <c r="I43" s="329"/>
      <c r="J43" s="320">
        <v>247.72</v>
      </c>
      <c r="K43" s="320">
        <v>147.73</v>
      </c>
      <c r="L43" s="320">
        <v>130.5</v>
      </c>
      <c r="M43" s="320">
        <v>0.8833</v>
      </c>
      <c r="N43" s="320">
        <v>0.2629</v>
      </c>
      <c r="O43" s="320">
        <v>0.1989</v>
      </c>
      <c r="P43" s="320">
        <v>1.1321</v>
      </c>
      <c r="Q43" s="320">
        <v>1077.26</v>
      </c>
      <c r="R43" s="320">
        <v>800.39</v>
      </c>
      <c r="S43" s="320">
        <v>276.87</v>
      </c>
      <c r="T43" s="320">
        <v>0.0</v>
      </c>
      <c r="U43" s="320">
        <v>1077.26</v>
      </c>
      <c r="V43" s="320">
        <v>746.82</v>
      </c>
      <c r="W43" s="320">
        <v>5.0553</v>
      </c>
      <c r="X43" s="320">
        <v>0.0</v>
      </c>
      <c r="Y43" s="320">
        <v>1239.0</v>
      </c>
      <c r="Z43" s="320">
        <v>4393.0</v>
      </c>
      <c r="AA43" s="320">
        <v>11265.0</v>
      </c>
      <c r="AB43" s="320">
        <v>63.2713</v>
      </c>
      <c r="AC43" s="320">
        <v>0.8914</v>
      </c>
      <c r="AD43" s="320">
        <v>92.65</v>
      </c>
      <c r="AE43" s="320">
        <v>44.0</v>
      </c>
      <c r="AF43" s="320">
        <v>80.0</v>
      </c>
      <c r="AG43" s="320">
        <v>129.0</v>
      </c>
      <c r="AH43" s="320">
        <v>184.0</v>
      </c>
      <c r="AI43" s="320">
        <v>49.93</v>
      </c>
      <c r="AJ43" s="320">
        <v>11.6</v>
      </c>
      <c r="AK43" s="320">
        <v>1.7</v>
      </c>
      <c r="AL43" s="320">
        <v>0.0976</v>
      </c>
      <c r="AM43" s="320">
        <v>25.72</v>
      </c>
      <c r="AN43" s="320">
        <v>774.67</v>
      </c>
      <c r="AO43" s="320">
        <v>85.01</v>
      </c>
      <c r="AP43" s="320">
        <v>21.86</v>
      </c>
    </row>
    <row r="44">
      <c r="A44" s="319" t="s">
        <v>256</v>
      </c>
      <c r="B44" s="328">
        <v>46057.0</v>
      </c>
      <c r="C44" s="319" t="s">
        <v>257</v>
      </c>
      <c r="D44" s="320">
        <v>20957.0</v>
      </c>
      <c r="E44" s="320">
        <v>18.36</v>
      </c>
      <c r="F44" s="320">
        <v>0.0</v>
      </c>
      <c r="G44" s="320">
        <v>0.0</v>
      </c>
      <c r="H44" s="320">
        <v>0.0</v>
      </c>
      <c r="I44" s="329"/>
      <c r="J44" s="320">
        <v>6.56</v>
      </c>
      <c r="K44" s="320">
        <v>2.66</v>
      </c>
      <c r="L44" s="320">
        <v>0.06</v>
      </c>
      <c r="M44" s="320">
        <v>0.022</v>
      </c>
      <c r="N44" s="320">
        <v>0.9822</v>
      </c>
      <c r="O44" s="320">
        <v>0.7937</v>
      </c>
      <c r="P44" s="320">
        <v>45.5568</v>
      </c>
      <c r="Q44" s="320">
        <v>24.75</v>
      </c>
      <c r="R44" s="320">
        <v>24.6</v>
      </c>
      <c r="S44" s="320">
        <v>0.16</v>
      </c>
      <c r="T44" s="320">
        <v>0.04</v>
      </c>
      <c r="U44" s="320">
        <v>24.72</v>
      </c>
      <c r="V44" s="320">
        <v>2.03</v>
      </c>
      <c r="W44" s="320">
        <v>0.7628</v>
      </c>
      <c r="X44" s="320">
        <v>0.15</v>
      </c>
      <c r="Y44" s="320">
        <v>315.0</v>
      </c>
      <c r="Z44" s="320">
        <v>3352.0</v>
      </c>
      <c r="AA44" s="320">
        <v>13719.0</v>
      </c>
      <c r="AB44" s="320">
        <v>48.8978</v>
      </c>
      <c r="AC44" s="320">
        <v>0.5439</v>
      </c>
      <c r="AD44" s="329"/>
      <c r="AE44" s="329"/>
      <c r="AF44" s="329"/>
      <c r="AG44" s="329"/>
      <c r="AH44" s="329"/>
      <c r="AI44" s="320">
        <v>0.0</v>
      </c>
      <c r="AJ44" s="320">
        <v>0.0</v>
      </c>
      <c r="AK44" s="320">
        <v>0.0</v>
      </c>
      <c r="AL44" s="320">
        <v>0.2926</v>
      </c>
      <c r="AM44" s="320">
        <v>16.01</v>
      </c>
      <c r="AN44" s="320">
        <v>8.59</v>
      </c>
      <c r="AO44" s="329"/>
      <c r="AP44" s="329"/>
    </row>
    <row r="45">
      <c r="A45" s="319" t="s">
        <v>256</v>
      </c>
      <c r="B45" s="328">
        <v>46057.0</v>
      </c>
      <c r="C45" s="319" t="s">
        <v>214</v>
      </c>
      <c r="D45" s="320">
        <v>39718.0</v>
      </c>
      <c r="E45" s="320">
        <v>34.8</v>
      </c>
      <c r="F45" s="320">
        <v>0.0</v>
      </c>
      <c r="G45" s="320">
        <v>0.0</v>
      </c>
      <c r="H45" s="320">
        <v>0.0</v>
      </c>
      <c r="I45" s="329"/>
      <c r="J45" s="320">
        <v>31.07</v>
      </c>
      <c r="K45" s="320">
        <v>14.16</v>
      </c>
      <c r="L45" s="320">
        <v>5.86</v>
      </c>
      <c r="M45" s="320">
        <v>0.4137</v>
      </c>
      <c r="N45" s="320">
        <v>0.7495</v>
      </c>
      <c r="O45" s="320">
        <v>0.5376</v>
      </c>
      <c r="P45" s="320">
        <v>2.4171</v>
      </c>
      <c r="Q45" s="320">
        <v>59.58</v>
      </c>
      <c r="R45" s="320">
        <v>47.1</v>
      </c>
      <c r="S45" s="320">
        <v>12.48</v>
      </c>
      <c r="T45" s="320">
        <v>1.59</v>
      </c>
      <c r="U45" s="320">
        <v>57.99</v>
      </c>
      <c r="V45" s="320">
        <v>55.25</v>
      </c>
      <c r="W45" s="320">
        <v>3.9022</v>
      </c>
      <c r="X45" s="320">
        <v>2.67</v>
      </c>
      <c r="Y45" s="320">
        <v>159.0</v>
      </c>
      <c r="Z45" s="320">
        <v>918.0</v>
      </c>
      <c r="AA45" s="320">
        <v>5847.0</v>
      </c>
      <c r="AB45" s="320">
        <v>48.4253</v>
      </c>
      <c r="AC45" s="320">
        <v>0.5373</v>
      </c>
      <c r="AD45" s="320">
        <v>4.25</v>
      </c>
      <c r="AE45" s="320">
        <v>1.0</v>
      </c>
      <c r="AF45" s="320">
        <v>3.0</v>
      </c>
      <c r="AG45" s="320">
        <v>6.0</v>
      </c>
      <c r="AH45" s="320">
        <v>9.0</v>
      </c>
      <c r="AI45" s="320">
        <v>74.54</v>
      </c>
      <c r="AJ45" s="320">
        <v>33.5</v>
      </c>
      <c r="AK45" s="320">
        <v>9.98</v>
      </c>
      <c r="AL45" s="320">
        <v>0.2554</v>
      </c>
      <c r="AM45" s="320">
        <v>19.12</v>
      </c>
      <c r="AN45" s="320">
        <v>27.98</v>
      </c>
      <c r="AO45" s="320">
        <v>64.54</v>
      </c>
      <c r="AP45" s="320">
        <v>12.34</v>
      </c>
    </row>
    <row r="46">
      <c r="A46" s="319" t="s">
        <v>256</v>
      </c>
      <c r="B46" s="328">
        <v>46057.0</v>
      </c>
      <c r="C46" s="319" t="s">
        <v>215</v>
      </c>
      <c r="D46" s="320">
        <v>30058.0</v>
      </c>
      <c r="E46" s="320">
        <v>26.33</v>
      </c>
      <c r="F46" s="320">
        <v>0.0</v>
      </c>
      <c r="G46" s="320">
        <v>0.0</v>
      </c>
      <c r="H46" s="320">
        <v>0.0</v>
      </c>
      <c r="I46" s="329"/>
      <c r="J46" s="320">
        <v>58.88</v>
      </c>
      <c r="K46" s="320">
        <v>28.1</v>
      </c>
      <c r="L46" s="320">
        <v>15.16</v>
      </c>
      <c r="M46" s="320">
        <v>0.5397</v>
      </c>
      <c r="N46" s="320">
        <v>0.6435</v>
      </c>
      <c r="O46" s="320">
        <v>0.4368</v>
      </c>
      <c r="P46" s="320">
        <v>1.8529</v>
      </c>
      <c r="Q46" s="320">
        <v>97.04</v>
      </c>
      <c r="R46" s="320">
        <v>66.8</v>
      </c>
      <c r="S46" s="320">
        <v>30.25</v>
      </c>
      <c r="T46" s="320">
        <v>1.92</v>
      </c>
      <c r="U46" s="320">
        <v>95.13</v>
      </c>
      <c r="V46" s="320">
        <v>99.97</v>
      </c>
      <c r="W46" s="320">
        <v>3.5581</v>
      </c>
      <c r="X46" s="320">
        <v>1.98</v>
      </c>
      <c r="Y46" s="320">
        <v>133.0</v>
      </c>
      <c r="Z46" s="320">
        <v>764.0</v>
      </c>
      <c r="AA46" s="320">
        <v>5517.0</v>
      </c>
      <c r="AB46" s="320">
        <v>51.9535</v>
      </c>
      <c r="AC46" s="320">
        <v>0.6194</v>
      </c>
      <c r="AD46" s="320">
        <v>9.63</v>
      </c>
      <c r="AE46" s="320">
        <v>4.0</v>
      </c>
      <c r="AF46" s="320">
        <v>8.0</v>
      </c>
      <c r="AG46" s="320">
        <v>13.0</v>
      </c>
      <c r="AH46" s="320">
        <v>20.0</v>
      </c>
      <c r="AI46" s="320">
        <v>62.1</v>
      </c>
      <c r="AJ46" s="320">
        <v>27.4</v>
      </c>
      <c r="AK46" s="320">
        <v>4.74</v>
      </c>
      <c r="AL46" s="320">
        <v>0.1888</v>
      </c>
      <c r="AM46" s="320">
        <v>20.26</v>
      </c>
      <c r="AN46" s="320">
        <v>46.54</v>
      </c>
      <c r="AO46" s="320">
        <v>73.84</v>
      </c>
      <c r="AP46" s="320">
        <v>14.96</v>
      </c>
    </row>
    <row r="47">
      <c r="A47" s="319" t="s">
        <v>256</v>
      </c>
      <c r="B47" s="328">
        <v>46057.0</v>
      </c>
      <c r="C47" s="319" t="s">
        <v>216</v>
      </c>
      <c r="D47" s="320">
        <v>16515.0</v>
      </c>
      <c r="E47" s="320">
        <v>14.47</v>
      </c>
      <c r="F47" s="320">
        <v>0.0</v>
      </c>
      <c r="G47" s="320">
        <v>0.0</v>
      </c>
      <c r="H47" s="320">
        <v>0.0</v>
      </c>
      <c r="I47" s="329"/>
      <c r="J47" s="320">
        <v>82.93</v>
      </c>
      <c r="K47" s="320">
        <v>41.99</v>
      </c>
      <c r="L47" s="320">
        <v>27.14</v>
      </c>
      <c r="M47" s="320">
        <v>0.6463</v>
      </c>
      <c r="N47" s="320">
        <v>0.5354</v>
      </c>
      <c r="O47" s="320">
        <v>0.3626</v>
      </c>
      <c r="P47" s="320">
        <v>1.5472</v>
      </c>
      <c r="Q47" s="320">
        <v>154.2</v>
      </c>
      <c r="R47" s="320">
        <v>97.41</v>
      </c>
      <c r="S47" s="320">
        <v>56.79</v>
      </c>
      <c r="T47" s="320">
        <v>5.22</v>
      </c>
      <c r="U47" s="320">
        <v>148.98</v>
      </c>
      <c r="V47" s="320">
        <v>165.62</v>
      </c>
      <c r="W47" s="320">
        <v>3.9444</v>
      </c>
      <c r="X47" s="320">
        <v>3.39</v>
      </c>
      <c r="Y47" s="320">
        <v>155.0</v>
      </c>
      <c r="Z47" s="320">
        <v>1005.0</v>
      </c>
      <c r="AA47" s="320">
        <v>6199.0</v>
      </c>
      <c r="AB47" s="320">
        <v>55.3351</v>
      </c>
      <c r="AC47" s="320">
        <v>0.7427</v>
      </c>
      <c r="AD47" s="320">
        <v>18.0</v>
      </c>
      <c r="AE47" s="320">
        <v>8.0</v>
      </c>
      <c r="AF47" s="320">
        <v>14.0</v>
      </c>
      <c r="AG47" s="320">
        <v>25.0</v>
      </c>
      <c r="AH47" s="320">
        <v>37.0</v>
      </c>
      <c r="AI47" s="320">
        <v>60.84</v>
      </c>
      <c r="AJ47" s="320">
        <v>23.76</v>
      </c>
      <c r="AK47" s="320">
        <v>7.37</v>
      </c>
      <c r="AL47" s="320">
        <v>0.1752</v>
      </c>
      <c r="AM47" s="320">
        <v>21.01</v>
      </c>
      <c r="AN47" s="320">
        <v>76.41</v>
      </c>
      <c r="AO47" s="320">
        <v>77.27</v>
      </c>
      <c r="AP47" s="320">
        <v>16.23</v>
      </c>
    </row>
    <row r="48">
      <c r="A48" s="319" t="s">
        <v>256</v>
      </c>
      <c r="B48" s="328">
        <v>46057.0</v>
      </c>
      <c r="C48" s="319" t="s">
        <v>217</v>
      </c>
      <c r="D48" s="320">
        <v>6235.0</v>
      </c>
      <c r="E48" s="320">
        <v>5.46</v>
      </c>
      <c r="F48" s="320">
        <v>0.0</v>
      </c>
      <c r="G48" s="320">
        <v>0.0</v>
      </c>
      <c r="H48" s="320">
        <v>0.0</v>
      </c>
      <c r="I48" s="329"/>
      <c r="J48" s="320">
        <v>130.75</v>
      </c>
      <c r="K48" s="320">
        <v>70.72</v>
      </c>
      <c r="L48" s="320">
        <v>55.12</v>
      </c>
      <c r="M48" s="320">
        <v>0.7794</v>
      </c>
      <c r="N48" s="320">
        <v>0.3956</v>
      </c>
      <c r="O48" s="320">
        <v>0.2779</v>
      </c>
      <c r="P48" s="320">
        <v>1.283</v>
      </c>
      <c r="Q48" s="320">
        <v>272.36</v>
      </c>
      <c r="R48" s="320">
        <v>156.15</v>
      </c>
      <c r="S48" s="320">
        <v>116.21</v>
      </c>
      <c r="T48" s="320">
        <v>0.95</v>
      </c>
      <c r="U48" s="320">
        <v>271.41</v>
      </c>
      <c r="V48" s="320">
        <v>325.02</v>
      </c>
      <c r="W48" s="320">
        <v>4.5961</v>
      </c>
      <c r="X48" s="320">
        <v>0.35</v>
      </c>
      <c r="Y48" s="320">
        <v>343.0</v>
      </c>
      <c r="Z48" s="320">
        <v>2464.0</v>
      </c>
      <c r="AA48" s="320">
        <v>9444.0</v>
      </c>
      <c r="AB48" s="320">
        <v>59.4645</v>
      </c>
      <c r="AC48" s="320">
        <v>0.8485</v>
      </c>
      <c r="AD48" s="320">
        <v>37.78</v>
      </c>
      <c r="AE48" s="320">
        <v>15.0</v>
      </c>
      <c r="AF48" s="320">
        <v>29.0</v>
      </c>
      <c r="AG48" s="320">
        <v>52.0</v>
      </c>
      <c r="AH48" s="320">
        <v>81.0</v>
      </c>
      <c r="AI48" s="320">
        <v>52.16</v>
      </c>
      <c r="AJ48" s="320">
        <v>19.68</v>
      </c>
      <c r="AK48" s="320">
        <v>5.08</v>
      </c>
      <c r="AL48" s="320">
        <v>0.1331</v>
      </c>
      <c r="AM48" s="320">
        <v>21.92</v>
      </c>
      <c r="AN48" s="320">
        <v>134.23</v>
      </c>
      <c r="AO48" s="320">
        <v>81.37</v>
      </c>
      <c r="AP48" s="320">
        <v>17.84</v>
      </c>
    </row>
    <row r="49">
      <c r="A49" s="319" t="s">
        <v>256</v>
      </c>
      <c r="B49" s="328">
        <v>46057.0</v>
      </c>
      <c r="C49" s="319" t="s">
        <v>218</v>
      </c>
      <c r="D49" s="320">
        <v>665.0</v>
      </c>
      <c r="E49" s="320">
        <v>0.58</v>
      </c>
      <c r="F49" s="320">
        <v>0.0</v>
      </c>
      <c r="G49" s="320">
        <v>0.0</v>
      </c>
      <c r="H49" s="320">
        <v>0.0</v>
      </c>
      <c r="I49" s="329"/>
      <c r="J49" s="320">
        <v>241.64</v>
      </c>
      <c r="K49" s="320">
        <v>141.39</v>
      </c>
      <c r="L49" s="320">
        <v>122.62</v>
      </c>
      <c r="M49" s="320">
        <v>0.8673</v>
      </c>
      <c r="N49" s="320">
        <v>0.2789</v>
      </c>
      <c r="O49" s="320">
        <v>0.2043</v>
      </c>
      <c r="P49" s="320">
        <v>1.153</v>
      </c>
      <c r="Q49" s="320">
        <v>516.11</v>
      </c>
      <c r="R49" s="320">
        <v>256.61</v>
      </c>
      <c r="S49" s="320">
        <v>259.5</v>
      </c>
      <c r="T49" s="320">
        <v>0.08</v>
      </c>
      <c r="U49" s="320">
        <v>516.04</v>
      </c>
      <c r="V49" s="320">
        <v>660.45</v>
      </c>
      <c r="W49" s="320">
        <v>4.6711</v>
      </c>
      <c r="X49" s="320">
        <v>0.01</v>
      </c>
      <c r="Y49" s="320">
        <v>977.0</v>
      </c>
      <c r="Z49" s="320">
        <v>4215.0</v>
      </c>
      <c r="AA49" s="320">
        <v>10794.0</v>
      </c>
      <c r="AB49" s="320">
        <v>63.4224</v>
      </c>
      <c r="AC49" s="320">
        <v>0.9054</v>
      </c>
      <c r="AD49" s="320">
        <v>87.34</v>
      </c>
      <c r="AE49" s="320">
        <v>34.0</v>
      </c>
      <c r="AF49" s="320">
        <v>73.0</v>
      </c>
      <c r="AG49" s="320">
        <v>121.0</v>
      </c>
      <c r="AH49" s="320">
        <v>171.0</v>
      </c>
      <c r="AI49" s="320">
        <v>46.62</v>
      </c>
      <c r="AJ49" s="320">
        <v>9.62</v>
      </c>
      <c r="AK49" s="320">
        <v>1.95</v>
      </c>
      <c r="AL49" s="320">
        <v>0.0842</v>
      </c>
      <c r="AM49" s="320">
        <v>22.71</v>
      </c>
      <c r="AN49" s="320">
        <v>233.9</v>
      </c>
      <c r="AO49" s="320">
        <v>85.54</v>
      </c>
      <c r="AP49" s="320">
        <v>19.43</v>
      </c>
    </row>
    <row r="50">
      <c r="A50" s="319" t="s">
        <v>256</v>
      </c>
      <c r="B50" s="328">
        <v>46058.0</v>
      </c>
      <c r="C50" s="319" t="s">
        <v>257</v>
      </c>
      <c r="D50" s="320">
        <v>21570.0</v>
      </c>
      <c r="E50" s="320">
        <v>19.13</v>
      </c>
      <c r="F50" s="320">
        <v>0.0</v>
      </c>
      <c r="G50" s="320">
        <v>0.0</v>
      </c>
      <c r="H50" s="320">
        <v>0.0</v>
      </c>
      <c r="I50" s="329"/>
      <c r="J50" s="320">
        <v>6.17</v>
      </c>
      <c r="K50" s="320">
        <v>2.54</v>
      </c>
      <c r="L50" s="320">
        <v>0.04</v>
      </c>
      <c r="M50" s="320">
        <v>0.0138</v>
      </c>
      <c r="N50" s="320">
        <v>0.9888</v>
      </c>
      <c r="O50" s="320">
        <v>0.8534</v>
      </c>
      <c r="P50" s="320">
        <v>72.2427</v>
      </c>
      <c r="Q50" s="320">
        <v>23.2</v>
      </c>
      <c r="R50" s="320">
        <v>23.06</v>
      </c>
      <c r="S50" s="320">
        <v>0.14</v>
      </c>
      <c r="T50" s="320">
        <v>0.0</v>
      </c>
      <c r="U50" s="320">
        <v>23.2</v>
      </c>
      <c r="V50" s="320">
        <v>2.03</v>
      </c>
      <c r="W50" s="320">
        <v>0.8008</v>
      </c>
      <c r="X50" s="320">
        <v>0.0</v>
      </c>
      <c r="Y50" s="320">
        <v>292.0</v>
      </c>
      <c r="Z50" s="320">
        <v>3096.0</v>
      </c>
      <c r="AA50" s="320">
        <v>13183.0</v>
      </c>
      <c r="AB50" s="320">
        <v>48.7857</v>
      </c>
      <c r="AC50" s="320">
        <v>0.5427</v>
      </c>
      <c r="AD50" s="329"/>
      <c r="AE50" s="329"/>
      <c r="AF50" s="329"/>
      <c r="AG50" s="329"/>
      <c r="AH50" s="329"/>
      <c r="AI50" s="320">
        <v>0.0</v>
      </c>
      <c r="AJ50" s="320">
        <v>0.0</v>
      </c>
      <c r="AK50" s="320">
        <v>0.0</v>
      </c>
      <c r="AL50" s="320">
        <v>0.2986</v>
      </c>
      <c r="AM50" s="320">
        <v>16.5</v>
      </c>
      <c r="AN50" s="320">
        <v>6.55</v>
      </c>
      <c r="AO50" s="329"/>
      <c r="AP50" s="329"/>
    </row>
    <row r="51">
      <c r="A51" s="319" t="s">
        <v>256</v>
      </c>
      <c r="B51" s="328">
        <v>46058.0</v>
      </c>
      <c r="C51" s="319" t="s">
        <v>214</v>
      </c>
      <c r="D51" s="320">
        <v>38981.0</v>
      </c>
      <c r="E51" s="320">
        <v>34.57</v>
      </c>
      <c r="F51" s="320">
        <v>0.0</v>
      </c>
      <c r="G51" s="320">
        <v>0.0</v>
      </c>
      <c r="H51" s="320">
        <v>0.0</v>
      </c>
      <c r="I51" s="329"/>
      <c r="J51" s="320">
        <v>28.65</v>
      </c>
      <c r="K51" s="320">
        <v>12.92</v>
      </c>
      <c r="L51" s="320">
        <v>5.54</v>
      </c>
      <c r="M51" s="320">
        <v>0.4287</v>
      </c>
      <c r="N51" s="320">
        <v>0.7415</v>
      </c>
      <c r="O51" s="320">
        <v>0.5381</v>
      </c>
      <c r="P51" s="320">
        <v>2.3324</v>
      </c>
      <c r="Q51" s="320">
        <v>51.98</v>
      </c>
      <c r="R51" s="320">
        <v>40.15</v>
      </c>
      <c r="S51" s="320">
        <v>11.83</v>
      </c>
      <c r="T51" s="320">
        <v>1.16</v>
      </c>
      <c r="U51" s="320">
        <v>50.82</v>
      </c>
      <c r="V51" s="320">
        <v>52.31</v>
      </c>
      <c r="W51" s="320">
        <v>4.0491</v>
      </c>
      <c r="X51" s="320">
        <v>2.23</v>
      </c>
      <c r="Y51" s="320">
        <v>155.0</v>
      </c>
      <c r="Z51" s="320">
        <v>943.0</v>
      </c>
      <c r="AA51" s="320">
        <v>5968.0</v>
      </c>
      <c r="AB51" s="320">
        <v>48.5497</v>
      </c>
      <c r="AC51" s="320">
        <v>0.542</v>
      </c>
      <c r="AD51" s="320">
        <v>4.06</v>
      </c>
      <c r="AE51" s="320">
        <v>1.0</v>
      </c>
      <c r="AF51" s="320">
        <v>3.0</v>
      </c>
      <c r="AG51" s="320">
        <v>5.0</v>
      </c>
      <c r="AH51" s="320">
        <v>9.0</v>
      </c>
      <c r="AI51" s="320">
        <v>72.61</v>
      </c>
      <c r="AJ51" s="320">
        <v>31.5</v>
      </c>
      <c r="AK51" s="320">
        <v>9.13</v>
      </c>
      <c r="AL51" s="320">
        <v>0.2695</v>
      </c>
      <c r="AM51" s="320">
        <v>19.36</v>
      </c>
      <c r="AN51" s="320">
        <v>20.79</v>
      </c>
      <c r="AO51" s="320">
        <v>65.06</v>
      </c>
      <c r="AP51" s="320">
        <v>12.6</v>
      </c>
    </row>
    <row r="52">
      <c r="A52" s="319" t="s">
        <v>256</v>
      </c>
      <c r="B52" s="328">
        <v>46058.0</v>
      </c>
      <c r="C52" s="319" t="s">
        <v>215</v>
      </c>
      <c r="D52" s="320">
        <v>28913.0</v>
      </c>
      <c r="E52" s="320">
        <v>25.64</v>
      </c>
      <c r="F52" s="320">
        <v>0.0</v>
      </c>
      <c r="G52" s="320">
        <v>0.0</v>
      </c>
      <c r="H52" s="320">
        <v>0.0</v>
      </c>
      <c r="I52" s="329"/>
      <c r="J52" s="320">
        <v>52.93</v>
      </c>
      <c r="K52" s="320">
        <v>24.95</v>
      </c>
      <c r="L52" s="320">
        <v>13.76</v>
      </c>
      <c r="M52" s="320">
        <v>0.5515</v>
      </c>
      <c r="N52" s="320">
        <v>0.6384</v>
      </c>
      <c r="O52" s="320">
        <v>0.4427</v>
      </c>
      <c r="P52" s="320">
        <v>1.8131</v>
      </c>
      <c r="Q52" s="320">
        <v>95.93</v>
      </c>
      <c r="R52" s="320">
        <v>67.44</v>
      </c>
      <c r="S52" s="320">
        <v>28.49</v>
      </c>
      <c r="T52" s="320">
        <v>3.34</v>
      </c>
      <c r="U52" s="320">
        <v>92.59</v>
      </c>
      <c r="V52" s="320">
        <v>95.89</v>
      </c>
      <c r="W52" s="320">
        <v>3.8434</v>
      </c>
      <c r="X52" s="320">
        <v>3.48</v>
      </c>
      <c r="Y52" s="320">
        <v>134.0</v>
      </c>
      <c r="Z52" s="320">
        <v>792.0</v>
      </c>
      <c r="AA52" s="320">
        <v>5476.0</v>
      </c>
      <c r="AB52" s="320">
        <v>52.1172</v>
      </c>
      <c r="AC52" s="320">
        <v>0.639</v>
      </c>
      <c r="AD52" s="320">
        <v>9.17</v>
      </c>
      <c r="AE52" s="320">
        <v>4.0</v>
      </c>
      <c r="AF52" s="320">
        <v>7.0</v>
      </c>
      <c r="AG52" s="320">
        <v>13.0</v>
      </c>
      <c r="AH52" s="320">
        <v>19.0</v>
      </c>
      <c r="AI52" s="320">
        <v>60.2</v>
      </c>
      <c r="AJ52" s="320">
        <v>25.21</v>
      </c>
      <c r="AK52" s="320">
        <v>4.05</v>
      </c>
      <c r="AL52" s="320">
        <v>0.2035</v>
      </c>
      <c r="AM52" s="320">
        <v>20.44</v>
      </c>
      <c r="AN52" s="320">
        <v>47.0</v>
      </c>
      <c r="AO52" s="320">
        <v>74.52</v>
      </c>
      <c r="AP52" s="320">
        <v>15.23</v>
      </c>
    </row>
    <row r="53">
      <c r="A53" s="319" t="s">
        <v>256</v>
      </c>
      <c r="B53" s="328">
        <v>46058.0</v>
      </c>
      <c r="C53" s="319" t="s">
        <v>216</v>
      </c>
      <c r="D53" s="320">
        <v>16407.0</v>
      </c>
      <c r="E53" s="320">
        <v>14.55</v>
      </c>
      <c r="F53" s="320">
        <v>0.0</v>
      </c>
      <c r="G53" s="320">
        <v>0.0</v>
      </c>
      <c r="H53" s="320">
        <v>0.0</v>
      </c>
      <c r="I53" s="329"/>
      <c r="J53" s="320">
        <v>78.53</v>
      </c>
      <c r="K53" s="320">
        <v>39.17</v>
      </c>
      <c r="L53" s="320">
        <v>25.63</v>
      </c>
      <c r="M53" s="320">
        <v>0.6545</v>
      </c>
      <c r="N53" s="320">
        <v>0.5361</v>
      </c>
      <c r="O53" s="320">
        <v>0.3712</v>
      </c>
      <c r="P53" s="320">
        <v>1.528</v>
      </c>
      <c r="Q53" s="320">
        <v>162.57</v>
      </c>
      <c r="R53" s="320">
        <v>108.13</v>
      </c>
      <c r="S53" s="320">
        <v>54.44</v>
      </c>
      <c r="T53" s="320">
        <v>1.82</v>
      </c>
      <c r="U53" s="320">
        <v>160.75</v>
      </c>
      <c r="V53" s="320">
        <v>165.38</v>
      </c>
      <c r="W53" s="320">
        <v>4.2224</v>
      </c>
      <c r="X53" s="320">
        <v>1.12</v>
      </c>
      <c r="Y53" s="320">
        <v>156.0</v>
      </c>
      <c r="Z53" s="320">
        <v>982.0</v>
      </c>
      <c r="AA53" s="320">
        <v>6187.0</v>
      </c>
      <c r="AB53" s="320">
        <v>55.2519</v>
      </c>
      <c r="AC53" s="320">
        <v>0.7419</v>
      </c>
      <c r="AD53" s="320">
        <v>17.19</v>
      </c>
      <c r="AE53" s="320">
        <v>7.0</v>
      </c>
      <c r="AF53" s="320">
        <v>13.0</v>
      </c>
      <c r="AG53" s="320">
        <v>23.0</v>
      </c>
      <c r="AH53" s="320">
        <v>35.0</v>
      </c>
      <c r="AI53" s="320">
        <v>59.16</v>
      </c>
      <c r="AJ53" s="320">
        <v>21.47</v>
      </c>
      <c r="AK53" s="320">
        <v>6.24</v>
      </c>
      <c r="AL53" s="320">
        <v>0.1843</v>
      </c>
      <c r="AM53" s="320">
        <v>20.6</v>
      </c>
      <c r="AN53" s="320">
        <v>87.54</v>
      </c>
      <c r="AO53" s="320">
        <v>78.04</v>
      </c>
      <c r="AP53" s="320">
        <v>16.08</v>
      </c>
    </row>
    <row r="54">
      <c r="A54" s="319" t="s">
        <v>256</v>
      </c>
      <c r="B54" s="328">
        <v>46058.0</v>
      </c>
      <c r="C54" s="319" t="s">
        <v>217</v>
      </c>
      <c r="D54" s="320">
        <v>6206.0</v>
      </c>
      <c r="E54" s="320">
        <v>5.5</v>
      </c>
      <c r="F54" s="320">
        <v>0.0</v>
      </c>
      <c r="G54" s="320">
        <v>0.0</v>
      </c>
      <c r="H54" s="320">
        <v>0.0</v>
      </c>
      <c r="I54" s="329"/>
      <c r="J54" s="320">
        <v>126.62</v>
      </c>
      <c r="K54" s="320">
        <v>68.61</v>
      </c>
      <c r="L54" s="320">
        <v>53.69</v>
      </c>
      <c r="M54" s="320">
        <v>0.7826</v>
      </c>
      <c r="N54" s="320">
        <v>0.3962</v>
      </c>
      <c r="O54" s="320">
        <v>0.2816</v>
      </c>
      <c r="P54" s="320">
        <v>1.2778</v>
      </c>
      <c r="Q54" s="320">
        <v>323.59</v>
      </c>
      <c r="R54" s="320">
        <v>209.92</v>
      </c>
      <c r="S54" s="320">
        <v>113.67</v>
      </c>
      <c r="T54" s="320">
        <v>2.05</v>
      </c>
      <c r="U54" s="320">
        <v>321.55</v>
      </c>
      <c r="V54" s="320">
        <v>325.84</v>
      </c>
      <c r="W54" s="320">
        <v>4.7493</v>
      </c>
      <c r="X54" s="320">
        <v>0.63</v>
      </c>
      <c r="Y54" s="320">
        <v>341.0</v>
      </c>
      <c r="Z54" s="320">
        <v>2464.0</v>
      </c>
      <c r="AA54" s="320">
        <v>9043.0</v>
      </c>
      <c r="AB54" s="320">
        <v>59.2173</v>
      </c>
      <c r="AC54" s="320">
        <v>0.8299</v>
      </c>
      <c r="AD54" s="320">
        <v>37.05</v>
      </c>
      <c r="AE54" s="320">
        <v>15.0</v>
      </c>
      <c r="AF54" s="320">
        <v>29.0</v>
      </c>
      <c r="AG54" s="320">
        <v>50.0</v>
      </c>
      <c r="AH54" s="320">
        <v>77.0</v>
      </c>
      <c r="AI54" s="320">
        <v>52.45</v>
      </c>
      <c r="AJ54" s="320">
        <v>19.13</v>
      </c>
      <c r="AK54" s="320">
        <v>4.33</v>
      </c>
      <c r="AL54" s="320">
        <v>0.1436</v>
      </c>
      <c r="AM54" s="320">
        <v>21.62</v>
      </c>
      <c r="AN54" s="320">
        <v>188.29</v>
      </c>
      <c r="AO54" s="320">
        <v>82.13</v>
      </c>
      <c r="AP54" s="320">
        <v>17.76</v>
      </c>
    </row>
    <row r="55">
      <c r="A55" s="319" t="s">
        <v>256</v>
      </c>
      <c r="B55" s="328">
        <v>46058.0</v>
      </c>
      <c r="C55" s="319" t="s">
        <v>218</v>
      </c>
      <c r="D55" s="320">
        <v>673.0</v>
      </c>
      <c r="E55" s="320">
        <v>0.6</v>
      </c>
      <c r="F55" s="320">
        <v>0.0</v>
      </c>
      <c r="G55" s="320">
        <v>0.0</v>
      </c>
      <c r="H55" s="320">
        <v>0.0</v>
      </c>
      <c r="I55" s="329"/>
      <c r="J55" s="320">
        <v>234.48</v>
      </c>
      <c r="K55" s="320">
        <v>136.55</v>
      </c>
      <c r="L55" s="320">
        <v>118.75</v>
      </c>
      <c r="M55" s="320">
        <v>0.8697</v>
      </c>
      <c r="N55" s="320">
        <v>0.2831</v>
      </c>
      <c r="O55" s="320">
        <v>0.2135</v>
      </c>
      <c r="P55" s="320">
        <v>1.1499</v>
      </c>
      <c r="Q55" s="320">
        <v>604.11</v>
      </c>
      <c r="R55" s="320">
        <v>351.72</v>
      </c>
      <c r="S55" s="320">
        <v>252.39</v>
      </c>
      <c r="T55" s="320">
        <v>0.89</v>
      </c>
      <c r="U55" s="320">
        <v>603.22</v>
      </c>
      <c r="V55" s="320">
        <v>667.76</v>
      </c>
      <c r="W55" s="320">
        <v>4.8902</v>
      </c>
      <c r="X55" s="320">
        <v>0.15</v>
      </c>
      <c r="Y55" s="320">
        <v>894.0</v>
      </c>
      <c r="Z55" s="320">
        <v>4104.0</v>
      </c>
      <c r="AA55" s="320">
        <v>12327.0</v>
      </c>
      <c r="AB55" s="320">
        <v>63.3293</v>
      </c>
      <c r="AC55" s="320">
        <v>0.894</v>
      </c>
      <c r="AD55" s="320">
        <v>81.11</v>
      </c>
      <c r="AE55" s="320">
        <v>34.0</v>
      </c>
      <c r="AF55" s="320">
        <v>65.0</v>
      </c>
      <c r="AG55" s="320">
        <v>114.0</v>
      </c>
      <c r="AH55" s="320">
        <v>165.0</v>
      </c>
      <c r="AI55" s="320">
        <v>41.75</v>
      </c>
      <c r="AJ55" s="320">
        <v>8.62</v>
      </c>
      <c r="AK55" s="320">
        <v>1.49</v>
      </c>
      <c r="AL55" s="320">
        <v>0.0951</v>
      </c>
      <c r="AM55" s="320">
        <v>24.45</v>
      </c>
      <c r="AN55" s="320">
        <v>327.27</v>
      </c>
      <c r="AO55" s="320">
        <v>85.16</v>
      </c>
      <c r="AP55" s="320">
        <v>20.82</v>
      </c>
    </row>
    <row r="56">
      <c r="A56" s="319" t="s">
        <v>256</v>
      </c>
      <c r="B56" s="328">
        <v>46059.0</v>
      </c>
      <c r="C56" s="319" t="s">
        <v>257</v>
      </c>
      <c r="D56" s="320">
        <v>19910.0</v>
      </c>
      <c r="E56" s="320">
        <v>17.98</v>
      </c>
      <c r="F56" s="320">
        <v>0.0</v>
      </c>
      <c r="G56" s="320">
        <v>0.0</v>
      </c>
      <c r="H56" s="320">
        <v>0.0</v>
      </c>
      <c r="I56" s="329"/>
      <c r="J56" s="320">
        <v>5.76</v>
      </c>
      <c r="K56" s="320">
        <v>2.23</v>
      </c>
      <c r="L56" s="320">
        <v>0.03</v>
      </c>
      <c r="M56" s="320">
        <v>0.0153</v>
      </c>
      <c r="N56" s="320">
        <v>0.988</v>
      </c>
      <c r="O56" s="320">
        <v>0.8561</v>
      </c>
      <c r="P56" s="320">
        <v>65.5708</v>
      </c>
      <c r="Q56" s="320">
        <v>27.98</v>
      </c>
      <c r="R56" s="320">
        <v>27.81</v>
      </c>
      <c r="S56" s="320">
        <v>0.17</v>
      </c>
      <c r="T56" s="320">
        <v>0.0</v>
      </c>
      <c r="U56" s="320">
        <v>27.98</v>
      </c>
      <c r="V56" s="320">
        <v>2.05</v>
      </c>
      <c r="W56" s="320">
        <v>0.92</v>
      </c>
      <c r="X56" s="320">
        <v>0.0</v>
      </c>
      <c r="Y56" s="320">
        <v>343.0</v>
      </c>
      <c r="Z56" s="320">
        <v>3595.0</v>
      </c>
      <c r="AA56" s="320">
        <v>14044.0</v>
      </c>
      <c r="AB56" s="320">
        <v>48.9935</v>
      </c>
      <c r="AC56" s="320">
        <v>0.5509</v>
      </c>
      <c r="AD56" s="329"/>
      <c r="AE56" s="329"/>
      <c r="AF56" s="329"/>
      <c r="AG56" s="329"/>
      <c r="AH56" s="329"/>
      <c r="AI56" s="320">
        <v>0.0</v>
      </c>
      <c r="AJ56" s="320">
        <v>0.0</v>
      </c>
      <c r="AK56" s="320">
        <v>0.0</v>
      </c>
      <c r="AL56" s="320">
        <v>0.3257</v>
      </c>
      <c r="AM56" s="320">
        <v>17.43</v>
      </c>
      <c r="AN56" s="320">
        <v>10.38</v>
      </c>
      <c r="AO56" s="329"/>
      <c r="AP56" s="329"/>
    </row>
    <row r="57">
      <c r="A57" s="319" t="s">
        <v>256</v>
      </c>
      <c r="B57" s="328">
        <v>46059.0</v>
      </c>
      <c r="C57" s="319" t="s">
        <v>214</v>
      </c>
      <c r="D57" s="320">
        <v>38607.0</v>
      </c>
      <c r="E57" s="320">
        <v>34.86</v>
      </c>
      <c r="F57" s="320">
        <v>0.0</v>
      </c>
      <c r="G57" s="320">
        <v>0.0</v>
      </c>
      <c r="H57" s="320">
        <v>0.0</v>
      </c>
      <c r="I57" s="329"/>
      <c r="J57" s="320">
        <v>30.72</v>
      </c>
      <c r="K57" s="320">
        <v>13.82</v>
      </c>
      <c r="L57" s="320">
        <v>5.93</v>
      </c>
      <c r="M57" s="320">
        <v>0.429</v>
      </c>
      <c r="N57" s="320">
        <v>0.7393</v>
      </c>
      <c r="O57" s="320">
        <v>0.5344</v>
      </c>
      <c r="P57" s="320">
        <v>2.3309</v>
      </c>
      <c r="Q57" s="320">
        <v>60.98</v>
      </c>
      <c r="R57" s="320">
        <v>48.66</v>
      </c>
      <c r="S57" s="320">
        <v>12.32</v>
      </c>
      <c r="T57" s="320">
        <v>0.57</v>
      </c>
      <c r="U57" s="320">
        <v>60.41</v>
      </c>
      <c r="V57" s="320">
        <v>55.57</v>
      </c>
      <c r="W57" s="320">
        <v>4.0222</v>
      </c>
      <c r="X57" s="320">
        <v>0.94</v>
      </c>
      <c r="Y57" s="320">
        <v>151.0</v>
      </c>
      <c r="Z57" s="320">
        <v>885.0</v>
      </c>
      <c r="AA57" s="320">
        <v>5633.0</v>
      </c>
      <c r="AB57" s="320">
        <v>48.4818</v>
      </c>
      <c r="AC57" s="320">
        <v>0.5398</v>
      </c>
      <c r="AD57" s="320">
        <v>4.2</v>
      </c>
      <c r="AE57" s="320">
        <v>1.0</v>
      </c>
      <c r="AF57" s="320">
        <v>3.0</v>
      </c>
      <c r="AG57" s="320">
        <v>6.0</v>
      </c>
      <c r="AH57" s="320">
        <v>9.0</v>
      </c>
      <c r="AI57" s="320">
        <v>74.88</v>
      </c>
      <c r="AJ57" s="320">
        <v>33.53</v>
      </c>
      <c r="AK57" s="320">
        <v>9.42</v>
      </c>
      <c r="AL57" s="320">
        <v>0.2755</v>
      </c>
      <c r="AM57" s="320">
        <v>20.2</v>
      </c>
      <c r="AN57" s="320">
        <v>28.46</v>
      </c>
      <c r="AO57" s="320">
        <v>65.3</v>
      </c>
      <c r="AP57" s="320">
        <v>13.19</v>
      </c>
    </row>
    <row r="58">
      <c r="A58" s="319" t="s">
        <v>256</v>
      </c>
      <c r="B58" s="328">
        <v>46059.0</v>
      </c>
      <c r="C58" s="319" t="s">
        <v>215</v>
      </c>
      <c r="D58" s="320">
        <v>28899.0</v>
      </c>
      <c r="E58" s="320">
        <v>26.1</v>
      </c>
      <c r="F58" s="320">
        <v>0.0</v>
      </c>
      <c r="G58" s="320">
        <v>0.0</v>
      </c>
      <c r="H58" s="320">
        <v>0.0</v>
      </c>
      <c r="I58" s="329"/>
      <c r="J58" s="320">
        <v>56.39</v>
      </c>
      <c r="K58" s="320">
        <v>26.63</v>
      </c>
      <c r="L58" s="320">
        <v>14.25</v>
      </c>
      <c r="M58" s="320">
        <v>0.5351</v>
      </c>
      <c r="N58" s="320">
        <v>0.6501</v>
      </c>
      <c r="O58" s="320">
        <v>0.4506</v>
      </c>
      <c r="P58" s="320">
        <v>1.8688</v>
      </c>
      <c r="Q58" s="320">
        <v>105.32</v>
      </c>
      <c r="R58" s="320">
        <v>75.47</v>
      </c>
      <c r="S58" s="320">
        <v>29.85</v>
      </c>
      <c r="T58" s="320">
        <v>2.17</v>
      </c>
      <c r="U58" s="320">
        <v>103.15</v>
      </c>
      <c r="V58" s="320">
        <v>100.26</v>
      </c>
      <c r="W58" s="320">
        <v>3.7647</v>
      </c>
      <c r="X58" s="320">
        <v>2.06</v>
      </c>
      <c r="Y58" s="320">
        <v>135.0</v>
      </c>
      <c r="Z58" s="320">
        <v>728.0</v>
      </c>
      <c r="AA58" s="320">
        <v>5291.0</v>
      </c>
      <c r="AB58" s="320">
        <v>52.0155</v>
      </c>
      <c r="AC58" s="320">
        <v>0.639</v>
      </c>
      <c r="AD58" s="320">
        <v>9.5</v>
      </c>
      <c r="AE58" s="320">
        <v>4.0</v>
      </c>
      <c r="AF58" s="320">
        <v>8.0</v>
      </c>
      <c r="AG58" s="320">
        <v>13.0</v>
      </c>
      <c r="AH58" s="320">
        <v>19.0</v>
      </c>
      <c r="AI58" s="320">
        <v>63.55</v>
      </c>
      <c r="AJ58" s="320">
        <v>26.34</v>
      </c>
      <c r="AK58" s="320">
        <v>4.19</v>
      </c>
      <c r="AL58" s="320">
        <v>0.2179</v>
      </c>
      <c r="AM58" s="320">
        <v>21.03</v>
      </c>
      <c r="AN58" s="320">
        <v>54.43</v>
      </c>
      <c r="AO58" s="320">
        <v>74.99</v>
      </c>
      <c r="AP58" s="320">
        <v>15.77</v>
      </c>
    </row>
    <row r="59">
      <c r="A59" s="319" t="s">
        <v>256</v>
      </c>
      <c r="B59" s="328">
        <v>46059.0</v>
      </c>
      <c r="C59" s="319" t="s">
        <v>216</v>
      </c>
      <c r="D59" s="320">
        <v>16420.0</v>
      </c>
      <c r="E59" s="320">
        <v>14.83</v>
      </c>
      <c r="F59" s="320">
        <v>0.0</v>
      </c>
      <c r="G59" s="320">
        <v>0.0</v>
      </c>
      <c r="H59" s="320">
        <v>0.0</v>
      </c>
      <c r="I59" s="329"/>
      <c r="J59" s="320">
        <v>84.47</v>
      </c>
      <c r="K59" s="320">
        <v>42.13</v>
      </c>
      <c r="L59" s="320">
        <v>26.84</v>
      </c>
      <c r="M59" s="320">
        <v>0.6372</v>
      </c>
      <c r="N59" s="320">
        <v>0.5471</v>
      </c>
      <c r="O59" s="320">
        <v>0.3766</v>
      </c>
      <c r="P59" s="320">
        <v>1.5694</v>
      </c>
      <c r="Q59" s="320">
        <v>163.28</v>
      </c>
      <c r="R59" s="320">
        <v>106.49</v>
      </c>
      <c r="S59" s="320">
        <v>56.79</v>
      </c>
      <c r="T59" s="320">
        <v>3.44</v>
      </c>
      <c r="U59" s="320">
        <v>159.84</v>
      </c>
      <c r="V59" s="320">
        <v>168.59</v>
      </c>
      <c r="W59" s="320">
        <v>4.002</v>
      </c>
      <c r="X59" s="320">
        <v>2.11</v>
      </c>
      <c r="Y59" s="320">
        <v>147.0</v>
      </c>
      <c r="Z59" s="320">
        <v>938.0</v>
      </c>
      <c r="AA59" s="320">
        <v>5931.0</v>
      </c>
      <c r="AB59" s="320">
        <v>55.101</v>
      </c>
      <c r="AC59" s="320">
        <v>0.7338</v>
      </c>
      <c r="AD59" s="320">
        <v>17.36</v>
      </c>
      <c r="AE59" s="320">
        <v>8.0</v>
      </c>
      <c r="AF59" s="320">
        <v>14.0</v>
      </c>
      <c r="AG59" s="320">
        <v>24.0</v>
      </c>
      <c r="AH59" s="320">
        <v>35.0</v>
      </c>
      <c r="AI59" s="320">
        <v>60.73</v>
      </c>
      <c r="AJ59" s="320">
        <v>21.72</v>
      </c>
      <c r="AK59" s="320">
        <v>5.59</v>
      </c>
      <c r="AL59" s="320">
        <v>0.2051</v>
      </c>
      <c r="AM59" s="320">
        <v>21.56</v>
      </c>
      <c r="AN59" s="320">
        <v>84.93</v>
      </c>
      <c r="AO59" s="320">
        <v>78.13</v>
      </c>
      <c r="AP59" s="320">
        <v>16.84</v>
      </c>
    </row>
    <row r="60">
      <c r="A60" s="319" t="s">
        <v>256</v>
      </c>
      <c r="B60" s="328">
        <v>46059.0</v>
      </c>
      <c r="C60" s="319" t="s">
        <v>217</v>
      </c>
      <c r="D60" s="320">
        <v>6218.0</v>
      </c>
      <c r="E60" s="320">
        <v>5.62</v>
      </c>
      <c r="F60" s="320">
        <v>0.0</v>
      </c>
      <c r="G60" s="320">
        <v>0.0</v>
      </c>
      <c r="H60" s="320">
        <v>0.0</v>
      </c>
      <c r="I60" s="329"/>
      <c r="J60" s="320">
        <v>135.64</v>
      </c>
      <c r="K60" s="320">
        <v>71.57</v>
      </c>
      <c r="L60" s="320">
        <v>54.65</v>
      </c>
      <c r="M60" s="320">
        <v>0.7637</v>
      </c>
      <c r="N60" s="320">
        <v>0.4135</v>
      </c>
      <c r="O60" s="320">
        <v>0.2912</v>
      </c>
      <c r="P60" s="320">
        <v>1.3095</v>
      </c>
      <c r="Q60" s="320">
        <v>278.38</v>
      </c>
      <c r="R60" s="320">
        <v>162.56</v>
      </c>
      <c r="S60" s="320">
        <v>115.82</v>
      </c>
      <c r="T60" s="320">
        <v>4.94</v>
      </c>
      <c r="U60" s="320">
        <v>273.43</v>
      </c>
      <c r="V60" s="320">
        <v>313.71</v>
      </c>
      <c r="W60" s="320">
        <v>4.3835</v>
      </c>
      <c r="X60" s="320">
        <v>1.78</v>
      </c>
      <c r="Y60" s="320">
        <v>258.0</v>
      </c>
      <c r="Z60" s="320">
        <v>2419.0</v>
      </c>
      <c r="AA60" s="320">
        <v>9127.0</v>
      </c>
      <c r="AB60" s="320">
        <v>59.1007</v>
      </c>
      <c r="AC60" s="320">
        <v>0.8274</v>
      </c>
      <c r="AD60" s="320">
        <v>36.19</v>
      </c>
      <c r="AE60" s="320">
        <v>15.0</v>
      </c>
      <c r="AF60" s="320">
        <v>27.0</v>
      </c>
      <c r="AG60" s="320">
        <v>49.0</v>
      </c>
      <c r="AH60" s="320">
        <v>75.0</v>
      </c>
      <c r="AI60" s="320">
        <v>50.1</v>
      </c>
      <c r="AJ60" s="320">
        <v>17.56</v>
      </c>
      <c r="AK60" s="320">
        <v>4.18</v>
      </c>
      <c r="AL60" s="320">
        <v>0.157</v>
      </c>
      <c r="AM60" s="320">
        <v>22.24</v>
      </c>
      <c r="AN60" s="320">
        <v>140.32</v>
      </c>
      <c r="AO60" s="320">
        <v>82.39</v>
      </c>
      <c r="AP60" s="320">
        <v>18.32</v>
      </c>
    </row>
    <row r="61">
      <c r="A61" s="319" t="s">
        <v>256</v>
      </c>
      <c r="B61" s="328">
        <v>46059.0</v>
      </c>
      <c r="C61" s="319" t="s">
        <v>218</v>
      </c>
      <c r="D61" s="320">
        <v>684.0</v>
      </c>
      <c r="E61" s="320">
        <v>0.62</v>
      </c>
      <c r="F61" s="320">
        <v>0.0</v>
      </c>
      <c r="G61" s="320">
        <v>0.0</v>
      </c>
      <c r="H61" s="320">
        <v>0.0</v>
      </c>
      <c r="I61" s="329"/>
      <c r="J61" s="320">
        <v>259.44</v>
      </c>
      <c r="K61" s="320">
        <v>150.36</v>
      </c>
      <c r="L61" s="320">
        <v>129.93</v>
      </c>
      <c r="M61" s="320">
        <v>0.8641</v>
      </c>
      <c r="N61" s="320">
        <v>0.2806</v>
      </c>
      <c r="O61" s="320">
        <v>0.2066</v>
      </c>
      <c r="P61" s="320">
        <v>1.1572</v>
      </c>
      <c r="Q61" s="320">
        <v>546.06</v>
      </c>
      <c r="R61" s="320">
        <v>271.39</v>
      </c>
      <c r="S61" s="320">
        <v>274.66</v>
      </c>
      <c r="T61" s="320">
        <v>0.0</v>
      </c>
      <c r="U61" s="320">
        <v>546.06</v>
      </c>
      <c r="V61" s="320">
        <v>649.63</v>
      </c>
      <c r="W61" s="320">
        <v>4.3205</v>
      </c>
      <c r="X61" s="320">
        <v>0.0</v>
      </c>
      <c r="Y61" s="320">
        <v>891.0</v>
      </c>
      <c r="Z61" s="320">
        <v>3981.0</v>
      </c>
      <c r="AA61" s="320">
        <v>11236.0</v>
      </c>
      <c r="AB61" s="320">
        <v>63.4522</v>
      </c>
      <c r="AC61" s="320">
        <v>0.8984</v>
      </c>
      <c r="AD61" s="320">
        <v>87.09</v>
      </c>
      <c r="AE61" s="320">
        <v>36.0</v>
      </c>
      <c r="AF61" s="320">
        <v>66.0</v>
      </c>
      <c r="AG61" s="320">
        <v>121.0</v>
      </c>
      <c r="AH61" s="320">
        <v>182.0</v>
      </c>
      <c r="AI61" s="320">
        <v>41.81</v>
      </c>
      <c r="AJ61" s="320">
        <v>11.26</v>
      </c>
      <c r="AK61" s="320">
        <v>2.34</v>
      </c>
      <c r="AL61" s="320">
        <v>0.1096</v>
      </c>
      <c r="AM61" s="320">
        <v>24.8</v>
      </c>
      <c r="AN61" s="320">
        <v>246.59</v>
      </c>
      <c r="AO61" s="320">
        <v>84.08</v>
      </c>
      <c r="AP61" s="320">
        <v>20.85</v>
      </c>
    </row>
    <row r="62">
      <c r="A62" s="319" t="s">
        <v>256</v>
      </c>
      <c r="B62" s="328">
        <v>46060.0</v>
      </c>
      <c r="C62" s="319" t="s">
        <v>257</v>
      </c>
      <c r="D62" s="320">
        <v>20373.0</v>
      </c>
      <c r="E62" s="320">
        <v>18.64</v>
      </c>
      <c r="F62" s="320">
        <v>0.0</v>
      </c>
      <c r="G62" s="320">
        <v>0.0</v>
      </c>
      <c r="H62" s="320">
        <v>0.0</v>
      </c>
      <c r="I62" s="329"/>
      <c r="J62" s="320">
        <v>5.9</v>
      </c>
      <c r="K62" s="320">
        <v>2.44</v>
      </c>
      <c r="L62" s="320">
        <v>0.04</v>
      </c>
      <c r="M62" s="320">
        <v>0.0154</v>
      </c>
      <c r="N62" s="320">
        <v>0.9873</v>
      </c>
      <c r="O62" s="320">
        <v>0.8494</v>
      </c>
      <c r="P62" s="320">
        <v>64.7405</v>
      </c>
      <c r="Q62" s="320">
        <v>25.39</v>
      </c>
      <c r="R62" s="320">
        <v>25.22</v>
      </c>
      <c r="S62" s="320">
        <v>0.16</v>
      </c>
      <c r="T62" s="320">
        <v>0.0</v>
      </c>
      <c r="U62" s="320">
        <v>25.39</v>
      </c>
      <c r="V62" s="320">
        <v>2.54</v>
      </c>
      <c r="W62" s="320">
        <v>1.0412</v>
      </c>
      <c r="X62" s="320">
        <v>0.0</v>
      </c>
      <c r="Y62" s="320">
        <v>286.0</v>
      </c>
      <c r="Z62" s="320">
        <v>3219.0</v>
      </c>
      <c r="AA62" s="320">
        <v>13578.0</v>
      </c>
      <c r="AB62" s="320">
        <v>48.819</v>
      </c>
      <c r="AC62" s="320">
        <v>0.5422</v>
      </c>
      <c r="AD62" s="329"/>
      <c r="AE62" s="329"/>
      <c r="AF62" s="329"/>
      <c r="AG62" s="329"/>
      <c r="AH62" s="329"/>
      <c r="AI62" s="320">
        <v>0.0</v>
      </c>
      <c r="AJ62" s="320">
        <v>0.0</v>
      </c>
      <c r="AK62" s="320">
        <v>0.0</v>
      </c>
      <c r="AL62" s="320">
        <v>0.3072</v>
      </c>
      <c r="AM62" s="320">
        <v>18.16</v>
      </c>
      <c r="AN62" s="320">
        <v>7.06</v>
      </c>
      <c r="AO62" s="329"/>
      <c r="AP62" s="329"/>
    </row>
    <row r="63">
      <c r="A63" s="319" t="s">
        <v>256</v>
      </c>
      <c r="B63" s="328">
        <v>46060.0</v>
      </c>
      <c r="C63" s="319" t="s">
        <v>214</v>
      </c>
      <c r="D63" s="320">
        <v>37655.0</v>
      </c>
      <c r="E63" s="320">
        <v>34.45</v>
      </c>
      <c r="F63" s="320">
        <v>0.0</v>
      </c>
      <c r="G63" s="320">
        <v>0.0</v>
      </c>
      <c r="H63" s="320">
        <v>0.0</v>
      </c>
      <c r="I63" s="329"/>
      <c r="J63" s="320">
        <v>30.06</v>
      </c>
      <c r="K63" s="320">
        <v>13.52</v>
      </c>
      <c r="L63" s="320">
        <v>5.84</v>
      </c>
      <c r="M63" s="320">
        <v>0.4319</v>
      </c>
      <c r="N63" s="320">
        <v>0.7401</v>
      </c>
      <c r="O63" s="320">
        <v>0.5399</v>
      </c>
      <c r="P63" s="320">
        <v>2.3152</v>
      </c>
      <c r="Q63" s="320">
        <v>55.62</v>
      </c>
      <c r="R63" s="320">
        <v>43.55</v>
      </c>
      <c r="S63" s="320">
        <v>12.07</v>
      </c>
      <c r="T63" s="320">
        <v>0.81</v>
      </c>
      <c r="U63" s="320">
        <v>54.81</v>
      </c>
      <c r="V63" s="320">
        <v>56.17</v>
      </c>
      <c r="W63" s="320">
        <v>4.1534</v>
      </c>
      <c r="X63" s="320">
        <v>1.46</v>
      </c>
      <c r="Y63" s="320">
        <v>152.0</v>
      </c>
      <c r="Z63" s="320">
        <v>958.0</v>
      </c>
      <c r="AA63" s="320">
        <v>5727.0</v>
      </c>
      <c r="AB63" s="320">
        <v>48.5609</v>
      </c>
      <c r="AC63" s="320">
        <v>0.5455</v>
      </c>
      <c r="AD63" s="320">
        <v>4.14</v>
      </c>
      <c r="AE63" s="320">
        <v>1.0</v>
      </c>
      <c r="AF63" s="320">
        <v>3.0</v>
      </c>
      <c r="AG63" s="320">
        <v>6.0</v>
      </c>
      <c r="AH63" s="320">
        <v>9.0</v>
      </c>
      <c r="AI63" s="320">
        <v>73.71</v>
      </c>
      <c r="AJ63" s="320">
        <v>32.56</v>
      </c>
      <c r="AK63" s="320">
        <v>9.39</v>
      </c>
      <c r="AL63" s="320">
        <v>0.2654</v>
      </c>
      <c r="AM63" s="320">
        <v>21.7</v>
      </c>
      <c r="AN63" s="320">
        <v>21.85</v>
      </c>
      <c r="AO63" s="320">
        <v>65.06</v>
      </c>
      <c r="AP63" s="320">
        <v>14.12</v>
      </c>
    </row>
    <row r="64">
      <c r="A64" s="319" t="s">
        <v>256</v>
      </c>
      <c r="B64" s="328">
        <v>46060.0</v>
      </c>
      <c r="C64" s="319" t="s">
        <v>215</v>
      </c>
      <c r="D64" s="320">
        <v>28283.0</v>
      </c>
      <c r="E64" s="320">
        <v>25.87</v>
      </c>
      <c r="F64" s="320">
        <v>0.0</v>
      </c>
      <c r="G64" s="320">
        <v>0.0</v>
      </c>
      <c r="H64" s="320">
        <v>0.0</v>
      </c>
      <c r="I64" s="329"/>
      <c r="J64" s="320">
        <v>54.94</v>
      </c>
      <c r="K64" s="320">
        <v>25.77</v>
      </c>
      <c r="L64" s="320">
        <v>13.99</v>
      </c>
      <c r="M64" s="320">
        <v>0.5428</v>
      </c>
      <c r="N64" s="320">
        <v>0.6479</v>
      </c>
      <c r="O64" s="320">
        <v>0.4553</v>
      </c>
      <c r="P64" s="320">
        <v>1.8425</v>
      </c>
      <c r="Q64" s="320">
        <v>97.8</v>
      </c>
      <c r="R64" s="320">
        <v>68.48</v>
      </c>
      <c r="S64" s="320">
        <v>29.32</v>
      </c>
      <c r="T64" s="320">
        <v>2.04</v>
      </c>
      <c r="U64" s="320">
        <v>95.76</v>
      </c>
      <c r="V64" s="320">
        <v>100.02</v>
      </c>
      <c r="W64" s="320">
        <v>3.8805</v>
      </c>
      <c r="X64" s="320">
        <v>2.09</v>
      </c>
      <c r="Y64" s="320">
        <v>132.0</v>
      </c>
      <c r="Z64" s="320">
        <v>760.0</v>
      </c>
      <c r="AA64" s="320">
        <v>5497.0</v>
      </c>
      <c r="AB64" s="320">
        <v>52.1919</v>
      </c>
      <c r="AC64" s="320">
        <v>0.6473</v>
      </c>
      <c r="AD64" s="320">
        <v>9.43</v>
      </c>
      <c r="AE64" s="320">
        <v>4.0</v>
      </c>
      <c r="AF64" s="320">
        <v>8.0</v>
      </c>
      <c r="AG64" s="320">
        <v>13.0</v>
      </c>
      <c r="AH64" s="320">
        <v>19.0</v>
      </c>
      <c r="AI64" s="320">
        <v>62.35</v>
      </c>
      <c r="AJ64" s="320">
        <v>26.19</v>
      </c>
      <c r="AK64" s="320">
        <v>4.33</v>
      </c>
      <c r="AL64" s="320">
        <v>0.2113</v>
      </c>
      <c r="AM64" s="320">
        <v>22.8</v>
      </c>
      <c r="AN64" s="320">
        <v>45.68</v>
      </c>
      <c r="AO64" s="320">
        <v>74.25</v>
      </c>
      <c r="AP64" s="320">
        <v>16.93</v>
      </c>
    </row>
    <row r="65">
      <c r="A65" s="319" t="s">
        <v>256</v>
      </c>
      <c r="B65" s="328">
        <v>46060.0</v>
      </c>
      <c r="C65" s="319" t="s">
        <v>216</v>
      </c>
      <c r="D65" s="320">
        <v>16193.0</v>
      </c>
      <c r="E65" s="320">
        <v>14.81</v>
      </c>
      <c r="F65" s="320">
        <v>0.0</v>
      </c>
      <c r="G65" s="320">
        <v>0.0</v>
      </c>
      <c r="H65" s="320">
        <v>0.0</v>
      </c>
      <c r="I65" s="329"/>
      <c r="J65" s="320">
        <v>81.39</v>
      </c>
      <c r="K65" s="320">
        <v>40.26</v>
      </c>
      <c r="L65" s="320">
        <v>26.27</v>
      </c>
      <c r="M65" s="320">
        <v>0.6525</v>
      </c>
      <c r="N65" s="320">
        <v>0.5374</v>
      </c>
      <c r="O65" s="320">
        <v>0.3748</v>
      </c>
      <c r="P65" s="320">
        <v>1.5326</v>
      </c>
      <c r="Q65" s="320">
        <v>162.1</v>
      </c>
      <c r="R65" s="320">
        <v>106.45</v>
      </c>
      <c r="S65" s="320">
        <v>55.64</v>
      </c>
      <c r="T65" s="320">
        <v>1.38</v>
      </c>
      <c r="U65" s="320">
        <v>160.72</v>
      </c>
      <c r="V65" s="320">
        <v>169.4</v>
      </c>
      <c r="W65" s="320">
        <v>4.2076</v>
      </c>
      <c r="X65" s="320">
        <v>0.85</v>
      </c>
      <c r="Y65" s="320">
        <v>145.0</v>
      </c>
      <c r="Z65" s="320">
        <v>987.0</v>
      </c>
      <c r="AA65" s="320">
        <v>6199.0</v>
      </c>
      <c r="AB65" s="320">
        <v>55.1689</v>
      </c>
      <c r="AC65" s="320">
        <v>0.7343</v>
      </c>
      <c r="AD65" s="320">
        <v>17.37</v>
      </c>
      <c r="AE65" s="320">
        <v>7.0</v>
      </c>
      <c r="AF65" s="320">
        <v>13.0</v>
      </c>
      <c r="AG65" s="320">
        <v>24.0</v>
      </c>
      <c r="AH65" s="320">
        <v>36.0</v>
      </c>
      <c r="AI65" s="320">
        <v>58.81</v>
      </c>
      <c r="AJ65" s="320">
        <v>22.06</v>
      </c>
      <c r="AK65" s="320">
        <v>6.5</v>
      </c>
      <c r="AL65" s="320">
        <v>0.1869</v>
      </c>
      <c r="AM65" s="320">
        <v>22.3</v>
      </c>
      <c r="AN65" s="320">
        <v>84.15</v>
      </c>
      <c r="AO65" s="320">
        <v>77.64</v>
      </c>
      <c r="AP65" s="320">
        <v>17.31</v>
      </c>
    </row>
    <row r="66">
      <c r="A66" s="319" t="s">
        <v>256</v>
      </c>
      <c r="B66" s="328">
        <v>46060.0</v>
      </c>
      <c r="C66" s="319" t="s">
        <v>217</v>
      </c>
      <c r="D66" s="320">
        <v>6136.0</v>
      </c>
      <c r="E66" s="320">
        <v>5.61</v>
      </c>
      <c r="F66" s="320">
        <v>0.0</v>
      </c>
      <c r="G66" s="320">
        <v>0.0</v>
      </c>
      <c r="H66" s="320">
        <v>0.0</v>
      </c>
      <c r="I66" s="329"/>
      <c r="J66" s="320">
        <v>129.08</v>
      </c>
      <c r="K66" s="320">
        <v>68.81</v>
      </c>
      <c r="L66" s="320">
        <v>53.72</v>
      </c>
      <c r="M66" s="320">
        <v>0.7808</v>
      </c>
      <c r="N66" s="320">
        <v>0.3994</v>
      </c>
      <c r="O66" s="320">
        <v>0.2857</v>
      </c>
      <c r="P66" s="320">
        <v>1.2808</v>
      </c>
      <c r="Q66" s="320">
        <v>310.47</v>
      </c>
      <c r="R66" s="320">
        <v>197.14</v>
      </c>
      <c r="S66" s="320">
        <v>113.33</v>
      </c>
      <c r="T66" s="320">
        <v>2.99</v>
      </c>
      <c r="U66" s="320">
        <v>307.48</v>
      </c>
      <c r="V66" s="320">
        <v>319.57</v>
      </c>
      <c r="W66" s="320">
        <v>4.6443</v>
      </c>
      <c r="X66" s="320">
        <v>0.96</v>
      </c>
      <c r="Y66" s="320">
        <v>296.0</v>
      </c>
      <c r="Z66" s="320">
        <v>2356.0</v>
      </c>
      <c r="AA66" s="320">
        <v>8979.0</v>
      </c>
      <c r="AB66" s="320">
        <v>59.2604</v>
      </c>
      <c r="AC66" s="320">
        <v>0.8283</v>
      </c>
      <c r="AD66" s="320">
        <v>36.52</v>
      </c>
      <c r="AE66" s="320">
        <v>14.0</v>
      </c>
      <c r="AF66" s="320">
        <v>28.0</v>
      </c>
      <c r="AG66" s="320">
        <v>50.0</v>
      </c>
      <c r="AH66" s="320">
        <v>77.0</v>
      </c>
      <c r="AI66" s="320">
        <v>49.9</v>
      </c>
      <c r="AJ66" s="320">
        <v>18.76</v>
      </c>
      <c r="AK66" s="320">
        <v>4.69</v>
      </c>
      <c r="AL66" s="320">
        <v>0.1507</v>
      </c>
      <c r="AM66" s="320">
        <v>23.31</v>
      </c>
      <c r="AN66" s="320">
        <v>173.82</v>
      </c>
      <c r="AO66" s="320">
        <v>81.95</v>
      </c>
      <c r="AP66" s="320">
        <v>19.1</v>
      </c>
    </row>
    <row r="67">
      <c r="A67" s="319" t="s">
        <v>256</v>
      </c>
      <c r="B67" s="328">
        <v>46060.0</v>
      </c>
      <c r="C67" s="319" t="s">
        <v>218</v>
      </c>
      <c r="D67" s="320">
        <v>676.0</v>
      </c>
      <c r="E67" s="320">
        <v>0.62</v>
      </c>
      <c r="F67" s="320">
        <v>0.0</v>
      </c>
      <c r="G67" s="320">
        <v>0.0</v>
      </c>
      <c r="H67" s="320">
        <v>0.0</v>
      </c>
      <c r="I67" s="329"/>
      <c r="J67" s="320">
        <v>246.35</v>
      </c>
      <c r="K67" s="320">
        <v>145.12</v>
      </c>
      <c r="L67" s="320">
        <v>126.77</v>
      </c>
      <c r="M67" s="320">
        <v>0.8736</v>
      </c>
      <c r="N67" s="320">
        <v>0.2732</v>
      </c>
      <c r="O67" s="320">
        <v>0.2057</v>
      </c>
      <c r="P67" s="320">
        <v>1.1448</v>
      </c>
      <c r="Q67" s="320">
        <v>608.94</v>
      </c>
      <c r="R67" s="320">
        <v>340.1</v>
      </c>
      <c r="S67" s="320">
        <v>268.84</v>
      </c>
      <c r="T67" s="320">
        <v>0.0</v>
      </c>
      <c r="U67" s="320">
        <v>608.94</v>
      </c>
      <c r="V67" s="320">
        <v>653.33</v>
      </c>
      <c r="W67" s="320">
        <v>4.5019</v>
      </c>
      <c r="X67" s="320">
        <v>0.0</v>
      </c>
      <c r="Y67" s="320">
        <v>976.0</v>
      </c>
      <c r="Z67" s="320">
        <v>3976.0</v>
      </c>
      <c r="AA67" s="320">
        <v>11187.0</v>
      </c>
      <c r="AB67" s="320">
        <v>63.3173</v>
      </c>
      <c r="AC67" s="320">
        <v>0.8884</v>
      </c>
      <c r="AD67" s="320">
        <v>86.21</v>
      </c>
      <c r="AE67" s="320">
        <v>37.0</v>
      </c>
      <c r="AF67" s="320">
        <v>68.0</v>
      </c>
      <c r="AG67" s="320">
        <v>120.0</v>
      </c>
      <c r="AH67" s="320">
        <v>171.0</v>
      </c>
      <c r="AI67" s="320">
        <v>44.38</v>
      </c>
      <c r="AJ67" s="320">
        <v>9.32</v>
      </c>
      <c r="AK67" s="320">
        <v>1.33</v>
      </c>
      <c r="AL67" s="320">
        <v>0.1021</v>
      </c>
      <c r="AM67" s="320">
        <v>25.19</v>
      </c>
      <c r="AN67" s="320">
        <v>314.91</v>
      </c>
      <c r="AO67" s="320">
        <v>82.4</v>
      </c>
      <c r="AP67" s="320">
        <v>20.76</v>
      </c>
    </row>
    <row r="68">
      <c r="A68" s="319" t="s">
        <v>256</v>
      </c>
      <c r="B68" s="328">
        <v>46061.0</v>
      </c>
      <c r="C68" s="319" t="s">
        <v>257</v>
      </c>
      <c r="D68" s="320">
        <v>20722.0</v>
      </c>
      <c r="E68" s="320">
        <v>18.84</v>
      </c>
      <c r="F68" s="320">
        <v>0.0</v>
      </c>
      <c r="G68" s="320">
        <v>0.0</v>
      </c>
      <c r="H68" s="320">
        <v>0.0</v>
      </c>
      <c r="I68" s="329"/>
      <c r="J68" s="320">
        <v>6.52</v>
      </c>
      <c r="K68" s="320">
        <v>2.66</v>
      </c>
      <c r="L68" s="320">
        <v>0.03</v>
      </c>
      <c r="M68" s="320">
        <v>0.0131</v>
      </c>
      <c r="N68" s="320">
        <v>0.99</v>
      </c>
      <c r="O68" s="320">
        <v>0.8688</v>
      </c>
      <c r="P68" s="320">
        <v>76.1727</v>
      </c>
      <c r="Q68" s="320">
        <v>23.19</v>
      </c>
      <c r="R68" s="320">
        <v>22.87</v>
      </c>
      <c r="S68" s="320">
        <v>0.32</v>
      </c>
      <c r="T68" s="320">
        <v>0.0</v>
      </c>
      <c r="U68" s="320">
        <v>23.19</v>
      </c>
      <c r="V68" s="320">
        <v>2.02</v>
      </c>
      <c r="W68" s="320">
        <v>0.7579</v>
      </c>
      <c r="X68" s="320">
        <v>0.0</v>
      </c>
      <c r="Y68" s="320">
        <v>310.0</v>
      </c>
      <c r="Z68" s="320">
        <v>3258.0</v>
      </c>
      <c r="AA68" s="320">
        <v>13697.0</v>
      </c>
      <c r="AB68" s="320">
        <v>49.0149</v>
      </c>
      <c r="AC68" s="320">
        <v>0.5487</v>
      </c>
      <c r="AD68" s="329"/>
      <c r="AE68" s="329"/>
      <c r="AF68" s="329"/>
      <c r="AG68" s="329"/>
      <c r="AH68" s="329"/>
      <c r="AI68" s="320">
        <v>0.0</v>
      </c>
      <c r="AJ68" s="320">
        <v>0.0</v>
      </c>
      <c r="AK68" s="320">
        <v>0.0</v>
      </c>
      <c r="AL68" s="320">
        <v>0.3033</v>
      </c>
      <c r="AM68" s="320">
        <v>17.96</v>
      </c>
      <c r="AN68" s="320">
        <v>4.92</v>
      </c>
      <c r="AO68" s="329"/>
      <c r="AP68" s="329"/>
    </row>
    <row r="69">
      <c r="A69" s="319" t="s">
        <v>256</v>
      </c>
      <c r="B69" s="328">
        <v>46061.0</v>
      </c>
      <c r="C69" s="319" t="s">
        <v>214</v>
      </c>
      <c r="D69" s="320">
        <v>37536.0</v>
      </c>
      <c r="E69" s="320">
        <v>34.13</v>
      </c>
      <c r="F69" s="320">
        <v>0.0</v>
      </c>
      <c r="G69" s="320">
        <v>0.0</v>
      </c>
      <c r="H69" s="320">
        <v>0.0</v>
      </c>
      <c r="I69" s="329"/>
      <c r="J69" s="320">
        <v>31.55</v>
      </c>
      <c r="K69" s="320">
        <v>14.39</v>
      </c>
      <c r="L69" s="320">
        <v>5.84</v>
      </c>
      <c r="M69" s="320">
        <v>0.4056</v>
      </c>
      <c r="N69" s="320">
        <v>0.7576</v>
      </c>
      <c r="O69" s="320">
        <v>0.5509</v>
      </c>
      <c r="P69" s="320">
        <v>2.4654</v>
      </c>
      <c r="Q69" s="320">
        <v>49.4</v>
      </c>
      <c r="R69" s="320">
        <v>37.16</v>
      </c>
      <c r="S69" s="320">
        <v>12.24</v>
      </c>
      <c r="T69" s="320">
        <v>0.85</v>
      </c>
      <c r="U69" s="320">
        <v>48.55</v>
      </c>
      <c r="V69" s="320">
        <v>53.65</v>
      </c>
      <c r="W69" s="320">
        <v>3.7285</v>
      </c>
      <c r="X69" s="320">
        <v>1.71</v>
      </c>
      <c r="Y69" s="320">
        <v>144.0</v>
      </c>
      <c r="Z69" s="320">
        <v>905.0</v>
      </c>
      <c r="AA69" s="320">
        <v>5943.0</v>
      </c>
      <c r="AB69" s="320">
        <v>48.6186</v>
      </c>
      <c r="AC69" s="320">
        <v>0.547</v>
      </c>
      <c r="AD69" s="320">
        <v>4.07</v>
      </c>
      <c r="AE69" s="320">
        <v>1.0</v>
      </c>
      <c r="AF69" s="320">
        <v>3.0</v>
      </c>
      <c r="AG69" s="320">
        <v>5.0</v>
      </c>
      <c r="AH69" s="320">
        <v>9.0</v>
      </c>
      <c r="AI69" s="320">
        <v>73.77</v>
      </c>
      <c r="AJ69" s="320">
        <v>31.84</v>
      </c>
      <c r="AK69" s="320">
        <v>8.73</v>
      </c>
      <c r="AL69" s="320">
        <v>0.2819</v>
      </c>
      <c r="AM69" s="320">
        <v>20.36</v>
      </c>
      <c r="AN69" s="320">
        <v>16.8</v>
      </c>
      <c r="AO69" s="320">
        <v>64.68</v>
      </c>
      <c r="AP69" s="320">
        <v>13.17</v>
      </c>
    </row>
    <row r="70">
      <c r="A70" s="319" t="s">
        <v>256</v>
      </c>
      <c r="B70" s="328">
        <v>46061.0</v>
      </c>
      <c r="C70" s="319" t="s">
        <v>215</v>
      </c>
      <c r="D70" s="320">
        <v>28401.0</v>
      </c>
      <c r="E70" s="320">
        <v>25.83</v>
      </c>
      <c r="F70" s="320">
        <v>0.0</v>
      </c>
      <c r="G70" s="320">
        <v>0.0</v>
      </c>
      <c r="H70" s="320">
        <v>0.0</v>
      </c>
      <c r="I70" s="329"/>
      <c r="J70" s="320">
        <v>58.69</v>
      </c>
      <c r="K70" s="320">
        <v>27.65</v>
      </c>
      <c r="L70" s="320">
        <v>14.1</v>
      </c>
      <c r="M70" s="320">
        <v>0.5099</v>
      </c>
      <c r="N70" s="320">
        <v>0.6733</v>
      </c>
      <c r="O70" s="320">
        <v>0.4686</v>
      </c>
      <c r="P70" s="320">
        <v>1.9611</v>
      </c>
      <c r="Q70" s="320">
        <v>80.05</v>
      </c>
      <c r="R70" s="320">
        <v>50.36</v>
      </c>
      <c r="S70" s="320">
        <v>29.69</v>
      </c>
      <c r="T70" s="320">
        <v>0.83</v>
      </c>
      <c r="U70" s="320">
        <v>79.22</v>
      </c>
      <c r="V70" s="320">
        <v>95.57</v>
      </c>
      <c r="W70" s="320">
        <v>3.4559</v>
      </c>
      <c r="X70" s="320">
        <v>1.03</v>
      </c>
      <c r="Y70" s="320">
        <v>118.0</v>
      </c>
      <c r="Z70" s="320">
        <v>718.0</v>
      </c>
      <c r="AA70" s="320">
        <v>5344.0</v>
      </c>
      <c r="AB70" s="320">
        <v>52.1047</v>
      </c>
      <c r="AC70" s="320">
        <v>0.6444</v>
      </c>
      <c r="AD70" s="320">
        <v>9.29</v>
      </c>
      <c r="AE70" s="320">
        <v>4.0</v>
      </c>
      <c r="AF70" s="320">
        <v>7.0</v>
      </c>
      <c r="AG70" s="320">
        <v>13.0</v>
      </c>
      <c r="AH70" s="320">
        <v>19.0</v>
      </c>
      <c r="AI70" s="320">
        <v>60.92</v>
      </c>
      <c r="AJ70" s="320">
        <v>25.44</v>
      </c>
      <c r="AK70" s="320">
        <v>4.24</v>
      </c>
      <c r="AL70" s="320">
        <v>0.2233</v>
      </c>
      <c r="AM70" s="320">
        <v>21.29</v>
      </c>
      <c r="AN70" s="320">
        <v>29.07</v>
      </c>
      <c r="AO70" s="320">
        <v>74.35</v>
      </c>
      <c r="AP70" s="320">
        <v>15.83</v>
      </c>
    </row>
    <row r="71">
      <c r="A71" s="319" t="s">
        <v>256</v>
      </c>
      <c r="B71" s="328">
        <v>46061.0</v>
      </c>
      <c r="C71" s="319" t="s">
        <v>216</v>
      </c>
      <c r="D71" s="320">
        <v>16387.0</v>
      </c>
      <c r="E71" s="320">
        <v>14.9</v>
      </c>
      <c r="F71" s="320">
        <v>0.0</v>
      </c>
      <c r="G71" s="320">
        <v>0.0</v>
      </c>
      <c r="H71" s="320">
        <v>0.0</v>
      </c>
      <c r="I71" s="329"/>
      <c r="J71" s="320">
        <v>87.9</v>
      </c>
      <c r="K71" s="320">
        <v>43.8</v>
      </c>
      <c r="L71" s="320">
        <v>27.5</v>
      </c>
      <c r="M71" s="320">
        <v>0.6279</v>
      </c>
      <c r="N71" s="320">
        <v>0.5567</v>
      </c>
      <c r="O71" s="320">
        <v>0.3835</v>
      </c>
      <c r="P71" s="320">
        <v>1.5927</v>
      </c>
      <c r="Q71" s="320">
        <v>132.59</v>
      </c>
      <c r="R71" s="320">
        <v>74.77</v>
      </c>
      <c r="S71" s="320">
        <v>57.82</v>
      </c>
      <c r="T71" s="320">
        <v>1.84</v>
      </c>
      <c r="U71" s="320">
        <v>130.75</v>
      </c>
      <c r="V71" s="320">
        <v>163.39</v>
      </c>
      <c r="W71" s="320">
        <v>3.7302</v>
      </c>
      <c r="X71" s="320">
        <v>1.39</v>
      </c>
      <c r="Y71" s="320">
        <v>124.0</v>
      </c>
      <c r="Z71" s="320">
        <v>905.0</v>
      </c>
      <c r="AA71" s="320">
        <v>5962.0</v>
      </c>
      <c r="AB71" s="320">
        <v>55.1011</v>
      </c>
      <c r="AC71" s="320">
        <v>0.7329</v>
      </c>
      <c r="AD71" s="320">
        <v>17.51</v>
      </c>
      <c r="AE71" s="320">
        <v>7.0</v>
      </c>
      <c r="AF71" s="320">
        <v>13.0</v>
      </c>
      <c r="AG71" s="320">
        <v>24.0</v>
      </c>
      <c r="AH71" s="320">
        <v>36.0</v>
      </c>
      <c r="AI71" s="320">
        <v>58.42</v>
      </c>
      <c r="AJ71" s="320">
        <v>22.27</v>
      </c>
      <c r="AK71" s="320">
        <v>6.93</v>
      </c>
      <c r="AL71" s="320">
        <v>0.1996</v>
      </c>
      <c r="AM71" s="320">
        <v>21.61</v>
      </c>
      <c r="AN71" s="320">
        <v>53.16</v>
      </c>
      <c r="AO71" s="320">
        <v>76.98</v>
      </c>
      <c r="AP71" s="320">
        <v>16.64</v>
      </c>
    </row>
    <row r="72">
      <c r="A72" s="319" t="s">
        <v>256</v>
      </c>
      <c r="B72" s="328">
        <v>46061.0</v>
      </c>
      <c r="C72" s="319" t="s">
        <v>217</v>
      </c>
      <c r="D72" s="320">
        <v>6237.0</v>
      </c>
      <c r="E72" s="320">
        <v>5.67</v>
      </c>
      <c r="F72" s="320">
        <v>0.0</v>
      </c>
      <c r="G72" s="320">
        <v>0.0</v>
      </c>
      <c r="H72" s="320">
        <v>0.0</v>
      </c>
      <c r="I72" s="329"/>
      <c r="J72" s="320">
        <v>136.44</v>
      </c>
      <c r="K72" s="320">
        <v>73.39</v>
      </c>
      <c r="L72" s="320">
        <v>55.57</v>
      </c>
      <c r="M72" s="320">
        <v>0.7572</v>
      </c>
      <c r="N72" s="320">
        <v>0.4157</v>
      </c>
      <c r="O72" s="320">
        <v>0.2895</v>
      </c>
      <c r="P72" s="320">
        <v>1.3206</v>
      </c>
      <c r="Q72" s="320">
        <v>236.4</v>
      </c>
      <c r="R72" s="320">
        <v>118.6</v>
      </c>
      <c r="S72" s="320">
        <v>117.8</v>
      </c>
      <c r="T72" s="320">
        <v>4.55</v>
      </c>
      <c r="U72" s="320">
        <v>231.84</v>
      </c>
      <c r="V72" s="320">
        <v>312.72</v>
      </c>
      <c r="W72" s="320">
        <v>4.2611</v>
      </c>
      <c r="X72" s="320">
        <v>1.93</v>
      </c>
      <c r="Y72" s="320">
        <v>245.0</v>
      </c>
      <c r="Z72" s="320">
        <v>2217.0</v>
      </c>
      <c r="AA72" s="320">
        <v>8901.0</v>
      </c>
      <c r="AB72" s="320">
        <v>59.1278</v>
      </c>
      <c r="AC72" s="320">
        <v>0.8271</v>
      </c>
      <c r="AD72" s="320">
        <v>36.36</v>
      </c>
      <c r="AE72" s="320">
        <v>14.0</v>
      </c>
      <c r="AF72" s="320">
        <v>27.0</v>
      </c>
      <c r="AG72" s="320">
        <v>49.0</v>
      </c>
      <c r="AH72" s="320">
        <v>78.0</v>
      </c>
      <c r="AI72" s="320">
        <v>49.14</v>
      </c>
      <c r="AJ72" s="320">
        <v>18.47</v>
      </c>
      <c r="AK72" s="320">
        <v>4.92</v>
      </c>
      <c r="AL72" s="320">
        <v>0.1643</v>
      </c>
      <c r="AM72" s="320">
        <v>21.55</v>
      </c>
      <c r="AN72" s="320">
        <v>97.05</v>
      </c>
      <c r="AO72" s="320">
        <v>80.85</v>
      </c>
      <c r="AP72" s="320">
        <v>17.42</v>
      </c>
    </row>
    <row r="73">
      <c r="A73" s="319" t="s">
        <v>256</v>
      </c>
      <c r="B73" s="328">
        <v>46061.0</v>
      </c>
      <c r="C73" s="319" t="s">
        <v>218</v>
      </c>
      <c r="D73" s="320">
        <v>683.0</v>
      </c>
      <c r="E73" s="320">
        <v>0.62</v>
      </c>
      <c r="F73" s="320">
        <v>0.0</v>
      </c>
      <c r="G73" s="320">
        <v>0.0</v>
      </c>
      <c r="H73" s="320">
        <v>0.0</v>
      </c>
      <c r="I73" s="329"/>
      <c r="J73" s="320">
        <v>248.07</v>
      </c>
      <c r="K73" s="320">
        <v>147.83</v>
      </c>
      <c r="L73" s="320">
        <v>127.02</v>
      </c>
      <c r="M73" s="320">
        <v>0.8593</v>
      </c>
      <c r="N73" s="320">
        <v>0.2865</v>
      </c>
      <c r="O73" s="320">
        <v>0.21</v>
      </c>
      <c r="P73" s="320">
        <v>1.1638</v>
      </c>
      <c r="Q73" s="320">
        <v>434.87</v>
      </c>
      <c r="R73" s="320">
        <v>165.33</v>
      </c>
      <c r="S73" s="320">
        <v>269.54</v>
      </c>
      <c r="T73" s="320">
        <v>0.0</v>
      </c>
      <c r="U73" s="320">
        <v>434.87</v>
      </c>
      <c r="V73" s="320">
        <v>614.79</v>
      </c>
      <c r="W73" s="320">
        <v>4.1588</v>
      </c>
      <c r="X73" s="320">
        <v>0.0</v>
      </c>
      <c r="Y73" s="320">
        <v>841.0</v>
      </c>
      <c r="Z73" s="320">
        <v>3979.0</v>
      </c>
      <c r="AA73" s="320">
        <v>11086.0</v>
      </c>
      <c r="AB73" s="320">
        <v>63.3496</v>
      </c>
      <c r="AC73" s="320">
        <v>0.891</v>
      </c>
      <c r="AD73" s="320">
        <v>86.82</v>
      </c>
      <c r="AE73" s="320">
        <v>32.0</v>
      </c>
      <c r="AF73" s="320">
        <v>71.0</v>
      </c>
      <c r="AG73" s="320">
        <v>124.0</v>
      </c>
      <c r="AH73" s="320">
        <v>172.0</v>
      </c>
      <c r="AI73" s="320">
        <v>46.41</v>
      </c>
      <c r="AJ73" s="320">
        <v>9.66</v>
      </c>
      <c r="AK73" s="320">
        <v>1.76</v>
      </c>
      <c r="AL73" s="320">
        <v>0.1245</v>
      </c>
      <c r="AM73" s="320">
        <v>23.24</v>
      </c>
      <c r="AN73" s="320">
        <v>142.08</v>
      </c>
      <c r="AO73" s="320">
        <v>80.97</v>
      </c>
      <c r="AP73" s="320">
        <v>18.82</v>
      </c>
    </row>
    <row r="74">
      <c r="A74" s="319" t="s">
        <v>256</v>
      </c>
      <c r="B74" s="328">
        <v>46062.0</v>
      </c>
      <c r="C74" s="319" t="s">
        <v>257</v>
      </c>
      <c r="D74" s="320">
        <v>20748.0</v>
      </c>
      <c r="E74" s="320">
        <v>18.2</v>
      </c>
      <c r="F74" s="320">
        <v>0.0</v>
      </c>
      <c r="G74" s="320">
        <v>0.0</v>
      </c>
      <c r="H74" s="320">
        <v>0.0</v>
      </c>
      <c r="I74" s="329"/>
      <c r="J74" s="320">
        <v>5.78</v>
      </c>
      <c r="K74" s="320">
        <v>2.31</v>
      </c>
      <c r="L74" s="320">
        <v>0.1</v>
      </c>
      <c r="M74" s="320">
        <v>0.0426</v>
      </c>
      <c r="N74" s="320">
        <v>0.9658</v>
      </c>
      <c r="O74" s="320">
        <v>0.7022</v>
      </c>
      <c r="P74" s="320">
        <v>23.4618</v>
      </c>
      <c r="Q74" s="320">
        <v>33.72</v>
      </c>
      <c r="R74" s="320">
        <v>33.59</v>
      </c>
      <c r="S74" s="320">
        <v>0.13</v>
      </c>
      <c r="T74" s="320">
        <v>0.0</v>
      </c>
      <c r="U74" s="320">
        <v>33.72</v>
      </c>
      <c r="V74" s="320">
        <v>2.24</v>
      </c>
      <c r="W74" s="320">
        <v>0.9695</v>
      </c>
      <c r="X74" s="320">
        <v>0.0</v>
      </c>
      <c r="Y74" s="320">
        <v>378.0</v>
      </c>
      <c r="Z74" s="320">
        <v>3812.0</v>
      </c>
      <c r="AA74" s="320">
        <v>14567.0</v>
      </c>
      <c r="AB74" s="320">
        <v>49.3661</v>
      </c>
      <c r="AC74" s="320">
        <v>0.5563</v>
      </c>
      <c r="AD74" s="329"/>
      <c r="AE74" s="329"/>
      <c r="AF74" s="329"/>
      <c r="AG74" s="329"/>
      <c r="AH74" s="329"/>
      <c r="AI74" s="320">
        <v>0.0</v>
      </c>
      <c r="AJ74" s="320">
        <v>0.0</v>
      </c>
      <c r="AK74" s="320">
        <v>0.0</v>
      </c>
      <c r="AL74" s="320">
        <v>0.2906</v>
      </c>
      <c r="AM74" s="320">
        <v>16.91</v>
      </c>
      <c r="AN74" s="320">
        <v>16.68</v>
      </c>
      <c r="AO74" s="329"/>
      <c r="AP74" s="329"/>
    </row>
    <row r="75">
      <c r="A75" s="319" t="s">
        <v>256</v>
      </c>
      <c r="B75" s="328">
        <v>46062.0</v>
      </c>
      <c r="C75" s="319" t="s">
        <v>214</v>
      </c>
      <c r="D75" s="320">
        <v>37674.0</v>
      </c>
      <c r="E75" s="320">
        <v>33.04</v>
      </c>
      <c r="F75" s="320">
        <v>0.0</v>
      </c>
      <c r="G75" s="320">
        <v>0.0</v>
      </c>
      <c r="H75" s="320">
        <v>0.0</v>
      </c>
      <c r="I75" s="329"/>
      <c r="J75" s="320">
        <v>31.31</v>
      </c>
      <c r="K75" s="320">
        <v>13.95</v>
      </c>
      <c r="L75" s="320">
        <v>5.67</v>
      </c>
      <c r="M75" s="320">
        <v>0.4061</v>
      </c>
      <c r="N75" s="320">
        <v>0.7656</v>
      </c>
      <c r="O75" s="320">
        <v>0.5701</v>
      </c>
      <c r="P75" s="320">
        <v>2.4627</v>
      </c>
      <c r="Q75" s="320">
        <v>72.41</v>
      </c>
      <c r="R75" s="320">
        <v>60.95</v>
      </c>
      <c r="S75" s="320">
        <v>11.46</v>
      </c>
      <c r="T75" s="320">
        <v>0.32</v>
      </c>
      <c r="U75" s="320">
        <v>72.09</v>
      </c>
      <c r="V75" s="320">
        <v>60.08</v>
      </c>
      <c r="W75" s="320">
        <v>4.3057</v>
      </c>
      <c r="X75" s="320">
        <v>0.44</v>
      </c>
      <c r="Y75" s="320">
        <v>161.0</v>
      </c>
      <c r="Z75" s="320">
        <v>929.0</v>
      </c>
      <c r="AA75" s="320">
        <v>6096.0</v>
      </c>
      <c r="AB75" s="320">
        <v>48.6249</v>
      </c>
      <c r="AC75" s="320">
        <v>0.5358</v>
      </c>
      <c r="AD75" s="320">
        <v>3.91</v>
      </c>
      <c r="AE75" s="320">
        <v>1.0</v>
      </c>
      <c r="AF75" s="320">
        <v>3.0</v>
      </c>
      <c r="AG75" s="320">
        <v>5.0</v>
      </c>
      <c r="AH75" s="320">
        <v>9.0</v>
      </c>
      <c r="AI75" s="320">
        <v>73.07</v>
      </c>
      <c r="AJ75" s="320">
        <v>30.11</v>
      </c>
      <c r="AK75" s="320">
        <v>7.89</v>
      </c>
      <c r="AL75" s="320">
        <v>0.249</v>
      </c>
      <c r="AM75" s="320">
        <v>18.55</v>
      </c>
      <c r="AN75" s="320">
        <v>42.39</v>
      </c>
      <c r="AO75" s="320">
        <v>65.77</v>
      </c>
      <c r="AP75" s="320">
        <v>12.2</v>
      </c>
    </row>
    <row r="76">
      <c r="A76" s="319" t="s">
        <v>256</v>
      </c>
      <c r="B76" s="328">
        <v>46062.0</v>
      </c>
      <c r="C76" s="319" t="s">
        <v>215</v>
      </c>
      <c r="D76" s="320">
        <v>30313.0</v>
      </c>
      <c r="E76" s="320">
        <v>26.59</v>
      </c>
      <c r="F76" s="320">
        <v>0.0</v>
      </c>
      <c r="G76" s="320">
        <v>0.0</v>
      </c>
      <c r="H76" s="320">
        <v>0.0</v>
      </c>
      <c r="I76" s="329"/>
      <c r="J76" s="320">
        <v>58.31</v>
      </c>
      <c r="K76" s="320">
        <v>26.82</v>
      </c>
      <c r="L76" s="320">
        <v>14.02</v>
      </c>
      <c r="M76" s="320">
        <v>0.5226</v>
      </c>
      <c r="N76" s="320">
        <v>0.6746</v>
      </c>
      <c r="O76" s="320">
        <v>0.482</v>
      </c>
      <c r="P76" s="320">
        <v>1.9136</v>
      </c>
      <c r="Q76" s="320">
        <v>127.3</v>
      </c>
      <c r="R76" s="320">
        <v>99.66</v>
      </c>
      <c r="S76" s="320">
        <v>27.64</v>
      </c>
      <c r="T76" s="320">
        <v>0.68</v>
      </c>
      <c r="U76" s="320">
        <v>126.62</v>
      </c>
      <c r="V76" s="320">
        <v>112.34</v>
      </c>
      <c r="W76" s="320">
        <v>4.1885</v>
      </c>
      <c r="X76" s="320">
        <v>0.54</v>
      </c>
      <c r="Y76" s="320">
        <v>141.0</v>
      </c>
      <c r="Z76" s="320">
        <v>748.0</v>
      </c>
      <c r="AA76" s="320">
        <v>5766.0</v>
      </c>
      <c r="AB76" s="320">
        <v>52.0105</v>
      </c>
      <c r="AC76" s="320">
        <v>0.602</v>
      </c>
      <c r="AD76" s="320">
        <v>9.05</v>
      </c>
      <c r="AE76" s="320">
        <v>4.0</v>
      </c>
      <c r="AF76" s="320">
        <v>7.0</v>
      </c>
      <c r="AG76" s="320">
        <v>12.0</v>
      </c>
      <c r="AH76" s="320">
        <v>19.0</v>
      </c>
      <c r="AI76" s="320">
        <v>59.22</v>
      </c>
      <c r="AJ76" s="320">
        <v>24.54</v>
      </c>
      <c r="AK76" s="320">
        <v>3.95</v>
      </c>
      <c r="AL76" s="320">
        <v>0.1836</v>
      </c>
      <c r="AM76" s="320">
        <v>18.95</v>
      </c>
      <c r="AN76" s="320">
        <v>80.71</v>
      </c>
      <c r="AO76" s="320">
        <v>73.41</v>
      </c>
      <c r="AP76" s="320">
        <v>13.91</v>
      </c>
    </row>
    <row r="77">
      <c r="A77" s="319" t="s">
        <v>256</v>
      </c>
      <c r="B77" s="328">
        <v>46062.0</v>
      </c>
      <c r="C77" s="319" t="s">
        <v>216</v>
      </c>
      <c r="D77" s="320">
        <v>17754.0</v>
      </c>
      <c r="E77" s="320">
        <v>15.57</v>
      </c>
      <c r="F77" s="320">
        <v>0.0</v>
      </c>
      <c r="G77" s="320">
        <v>0.0</v>
      </c>
      <c r="H77" s="320">
        <v>0.0</v>
      </c>
      <c r="I77" s="329"/>
      <c r="J77" s="320">
        <v>89.85</v>
      </c>
      <c r="K77" s="320">
        <v>43.58</v>
      </c>
      <c r="L77" s="320">
        <v>28.73</v>
      </c>
      <c r="M77" s="320">
        <v>0.6591</v>
      </c>
      <c r="N77" s="320">
        <v>0.5426</v>
      </c>
      <c r="O77" s="320">
        <v>0.3837</v>
      </c>
      <c r="P77" s="320">
        <v>1.5173</v>
      </c>
      <c r="Q77" s="320">
        <v>214.74</v>
      </c>
      <c r="R77" s="320">
        <v>159.14</v>
      </c>
      <c r="S77" s="320">
        <v>55.6</v>
      </c>
      <c r="T77" s="320">
        <v>1.25</v>
      </c>
      <c r="U77" s="320">
        <v>213.49</v>
      </c>
      <c r="V77" s="320">
        <v>202.23</v>
      </c>
      <c r="W77" s="320">
        <v>4.64</v>
      </c>
      <c r="X77" s="320">
        <v>0.58</v>
      </c>
      <c r="Y77" s="320">
        <v>168.0</v>
      </c>
      <c r="Z77" s="320">
        <v>1058.0</v>
      </c>
      <c r="AA77" s="320">
        <v>7222.0</v>
      </c>
      <c r="AB77" s="320">
        <v>54.7938</v>
      </c>
      <c r="AC77" s="320">
        <v>0.6612</v>
      </c>
      <c r="AD77" s="320">
        <v>17.76</v>
      </c>
      <c r="AE77" s="320">
        <v>8.0</v>
      </c>
      <c r="AF77" s="320">
        <v>14.0</v>
      </c>
      <c r="AG77" s="320">
        <v>25.0</v>
      </c>
      <c r="AH77" s="320">
        <v>37.0</v>
      </c>
      <c r="AI77" s="320">
        <v>61.02</v>
      </c>
      <c r="AJ77" s="320">
        <v>23.75</v>
      </c>
      <c r="AK77" s="320">
        <v>5.38</v>
      </c>
      <c r="AL77" s="320">
        <v>0.1602</v>
      </c>
      <c r="AM77" s="320">
        <v>19.87</v>
      </c>
      <c r="AN77" s="320">
        <v>139.28</v>
      </c>
      <c r="AO77" s="320">
        <v>73.72</v>
      </c>
      <c r="AP77" s="320">
        <v>14.65</v>
      </c>
    </row>
    <row r="78">
      <c r="A78" s="319" t="s">
        <v>256</v>
      </c>
      <c r="B78" s="328">
        <v>46062.0</v>
      </c>
      <c r="C78" s="319" t="s">
        <v>217</v>
      </c>
      <c r="D78" s="320">
        <v>6862.0</v>
      </c>
      <c r="E78" s="320">
        <v>6.02</v>
      </c>
      <c r="F78" s="320">
        <v>0.0</v>
      </c>
      <c r="G78" s="320">
        <v>0.0</v>
      </c>
      <c r="H78" s="320">
        <v>0.0</v>
      </c>
      <c r="I78" s="329"/>
      <c r="J78" s="320">
        <v>143.79</v>
      </c>
      <c r="K78" s="320">
        <v>74.81</v>
      </c>
      <c r="L78" s="320">
        <v>58.64</v>
      </c>
      <c r="M78" s="320">
        <v>0.7839</v>
      </c>
      <c r="N78" s="320">
        <v>0.4055</v>
      </c>
      <c r="O78" s="320">
        <v>0.2934</v>
      </c>
      <c r="P78" s="320">
        <v>1.2757</v>
      </c>
      <c r="Q78" s="320">
        <v>377.04</v>
      </c>
      <c r="R78" s="320">
        <v>265.72</v>
      </c>
      <c r="S78" s="320">
        <v>111.33</v>
      </c>
      <c r="T78" s="320">
        <v>4.6</v>
      </c>
      <c r="U78" s="320">
        <v>372.44</v>
      </c>
      <c r="V78" s="320">
        <v>372.79</v>
      </c>
      <c r="W78" s="320">
        <v>4.983</v>
      </c>
      <c r="X78" s="320">
        <v>1.22</v>
      </c>
      <c r="Y78" s="320">
        <v>308.0</v>
      </c>
      <c r="Z78" s="320">
        <v>2555.0</v>
      </c>
      <c r="AA78" s="320">
        <v>10926.0</v>
      </c>
      <c r="AB78" s="320">
        <v>58.5874</v>
      </c>
      <c r="AC78" s="320">
        <v>0.7301</v>
      </c>
      <c r="AD78" s="320">
        <v>36.38</v>
      </c>
      <c r="AE78" s="320">
        <v>15.0</v>
      </c>
      <c r="AF78" s="320">
        <v>30.0</v>
      </c>
      <c r="AG78" s="320">
        <v>47.0</v>
      </c>
      <c r="AH78" s="320">
        <v>74.0</v>
      </c>
      <c r="AI78" s="320">
        <v>53.8</v>
      </c>
      <c r="AJ78" s="320">
        <v>16.72</v>
      </c>
      <c r="AK78" s="320">
        <v>3.96</v>
      </c>
      <c r="AL78" s="320">
        <v>0.1199</v>
      </c>
      <c r="AM78" s="320">
        <v>21.59</v>
      </c>
      <c r="AN78" s="320">
        <v>244.13</v>
      </c>
      <c r="AO78" s="320">
        <v>75.89</v>
      </c>
      <c r="AP78" s="320">
        <v>16.38</v>
      </c>
    </row>
    <row r="79">
      <c r="A79" s="319" t="s">
        <v>256</v>
      </c>
      <c r="B79" s="328">
        <v>46062.0</v>
      </c>
      <c r="C79" s="319" t="s">
        <v>218</v>
      </c>
      <c r="D79" s="320">
        <v>658.0</v>
      </c>
      <c r="E79" s="320">
        <v>0.58</v>
      </c>
      <c r="F79" s="320">
        <v>0.0</v>
      </c>
      <c r="G79" s="320">
        <v>0.0</v>
      </c>
      <c r="H79" s="320">
        <v>0.0</v>
      </c>
      <c r="I79" s="329"/>
      <c r="J79" s="320">
        <v>251.23</v>
      </c>
      <c r="K79" s="320">
        <v>147.88</v>
      </c>
      <c r="L79" s="320">
        <v>127.46</v>
      </c>
      <c r="M79" s="320">
        <v>0.8619</v>
      </c>
      <c r="N79" s="320">
        <v>0.2887</v>
      </c>
      <c r="O79" s="320">
        <v>0.214</v>
      </c>
      <c r="P79" s="320">
        <v>1.1602</v>
      </c>
      <c r="Q79" s="320">
        <v>669.83</v>
      </c>
      <c r="R79" s="320">
        <v>400.5</v>
      </c>
      <c r="S79" s="320">
        <v>269.33</v>
      </c>
      <c r="T79" s="320">
        <v>0.0</v>
      </c>
      <c r="U79" s="320">
        <v>669.83</v>
      </c>
      <c r="V79" s="320">
        <v>670.21</v>
      </c>
      <c r="W79" s="320">
        <v>4.5321</v>
      </c>
      <c r="X79" s="320">
        <v>0.0</v>
      </c>
      <c r="Y79" s="320">
        <v>826.0</v>
      </c>
      <c r="Z79" s="320">
        <v>3978.0</v>
      </c>
      <c r="AA79" s="320">
        <v>11524.0</v>
      </c>
      <c r="AB79" s="320">
        <v>63.7443</v>
      </c>
      <c r="AC79" s="320">
        <v>0.8852</v>
      </c>
      <c r="AD79" s="320">
        <v>89.06</v>
      </c>
      <c r="AE79" s="320">
        <v>36.0</v>
      </c>
      <c r="AF79" s="320">
        <v>76.0</v>
      </c>
      <c r="AG79" s="320">
        <v>125.0</v>
      </c>
      <c r="AH79" s="320">
        <v>183.0</v>
      </c>
      <c r="AI79" s="320">
        <v>48.18</v>
      </c>
      <c r="AJ79" s="320">
        <v>11.09</v>
      </c>
      <c r="AK79" s="320">
        <v>1.06</v>
      </c>
      <c r="AL79" s="320">
        <v>0.0805</v>
      </c>
      <c r="AM79" s="320">
        <v>22.1</v>
      </c>
      <c r="AN79" s="320">
        <v>378.4</v>
      </c>
      <c r="AO79" s="320">
        <v>83.67</v>
      </c>
      <c r="AP79" s="320">
        <v>18.49</v>
      </c>
    </row>
    <row r="80">
      <c r="A80" s="319" t="s">
        <v>256</v>
      </c>
      <c r="B80" s="328">
        <v>46063.0</v>
      </c>
      <c r="C80" s="319" t="s">
        <v>257</v>
      </c>
      <c r="D80" s="320">
        <v>20862.0</v>
      </c>
      <c r="E80" s="320">
        <v>18.48</v>
      </c>
      <c r="F80" s="320">
        <v>0.0</v>
      </c>
      <c r="G80" s="320">
        <v>0.0</v>
      </c>
      <c r="H80" s="320">
        <v>0.0</v>
      </c>
      <c r="I80" s="329"/>
      <c r="J80" s="320">
        <v>6.01</v>
      </c>
      <c r="K80" s="320">
        <v>2.46</v>
      </c>
      <c r="L80" s="320">
        <v>0.06</v>
      </c>
      <c r="M80" s="320">
        <v>0.0238</v>
      </c>
      <c r="N80" s="320">
        <v>0.981</v>
      </c>
      <c r="O80" s="320">
        <v>0.7937</v>
      </c>
      <c r="P80" s="320">
        <v>42.0729</v>
      </c>
      <c r="Q80" s="320">
        <v>25.43</v>
      </c>
      <c r="R80" s="320">
        <v>25.29</v>
      </c>
      <c r="S80" s="320">
        <v>0.13</v>
      </c>
      <c r="T80" s="320">
        <v>0.0</v>
      </c>
      <c r="U80" s="320">
        <v>25.43</v>
      </c>
      <c r="V80" s="320">
        <v>2.33</v>
      </c>
      <c r="W80" s="320">
        <v>0.948</v>
      </c>
      <c r="X80" s="320">
        <v>0.0</v>
      </c>
      <c r="Y80" s="320">
        <v>319.0</v>
      </c>
      <c r="Z80" s="320">
        <v>3464.0</v>
      </c>
      <c r="AA80" s="320">
        <v>13945.0</v>
      </c>
      <c r="AB80" s="320">
        <v>48.8497</v>
      </c>
      <c r="AC80" s="320">
        <v>0.5451</v>
      </c>
      <c r="AD80" s="329"/>
      <c r="AE80" s="329"/>
      <c r="AF80" s="329"/>
      <c r="AG80" s="329"/>
      <c r="AH80" s="329"/>
      <c r="AI80" s="320">
        <v>0.0</v>
      </c>
      <c r="AJ80" s="320">
        <v>0.0</v>
      </c>
      <c r="AK80" s="320">
        <v>0.0</v>
      </c>
      <c r="AL80" s="320">
        <v>0.2838</v>
      </c>
      <c r="AM80" s="320">
        <v>15.74</v>
      </c>
      <c r="AN80" s="320">
        <v>9.55</v>
      </c>
      <c r="AO80" s="329"/>
      <c r="AP80" s="329"/>
    </row>
    <row r="81">
      <c r="A81" s="319" t="s">
        <v>256</v>
      </c>
      <c r="B81" s="328">
        <v>46063.0</v>
      </c>
      <c r="C81" s="319" t="s">
        <v>214</v>
      </c>
      <c r="D81" s="320">
        <v>39003.0</v>
      </c>
      <c r="E81" s="320">
        <v>34.55</v>
      </c>
      <c r="F81" s="320">
        <v>0.0</v>
      </c>
      <c r="G81" s="320">
        <v>0.0</v>
      </c>
      <c r="H81" s="320">
        <v>0.0</v>
      </c>
      <c r="I81" s="329"/>
      <c r="J81" s="320">
        <v>28.32</v>
      </c>
      <c r="K81" s="320">
        <v>12.61</v>
      </c>
      <c r="L81" s="320">
        <v>5.36</v>
      </c>
      <c r="M81" s="320">
        <v>0.4251</v>
      </c>
      <c r="N81" s="320">
        <v>0.7544</v>
      </c>
      <c r="O81" s="320">
        <v>0.5686</v>
      </c>
      <c r="P81" s="320">
        <v>2.3524</v>
      </c>
      <c r="Q81" s="320">
        <v>53.9</v>
      </c>
      <c r="R81" s="320">
        <v>42.69</v>
      </c>
      <c r="S81" s="320">
        <v>11.21</v>
      </c>
      <c r="T81" s="320">
        <v>0.68</v>
      </c>
      <c r="U81" s="320">
        <v>53.22</v>
      </c>
      <c r="V81" s="320">
        <v>54.02</v>
      </c>
      <c r="W81" s="320">
        <v>4.283</v>
      </c>
      <c r="X81" s="320">
        <v>1.26</v>
      </c>
      <c r="Y81" s="320">
        <v>162.0</v>
      </c>
      <c r="Z81" s="320">
        <v>949.0</v>
      </c>
      <c r="AA81" s="320">
        <v>5966.0</v>
      </c>
      <c r="AB81" s="320">
        <v>48.7607</v>
      </c>
      <c r="AC81" s="320">
        <v>0.5377</v>
      </c>
      <c r="AD81" s="320">
        <v>3.91</v>
      </c>
      <c r="AE81" s="320">
        <v>1.0</v>
      </c>
      <c r="AF81" s="320">
        <v>3.0</v>
      </c>
      <c r="AG81" s="320">
        <v>5.0</v>
      </c>
      <c r="AH81" s="320">
        <v>9.0</v>
      </c>
      <c r="AI81" s="320">
        <v>72.59</v>
      </c>
      <c r="AJ81" s="320">
        <v>29.9</v>
      </c>
      <c r="AK81" s="320">
        <v>8.41</v>
      </c>
      <c r="AL81" s="320">
        <v>0.2425</v>
      </c>
      <c r="AM81" s="320">
        <v>17.86</v>
      </c>
      <c r="AN81" s="320">
        <v>24.83</v>
      </c>
      <c r="AO81" s="320">
        <v>65.81</v>
      </c>
      <c r="AP81" s="320">
        <v>11.75</v>
      </c>
    </row>
    <row r="82">
      <c r="A82" s="319" t="s">
        <v>256</v>
      </c>
      <c r="B82" s="328">
        <v>46063.0</v>
      </c>
      <c r="C82" s="319" t="s">
        <v>215</v>
      </c>
      <c r="D82" s="320">
        <v>29726.0</v>
      </c>
      <c r="E82" s="320">
        <v>26.33</v>
      </c>
      <c r="F82" s="320">
        <v>0.0</v>
      </c>
      <c r="G82" s="320">
        <v>0.0</v>
      </c>
      <c r="H82" s="320">
        <v>0.0</v>
      </c>
      <c r="I82" s="329"/>
      <c r="J82" s="320">
        <v>52.9</v>
      </c>
      <c r="K82" s="320">
        <v>24.36</v>
      </c>
      <c r="L82" s="320">
        <v>13.62</v>
      </c>
      <c r="M82" s="320">
        <v>0.5591</v>
      </c>
      <c r="N82" s="320">
        <v>0.6443</v>
      </c>
      <c r="O82" s="320">
        <v>0.4627</v>
      </c>
      <c r="P82" s="320">
        <v>1.7886</v>
      </c>
      <c r="Q82" s="320">
        <v>98.1</v>
      </c>
      <c r="R82" s="320">
        <v>70.53</v>
      </c>
      <c r="S82" s="320">
        <v>27.58</v>
      </c>
      <c r="T82" s="320">
        <v>1.57</v>
      </c>
      <c r="U82" s="320">
        <v>96.54</v>
      </c>
      <c r="V82" s="320">
        <v>100.0</v>
      </c>
      <c r="W82" s="320">
        <v>4.1054</v>
      </c>
      <c r="X82" s="320">
        <v>1.6</v>
      </c>
      <c r="Y82" s="320">
        <v>140.0</v>
      </c>
      <c r="Z82" s="320">
        <v>804.0</v>
      </c>
      <c r="AA82" s="320">
        <v>6118.0</v>
      </c>
      <c r="AB82" s="320">
        <v>52.1661</v>
      </c>
      <c r="AC82" s="320">
        <v>0.6115</v>
      </c>
      <c r="AD82" s="320">
        <v>9.05</v>
      </c>
      <c r="AE82" s="320">
        <v>3.0</v>
      </c>
      <c r="AF82" s="320">
        <v>7.0</v>
      </c>
      <c r="AG82" s="320">
        <v>12.0</v>
      </c>
      <c r="AH82" s="320">
        <v>19.0</v>
      </c>
      <c r="AI82" s="320">
        <v>59.67</v>
      </c>
      <c r="AJ82" s="320">
        <v>24.74</v>
      </c>
      <c r="AK82" s="320">
        <v>3.81</v>
      </c>
      <c r="AL82" s="320">
        <v>0.1821</v>
      </c>
      <c r="AM82" s="320">
        <v>18.45</v>
      </c>
      <c r="AN82" s="320">
        <v>52.07</v>
      </c>
      <c r="AO82" s="320">
        <v>73.85</v>
      </c>
      <c r="AP82" s="320">
        <v>13.63</v>
      </c>
    </row>
    <row r="83">
      <c r="A83" s="319" t="s">
        <v>256</v>
      </c>
      <c r="B83" s="328">
        <v>46063.0</v>
      </c>
      <c r="C83" s="319" t="s">
        <v>216</v>
      </c>
      <c r="D83" s="320">
        <v>16710.0</v>
      </c>
      <c r="E83" s="320">
        <v>14.8</v>
      </c>
      <c r="F83" s="320">
        <v>0.0</v>
      </c>
      <c r="G83" s="320">
        <v>0.0</v>
      </c>
      <c r="H83" s="320">
        <v>0.0</v>
      </c>
      <c r="I83" s="329"/>
      <c r="J83" s="320">
        <v>82.2</v>
      </c>
      <c r="K83" s="320">
        <v>40.26</v>
      </c>
      <c r="L83" s="320">
        <v>27.24</v>
      </c>
      <c r="M83" s="320">
        <v>0.6767</v>
      </c>
      <c r="N83" s="320">
        <v>0.5236</v>
      </c>
      <c r="O83" s="320">
        <v>0.371</v>
      </c>
      <c r="P83" s="320">
        <v>1.4777</v>
      </c>
      <c r="Q83" s="320">
        <v>174.53</v>
      </c>
      <c r="R83" s="320">
        <v>121.95</v>
      </c>
      <c r="S83" s="320">
        <v>52.58</v>
      </c>
      <c r="T83" s="320">
        <v>2.11</v>
      </c>
      <c r="U83" s="320">
        <v>172.42</v>
      </c>
      <c r="V83" s="320">
        <v>180.65</v>
      </c>
      <c r="W83" s="320">
        <v>4.4873</v>
      </c>
      <c r="X83" s="320">
        <v>1.21</v>
      </c>
      <c r="Y83" s="320">
        <v>161.0</v>
      </c>
      <c r="Z83" s="320">
        <v>1123.0</v>
      </c>
      <c r="AA83" s="320">
        <v>7094.0</v>
      </c>
      <c r="AB83" s="320">
        <v>55.0545</v>
      </c>
      <c r="AC83" s="320">
        <v>0.6803</v>
      </c>
      <c r="AD83" s="320">
        <v>16.56</v>
      </c>
      <c r="AE83" s="320">
        <v>7.0</v>
      </c>
      <c r="AF83" s="320">
        <v>12.0</v>
      </c>
      <c r="AG83" s="320">
        <v>23.0</v>
      </c>
      <c r="AH83" s="320">
        <v>34.0</v>
      </c>
      <c r="AI83" s="320">
        <v>57.11</v>
      </c>
      <c r="AJ83" s="320">
        <v>20.6</v>
      </c>
      <c r="AK83" s="320">
        <v>5.37</v>
      </c>
      <c r="AL83" s="320">
        <v>0.1583</v>
      </c>
      <c r="AM83" s="320">
        <v>18.82</v>
      </c>
      <c r="AN83" s="320">
        <v>103.13</v>
      </c>
      <c r="AO83" s="320">
        <v>75.26</v>
      </c>
      <c r="AP83" s="320">
        <v>14.16</v>
      </c>
    </row>
    <row r="84">
      <c r="A84" s="319" t="s">
        <v>256</v>
      </c>
      <c r="B84" s="328">
        <v>46063.0</v>
      </c>
      <c r="C84" s="319" t="s">
        <v>217</v>
      </c>
      <c r="D84" s="320">
        <v>5974.0</v>
      </c>
      <c r="E84" s="320">
        <v>5.29</v>
      </c>
      <c r="F84" s="320">
        <v>0.0</v>
      </c>
      <c r="G84" s="320">
        <v>0.0</v>
      </c>
      <c r="H84" s="320">
        <v>0.0</v>
      </c>
      <c r="I84" s="329"/>
      <c r="J84" s="320">
        <v>128.6</v>
      </c>
      <c r="K84" s="320">
        <v>67.8</v>
      </c>
      <c r="L84" s="320">
        <v>53.33</v>
      </c>
      <c r="M84" s="320">
        <v>0.7866</v>
      </c>
      <c r="N84" s="320">
        <v>0.3991</v>
      </c>
      <c r="O84" s="320">
        <v>0.29</v>
      </c>
      <c r="P84" s="320">
        <v>1.2714</v>
      </c>
      <c r="Q84" s="320">
        <v>327.8</v>
      </c>
      <c r="R84" s="320">
        <v>215.79</v>
      </c>
      <c r="S84" s="320">
        <v>112.01</v>
      </c>
      <c r="T84" s="320">
        <v>7.96</v>
      </c>
      <c r="U84" s="320">
        <v>319.84</v>
      </c>
      <c r="V84" s="320">
        <v>334.05</v>
      </c>
      <c r="W84" s="320">
        <v>4.9269</v>
      </c>
      <c r="X84" s="320">
        <v>2.43</v>
      </c>
      <c r="Y84" s="320">
        <v>284.0</v>
      </c>
      <c r="Z84" s="320">
        <v>2355.0</v>
      </c>
      <c r="AA84" s="320">
        <v>8971.0</v>
      </c>
      <c r="AB84" s="320">
        <v>59.2767</v>
      </c>
      <c r="AC84" s="320">
        <v>0.8176</v>
      </c>
      <c r="AD84" s="320">
        <v>36.3</v>
      </c>
      <c r="AE84" s="320">
        <v>14.0</v>
      </c>
      <c r="AF84" s="320">
        <v>29.0</v>
      </c>
      <c r="AG84" s="320">
        <v>50.0</v>
      </c>
      <c r="AH84" s="320">
        <v>76.0</v>
      </c>
      <c r="AI84" s="320">
        <v>51.29</v>
      </c>
      <c r="AJ84" s="320">
        <v>18.35</v>
      </c>
      <c r="AK84" s="320">
        <v>4.3</v>
      </c>
      <c r="AL84" s="320">
        <v>0.1202</v>
      </c>
      <c r="AM84" s="320">
        <v>19.84</v>
      </c>
      <c r="AN84" s="320">
        <v>195.95</v>
      </c>
      <c r="AO84" s="320">
        <v>82.44</v>
      </c>
      <c r="AP84" s="320">
        <v>16.36</v>
      </c>
    </row>
    <row r="85">
      <c r="A85" s="319" t="s">
        <v>256</v>
      </c>
      <c r="B85" s="328">
        <v>46063.0</v>
      </c>
      <c r="C85" s="319" t="s">
        <v>218</v>
      </c>
      <c r="D85" s="320">
        <v>616.0</v>
      </c>
      <c r="E85" s="320">
        <v>0.55</v>
      </c>
      <c r="F85" s="320">
        <v>0.0</v>
      </c>
      <c r="G85" s="320">
        <v>0.0</v>
      </c>
      <c r="H85" s="320">
        <v>0.0</v>
      </c>
      <c r="I85" s="329"/>
      <c r="J85" s="320">
        <v>237.35</v>
      </c>
      <c r="K85" s="320">
        <v>138.86</v>
      </c>
      <c r="L85" s="320">
        <v>120.9</v>
      </c>
      <c r="M85" s="320">
        <v>0.8706</v>
      </c>
      <c r="N85" s="320">
        <v>0.2781</v>
      </c>
      <c r="O85" s="320">
        <v>0.2089</v>
      </c>
      <c r="P85" s="320">
        <v>1.1486</v>
      </c>
      <c r="Q85" s="320">
        <v>618.48</v>
      </c>
      <c r="R85" s="320">
        <v>361.96</v>
      </c>
      <c r="S85" s="320">
        <v>256.52</v>
      </c>
      <c r="T85" s="320">
        <v>0.0</v>
      </c>
      <c r="U85" s="320">
        <v>618.48</v>
      </c>
      <c r="V85" s="320">
        <v>631.66</v>
      </c>
      <c r="W85" s="320">
        <v>4.5487</v>
      </c>
      <c r="X85" s="320">
        <v>0.0</v>
      </c>
      <c r="Y85" s="320">
        <v>900.0</v>
      </c>
      <c r="Z85" s="320">
        <v>4196.0</v>
      </c>
      <c r="AA85" s="320">
        <v>11868.0</v>
      </c>
      <c r="AB85" s="320">
        <v>63.6727</v>
      </c>
      <c r="AC85" s="320">
        <v>0.8913</v>
      </c>
      <c r="AD85" s="320">
        <v>84.01</v>
      </c>
      <c r="AE85" s="320">
        <v>32.0</v>
      </c>
      <c r="AF85" s="320">
        <v>68.0</v>
      </c>
      <c r="AG85" s="320">
        <v>120.0</v>
      </c>
      <c r="AH85" s="320">
        <v>172.0</v>
      </c>
      <c r="AI85" s="320">
        <v>43.99</v>
      </c>
      <c r="AJ85" s="320">
        <v>9.25</v>
      </c>
      <c r="AK85" s="320">
        <v>1.62</v>
      </c>
      <c r="AL85" s="320">
        <v>0.0698</v>
      </c>
      <c r="AM85" s="320">
        <v>21.79</v>
      </c>
      <c r="AN85" s="320">
        <v>340.18</v>
      </c>
      <c r="AO85" s="320">
        <v>86.43</v>
      </c>
      <c r="AP85" s="320">
        <v>18.83</v>
      </c>
    </row>
    <row r="86">
      <c r="A86" s="319" t="s">
        <v>256</v>
      </c>
      <c r="B86" s="328">
        <v>46064.0</v>
      </c>
      <c r="C86" s="319" t="s">
        <v>257</v>
      </c>
      <c r="D86" s="320">
        <v>21425.0</v>
      </c>
      <c r="E86" s="320">
        <v>19.22</v>
      </c>
      <c r="F86" s="320">
        <v>0.0</v>
      </c>
      <c r="G86" s="320">
        <v>0.0</v>
      </c>
      <c r="H86" s="320">
        <v>0.0</v>
      </c>
      <c r="I86" s="329"/>
      <c r="J86" s="320">
        <v>6.47</v>
      </c>
      <c r="K86" s="320">
        <v>2.66</v>
      </c>
      <c r="L86" s="320">
        <v>0.1</v>
      </c>
      <c r="M86" s="320">
        <v>0.0366</v>
      </c>
      <c r="N86" s="320">
        <v>0.9708</v>
      </c>
      <c r="O86" s="320">
        <v>0.7021</v>
      </c>
      <c r="P86" s="320">
        <v>27.3586</v>
      </c>
      <c r="Q86" s="320">
        <v>21.55</v>
      </c>
      <c r="R86" s="320">
        <v>21.39</v>
      </c>
      <c r="S86" s="320">
        <v>0.16</v>
      </c>
      <c r="T86" s="320">
        <v>0.0</v>
      </c>
      <c r="U86" s="320">
        <v>21.55</v>
      </c>
      <c r="V86" s="320">
        <v>1.86</v>
      </c>
      <c r="W86" s="320">
        <v>0.6975</v>
      </c>
      <c r="X86" s="320">
        <v>0.0</v>
      </c>
      <c r="Y86" s="320">
        <v>294.0</v>
      </c>
      <c r="Z86" s="320">
        <v>3384.0</v>
      </c>
      <c r="AA86" s="320">
        <v>13980.0</v>
      </c>
      <c r="AB86" s="320">
        <v>49.0333</v>
      </c>
      <c r="AC86" s="320">
        <v>0.5519</v>
      </c>
      <c r="AD86" s="329"/>
      <c r="AE86" s="329"/>
      <c r="AF86" s="329"/>
      <c r="AG86" s="329"/>
      <c r="AH86" s="329"/>
      <c r="AI86" s="320">
        <v>0.0</v>
      </c>
      <c r="AJ86" s="320">
        <v>0.0</v>
      </c>
      <c r="AK86" s="320">
        <v>0.0</v>
      </c>
      <c r="AL86" s="320">
        <v>0.286</v>
      </c>
      <c r="AM86" s="320">
        <v>16.1</v>
      </c>
      <c r="AN86" s="320">
        <v>5.29</v>
      </c>
      <c r="AO86" s="329"/>
      <c r="AP86" s="329"/>
    </row>
    <row r="87">
      <c r="A87" s="319" t="s">
        <v>256</v>
      </c>
      <c r="B87" s="328">
        <v>46064.0</v>
      </c>
      <c r="C87" s="319" t="s">
        <v>214</v>
      </c>
      <c r="D87" s="320">
        <v>39439.0</v>
      </c>
      <c r="E87" s="320">
        <v>35.38</v>
      </c>
      <c r="F87" s="320">
        <v>0.0</v>
      </c>
      <c r="G87" s="320">
        <v>0.0</v>
      </c>
      <c r="H87" s="320">
        <v>0.0</v>
      </c>
      <c r="I87" s="329"/>
      <c r="J87" s="320">
        <v>29.88</v>
      </c>
      <c r="K87" s="320">
        <v>13.49</v>
      </c>
      <c r="L87" s="320">
        <v>5.43</v>
      </c>
      <c r="M87" s="320">
        <v>0.4028</v>
      </c>
      <c r="N87" s="320">
        <v>0.7663</v>
      </c>
      <c r="O87" s="320">
        <v>0.5722</v>
      </c>
      <c r="P87" s="320">
        <v>2.4827</v>
      </c>
      <c r="Q87" s="320">
        <v>46.72</v>
      </c>
      <c r="R87" s="320">
        <v>35.3</v>
      </c>
      <c r="S87" s="320">
        <v>11.42</v>
      </c>
      <c r="T87" s="320">
        <v>0.45</v>
      </c>
      <c r="U87" s="320">
        <v>46.27</v>
      </c>
      <c r="V87" s="320">
        <v>52.01</v>
      </c>
      <c r="W87" s="320">
        <v>3.8557</v>
      </c>
      <c r="X87" s="320">
        <v>0.96</v>
      </c>
      <c r="Y87" s="320">
        <v>148.0</v>
      </c>
      <c r="Z87" s="320">
        <v>913.0</v>
      </c>
      <c r="AA87" s="320">
        <v>5999.0</v>
      </c>
      <c r="AB87" s="320">
        <v>48.779</v>
      </c>
      <c r="AC87" s="320">
        <v>0.5413</v>
      </c>
      <c r="AD87" s="320">
        <v>3.89</v>
      </c>
      <c r="AE87" s="320">
        <v>1.0</v>
      </c>
      <c r="AF87" s="320">
        <v>3.0</v>
      </c>
      <c r="AG87" s="320">
        <v>5.0</v>
      </c>
      <c r="AH87" s="320">
        <v>9.0</v>
      </c>
      <c r="AI87" s="320">
        <v>72.56</v>
      </c>
      <c r="AJ87" s="320">
        <v>29.83</v>
      </c>
      <c r="AK87" s="320">
        <v>7.87</v>
      </c>
      <c r="AL87" s="320">
        <v>0.2468</v>
      </c>
      <c r="AM87" s="320">
        <v>18.67</v>
      </c>
      <c r="AN87" s="320">
        <v>16.63</v>
      </c>
      <c r="AO87" s="320">
        <v>65.98</v>
      </c>
      <c r="AP87" s="320">
        <v>12.32</v>
      </c>
    </row>
    <row r="88">
      <c r="A88" s="319" t="s">
        <v>256</v>
      </c>
      <c r="B88" s="328">
        <v>46064.0</v>
      </c>
      <c r="C88" s="319" t="s">
        <v>215</v>
      </c>
      <c r="D88" s="320">
        <v>28743.0</v>
      </c>
      <c r="E88" s="320">
        <v>25.78</v>
      </c>
      <c r="F88" s="320">
        <v>0.0</v>
      </c>
      <c r="G88" s="320">
        <v>0.0</v>
      </c>
      <c r="H88" s="320">
        <v>0.0</v>
      </c>
      <c r="I88" s="329"/>
      <c r="J88" s="320">
        <v>56.85</v>
      </c>
      <c r="K88" s="320">
        <v>26.67</v>
      </c>
      <c r="L88" s="320">
        <v>14.05</v>
      </c>
      <c r="M88" s="320">
        <v>0.5271</v>
      </c>
      <c r="N88" s="320">
        <v>0.6622</v>
      </c>
      <c r="O88" s="320">
        <v>0.4638</v>
      </c>
      <c r="P88" s="320">
        <v>1.8972</v>
      </c>
      <c r="Q88" s="320">
        <v>76.81</v>
      </c>
      <c r="R88" s="320">
        <v>49.01</v>
      </c>
      <c r="S88" s="320">
        <v>27.79</v>
      </c>
      <c r="T88" s="320">
        <v>0.86</v>
      </c>
      <c r="U88" s="320">
        <v>75.95</v>
      </c>
      <c r="V88" s="320">
        <v>93.55</v>
      </c>
      <c r="W88" s="320">
        <v>3.5082</v>
      </c>
      <c r="X88" s="320">
        <v>1.11</v>
      </c>
      <c r="Y88" s="320">
        <v>118.0</v>
      </c>
      <c r="Z88" s="320">
        <v>714.0</v>
      </c>
      <c r="AA88" s="320">
        <v>5384.0</v>
      </c>
      <c r="AB88" s="320">
        <v>52.1058</v>
      </c>
      <c r="AC88" s="320">
        <v>0.6155</v>
      </c>
      <c r="AD88" s="320">
        <v>8.79</v>
      </c>
      <c r="AE88" s="320">
        <v>3.0</v>
      </c>
      <c r="AF88" s="320">
        <v>7.0</v>
      </c>
      <c r="AG88" s="320">
        <v>12.0</v>
      </c>
      <c r="AH88" s="320">
        <v>18.0</v>
      </c>
      <c r="AI88" s="320">
        <v>58.24</v>
      </c>
      <c r="AJ88" s="320">
        <v>23.06</v>
      </c>
      <c r="AK88" s="320">
        <v>3.56</v>
      </c>
      <c r="AL88" s="320">
        <v>0.1869</v>
      </c>
      <c r="AM88" s="320">
        <v>19.09</v>
      </c>
      <c r="AN88" s="320">
        <v>29.92</v>
      </c>
      <c r="AO88" s="320">
        <v>74.5</v>
      </c>
      <c r="AP88" s="320">
        <v>14.22</v>
      </c>
    </row>
    <row r="89">
      <c r="A89" s="319" t="s">
        <v>256</v>
      </c>
      <c r="B89" s="328">
        <v>46064.0</v>
      </c>
      <c r="C89" s="319" t="s">
        <v>216</v>
      </c>
      <c r="D89" s="320">
        <v>15442.0</v>
      </c>
      <c r="E89" s="320">
        <v>13.85</v>
      </c>
      <c r="F89" s="320">
        <v>0.0</v>
      </c>
      <c r="G89" s="320">
        <v>0.0</v>
      </c>
      <c r="H89" s="320">
        <v>0.0</v>
      </c>
      <c r="I89" s="329"/>
      <c r="J89" s="320">
        <v>81.53</v>
      </c>
      <c r="K89" s="320">
        <v>40.63</v>
      </c>
      <c r="L89" s="320">
        <v>25.71</v>
      </c>
      <c r="M89" s="320">
        <v>0.6329</v>
      </c>
      <c r="N89" s="320">
        <v>0.5537</v>
      </c>
      <c r="O89" s="320">
        <v>0.3825</v>
      </c>
      <c r="P89" s="320">
        <v>1.58</v>
      </c>
      <c r="Q89" s="320">
        <v>127.96</v>
      </c>
      <c r="R89" s="320">
        <v>74.09</v>
      </c>
      <c r="S89" s="320">
        <v>53.88</v>
      </c>
      <c r="T89" s="320">
        <v>3.79</v>
      </c>
      <c r="U89" s="320">
        <v>124.18</v>
      </c>
      <c r="V89" s="320">
        <v>159.29</v>
      </c>
      <c r="W89" s="320">
        <v>3.9206</v>
      </c>
      <c r="X89" s="320">
        <v>2.96</v>
      </c>
      <c r="Y89" s="320">
        <v>136.0</v>
      </c>
      <c r="Z89" s="320">
        <v>1028.0</v>
      </c>
      <c r="AA89" s="320">
        <v>6490.0</v>
      </c>
      <c r="AB89" s="320">
        <v>55.3191</v>
      </c>
      <c r="AC89" s="320">
        <v>0.7271</v>
      </c>
      <c r="AD89" s="320">
        <v>16.67</v>
      </c>
      <c r="AE89" s="320">
        <v>6.0</v>
      </c>
      <c r="AF89" s="320">
        <v>13.0</v>
      </c>
      <c r="AG89" s="320">
        <v>23.0</v>
      </c>
      <c r="AH89" s="320">
        <v>35.0</v>
      </c>
      <c r="AI89" s="320">
        <v>55.62</v>
      </c>
      <c r="AJ89" s="320">
        <v>20.99</v>
      </c>
      <c r="AK89" s="320">
        <v>6.14</v>
      </c>
      <c r="AL89" s="320">
        <v>0.1739</v>
      </c>
      <c r="AM89" s="320">
        <v>20.34</v>
      </c>
      <c r="AN89" s="320">
        <v>53.75</v>
      </c>
      <c r="AO89" s="320">
        <v>78.21</v>
      </c>
      <c r="AP89" s="320">
        <v>15.91</v>
      </c>
    </row>
    <row r="90">
      <c r="A90" s="319" t="s">
        <v>256</v>
      </c>
      <c r="B90" s="328">
        <v>46064.0</v>
      </c>
      <c r="C90" s="319" t="s">
        <v>217</v>
      </c>
      <c r="D90" s="320">
        <v>5829.0</v>
      </c>
      <c r="E90" s="320">
        <v>5.23</v>
      </c>
      <c r="F90" s="320">
        <v>0.0</v>
      </c>
      <c r="G90" s="320">
        <v>0.0</v>
      </c>
      <c r="H90" s="320">
        <v>0.0</v>
      </c>
      <c r="I90" s="329"/>
      <c r="J90" s="320">
        <v>134.8</v>
      </c>
      <c r="K90" s="320">
        <v>71.11</v>
      </c>
      <c r="L90" s="320">
        <v>54.2</v>
      </c>
      <c r="M90" s="320">
        <v>0.7622</v>
      </c>
      <c r="N90" s="320">
        <v>0.4147</v>
      </c>
      <c r="O90" s="320">
        <v>0.2915</v>
      </c>
      <c r="P90" s="320">
        <v>1.312</v>
      </c>
      <c r="Q90" s="320">
        <v>215.3</v>
      </c>
      <c r="R90" s="320">
        <v>101.04</v>
      </c>
      <c r="S90" s="320">
        <v>114.26</v>
      </c>
      <c r="T90" s="320">
        <v>0.51</v>
      </c>
      <c r="U90" s="320">
        <v>214.79</v>
      </c>
      <c r="V90" s="320">
        <v>302.5</v>
      </c>
      <c r="W90" s="320">
        <v>4.2539</v>
      </c>
      <c r="X90" s="320">
        <v>0.24</v>
      </c>
      <c r="Y90" s="320">
        <v>213.0</v>
      </c>
      <c r="Z90" s="320">
        <v>2348.0</v>
      </c>
      <c r="AA90" s="320">
        <v>9178.0</v>
      </c>
      <c r="AB90" s="320">
        <v>59.3819</v>
      </c>
      <c r="AC90" s="320">
        <v>0.8262</v>
      </c>
      <c r="AD90" s="320">
        <v>36.07</v>
      </c>
      <c r="AE90" s="320">
        <v>13.0</v>
      </c>
      <c r="AF90" s="320">
        <v>27.0</v>
      </c>
      <c r="AG90" s="320">
        <v>50.0</v>
      </c>
      <c r="AH90" s="320">
        <v>78.0</v>
      </c>
      <c r="AI90" s="320">
        <v>48.55</v>
      </c>
      <c r="AJ90" s="320">
        <v>18.75</v>
      </c>
      <c r="AK90" s="320">
        <v>4.89</v>
      </c>
      <c r="AL90" s="320">
        <v>0.1251</v>
      </c>
      <c r="AM90" s="320">
        <v>20.41</v>
      </c>
      <c r="AN90" s="320">
        <v>80.63</v>
      </c>
      <c r="AO90" s="320">
        <v>83.44</v>
      </c>
      <c r="AP90" s="320">
        <v>17.03</v>
      </c>
    </row>
    <row r="91">
      <c r="A91" s="319" t="s">
        <v>256</v>
      </c>
      <c r="B91" s="328">
        <v>46064.0</v>
      </c>
      <c r="C91" s="319" t="s">
        <v>218</v>
      </c>
      <c r="D91" s="320">
        <v>610.0</v>
      </c>
      <c r="E91" s="320">
        <v>0.55</v>
      </c>
      <c r="F91" s="320">
        <v>0.0</v>
      </c>
      <c r="G91" s="320">
        <v>0.0</v>
      </c>
      <c r="H91" s="320">
        <v>0.0</v>
      </c>
      <c r="I91" s="329"/>
      <c r="J91" s="320">
        <v>249.26</v>
      </c>
      <c r="K91" s="320">
        <v>146.06</v>
      </c>
      <c r="L91" s="320">
        <v>125.82</v>
      </c>
      <c r="M91" s="320">
        <v>0.8614</v>
      </c>
      <c r="N91" s="320">
        <v>0.2862</v>
      </c>
      <c r="O91" s="320">
        <v>0.2119</v>
      </c>
      <c r="P91" s="320">
        <v>1.1608</v>
      </c>
      <c r="Q91" s="320">
        <v>437.93</v>
      </c>
      <c r="R91" s="320">
        <v>172.19</v>
      </c>
      <c r="S91" s="320">
        <v>265.75</v>
      </c>
      <c r="T91" s="320">
        <v>0.0</v>
      </c>
      <c r="U91" s="320">
        <v>437.93</v>
      </c>
      <c r="V91" s="320">
        <v>578.52</v>
      </c>
      <c r="W91" s="320">
        <v>3.9609</v>
      </c>
      <c r="X91" s="320">
        <v>0.0</v>
      </c>
      <c r="Y91" s="320">
        <v>783.0</v>
      </c>
      <c r="Z91" s="320">
        <v>3625.0</v>
      </c>
      <c r="AA91" s="320">
        <v>10895.0</v>
      </c>
      <c r="AB91" s="320">
        <v>63.5845</v>
      </c>
      <c r="AC91" s="320">
        <v>0.8915</v>
      </c>
      <c r="AD91" s="320">
        <v>84.52</v>
      </c>
      <c r="AE91" s="320">
        <v>31.0</v>
      </c>
      <c r="AF91" s="320">
        <v>66.0</v>
      </c>
      <c r="AG91" s="320">
        <v>122.0</v>
      </c>
      <c r="AH91" s="320">
        <v>174.0</v>
      </c>
      <c r="AI91" s="320">
        <v>44.59</v>
      </c>
      <c r="AJ91" s="320">
        <v>9.02</v>
      </c>
      <c r="AK91" s="320">
        <v>1.15</v>
      </c>
      <c r="AL91" s="320">
        <v>0.1049</v>
      </c>
      <c r="AM91" s="320">
        <v>21.62</v>
      </c>
      <c r="AN91" s="320">
        <v>150.56</v>
      </c>
      <c r="AO91" s="320">
        <v>85.06</v>
      </c>
      <c r="AP91" s="320">
        <v>18.39</v>
      </c>
    </row>
    <row r="92">
      <c r="A92" s="319" t="s">
        <v>256</v>
      </c>
      <c r="B92" s="328">
        <v>46065.0</v>
      </c>
      <c r="C92" s="319" t="s">
        <v>257</v>
      </c>
      <c r="D92" s="320">
        <v>22042.0</v>
      </c>
      <c r="E92" s="320">
        <v>20.15</v>
      </c>
      <c r="F92" s="320">
        <v>0.0</v>
      </c>
      <c r="G92" s="320">
        <v>0.0</v>
      </c>
      <c r="H92" s="320">
        <v>0.0</v>
      </c>
      <c r="I92" s="329"/>
      <c r="J92" s="320">
        <v>6.32</v>
      </c>
      <c r="K92" s="320">
        <v>2.59</v>
      </c>
      <c r="L92" s="320">
        <v>0.03</v>
      </c>
      <c r="M92" s="320">
        <v>0.0132</v>
      </c>
      <c r="N92" s="320">
        <v>0.9902</v>
      </c>
      <c r="O92" s="320">
        <v>0.8697</v>
      </c>
      <c r="P92" s="320">
        <v>75.6233</v>
      </c>
      <c r="Q92" s="320">
        <v>23.07</v>
      </c>
      <c r="R92" s="320">
        <v>22.83</v>
      </c>
      <c r="S92" s="320">
        <v>0.23</v>
      </c>
      <c r="T92" s="320">
        <v>0.0</v>
      </c>
      <c r="U92" s="320">
        <v>23.07</v>
      </c>
      <c r="V92" s="320">
        <v>2.19</v>
      </c>
      <c r="W92" s="320">
        <v>0.8453</v>
      </c>
      <c r="X92" s="320">
        <v>0.0</v>
      </c>
      <c r="Y92" s="320">
        <v>281.0</v>
      </c>
      <c r="Z92" s="320">
        <v>3199.0</v>
      </c>
      <c r="AA92" s="320">
        <v>13597.0</v>
      </c>
      <c r="AB92" s="320">
        <v>48.9371</v>
      </c>
      <c r="AC92" s="320">
        <v>0.5459</v>
      </c>
      <c r="AD92" s="329"/>
      <c r="AE92" s="329"/>
      <c r="AF92" s="329"/>
      <c r="AG92" s="329"/>
      <c r="AH92" s="329"/>
      <c r="AI92" s="320">
        <v>0.0</v>
      </c>
      <c r="AJ92" s="320">
        <v>0.0</v>
      </c>
      <c r="AK92" s="320">
        <v>0.0</v>
      </c>
      <c r="AL92" s="320">
        <v>0.2954</v>
      </c>
      <c r="AM92" s="320">
        <v>16.51</v>
      </c>
      <c r="AN92" s="320">
        <v>6.32</v>
      </c>
      <c r="AO92" s="329"/>
      <c r="AP92" s="329"/>
    </row>
    <row r="93">
      <c r="A93" s="319" t="s">
        <v>256</v>
      </c>
      <c r="B93" s="328">
        <v>46065.0</v>
      </c>
      <c r="C93" s="319" t="s">
        <v>214</v>
      </c>
      <c r="D93" s="320">
        <v>39041.0</v>
      </c>
      <c r="E93" s="320">
        <v>35.69</v>
      </c>
      <c r="F93" s="320">
        <v>0.0</v>
      </c>
      <c r="G93" s="320">
        <v>0.0</v>
      </c>
      <c r="H93" s="320">
        <v>0.0</v>
      </c>
      <c r="I93" s="329"/>
      <c r="J93" s="320">
        <v>27.94</v>
      </c>
      <c r="K93" s="320">
        <v>12.44</v>
      </c>
      <c r="L93" s="320">
        <v>5.33</v>
      </c>
      <c r="M93" s="320">
        <v>0.4282</v>
      </c>
      <c r="N93" s="320">
        <v>0.7497</v>
      </c>
      <c r="O93" s="320">
        <v>0.5625</v>
      </c>
      <c r="P93" s="320">
        <v>2.3352</v>
      </c>
      <c r="Q93" s="320">
        <v>46.7</v>
      </c>
      <c r="R93" s="320">
        <v>35.57</v>
      </c>
      <c r="S93" s="320">
        <v>11.13</v>
      </c>
      <c r="T93" s="320">
        <v>0.17</v>
      </c>
      <c r="U93" s="320">
        <v>46.53</v>
      </c>
      <c r="V93" s="320">
        <v>49.68</v>
      </c>
      <c r="W93" s="320">
        <v>3.9928</v>
      </c>
      <c r="X93" s="320">
        <v>0.36</v>
      </c>
      <c r="Y93" s="320">
        <v>140.0</v>
      </c>
      <c r="Z93" s="320">
        <v>955.0</v>
      </c>
      <c r="AA93" s="320">
        <v>6110.0</v>
      </c>
      <c r="AB93" s="320">
        <v>48.7509</v>
      </c>
      <c r="AC93" s="320">
        <v>0.5412</v>
      </c>
      <c r="AD93" s="320">
        <v>3.86</v>
      </c>
      <c r="AE93" s="320">
        <v>1.0</v>
      </c>
      <c r="AF93" s="320">
        <v>3.0</v>
      </c>
      <c r="AG93" s="320">
        <v>5.0</v>
      </c>
      <c r="AH93" s="320">
        <v>9.0</v>
      </c>
      <c r="AI93" s="320">
        <v>71.25</v>
      </c>
      <c r="AJ93" s="320">
        <v>29.51</v>
      </c>
      <c r="AK93" s="320">
        <v>8.13</v>
      </c>
      <c r="AL93" s="320">
        <v>0.2598</v>
      </c>
      <c r="AM93" s="320">
        <v>19.18</v>
      </c>
      <c r="AN93" s="320">
        <v>16.39</v>
      </c>
      <c r="AO93" s="320">
        <v>66.44</v>
      </c>
      <c r="AP93" s="320">
        <v>12.74</v>
      </c>
    </row>
    <row r="94">
      <c r="A94" s="319" t="s">
        <v>256</v>
      </c>
      <c r="B94" s="328">
        <v>46065.0</v>
      </c>
      <c r="C94" s="319" t="s">
        <v>215</v>
      </c>
      <c r="D94" s="320">
        <v>27276.0</v>
      </c>
      <c r="E94" s="320">
        <v>24.94</v>
      </c>
      <c r="F94" s="320">
        <v>0.0</v>
      </c>
      <c r="G94" s="320">
        <v>0.0</v>
      </c>
      <c r="H94" s="320">
        <v>0.0</v>
      </c>
      <c r="I94" s="329"/>
      <c r="J94" s="320">
        <v>50.95</v>
      </c>
      <c r="K94" s="320">
        <v>23.68</v>
      </c>
      <c r="L94" s="320">
        <v>13.25</v>
      </c>
      <c r="M94" s="320">
        <v>0.5596</v>
      </c>
      <c r="N94" s="320">
        <v>0.6388</v>
      </c>
      <c r="O94" s="320">
        <v>0.4533</v>
      </c>
      <c r="P94" s="320">
        <v>1.7871</v>
      </c>
      <c r="Q94" s="320">
        <v>91.44</v>
      </c>
      <c r="R94" s="320">
        <v>64.39</v>
      </c>
      <c r="S94" s="320">
        <v>27.05</v>
      </c>
      <c r="T94" s="320">
        <v>0.84</v>
      </c>
      <c r="U94" s="320">
        <v>90.59</v>
      </c>
      <c r="V94" s="320">
        <v>91.2</v>
      </c>
      <c r="W94" s="320">
        <v>3.8521</v>
      </c>
      <c r="X94" s="320">
        <v>0.92</v>
      </c>
      <c r="Y94" s="320">
        <v>123.0</v>
      </c>
      <c r="Z94" s="320">
        <v>715.0</v>
      </c>
      <c r="AA94" s="320">
        <v>5506.0</v>
      </c>
      <c r="AB94" s="320">
        <v>52.264</v>
      </c>
      <c r="AC94" s="320">
        <v>0.6307</v>
      </c>
      <c r="AD94" s="320">
        <v>8.86</v>
      </c>
      <c r="AE94" s="320">
        <v>3.0</v>
      </c>
      <c r="AF94" s="320">
        <v>7.0</v>
      </c>
      <c r="AG94" s="320">
        <v>12.0</v>
      </c>
      <c r="AH94" s="320">
        <v>19.0</v>
      </c>
      <c r="AI94" s="320">
        <v>57.67</v>
      </c>
      <c r="AJ94" s="320">
        <v>23.27</v>
      </c>
      <c r="AK94" s="320">
        <v>3.96</v>
      </c>
      <c r="AL94" s="320">
        <v>0.2044</v>
      </c>
      <c r="AM94" s="320">
        <v>19.87</v>
      </c>
      <c r="AN94" s="320">
        <v>44.52</v>
      </c>
      <c r="AO94" s="320">
        <v>75.25</v>
      </c>
      <c r="AP94" s="320">
        <v>14.95</v>
      </c>
    </row>
    <row r="95">
      <c r="A95" s="319" t="s">
        <v>256</v>
      </c>
      <c r="B95" s="328">
        <v>46065.0</v>
      </c>
      <c r="C95" s="319" t="s">
        <v>216</v>
      </c>
      <c r="D95" s="320">
        <v>14661.0</v>
      </c>
      <c r="E95" s="320">
        <v>13.4</v>
      </c>
      <c r="F95" s="320">
        <v>0.0</v>
      </c>
      <c r="G95" s="320">
        <v>0.0</v>
      </c>
      <c r="H95" s="320">
        <v>0.0</v>
      </c>
      <c r="I95" s="329"/>
      <c r="J95" s="320">
        <v>78.15</v>
      </c>
      <c r="K95" s="320">
        <v>38.46</v>
      </c>
      <c r="L95" s="320">
        <v>25.52</v>
      </c>
      <c r="M95" s="320">
        <v>0.6634</v>
      </c>
      <c r="N95" s="320">
        <v>0.5303</v>
      </c>
      <c r="O95" s="320">
        <v>0.3716</v>
      </c>
      <c r="P95" s="320">
        <v>1.5073</v>
      </c>
      <c r="Q95" s="320">
        <v>179.1</v>
      </c>
      <c r="R95" s="320">
        <v>125.36</v>
      </c>
      <c r="S95" s="320">
        <v>53.75</v>
      </c>
      <c r="T95" s="320">
        <v>0.83</v>
      </c>
      <c r="U95" s="320">
        <v>178.27</v>
      </c>
      <c r="V95" s="320">
        <v>164.01</v>
      </c>
      <c r="W95" s="320">
        <v>4.264</v>
      </c>
      <c r="X95" s="320">
        <v>0.46</v>
      </c>
      <c r="Y95" s="320">
        <v>161.0</v>
      </c>
      <c r="Z95" s="320">
        <v>1056.0</v>
      </c>
      <c r="AA95" s="320">
        <v>6439.0</v>
      </c>
      <c r="AB95" s="320">
        <v>55.2065</v>
      </c>
      <c r="AC95" s="320">
        <v>0.7246</v>
      </c>
      <c r="AD95" s="320">
        <v>17.24</v>
      </c>
      <c r="AE95" s="320">
        <v>7.0</v>
      </c>
      <c r="AF95" s="320">
        <v>13.0</v>
      </c>
      <c r="AG95" s="320">
        <v>24.0</v>
      </c>
      <c r="AH95" s="320">
        <v>37.0</v>
      </c>
      <c r="AI95" s="320">
        <v>57.67</v>
      </c>
      <c r="AJ95" s="320">
        <v>22.12</v>
      </c>
      <c r="AK95" s="320">
        <v>6.81</v>
      </c>
      <c r="AL95" s="320">
        <v>0.1782</v>
      </c>
      <c r="AM95" s="320">
        <v>20.67</v>
      </c>
      <c r="AN95" s="320">
        <v>104.68</v>
      </c>
      <c r="AO95" s="320">
        <v>79.15</v>
      </c>
      <c r="AP95" s="320">
        <v>16.36</v>
      </c>
    </row>
    <row r="96">
      <c r="A96" s="319" t="s">
        <v>256</v>
      </c>
      <c r="B96" s="328">
        <v>46065.0</v>
      </c>
      <c r="C96" s="319" t="s">
        <v>217</v>
      </c>
      <c r="D96" s="320">
        <v>5767.0</v>
      </c>
      <c r="E96" s="320">
        <v>5.27</v>
      </c>
      <c r="F96" s="320">
        <v>0.0</v>
      </c>
      <c r="G96" s="320">
        <v>0.0</v>
      </c>
      <c r="H96" s="320">
        <v>0.0</v>
      </c>
      <c r="I96" s="329"/>
      <c r="J96" s="320">
        <v>125.82</v>
      </c>
      <c r="K96" s="320">
        <v>67.17</v>
      </c>
      <c r="L96" s="320">
        <v>53.67</v>
      </c>
      <c r="M96" s="320">
        <v>0.7991</v>
      </c>
      <c r="N96" s="320">
        <v>0.3842</v>
      </c>
      <c r="O96" s="320">
        <v>0.2792</v>
      </c>
      <c r="P96" s="320">
        <v>1.2515</v>
      </c>
      <c r="Q96" s="320">
        <v>389.64</v>
      </c>
      <c r="R96" s="320">
        <v>275.68</v>
      </c>
      <c r="S96" s="320">
        <v>113.96</v>
      </c>
      <c r="T96" s="320">
        <v>1.17</v>
      </c>
      <c r="U96" s="320">
        <v>388.47</v>
      </c>
      <c r="V96" s="320">
        <v>325.88</v>
      </c>
      <c r="W96" s="320">
        <v>4.8516</v>
      </c>
      <c r="X96" s="320">
        <v>0.3</v>
      </c>
      <c r="Y96" s="320">
        <v>340.0</v>
      </c>
      <c r="Z96" s="320">
        <v>2603.0</v>
      </c>
      <c r="AA96" s="320">
        <v>9829.0</v>
      </c>
      <c r="AB96" s="320">
        <v>59.4536</v>
      </c>
      <c r="AC96" s="320">
        <v>0.8173</v>
      </c>
      <c r="AD96" s="320">
        <v>37.9</v>
      </c>
      <c r="AE96" s="320">
        <v>14.0</v>
      </c>
      <c r="AF96" s="320">
        <v>29.0</v>
      </c>
      <c r="AG96" s="320">
        <v>52.0</v>
      </c>
      <c r="AH96" s="320">
        <v>80.0</v>
      </c>
      <c r="AI96" s="320">
        <v>52.12</v>
      </c>
      <c r="AJ96" s="320">
        <v>20.27</v>
      </c>
      <c r="AK96" s="320">
        <v>5.29</v>
      </c>
      <c r="AL96" s="320">
        <v>0.1335</v>
      </c>
      <c r="AM96" s="320">
        <v>21.36</v>
      </c>
      <c r="AN96" s="320">
        <v>254.32</v>
      </c>
      <c r="AO96" s="320">
        <v>83.53</v>
      </c>
      <c r="AP96" s="320">
        <v>17.84</v>
      </c>
    </row>
    <row r="97">
      <c r="A97" s="319" t="s">
        <v>256</v>
      </c>
      <c r="B97" s="328">
        <v>46065.0</v>
      </c>
      <c r="C97" s="319" t="s">
        <v>218</v>
      </c>
      <c r="D97" s="320">
        <v>595.0</v>
      </c>
      <c r="E97" s="320">
        <v>0.54</v>
      </c>
      <c r="F97" s="320">
        <v>0.0</v>
      </c>
      <c r="G97" s="320">
        <v>0.0</v>
      </c>
      <c r="H97" s="320">
        <v>0.0</v>
      </c>
      <c r="I97" s="329"/>
      <c r="J97" s="320">
        <v>251.56</v>
      </c>
      <c r="K97" s="320">
        <v>151.41</v>
      </c>
      <c r="L97" s="320">
        <v>132.4</v>
      </c>
      <c r="M97" s="320">
        <v>0.8744</v>
      </c>
      <c r="N97" s="320">
        <v>0.2722</v>
      </c>
      <c r="O97" s="320">
        <v>0.2014</v>
      </c>
      <c r="P97" s="320">
        <v>1.1436</v>
      </c>
      <c r="Q97" s="320">
        <v>814.67</v>
      </c>
      <c r="R97" s="320">
        <v>534.51</v>
      </c>
      <c r="S97" s="320">
        <v>280.17</v>
      </c>
      <c r="T97" s="320">
        <v>0.0</v>
      </c>
      <c r="U97" s="320">
        <v>814.67</v>
      </c>
      <c r="V97" s="320">
        <v>649.92</v>
      </c>
      <c r="W97" s="320">
        <v>4.2924</v>
      </c>
      <c r="X97" s="320">
        <v>0.0</v>
      </c>
      <c r="Y97" s="320">
        <v>1097.0</v>
      </c>
      <c r="Z97" s="320">
        <v>4410.0</v>
      </c>
      <c r="AA97" s="320">
        <v>11932.0</v>
      </c>
      <c r="AB97" s="320">
        <v>63.4148</v>
      </c>
      <c r="AC97" s="320">
        <v>0.8784</v>
      </c>
      <c r="AD97" s="320">
        <v>94.56</v>
      </c>
      <c r="AE97" s="320">
        <v>36.0</v>
      </c>
      <c r="AF97" s="320">
        <v>78.0</v>
      </c>
      <c r="AG97" s="320">
        <v>133.0</v>
      </c>
      <c r="AH97" s="320">
        <v>196.0</v>
      </c>
      <c r="AI97" s="320">
        <v>47.73</v>
      </c>
      <c r="AJ97" s="320">
        <v>14.45</v>
      </c>
      <c r="AK97" s="320">
        <v>2.35</v>
      </c>
      <c r="AL97" s="320">
        <v>0.1025</v>
      </c>
      <c r="AM97" s="320">
        <v>24.03</v>
      </c>
      <c r="AN97" s="320">
        <v>510.47</v>
      </c>
      <c r="AO97" s="320">
        <v>85.74</v>
      </c>
      <c r="AP97" s="320">
        <v>20.6</v>
      </c>
    </row>
    <row r="98">
      <c r="A98" s="319" t="s">
        <v>256</v>
      </c>
      <c r="B98" s="328">
        <v>46066.0</v>
      </c>
      <c r="C98" s="319" t="s">
        <v>257</v>
      </c>
      <c r="D98" s="320">
        <v>20732.0</v>
      </c>
      <c r="E98" s="320">
        <v>19.36</v>
      </c>
      <c r="F98" s="320">
        <v>0.0</v>
      </c>
      <c r="G98" s="320">
        <v>0.0</v>
      </c>
      <c r="H98" s="320">
        <v>0.0</v>
      </c>
      <c r="I98" s="329"/>
      <c r="J98" s="320">
        <v>6.12</v>
      </c>
      <c r="K98" s="320">
        <v>2.39</v>
      </c>
      <c r="L98" s="320">
        <v>0.02</v>
      </c>
      <c r="M98" s="320">
        <v>0.0078</v>
      </c>
      <c r="N98" s="320">
        <v>0.9942</v>
      </c>
      <c r="O98" s="320">
        <v>0.9212</v>
      </c>
      <c r="P98" s="320">
        <v>128.1088</v>
      </c>
      <c r="Q98" s="320">
        <v>26.63</v>
      </c>
      <c r="R98" s="320">
        <v>26.5</v>
      </c>
      <c r="S98" s="320">
        <v>0.14</v>
      </c>
      <c r="T98" s="320">
        <v>0.0</v>
      </c>
      <c r="U98" s="320">
        <v>26.63</v>
      </c>
      <c r="V98" s="320">
        <v>1.84</v>
      </c>
      <c r="W98" s="320">
        <v>0.7715</v>
      </c>
      <c r="X98" s="320">
        <v>0.0</v>
      </c>
      <c r="Y98" s="320">
        <v>335.0</v>
      </c>
      <c r="Z98" s="320">
        <v>3580.0</v>
      </c>
      <c r="AA98" s="320">
        <v>14323.0</v>
      </c>
      <c r="AB98" s="320">
        <v>49.0852</v>
      </c>
      <c r="AC98" s="320">
        <v>0.552</v>
      </c>
      <c r="AD98" s="329"/>
      <c r="AE98" s="329"/>
      <c r="AF98" s="329"/>
      <c r="AG98" s="329"/>
      <c r="AH98" s="329"/>
      <c r="AI98" s="320">
        <v>0.0</v>
      </c>
      <c r="AJ98" s="320">
        <v>0.0</v>
      </c>
      <c r="AK98" s="320">
        <v>0.0</v>
      </c>
      <c r="AL98" s="320">
        <v>0.3102</v>
      </c>
      <c r="AM98" s="320">
        <v>17.55</v>
      </c>
      <c r="AN98" s="320">
        <v>8.95</v>
      </c>
      <c r="AO98" s="329"/>
      <c r="AP98" s="329"/>
    </row>
    <row r="99">
      <c r="A99" s="319" t="s">
        <v>256</v>
      </c>
      <c r="B99" s="328">
        <v>46066.0</v>
      </c>
      <c r="C99" s="319" t="s">
        <v>214</v>
      </c>
      <c r="D99" s="320">
        <v>39219.0</v>
      </c>
      <c r="E99" s="320">
        <v>36.62</v>
      </c>
      <c r="F99" s="320">
        <v>0.0</v>
      </c>
      <c r="G99" s="320">
        <v>0.0</v>
      </c>
      <c r="H99" s="320">
        <v>0.0</v>
      </c>
      <c r="I99" s="329"/>
      <c r="J99" s="320">
        <v>30.66</v>
      </c>
      <c r="K99" s="320">
        <v>13.69</v>
      </c>
      <c r="L99" s="320">
        <v>5.74</v>
      </c>
      <c r="M99" s="320">
        <v>0.419</v>
      </c>
      <c r="N99" s="320">
        <v>0.7538</v>
      </c>
      <c r="O99" s="320">
        <v>0.5573</v>
      </c>
      <c r="P99" s="320">
        <v>2.3864</v>
      </c>
      <c r="Q99" s="320">
        <v>57.61</v>
      </c>
      <c r="R99" s="320">
        <v>45.82</v>
      </c>
      <c r="S99" s="320">
        <v>11.8</v>
      </c>
      <c r="T99" s="320">
        <v>0.35</v>
      </c>
      <c r="U99" s="320">
        <v>57.26</v>
      </c>
      <c r="V99" s="320">
        <v>54.33</v>
      </c>
      <c r="W99" s="320">
        <v>3.9689</v>
      </c>
      <c r="X99" s="320">
        <v>0.61</v>
      </c>
      <c r="Y99" s="320">
        <v>145.0</v>
      </c>
      <c r="Z99" s="320">
        <v>899.0</v>
      </c>
      <c r="AA99" s="320">
        <v>5901.0</v>
      </c>
      <c r="AB99" s="320">
        <v>48.6977</v>
      </c>
      <c r="AC99" s="320">
        <v>0.5399</v>
      </c>
      <c r="AD99" s="320">
        <v>4.0</v>
      </c>
      <c r="AE99" s="320">
        <v>1.0</v>
      </c>
      <c r="AF99" s="320">
        <v>3.0</v>
      </c>
      <c r="AG99" s="320">
        <v>5.0</v>
      </c>
      <c r="AH99" s="320">
        <v>9.0</v>
      </c>
      <c r="AI99" s="320">
        <v>73.29</v>
      </c>
      <c r="AJ99" s="320">
        <v>30.88</v>
      </c>
      <c r="AK99" s="320">
        <v>8.57</v>
      </c>
      <c r="AL99" s="320">
        <v>0.268</v>
      </c>
      <c r="AM99" s="320">
        <v>20.08</v>
      </c>
      <c r="AN99" s="320">
        <v>25.74</v>
      </c>
      <c r="AO99" s="320">
        <v>66.35</v>
      </c>
      <c r="AP99" s="320">
        <v>13.32</v>
      </c>
    </row>
    <row r="100">
      <c r="A100" s="319" t="s">
        <v>256</v>
      </c>
      <c r="B100" s="328">
        <v>46066.0</v>
      </c>
      <c r="C100" s="319" t="s">
        <v>215</v>
      </c>
      <c r="D100" s="320">
        <v>26290.0</v>
      </c>
      <c r="E100" s="320">
        <v>24.55</v>
      </c>
      <c r="F100" s="320">
        <v>0.0</v>
      </c>
      <c r="G100" s="320">
        <v>0.0</v>
      </c>
      <c r="H100" s="320">
        <v>0.0</v>
      </c>
      <c r="I100" s="329"/>
      <c r="J100" s="320">
        <v>56.84</v>
      </c>
      <c r="K100" s="320">
        <v>26.43</v>
      </c>
      <c r="L100" s="320">
        <v>14.14</v>
      </c>
      <c r="M100" s="320">
        <v>0.5352</v>
      </c>
      <c r="N100" s="320">
        <v>0.6549</v>
      </c>
      <c r="O100" s="320">
        <v>0.459</v>
      </c>
      <c r="P100" s="320">
        <v>1.8685</v>
      </c>
      <c r="Q100" s="320">
        <v>100.59</v>
      </c>
      <c r="R100" s="320">
        <v>70.96</v>
      </c>
      <c r="S100" s="320">
        <v>29.64</v>
      </c>
      <c r="T100" s="320">
        <v>0.72</v>
      </c>
      <c r="U100" s="320">
        <v>99.87</v>
      </c>
      <c r="V100" s="320">
        <v>100.0</v>
      </c>
      <c r="W100" s="320">
        <v>3.7837</v>
      </c>
      <c r="X100" s="320">
        <v>0.72</v>
      </c>
      <c r="Y100" s="320">
        <v>128.0</v>
      </c>
      <c r="Z100" s="320">
        <v>688.0</v>
      </c>
      <c r="AA100" s="320">
        <v>5174.0</v>
      </c>
      <c r="AB100" s="320">
        <v>52.158</v>
      </c>
      <c r="AC100" s="320">
        <v>0.6336</v>
      </c>
      <c r="AD100" s="320">
        <v>9.42</v>
      </c>
      <c r="AE100" s="320">
        <v>4.0</v>
      </c>
      <c r="AF100" s="320">
        <v>7.0</v>
      </c>
      <c r="AG100" s="320">
        <v>13.0</v>
      </c>
      <c r="AH100" s="320">
        <v>20.0</v>
      </c>
      <c r="AI100" s="320">
        <v>61.19</v>
      </c>
      <c r="AJ100" s="320">
        <v>25.5</v>
      </c>
      <c r="AK100" s="320">
        <v>4.73</v>
      </c>
      <c r="AL100" s="320">
        <v>0.2212</v>
      </c>
      <c r="AM100" s="320">
        <v>21.1</v>
      </c>
      <c r="AN100" s="320">
        <v>49.86</v>
      </c>
      <c r="AO100" s="320">
        <v>75.38</v>
      </c>
      <c r="AP100" s="320">
        <v>15.91</v>
      </c>
    </row>
    <row r="101">
      <c r="A101" s="319" t="s">
        <v>256</v>
      </c>
      <c r="B101" s="328">
        <v>46066.0</v>
      </c>
      <c r="C101" s="319" t="s">
        <v>216</v>
      </c>
      <c r="D101" s="320">
        <v>14594.0</v>
      </c>
      <c r="E101" s="320">
        <v>13.63</v>
      </c>
      <c r="F101" s="320">
        <v>0.0</v>
      </c>
      <c r="G101" s="320">
        <v>0.0</v>
      </c>
      <c r="H101" s="320">
        <v>0.0</v>
      </c>
      <c r="I101" s="329"/>
      <c r="J101" s="320">
        <v>85.08</v>
      </c>
      <c r="K101" s="320">
        <v>42.04</v>
      </c>
      <c r="L101" s="320">
        <v>27.02</v>
      </c>
      <c r="M101" s="320">
        <v>0.6427</v>
      </c>
      <c r="N101" s="320">
        <v>0.5441</v>
      </c>
      <c r="O101" s="320">
        <v>0.3755</v>
      </c>
      <c r="P101" s="320">
        <v>1.556</v>
      </c>
      <c r="Q101" s="320">
        <v>164.58</v>
      </c>
      <c r="R101" s="320">
        <v>107.5</v>
      </c>
      <c r="S101" s="320">
        <v>57.08</v>
      </c>
      <c r="T101" s="320">
        <v>1.73</v>
      </c>
      <c r="U101" s="320">
        <v>162.85</v>
      </c>
      <c r="V101" s="320">
        <v>168.68</v>
      </c>
      <c r="W101" s="320">
        <v>4.0122</v>
      </c>
      <c r="X101" s="320">
        <v>1.05</v>
      </c>
      <c r="Y101" s="320">
        <v>153.0</v>
      </c>
      <c r="Z101" s="320">
        <v>1018.0</v>
      </c>
      <c r="AA101" s="320">
        <v>6206.0</v>
      </c>
      <c r="AB101" s="320">
        <v>55.213</v>
      </c>
      <c r="AC101" s="320">
        <v>0.7254</v>
      </c>
      <c r="AD101" s="320">
        <v>17.63</v>
      </c>
      <c r="AE101" s="320">
        <v>7.0</v>
      </c>
      <c r="AF101" s="320">
        <v>14.0</v>
      </c>
      <c r="AG101" s="320">
        <v>24.0</v>
      </c>
      <c r="AH101" s="320">
        <v>37.0</v>
      </c>
      <c r="AI101" s="320">
        <v>59.05</v>
      </c>
      <c r="AJ101" s="320">
        <v>22.69</v>
      </c>
      <c r="AK101" s="320">
        <v>7.03</v>
      </c>
      <c r="AL101" s="320">
        <v>0.1992</v>
      </c>
      <c r="AM101" s="320">
        <v>21.24</v>
      </c>
      <c r="AN101" s="320">
        <v>86.26</v>
      </c>
      <c r="AO101" s="320">
        <v>78.91</v>
      </c>
      <c r="AP101" s="320">
        <v>16.76</v>
      </c>
    </row>
    <row r="102">
      <c r="A102" s="319" t="s">
        <v>256</v>
      </c>
      <c r="B102" s="328">
        <v>46066.0</v>
      </c>
      <c r="C102" s="319" t="s">
        <v>217</v>
      </c>
      <c r="D102" s="320">
        <v>5675.0</v>
      </c>
      <c r="E102" s="320">
        <v>5.3</v>
      </c>
      <c r="F102" s="320">
        <v>0.0</v>
      </c>
      <c r="G102" s="320">
        <v>0.0</v>
      </c>
      <c r="H102" s="320">
        <v>0.0</v>
      </c>
      <c r="I102" s="329"/>
      <c r="J102" s="320">
        <v>131.69</v>
      </c>
      <c r="K102" s="320">
        <v>69.44</v>
      </c>
      <c r="L102" s="320">
        <v>53.79</v>
      </c>
      <c r="M102" s="320">
        <v>0.7746</v>
      </c>
      <c r="N102" s="320">
        <v>0.4025</v>
      </c>
      <c r="O102" s="320">
        <v>0.284</v>
      </c>
      <c r="P102" s="320">
        <v>1.2909</v>
      </c>
      <c r="Q102" s="320">
        <v>273.97</v>
      </c>
      <c r="R102" s="320">
        <v>160.28</v>
      </c>
      <c r="S102" s="320">
        <v>113.69</v>
      </c>
      <c r="T102" s="320">
        <v>0.53</v>
      </c>
      <c r="U102" s="320">
        <v>273.44</v>
      </c>
      <c r="V102" s="320">
        <v>308.28</v>
      </c>
      <c r="W102" s="320">
        <v>4.4399</v>
      </c>
      <c r="X102" s="320">
        <v>0.19</v>
      </c>
      <c r="Y102" s="320">
        <v>315.0</v>
      </c>
      <c r="Z102" s="320">
        <v>2552.0</v>
      </c>
      <c r="AA102" s="320">
        <v>9798.0</v>
      </c>
      <c r="AB102" s="320">
        <v>59.5334</v>
      </c>
      <c r="AC102" s="320">
        <v>0.8329</v>
      </c>
      <c r="AD102" s="320">
        <v>36.54</v>
      </c>
      <c r="AE102" s="320">
        <v>14.0</v>
      </c>
      <c r="AF102" s="320">
        <v>28.0</v>
      </c>
      <c r="AG102" s="320">
        <v>50.0</v>
      </c>
      <c r="AH102" s="320">
        <v>78.0</v>
      </c>
      <c r="AI102" s="320">
        <v>50.24</v>
      </c>
      <c r="AJ102" s="320">
        <v>18.73</v>
      </c>
      <c r="AK102" s="320">
        <v>4.46</v>
      </c>
      <c r="AL102" s="320">
        <v>0.145</v>
      </c>
      <c r="AM102" s="320">
        <v>22.47</v>
      </c>
      <c r="AN102" s="320">
        <v>137.82</v>
      </c>
      <c r="AO102" s="320">
        <v>83.6</v>
      </c>
      <c r="AP102" s="320">
        <v>18.78</v>
      </c>
    </row>
    <row r="103">
      <c r="A103" s="319" t="s">
        <v>256</v>
      </c>
      <c r="B103" s="328">
        <v>46066.0</v>
      </c>
      <c r="C103" s="319" t="s">
        <v>218</v>
      </c>
      <c r="D103" s="320">
        <v>577.0</v>
      </c>
      <c r="E103" s="320">
        <v>0.54</v>
      </c>
      <c r="F103" s="320">
        <v>0.0</v>
      </c>
      <c r="G103" s="320">
        <v>0.0</v>
      </c>
      <c r="H103" s="320">
        <v>0.0</v>
      </c>
      <c r="I103" s="329"/>
      <c r="J103" s="320">
        <v>248.91</v>
      </c>
      <c r="K103" s="320">
        <v>143.43</v>
      </c>
      <c r="L103" s="320">
        <v>126.74</v>
      </c>
      <c r="M103" s="320">
        <v>0.8836</v>
      </c>
      <c r="N103" s="320">
        <v>0.2644</v>
      </c>
      <c r="O103" s="320">
        <v>0.1989</v>
      </c>
      <c r="P103" s="320">
        <v>1.1317</v>
      </c>
      <c r="Q103" s="320">
        <v>587.94</v>
      </c>
      <c r="R103" s="320">
        <v>319.22</v>
      </c>
      <c r="S103" s="320">
        <v>268.72</v>
      </c>
      <c r="T103" s="320">
        <v>2.6</v>
      </c>
      <c r="U103" s="320">
        <v>585.34</v>
      </c>
      <c r="V103" s="320">
        <v>643.15</v>
      </c>
      <c r="W103" s="320">
        <v>4.4842</v>
      </c>
      <c r="X103" s="320">
        <v>0.44</v>
      </c>
      <c r="Y103" s="320">
        <v>1007.0</v>
      </c>
      <c r="Z103" s="320">
        <v>3808.0</v>
      </c>
      <c r="AA103" s="320">
        <v>10966.0</v>
      </c>
      <c r="AB103" s="320">
        <v>63.88</v>
      </c>
      <c r="AC103" s="320">
        <v>0.9111</v>
      </c>
      <c r="AD103" s="320">
        <v>93.09</v>
      </c>
      <c r="AE103" s="320">
        <v>38.0</v>
      </c>
      <c r="AF103" s="320">
        <v>80.0</v>
      </c>
      <c r="AG103" s="320">
        <v>137.0</v>
      </c>
      <c r="AH103" s="320">
        <v>183.0</v>
      </c>
      <c r="AI103" s="320">
        <v>50.09</v>
      </c>
      <c r="AJ103" s="320">
        <v>11.27</v>
      </c>
      <c r="AK103" s="320">
        <v>1.39</v>
      </c>
      <c r="AL103" s="320">
        <v>0.104</v>
      </c>
      <c r="AM103" s="320">
        <v>26.18</v>
      </c>
      <c r="AN103" s="320">
        <v>293.04</v>
      </c>
      <c r="AO103" s="320">
        <v>85.71</v>
      </c>
      <c r="AP103" s="320">
        <v>22.44</v>
      </c>
    </row>
    <row r="104">
      <c r="A104" s="319" t="s">
        <v>256</v>
      </c>
      <c r="B104" s="328">
        <v>46067.0</v>
      </c>
      <c r="C104" s="319" t="s">
        <v>257</v>
      </c>
      <c r="D104" s="320">
        <v>20666.0</v>
      </c>
      <c r="E104" s="320">
        <v>19.56</v>
      </c>
      <c r="F104" s="320">
        <v>0.0</v>
      </c>
      <c r="G104" s="320">
        <v>0.0</v>
      </c>
      <c r="H104" s="320">
        <v>0.0</v>
      </c>
      <c r="I104" s="329"/>
      <c r="J104" s="320">
        <v>6.12</v>
      </c>
      <c r="K104" s="320">
        <v>2.42</v>
      </c>
      <c r="L104" s="320">
        <v>0.03</v>
      </c>
      <c r="M104" s="320">
        <v>0.0107</v>
      </c>
      <c r="N104" s="320">
        <v>0.992</v>
      </c>
      <c r="O104" s="320">
        <v>0.9001</v>
      </c>
      <c r="P104" s="320">
        <v>93.5327</v>
      </c>
      <c r="Q104" s="320">
        <v>25.12</v>
      </c>
      <c r="R104" s="320">
        <v>25.01</v>
      </c>
      <c r="S104" s="320">
        <v>0.11</v>
      </c>
      <c r="T104" s="320">
        <v>0.0</v>
      </c>
      <c r="U104" s="320">
        <v>25.12</v>
      </c>
      <c r="V104" s="320">
        <v>2.35</v>
      </c>
      <c r="W104" s="320">
        <v>0.9712</v>
      </c>
      <c r="X104" s="320">
        <v>0.0</v>
      </c>
      <c r="Y104" s="320">
        <v>287.0</v>
      </c>
      <c r="Z104" s="320">
        <v>3190.0</v>
      </c>
      <c r="AA104" s="320">
        <v>13581.0</v>
      </c>
      <c r="AB104" s="320">
        <v>48.8939</v>
      </c>
      <c r="AC104" s="320">
        <v>0.5424</v>
      </c>
      <c r="AD104" s="329"/>
      <c r="AE104" s="329"/>
      <c r="AF104" s="329"/>
      <c r="AG104" s="329"/>
      <c r="AH104" s="329"/>
      <c r="AI104" s="320">
        <v>0.0</v>
      </c>
      <c r="AJ104" s="320">
        <v>0.0</v>
      </c>
      <c r="AK104" s="320">
        <v>0.0</v>
      </c>
      <c r="AL104" s="320">
        <v>0.2977</v>
      </c>
      <c r="AM104" s="320">
        <v>18.38</v>
      </c>
      <c r="AN104" s="320">
        <v>6.63</v>
      </c>
      <c r="AO104" s="329"/>
      <c r="AP104" s="329"/>
    </row>
    <row r="105">
      <c r="A105" s="319" t="s">
        <v>256</v>
      </c>
      <c r="B105" s="328">
        <v>46067.0</v>
      </c>
      <c r="C105" s="319" t="s">
        <v>214</v>
      </c>
      <c r="D105" s="320">
        <v>38470.0</v>
      </c>
      <c r="E105" s="320">
        <v>36.41</v>
      </c>
      <c r="F105" s="320">
        <v>0.0</v>
      </c>
      <c r="G105" s="320">
        <v>0.0</v>
      </c>
      <c r="H105" s="320">
        <v>0.0</v>
      </c>
      <c r="I105" s="329"/>
      <c r="J105" s="320">
        <v>29.65</v>
      </c>
      <c r="K105" s="320">
        <v>13.24</v>
      </c>
      <c r="L105" s="320">
        <v>5.72</v>
      </c>
      <c r="M105" s="320">
        <v>0.4325</v>
      </c>
      <c r="N105" s="320">
        <v>0.7435</v>
      </c>
      <c r="O105" s="320">
        <v>0.5521</v>
      </c>
      <c r="P105" s="320">
        <v>2.3124</v>
      </c>
      <c r="Q105" s="320">
        <v>53.28</v>
      </c>
      <c r="R105" s="320">
        <v>41.58</v>
      </c>
      <c r="S105" s="320">
        <v>11.7</v>
      </c>
      <c r="T105" s="320">
        <v>0.32</v>
      </c>
      <c r="U105" s="320">
        <v>52.96</v>
      </c>
      <c r="V105" s="320">
        <v>54.11</v>
      </c>
      <c r="W105" s="320">
        <v>4.0884</v>
      </c>
      <c r="X105" s="320">
        <v>0.61</v>
      </c>
      <c r="Y105" s="320">
        <v>145.0</v>
      </c>
      <c r="Z105" s="320">
        <v>883.0</v>
      </c>
      <c r="AA105" s="320">
        <v>5898.0</v>
      </c>
      <c r="AB105" s="320">
        <v>48.701</v>
      </c>
      <c r="AC105" s="320">
        <v>0.5418</v>
      </c>
      <c r="AD105" s="320">
        <v>4.06</v>
      </c>
      <c r="AE105" s="320">
        <v>1.0</v>
      </c>
      <c r="AF105" s="320">
        <v>3.0</v>
      </c>
      <c r="AG105" s="320">
        <v>5.0</v>
      </c>
      <c r="AH105" s="320">
        <v>9.0</v>
      </c>
      <c r="AI105" s="320">
        <v>72.58</v>
      </c>
      <c r="AJ105" s="320">
        <v>31.17</v>
      </c>
      <c r="AK105" s="320">
        <v>9.28</v>
      </c>
      <c r="AL105" s="320">
        <v>0.2549</v>
      </c>
      <c r="AM105" s="320">
        <v>21.62</v>
      </c>
      <c r="AN105" s="320">
        <v>19.96</v>
      </c>
      <c r="AO105" s="320">
        <v>65.81</v>
      </c>
      <c r="AP105" s="320">
        <v>14.23</v>
      </c>
    </row>
    <row r="106">
      <c r="A106" s="319" t="s">
        <v>256</v>
      </c>
      <c r="B106" s="328">
        <v>46067.0</v>
      </c>
      <c r="C106" s="319" t="s">
        <v>215</v>
      </c>
      <c r="D106" s="320">
        <v>25896.0</v>
      </c>
      <c r="E106" s="320">
        <v>24.51</v>
      </c>
      <c r="F106" s="320">
        <v>0.0</v>
      </c>
      <c r="G106" s="320">
        <v>0.0</v>
      </c>
      <c r="H106" s="320">
        <v>0.0</v>
      </c>
      <c r="I106" s="329"/>
      <c r="J106" s="320">
        <v>54.96</v>
      </c>
      <c r="K106" s="320">
        <v>25.61</v>
      </c>
      <c r="L106" s="320">
        <v>14.13</v>
      </c>
      <c r="M106" s="320">
        <v>0.5517</v>
      </c>
      <c r="N106" s="320">
        <v>0.6429</v>
      </c>
      <c r="O106" s="320">
        <v>0.4542</v>
      </c>
      <c r="P106" s="320">
        <v>1.8125</v>
      </c>
      <c r="Q106" s="320">
        <v>98.0</v>
      </c>
      <c r="R106" s="320">
        <v>68.25</v>
      </c>
      <c r="S106" s="320">
        <v>29.74</v>
      </c>
      <c r="T106" s="320">
        <v>0.71</v>
      </c>
      <c r="U106" s="320">
        <v>97.29</v>
      </c>
      <c r="V106" s="320">
        <v>98.15</v>
      </c>
      <c r="W106" s="320">
        <v>3.8325</v>
      </c>
      <c r="X106" s="320">
        <v>0.72</v>
      </c>
      <c r="Y106" s="320">
        <v>129.0</v>
      </c>
      <c r="Z106" s="320">
        <v>722.0</v>
      </c>
      <c r="AA106" s="320">
        <v>5253.0</v>
      </c>
      <c r="AB106" s="320">
        <v>52.213</v>
      </c>
      <c r="AC106" s="320">
        <v>0.6398</v>
      </c>
      <c r="AD106" s="320">
        <v>9.57</v>
      </c>
      <c r="AE106" s="320">
        <v>4.0</v>
      </c>
      <c r="AF106" s="320">
        <v>8.0</v>
      </c>
      <c r="AG106" s="320">
        <v>13.0</v>
      </c>
      <c r="AH106" s="320">
        <v>20.0</v>
      </c>
      <c r="AI106" s="320">
        <v>61.67</v>
      </c>
      <c r="AJ106" s="320">
        <v>26.51</v>
      </c>
      <c r="AK106" s="320">
        <v>4.93</v>
      </c>
      <c r="AL106" s="320">
        <v>0.2112</v>
      </c>
      <c r="AM106" s="320">
        <v>22.77</v>
      </c>
      <c r="AN106" s="320">
        <v>45.49</v>
      </c>
      <c r="AO106" s="320">
        <v>74.79</v>
      </c>
      <c r="AP106" s="320">
        <v>17.03</v>
      </c>
    </row>
    <row r="107">
      <c r="A107" s="319" t="s">
        <v>256</v>
      </c>
      <c r="B107" s="328">
        <v>46067.0</v>
      </c>
      <c r="C107" s="319" t="s">
        <v>216</v>
      </c>
      <c r="D107" s="320">
        <v>14442.0</v>
      </c>
      <c r="E107" s="320">
        <v>13.67</v>
      </c>
      <c r="F107" s="320">
        <v>0.0</v>
      </c>
      <c r="G107" s="320">
        <v>0.0</v>
      </c>
      <c r="H107" s="320">
        <v>0.0</v>
      </c>
      <c r="I107" s="329"/>
      <c r="J107" s="320">
        <v>82.63</v>
      </c>
      <c r="K107" s="320">
        <v>40.82</v>
      </c>
      <c r="L107" s="320">
        <v>27.1</v>
      </c>
      <c r="M107" s="320">
        <v>0.664</v>
      </c>
      <c r="N107" s="320">
        <v>0.5285</v>
      </c>
      <c r="O107" s="320">
        <v>0.3692</v>
      </c>
      <c r="P107" s="320">
        <v>1.506</v>
      </c>
      <c r="Q107" s="320">
        <v>171.16</v>
      </c>
      <c r="R107" s="320">
        <v>113.66</v>
      </c>
      <c r="S107" s="320">
        <v>57.5</v>
      </c>
      <c r="T107" s="320">
        <v>1.98</v>
      </c>
      <c r="U107" s="320">
        <v>169.18</v>
      </c>
      <c r="V107" s="320">
        <v>171.69</v>
      </c>
      <c r="W107" s="320">
        <v>4.2064</v>
      </c>
      <c r="X107" s="320">
        <v>1.15</v>
      </c>
      <c r="Y107" s="320">
        <v>154.0</v>
      </c>
      <c r="Z107" s="320">
        <v>989.0</v>
      </c>
      <c r="AA107" s="320">
        <v>6013.0</v>
      </c>
      <c r="AB107" s="320">
        <v>55.2152</v>
      </c>
      <c r="AC107" s="320">
        <v>0.7342</v>
      </c>
      <c r="AD107" s="320">
        <v>18.06</v>
      </c>
      <c r="AE107" s="320">
        <v>7.0</v>
      </c>
      <c r="AF107" s="320">
        <v>14.0</v>
      </c>
      <c r="AG107" s="320">
        <v>25.0</v>
      </c>
      <c r="AH107" s="320">
        <v>38.0</v>
      </c>
      <c r="AI107" s="320">
        <v>59.74</v>
      </c>
      <c r="AJ107" s="320">
        <v>23.64</v>
      </c>
      <c r="AK107" s="320">
        <v>7.75</v>
      </c>
      <c r="AL107" s="320">
        <v>0.1901</v>
      </c>
      <c r="AM107" s="320">
        <v>22.94</v>
      </c>
      <c r="AN107" s="320">
        <v>90.72</v>
      </c>
      <c r="AO107" s="320">
        <v>77.88</v>
      </c>
      <c r="AP107" s="320">
        <v>17.87</v>
      </c>
    </row>
    <row r="108">
      <c r="A108" s="319" t="s">
        <v>256</v>
      </c>
      <c r="B108" s="328">
        <v>46067.0</v>
      </c>
      <c r="C108" s="319" t="s">
        <v>217</v>
      </c>
      <c r="D108" s="320">
        <v>5599.0</v>
      </c>
      <c r="E108" s="320">
        <v>5.3</v>
      </c>
      <c r="F108" s="320">
        <v>0.0</v>
      </c>
      <c r="G108" s="320">
        <v>0.0</v>
      </c>
      <c r="H108" s="320">
        <v>0.0</v>
      </c>
      <c r="I108" s="329"/>
      <c r="J108" s="320">
        <v>128.24</v>
      </c>
      <c r="K108" s="320">
        <v>68.3</v>
      </c>
      <c r="L108" s="320">
        <v>54.29</v>
      </c>
      <c r="M108" s="320">
        <v>0.7948</v>
      </c>
      <c r="N108" s="320">
        <v>0.3866</v>
      </c>
      <c r="O108" s="320">
        <v>0.2796</v>
      </c>
      <c r="P108" s="320">
        <v>1.2582</v>
      </c>
      <c r="Q108" s="320">
        <v>314.42</v>
      </c>
      <c r="R108" s="320">
        <v>199.75</v>
      </c>
      <c r="S108" s="320">
        <v>114.67</v>
      </c>
      <c r="T108" s="320">
        <v>0.12</v>
      </c>
      <c r="U108" s="320">
        <v>314.3</v>
      </c>
      <c r="V108" s="320">
        <v>313.85</v>
      </c>
      <c r="W108" s="320">
        <v>4.5949</v>
      </c>
      <c r="X108" s="320">
        <v>0.04</v>
      </c>
      <c r="Y108" s="320">
        <v>363.0</v>
      </c>
      <c r="Z108" s="320">
        <v>2776.0</v>
      </c>
      <c r="AA108" s="320">
        <v>9932.0</v>
      </c>
      <c r="AB108" s="320">
        <v>59.4875</v>
      </c>
      <c r="AC108" s="320">
        <v>0.8299</v>
      </c>
      <c r="AD108" s="320">
        <v>37.27</v>
      </c>
      <c r="AE108" s="320">
        <v>14.0</v>
      </c>
      <c r="AF108" s="320">
        <v>29.0</v>
      </c>
      <c r="AG108" s="320">
        <v>52.0</v>
      </c>
      <c r="AH108" s="320">
        <v>78.0</v>
      </c>
      <c r="AI108" s="320">
        <v>51.94</v>
      </c>
      <c r="AJ108" s="320">
        <v>19.45</v>
      </c>
      <c r="AK108" s="320">
        <v>4.79</v>
      </c>
      <c r="AL108" s="320">
        <v>0.1468</v>
      </c>
      <c r="AM108" s="320">
        <v>23.23</v>
      </c>
      <c r="AN108" s="320">
        <v>176.52</v>
      </c>
      <c r="AO108" s="320">
        <v>82.2</v>
      </c>
      <c r="AP108" s="320">
        <v>19.1</v>
      </c>
    </row>
    <row r="109">
      <c r="A109" s="319" t="s">
        <v>256</v>
      </c>
      <c r="B109" s="328">
        <v>46067.0</v>
      </c>
      <c r="C109" s="319" t="s">
        <v>218</v>
      </c>
      <c r="D109" s="320">
        <v>587.0</v>
      </c>
      <c r="E109" s="320">
        <v>0.56</v>
      </c>
      <c r="F109" s="320">
        <v>0.0</v>
      </c>
      <c r="G109" s="320">
        <v>0.0</v>
      </c>
      <c r="H109" s="320">
        <v>0.0</v>
      </c>
      <c r="I109" s="329"/>
      <c r="J109" s="320">
        <v>234.83</v>
      </c>
      <c r="K109" s="320">
        <v>137.86</v>
      </c>
      <c r="L109" s="320">
        <v>123.37</v>
      </c>
      <c r="M109" s="320">
        <v>0.8949</v>
      </c>
      <c r="N109" s="320">
        <v>0.257</v>
      </c>
      <c r="O109" s="320">
        <v>0.2</v>
      </c>
      <c r="P109" s="320">
        <v>1.1174</v>
      </c>
      <c r="Q109" s="320">
        <v>650.75</v>
      </c>
      <c r="R109" s="320">
        <v>390.53</v>
      </c>
      <c r="S109" s="320">
        <v>260.21</v>
      </c>
      <c r="T109" s="320">
        <v>0.0</v>
      </c>
      <c r="U109" s="320">
        <v>650.75</v>
      </c>
      <c r="V109" s="320">
        <v>631.52</v>
      </c>
      <c r="W109" s="320">
        <v>4.581</v>
      </c>
      <c r="X109" s="320">
        <v>0.0</v>
      </c>
      <c r="Y109" s="320">
        <v>1039.0</v>
      </c>
      <c r="Z109" s="320">
        <v>4055.0</v>
      </c>
      <c r="AA109" s="320">
        <v>11031.0</v>
      </c>
      <c r="AB109" s="320">
        <v>63.708</v>
      </c>
      <c r="AC109" s="320">
        <v>0.9012</v>
      </c>
      <c r="AD109" s="320">
        <v>90.48</v>
      </c>
      <c r="AE109" s="320">
        <v>35.0</v>
      </c>
      <c r="AF109" s="320">
        <v>79.0</v>
      </c>
      <c r="AG109" s="320">
        <v>128.0</v>
      </c>
      <c r="AH109" s="320">
        <v>188.0</v>
      </c>
      <c r="AI109" s="320">
        <v>49.23</v>
      </c>
      <c r="AJ109" s="320">
        <v>12.1</v>
      </c>
      <c r="AK109" s="320">
        <v>0.85</v>
      </c>
      <c r="AL109" s="320">
        <v>0.1005</v>
      </c>
      <c r="AM109" s="320">
        <v>21.86</v>
      </c>
      <c r="AN109" s="320">
        <v>368.68</v>
      </c>
      <c r="AO109" s="320">
        <v>85.15</v>
      </c>
      <c r="AP109" s="320">
        <v>18.61</v>
      </c>
    </row>
    <row r="110">
      <c r="A110" s="319" t="s">
        <v>256</v>
      </c>
      <c r="B110" s="328">
        <v>46068.0</v>
      </c>
      <c r="C110" s="319" t="s">
        <v>257</v>
      </c>
      <c r="D110" s="320">
        <v>20899.0</v>
      </c>
      <c r="E110" s="320">
        <v>19.46</v>
      </c>
      <c r="F110" s="320">
        <v>0.0</v>
      </c>
      <c r="G110" s="320">
        <v>0.0</v>
      </c>
      <c r="H110" s="320">
        <v>0.0</v>
      </c>
      <c r="I110" s="329"/>
      <c r="J110" s="320">
        <v>6.29</v>
      </c>
      <c r="K110" s="320">
        <v>2.6</v>
      </c>
      <c r="L110" s="320">
        <v>0.03</v>
      </c>
      <c r="M110" s="320">
        <v>0.0108</v>
      </c>
      <c r="N110" s="320">
        <v>0.9919</v>
      </c>
      <c r="O110" s="320">
        <v>0.8877</v>
      </c>
      <c r="P110" s="320">
        <v>92.3095</v>
      </c>
      <c r="Q110" s="320">
        <v>22.7</v>
      </c>
      <c r="R110" s="320">
        <v>22.49</v>
      </c>
      <c r="S110" s="320">
        <v>0.21</v>
      </c>
      <c r="T110" s="320">
        <v>0.0</v>
      </c>
      <c r="U110" s="320">
        <v>22.7</v>
      </c>
      <c r="V110" s="320">
        <v>2.02</v>
      </c>
      <c r="W110" s="320">
        <v>0.7766</v>
      </c>
      <c r="X110" s="320">
        <v>0.0</v>
      </c>
      <c r="Y110" s="320">
        <v>292.0</v>
      </c>
      <c r="Z110" s="320">
        <v>3299.0</v>
      </c>
      <c r="AA110" s="320">
        <v>13809.0</v>
      </c>
      <c r="AB110" s="320">
        <v>49.0227</v>
      </c>
      <c r="AC110" s="320">
        <v>0.5465</v>
      </c>
      <c r="AD110" s="329"/>
      <c r="AE110" s="329"/>
      <c r="AF110" s="329"/>
      <c r="AG110" s="329"/>
      <c r="AH110" s="329"/>
      <c r="AI110" s="320">
        <v>0.0</v>
      </c>
      <c r="AJ110" s="320">
        <v>0.0</v>
      </c>
      <c r="AK110" s="320">
        <v>0.0</v>
      </c>
      <c r="AL110" s="320">
        <v>0.3022</v>
      </c>
      <c r="AM110" s="320">
        <v>17.86</v>
      </c>
      <c r="AN110" s="320">
        <v>4.63</v>
      </c>
      <c r="AO110" s="329"/>
      <c r="AP110" s="329"/>
    </row>
    <row r="111">
      <c r="A111" s="319" t="s">
        <v>256</v>
      </c>
      <c r="B111" s="328">
        <v>46068.0</v>
      </c>
      <c r="C111" s="319" t="s">
        <v>214</v>
      </c>
      <c r="D111" s="320">
        <v>39395.0</v>
      </c>
      <c r="E111" s="320">
        <v>36.68</v>
      </c>
      <c r="F111" s="320">
        <v>0.0</v>
      </c>
      <c r="G111" s="320">
        <v>0.0</v>
      </c>
      <c r="H111" s="320">
        <v>0.0</v>
      </c>
      <c r="I111" s="329"/>
      <c r="J111" s="320">
        <v>31.77</v>
      </c>
      <c r="K111" s="320">
        <v>14.44</v>
      </c>
      <c r="L111" s="320">
        <v>5.89</v>
      </c>
      <c r="M111" s="320">
        <v>0.4083</v>
      </c>
      <c r="N111" s="320">
        <v>0.7583</v>
      </c>
      <c r="O111" s="320">
        <v>0.5574</v>
      </c>
      <c r="P111" s="320">
        <v>2.4494</v>
      </c>
      <c r="Q111" s="320">
        <v>48.14</v>
      </c>
      <c r="R111" s="320">
        <v>35.94</v>
      </c>
      <c r="S111" s="320">
        <v>12.2</v>
      </c>
      <c r="T111" s="320">
        <v>0.21</v>
      </c>
      <c r="U111" s="320">
        <v>47.93</v>
      </c>
      <c r="V111" s="320">
        <v>53.27</v>
      </c>
      <c r="W111" s="320">
        <v>3.6903</v>
      </c>
      <c r="X111" s="320">
        <v>0.44</v>
      </c>
      <c r="Y111" s="320">
        <v>142.0</v>
      </c>
      <c r="Z111" s="320">
        <v>886.0</v>
      </c>
      <c r="AA111" s="320">
        <v>5761.0</v>
      </c>
      <c r="AB111" s="320">
        <v>48.7596</v>
      </c>
      <c r="AC111" s="320">
        <v>0.5438</v>
      </c>
      <c r="AD111" s="320">
        <v>4.1</v>
      </c>
      <c r="AE111" s="320">
        <v>1.0</v>
      </c>
      <c r="AF111" s="320">
        <v>3.0</v>
      </c>
      <c r="AG111" s="320">
        <v>5.0</v>
      </c>
      <c r="AH111" s="320">
        <v>9.0</v>
      </c>
      <c r="AI111" s="320">
        <v>73.87</v>
      </c>
      <c r="AJ111" s="320">
        <v>31.91</v>
      </c>
      <c r="AK111" s="320">
        <v>8.92</v>
      </c>
      <c r="AL111" s="320">
        <v>0.2712</v>
      </c>
      <c r="AM111" s="320">
        <v>20.67</v>
      </c>
      <c r="AN111" s="320">
        <v>15.27</v>
      </c>
      <c r="AO111" s="320">
        <v>64.89</v>
      </c>
      <c r="AP111" s="320">
        <v>13.41</v>
      </c>
    </row>
    <row r="112">
      <c r="A112" s="319" t="s">
        <v>256</v>
      </c>
      <c r="B112" s="328">
        <v>46068.0</v>
      </c>
      <c r="C112" s="319" t="s">
        <v>215</v>
      </c>
      <c r="D112" s="320">
        <v>26035.0</v>
      </c>
      <c r="E112" s="320">
        <v>24.24</v>
      </c>
      <c r="F112" s="320">
        <v>0.0</v>
      </c>
      <c r="G112" s="320">
        <v>0.0</v>
      </c>
      <c r="H112" s="320">
        <v>0.0</v>
      </c>
      <c r="I112" s="329"/>
      <c r="J112" s="320">
        <v>59.24</v>
      </c>
      <c r="K112" s="320">
        <v>28.15</v>
      </c>
      <c r="L112" s="320">
        <v>14.61</v>
      </c>
      <c r="M112" s="320">
        <v>0.519</v>
      </c>
      <c r="N112" s="320">
        <v>0.6647</v>
      </c>
      <c r="O112" s="320">
        <v>0.4636</v>
      </c>
      <c r="P112" s="320">
        <v>1.9268</v>
      </c>
      <c r="Q112" s="320">
        <v>83.15</v>
      </c>
      <c r="R112" s="320">
        <v>52.54</v>
      </c>
      <c r="S112" s="320">
        <v>30.6</v>
      </c>
      <c r="T112" s="320">
        <v>0.44</v>
      </c>
      <c r="U112" s="320">
        <v>82.7</v>
      </c>
      <c r="V112" s="320">
        <v>96.71</v>
      </c>
      <c r="W112" s="320">
        <v>3.4354</v>
      </c>
      <c r="X112" s="320">
        <v>0.54</v>
      </c>
      <c r="Y112" s="320">
        <v>114.0</v>
      </c>
      <c r="Z112" s="320">
        <v>667.0</v>
      </c>
      <c r="AA112" s="320">
        <v>5045.0</v>
      </c>
      <c r="AB112" s="320">
        <v>52.1083</v>
      </c>
      <c r="AC112" s="320">
        <v>0.6424</v>
      </c>
      <c r="AD112" s="320">
        <v>9.58</v>
      </c>
      <c r="AE112" s="320">
        <v>4.0</v>
      </c>
      <c r="AF112" s="320">
        <v>8.0</v>
      </c>
      <c r="AG112" s="320">
        <v>13.0</v>
      </c>
      <c r="AH112" s="320">
        <v>20.0</v>
      </c>
      <c r="AI112" s="320">
        <v>61.94</v>
      </c>
      <c r="AJ112" s="320">
        <v>26.31</v>
      </c>
      <c r="AK112" s="320">
        <v>4.93</v>
      </c>
      <c r="AL112" s="320">
        <v>0.2137</v>
      </c>
      <c r="AM112" s="320">
        <v>21.37</v>
      </c>
      <c r="AN112" s="320">
        <v>31.17</v>
      </c>
      <c r="AO112" s="320">
        <v>74.24</v>
      </c>
      <c r="AP112" s="320">
        <v>15.87</v>
      </c>
    </row>
    <row r="113">
      <c r="A113" s="319" t="s">
        <v>256</v>
      </c>
      <c r="B113" s="328">
        <v>46068.0</v>
      </c>
      <c r="C113" s="319" t="s">
        <v>216</v>
      </c>
      <c r="D113" s="320">
        <v>14838.0</v>
      </c>
      <c r="E113" s="320">
        <v>13.82</v>
      </c>
      <c r="F113" s="320">
        <v>0.0</v>
      </c>
      <c r="G113" s="320">
        <v>0.0</v>
      </c>
      <c r="H113" s="320">
        <v>0.0</v>
      </c>
      <c r="I113" s="329"/>
      <c r="J113" s="320">
        <v>90.05</v>
      </c>
      <c r="K113" s="320">
        <v>44.77</v>
      </c>
      <c r="L113" s="320">
        <v>28.6</v>
      </c>
      <c r="M113" s="320">
        <v>0.6387</v>
      </c>
      <c r="N113" s="320">
        <v>0.5457</v>
      </c>
      <c r="O113" s="320">
        <v>0.375</v>
      </c>
      <c r="P113" s="320">
        <v>1.5656</v>
      </c>
      <c r="Q113" s="320">
        <v>139.45</v>
      </c>
      <c r="R113" s="320">
        <v>79.28</v>
      </c>
      <c r="S113" s="320">
        <v>60.17</v>
      </c>
      <c r="T113" s="320">
        <v>0.61</v>
      </c>
      <c r="U113" s="320">
        <v>138.84</v>
      </c>
      <c r="V113" s="320">
        <v>168.22</v>
      </c>
      <c r="W113" s="320">
        <v>3.7573</v>
      </c>
      <c r="X113" s="320">
        <v>0.44</v>
      </c>
      <c r="Y113" s="320">
        <v>139.0</v>
      </c>
      <c r="Z113" s="320">
        <v>1020.0</v>
      </c>
      <c r="AA113" s="320">
        <v>6208.0</v>
      </c>
      <c r="AB113" s="320">
        <v>55.2535</v>
      </c>
      <c r="AC113" s="320">
        <v>0.7374</v>
      </c>
      <c r="AD113" s="320">
        <v>18.28</v>
      </c>
      <c r="AE113" s="320">
        <v>7.0</v>
      </c>
      <c r="AF113" s="320">
        <v>14.0</v>
      </c>
      <c r="AG113" s="320">
        <v>25.0</v>
      </c>
      <c r="AH113" s="320">
        <v>38.0</v>
      </c>
      <c r="AI113" s="320">
        <v>60.34</v>
      </c>
      <c r="AJ113" s="320">
        <v>23.48</v>
      </c>
      <c r="AK113" s="320">
        <v>8.1</v>
      </c>
      <c r="AL113" s="320">
        <v>0.2018</v>
      </c>
      <c r="AM113" s="320">
        <v>21.75</v>
      </c>
      <c r="AN113" s="320">
        <v>57.53</v>
      </c>
      <c r="AO113" s="320">
        <v>76.92</v>
      </c>
      <c r="AP113" s="320">
        <v>16.73</v>
      </c>
    </row>
    <row r="114">
      <c r="A114" s="319" t="s">
        <v>256</v>
      </c>
      <c r="B114" s="328">
        <v>46068.0</v>
      </c>
      <c r="C114" s="319" t="s">
        <v>217</v>
      </c>
      <c r="D114" s="320">
        <v>5629.0</v>
      </c>
      <c r="E114" s="320">
        <v>5.24</v>
      </c>
      <c r="F114" s="320">
        <v>0.0</v>
      </c>
      <c r="G114" s="320">
        <v>0.0</v>
      </c>
      <c r="H114" s="320">
        <v>0.0</v>
      </c>
      <c r="I114" s="329"/>
      <c r="J114" s="320">
        <v>134.06</v>
      </c>
      <c r="K114" s="320">
        <v>72.08</v>
      </c>
      <c r="L114" s="320">
        <v>56.18</v>
      </c>
      <c r="M114" s="320">
        <v>0.7794</v>
      </c>
      <c r="N114" s="320">
        <v>0.3959</v>
      </c>
      <c r="O114" s="320">
        <v>0.2798</v>
      </c>
      <c r="P114" s="320">
        <v>1.2831</v>
      </c>
      <c r="Q114" s="320">
        <v>243.18</v>
      </c>
      <c r="R114" s="320">
        <v>124.37</v>
      </c>
      <c r="S114" s="320">
        <v>118.81</v>
      </c>
      <c r="T114" s="320">
        <v>0.8</v>
      </c>
      <c r="U114" s="320">
        <v>242.38</v>
      </c>
      <c r="V114" s="320">
        <v>306.02</v>
      </c>
      <c r="W114" s="320">
        <v>4.2457</v>
      </c>
      <c r="X114" s="320">
        <v>0.33</v>
      </c>
      <c r="Y114" s="320">
        <v>295.0</v>
      </c>
      <c r="Z114" s="320">
        <v>2599.0</v>
      </c>
      <c r="AA114" s="320">
        <v>9511.0</v>
      </c>
      <c r="AB114" s="320">
        <v>59.5267</v>
      </c>
      <c r="AC114" s="320">
        <v>0.8332</v>
      </c>
      <c r="AD114" s="320">
        <v>38.04</v>
      </c>
      <c r="AE114" s="320">
        <v>15.0</v>
      </c>
      <c r="AF114" s="320">
        <v>29.0</v>
      </c>
      <c r="AG114" s="320">
        <v>53.0</v>
      </c>
      <c r="AH114" s="320">
        <v>80.0</v>
      </c>
      <c r="AI114" s="320">
        <v>52.21</v>
      </c>
      <c r="AJ114" s="320">
        <v>20.91</v>
      </c>
      <c r="AK114" s="320">
        <v>4.67</v>
      </c>
      <c r="AL114" s="320">
        <v>0.1499</v>
      </c>
      <c r="AM114" s="320">
        <v>21.31</v>
      </c>
      <c r="AN114" s="320">
        <v>103.06</v>
      </c>
      <c r="AO114" s="320">
        <v>80.74</v>
      </c>
      <c r="AP114" s="320">
        <v>17.21</v>
      </c>
    </row>
    <row r="115">
      <c r="A115" s="319" t="s">
        <v>256</v>
      </c>
      <c r="B115" s="328">
        <v>46068.0</v>
      </c>
      <c r="C115" s="319" t="s">
        <v>218</v>
      </c>
      <c r="D115" s="320">
        <v>606.0</v>
      </c>
      <c r="E115" s="320">
        <v>0.56</v>
      </c>
      <c r="F115" s="320">
        <v>0.0</v>
      </c>
      <c r="G115" s="320">
        <v>0.0</v>
      </c>
      <c r="H115" s="320">
        <v>0.0</v>
      </c>
      <c r="I115" s="329"/>
      <c r="J115" s="320">
        <v>243.97</v>
      </c>
      <c r="K115" s="320">
        <v>145.16</v>
      </c>
      <c r="L115" s="320">
        <v>127.06</v>
      </c>
      <c r="M115" s="320">
        <v>0.8753</v>
      </c>
      <c r="N115" s="320">
        <v>0.2681</v>
      </c>
      <c r="O115" s="320">
        <v>0.1977</v>
      </c>
      <c r="P115" s="320">
        <v>1.1424</v>
      </c>
      <c r="Q115" s="320">
        <v>498.69</v>
      </c>
      <c r="R115" s="320">
        <v>230.57</v>
      </c>
      <c r="S115" s="320">
        <v>268.12</v>
      </c>
      <c r="T115" s="320">
        <v>0.0</v>
      </c>
      <c r="U115" s="320">
        <v>498.69</v>
      </c>
      <c r="V115" s="320">
        <v>604.79</v>
      </c>
      <c r="W115" s="320">
        <v>4.1665</v>
      </c>
      <c r="X115" s="320">
        <v>0.0</v>
      </c>
      <c r="Y115" s="320">
        <v>1031.0</v>
      </c>
      <c r="Z115" s="320">
        <v>4174.0</v>
      </c>
      <c r="AA115" s="320">
        <v>11982.0</v>
      </c>
      <c r="AB115" s="320">
        <v>63.4486</v>
      </c>
      <c r="AC115" s="320">
        <v>0.8965</v>
      </c>
      <c r="AD115" s="320">
        <v>87.22</v>
      </c>
      <c r="AE115" s="320">
        <v>33.0</v>
      </c>
      <c r="AF115" s="320">
        <v>70.0</v>
      </c>
      <c r="AG115" s="320">
        <v>123.0</v>
      </c>
      <c r="AH115" s="320">
        <v>179.0</v>
      </c>
      <c r="AI115" s="320">
        <v>44.72</v>
      </c>
      <c r="AJ115" s="320">
        <v>10.56</v>
      </c>
      <c r="AK115" s="320">
        <v>1.32</v>
      </c>
      <c r="AL115" s="320">
        <v>0.1221</v>
      </c>
      <c r="AM115" s="320">
        <v>23.96</v>
      </c>
      <c r="AN115" s="320">
        <v>206.61</v>
      </c>
      <c r="AO115" s="320">
        <v>79.51</v>
      </c>
      <c r="AP115" s="320">
        <v>19.05</v>
      </c>
    </row>
    <row r="116">
      <c r="A116" s="319" t="s">
        <v>256</v>
      </c>
      <c r="B116" s="328">
        <v>46069.0</v>
      </c>
      <c r="C116" s="319" t="s">
        <v>257</v>
      </c>
      <c r="D116" s="320">
        <v>21132.0</v>
      </c>
      <c r="E116" s="320">
        <v>18.76</v>
      </c>
      <c r="F116" s="320">
        <v>0.0</v>
      </c>
      <c r="G116" s="320">
        <v>0.0</v>
      </c>
      <c r="H116" s="320">
        <v>0.0</v>
      </c>
      <c r="I116" s="329"/>
      <c r="J116" s="320">
        <v>5.78</v>
      </c>
      <c r="K116" s="320">
        <v>2.32</v>
      </c>
      <c r="L116" s="320">
        <v>0.06</v>
      </c>
      <c r="M116" s="320">
        <v>0.0277</v>
      </c>
      <c r="N116" s="320">
        <v>0.9774</v>
      </c>
      <c r="O116" s="320">
        <v>0.7622</v>
      </c>
      <c r="P116" s="320">
        <v>36.0966</v>
      </c>
      <c r="Q116" s="320">
        <v>32.54</v>
      </c>
      <c r="R116" s="320">
        <v>31.72</v>
      </c>
      <c r="S116" s="320">
        <v>0.81</v>
      </c>
      <c r="T116" s="320">
        <v>0.0</v>
      </c>
      <c r="U116" s="320">
        <v>32.54</v>
      </c>
      <c r="V116" s="320">
        <v>2.16</v>
      </c>
      <c r="W116" s="320">
        <v>0.9306</v>
      </c>
      <c r="X116" s="320">
        <v>0.0</v>
      </c>
      <c r="Y116" s="320">
        <v>362.0</v>
      </c>
      <c r="Z116" s="320">
        <v>3729.0</v>
      </c>
      <c r="AA116" s="320">
        <v>14331.0</v>
      </c>
      <c r="AB116" s="320">
        <v>49.2582</v>
      </c>
      <c r="AC116" s="320">
        <v>0.5507</v>
      </c>
      <c r="AD116" s="329"/>
      <c r="AE116" s="329"/>
      <c r="AF116" s="329"/>
      <c r="AG116" s="329"/>
      <c r="AH116" s="329"/>
      <c r="AI116" s="320">
        <v>0.0</v>
      </c>
      <c r="AJ116" s="320">
        <v>0.0</v>
      </c>
      <c r="AK116" s="320">
        <v>0.0</v>
      </c>
      <c r="AL116" s="320">
        <v>0.3025</v>
      </c>
      <c r="AM116" s="320">
        <v>15.94</v>
      </c>
      <c r="AN116" s="320">
        <v>15.78</v>
      </c>
      <c r="AO116" s="329"/>
      <c r="AP116" s="329"/>
    </row>
    <row r="117">
      <c r="A117" s="319" t="s">
        <v>256</v>
      </c>
      <c r="B117" s="328">
        <v>46069.0</v>
      </c>
      <c r="C117" s="319" t="s">
        <v>214</v>
      </c>
      <c r="D117" s="320">
        <v>39921.0</v>
      </c>
      <c r="E117" s="320">
        <v>35.44</v>
      </c>
      <c r="F117" s="320">
        <v>0.0</v>
      </c>
      <c r="G117" s="320">
        <v>0.0</v>
      </c>
      <c r="H117" s="320">
        <v>0.0</v>
      </c>
      <c r="I117" s="329"/>
      <c r="J117" s="320">
        <v>32.21</v>
      </c>
      <c r="K117" s="320">
        <v>14.42</v>
      </c>
      <c r="L117" s="320">
        <v>5.83</v>
      </c>
      <c r="M117" s="320">
        <v>0.4043</v>
      </c>
      <c r="N117" s="320">
        <v>0.7666</v>
      </c>
      <c r="O117" s="320">
        <v>0.5695</v>
      </c>
      <c r="P117" s="320">
        <v>2.4733</v>
      </c>
      <c r="Q117" s="320">
        <v>71.4</v>
      </c>
      <c r="R117" s="320">
        <v>59.66</v>
      </c>
      <c r="S117" s="320">
        <v>11.73</v>
      </c>
      <c r="T117" s="320">
        <v>0.19</v>
      </c>
      <c r="U117" s="320">
        <v>71.2</v>
      </c>
      <c r="V117" s="320">
        <v>60.13</v>
      </c>
      <c r="W117" s="320">
        <v>4.171</v>
      </c>
      <c r="X117" s="320">
        <v>0.27</v>
      </c>
      <c r="Y117" s="320">
        <v>152.0</v>
      </c>
      <c r="Z117" s="320">
        <v>882.0</v>
      </c>
      <c r="AA117" s="320">
        <v>5984.0</v>
      </c>
      <c r="AB117" s="320">
        <v>48.6578</v>
      </c>
      <c r="AC117" s="320">
        <v>0.5326</v>
      </c>
      <c r="AD117" s="320">
        <v>4.01</v>
      </c>
      <c r="AE117" s="320">
        <v>1.0</v>
      </c>
      <c r="AF117" s="320">
        <v>3.0</v>
      </c>
      <c r="AG117" s="320">
        <v>5.0</v>
      </c>
      <c r="AH117" s="320">
        <v>9.0</v>
      </c>
      <c r="AI117" s="320">
        <v>73.39</v>
      </c>
      <c r="AJ117" s="320">
        <v>30.74</v>
      </c>
      <c r="AK117" s="320">
        <v>8.34</v>
      </c>
      <c r="AL117" s="320">
        <v>0.2511</v>
      </c>
      <c r="AM117" s="320">
        <v>18.34</v>
      </c>
      <c r="AN117" s="320">
        <v>41.33</v>
      </c>
      <c r="AO117" s="320">
        <v>65.01</v>
      </c>
      <c r="AP117" s="320">
        <v>11.92</v>
      </c>
    </row>
    <row r="118">
      <c r="A118" s="319" t="s">
        <v>256</v>
      </c>
      <c r="B118" s="328">
        <v>46069.0</v>
      </c>
      <c r="C118" s="319" t="s">
        <v>215</v>
      </c>
      <c r="D118" s="320">
        <v>28089.0</v>
      </c>
      <c r="E118" s="320">
        <v>24.94</v>
      </c>
      <c r="F118" s="320">
        <v>0.0</v>
      </c>
      <c r="G118" s="320">
        <v>0.0</v>
      </c>
      <c r="H118" s="320">
        <v>0.0</v>
      </c>
      <c r="I118" s="329"/>
      <c r="J118" s="320">
        <v>61.61</v>
      </c>
      <c r="K118" s="320">
        <v>28.8</v>
      </c>
      <c r="L118" s="320">
        <v>15.46</v>
      </c>
      <c r="M118" s="320">
        <v>0.537</v>
      </c>
      <c r="N118" s="320">
        <v>0.6582</v>
      </c>
      <c r="O118" s="320">
        <v>0.463</v>
      </c>
      <c r="P118" s="320">
        <v>1.8621</v>
      </c>
      <c r="Q118" s="320">
        <v>135.9</v>
      </c>
      <c r="R118" s="320">
        <v>105.14</v>
      </c>
      <c r="S118" s="320">
        <v>30.76</v>
      </c>
      <c r="T118" s="320">
        <v>1.22</v>
      </c>
      <c r="U118" s="320">
        <v>134.68</v>
      </c>
      <c r="V118" s="320">
        <v>118.17</v>
      </c>
      <c r="W118" s="320">
        <v>4.1038</v>
      </c>
      <c r="X118" s="320">
        <v>0.9</v>
      </c>
      <c r="Y118" s="320">
        <v>145.0</v>
      </c>
      <c r="Z118" s="320">
        <v>795.0</v>
      </c>
      <c r="AA118" s="320">
        <v>5607.0</v>
      </c>
      <c r="AB118" s="320">
        <v>52.1057</v>
      </c>
      <c r="AC118" s="320">
        <v>0.6005</v>
      </c>
      <c r="AD118" s="320">
        <v>9.97</v>
      </c>
      <c r="AE118" s="320">
        <v>4.0</v>
      </c>
      <c r="AF118" s="320">
        <v>8.0</v>
      </c>
      <c r="AG118" s="320">
        <v>14.0</v>
      </c>
      <c r="AH118" s="320">
        <v>21.0</v>
      </c>
      <c r="AI118" s="320">
        <v>62.69</v>
      </c>
      <c r="AJ118" s="320">
        <v>28.46</v>
      </c>
      <c r="AK118" s="320">
        <v>5.92</v>
      </c>
      <c r="AL118" s="320">
        <v>0.1894</v>
      </c>
      <c r="AM118" s="320">
        <v>19.21</v>
      </c>
      <c r="AN118" s="320">
        <v>85.93</v>
      </c>
      <c r="AO118" s="320">
        <v>72.8</v>
      </c>
      <c r="AP118" s="320">
        <v>13.98</v>
      </c>
    </row>
    <row r="119">
      <c r="A119" s="319" t="s">
        <v>256</v>
      </c>
      <c r="B119" s="328">
        <v>46069.0</v>
      </c>
      <c r="C119" s="319" t="s">
        <v>216</v>
      </c>
      <c r="D119" s="320">
        <v>16393.0</v>
      </c>
      <c r="E119" s="320">
        <v>14.55</v>
      </c>
      <c r="F119" s="320">
        <v>0.0</v>
      </c>
      <c r="G119" s="320">
        <v>0.0</v>
      </c>
      <c r="H119" s="320">
        <v>0.0</v>
      </c>
      <c r="I119" s="329"/>
      <c r="J119" s="320">
        <v>92.8</v>
      </c>
      <c r="K119" s="320">
        <v>45.6</v>
      </c>
      <c r="L119" s="320">
        <v>30.77</v>
      </c>
      <c r="M119" s="320">
        <v>0.6747</v>
      </c>
      <c r="N119" s="320">
        <v>0.5259</v>
      </c>
      <c r="O119" s="320">
        <v>0.3677</v>
      </c>
      <c r="P119" s="320">
        <v>1.4821</v>
      </c>
      <c r="Q119" s="320">
        <v>229.67</v>
      </c>
      <c r="R119" s="320">
        <v>169.41</v>
      </c>
      <c r="S119" s="320">
        <v>60.25</v>
      </c>
      <c r="T119" s="320">
        <v>0.81</v>
      </c>
      <c r="U119" s="320">
        <v>228.85</v>
      </c>
      <c r="V119" s="320">
        <v>208.67</v>
      </c>
      <c r="W119" s="320">
        <v>4.5762</v>
      </c>
      <c r="X119" s="320">
        <v>0.35</v>
      </c>
      <c r="Y119" s="320">
        <v>176.0</v>
      </c>
      <c r="Z119" s="320">
        <v>1159.0</v>
      </c>
      <c r="AA119" s="320">
        <v>7365.0</v>
      </c>
      <c r="AB119" s="320">
        <v>54.9668</v>
      </c>
      <c r="AC119" s="320">
        <v>0.6662</v>
      </c>
      <c r="AD119" s="320">
        <v>19.41</v>
      </c>
      <c r="AE119" s="320">
        <v>8.0</v>
      </c>
      <c r="AF119" s="320">
        <v>16.0</v>
      </c>
      <c r="AG119" s="320">
        <v>27.0</v>
      </c>
      <c r="AH119" s="320">
        <v>39.0</v>
      </c>
      <c r="AI119" s="320">
        <v>64.95</v>
      </c>
      <c r="AJ119" s="320">
        <v>28.32</v>
      </c>
      <c r="AK119" s="320">
        <v>7.02</v>
      </c>
      <c r="AL119" s="320">
        <v>0.1643</v>
      </c>
      <c r="AM119" s="320">
        <v>19.64</v>
      </c>
      <c r="AN119" s="320">
        <v>149.78</v>
      </c>
      <c r="AO119" s="320">
        <v>73.44</v>
      </c>
      <c r="AP119" s="320">
        <v>14.42</v>
      </c>
    </row>
    <row r="120">
      <c r="A120" s="319" t="s">
        <v>256</v>
      </c>
      <c r="B120" s="328">
        <v>46069.0</v>
      </c>
      <c r="C120" s="319" t="s">
        <v>217</v>
      </c>
      <c r="D120" s="320">
        <v>6526.0</v>
      </c>
      <c r="E120" s="320">
        <v>5.79</v>
      </c>
      <c r="F120" s="320">
        <v>0.0</v>
      </c>
      <c r="G120" s="320">
        <v>0.0</v>
      </c>
      <c r="H120" s="320">
        <v>0.0</v>
      </c>
      <c r="I120" s="329"/>
      <c r="J120" s="320">
        <v>145.63</v>
      </c>
      <c r="K120" s="320">
        <v>78.06</v>
      </c>
      <c r="L120" s="320">
        <v>62.73</v>
      </c>
      <c r="M120" s="320">
        <v>0.8036</v>
      </c>
      <c r="N120" s="320">
        <v>0.3822</v>
      </c>
      <c r="O120" s="320">
        <v>0.2776</v>
      </c>
      <c r="P120" s="320">
        <v>1.2444</v>
      </c>
      <c r="Q120" s="320">
        <v>412.41</v>
      </c>
      <c r="R120" s="320">
        <v>293.42</v>
      </c>
      <c r="S120" s="320">
        <v>118.98</v>
      </c>
      <c r="T120" s="320">
        <v>1.13</v>
      </c>
      <c r="U120" s="320">
        <v>411.28</v>
      </c>
      <c r="V120" s="320">
        <v>386.64</v>
      </c>
      <c r="W120" s="320">
        <v>4.9532</v>
      </c>
      <c r="X120" s="320">
        <v>0.27</v>
      </c>
      <c r="Y120" s="320">
        <v>403.0</v>
      </c>
      <c r="Z120" s="320">
        <v>3038.0</v>
      </c>
      <c r="AA120" s="320">
        <v>11867.0</v>
      </c>
      <c r="AB120" s="320">
        <v>58.8096</v>
      </c>
      <c r="AC120" s="320">
        <v>0.7346</v>
      </c>
      <c r="AD120" s="320">
        <v>39.45</v>
      </c>
      <c r="AE120" s="320">
        <v>17.0</v>
      </c>
      <c r="AF120" s="320">
        <v>33.0</v>
      </c>
      <c r="AG120" s="320">
        <v>50.0</v>
      </c>
      <c r="AH120" s="320">
        <v>80.0</v>
      </c>
      <c r="AI120" s="320">
        <v>58.57</v>
      </c>
      <c r="AJ120" s="320">
        <v>19.46</v>
      </c>
      <c r="AK120" s="320">
        <v>5.47</v>
      </c>
      <c r="AL120" s="320">
        <v>0.1263</v>
      </c>
      <c r="AM120" s="320">
        <v>21.14</v>
      </c>
      <c r="AN120" s="320">
        <v>272.28</v>
      </c>
      <c r="AO120" s="320">
        <v>73.21</v>
      </c>
      <c r="AP120" s="320">
        <v>15.48</v>
      </c>
    </row>
    <row r="121">
      <c r="A121" s="319" t="s">
        <v>256</v>
      </c>
      <c r="B121" s="328">
        <v>46069.0</v>
      </c>
      <c r="C121" s="319" t="s">
        <v>218</v>
      </c>
      <c r="D121" s="320">
        <v>573.0</v>
      </c>
      <c r="E121" s="320">
        <v>0.51</v>
      </c>
      <c r="F121" s="320">
        <v>0.0</v>
      </c>
      <c r="G121" s="320">
        <v>0.0</v>
      </c>
      <c r="H121" s="320">
        <v>0.0</v>
      </c>
      <c r="I121" s="329"/>
      <c r="J121" s="320">
        <v>253.76</v>
      </c>
      <c r="K121" s="320">
        <v>149.44</v>
      </c>
      <c r="L121" s="320">
        <v>132.72</v>
      </c>
      <c r="M121" s="320">
        <v>0.8881</v>
      </c>
      <c r="N121" s="320">
        <v>0.2638</v>
      </c>
      <c r="O121" s="320">
        <v>0.2009</v>
      </c>
      <c r="P121" s="320">
        <v>1.126</v>
      </c>
      <c r="Q121" s="320">
        <v>773.27</v>
      </c>
      <c r="R121" s="320">
        <v>492.76</v>
      </c>
      <c r="S121" s="320">
        <v>280.51</v>
      </c>
      <c r="T121" s="320">
        <v>0.0</v>
      </c>
      <c r="U121" s="320">
        <v>773.27</v>
      </c>
      <c r="V121" s="320">
        <v>723.82</v>
      </c>
      <c r="W121" s="320">
        <v>4.8435</v>
      </c>
      <c r="X121" s="320">
        <v>0.0</v>
      </c>
      <c r="Y121" s="320">
        <v>957.0</v>
      </c>
      <c r="Z121" s="320">
        <v>3636.0</v>
      </c>
      <c r="AA121" s="320">
        <v>11325.0</v>
      </c>
      <c r="AB121" s="320">
        <v>63.749</v>
      </c>
      <c r="AC121" s="320">
        <v>0.9009</v>
      </c>
      <c r="AD121" s="320">
        <v>93.97</v>
      </c>
      <c r="AE121" s="320">
        <v>40.0</v>
      </c>
      <c r="AF121" s="320">
        <v>82.0</v>
      </c>
      <c r="AG121" s="320">
        <v>128.0</v>
      </c>
      <c r="AH121" s="320">
        <v>192.0</v>
      </c>
      <c r="AI121" s="320">
        <v>50.61</v>
      </c>
      <c r="AJ121" s="320">
        <v>13.26</v>
      </c>
      <c r="AK121" s="320">
        <v>1.92</v>
      </c>
      <c r="AL121" s="320">
        <v>0.0942</v>
      </c>
      <c r="AM121" s="320">
        <v>22.22</v>
      </c>
      <c r="AN121" s="320">
        <v>470.54</v>
      </c>
      <c r="AO121" s="320">
        <v>83.62</v>
      </c>
      <c r="AP121" s="320">
        <v>18.58</v>
      </c>
    </row>
    <row r="122">
      <c r="A122" s="319" t="s">
        <v>256</v>
      </c>
      <c r="B122" s="328">
        <v>46070.0</v>
      </c>
      <c r="C122" s="319" t="s">
        <v>257</v>
      </c>
      <c r="D122" s="320">
        <v>21592.0</v>
      </c>
      <c r="E122" s="320">
        <v>19.46</v>
      </c>
      <c r="F122" s="320">
        <v>0.0</v>
      </c>
      <c r="G122" s="320">
        <v>0.0</v>
      </c>
      <c r="H122" s="320">
        <v>0.0</v>
      </c>
      <c r="I122" s="329"/>
      <c r="J122" s="320">
        <v>6.19</v>
      </c>
      <c r="K122" s="320">
        <v>2.51</v>
      </c>
      <c r="L122" s="320">
        <v>0.05</v>
      </c>
      <c r="M122" s="320">
        <v>0.0199</v>
      </c>
      <c r="N122" s="320">
        <v>0.9838</v>
      </c>
      <c r="O122" s="320">
        <v>0.8096</v>
      </c>
      <c r="P122" s="320">
        <v>50.3333</v>
      </c>
      <c r="Q122" s="320">
        <v>25.62</v>
      </c>
      <c r="R122" s="320">
        <v>25.34</v>
      </c>
      <c r="S122" s="320">
        <v>0.28</v>
      </c>
      <c r="T122" s="320">
        <v>0.0</v>
      </c>
      <c r="U122" s="320">
        <v>25.62</v>
      </c>
      <c r="V122" s="320">
        <v>2.34</v>
      </c>
      <c r="W122" s="320">
        <v>0.9307</v>
      </c>
      <c r="X122" s="320">
        <v>0.0</v>
      </c>
      <c r="Y122" s="320">
        <v>326.0</v>
      </c>
      <c r="Z122" s="320">
        <v>3282.0</v>
      </c>
      <c r="AA122" s="320">
        <v>13630.0</v>
      </c>
      <c r="AB122" s="320">
        <v>48.8664</v>
      </c>
      <c r="AC122" s="320">
        <v>0.5422</v>
      </c>
      <c r="AD122" s="329"/>
      <c r="AE122" s="329"/>
      <c r="AF122" s="329"/>
      <c r="AG122" s="329"/>
      <c r="AH122" s="329"/>
      <c r="AI122" s="320">
        <v>0.0</v>
      </c>
      <c r="AJ122" s="320">
        <v>0.0</v>
      </c>
      <c r="AK122" s="320">
        <v>0.0</v>
      </c>
      <c r="AL122" s="320">
        <v>0.2895</v>
      </c>
      <c r="AM122" s="320">
        <v>15.67</v>
      </c>
      <c r="AN122" s="320">
        <v>9.67</v>
      </c>
      <c r="AO122" s="329"/>
      <c r="AP122" s="329"/>
    </row>
    <row r="123">
      <c r="A123" s="319" t="s">
        <v>256</v>
      </c>
      <c r="B123" s="328">
        <v>46070.0</v>
      </c>
      <c r="C123" s="319" t="s">
        <v>214</v>
      </c>
      <c r="D123" s="320">
        <v>39309.0</v>
      </c>
      <c r="E123" s="320">
        <v>35.43</v>
      </c>
      <c r="F123" s="320">
        <v>0.0</v>
      </c>
      <c r="G123" s="320">
        <v>0.0</v>
      </c>
      <c r="H123" s="320">
        <v>0.0</v>
      </c>
      <c r="I123" s="329"/>
      <c r="J123" s="320">
        <v>29.0</v>
      </c>
      <c r="K123" s="320">
        <v>12.97</v>
      </c>
      <c r="L123" s="320">
        <v>5.5</v>
      </c>
      <c r="M123" s="320">
        <v>0.4242</v>
      </c>
      <c r="N123" s="320">
        <v>0.753</v>
      </c>
      <c r="O123" s="320">
        <v>0.5623</v>
      </c>
      <c r="P123" s="320">
        <v>2.3573</v>
      </c>
      <c r="Q123" s="320">
        <v>54.29</v>
      </c>
      <c r="R123" s="320">
        <v>42.86</v>
      </c>
      <c r="S123" s="320">
        <v>11.43</v>
      </c>
      <c r="T123" s="320">
        <v>0.02</v>
      </c>
      <c r="U123" s="320">
        <v>54.27</v>
      </c>
      <c r="V123" s="320">
        <v>55.17</v>
      </c>
      <c r="W123" s="320">
        <v>4.2524</v>
      </c>
      <c r="X123" s="320">
        <v>0.04</v>
      </c>
      <c r="Y123" s="320">
        <v>152.0</v>
      </c>
      <c r="Z123" s="320">
        <v>870.0</v>
      </c>
      <c r="AA123" s="320">
        <v>5746.0</v>
      </c>
      <c r="AB123" s="320">
        <v>48.6999</v>
      </c>
      <c r="AC123" s="320">
        <v>0.5327</v>
      </c>
      <c r="AD123" s="320">
        <v>4.01</v>
      </c>
      <c r="AE123" s="320">
        <v>1.0</v>
      </c>
      <c r="AF123" s="320">
        <v>3.0</v>
      </c>
      <c r="AG123" s="320">
        <v>5.0</v>
      </c>
      <c r="AH123" s="320">
        <v>9.0</v>
      </c>
      <c r="AI123" s="320">
        <v>72.46</v>
      </c>
      <c r="AJ123" s="320">
        <v>30.63</v>
      </c>
      <c r="AK123" s="320">
        <v>8.79</v>
      </c>
      <c r="AL123" s="320">
        <v>0.2479</v>
      </c>
      <c r="AM123" s="320">
        <v>18.19</v>
      </c>
      <c r="AN123" s="320">
        <v>24.67</v>
      </c>
      <c r="AO123" s="320">
        <v>65.26</v>
      </c>
      <c r="AP123" s="320">
        <v>11.87</v>
      </c>
    </row>
    <row r="124">
      <c r="A124" s="319" t="s">
        <v>256</v>
      </c>
      <c r="B124" s="328">
        <v>46070.0</v>
      </c>
      <c r="C124" s="319" t="s">
        <v>215</v>
      </c>
      <c r="D124" s="320">
        <v>27596.0</v>
      </c>
      <c r="E124" s="320">
        <v>24.87</v>
      </c>
      <c r="F124" s="320">
        <v>0.0</v>
      </c>
      <c r="G124" s="320">
        <v>0.0</v>
      </c>
      <c r="H124" s="320">
        <v>0.0</v>
      </c>
      <c r="I124" s="329"/>
      <c r="J124" s="320">
        <v>55.19</v>
      </c>
      <c r="K124" s="320">
        <v>25.63</v>
      </c>
      <c r="L124" s="320">
        <v>14.5</v>
      </c>
      <c r="M124" s="320">
        <v>0.5658</v>
      </c>
      <c r="N124" s="320">
        <v>0.6348</v>
      </c>
      <c r="O124" s="320">
        <v>0.4461</v>
      </c>
      <c r="P124" s="320">
        <v>1.7673</v>
      </c>
      <c r="Q124" s="320">
        <v>104.51</v>
      </c>
      <c r="R124" s="320">
        <v>74.93</v>
      </c>
      <c r="S124" s="320">
        <v>29.58</v>
      </c>
      <c r="T124" s="320">
        <v>0.86</v>
      </c>
      <c r="U124" s="320">
        <v>103.64</v>
      </c>
      <c r="V124" s="320">
        <v>106.55</v>
      </c>
      <c r="W124" s="320">
        <v>4.1572</v>
      </c>
      <c r="X124" s="320">
        <v>0.83</v>
      </c>
      <c r="Y124" s="320">
        <v>141.0</v>
      </c>
      <c r="Z124" s="320">
        <v>822.0</v>
      </c>
      <c r="AA124" s="320">
        <v>6143.0</v>
      </c>
      <c r="AB124" s="320">
        <v>52.1129</v>
      </c>
      <c r="AC124" s="320">
        <v>0.609</v>
      </c>
      <c r="AD124" s="320">
        <v>9.7</v>
      </c>
      <c r="AE124" s="320">
        <v>4.0</v>
      </c>
      <c r="AF124" s="320">
        <v>8.0</v>
      </c>
      <c r="AG124" s="320">
        <v>13.0</v>
      </c>
      <c r="AH124" s="320">
        <v>20.0</v>
      </c>
      <c r="AI124" s="320">
        <v>61.95</v>
      </c>
      <c r="AJ124" s="320">
        <v>27.34</v>
      </c>
      <c r="AK124" s="320">
        <v>5.13</v>
      </c>
      <c r="AL124" s="320">
        <v>0.1869</v>
      </c>
      <c r="AM124" s="320">
        <v>18.81</v>
      </c>
      <c r="AN124" s="320">
        <v>56.12</v>
      </c>
      <c r="AO124" s="320">
        <v>73.19</v>
      </c>
      <c r="AP124" s="320">
        <v>13.77</v>
      </c>
    </row>
    <row r="125">
      <c r="A125" s="319" t="s">
        <v>256</v>
      </c>
      <c r="B125" s="328">
        <v>46070.0</v>
      </c>
      <c r="C125" s="319" t="s">
        <v>216</v>
      </c>
      <c r="D125" s="320">
        <v>16102.0</v>
      </c>
      <c r="E125" s="320">
        <v>14.51</v>
      </c>
      <c r="F125" s="320">
        <v>0.0</v>
      </c>
      <c r="G125" s="320">
        <v>0.0</v>
      </c>
      <c r="H125" s="320">
        <v>0.0</v>
      </c>
      <c r="I125" s="329"/>
      <c r="J125" s="320">
        <v>83.44</v>
      </c>
      <c r="K125" s="320">
        <v>41.39</v>
      </c>
      <c r="L125" s="320">
        <v>28.6</v>
      </c>
      <c r="M125" s="320">
        <v>0.6911</v>
      </c>
      <c r="N125" s="320">
        <v>0.5071</v>
      </c>
      <c r="O125" s="320">
        <v>0.3544</v>
      </c>
      <c r="P125" s="320">
        <v>1.447</v>
      </c>
      <c r="Q125" s="320">
        <v>185.79</v>
      </c>
      <c r="R125" s="320">
        <v>130.09</v>
      </c>
      <c r="S125" s="320">
        <v>55.7</v>
      </c>
      <c r="T125" s="320">
        <v>1.45</v>
      </c>
      <c r="U125" s="320">
        <v>184.34</v>
      </c>
      <c r="V125" s="320">
        <v>184.98</v>
      </c>
      <c r="W125" s="320">
        <v>4.469</v>
      </c>
      <c r="X125" s="320">
        <v>0.78</v>
      </c>
      <c r="Y125" s="320">
        <v>178.0</v>
      </c>
      <c r="Z125" s="320">
        <v>1224.0</v>
      </c>
      <c r="AA125" s="320">
        <v>7781.0</v>
      </c>
      <c r="AB125" s="320">
        <v>55.1282</v>
      </c>
      <c r="AC125" s="320">
        <v>0.6922</v>
      </c>
      <c r="AD125" s="320">
        <v>17.77</v>
      </c>
      <c r="AE125" s="320">
        <v>7.0</v>
      </c>
      <c r="AF125" s="320">
        <v>14.0</v>
      </c>
      <c r="AG125" s="320">
        <v>25.0</v>
      </c>
      <c r="AH125" s="320">
        <v>37.0</v>
      </c>
      <c r="AI125" s="320">
        <v>60.16</v>
      </c>
      <c r="AJ125" s="320">
        <v>23.7</v>
      </c>
      <c r="AK125" s="320">
        <v>6.67</v>
      </c>
      <c r="AL125" s="320">
        <v>0.1659</v>
      </c>
      <c r="AM125" s="320">
        <v>18.81</v>
      </c>
      <c r="AN125" s="320">
        <v>111.29</v>
      </c>
      <c r="AO125" s="320">
        <v>74.66</v>
      </c>
      <c r="AP125" s="320">
        <v>14.04</v>
      </c>
    </row>
    <row r="126">
      <c r="A126" s="319" t="s">
        <v>256</v>
      </c>
      <c r="B126" s="328">
        <v>46070.0</v>
      </c>
      <c r="C126" s="319" t="s">
        <v>217</v>
      </c>
      <c r="D126" s="320">
        <v>5734.0</v>
      </c>
      <c r="E126" s="320">
        <v>5.17</v>
      </c>
      <c r="F126" s="320">
        <v>0.0</v>
      </c>
      <c r="G126" s="320">
        <v>0.0</v>
      </c>
      <c r="H126" s="320">
        <v>0.0</v>
      </c>
      <c r="I126" s="329"/>
      <c r="J126" s="320">
        <v>126.5</v>
      </c>
      <c r="K126" s="320">
        <v>68.6</v>
      </c>
      <c r="L126" s="320">
        <v>54.96</v>
      </c>
      <c r="M126" s="320">
        <v>0.8012</v>
      </c>
      <c r="N126" s="320">
        <v>0.3811</v>
      </c>
      <c r="O126" s="320">
        <v>0.2763</v>
      </c>
      <c r="P126" s="320">
        <v>1.2481</v>
      </c>
      <c r="Q126" s="320">
        <v>346.36</v>
      </c>
      <c r="R126" s="320">
        <v>231.05</v>
      </c>
      <c r="S126" s="320">
        <v>115.31</v>
      </c>
      <c r="T126" s="320">
        <v>1.13</v>
      </c>
      <c r="U126" s="320">
        <v>345.23</v>
      </c>
      <c r="V126" s="320">
        <v>332.44</v>
      </c>
      <c r="W126" s="320">
        <v>4.8461</v>
      </c>
      <c r="X126" s="320">
        <v>0.33</v>
      </c>
      <c r="Y126" s="320">
        <v>341.0</v>
      </c>
      <c r="Z126" s="320">
        <v>2453.0</v>
      </c>
      <c r="AA126" s="320">
        <v>9509.0</v>
      </c>
      <c r="AB126" s="320">
        <v>59.5326</v>
      </c>
      <c r="AC126" s="320">
        <v>0.8258</v>
      </c>
      <c r="AD126" s="320">
        <v>37.99</v>
      </c>
      <c r="AE126" s="320">
        <v>15.0</v>
      </c>
      <c r="AF126" s="320">
        <v>30.0</v>
      </c>
      <c r="AG126" s="320">
        <v>52.0</v>
      </c>
      <c r="AH126" s="320">
        <v>79.0</v>
      </c>
      <c r="AI126" s="320">
        <v>53.51</v>
      </c>
      <c r="AJ126" s="320">
        <v>19.83</v>
      </c>
      <c r="AK126" s="320">
        <v>4.8</v>
      </c>
      <c r="AL126" s="320">
        <v>0.1381</v>
      </c>
      <c r="AM126" s="320">
        <v>20.2</v>
      </c>
      <c r="AN126" s="320">
        <v>210.84</v>
      </c>
      <c r="AO126" s="320">
        <v>81.02</v>
      </c>
      <c r="AP126" s="320">
        <v>16.37</v>
      </c>
    </row>
    <row r="127">
      <c r="A127" s="319" t="s">
        <v>256</v>
      </c>
      <c r="B127" s="328">
        <v>46070.0</v>
      </c>
      <c r="C127" s="319" t="s">
        <v>218</v>
      </c>
      <c r="D127" s="320">
        <v>616.0</v>
      </c>
      <c r="E127" s="320">
        <v>0.56</v>
      </c>
      <c r="F127" s="320">
        <v>0.0</v>
      </c>
      <c r="G127" s="320">
        <v>0.0</v>
      </c>
      <c r="H127" s="320">
        <v>0.0</v>
      </c>
      <c r="I127" s="329"/>
      <c r="J127" s="320">
        <v>244.93</v>
      </c>
      <c r="K127" s="320">
        <v>148.07</v>
      </c>
      <c r="L127" s="320">
        <v>131.78</v>
      </c>
      <c r="M127" s="320">
        <v>0.8899</v>
      </c>
      <c r="N127" s="320">
        <v>0.2552</v>
      </c>
      <c r="O127" s="320">
        <v>0.193</v>
      </c>
      <c r="P127" s="320">
        <v>1.1237</v>
      </c>
      <c r="Q127" s="320">
        <v>733.25</v>
      </c>
      <c r="R127" s="320">
        <v>455.22</v>
      </c>
      <c r="S127" s="320">
        <v>278.04</v>
      </c>
      <c r="T127" s="320">
        <v>0.0</v>
      </c>
      <c r="U127" s="320">
        <v>733.25</v>
      </c>
      <c r="V127" s="320">
        <v>656.17</v>
      </c>
      <c r="W127" s="320">
        <v>4.4314</v>
      </c>
      <c r="X127" s="320">
        <v>0.0</v>
      </c>
      <c r="Y127" s="320">
        <v>1126.0</v>
      </c>
      <c r="Z127" s="320">
        <v>4533.0</v>
      </c>
      <c r="AA127" s="320">
        <v>11615.0</v>
      </c>
      <c r="AB127" s="320">
        <v>63.8633</v>
      </c>
      <c r="AC127" s="320">
        <v>0.8956</v>
      </c>
      <c r="AD127" s="320">
        <v>94.93</v>
      </c>
      <c r="AE127" s="320">
        <v>40.0</v>
      </c>
      <c r="AF127" s="320">
        <v>84.0</v>
      </c>
      <c r="AG127" s="320">
        <v>134.0</v>
      </c>
      <c r="AH127" s="320">
        <v>181.0</v>
      </c>
      <c r="AI127" s="320">
        <v>52.27</v>
      </c>
      <c r="AJ127" s="320">
        <v>11.69</v>
      </c>
      <c r="AK127" s="320">
        <v>0.97</v>
      </c>
      <c r="AL127" s="320">
        <v>0.1055</v>
      </c>
      <c r="AM127" s="320">
        <v>21.24</v>
      </c>
      <c r="AN127" s="320">
        <v>433.98</v>
      </c>
      <c r="AO127" s="320">
        <v>82.35</v>
      </c>
      <c r="AP127" s="320">
        <v>17.49</v>
      </c>
    </row>
    <row r="128">
      <c r="A128" s="319" t="s">
        <v>256</v>
      </c>
      <c r="B128" s="328">
        <v>46071.0</v>
      </c>
      <c r="C128" s="319" t="s">
        <v>257</v>
      </c>
      <c r="D128" s="320">
        <v>21611.0</v>
      </c>
      <c r="E128" s="320">
        <v>19.83</v>
      </c>
      <c r="F128" s="320">
        <v>0.0</v>
      </c>
      <c r="G128" s="320">
        <v>0.0</v>
      </c>
      <c r="H128" s="320">
        <v>0.0</v>
      </c>
      <c r="I128" s="329"/>
      <c r="J128" s="320">
        <v>6.45</v>
      </c>
      <c r="K128" s="320">
        <v>2.62</v>
      </c>
      <c r="L128" s="320">
        <v>0.07</v>
      </c>
      <c r="M128" s="320">
        <v>0.0257</v>
      </c>
      <c r="N128" s="320">
        <v>0.9795</v>
      </c>
      <c r="O128" s="320">
        <v>0.7654</v>
      </c>
      <c r="P128" s="320">
        <v>38.8526</v>
      </c>
      <c r="Q128" s="320">
        <v>21.46</v>
      </c>
      <c r="R128" s="320">
        <v>21.25</v>
      </c>
      <c r="S128" s="320">
        <v>0.21</v>
      </c>
      <c r="T128" s="320">
        <v>0.0</v>
      </c>
      <c r="U128" s="320">
        <v>21.46</v>
      </c>
      <c r="V128" s="320">
        <v>1.96</v>
      </c>
      <c r="W128" s="320">
        <v>0.7489</v>
      </c>
      <c r="X128" s="320">
        <v>0.0</v>
      </c>
      <c r="Y128" s="320">
        <v>308.0</v>
      </c>
      <c r="Z128" s="320">
        <v>3473.0</v>
      </c>
      <c r="AA128" s="320">
        <v>14239.0</v>
      </c>
      <c r="AB128" s="320">
        <v>49.0229</v>
      </c>
      <c r="AC128" s="320">
        <v>0.5441</v>
      </c>
      <c r="AD128" s="329"/>
      <c r="AE128" s="329"/>
      <c r="AF128" s="329"/>
      <c r="AG128" s="329"/>
      <c r="AH128" s="329"/>
      <c r="AI128" s="320">
        <v>0.0</v>
      </c>
      <c r="AJ128" s="320">
        <v>0.0</v>
      </c>
      <c r="AK128" s="320">
        <v>0.0</v>
      </c>
      <c r="AL128" s="320">
        <v>0.2868</v>
      </c>
      <c r="AM128" s="320">
        <v>15.72</v>
      </c>
      <c r="AN128" s="320">
        <v>5.53</v>
      </c>
      <c r="AO128" s="329"/>
      <c r="AP128" s="329"/>
    </row>
    <row r="129">
      <c r="A129" s="319" t="s">
        <v>256</v>
      </c>
      <c r="B129" s="328">
        <v>46071.0</v>
      </c>
      <c r="C129" s="319" t="s">
        <v>214</v>
      </c>
      <c r="D129" s="320">
        <v>39021.0</v>
      </c>
      <c r="E129" s="320">
        <v>35.81</v>
      </c>
      <c r="F129" s="320">
        <v>0.0</v>
      </c>
      <c r="G129" s="320">
        <v>0.0</v>
      </c>
      <c r="H129" s="320">
        <v>0.0</v>
      </c>
      <c r="I129" s="329"/>
      <c r="J129" s="320">
        <v>30.2</v>
      </c>
      <c r="K129" s="320">
        <v>13.81</v>
      </c>
      <c r="L129" s="320">
        <v>5.48</v>
      </c>
      <c r="M129" s="320">
        <v>0.3968</v>
      </c>
      <c r="N129" s="320">
        <v>0.7686</v>
      </c>
      <c r="O129" s="320">
        <v>0.5694</v>
      </c>
      <c r="P129" s="320">
        <v>2.5202</v>
      </c>
      <c r="Q129" s="320">
        <v>46.31</v>
      </c>
      <c r="R129" s="320">
        <v>34.71</v>
      </c>
      <c r="S129" s="320">
        <v>11.6</v>
      </c>
      <c r="T129" s="320">
        <v>0.06</v>
      </c>
      <c r="U129" s="320">
        <v>46.25</v>
      </c>
      <c r="V129" s="320">
        <v>51.42</v>
      </c>
      <c r="W129" s="320">
        <v>3.7223</v>
      </c>
      <c r="X129" s="320">
        <v>0.13</v>
      </c>
      <c r="Y129" s="320">
        <v>145.0</v>
      </c>
      <c r="Z129" s="320">
        <v>878.0</v>
      </c>
      <c r="AA129" s="320">
        <v>5686.0</v>
      </c>
      <c r="AB129" s="320">
        <v>48.6328</v>
      </c>
      <c r="AC129" s="320">
        <v>0.5342</v>
      </c>
      <c r="AD129" s="320">
        <v>3.91</v>
      </c>
      <c r="AE129" s="320">
        <v>1.0</v>
      </c>
      <c r="AF129" s="320">
        <v>3.0</v>
      </c>
      <c r="AG129" s="320">
        <v>5.0</v>
      </c>
      <c r="AH129" s="320">
        <v>9.0</v>
      </c>
      <c r="AI129" s="320">
        <v>72.17</v>
      </c>
      <c r="AJ129" s="320">
        <v>29.71</v>
      </c>
      <c r="AK129" s="320">
        <v>8.13</v>
      </c>
      <c r="AL129" s="320">
        <v>0.2488</v>
      </c>
      <c r="AM129" s="320">
        <v>18.59</v>
      </c>
      <c r="AN129" s="320">
        <v>16.11</v>
      </c>
      <c r="AO129" s="320">
        <v>65.22</v>
      </c>
      <c r="AP129" s="320">
        <v>12.12</v>
      </c>
    </row>
    <row r="130">
      <c r="A130" s="319" t="s">
        <v>256</v>
      </c>
      <c r="B130" s="328">
        <v>46071.0</v>
      </c>
      <c r="C130" s="319" t="s">
        <v>215</v>
      </c>
      <c r="D130" s="320">
        <v>27195.0</v>
      </c>
      <c r="E130" s="320">
        <v>24.96</v>
      </c>
      <c r="F130" s="320">
        <v>0.0</v>
      </c>
      <c r="G130" s="320">
        <v>0.0</v>
      </c>
      <c r="H130" s="320">
        <v>0.0</v>
      </c>
      <c r="I130" s="329"/>
      <c r="J130" s="320">
        <v>57.29</v>
      </c>
      <c r="K130" s="320">
        <v>27.28</v>
      </c>
      <c r="L130" s="320">
        <v>14.22</v>
      </c>
      <c r="M130" s="320">
        <v>0.5213</v>
      </c>
      <c r="N130" s="320">
        <v>0.6641</v>
      </c>
      <c r="O130" s="320">
        <v>0.4556</v>
      </c>
      <c r="P130" s="320">
        <v>1.9183</v>
      </c>
      <c r="Q130" s="320">
        <v>81.49</v>
      </c>
      <c r="R130" s="320">
        <v>53.07</v>
      </c>
      <c r="S130" s="320">
        <v>28.42</v>
      </c>
      <c r="T130" s="320">
        <v>0.2</v>
      </c>
      <c r="U130" s="320">
        <v>81.29</v>
      </c>
      <c r="V130" s="320">
        <v>96.13</v>
      </c>
      <c r="W130" s="320">
        <v>3.5231</v>
      </c>
      <c r="X130" s="320">
        <v>0.24</v>
      </c>
      <c r="Y130" s="320">
        <v>124.0</v>
      </c>
      <c r="Z130" s="320">
        <v>723.0</v>
      </c>
      <c r="AA130" s="320">
        <v>5574.0</v>
      </c>
      <c r="AB130" s="320">
        <v>52.0598</v>
      </c>
      <c r="AC130" s="320">
        <v>0.6175</v>
      </c>
      <c r="AD130" s="320">
        <v>9.03</v>
      </c>
      <c r="AE130" s="320">
        <v>3.0</v>
      </c>
      <c r="AF130" s="320">
        <v>7.0</v>
      </c>
      <c r="AG130" s="320">
        <v>12.0</v>
      </c>
      <c r="AH130" s="320">
        <v>19.0</v>
      </c>
      <c r="AI130" s="320">
        <v>58.08</v>
      </c>
      <c r="AJ130" s="320">
        <v>24.81</v>
      </c>
      <c r="AK130" s="320">
        <v>4.25</v>
      </c>
      <c r="AL130" s="320">
        <v>0.1914</v>
      </c>
      <c r="AM130" s="320">
        <v>19.13</v>
      </c>
      <c r="AN130" s="320">
        <v>33.93</v>
      </c>
      <c r="AO130" s="320">
        <v>73.72</v>
      </c>
      <c r="AP130" s="320">
        <v>14.1</v>
      </c>
    </row>
    <row r="131">
      <c r="A131" s="319" t="s">
        <v>256</v>
      </c>
      <c r="B131" s="328">
        <v>46071.0</v>
      </c>
      <c r="C131" s="319" t="s">
        <v>216</v>
      </c>
      <c r="D131" s="320">
        <v>14933.0</v>
      </c>
      <c r="E131" s="320">
        <v>13.7</v>
      </c>
      <c r="F131" s="320">
        <v>0.0</v>
      </c>
      <c r="G131" s="320">
        <v>0.0</v>
      </c>
      <c r="H131" s="320">
        <v>0.0</v>
      </c>
      <c r="I131" s="329"/>
      <c r="J131" s="320">
        <v>79.99</v>
      </c>
      <c r="K131" s="320">
        <v>40.13</v>
      </c>
      <c r="L131" s="320">
        <v>25.41</v>
      </c>
      <c r="M131" s="320">
        <v>0.6331</v>
      </c>
      <c r="N131" s="320">
        <v>0.5531</v>
      </c>
      <c r="O131" s="320">
        <v>0.3758</v>
      </c>
      <c r="P131" s="320">
        <v>1.5796</v>
      </c>
      <c r="Q131" s="320">
        <v>127.34</v>
      </c>
      <c r="R131" s="320">
        <v>74.16</v>
      </c>
      <c r="S131" s="320">
        <v>53.18</v>
      </c>
      <c r="T131" s="320">
        <v>0.29</v>
      </c>
      <c r="U131" s="320">
        <v>127.05</v>
      </c>
      <c r="V131" s="320">
        <v>157.49</v>
      </c>
      <c r="W131" s="320">
        <v>3.9241</v>
      </c>
      <c r="X131" s="320">
        <v>0.23</v>
      </c>
      <c r="Y131" s="320">
        <v>141.0</v>
      </c>
      <c r="Z131" s="320">
        <v>1037.0</v>
      </c>
      <c r="AA131" s="320">
        <v>6490.0</v>
      </c>
      <c r="AB131" s="320">
        <v>55.3175</v>
      </c>
      <c r="AC131" s="320">
        <v>0.7342</v>
      </c>
      <c r="AD131" s="320">
        <v>16.73</v>
      </c>
      <c r="AE131" s="320">
        <v>6.0</v>
      </c>
      <c r="AF131" s="320">
        <v>13.0</v>
      </c>
      <c r="AG131" s="320">
        <v>23.0</v>
      </c>
      <c r="AH131" s="320">
        <v>36.0</v>
      </c>
      <c r="AI131" s="320">
        <v>56.16</v>
      </c>
      <c r="AJ131" s="320">
        <v>21.48</v>
      </c>
      <c r="AK131" s="320">
        <v>6.25</v>
      </c>
      <c r="AL131" s="320">
        <v>0.1697</v>
      </c>
      <c r="AM131" s="320">
        <v>19.83</v>
      </c>
      <c r="AN131" s="320">
        <v>54.33</v>
      </c>
      <c r="AO131" s="320">
        <v>77.92</v>
      </c>
      <c r="AP131" s="320">
        <v>15.45</v>
      </c>
    </row>
    <row r="132">
      <c r="A132" s="319" t="s">
        <v>256</v>
      </c>
      <c r="B132" s="328">
        <v>46071.0</v>
      </c>
      <c r="C132" s="319" t="s">
        <v>217</v>
      </c>
      <c r="D132" s="320">
        <v>5611.0</v>
      </c>
      <c r="E132" s="320">
        <v>5.15</v>
      </c>
      <c r="F132" s="320">
        <v>0.0</v>
      </c>
      <c r="G132" s="320">
        <v>0.0</v>
      </c>
      <c r="H132" s="320">
        <v>0.0</v>
      </c>
      <c r="I132" s="329"/>
      <c r="J132" s="320">
        <v>129.72</v>
      </c>
      <c r="K132" s="320">
        <v>69.73</v>
      </c>
      <c r="L132" s="320">
        <v>53.89</v>
      </c>
      <c r="M132" s="320">
        <v>0.7729</v>
      </c>
      <c r="N132" s="320">
        <v>0.4046</v>
      </c>
      <c r="O132" s="320">
        <v>0.2839</v>
      </c>
      <c r="P132" s="320">
        <v>1.2939</v>
      </c>
      <c r="Q132" s="320">
        <v>243.7</v>
      </c>
      <c r="R132" s="320">
        <v>129.88</v>
      </c>
      <c r="S132" s="320">
        <v>113.82</v>
      </c>
      <c r="T132" s="320">
        <v>1.5</v>
      </c>
      <c r="U132" s="320">
        <v>242.2</v>
      </c>
      <c r="V132" s="320">
        <v>304.06</v>
      </c>
      <c r="W132" s="320">
        <v>4.3606</v>
      </c>
      <c r="X132" s="320">
        <v>0.61</v>
      </c>
      <c r="Y132" s="320">
        <v>293.0</v>
      </c>
      <c r="Z132" s="320">
        <v>2603.0</v>
      </c>
      <c r="AA132" s="320">
        <v>9575.0</v>
      </c>
      <c r="AB132" s="320">
        <v>59.5935</v>
      </c>
      <c r="AC132" s="320">
        <v>0.8379</v>
      </c>
      <c r="AD132" s="320">
        <v>36.57</v>
      </c>
      <c r="AE132" s="320">
        <v>14.0</v>
      </c>
      <c r="AF132" s="320">
        <v>28.0</v>
      </c>
      <c r="AG132" s="320">
        <v>51.0</v>
      </c>
      <c r="AH132" s="320">
        <v>78.0</v>
      </c>
      <c r="AI132" s="320">
        <v>50.47</v>
      </c>
      <c r="AJ132" s="320">
        <v>19.07</v>
      </c>
      <c r="AK132" s="320">
        <v>4.49</v>
      </c>
      <c r="AL132" s="320">
        <v>0.1322</v>
      </c>
      <c r="AM132" s="320">
        <v>20.91</v>
      </c>
      <c r="AN132" s="320">
        <v>108.97</v>
      </c>
      <c r="AO132" s="320">
        <v>81.56</v>
      </c>
      <c r="AP132" s="320">
        <v>17.05</v>
      </c>
    </row>
    <row r="133">
      <c r="A133" s="319" t="s">
        <v>256</v>
      </c>
      <c r="B133" s="328">
        <v>46071.0</v>
      </c>
      <c r="C133" s="319" t="s">
        <v>218</v>
      </c>
      <c r="D133" s="320">
        <v>594.0</v>
      </c>
      <c r="E133" s="320">
        <v>0.55</v>
      </c>
      <c r="F133" s="320">
        <v>0.0</v>
      </c>
      <c r="G133" s="320">
        <v>0.0</v>
      </c>
      <c r="H133" s="320">
        <v>0.0</v>
      </c>
      <c r="I133" s="329"/>
      <c r="J133" s="320">
        <v>240.32</v>
      </c>
      <c r="K133" s="320">
        <v>143.54</v>
      </c>
      <c r="L133" s="320">
        <v>123.43</v>
      </c>
      <c r="M133" s="320">
        <v>0.8598</v>
      </c>
      <c r="N133" s="320">
        <v>0.2839</v>
      </c>
      <c r="O133" s="320">
        <v>0.2047</v>
      </c>
      <c r="P133" s="320">
        <v>1.163</v>
      </c>
      <c r="Q133" s="320">
        <v>497.48</v>
      </c>
      <c r="R133" s="320">
        <v>236.47</v>
      </c>
      <c r="S133" s="320">
        <v>261.01</v>
      </c>
      <c r="T133" s="320">
        <v>0.0</v>
      </c>
      <c r="U133" s="320">
        <v>497.48</v>
      </c>
      <c r="V133" s="320">
        <v>623.74</v>
      </c>
      <c r="W133" s="320">
        <v>4.3453</v>
      </c>
      <c r="X133" s="320">
        <v>0.0</v>
      </c>
      <c r="Y133" s="320">
        <v>865.0</v>
      </c>
      <c r="Z133" s="320">
        <v>3858.0</v>
      </c>
      <c r="AA133" s="320">
        <v>11307.0</v>
      </c>
      <c r="AB133" s="320">
        <v>63.9912</v>
      </c>
      <c r="AC133" s="320">
        <v>0.9041</v>
      </c>
      <c r="AD133" s="320">
        <v>86.67</v>
      </c>
      <c r="AE133" s="320">
        <v>34.0</v>
      </c>
      <c r="AF133" s="320">
        <v>74.0</v>
      </c>
      <c r="AG133" s="320">
        <v>123.0</v>
      </c>
      <c r="AH133" s="320">
        <v>169.0</v>
      </c>
      <c r="AI133" s="320">
        <v>47.14</v>
      </c>
      <c r="AJ133" s="320">
        <v>8.08</v>
      </c>
      <c r="AK133" s="320">
        <v>0.84</v>
      </c>
      <c r="AL133" s="320">
        <v>0.0909</v>
      </c>
      <c r="AM133" s="320">
        <v>22.1</v>
      </c>
      <c r="AN133" s="320">
        <v>214.36</v>
      </c>
      <c r="AO133" s="320">
        <v>84.32</v>
      </c>
      <c r="AP133" s="320">
        <v>18.63</v>
      </c>
    </row>
    <row r="134">
      <c r="A134" s="319" t="s">
        <v>256</v>
      </c>
      <c r="B134" s="328">
        <v>46072.0</v>
      </c>
      <c r="C134" s="319" t="s">
        <v>257</v>
      </c>
      <c r="D134" s="320">
        <v>22393.0</v>
      </c>
      <c r="E134" s="320">
        <v>20.73</v>
      </c>
      <c r="F134" s="320">
        <v>0.0</v>
      </c>
      <c r="G134" s="320">
        <v>0.0</v>
      </c>
      <c r="H134" s="320">
        <v>0.0</v>
      </c>
      <c r="I134" s="329"/>
      <c r="J134" s="320">
        <v>6.59</v>
      </c>
      <c r="K134" s="320">
        <v>2.69</v>
      </c>
      <c r="L134" s="320">
        <v>0.04</v>
      </c>
      <c r="M134" s="320">
        <v>0.0164</v>
      </c>
      <c r="N134" s="320">
        <v>0.9887</v>
      </c>
      <c r="O134" s="320">
        <v>0.8541</v>
      </c>
      <c r="P134" s="320">
        <v>60.9465</v>
      </c>
      <c r="Q134" s="320">
        <v>21.27</v>
      </c>
      <c r="R134" s="320">
        <v>21.13</v>
      </c>
      <c r="S134" s="320">
        <v>0.14</v>
      </c>
      <c r="T134" s="320">
        <v>0.0</v>
      </c>
      <c r="U134" s="320">
        <v>21.27</v>
      </c>
      <c r="V134" s="320">
        <v>2.27</v>
      </c>
      <c r="W134" s="320">
        <v>0.8411</v>
      </c>
      <c r="X134" s="320">
        <v>0.0</v>
      </c>
      <c r="Y134" s="320">
        <v>277.0</v>
      </c>
      <c r="Z134" s="320">
        <v>3091.0</v>
      </c>
      <c r="AA134" s="320">
        <v>13287.0</v>
      </c>
      <c r="AB134" s="320">
        <v>48.8661</v>
      </c>
      <c r="AC134" s="320">
        <v>0.5416</v>
      </c>
      <c r="AD134" s="329"/>
      <c r="AE134" s="329"/>
      <c r="AF134" s="329"/>
      <c r="AG134" s="329"/>
      <c r="AH134" s="329"/>
      <c r="AI134" s="320">
        <v>0.0</v>
      </c>
      <c r="AJ134" s="320">
        <v>0.0</v>
      </c>
      <c r="AK134" s="320">
        <v>0.0</v>
      </c>
      <c r="AL134" s="320">
        <v>0.2913</v>
      </c>
      <c r="AM134" s="320">
        <v>16.06</v>
      </c>
      <c r="AN134" s="320">
        <v>5.07</v>
      </c>
      <c r="AO134" s="329"/>
      <c r="AP134" s="329"/>
    </row>
    <row r="135">
      <c r="A135" s="319" t="s">
        <v>256</v>
      </c>
      <c r="B135" s="328">
        <v>46072.0</v>
      </c>
      <c r="C135" s="319" t="s">
        <v>214</v>
      </c>
      <c r="D135" s="320">
        <v>38704.0</v>
      </c>
      <c r="E135" s="320">
        <v>35.83</v>
      </c>
      <c r="F135" s="320">
        <v>0.0</v>
      </c>
      <c r="G135" s="320">
        <v>0.0</v>
      </c>
      <c r="H135" s="320">
        <v>0.0</v>
      </c>
      <c r="I135" s="329"/>
      <c r="J135" s="320">
        <v>28.37</v>
      </c>
      <c r="K135" s="320">
        <v>12.84</v>
      </c>
      <c r="L135" s="320">
        <v>5.35</v>
      </c>
      <c r="M135" s="320">
        <v>0.4168</v>
      </c>
      <c r="N135" s="320">
        <v>0.7574</v>
      </c>
      <c r="O135" s="320">
        <v>0.5634</v>
      </c>
      <c r="P135" s="320">
        <v>2.3991</v>
      </c>
      <c r="Q135" s="320">
        <v>45.74</v>
      </c>
      <c r="R135" s="320">
        <v>34.48</v>
      </c>
      <c r="S135" s="320">
        <v>11.26</v>
      </c>
      <c r="T135" s="320">
        <v>0.0</v>
      </c>
      <c r="U135" s="320">
        <v>45.74</v>
      </c>
      <c r="V135" s="320">
        <v>50.44</v>
      </c>
      <c r="W135" s="320">
        <v>3.928</v>
      </c>
      <c r="X135" s="320">
        <v>0.0</v>
      </c>
      <c r="Y135" s="320">
        <v>135.0</v>
      </c>
      <c r="Z135" s="320">
        <v>888.0</v>
      </c>
      <c r="AA135" s="320">
        <v>5891.0</v>
      </c>
      <c r="AB135" s="320">
        <v>48.5633</v>
      </c>
      <c r="AC135" s="320">
        <v>0.5356</v>
      </c>
      <c r="AD135" s="320">
        <v>3.88</v>
      </c>
      <c r="AE135" s="320">
        <v>1.0</v>
      </c>
      <c r="AF135" s="320">
        <v>3.0</v>
      </c>
      <c r="AG135" s="320">
        <v>5.0</v>
      </c>
      <c r="AH135" s="320">
        <v>9.0</v>
      </c>
      <c r="AI135" s="320">
        <v>70.8</v>
      </c>
      <c r="AJ135" s="320">
        <v>29.41</v>
      </c>
      <c r="AK135" s="320">
        <v>8.11</v>
      </c>
      <c r="AL135" s="320">
        <v>0.2572</v>
      </c>
      <c r="AM135" s="320">
        <v>19.16</v>
      </c>
      <c r="AN135" s="320">
        <v>15.31</v>
      </c>
      <c r="AO135" s="320">
        <v>65.09</v>
      </c>
      <c r="AP135" s="320">
        <v>12.47</v>
      </c>
    </row>
    <row r="136">
      <c r="A136" s="319" t="s">
        <v>256</v>
      </c>
      <c r="B136" s="328">
        <v>46072.0</v>
      </c>
      <c r="C136" s="319" t="s">
        <v>215</v>
      </c>
      <c r="D136" s="320">
        <v>26261.0</v>
      </c>
      <c r="E136" s="320">
        <v>24.31</v>
      </c>
      <c r="F136" s="320">
        <v>0.0</v>
      </c>
      <c r="G136" s="320">
        <v>0.0</v>
      </c>
      <c r="H136" s="320">
        <v>0.0</v>
      </c>
      <c r="I136" s="329"/>
      <c r="J136" s="320">
        <v>52.37</v>
      </c>
      <c r="K136" s="320">
        <v>24.67</v>
      </c>
      <c r="L136" s="320">
        <v>13.22</v>
      </c>
      <c r="M136" s="320">
        <v>0.5357</v>
      </c>
      <c r="N136" s="320">
        <v>0.6564</v>
      </c>
      <c r="O136" s="320">
        <v>0.4563</v>
      </c>
      <c r="P136" s="320">
        <v>1.8666</v>
      </c>
      <c r="Q136" s="320">
        <v>90.07</v>
      </c>
      <c r="R136" s="320">
        <v>62.8</v>
      </c>
      <c r="S136" s="320">
        <v>27.27</v>
      </c>
      <c r="T136" s="320">
        <v>0.6</v>
      </c>
      <c r="U136" s="320">
        <v>89.46</v>
      </c>
      <c r="V136" s="320">
        <v>96.14</v>
      </c>
      <c r="W136" s="320">
        <v>3.8964</v>
      </c>
      <c r="X136" s="320">
        <v>0.67</v>
      </c>
      <c r="Y136" s="320">
        <v>121.0</v>
      </c>
      <c r="Z136" s="320">
        <v>789.0</v>
      </c>
      <c r="AA136" s="320">
        <v>5760.0</v>
      </c>
      <c r="AB136" s="320">
        <v>52.1758</v>
      </c>
      <c r="AC136" s="320">
        <v>0.6342</v>
      </c>
      <c r="AD136" s="320">
        <v>8.84</v>
      </c>
      <c r="AE136" s="320">
        <v>3.0</v>
      </c>
      <c r="AF136" s="320">
        <v>7.0</v>
      </c>
      <c r="AG136" s="320">
        <v>12.0</v>
      </c>
      <c r="AH136" s="320">
        <v>19.0</v>
      </c>
      <c r="AI136" s="320">
        <v>57.39</v>
      </c>
      <c r="AJ136" s="320">
        <v>23.9</v>
      </c>
      <c r="AK136" s="320">
        <v>4.05</v>
      </c>
      <c r="AL136" s="320">
        <v>0.2012</v>
      </c>
      <c r="AM136" s="320">
        <v>19.97</v>
      </c>
      <c r="AN136" s="320">
        <v>42.82</v>
      </c>
      <c r="AO136" s="320">
        <v>74.06</v>
      </c>
      <c r="AP136" s="320">
        <v>14.79</v>
      </c>
    </row>
    <row r="137">
      <c r="A137" s="319" t="s">
        <v>256</v>
      </c>
      <c r="B137" s="328">
        <v>46072.0</v>
      </c>
      <c r="C137" s="319" t="s">
        <v>216</v>
      </c>
      <c r="D137" s="320">
        <v>14566.0</v>
      </c>
      <c r="E137" s="320">
        <v>13.49</v>
      </c>
      <c r="F137" s="320">
        <v>0.0</v>
      </c>
      <c r="G137" s="320">
        <v>0.0</v>
      </c>
      <c r="H137" s="320">
        <v>0.0</v>
      </c>
      <c r="I137" s="329"/>
      <c r="J137" s="320">
        <v>74.99</v>
      </c>
      <c r="K137" s="320">
        <v>37.49</v>
      </c>
      <c r="L137" s="320">
        <v>24.15</v>
      </c>
      <c r="M137" s="320">
        <v>0.6442</v>
      </c>
      <c r="N137" s="320">
        <v>0.5478</v>
      </c>
      <c r="O137" s="320">
        <v>0.3764</v>
      </c>
      <c r="P137" s="320">
        <v>1.5522</v>
      </c>
      <c r="Q137" s="320">
        <v>152.02</v>
      </c>
      <c r="R137" s="320">
        <v>101.16</v>
      </c>
      <c r="S137" s="320">
        <v>50.86</v>
      </c>
      <c r="T137" s="320">
        <v>0.82</v>
      </c>
      <c r="U137" s="320">
        <v>151.2</v>
      </c>
      <c r="V137" s="320">
        <v>160.31</v>
      </c>
      <c r="W137" s="320">
        <v>4.2758</v>
      </c>
      <c r="X137" s="320">
        <v>0.54</v>
      </c>
      <c r="Y137" s="320">
        <v>142.0</v>
      </c>
      <c r="Z137" s="320">
        <v>995.0</v>
      </c>
      <c r="AA137" s="320">
        <v>6363.0</v>
      </c>
      <c r="AB137" s="320">
        <v>55.3407</v>
      </c>
      <c r="AC137" s="320">
        <v>0.7365</v>
      </c>
      <c r="AD137" s="320">
        <v>16.25</v>
      </c>
      <c r="AE137" s="320">
        <v>6.0</v>
      </c>
      <c r="AF137" s="320">
        <v>12.0</v>
      </c>
      <c r="AG137" s="320">
        <v>23.0</v>
      </c>
      <c r="AH137" s="320">
        <v>34.0</v>
      </c>
      <c r="AI137" s="320">
        <v>55.76</v>
      </c>
      <c r="AJ137" s="320">
        <v>20.39</v>
      </c>
      <c r="AK137" s="320">
        <v>5.28</v>
      </c>
      <c r="AL137" s="320">
        <v>0.1812</v>
      </c>
      <c r="AM137" s="320">
        <v>20.24</v>
      </c>
      <c r="AN137" s="320">
        <v>80.92</v>
      </c>
      <c r="AO137" s="320">
        <v>78.24</v>
      </c>
      <c r="AP137" s="320">
        <v>15.84</v>
      </c>
    </row>
    <row r="138">
      <c r="A138" s="319" t="s">
        <v>256</v>
      </c>
      <c r="B138" s="328">
        <v>46072.0</v>
      </c>
      <c r="C138" s="319" t="s">
        <v>217</v>
      </c>
      <c r="D138" s="320">
        <v>5480.0</v>
      </c>
      <c r="E138" s="320">
        <v>5.07</v>
      </c>
      <c r="F138" s="320">
        <v>0.0</v>
      </c>
      <c r="G138" s="320">
        <v>0.0</v>
      </c>
      <c r="H138" s="320">
        <v>0.0</v>
      </c>
      <c r="I138" s="329"/>
      <c r="J138" s="320">
        <v>123.8</v>
      </c>
      <c r="K138" s="320">
        <v>66.96</v>
      </c>
      <c r="L138" s="320">
        <v>53.14</v>
      </c>
      <c r="M138" s="320">
        <v>0.7937</v>
      </c>
      <c r="N138" s="320">
        <v>0.3924</v>
      </c>
      <c r="O138" s="320">
        <v>0.2839</v>
      </c>
      <c r="P138" s="320">
        <v>1.2599</v>
      </c>
      <c r="Q138" s="320">
        <v>311.21</v>
      </c>
      <c r="R138" s="320">
        <v>198.92</v>
      </c>
      <c r="S138" s="320">
        <v>112.29</v>
      </c>
      <c r="T138" s="320">
        <v>0.14</v>
      </c>
      <c r="U138" s="320">
        <v>311.07</v>
      </c>
      <c r="V138" s="320">
        <v>325.26</v>
      </c>
      <c r="W138" s="320">
        <v>4.8578</v>
      </c>
      <c r="X138" s="320">
        <v>0.04</v>
      </c>
      <c r="Y138" s="320">
        <v>292.0</v>
      </c>
      <c r="Z138" s="320">
        <v>2557.0</v>
      </c>
      <c r="AA138" s="320">
        <v>9774.0</v>
      </c>
      <c r="AB138" s="320">
        <v>59.5586</v>
      </c>
      <c r="AC138" s="320">
        <v>0.8277</v>
      </c>
      <c r="AD138" s="320">
        <v>36.37</v>
      </c>
      <c r="AE138" s="320">
        <v>14.0</v>
      </c>
      <c r="AF138" s="320">
        <v>29.0</v>
      </c>
      <c r="AG138" s="320">
        <v>50.0</v>
      </c>
      <c r="AH138" s="320">
        <v>76.0</v>
      </c>
      <c r="AI138" s="320">
        <v>51.68</v>
      </c>
      <c r="AJ138" s="320">
        <v>18.08</v>
      </c>
      <c r="AK138" s="320">
        <v>4.23</v>
      </c>
      <c r="AL138" s="320">
        <v>0.1465</v>
      </c>
      <c r="AM138" s="320">
        <v>21.14</v>
      </c>
      <c r="AN138" s="320">
        <v>177.78</v>
      </c>
      <c r="AO138" s="320">
        <v>82.36</v>
      </c>
      <c r="AP138" s="320">
        <v>17.41</v>
      </c>
    </row>
    <row r="139">
      <c r="A139" s="319" t="s">
        <v>256</v>
      </c>
      <c r="B139" s="328">
        <v>46072.0</v>
      </c>
      <c r="C139" s="319" t="s">
        <v>218</v>
      </c>
      <c r="D139" s="320">
        <v>611.0</v>
      </c>
      <c r="E139" s="320">
        <v>0.57</v>
      </c>
      <c r="F139" s="320">
        <v>0.0</v>
      </c>
      <c r="G139" s="320">
        <v>0.0</v>
      </c>
      <c r="H139" s="320">
        <v>0.0</v>
      </c>
      <c r="I139" s="329"/>
      <c r="J139" s="320">
        <v>225.85</v>
      </c>
      <c r="K139" s="320">
        <v>134.98</v>
      </c>
      <c r="L139" s="320">
        <v>118.46</v>
      </c>
      <c r="M139" s="320">
        <v>0.8776</v>
      </c>
      <c r="N139" s="320">
        <v>0.2753</v>
      </c>
      <c r="O139" s="320">
        <v>0.2081</v>
      </c>
      <c r="P139" s="320">
        <v>1.1394</v>
      </c>
      <c r="Q139" s="320">
        <v>582.38</v>
      </c>
      <c r="R139" s="320">
        <v>329.03</v>
      </c>
      <c r="S139" s="320">
        <v>253.35</v>
      </c>
      <c r="T139" s="320">
        <v>0.0</v>
      </c>
      <c r="U139" s="320">
        <v>582.38</v>
      </c>
      <c r="V139" s="320">
        <v>613.67</v>
      </c>
      <c r="W139" s="320">
        <v>4.5463</v>
      </c>
      <c r="X139" s="320">
        <v>0.0</v>
      </c>
      <c r="Y139" s="320">
        <v>965.0</v>
      </c>
      <c r="Z139" s="320">
        <v>4610.0</v>
      </c>
      <c r="AA139" s="320">
        <v>11612.0</v>
      </c>
      <c r="AB139" s="320">
        <v>63.8051</v>
      </c>
      <c r="AC139" s="320">
        <v>0.9037</v>
      </c>
      <c r="AD139" s="320">
        <v>86.0</v>
      </c>
      <c r="AE139" s="320">
        <v>35.0</v>
      </c>
      <c r="AF139" s="320">
        <v>71.0</v>
      </c>
      <c r="AG139" s="320">
        <v>121.0</v>
      </c>
      <c r="AH139" s="320">
        <v>176.0</v>
      </c>
      <c r="AI139" s="320">
        <v>44.35</v>
      </c>
      <c r="AJ139" s="320">
        <v>9.66</v>
      </c>
      <c r="AK139" s="320">
        <v>1.15</v>
      </c>
      <c r="AL139" s="320">
        <v>0.1064</v>
      </c>
      <c r="AM139" s="320">
        <v>22.84</v>
      </c>
      <c r="AN139" s="320">
        <v>306.19</v>
      </c>
      <c r="AO139" s="320">
        <v>81.13</v>
      </c>
      <c r="AP139" s="320">
        <v>18.53</v>
      </c>
    </row>
    <row r="140">
      <c r="A140" s="319" t="s">
        <v>256</v>
      </c>
      <c r="B140" s="328">
        <v>46073.0</v>
      </c>
      <c r="C140" s="319" t="s">
        <v>257</v>
      </c>
      <c r="D140" s="320">
        <v>20286.0</v>
      </c>
      <c r="E140" s="320">
        <v>19.07</v>
      </c>
      <c r="F140" s="320">
        <v>0.0</v>
      </c>
      <c r="G140" s="320">
        <v>0.0</v>
      </c>
      <c r="H140" s="320">
        <v>0.0</v>
      </c>
      <c r="I140" s="329"/>
      <c r="J140" s="320">
        <v>6.21</v>
      </c>
      <c r="K140" s="320">
        <v>2.4</v>
      </c>
      <c r="L140" s="320">
        <v>0.02</v>
      </c>
      <c r="M140" s="320">
        <v>0.007</v>
      </c>
      <c r="N140" s="320">
        <v>0.9947</v>
      </c>
      <c r="O140" s="320">
        <v>0.9311</v>
      </c>
      <c r="P140" s="320">
        <v>143.5959</v>
      </c>
      <c r="Q140" s="320">
        <v>26.74</v>
      </c>
      <c r="R140" s="320">
        <v>25.93</v>
      </c>
      <c r="S140" s="320">
        <v>0.81</v>
      </c>
      <c r="T140" s="320">
        <v>0.0</v>
      </c>
      <c r="U140" s="320">
        <v>26.74</v>
      </c>
      <c r="V140" s="320">
        <v>1.88</v>
      </c>
      <c r="W140" s="320">
        <v>0.7837</v>
      </c>
      <c r="X140" s="320">
        <v>0.0</v>
      </c>
      <c r="Y140" s="320">
        <v>328.0</v>
      </c>
      <c r="Z140" s="320">
        <v>3719.0</v>
      </c>
      <c r="AA140" s="320">
        <v>14575.0</v>
      </c>
      <c r="AB140" s="320">
        <v>49.1105</v>
      </c>
      <c r="AC140" s="320">
        <v>0.5487</v>
      </c>
      <c r="AD140" s="329"/>
      <c r="AE140" s="329"/>
      <c r="AF140" s="329"/>
      <c r="AG140" s="329"/>
      <c r="AH140" s="329"/>
      <c r="AI140" s="320">
        <v>0.0</v>
      </c>
      <c r="AJ140" s="320">
        <v>0.0</v>
      </c>
      <c r="AK140" s="320">
        <v>0.0</v>
      </c>
      <c r="AL140" s="320">
        <v>0.3126</v>
      </c>
      <c r="AM140" s="320">
        <v>17.15</v>
      </c>
      <c r="AN140" s="320">
        <v>8.78</v>
      </c>
      <c r="AO140" s="329"/>
      <c r="AP140" s="329"/>
    </row>
    <row r="141">
      <c r="A141" s="319" t="s">
        <v>256</v>
      </c>
      <c r="B141" s="328">
        <v>46073.0</v>
      </c>
      <c r="C141" s="319" t="s">
        <v>214</v>
      </c>
      <c r="D141" s="320">
        <v>39411.0</v>
      </c>
      <c r="E141" s="320">
        <v>37.06</v>
      </c>
      <c r="F141" s="320">
        <v>0.0</v>
      </c>
      <c r="G141" s="320">
        <v>0.0</v>
      </c>
      <c r="H141" s="320">
        <v>0.0</v>
      </c>
      <c r="I141" s="329"/>
      <c r="J141" s="320">
        <v>31.1</v>
      </c>
      <c r="K141" s="320">
        <v>14.11</v>
      </c>
      <c r="L141" s="320">
        <v>5.81</v>
      </c>
      <c r="M141" s="320">
        <v>0.412</v>
      </c>
      <c r="N141" s="320">
        <v>0.7572</v>
      </c>
      <c r="O141" s="320">
        <v>0.5571</v>
      </c>
      <c r="P141" s="320">
        <v>2.4274</v>
      </c>
      <c r="Q141" s="320">
        <v>56.6</v>
      </c>
      <c r="R141" s="320">
        <v>44.37</v>
      </c>
      <c r="S141" s="320">
        <v>12.23</v>
      </c>
      <c r="T141" s="320">
        <v>0.23</v>
      </c>
      <c r="U141" s="320">
        <v>56.37</v>
      </c>
      <c r="V141" s="320">
        <v>54.39</v>
      </c>
      <c r="W141" s="320">
        <v>3.8544</v>
      </c>
      <c r="X141" s="320">
        <v>0.4</v>
      </c>
      <c r="Y141" s="320">
        <v>139.0</v>
      </c>
      <c r="Z141" s="320">
        <v>868.0</v>
      </c>
      <c r="AA141" s="320">
        <v>5643.0</v>
      </c>
      <c r="AB141" s="320">
        <v>48.4341</v>
      </c>
      <c r="AC141" s="320">
        <v>0.5341</v>
      </c>
      <c r="AD141" s="320">
        <v>4.06</v>
      </c>
      <c r="AE141" s="320">
        <v>1.0</v>
      </c>
      <c r="AF141" s="320">
        <v>3.0</v>
      </c>
      <c r="AG141" s="320">
        <v>5.0</v>
      </c>
      <c r="AH141" s="320">
        <v>9.0</v>
      </c>
      <c r="AI141" s="320">
        <v>74.12</v>
      </c>
      <c r="AJ141" s="320">
        <v>31.6</v>
      </c>
      <c r="AK141" s="320">
        <v>8.61</v>
      </c>
      <c r="AL141" s="320">
        <v>0.2667</v>
      </c>
      <c r="AM141" s="320">
        <v>19.82</v>
      </c>
      <c r="AN141" s="320">
        <v>24.56</v>
      </c>
      <c r="AO141" s="320">
        <v>64.98</v>
      </c>
      <c r="AP141" s="320">
        <v>12.88</v>
      </c>
    </row>
    <row r="142">
      <c r="A142" s="319" t="s">
        <v>256</v>
      </c>
      <c r="B142" s="328">
        <v>46073.0</v>
      </c>
      <c r="C142" s="319" t="s">
        <v>215</v>
      </c>
      <c r="D142" s="320">
        <v>26176.0</v>
      </c>
      <c r="E142" s="320">
        <v>24.61</v>
      </c>
      <c r="F142" s="320">
        <v>0.0</v>
      </c>
      <c r="G142" s="320">
        <v>0.0</v>
      </c>
      <c r="H142" s="320">
        <v>0.0</v>
      </c>
      <c r="I142" s="329"/>
      <c r="J142" s="320">
        <v>57.45</v>
      </c>
      <c r="K142" s="320">
        <v>27.31</v>
      </c>
      <c r="L142" s="320">
        <v>13.95</v>
      </c>
      <c r="M142" s="320">
        <v>0.5109</v>
      </c>
      <c r="N142" s="320">
        <v>0.6742</v>
      </c>
      <c r="O142" s="320">
        <v>0.469</v>
      </c>
      <c r="P142" s="320">
        <v>1.9572</v>
      </c>
      <c r="Q142" s="320">
        <v>99.74</v>
      </c>
      <c r="R142" s="320">
        <v>70.31</v>
      </c>
      <c r="S142" s="320">
        <v>29.43</v>
      </c>
      <c r="T142" s="320">
        <v>0.47</v>
      </c>
      <c r="U142" s="320">
        <v>99.27</v>
      </c>
      <c r="V142" s="320">
        <v>101.28</v>
      </c>
      <c r="W142" s="320">
        <v>3.7087</v>
      </c>
      <c r="X142" s="320">
        <v>0.48</v>
      </c>
      <c r="Y142" s="320">
        <v>122.0</v>
      </c>
      <c r="Z142" s="320">
        <v>678.0</v>
      </c>
      <c r="AA142" s="320">
        <v>5025.0</v>
      </c>
      <c r="AB142" s="320">
        <v>51.8515</v>
      </c>
      <c r="AC142" s="320">
        <v>0.6282</v>
      </c>
      <c r="AD142" s="320">
        <v>9.17</v>
      </c>
      <c r="AE142" s="320">
        <v>4.0</v>
      </c>
      <c r="AF142" s="320">
        <v>7.0</v>
      </c>
      <c r="AG142" s="320">
        <v>12.0</v>
      </c>
      <c r="AH142" s="320">
        <v>19.0</v>
      </c>
      <c r="AI142" s="320">
        <v>60.63</v>
      </c>
      <c r="AJ142" s="320">
        <v>24.94</v>
      </c>
      <c r="AK142" s="320">
        <v>3.97</v>
      </c>
      <c r="AL142" s="320">
        <v>0.2101</v>
      </c>
      <c r="AM142" s="320">
        <v>21.16</v>
      </c>
      <c r="AN142" s="320">
        <v>49.16</v>
      </c>
      <c r="AO142" s="320">
        <v>74.85</v>
      </c>
      <c r="AP142" s="320">
        <v>15.84</v>
      </c>
    </row>
    <row r="143">
      <c r="A143" s="319" t="s">
        <v>256</v>
      </c>
      <c r="B143" s="328">
        <v>46073.0</v>
      </c>
      <c r="C143" s="319" t="s">
        <v>216</v>
      </c>
      <c r="D143" s="320">
        <v>14464.0</v>
      </c>
      <c r="E143" s="320">
        <v>13.6</v>
      </c>
      <c r="F143" s="320">
        <v>0.0</v>
      </c>
      <c r="G143" s="320">
        <v>0.0</v>
      </c>
      <c r="H143" s="320">
        <v>0.0</v>
      </c>
      <c r="I143" s="329"/>
      <c r="J143" s="320">
        <v>82.99</v>
      </c>
      <c r="K143" s="320">
        <v>41.5</v>
      </c>
      <c r="L143" s="320">
        <v>26.1</v>
      </c>
      <c r="M143" s="320">
        <v>0.6288</v>
      </c>
      <c r="N143" s="320">
        <v>0.5571</v>
      </c>
      <c r="O143" s="320">
        <v>0.3786</v>
      </c>
      <c r="P143" s="320">
        <v>1.5902</v>
      </c>
      <c r="Q143" s="320">
        <v>151.81</v>
      </c>
      <c r="R143" s="320">
        <v>96.54</v>
      </c>
      <c r="S143" s="320">
        <v>55.27</v>
      </c>
      <c r="T143" s="320">
        <v>0.26</v>
      </c>
      <c r="U143" s="320">
        <v>151.55</v>
      </c>
      <c r="V143" s="320">
        <v>168.37</v>
      </c>
      <c r="W143" s="320">
        <v>4.0567</v>
      </c>
      <c r="X143" s="320">
        <v>0.17</v>
      </c>
      <c r="Y143" s="320">
        <v>135.0</v>
      </c>
      <c r="Z143" s="320">
        <v>1033.0</v>
      </c>
      <c r="AA143" s="320">
        <v>6615.0</v>
      </c>
      <c r="AB143" s="320">
        <v>55.2083</v>
      </c>
      <c r="AC143" s="320">
        <v>0.7297</v>
      </c>
      <c r="AD143" s="320">
        <v>17.11</v>
      </c>
      <c r="AE143" s="320">
        <v>7.0</v>
      </c>
      <c r="AF143" s="320">
        <v>14.0</v>
      </c>
      <c r="AG143" s="320">
        <v>23.0</v>
      </c>
      <c r="AH143" s="320">
        <v>35.0</v>
      </c>
      <c r="AI143" s="320">
        <v>59.21</v>
      </c>
      <c r="AJ143" s="320">
        <v>21.34</v>
      </c>
      <c r="AK143" s="320">
        <v>5.89</v>
      </c>
      <c r="AL143" s="320">
        <v>0.1937</v>
      </c>
      <c r="AM143" s="320">
        <v>21.23</v>
      </c>
      <c r="AN143" s="320">
        <v>75.31</v>
      </c>
      <c r="AO143" s="320">
        <v>78.03</v>
      </c>
      <c r="AP143" s="320">
        <v>16.57</v>
      </c>
    </row>
    <row r="144">
      <c r="A144" s="319" t="s">
        <v>256</v>
      </c>
      <c r="B144" s="328">
        <v>46073.0</v>
      </c>
      <c r="C144" s="319" t="s">
        <v>217</v>
      </c>
      <c r="D144" s="320">
        <v>5429.0</v>
      </c>
      <c r="E144" s="320">
        <v>5.1</v>
      </c>
      <c r="F144" s="320">
        <v>0.0</v>
      </c>
      <c r="G144" s="320">
        <v>0.0</v>
      </c>
      <c r="H144" s="320">
        <v>0.0</v>
      </c>
      <c r="I144" s="329"/>
      <c r="J144" s="320">
        <v>132.82</v>
      </c>
      <c r="K144" s="320">
        <v>71.0</v>
      </c>
      <c r="L144" s="320">
        <v>54.22</v>
      </c>
      <c r="M144" s="320">
        <v>0.7636</v>
      </c>
      <c r="N144" s="320">
        <v>0.4143</v>
      </c>
      <c r="O144" s="320">
        <v>0.2908</v>
      </c>
      <c r="P144" s="320">
        <v>1.3095</v>
      </c>
      <c r="Q144" s="320">
        <v>255.84</v>
      </c>
      <c r="R144" s="320">
        <v>141.02</v>
      </c>
      <c r="S144" s="320">
        <v>114.82</v>
      </c>
      <c r="T144" s="320">
        <v>0.0</v>
      </c>
      <c r="U144" s="320">
        <v>255.84</v>
      </c>
      <c r="V144" s="320">
        <v>310.18</v>
      </c>
      <c r="W144" s="320">
        <v>4.3686</v>
      </c>
      <c r="X144" s="320">
        <v>0.0</v>
      </c>
      <c r="Y144" s="320">
        <v>279.0</v>
      </c>
      <c r="Z144" s="320">
        <v>2586.0</v>
      </c>
      <c r="AA144" s="320">
        <v>9793.0</v>
      </c>
      <c r="AB144" s="320">
        <v>59.508</v>
      </c>
      <c r="AC144" s="320">
        <v>0.831</v>
      </c>
      <c r="AD144" s="320">
        <v>36.22</v>
      </c>
      <c r="AE144" s="320">
        <v>14.0</v>
      </c>
      <c r="AF144" s="320">
        <v>28.0</v>
      </c>
      <c r="AG144" s="320">
        <v>49.0</v>
      </c>
      <c r="AH144" s="320">
        <v>76.0</v>
      </c>
      <c r="AI144" s="320">
        <v>50.21</v>
      </c>
      <c r="AJ144" s="320">
        <v>18.16</v>
      </c>
      <c r="AK144" s="320">
        <v>4.59</v>
      </c>
      <c r="AL144" s="320">
        <v>0.1505</v>
      </c>
      <c r="AM144" s="320">
        <v>22.04</v>
      </c>
      <c r="AN144" s="320">
        <v>118.98</v>
      </c>
      <c r="AO144" s="320">
        <v>82.08</v>
      </c>
      <c r="AP144" s="320">
        <v>18.09</v>
      </c>
    </row>
    <row r="145">
      <c r="A145" s="319" t="s">
        <v>256</v>
      </c>
      <c r="B145" s="328">
        <v>46073.0</v>
      </c>
      <c r="C145" s="319" t="s">
        <v>218</v>
      </c>
      <c r="D145" s="320">
        <v>591.0</v>
      </c>
      <c r="E145" s="320">
        <v>0.56</v>
      </c>
      <c r="F145" s="320">
        <v>0.0</v>
      </c>
      <c r="G145" s="320">
        <v>0.0</v>
      </c>
      <c r="H145" s="320">
        <v>0.0</v>
      </c>
      <c r="I145" s="329"/>
      <c r="J145" s="320">
        <v>245.52</v>
      </c>
      <c r="K145" s="320">
        <v>140.48</v>
      </c>
      <c r="L145" s="320">
        <v>122.08</v>
      </c>
      <c r="M145" s="320">
        <v>0.869</v>
      </c>
      <c r="N145" s="320">
        <v>0.2865</v>
      </c>
      <c r="O145" s="320">
        <v>0.2157</v>
      </c>
      <c r="P145" s="320">
        <v>1.1507</v>
      </c>
      <c r="Q145" s="320">
        <v>514.85</v>
      </c>
      <c r="R145" s="320">
        <v>252.28</v>
      </c>
      <c r="S145" s="320">
        <v>262.57</v>
      </c>
      <c r="T145" s="320">
        <v>0.0</v>
      </c>
      <c r="U145" s="320">
        <v>514.85</v>
      </c>
      <c r="V145" s="320">
        <v>642.3</v>
      </c>
      <c r="W145" s="320">
        <v>4.5723</v>
      </c>
      <c r="X145" s="320">
        <v>0.0</v>
      </c>
      <c r="Y145" s="320">
        <v>920.0</v>
      </c>
      <c r="Z145" s="320">
        <v>3966.0</v>
      </c>
      <c r="AA145" s="320">
        <v>11737.0</v>
      </c>
      <c r="AB145" s="320">
        <v>63.9845</v>
      </c>
      <c r="AC145" s="320">
        <v>0.9062</v>
      </c>
      <c r="AD145" s="320">
        <v>85.72</v>
      </c>
      <c r="AE145" s="320">
        <v>35.0</v>
      </c>
      <c r="AF145" s="320">
        <v>73.0</v>
      </c>
      <c r="AG145" s="320">
        <v>122.0</v>
      </c>
      <c r="AH145" s="320">
        <v>171.0</v>
      </c>
      <c r="AI145" s="320">
        <v>46.02</v>
      </c>
      <c r="AJ145" s="320">
        <v>9.31</v>
      </c>
      <c r="AK145" s="320">
        <v>0.85</v>
      </c>
      <c r="AL145" s="320">
        <v>0.0948</v>
      </c>
      <c r="AM145" s="320">
        <v>26.27</v>
      </c>
      <c r="AN145" s="320">
        <v>226.01</v>
      </c>
      <c r="AO145" s="320">
        <v>84.17</v>
      </c>
      <c r="AP145" s="320">
        <v>22.11</v>
      </c>
    </row>
    <row r="146">
      <c r="A146" s="319" t="s">
        <v>256</v>
      </c>
      <c r="B146" s="328">
        <v>46074.0</v>
      </c>
      <c r="C146" s="319" t="s">
        <v>257</v>
      </c>
      <c r="D146" s="320">
        <v>20796.0</v>
      </c>
      <c r="E146" s="320">
        <v>19.71</v>
      </c>
      <c r="F146" s="320">
        <v>0.0</v>
      </c>
      <c r="G146" s="320">
        <v>0.0</v>
      </c>
      <c r="H146" s="320">
        <v>0.0</v>
      </c>
      <c r="I146" s="329"/>
      <c r="J146" s="320">
        <v>6.15</v>
      </c>
      <c r="K146" s="320">
        <v>2.48</v>
      </c>
      <c r="L146" s="320">
        <v>0.01</v>
      </c>
      <c r="M146" s="320">
        <v>0.0047</v>
      </c>
      <c r="N146" s="320">
        <v>0.9966</v>
      </c>
      <c r="O146" s="320">
        <v>0.9517</v>
      </c>
      <c r="P146" s="320">
        <v>214.775</v>
      </c>
      <c r="Q146" s="320">
        <v>24.76</v>
      </c>
      <c r="R146" s="320">
        <v>24.62</v>
      </c>
      <c r="S146" s="320">
        <v>0.14</v>
      </c>
      <c r="T146" s="320">
        <v>0.0</v>
      </c>
      <c r="U146" s="320">
        <v>24.76</v>
      </c>
      <c r="V146" s="320">
        <v>2.3</v>
      </c>
      <c r="W146" s="320">
        <v>0.9273</v>
      </c>
      <c r="X146" s="320">
        <v>0.0</v>
      </c>
      <c r="Y146" s="320">
        <v>276.0</v>
      </c>
      <c r="Z146" s="320">
        <v>3126.0</v>
      </c>
      <c r="AA146" s="320">
        <v>13434.0</v>
      </c>
      <c r="AB146" s="320">
        <v>48.8544</v>
      </c>
      <c r="AC146" s="320">
        <v>0.5367</v>
      </c>
      <c r="AD146" s="329"/>
      <c r="AE146" s="329"/>
      <c r="AF146" s="329"/>
      <c r="AG146" s="329"/>
      <c r="AH146" s="329"/>
      <c r="AI146" s="320">
        <v>0.0</v>
      </c>
      <c r="AJ146" s="320">
        <v>0.0</v>
      </c>
      <c r="AK146" s="320">
        <v>0.0</v>
      </c>
      <c r="AL146" s="320">
        <v>0.2934</v>
      </c>
      <c r="AM146" s="320">
        <v>18.27</v>
      </c>
      <c r="AN146" s="320">
        <v>6.35</v>
      </c>
      <c r="AO146" s="329"/>
      <c r="AP146" s="329"/>
    </row>
    <row r="147">
      <c r="A147" s="319" t="s">
        <v>256</v>
      </c>
      <c r="B147" s="328">
        <v>46074.0</v>
      </c>
      <c r="C147" s="319" t="s">
        <v>214</v>
      </c>
      <c r="D147" s="320">
        <v>38554.0</v>
      </c>
      <c r="E147" s="320">
        <v>36.53</v>
      </c>
      <c r="F147" s="320">
        <v>0.0</v>
      </c>
      <c r="G147" s="320">
        <v>0.0</v>
      </c>
      <c r="H147" s="320">
        <v>0.0</v>
      </c>
      <c r="I147" s="329"/>
      <c r="J147" s="320">
        <v>30.08</v>
      </c>
      <c r="K147" s="320">
        <v>13.53</v>
      </c>
      <c r="L147" s="320">
        <v>5.67</v>
      </c>
      <c r="M147" s="320">
        <v>0.4191</v>
      </c>
      <c r="N147" s="320">
        <v>0.7549</v>
      </c>
      <c r="O147" s="320">
        <v>0.5608</v>
      </c>
      <c r="P147" s="320">
        <v>2.3862</v>
      </c>
      <c r="Q147" s="320">
        <v>52.48</v>
      </c>
      <c r="R147" s="320">
        <v>40.71</v>
      </c>
      <c r="S147" s="320">
        <v>11.76</v>
      </c>
      <c r="T147" s="320">
        <v>0.18</v>
      </c>
      <c r="U147" s="320">
        <v>52.29</v>
      </c>
      <c r="V147" s="320">
        <v>55.16</v>
      </c>
      <c r="W147" s="320">
        <v>4.0767</v>
      </c>
      <c r="X147" s="320">
        <v>0.35</v>
      </c>
      <c r="Y147" s="320">
        <v>139.0</v>
      </c>
      <c r="Z147" s="320">
        <v>859.0</v>
      </c>
      <c r="AA147" s="320">
        <v>5623.0</v>
      </c>
      <c r="AB147" s="320">
        <v>48.4827</v>
      </c>
      <c r="AC147" s="320">
        <v>0.5376</v>
      </c>
      <c r="AD147" s="320">
        <v>4.01</v>
      </c>
      <c r="AE147" s="320">
        <v>1.0</v>
      </c>
      <c r="AF147" s="320">
        <v>3.0</v>
      </c>
      <c r="AG147" s="320">
        <v>5.0</v>
      </c>
      <c r="AH147" s="320">
        <v>9.0</v>
      </c>
      <c r="AI147" s="320">
        <v>72.96</v>
      </c>
      <c r="AJ147" s="320">
        <v>30.96</v>
      </c>
      <c r="AK147" s="320">
        <v>8.76</v>
      </c>
      <c r="AL147" s="320">
        <v>0.2564</v>
      </c>
      <c r="AM147" s="320">
        <v>21.6</v>
      </c>
      <c r="AN147" s="320">
        <v>19.11</v>
      </c>
      <c r="AO147" s="320">
        <v>64.82</v>
      </c>
      <c r="AP147" s="320">
        <v>14.0</v>
      </c>
    </row>
    <row r="148">
      <c r="A148" s="319" t="s">
        <v>256</v>
      </c>
      <c r="B148" s="328">
        <v>46074.0</v>
      </c>
      <c r="C148" s="319" t="s">
        <v>215</v>
      </c>
      <c r="D148" s="320">
        <v>26093.0</v>
      </c>
      <c r="E148" s="320">
        <v>24.73</v>
      </c>
      <c r="F148" s="320">
        <v>0.0</v>
      </c>
      <c r="G148" s="320">
        <v>0.0</v>
      </c>
      <c r="H148" s="320">
        <v>0.0</v>
      </c>
      <c r="I148" s="329"/>
      <c r="J148" s="320">
        <v>55.39</v>
      </c>
      <c r="K148" s="320">
        <v>26.02</v>
      </c>
      <c r="L148" s="320">
        <v>13.72</v>
      </c>
      <c r="M148" s="320">
        <v>0.5272</v>
      </c>
      <c r="N148" s="320">
        <v>0.6648</v>
      </c>
      <c r="O148" s="320">
        <v>0.4673</v>
      </c>
      <c r="P148" s="320">
        <v>1.8968</v>
      </c>
      <c r="Q148" s="320">
        <v>95.01</v>
      </c>
      <c r="R148" s="320">
        <v>66.11</v>
      </c>
      <c r="S148" s="320">
        <v>28.9</v>
      </c>
      <c r="T148" s="320">
        <v>0.0</v>
      </c>
      <c r="U148" s="320">
        <v>95.0</v>
      </c>
      <c r="V148" s="320">
        <v>99.95</v>
      </c>
      <c r="W148" s="320">
        <v>3.8416</v>
      </c>
      <c r="X148" s="320">
        <v>0.0</v>
      </c>
      <c r="Y148" s="320">
        <v>124.0</v>
      </c>
      <c r="Z148" s="320">
        <v>717.0</v>
      </c>
      <c r="AA148" s="320">
        <v>5414.0</v>
      </c>
      <c r="AB148" s="320">
        <v>52.0208</v>
      </c>
      <c r="AC148" s="320">
        <v>0.6339</v>
      </c>
      <c r="AD148" s="320">
        <v>9.21</v>
      </c>
      <c r="AE148" s="320">
        <v>3.0</v>
      </c>
      <c r="AF148" s="320">
        <v>7.0</v>
      </c>
      <c r="AG148" s="320">
        <v>12.0</v>
      </c>
      <c r="AH148" s="320">
        <v>19.0</v>
      </c>
      <c r="AI148" s="320">
        <v>59.68</v>
      </c>
      <c r="AJ148" s="320">
        <v>24.8</v>
      </c>
      <c r="AK148" s="320">
        <v>4.4</v>
      </c>
      <c r="AL148" s="320">
        <v>0.1978</v>
      </c>
      <c r="AM148" s="320">
        <v>22.67</v>
      </c>
      <c r="AN148" s="320">
        <v>43.44</v>
      </c>
      <c r="AO148" s="320">
        <v>74.63</v>
      </c>
      <c r="AP148" s="320">
        <v>16.92</v>
      </c>
    </row>
    <row r="149">
      <c r="A149" s="319" t="s">
        <v>256</v>
      </c>
      <c r="B149" s="328">
        <v>46074.0</v>
      </c>
      <c r="C149" s="319" t="s">
        <v>216</v>
      </c>
      <c r="D149" s="320">
        <v>13973.0</v>
      </c>
      <c r="E149" s="320">
        <v>13.24</v>
      </c>
      <c r="F149" s="320">
        <v>0.0</v>
      </c>
      <c r="G149" s="320">
        <v>0.0</v>
      </c>
      <c r="H149" s="320">
        <v>0.0</v>
      </c>
      <c r="I149" s="329"/>
      <c r="J149" s="320">
        <v>80.18</v>
      </c>
      <c r="K149" s="320">
        <v>39.92</v>
      </c>
      <c r="L149" s="320">
        <v>26.0</v>
      </c>
      <c r="M149" s="320">
        <v>0.6514</v>
      </c>
      <c r="N149" s="320">
        <v>0.5427</v>
      </c>
      <c r="O149" s="320">
        <v>0.3778</v>
      </c>
      <c r="P149" s="320">
        <v>1.5351</v>
      </c>
      <c r="Q149" s="320">
        <v>159.13</v>
      </c>
      <c r="R149" s="320">
        <v>104.42</v>
      </c>
      <c r="S149" s="320">
        <v>54.71</v>
      </c>
      <c r="T149" s="320">
        <v>0.66</v>
      </c>
      <c r="U149" s="320">
        <v>158.47</v>
      </c>
      <c r="V149" s="320">
        <v>168.53</v>
      </c>
      <c r="W149" s="320">
        <v>4.2221</v>
      </c>
      <c r="X149" s="320">
        <v>0.42</v>
      </c>
      <c r="Y149" s="320">
        <v>150.0</v>
      </c>
      <c r="Z149" s="320">
        <v>1065.0</v>
      </c>
      <c r="AA149" s="320">
        <v>6589.0</v>
      </c>
      <c r="AB149" s="320">
        <v>55.3225</v>
      </c>
      <c r="AC149" s="320">
        <v>0.7291</v>
      </c>
      <c r="AD149" s="320">
        <v>17.2</v>
      </c>
      <c r="AE149" s="320">
        <v>7.0</v>
      </c>
      <c r="AF149" s="320">
        <v>13.0</v>
      </c>
      <c r="AG149" s="320">
        <v>24.0</v>
      </c>
      <c r="AH149" s="320">
        <v>36.0</v>
      </c>
      <c r="AI149" s="320">
        <v>58.43</v>
      </c>
      <c r="AJ149" s="320">
        <v>21.86</v>
      </c>
      <c r="AK149" s="320">
        <v>6.54</v>
      </c>
      <c r="AL149" s="320">
        <v>0.182</v>
      </c>
      <c r="AM149" s="320">
        <v>23.03</v>
      </c>
      <c r="AN149" s="320">
        <v>81.39</v>
      </c>
      <c r="AO149" s="320">
        <v>77.62</v>
      </c>
      <c r="AP149" s="320">
        <v>17.88</v>
      </c>
    </row>
    <row r="150">
      <c r="A150" s="319" t="s">
        <v>256</v>
      </c>
      <c r="B150" s="328">
        <v>46074.0</v>
      </c>
      <c r="C150" s="319" t="s">
        <v>217</v>
      </c>
      <c r="D150" s="320">
        <v>5508.0</v>
      </c>
      <c r="E150" s="320">
        <v>5.22</v>
      </c>
      <c r="F150" s="320">
        <v>0.0</v>
      </c>
      <c r="G150" s="320">
        <v>0.0</v>
      </c>
      <c r="H150" s="320">
        <v>0.0</v>
      </c>
      <c r="I150" s="329"/>
      <c r="J150" s="320">
        <v>127.49</v>
      </c>
      <c r="K150" s="320">
        <v>68.47</v>
      </c>
      <c r="L150" s="320">
        <v>53.73</v>
      </c>
      <c r="M150" s="320">
        <v>0.7847</v>
      </c>
      <c r="N150" s="320">
        <v>0.3989</v>
      </c>
      <c r="O150" s="320">
        <v>0.2866</v>
      </c>
      <c r="P150" s="320">
        <v>1.2744</v>
      </c>
      <c r="Q150" s="320">
        <v>301.84</v>
      </c>
      <c r="R150" s="320">
        <v>187.81</v>
      </c>
      <c r="S150" s="320">
        <v>114.03</v>
      </c>
      <c r="T150" s="320">
        <v>0.31</v>
      </c>
      <c r="U150" s="320">
        <v>301.53</v>
      </c>
      <c r="V150" s="320">
        <v>320.67</v>
      </c>
      <c r="W150" s="320">
        <v>4.6832</v>
      </c>
      <c r="X150" s="320">
        <v>0.1</v>
      </c>
      <c r="Y150" s="320">
        <v>297.0</v>
      </c>
      <c r="Z150" s="320">
        <v>2503.0</v>
      </c>
      <c r="AA150" s="320">
        <v>9894.0</v>
      </c>
      <c r="AB150" s="320">
        <v>59.6397</v>
      </c>
      <c r="AC150" s="320">
        <v>0.8258</v>
      </c>
      <c r="AD150" s="320">
        <v>36.43</v>
      </c>
      <c r="AE150" s="320">
        <v>14.0</v>
      </c>
      <c r="AF150" s="320">
        <v>28.0</v>
      </c>
      <c r="AG150" s="320">
        <v>50.0</v>
      </c>
      <c r="AH150" s="320">
        <v>78.0</v>
      </c>
      <c r="AI150" s="320">
        <v>50.16</v>
      </c>
      <c r="AJ150" s="320">
        <v>18.81</v>
      </c>
      <c r="AK150" s="320">
        <v>4.5</v>
      </c>
      <c r="AL150" s="320">
        <v>0.1465</v>
      </c>
      <c r="AM150" s="320">
        <v>22.75</v>
      </c>
      <c r="AN150" s="320">
        <v>165.06</v>
      </c>
      <c r="AO150" s="320">
        <v>80.55</v>
      </c>
      <c r="AP150" s="320">
        <v>18.33</v>
      </c>
    </row>
    <row r="151">
      <c r="A151" s="319" t="s">
        <v>256</v>
      </c>
      <c r="B151" s="328">
        <v>46074.0</v>
      </c>
      <c r="C151" s="319" t="s">
        <v>218</v>
      </c>
      <c r="D151" s="320">
        <v>606.0</v>
      </c>
      <c r="E151" s="320">
        <v>0.57</v>
      </c>
      <c r="F151" s="320">
        <v>0.0</v>
      </c>
      <c r="G151" s="320">
        <v>0.0</v>
      </c>
      <c r="H151" s="320">
        <v>0.0</v>
      </c>
      <c r="I151" s="329"/>
      <c r="J151" s="320">
        <v>238.77</v>
      </c>
      <c r="K151" s="320">
        <v>137.85</v>
      </c>
      <c r="L151" s="320">
        <v>119.09</v>
      </c>
      <c r="M151" s="320">
        <v>0.8639</v>
      </c>
      <c r="N151" s="320">
        <v>0.2895</v>
      </c>
      <c r="O151" s="320">
        <v>0.2148</v>
      </c>
      <c r="P151" s="320">
        <v>1.1576</v>
      </c>
      <c r="Q151" s="320">
        <v>594.47</v>
      </c>
      <c r="R151" s="320">
        <v>337.98</v>
      </c>
      <c r="S151" s="320">
        <v>256.49</v>
      </c>
      <c r="T151" s="320">
        <v>0.0</v>
      </c>
      <c r="U151" s="320">
        <v>594.47</v>
      </c>
      <c r="V151" s="320">
        <v>667.49</v>
      </c>
      <c r="W151" s="320">
        <v>4.8422</v>
      </c>
      <c r="X151" s="320">
        <v>0.0</v>
      </c>
      <c r="Y151" s="320">
        <v>929.0</v>
      </c>
      <c r="Z151" s="320">
        <v>4497.0</v>
      </c>
      <c r="AA151" s="320">
        <v>12005.0</v>
      </c>
      <c r="AB151" s="320">
        <v>63.6663</v>
      </c>
      <c r="AC151" s="320">
        <v>0.8888</v>
      </c>
      <c r="AD151" s="320">
        <v>83.48</v>
      </c>
      <c r="AE151" s="320">
        <v>34.0</v>
      </c>
      <c r="AF151" s="320">
        <v>70.0</v>
      </c>
      <c r="AG151" s="320">
        <v>119.0</v>
      </c>
      <c r="AH151" s="320">
        <v>163.0</v>
      </c>
      <c r="AI151" s="320">
        <v>45.21</v>
      </c>
      <c r="AJ151" s="320">
        <v>7.92</v>
      </c>
      <c r="AK151" s="320">
        <v>0.99</v>
      </c>
      <c r="AL151" s="320">
        <v>0.099</v>
      </c>
      <c r="AM151" s="320">
        <v>23.3</v>
      </c>
      <c r="AN151" s="320">
        <v>314.68</v>
      </c>
      <c r="AO151" s="320">
        <v>82.3</v>
      </c>
      <c r="AP151" s="320">
        <v>19.18</v>
      </c>
    </row>
    <row r="152">
      <c r="A152" s="319" t="s">
        <v>256</v>
      </c>
      <c r="B152" s="328">
        <v>46075.0</v>
      </c>
      <c r="C152" s="319" t="s">
        <v>257</v>
      </c>
      <c r="D152" s="320">
        <v>21220.0</v>
      </c>
      <c r="E152" s="320">
        <v>19.8</v>
      </c>
      <c r="F152" s="320">
        <v>0.0</v>
      </c>
      <c r="G152" s="320">
        <v>0.0</v>
      </c>
      <c r="H152" s="320">
        <v>0.0</v>
      </c>
      <c r="I152" s="329"/>
      <c r="J152" s="320">
        <v>6.8</v>
      </c>
      <c r="K152" s="320">
        <v>2.74</v>
      </c>
      <c r="L152" s="320">
        <v>0.04</v>
      </c>
      <c r="M152" s="320">
        <v>0.013</v>
      </c>
      <c r="N152" s="320">
        <v>0.9909</v>
      </c>
      <c r="O152" s="320">
        <v>0.8775</v>
      </c>
      <c r="P152" s="320">
        <v>77.1273</v>
      </c>
      <c r="Q152" s="320">
        <v>22.53</v>
      </c>
      <c r="R152" s="320">
        <v>22.38</v>
      </c>
      <c r="S152" s="320">
        <v>0.15</v>
      </c>
      <c r="T152" s="320">
        <v>0.0</v>
      </c>
      <c r="U152" s="320">
        <v>22.53</v>
      </c>
      <c r="V152" s="320">
        <v>2.1</v>
      </c>
      <c r="W152" s="320">
        <v>0.7661</v>
      </c>
      <c r="X152" s="320">
        <v>0.0</v>
      </c>
      <c r="Y152" s="320">
        <v>269.0</v>
      </c>
      <c r="Z152" s="320">
        <v>3210.0</v>
      </c>
      <c r="AA152" s="320">
        <v>13873.0</v>
      </c>
      <c r="AB152" s="320">
        <v>48.9431</v>
      </c>
      <c r="AC152" s="320">
        <v>0.5443</v>
      </c>
      <c r="AD152" s="329"/>
      <c r="AE152" s="329"/>
      <c r="AF152" s="329"/>
      <c r="AG152" s="329"/>
      <c r="AH152" s="329"/>
      <c r="AI152" s="320">
        <v>0.0</v>
      </c>
      <c r="AJ152" s="320">
        <v>0.0</v>
      </c>
      <c r="AK152" s="320">
        <v>0.0</v>
      </c>
      <c r="AL152" s="320">
        <v>0.2991</v>
      </c>
      <c r="AM152" s="320">
        <v>17.98</v>
      </c>
      <c r="AN152" s="320">
        <v>4.4</v>
      </c>
      <c r="AO152" s="329"/>
      <c r="AP152" s="329"/>
    </row>
    <row r="153">
      <c r="A153" s="319" t="s">
        <v>256</v>
      </c>
      <c r="B153" s="328">
        <v>46075.0</v>
      </c>
      <c r="C153" s="319" t="s">
        <v>214</v>
      </c>
      <c r="D153" s="320">
        <v>39246.0</v>
      </c>
      <c r="E153" s="320">
        <v>36.61</v>
      </c>
      <c r="F153" s="320">
        <v>0.0</v>
      </c>
      <c r="G153" s="320">
        <v>0.0</v>
      </c>
      <c r="H153" s="320">
        <v>0.0</v>
      </c>
      <c r="I153" s="329"/>
      <c r="J153" s="320">
        <v>32.48</v>
      </c>
      <c r="K153" s="320">
        <v>14.85</v>
      </c>
      <c r="L153" s="320">
        <v>5.72</v>
      </c>
      <c r="M153" s="320">
        <v>0.3854</v>
      </c>
      <c r="N153" s="320">
        <v>0.7768</v>
      </c>
      <c r="O153" s="320">
        <v>0.5742</v>
      </c>
      <c r="P153" s="320">
        <v>2.5949</v>
      </c>
      <c r="Q153" s="320">
        <v>46.92</v>
      </c>
      <c r="R153" s="320">
        <v>34.92</v>
      </c>
      <c r="S153" s="320">
        <v>12.0</v>
      </c>
      <c r="T153" s="320">
        <v>0.08</v>
      </c>
      <c r="U153" s="320">
        <v>46.84</v>
      </c>
      <c r="V153" s="320">
        <v>53.28</v>
      </c>
      <c r="W153" s="320">
        <v>3.5879</v>
      </c>
      <c r="X153" s="320">
        <v>0.16</v>
      </c>
      <c r="Y153" s="320">
        <v>133.0</v>
      </c>
      <c r="Z153" s="320">
        <v>860.0</v>
      </c>
      <c r="AA153" s="320">
        <v>5652.0</v>
      </c>
      <c r="AB153" s="320">
        <v>48.4937</v>
      </c>
      <c r="AC153" s="320">
        <v>0.5372</v>
      </c>
      <c r="AD153" s="320">
        <v>3.97</v>
      </c>
      <c r="AE153" s="320">
        <v>1.0</v>
      </c>
      <c r="AF153" s="320">
        <v>3.0</v>
      </c>
      <c r="AG153" s="320">
        <v>5.0</v>
      </c>
      <c r="AH153" s="320">
        <v>9.0</v>
      </c>
      <c r="AI153" s="320">
        <v>72.96</v>
      </c>
      <c r="AJ153" s="320">
        <v>30.67</v>
      </c>
      <c r="AK153" s="320">
        <v>8.21</v>
      </c>
      <c r="AL153" s="320">
        <v>0.2666</v>
      </c>
      <c r="AM153" s="320">
        <v>20.51</v>
      </c>
      <c r="AN153" s="320">
        <v>14.41</v>
      </c>
      <c r="AO153" s="320">
        <v>64.74</v>
      </c>
      <c r="AP153" s="320">
        <v>13.28</v>
      </c>
    </row>
    <row r="154">
      <c r="A154" s="319" t="s">
        <v>256</v>
      </c>
      <c r="B154" s="328">
        <v>46075.0</v>
      </c>
      <c r="C154" s="319" t="s">
        <v>215</v>
      </c>
      <c r="D154" s="320">
        <v>26365.0</v>
      </c>
      <c r="E154" s="320">
        <v>24.6</v>
      </c>
      <c r="F154" s="320">
        <v>0.0</v>
      </c>
      <c r="G154" s="320">
        <v>0.0</v>
      </c>
      <c r="H154" s="320">
        <v>0.0</v>
      </c>
      <c r="I154" s="329"/>
      <c r="J154" s="320">
        <v>60.26</v>
      </c>
      <c r="K154" s="320">
        <v>28.66</v>
      </c>
      <c r="L154" s="320">
        <v>14.17</v>
      </c>
      <c r="M154" s="320">
        <v>0.4943</v>
      </c>
      <c r="N154" s="320">
        <v>0.6873</v>
      </c>
      <c r="O154" s="320">
        <v>0.4781</v>
      </c>
      <c r="P154" s="320">
        <v>2.0229</v>
      </c>
      <c r="Q154" s="320">
        <v>80.49</v>
      </c>
      <c r="R154" s="320">
        <v>50.7</v>
      </c>
      <c r="S154" s="320">
        <v>29.79</v>
      </c>
      <c r="T154" s="320">
        <v>0.14</v>
      </c>
      <c r="U154" s="320">
        <v>80.35</v>
      </c>
      <c r="V154" s="320">
        <v>98.27</v>
      </c>
      <c r="W154" s="320">
        <v>3.4294</v>
      </c>
      <c r="X154" s="320">
        <v>0.18</v>
      </c>
      <c r="Y154" s="320">
        <v>110.0</v>
      </c>
      <c r="Z154" s="320">
        <v>652.0</v>
      </c>
      <c r="AA154" s="320">
        <v>4787.0</v>
      </c>
      <c r="AB154" s="320">
        <v>52.0534</v>
      </c>
      <c r="AC154" s="320">
        <v>0.6312</v>
      </c>
      <c r="AD154" s="320">
        <v>9.24</v>
      </c>
      <c r="AE154" s="320">
        <v>4.0</v>
      </c>
      <c r="AF154" s="320">
        <v>7.0</v>
      </c>
      <c r="AG154" s="320">
        <v>13.0</v>
      </c>
      <c r="AH154" s="320">
        <v>19.0</v>
      </c>
      <c r="AI154" s="320">
        <v>59.38</v>
      </c>
      <c r="AJ154" s="320">
        <v>25.21</v>
      </c>
      <c r="AK154" s="320">
        <v>4.47</v>
      </c>
      <c r="AL154" s="320">
        <v>0.2182</v>
      </c>
      <c r="AM154" s="320">
        <v>21.82</v>
      </c>
      <c r="AN154" s="320">
        <v>28.88</v>
      </c>
      <c r="AO154" s="320">
        <v>73.93</v>
      </c>
      <c r="AP154" s="320">
        <v>16.13</v>
      </c>
    </row>
    <row r="155">
      <c r="A155" s="319" t="s">
        <v>256</v>
      </c>
      <c r="B155" s="328">
        <v>46075.0</v>
      </c>
      <c r="C155" s="319" t="s">
        <v>216</v>
      </c>
      <c r="D155" s="320">
        <v>14280.0</v>
      </c>
      <c r="E155" s="320">
        <v>13.32</v>
      </c>
      <c r="F155" s="320">
        <v>0.0</v>
      </c>
      <c r="G155" s="320">
        <v>0.0</v>
      </c>
      <c r="H155" s="320">
        <v>0.0</v>
      </c>
      <c r="I155" s="329"/>
      <c r="J155" s="320">
        <v>86.14</v>
      </c>
      <c r="K155" s="320">
        <v>43.25</v>
      </c>
      <c r="L155" s="320">
        <v>27.33</v>
      </c>
      <c r="M155" s="320">
        <v>0.6319</v>
      </c>
      <c r="N155" s="320">
        <v>0.554</v>
      </c>
      <c r="O155" s="320">
        <v>0.3775</v>
      </c>
      <c r="P155" s="320">
        <v>1.5824</v>
      </c>
      <c r="Q155" s="320">
        <v>127.66</v>
      </c>
      <c r="R155" s="320">
        <v>70.11</v>
      </c>
      <c r="S155" s="320">
        <v>57.54</v>
      </c>
      <c r="T155" s="320">
        <v>0.21</v>
      </c>
      <c r="U155" s="320">
        <v>127.45</v>
      </c>
      <c r="V155" s="320">
        <v>164.97</v>
      </c>
      <c r="W155" s="320">
        <v>3.8147</v>
      </c>
      <c r="X155" s="320">
        <v>0.16</v>
      </c>
      <c r="Y155" s="320">
        <v>124.0</v>
      </c>
      <c r="Z155" s="320">
        <v>1039.0</v>
      </c>
      <c r="AA155" s="320">
        <v>6809.0</v>
      </c>
      <c r="AB155" s="320">
        <v>55.4248</v>
      </c>
      <c r="AC155" s="320">
        <v>0.7322</v>
      </c>
      <c r="AD155" s="320">
        <v>17.79</v>
      </c>
      <c r="AE155" s="320">
        <v>7.0</v>
      </c>
      <c r="AF155" s="320">
        <v>13.0</v>
      </c>
      <c r="AG155" s="320">
        <v>24.0</v>
      </c>
      <c r="AH155" s="320">
        <v>37.0</v>
      </c>
      <c r="AI155" s="320">
        <v>58.69</v>
      </c>
      <c r="AJ155" s="320">
        <v>22.74</v>
      </c>
      <c r="AK155" s="320">
        <v>7.58</v>
      </c>
      <c r="AL155" s="320">
        <v>0.2011</v>
      </c>
      <c r="AM155" s="320">
        <v>21.56</v>
      </c>
      <c r="AN155" s="320">
        <v>48.55</v>
      </c>
      <c r="AO155" s="320">
        <v>76.28</v>
      </c>
      <c r="AP155" s="320">
        <v>16.45</v>
      </c>
    </row>
    <row r="156">
      <c r="A156" s="319" t="s">
        <v>256</v>
      </c>
      <c r="B156" s="328">
        <v>46075.0</v>
      </c>
      <c r="C156" s="319" t="s">
        <v>217</v>
      </c>
      <c r="D156" s="320">
        <v>5467.0</v>
      </c>
      <c r="E156" s="320">
        <v>5.1</v>
      </c>
      <c r="F156" s="320">
        <v>0.0</v>
      </c>
      <c r="G156" s="320">
        <v>0.0</v>
      </c>
      <c r="H156" s="320">
        <v>0.0</v>
      </c>
      <c r="I156" s="329"/>
      <c r="J156" s="320">
        <v>134.98</v>
      </c>
      <c r="K156" s="320">
        <v>72.58</v>
      </c>
      <c r="L156" s="320">
        <v>55.81</v>
      </c>
      <c r="M156" s="320">
        <v>0.7689</v>
      </c>
      <c r="N156" s="320">
        <v>0.4086</v>
      </c>
      <c r="O156" s="320">
        <v>0.2867</v>
      </c>
      <c r="P156" s="320">
        <v>1.3006</v>
      </c>
      <c r="Q156" s="320">
        <v>221.54</v>
      </c>
      <c r="R156" s="320">
        <v>103.66</v>
      </c>
      <c r="S156" s="320">
        <v>117.88</v>
      </c>
      <c r="T156" s="320">
        <v>0.0</v>
      </c>
      <c r="U156" s="320">
        <v>221.54</v>
      </c>
      <c r="V156" s="320">
        <v>307.04</v>
      </c>
      <c r="W156" s="320">
        <v>4.2303</v>
      </c>
      <c r="X156" s="320">
        <v>0.0</v>
      </c>
      <c r="Y156" s="320">
        <v>232.0</v>
      </c>
      <c r="Z156" s="320">
        <v>2331.0</v>
      </c>
      <c r="AA156" s="320">
        <v>9473.0</v>
      </c>
      <c r="AB156" s="320">
        <v>59.7715</v>
      </c>
      <c r="AC156" s="320">
        <v>0.8299</v>
      </c>
      <c r="AD156" s="320">
        <v>37.17</v>
      </c>
      <c r="AE156" s="320">
        <v>14.0</v>
      </c>
      <c r="AF156" s="320">
        <v>28.0</v>
      </c>
      <c r="AG156" s="320">
        <v>51.0</v>
      </c>
      <c r="AH156" s="320">
        <v>80.0</v>
      </c>
      <c r="AI156" s="320">
        <v>50.63</v>
      </c>
      <c r="AJ156" s="320">
        <v>19.35</v>
      </c>
      <c r="AK156" s="320">
        <v>5.29</v>
      </c>
      <c r="AL156" s="320">
        <v>0.1644</v>
      </c>
      <c r="AM156" s="320">
        <v>21.42</v>
      </c>
      <c r="AN156" s="320">
        <v>82.24</v>
      </c>
      <c r="AO156" s="320">
        <v>79.87</v>
      </c>
      <c r="AP156" s="320">
        <v>17.11</v>
      </c>
    </row>
    <row r="157">
      <c r="A157" s="319" t="s">
        <v>256</v>
      </c>
      <c r="B157" s="328">
        <v>46075.0</v>
      </c>
      <c r="C157" s="319" t="s">
        <v>218</v>
      </c>
      <c r="D157" s="320">
        <v>613.0</v>
      </c>
      <c r="E157" s="320">
        <v>0.57</v>
      </c>
      <c r="F157" s="320">
        <v>0.0</v>
      </c>
      <c r="G157" s="320">
        <v>0.0</v>
      </c>
      <c r="H157" s="320">
        <v>0.0</v>
      </c>
      <c r="I157" s="329"/>
      <c r="J157" s="320">
        <v>252.88</v>
      </c>
      <c r="K157" s="320">
        <v>148.02</v>
      </c>
      <c r="L157" s="320">
        <v>128.0</v>
      </c>
      <c r="M157" s="320">
        <v>0.8647</v>
      </c>
      <c r="N157" s="320">
        <v>0.287</v>
      </c>
      <c r="O157" s="320">
        <v>0.2146</v>
      </c>
      <c r="P157" s="320">
        <v>1.1564</v>
      </c>
      <c r="Q157" s="320">
        <v>443.57</v>
      </c>
      <c r="R157" s="320">
        <v>167.23</v>
      </c>
      <c r="S157" s="320">
        <v>276.34</v>
      </c>
      <c r="T157" s="320">
        <v>0.0</v>
      </c>
      <c r="U157" s="320">
        <v>443.57</v>
      </c>
      <c r="V157" s="320">
        <v>648.78</v>
      </c>
      <c r="W157" s="320">
        <v>4.3829</v>
      </c>
      <c r="X157" s="320">
        <v>0.0</v>
      </c>
      <c r="Y157" s="320">
        <v>924.0</v>
      </c>
      <c r="Z157" s="320">
        <v>4082.0</v>
      </c>
      <c r="AA157" s="320">
        <v>11442.0</v>
      </c>
      <c r="AB157" s="320">
        <v>63.6739</v>
      </c>
      <c r="AC157" s="320">
        <v>0.8992</v>
      </c>
      <c r="AD157" s="320">
        <v>85.41</v>
      </c>
      <c r="AE157" s="320">
        <v>34.0</v>
      </c>
      <c r="AF157" s="320">
        <v>64.0</v>
      </c>
      <c r="AG157" s="320">
        <v>120.0</v>
      </c>
      <c r="AH157" s="320">
        <v>170.0</v>
      </c>
      <c r="AI157" s="320">
        <v>42.25</v>
      </c>
      <c r="AJ157" s="320">
        <v>9.3</v>
      </c>
      <c r="AK157" s="320">
        <v>1.96</v>
      </c>
      <c r="AL157" s="320">
        <v>0.1142</v>
      </c>
      <c r="AM157" s="320">
        <v>24.03</v>
      </c>
      <c r="AN157" s="320">
        <v>143.2</v>
      </c>
      <c r="AO157" s="320">
        <v>80.54</v>
      </c>
      <c r="AP157" s="320">
        <v>19.35</v>
      </c>
    </row>
    <row r="158">
      <c r="A158" s="319" t="s">
        <v>256</v>
      </c>
      <c r="B158" s="328">
        <v>46076.0</v>
      </c>
      <c r="C158" s="319" t="s">
        <v>257</v>
      </c>
      <c r="D158" s="320">
        <v>20648.0</v>
      </c>
      <c r="E158" s="320">
        <v>18.47</v>
      </c>
      <c r="F158" s="320">
        <v>0.0</v>
      </c>
      <c r="G158" s="320">
        <v>0.0</v>
      </c>
      <c r="H158" s="320">
        <v>0.0</v>
      </c>
      <c r="I158" s="329"/>
      <c r="J158" s="320">
        <v>5.92</v>
      </c>
      <c r="K158" s="320">
        <v>2.36</v>
      </c>
      <c r="L158" s="320">
        <v>0.08</v>
      </c>
      <c r="M158" s="320">
        <v>0.0337</v>
      </c>
      <c r="N158" s="320">
        <v>0.9741</v>
      </c>
      <c r="O158" s="320">
        <v>0.7352</v>
      </c>
      <c r="P158" s="320">
        <v>29.7035</v>
      </c>
      <c r="Q158" s="320">
        <v>32.58</v>
      </c>
      <c r="R158" s="320">
        <v>32.47</v>
      </c>
      <c r="S158" s="320">
        <v>0.11</v>
      </c>
      <c r="T158" s="320">
        <v>0.0</v>
      </c>
      <c r="U158" s="320">
        <v>32.58</v>
      </c>
      <c r="V158" s="320">
        <v>2.21</v>
      </c>
      <c r="W158" s="320">
        <v>0.9356</v>
      </c>
      <c r="X158" s="320">
        <v>0.0</v>
      </c>
      <c r="Y158" s="320">
        <v>375.0</v>
      </c>
      <c r="Z158" s="320">
        <v>4114.0</v>
      </c>
      <c r="AA158" s="320">
        <v>15180.0</v>
      </c>
      <c r="AB158" s="320">
        <v>49.1705</v>
      </c>
      <c r="AC158" s="320">
        <v>0.5501</v>
      </c>
      <c r="AD158" s="329"/>
      <c r="AE158" s="329"/>
      <c r="AF158" s="329"/>
      <c r="AG158" s="329"/>
      <c r="AH158" s="329"/>
      <c r="AI158" s="320">
        <v>0.0</v>
      </c>
      <c r="AJ158" s="320">
        <v>0.0</v>
      </c>
      <c r="AK158" s="320">
        <v>0.0</v>
      </c>
      <c r="AL158" s="320">
        <v>0.2852</v>
      </c>
      <c r="AM158" s="320">
        <v>16.69</v>
      </c>
      <c r="AN158" s="320">
        <v>15.78</v>
      </c>
      <c r="AO158" s="329"/>
      <c r="AP158" s="329"/>
    </row>
    <row r="159">
      <c r="A159" s="319" t="s">
        <v>256</v>
      </c>
      <c r="B159" s="328">
        <v>46076.0</v>
      </c>
      <c r="C159" s="319" t="s">
        <v>214</v>
      </c>
      <c r="D159" s="320">
        <v>40565.0</v>
      </c>
      <c r="E159" s="320">
        <v>36.29</v>
      </c>
      <c r="F159" s="320">
        <v>0.0</v>
      </c>
      <c r="G159" s="320">
        <v>0.0</v>
      </c>
      <c r="H159" s="320">
        <v>0.0</v>
      </c>
      <c r="I159" s="329"/>
      <c r="J159" s="320">
        <v>33.07</v>
      </c>
      <c r="K159" s="320">
        <v>14.95</v>
      </c>
      <c r="L159" s="320">
        <v>5.84</v>
      </c>
      <c r="M159" s="320">
        <v>0.3904</v>
      </c>
      <c r="N159" s="320">
        <v>0.7793</v>
      </c>
      <c r="O159" s="320">
        <v>0.5856</v>
      </c>
      <c r="P159" s="320">
        <v>2.5615</v>
      </c>
      <c r="Q159" s="320">
        <v>72.71</v>
      </c>
      <c r="R159" s="320">
        <v>60.91</v>
      </c>
      <c r="S159" s="320">
        <v>11.8</v>
      </c>
      <c r="T159" s="320">
        <v>0.19</v>
      </c>
      <c r="U159" s="320">
        <v>72.52</v>
      </c>
      <c r="V159" s="320">
        <v>61.88</v>
      </c>
      <c r="W159" s="320">
        <v>4.1393</v>
      </c>
      <c r="X159" s="320">
        <v>0.26</v>
      </c>
      <c r="Y159" s="320">
        <v>151.0</v>
      </c>
      <c r="Z159" s="320">
        <v>811.0</v>
      </c>
      <c r="AA159" s="320">
        <v>5645.0</v>
      </c>
      <c r="AB159" s="320">
        <v>48.4898</v>
      </c>
      <c r="AC159" s="320">
        <v>0.5221</v>
      </c>
      <c r="AD159" s="320">
        <v>3.94</v>
      </c>
      <c r="AE159" s="320">
        <v>1.0</v>
      </c>
      <c r="AF159" s="320">
        <v>3.0</v>
      </c>
      <c r="AG159" s="320">
        <v>5.0</v>
      </c>
      <c r="AH159" s="320">
        <v>9.0</v>
      </c>
      <c r="AI159" s="320">
        <v>73.4</v>
      </c>
      <c r="AJ159" s="320">
        <v>29.91</v>
      </c>
      <c r="AK159" s="320">
        <v>7.93</v>
      </c>
      <c r="AL159" s="320">
        <v>0.2403</v>
      </c>
      <c r="AM159" s="320">
        <v>18.59</v>
      </c>
      <c r="AN159" s="320">
        <v>42.31</v>
      </c>
      <c r="AO159" s="320">
        <v>65.06</v>
      </c>
      <c r="AP159" s="320">
        <v>12.09</v>
      </c>
    </row>
    <row r="160">
      <c r="A160" s="319" t="s">
        <v>256</v>
      </c>
      <c r="B160" s="328">
        <v>46076.0</v>
      </c>
      <c r="C160" s="319" t="s">
        <v>215</v>
      </c>
      <c r="D160" s="320">
        <v>28403.0</v>
      </c>
      <c r="E160" s="320">
        <v>25.41</v>
      </c>
      <c r="F160" s="320">
        <v>0.0</v>
      </c>
      <c r="G160" s="320">
        <v>0.0</v>
      </c>
      <c r="H160" s="320">
        <v>0.0</v>
      </c>
      <c r="I160" s="329"/>
      <c r="J160" s="320">
        <v>62.87</v>
      </c>
      <c r="K160" s="320">
        <v>29.49</v>
      </c>
      <c r="L160" s="320">
        <v>15.08</v>
      </c>
      <c r="M160" s="320">
        <v>0.5113</v>
      </c>
      <c r="N160" s="320">
        <v>0.684</v>
      </c>
      <c r="O160" s="320">
        <v>0.4844</v>
      </c>
      <c r="P160" s="320">
        <v>1.9559</v>
      </c>
      <c r="Q160" s="320">
        <v>132.44</v>
      </c>
      <c r="R160" s="320">
        <v>102.29</v>
      </c>
      <c r="S160" s="320">
        <v>30.16</v>
      </c>
      <c r="T160" s="320">
        <v>0.08</v>
      </c>
      <c r="U160" s="320">
        <v>132.36</v>
      </c>
      <c r="V160" s="320">
        <v>119.02</v>
      </c>
      <c r="W160" s="320">
        <v>4.0366</v>
      </c>
      <c r="X160" s="320">
        <v>0.06</v>
      </c>
      <c r="Y160" s="320">
        <v>134.0</v>
      </c>
      <c r="Z160" s="320">
        <v>716.0</v>
      </c>
      <c r="AA160" s="320">
        <v>5445.0</v>
      </c>
      <c r="AB160" s="320">
        <v>51.983</v>
      </c>
      <c r="AC160" s="320">
        <v>0.5828</v>
      </c>
      <c r="AD160" s="320">
        <v>9.62</v>
      </c>
      <c r="AE160" s="320">
        <v>4.0</v>
      </c>
      <c r="AF160" s="320">
        <v>7.0</v>
      </c>
      <c r="AG160" s="320">
        <v>13.0</v>
      </c>
      <c r="AH160" s="320">
        <v>20.0</v>
      </c>
      <c r="AI160" s="320">
        <v>60.44</v>
      </c>
      <c r="AJ160" s="320">
        <v>27.48</v>
      </c>
      <c r="AK160" s="320">
        <v>5.05</v>
      </c>
      <c r="AL160" s="320">
        <v>0.1769</v>
      </c>
      <c r="AM160" s="320">
        <v>19.31</v>
      </c>
      <c r="AN160" s="320">
        <v>82.98</v>
      </c>
      <c r="AO160" s="320">
        <v>72.53</v>
      </c>
      <c r="AP160" s="320">
        <v>14.01</v>
      </c>
    </row>
    <row r="161">
      <c r="A161" s="319" t="s">
        <v>256</v>
      </c>
      <c r="B161" s="328">
        <v>46076.0</v>
      </c>
      <c r="C161" s="319" t="s">
        <v>216</v>
      </c>
      <c r="D161" s="320">
        <v>15553.0</v>
      </c>
      <c r="E161" s="320">
        <v>13.91</v>
      </c>
      <c r="F161" s="320">
        <v>0.0</v>
      </c>
      <c r="G161" s="320">
        <v>0.0</v>
      </c>
      <c r="H161" s="320">
        <v>0.0</v>
      </c>
      <c r="I161" s="329"/>
      <c r="J161" s="320">
        <v>90.7</v>
      </c>
      <c r="K161" s="320">
        <v>45.02</v>
      </c>
      <c r="L161" s="320">
        <v>29.81</v>
      </c>
      <c r="M161" s="320">
        <v>0.6621</v>
      </c>
      <c r="N161" s="320">
        <v>0.5396</v>
      </c>
      <c r="O161" s="320">
        <v>0.3784</v>
      </c>
      <c r="P161" s="320">
        <v>1.5104</v>
      </c>
      <c r="Q161" s="320">
        <v>220.43</v>
      </c>
      <c r="R161" s="320">
        <v>161.03</v>
      </c>
      <c r="S161" s="320">
        <v>59.4</v>
      </c>
      <c r="T161" s="320">
        <v>0.17</v>
      </c>
      <c r="U161" s="320">
        <v>220.26</v>
      </c>
      <c r="V161" s="320">
        <v>207.91</v>
      </c>
      <c r="W161" s="320">
        <v>4.618</v>
      </c>
      <c r="X161" s="320">
        <v>0.08</v>
      </c>
      <c r="Y161" s="320">
        <v>169.0</v>
      </c>
      <c r="Z161" s="320">
        <v>1186.0</v>
      </c>
      <c r="AA161" s="320">
        <v>7999.0</v>
      </c>
      <c r="AB161" s="320">
        <v>55.4882</v>
      </c>
      <c r="AC161" s="320">
        <v>0.6658</v>
      </c>
      <c r="AD161" s="320">
        <v>19.06</v>
      </c>
      <c r="AE161" s="320">
        <v>8.0</v>
      </c>
      <c r="AF161" s="320">
        <v>16.0</v>
      </c>
      <c r="AG161" s="320">
        <v>27.0</v>
      </c>
      <c r="AH161" s="320">
        <v>39.0</v>
      </c>
      <c r="AI161" s="320">
        <v>64.86</v>
      </c>
      <c r="AJ161" s="320">
        <v>26.87</v>
      </c>
      <c r="AK161" s="320">
        <v>6.62</v>
      </c>
      <c r="AL161" s="320">
        <v>0.1632</v>
      </c>
      <c r="AM161" s="320">
        <v>20.2</v>
      </c>
      <c r="AN161" s="320">
        <v>140.83</v>
      </c>
      <c r="AO161" s="320">
        <v>72.24</v>
      </c>
      <c r="AP161" s="320">
        <v>14.59</v>
      </c>
    </row>
    <row r="162">
      <c r="A162" s="319" t="s">
        <v>256</v>
      </c>
      <c r="B162" s="328">
        <v>46076.0</v>
      </c>
      <c r="C162" s="319" t="s">
        <v>217</v>
      </c>
      <c r="D162" s="320">
        <v>6008.0</v>
      </c>
      <c r="E162" s="320">
        <v>5.37</v>
      </c>
      <c r="F162" s="320">
        <v>0.0</v>
      </c>
      <c r="G162" s="320">
        <v>0.0</v>
      </c>
      <c r="H162" s="320">
        <v>0.0</v>
      </c>
      <c r="I162" s="329"/>
      <c r="J162" s="320">
        <v>144.9</v>
      </c>
      <c r="K162" s="320">
        <v>76.78</v>
      </c>
      <c r="L162" s="320">
        <v>61.14</v>
      </c>
      <c r="M162" s="320">
        <v>0.7962</v>
      </c>
      <c r="N162" s="320">
        <v>0.3945</v>
      </c>
      <c r="O162" s="320">
        <v>0.2873</v>
      </c>
      <c r="P162" s="320">
        <v>1.2559</v>
      </c>
      <c r="Q162" s="320">
        <v>382.14</v>
      </c>
      <c r="R162" s="320">
        <v>262.8</v>
      </c>
      <c r="S162" s="320">
        <v>119.34</v>
      </c>
      <c r="T162" s="320">
        <v>0.09</v>
      </c>
      <c r="U162" s="320">
        <v>382.05</v>
      </c>
      <c r="V162" s="320">
        <v>393.53</v>
      </c>
      <c r="W162" s="320">
        <v>5.1252</v>
      </c>
      <c r="X162" s="320">
        <v>0.02</v>
      </c>
      <c r="Y162" s="320">
        <v>317.0</v>
      </c>
      <c r="Z162" s="320">
        <v>2862.0</v>
      </c>
      <c r="AA162" s="320">
        <v>11877.0</v>
      </c>
      <c r="AB162" s="320">
        <v>59.2468</v>
      </c>
      <c r="AC162" s="320">
        <v>0.7393</v>
      </c>
      <c r="AD162" s="320">
        <v>39.02</v>
      </c>
      <c r="AE162" s="320">
        <v>17.0</v>
      </c>
      <c r="AF162" s="320">
        <v>32.0</v>
      </c>
      <c r="AG162" s="320">
        <v>53.0</v>
      </c>
      <c r="AH162" s="320">
        <v>79.0</v>
      </c>
      <c r="AI162" s="320">
        <v>57.41</v>
      </c>
      <c r="AJ162" s="320">
        <v>19.72</v>
      </c>
      <c r="AK162" s="320">
        <v>4.91</v>
      </c>
      <c r="AL162" s="320">
        <v>0.124</v>
      </c>
      <c r="AM162" s="320">
        <v>21.71</v>
      </c>
      <c r="AN162" s="320">
        <v>241.09</v>
      </c>
      <c r="AO162" s="320">
        <v>74.67</v>
      </c>
      <c r="AP162" s="320">
        <v>16.21</v>
      </c>
    </row>
    <row r="163">
      <c r="A163" s="319" t="s">
        <v>256</v>
      </c>
      <c r="B163" s="328">
        <v>46076.0</v>
      </c>
      <c r="C163" s="319" t="s">
        <v>218</v>
      </c>
      <c r="D163" s="320">
        <v>618.0</v>
      </c>
      <c r="E163" s="320">
        <v>0.55</v>
      </c>
      <c r="F163" s="320">
        <v>0.0</v>
      </c>
      <c r="G163" s="320">
        <v>0.0</v>
      </c>
      <c r="H163" s="320">
        <v>0.0</v>
      </c>
      <c r="I163" s="329"/>
      <c r="J163" s="320">
        <v>256.79</v>
      </c>
      <c r="K163" s="320">
        <v>151.23</v>
      </c>
      <c r="L163" s="320">
        <v>131.81</v>
      </c>
      <c r="M163" s="320">
        <v>0.8716</v>
      </c>
      <c r="N163" s="320">
        <v>0.2782</v>
      </c>
      <c r="O163" s="320">
        <v>0.2071</v>
      </c>
      <c r="P163" s="320">
        <v>1.1473</v>
      </c>
      <c r="Q163" s="320">
        <v>694.5</v>
      </c>
      <c r="R163" s="320">
        <v>411.12</v>
      </c>
      <c r="S163" s="320">
        <v>283.38</v>
      </c>
      <c r="T163" s="320">
        <v>0.0</v>
      </c>
      <c r="U163" s="320">
        <v>694.5</v>
      </c>
      <c r="V163" s="320">
        <v>719.82</v>
      </c>
      <c r="W163" s="320">
        <v>4.7599</v>
      </c>
      <c r="X163" s="320">
        <v>0.0</v>
      </c>
      <c r="Y163" s="320">
        <v>931.0</v>
      </c>
      <c r="Z163" s="320">
        <v>4063.0</v>
      </c>
      <c r="AA163" s="320">
        <v>11225.0</v>
      </c>
      <c r="AB163" s="320">
        <v>63.3655</v>
      </c>
      <c r="AC163" s="320">
        <v>0.8932</v>
      </c>
      <c r="AD163" s="320">
        <v>93.58</v>
      </c>
      <c r="AE163" s="320">
        <v>42.0</v>
      </c>
      <c r="AF163" s="320">
        <v>80.0</v>
      </c>
      <c r="AG163" s="320">
        <v>127.0</v>
      </c>
      <c r="AH163" s="320">
        <v>178.0</v>
      </c>
      <c r="AI163" s="320">
        <v>50.81</v>
      </c>
      <c r="AJ163" s="320">
        <v>11.0</v>
      </c>
      <c r="AK163" s="320">
        <v>1.62</v>
      </c>
      <c r="AL163" s="320">
        <v>0.0793</v>
      </c>
      <c r="AM163" s="320">
        <v>22.21</v>
      </c>
      <c r="AN163" s="320">
        <v>388.91</v>
      </c>
      <c r="AO163" s="320">
        <v>81.76</v>
      </c>
      <c r="AP163" s="320">
        <v>18.16</v>
      </c>
    </row>
    <row r="164">
      <c r="A164" s="319" t="s">
        <v>256</v>
      </c>
      <c r="B164" s="328">
        <v>46077.0</v>
      </c>
      <c r="C164" s="319" t="s">
        <v>257</v>
      </c>
      <c r="D164" s="320">
        <v>21405.0</v>
      </c>
      <c r="E164" s="320">
        <v>19.2</v>
      </c>
      <c r="F164" s="320">
        <v>0.0</v>
      </c>
      <c r="G164" s="320">
        <v>0.0</v>
      </c>
      <c r="H164" s="320">
        <v>0.0</v>
      </c>
      <c r="I164" s="329"/>
      <c r="J164" s="320">
        <v>6.14</v>
      </c>
      <c r="K164" s="320">
        <v>2.55</v>
      </c>
      <c r="L164" s="320">
        <v>0.03</v>
      </c>
      <c r="M164" s="320">
        <v>0.0126</v>
      </c>
      <c r="N164" s="320">
        <v>0.9903</v>
      </c>
      <c r="O164" s="320">
        <v>0.862</v>
      </c>
      <c r="P164" s="320">
        <v>79.556</v>
      </c>
      <c r="Q164" s="320">
        <v>25.34</v>
      </c>
      <c r="R164" s="320">
        <v>25.21</v>
      </c>
      <c r="S164" s="320">
        <v>0.13</v>
      </c>
      <c r="T164" s="320">
        <v>0.0</v>
      </c>
      <c r="U164" s="320">
        <v>25.34</v>
      </c>
      <c r="V164" s="320">
        <v>2.28</v>
      </c>
      <c r="W164" s="320">
        <v>0.8947</v>
      </c>
      <c r="X164" s="320">
        <v>0.0</v>
      </c>
      <c r="Y164" s="320">
        <v>311.0</v>
      </c>
      <c r="Z164" s="320">
        <v>3420.0</v>
      </c>
      <c r="AA164" s="320">
        <v>13994.0</v>
      </c>
      <c r="AB164" s="320">
        <v>48.8474</v>
      </c>
      <c r="AC164" s="320">
        <v>0.5357</v>
      </c>
      <c r="AD164" s="329"/>
      <c r="AE164" s="329"/>
      <c r="AF164" s="329"/>
      <c r="AG164" s="329"/>
      <c r="AH164" s="329"/>
      <c r="AI164" s="320">
        <v>0.0</v>
      </c>
      <c r="AJ164" s="320">
        <v>0.0</v>
      </c>
      <c r="AK164" s="320">
        <v>0.0</v>
      </c>
      <c r="AL164" s="320">
        <v>0.2846</v>
      </c>
      <c r="AM164" s="320">
        <v>15.67</v>
      </c>
      <c r="AN164" s="320">
        <v>9.54</v>
      </c>
      <c r="AO164" s="329"/>
      <c r="AP164" s="329"/>
    </row>
    <row r="165">
      <c r="A165" s="319" t="s">
        <v>256</v>
      </c>
      <c r="B165" s="328">
        <v>46077.0</v>
      </c>
      <c r="C165" s="319" t="s">
        <v>214</v>
      </c>
      <c r="D165" s="320">
        <v>40619.0</v>
      </c>
      <c r="E165" s="320">
        <v>36.44</v>
      </c>
      <c r="F165" s="320">
        <v>0.0</v>
      </c>
      <c r="G165" s="320">
        <v>0.0</v>
      </c>
      <c r="H165" s="320">
        <v>0.0</v>
      </c>
      <c r="I165" s="329"/>
      <c r="J165" s="320">
        <v>29.4</v>
      </c>
      <c r="K165" s="320">
        <v>13.21</v>
      </c>
      <c r="L165" s="320">
        <v>5.49</v>
      </c>
      <c r="M165" s="320">
        <v>0.4156</v>
      </c>
      <c r="N165" s="320">
        <v>0.7621</v>
      </c>
      <c r="O165" s="320">
        <v>0.574</v>
      </c>
      <c r="P165" s="320">
        <v>2.4061</v>
      </c>
      <c r="Q165" s="320">
        <v>53.51</v>
      </c>
      <c r="R165" s="320">
        <v>41.94</v>
      </c>
      <c r="S165" s="320">
        <v>11.57</v>
      </c>
      <c r="T165" s="320">
        <v>0.04</v>
      </c>
      <c r="U165" s="320">
        <v>53.47</v>
      </c>
      <c r="V165" s="320">
        <v>55.16</v>
      </c>
      <c r="W165" s="320">
        <v>4.1766</v>
      </c>
      <c r="X165" s="320">
        <v>0.07</v>
      </c>
      <c r="Y165" s="320">
        <v>144.0</v>
      </c>
      <c r="Z165" s="320">
        <v>850.0</v>
      </c>
      <c r="AA165" s="320">
        <v>5944.0</v>
      </c>
      <c r="AB165" s="320">
        <v>48.6161</v>
      </c>
      <c r="AC165" s="320">
        <v>0.5239</v>
      </c>
      <c r="AD165" s="320">
        <v>3.96</v>
      </c>
      <c r="AE165" s="320">
        <v>1.0</v>
      </c>
      <c r="AF165" s="320">
        <v>3.0</v>
      </c>
      <c r="AG165" s="320">
        <v>5.0</v>
      </c>
      <c r="AH165" s="320">
        <v>9.0</v>
      </c>
      <c r="AI165" s="320">
        <v>72.31</v>
      </c>
      <c r="AJ165" s="320">
        <v>30.02</v>
      </c>
      <c r="AK165" s="320">
        <v>8.61</v>
      </c>
      <c r="AL165" s="320">
        <v>0.239</v>
      </c>
      <c r="AM165" s="320">
        <v>18.03</v>
      </c>
      <c r="AN165" s="320">
        <v>23.91</v>
      </c>
      <c r="AO165" s="320">
        <v>65.33</v>
      </c>
      <c r="AP165" s="320">
        <v>11.78</v>
      </c>
    </row>
    <row r="166">
      <c r="A166" s="319" t="s">
        <v>256</v>
      </c>
      <c r="B166" s="328">
        <v>46077.0</v>
      </c>
      <c r="C166" s="319" t="s">
        <v>215</v>
      </c>
      <c r="D166" s="320">
        <v>28431.0</v>
      </c>
      <c r="E166" s="320">
        <v>25.5</v>
      </c>
      <c r="F166" s="320">
        <v>0.0</v>
      </c>
      <c r="G166" s="320">
        <v>0.0</v>
      </c>
      <c r="H166" s="320">
        <v>0.0</v>
      </c>
      <c r="I166" s="329"/>
      <c r="J166" s="320">
        <v>55.44</v>
      </c>
      <c r="K166" s="320">
        <v>25.78</v>
      </c>
      <c r="L166" s="320">
        <v>14.15</v>
      </c>
      <c r="M166" s="320">
        <v>0.549</v>
      </c>
      <c r="N166" s="320">
        <v>0.6542</v>
      </c>
      <c r="O166" s="320">
        <v>0.4637</v>
      </c>
      <c r="P166" s="320">
        <v>1.8214</v>
      </c>
      <c r="Q166" s="320">
        <v>101.05</v>
      </c>
      <c r="R166" s="320">
        <v>72.03</v>
      </c>
      <c r="S166" s="320">
        <v>29.02</v>
      </c>
      <c r="T166" s="320">
        <v>0.49</v>
      </c>
      <c r="U166" s="320">
        <v>100.56</v>
      </c>
      <c r="V166" s="320">
        <v>106.24</v>
      </c>
      <c r="W166" s="320">
        <v>4.1219</v>
      </c>
      <c r="X166" s="320">
        <v>0.49</v>
      </c>
      <c r="Y166" s="320">
        <v>130.0</v>
      </c>
      <c r="Z166" s="320">
        <v>738.0</v>
      </c>
      <c r="AA166" s="320">
        <v>5507.0</v>
      </c>
      <c r="AB166" s="320">
        <v>52.2976</v>
      </c>
      <c r="AC166" s="320">
        <v>0.5943</v>
      </c>
      <c r="AD166" s="320">
        <v>9.42</v>
      </c>
      <c r="AE166" s="320">
        <v>3.0</v>
      </c>
      <c r="AF166" s="320">
        <v>7.0</v>
      </c>
      <c r="AG166" s="320">
        <v>13.0</v>
      </c>
      <c r="AH166" s="320">
        <v>20.0</v>
      </c>
      <c r="AI166" s="320">
        <v>59.59</v>
      </c>
      <c r="AJ166" s="320">
        <v>26.8</v>
      </c>
      <c r="AK166" s="320">
        <v>4.64</v>
      </c>
      <c r="AL166" s="320">
        <v>0.1791</v>
      </c>
      <c r="AM166" s="320">
        <v>18.81</v>
      </c>
      <c r="AN166" s="320">
        <v>53.22</v>
      </c>
      <c r="AO166" s="320">
        <v>73.0</v>
      </c>
      <c r="AP166" s="320">
        <v>13.73</v>
      </c>
    </row>
    <row r="167">
      <c r="A167" s="319" t="s">
        <v>256</v>
      </c>
      <c r="B167" s="328">
        <v>46077.0</v>
      </c>
      <c r="C167" s="319" t="s">
        <v>216</v>
      </c>
      <c r="D167" s="320">
        <v>14928.0</v>
      </c>
      <c r="E167" s="320">
        <v>13.39</v>
      </c>
      <c r="F167" s="320">
        <v>0.0</v>
      </c>
      <c r="G167" s="320">
        <v>0.0</v>
      </c>
      <c r="H167" s="320">
        <v>0.0</v>
      </c>
      <c r="I167" s="329"/>
      <c r="J167" s="320">
        <v>80.8</v>
      </c>
      <c r="K167" s="320">
        <v>40.66</v>
      </c>
      <c r="L167" s="320">
        <v>28.35</v>
      </c>
      <c r="M167" s="320">
        <v>0.6973</v>
      </c>
      <c r="N167" s="320">
        <v>0.5047</v>
      </c>
      <c r="O167" s="320">
        <v>0.3555</v>
      </c>
      <c r="P167" s="320">
        <v>1.434</v>
      </c>
      <c r="Q167" s="320">
        <v>178.35</v>
      </c>
      <c r="R167" s="320">
        <v>124.12</v>
      </c>
      <c r="S167" s="320">
        <v>54.23</v>
      </c>
      <c r="T167" s="320">
        <v>0.0</v>
      </c>
      <c r="U167" s="320">
        <v>178.34</v>
      </c>
      <c r="V167" s="320">
        <v>187.9</v>
      </c>
      <c r="W167" s="320">
        <v>4.6215</v>
      </c>
      <c r="X167" s="320">
        <v>0.0</v>
      </c>
      <c r="Y167" s="320">
        <v>165.0</v>
      </c>
      <c r="Z167" s="320">
        <v>1164.0</v>
      </c>
      <c r="AA167" s="320">
        <v>7278.0</v>
      </c>
      <c r="AB167" s="320">
        <v>55.7208</v>
      </c>
      <c r="AC167" s="320">
        <v>0.6868</v>
      </c>
      <c r="AD167" s="320">
        <v>17.71</v>
      </c>
      <c r="AE167" s="320">
        <v>7.0</v>
      </c>
      <c r="AF167" s="320">
        <v>14.0</v>
      </c>
      <c r="AG167" s="320">
        <v>25.0</v>
      </c>
      <c r="AH167" s="320">
        <v>36.0</v>
      </c>
      <c r="AI167" s="320">
        <v>60.83</v>
      </c>
      <c r="AJ167" s="320">
        <v>23.74</v>
      </c>
      <c r="AK167" s="320">
        <v>6.35</v>
      </c>
      <c r="AL167" s="320">
        <v>0.1596</v>
      </c>
      <c r="AM167" s="320">
        <v>19.45</v>
      </c>
      <c r="AN167" s="320">
        <v>104.67</v>
      </c>
      <c r="AO167" s="320">
        <v>73.23</v>
      </c>
      <c r="AP167" s="320">
        <v>14.24</v>
      </c>
    </row>
    <row r="168">
      <c r="A168" s="319" t="s">
        <v>256</v>
      </c>
      <c r="B168" s="328">
        <v>46077.0</v>
      </c>
      <c r="C168" s="319" t="s">
        <v>217</v>
      </c>
      <c r="D168" s="320">
        <v>5453.0</v>
      </c>
      <c r="E168" s="320">
        <v>4.89</v>
      </c>
      <c r="F168" s="320">
        <v>0.0</v>
      </c>
      <c r="G168" s="320">
        <v>0.0</v>
      </c>
      <c r="H168" s="320">
        <v>0.0</v>
      </c>
      <c r="I168" s="329"/>
      <c r="J168" s="320">
        <v>127.48</v>
      </c>
      <c r="K168" s="320">
        <v>68.78</v>
      </c>
      <c r="L168" s="320">
        <v>55.04</v>
      </c>
      <c r="M168" s="320">
        <v>0.8002</v>
      </c>
      <c r="N168" s="320">
        <v>0.3847</v>
      </c>
      <c r="O168" s="320">
        <v>0.281</v>
      </c>
      <c r="P168" s="320">
        <v>1.2497</v>
      </c>
      <c r="Q168" s="320">
        <v>331.16</v>
      </c>
      <c r="R168" s="320">
        <v>214.92</v>
      </c>
      <c r="S168" s="320">
        <v>116.24</v>
      </c>
      <c r="T168" s="320">
        <v>2.69</v>
      </c>
      <c r="U168" s="320">
        <v>328.47</v>
      </c>
      <c r="V168" s="320">
        <v>338.63</v>
      </c>
      <c r="W168" s="320">
        <v>4.9233</v>
      </c>
      <c r="X168" s="320">
        <v>0.81</v>
      </c>
      <c r="Y168" s="320">
        <v>311.0</v>
      </c>
      <c r="Z168" s="320">
        <v>2540.0</v>
      </c>
      <c r="AA168" s="320">
        <v>9896.0</v>
      </c>
      <c r="AB168" s="320">
        <v>60.1129</v>
      </c>
      <c r="AC168" s="320">
        <v>0.8291</v>
      </c>
      <c r="AD168" s="320">
        <v>38.06</v>
      </c>
      <c r="AE168" s="320">
        <v>16.0</v>
      </c>
      <c r="AF168" s="320">
        <v>30.0</v>
      </c>
      <c r="AG168" s="320">
        <v>53.0</v>
      </c>
      <c r="AH168" s="320">
        <v>79.0</v>
      </c>
      <c r="AI168" s="320">
        <v>53.84</v>
      </c>
      <c r="AJ168" s="320">
        <v>19.7</v>
      </c>
      <c r="AK168" s="320">
        <v>4.62</v>
      </c>
      <c r="AL168" s="320">
        <v>0.1179</v>
      </c>
      <c r="AM168" s="320">
        <v>20.88</v>
      </c>
      <c r="AN168" s="320">
        <v>194.04</v>
      </c>
      <c r="AO168" s="320">
        <v>81.39</v>
      </c>
      <c r="AP168" s="320">
        <v>16.99</v>
      </c>
    </row>
    <row r="169">
      <c r="A169" s="319" t="s">
        <v>256</v>
      </c>
      <c r="B169" s="328">
        <v>46077.0</v>
      </c>
      <c r="C169" s="319" t="s">
        <v>218</v>
      </c>
      <c r="D169" s="320">
        <v>647.0</v>
      </c>
      <c r="E169" s="320">
        <v>0.58</v>
      </c>
      <c r="F169" s="320">
        <v>0.0</v>
      </c>
      <c r="G169" s="320">
        <v>0.0</v>
      </c>
      <c r="H169" s="320">
        <v>0.0</v>
      </c>
      <c r="I169" s="329"/>
      <c r="J169" s="320">
        <v>244.56</v>
      </c>
      <c r="K169" s="320">
        <v>142.06</v>
      </c>
      <c r="L169" s="320">
        <v>124.17</v>
      </c>
      <c r="M169" s="320">
        <v>0.8741</v>
      </c>
      <c r="N169" s="320">
        <v>0.279</v>
      </c>
      <c r="O169" s="320">
        <v>0.2102</v>
      </c>
      <c r="P169" s="320">
        <v>1.1441</v>
      </c>
      <c r="Q169" s="320">
        <v>644.7</v>
      </c>
      <c r="R169" s="320">
        <v>375.35</v>
      </c>
      <c r="S169" s="320">
        <v>269.35</v>
      </c>
      <c r="T169" s="320">
        <v>10.36</v>
      </c>
      <c r="U169" s="320">
        <v>634.35</v>
      </c>
      <c r="V169" s="320">
        <v>643.97</v>
      </c>
      <c r="W169" s="320">
        <v>4.5332</v>
      </c>
      <c r="X169" s="320">
        <v>1.61</v>
      </c>
      <c r="Y169" s="320">
        <v>850.0</v>
      </c>
      <c r="Z169" s="320">
        <v>3398.0</v>
      </c>
      <c r="AA169" s="320">
        <v>9923.0</v>
      </c>
      <c r="AB169" s="320">
        <v>63.4969</v>
      </c>
      <c r="AC169" s="320">
        <v>0.8964</v>
      </c>
      <c r="AD169" s="320">
        <v>87.7</v>
      </c>
      <c r="AE169" s="320">
        <v>37.0</v>
      </c>
      <c r="AF169" s="320">
        <v>71.0</v>
      </c>
      <c r="AG169" s="320">
        <v>121.0</v>
      </c>
      <c r="AH169" s="320">
        <v>166.0</v>
      </c>
      <c r="AI169" s="320">
        <v>45.13</v>
      </c>
      <c r="AJ169" s="320">
        <v>8.66</v>
      </c>
      <c r="AK169" s="320">
        <v>1.39</v>
      </c>
      <c r="AL169" s="320">
        <v>0.085</v>
      </c>
      <c r="AM169" s="320">
        <v>22.36</v>
      </c>
      <c r="AN169" s="320">
        <v>352.99</v>
      </c>
      <c r="AO169" s="320">
        <v>83.42</v>
      </c>
      <c r="AP169" s="320">
        <v>18.65</v>
      </c>
    </row>
    <row r="170">
      <c r="A170" s="319" t="s">
        <v>256</v>
      </c>
      <c r="B170" s="328">
        <v>46078.0</v>
      </c>
      <c r="C170" s="319" t="s">
        <v>257</v>
      </c>
      <c r="D170" s="320">
        <v>21398.0</v>
      </c>
      <c r="E170" s="320">
        <v>19.6</v>
      </c>
      <c r="F170" s="320">
        <v>0.0</v>
      </c>
      <c r="G170" s="320">
        <v>0.0</v>
      </c>
      <c r="H170" s="320">
        <v>0.0</v>
      </c>
      <c r="I170" s="329"/>
      <c r="J170" s="320">
        <v>6.5</v>
      </c>
      <c r="K170" s="320">
        <v>2.7</v>
      </c>
      <c r="L170" s="320">
        <v>0.05</v>
      </c>
      <c r="M170" s="320">
        <v>0.0185</v>
      </c>
      <c r="N170" s="320">
        <v>0.9853</v>
      </c>
      <c r="O170" s="320">
        <v>0.8131</v>
      </c>
      <c r="P170" s="320">
        <v>53.9635</v>
      </c>
      <c r="Q170" s="320">
        <v>21.64</v>
      </c>
      <c r="R170" s="320">
        <v>21.53</v>
      </c>
      <c r="S170" s="320">
        <v>0.1</v>
      </c>
      <c r="T170" s="320">
        <v>0.0</v>
      </c>
      <c r="U170" s="320">
        <v>21.64</v>
      </c>
      <c r="V170" s="320">
        <v>1.79</v>
      </c>
      <c r="W170" s="320">
        <v>0.6648</v>
      </c>
      <c r="X170" s="320">
        <v>0.0</v>
      </c>
      <c r="Y170" s="320">
        <v>304.0</v>
      </c>
      <c r="Z170" s="320">
        <v>3521.0</v>
      </c>
      <c r="AA170" s="320">
        <v>14631.0</v>
      </c>
      <c r="AB170" s="320">
        <v>48.9369</v>
      </c>
      <c r="AC170" s="320">
        <v>0.5398</v>
      </c>
      <c r="AD170" s="329"/>
      <c r="AE170" s="329"/>
      <c r="AF170" s="329"/>
      <c r="AG170" s="329"/>
      <c r="AH170" s="329"/>
      <c r="AI170" s="320">
        <v>0.0</v>
      </c>
      <c r="AJ170" s="320">
        <v>0.0</v>
      </c>
      <c r="AK170" s="320">
        <v>0.0</v>
      </c>
      <c r="AL170" s="320">
        <v>0.2775</v>
      </c>
      <c r="AM170" s="320">
        <v>16.1</v>
      </c>
      <c r="AN170" s="320">
        <v>5.43</v>
      </c>
      <c r="AO170" s="329"/>
      <c r="AP170" s="329"/>
    </row>
    <row r="171">
      <c r="A171" s="319" t="s">
        <v>256</v>
      </c>
      <c r="B171" s="328">
        <v>46078.0</v>
      </c>
      <c r="C171" s="319" t="s">
        <v>214</v>
      </c>
      <c r="D171" s="320">
        <v>40361.0</v>
      </c>
      <c r="E171" s="320">
        <v>36.96</v>
      </c>
      <c r="F171" s="320">
        <v>0.0</v>
      </c>
      <c r="G171" s="320">
        <v>0.0</v>
      </c>
      <c r="H171" s="320">
        <v>0.0</v>
      </c>
      <c r="I171" s="329"/>
      <c r="J171" s="320">
        <v>30.87</v>
      </c>
      <c r="K171" s="320">
        <v>14.15</v>
      </c>
      <c r="L171" s="320">
        <v>5.48</v>
      </c>
      <c r="M171" s="320">
        <v>0.387</v>
      </c>
      <c r="N171" s="320">
        <v>0.7786</v>
      </c>
      <c r="O171" s="320">
        <v>0.5818</v>
      </c>
      <c r="P171" s="320">
        <v>2.5839</v>
      </c>
      <c r="Q171" s="320">
        <v>45.75</v>
      </c>
      <c r="R171" s="320">
        <v>34.18</v>
      </c>
      <c r="S171" s="320">
        <v>11.57</v>
      </c>
      <c r="T171" s="320">
        <v>0.03</v>
      </c>
      <c r="U171" s="320">
        <v>45.72</v>
      </c>
      <c r="V171" s="320">
        <v>51.69</v>
      </c>
      <c r="W171" s="320">
        <v>3.6518</v>
      </c>
      <c r="X171" s="320">
        <v>0.07</v>
      </c>
      <c r="Y171" s="320">
        <v>135.0</v>
      </c>
      <c r="Z171" s="320">
        <v>856.0</v>
      </c>
      <c r="AA171" s="320">
        <v>5667.0</v>
      </c>
      <c r="AB171" s="320">
        <v>48.5807</v>
      </c>
      <c r="AC171" s="320">
        <v>0.5254</v>
      </c>
      <c r="AD171" s="320">
        <v>3.86</v>
      </c>
      <c r="AE171" s="320">
        <v>1.0</v>
      </c>
      <c r="AF171" s="320">
        <v>3.0</v>
      </c>
      <c r="AG171" s="320">
        <v>5.0</v>
      </c>
      <c r="AH171" s="320">
        <v>9.0</v>
      </c>
      <c r="AI171" s="320">
        <v>71.7</v>
      </c>
      <c r="AJ171" s="320">
        <v>28.92</v>
      </c>
      <c r="AK171" s="320">
        <v>7.88</v>
      </c>
      <c r="AL171" s="320">
        <v>0.2448</v>
      </c>
      <c r="AM171" s="320">
        <v>18.68</v>
      </c>
      <c r="AN171" s="320">
        <v>15.5</v>
      </c>
      <c r="AO171" s="320">
        <v>65.77</v>
      </c>
      <c r="AP171" s="320">
        <v>12.29</v>
      </c>
    </row>
    <row r="172">
      <c r="A172" s="319" t="s">
        <v>256</v>
      </c>
      <c r="B172" s="328">
        <v>46078.0</v>
      </c>
      <c r="C172" s="319" t="s">
        <v>215</v>
      </c>
      <c r="D172" s="320">
        <v>27555.0</v>
      </c>
      <c r="E172" s="320">
        <v>25.23</v>
      </c>
      <c r="F172" s="320">
        <v>0.0</v>
      </c>
      <c r="G172" s="320">
        <v>0.0</v>
      </c>
      <c r="H172" s="320">
        <v>0.0</v>
      </c>
      <c r="I172" s="329"/>
      <c r="J172" s="320">
        <v>58.37</v>
      </c>
      <c r="K172" s="320">
        <v>27.87</v>
      </c>
      <c r="L172" s="320">
        <v>14.21</v>
      </c>
      <c r="M172" s="320">
        <v>0.5099</v>
      </c>
      <c r="N172" s="320">
        <v>0.676</v>
      </c>
      <c r="O172" s="320">
        <v>0.4669</v>
      </c>
      <c r="P172" s="320">
        <v>1.9611</v>
      </c>
      <c r="Q172" s="320">
        <v>77.99</v>
      </c>
      <c r="R172" s="320">
        <v>49.84</v>
      </c>
      <c r="S172" s="320">
        <v>28.15</v>
      </c>
      <c r="T172" s="320">
        <v>0.05</v>
      </c>
      <c r="U172" s="320">
        <v>77.93</v>
      </c>
      <c r="V172" s="320">
        <v>94.43</v>
      </c>
      <c r="W172" s="320">
        <v>3.3888</v>
      </c>
      <c r="X172" s="320">
        <v>0.07</v>
      </c>
      <c r="Y172" s="320">
        <v>116.0</v>
      </c>
      <c r="Z172" s="320">
        <v>707.0</v>
      </c>
      <c r="AA172" s="320">
        <v>5650.0</v>
      </c>
      <c r="AB172" s="320">
        <v>52.3355</v>
      </c>
      <c r="AC172" s="320">
        <v>0.6007</v>
      </c>
      <c r="AD172" s="320">
        <v>8.84</v>
      </c>
      <c r="AE172" s="320">
        <v>3.0</v>
      </c>
      <c r="AF172" s="320">
        <v>7.0</v>
      </c>
      <c r="AG172" s="320">
        <v>12.0</v>
      </c>
      <c r="AH172" s="320">
        <v>19.0</v>
      </c>
      <c r="AI172" s="320">
        <v>57.15</v>
      </c>
      <c r="AJ172" s="320">
        <v>23.8</v>
      </c>
      <c r="AK172" s="320">
        <v>3.85</v>
      </c>
      <c r="AL172" s="320">
        <v>0.1776</v>
      </c>
      <c r="AM172" s="320">
        <v>19.48</v>
      </c>
      <c r="AN172" s="320">
        <v>30.36</v>
      </c>
      <c r="AO172" s="320">
        <v>74.01</v>
      </c>
      <c r="AP172" s="320">
        <v>14.42</v>
      </c>
    </row>
    <row r="173">
      <c r="A173" s="319" t="s">
        <v>256</v>
      </c>
      <c r="B173" s="328">
        <v>46078.0</v>
      </c>
      <c r="C173" s="319" t="s">
        <v>216</v>
      </c>
      <c r="D173" s="320">
        <v>13843.0</v>
      </c>
      <c r="E173" s="320">
        <v>12.68</v>
      </c>
      <c r="F173" s="320">
        <v>0.0</v>
      </c>
      <c r="G173" s="320">
        <v>0.0</v>
      </c>
      <c r="H173" s="320">
        <v>0.0</v>
      </c>
      <c r="I173" s="329"/>
      <c r="J173" s="320">
        <v>79.78</v>
      </c>
      <c r="K173" s="320">
        <v>40.49</v>
      </c>
      <c r="L173" s="320">
        <v>26.23</v>
      </c>
      <c r="M173" s="320">
        <v>0.6477</v>
      </c>
      <c r="N173" s="320">
        <v>0.5397</v>
      </c>
      <c r="O173" s="320">
        <v>0.3714</v>
      </c>
      <c r="P173" s="320">
        <v>1.544</v>
      </c>
      <c r="Q173" s="320">
        <v>122.4</v>
      </c>
      <c r="R173" s="320">
        <v>67.51</v>
      </c>
      <c r="S173" s="320">
        <v>54.89</v>
      </c>
      <c r="T173" s="320">
        <v>0.92</v>
      </c>
      <c r="U173" s="320">
        <v>121.47</v>
      </c>
      <c r="V173" s="320">
        <v>160.65</v>
      </c>
      <c r="W173" s="320">
        <v>3.9674</v>
      </c>
      <c r="X173" s="320">
        <v>0.76</v>
      </c>
      <c r="Y173" s="320">
        <v>136.0</v>
      </c>
      <c r="Z173" s="320">
        <v>1037.0</v>
      </c>
      <c r="AA173" s="320">
        <v>6580.0</v>
      </c>
      <c r="AB173" s="320">
        <v>56.1617</v>
      </c>
      <c r="AC173" s="320">
        <v>0.7393</v>
      </c>
      <c r="AD173" s="320">
        <v>17.3</v>
      </c>
      <c r="AE173" s="320">
        <v>7.0</v>
      </c>
      <c r="AF173" s="320">
        <v>13.0</v>
      </c>
      <c r="AG173" s="320">
        <v>24.0</v>
      </c>
      <c r="AH173" s="320">
        <v>36.0</v>
      </c>
      <c r="AI173" s="320">
        <v>58.09</v>
      </c>
      <c r="AJ173" s="320">
        <v>22.44</v>
      </c>
      <c r="AK173" s="320">
        <v>6.36</v>
      </c>
      <c r="AL173" s="320">
        <v>0.1748</v>
      </c>
      <c r="AM173" s="320">
        <v>19.39</v>
      </c>
      <c r="AN173" s="320">
        <v>48.12</v>
      </c>
      <c r="AO173" s="320">
        <v>77.11</v>
      </c>
      <c r="AP173" s="320">
        <v>14.95</v>
      </c>
    </row>
    <row r="174">
      <c r="A174" s="319" t="s">
        <v>256</v>
      </c>
      <c r="B174" s="328">
        <v>46078.0</v>
      </c>
      <c r="C174" s="319" t="s">
        <v>217</v>
      </c>
      <c r="D174" s="320">
        <v>5432.0</v>
      </c>
      <c r="E174" s="320">
        <v>4.97</v>
      </c>
      <c r="F174" s="320">
        <v>0.0</v>
      </c>
      <c r="G174" s="320">
        <v>0.0</v>
      </c>
      <c r="H174" s="320">
        <v>0.0</v>
      </c>
      <c r="I174" s="329"/>
      <c r="J174" s="320">
        <v>129.45</v>
      </c>
      <c r="K174" s="320">
        <v>69.69</v>
      </c>
      <c r="L174" s="320">
        <v>53.92</v>
      </c>
      <c r="M174" s="320">
        <v>0.7737</v>
      </c>
      <c r="N174" s="320">
        <v>0.404</v>
      </c>
      <c r="O174" s="320">
        <v>0.2863</v>
      </c>
      <c r="P174" s="320">
        <v>1.2925</v>
      </c>
      <c r="Q174" s="320">
        <v>212.17</v>
      </c>
      <c r="R174" s="320">
        <v>97.96</v>
      </c>
      <c r="S174" s="320">
        <v>114.2</v>
      </c>
      <c r="T174" s="320">
        <v>0.31</v>
      </c>
      <c r="U174" s="320">
        <v>211.86</v>
      </c>
      <c r="V174" s="320">
        <v>299.32</v>
      </c>
      <c r="W174" s="320">
        <v>4.2952</v>
      </c>
      <c r="X174" s="320">
        <v>0.14</v>
      </c>
      <c r="Y174" s="320">
        <v>248.0</v>
      </c>
      <c r="Z174" s="320">
        <v>2620.0</v>
      </c>
      <c r="AA174" s="320">
        <v>9877.0</v>
      </c>
      <c r="AB174" s="320">
        <v>60.1201</v>
      </c>
      <c r="AC174" s="320">
        <v>0.8365</v>
      </c>
      <c r="AD174" s="320">
        <v>36.44</v>
      </c>
      <c r="AE174" s="320">
        <v>14.0</v>
      </c>
      <c r="AF174" s="320">
        <v>27.0</v>
      </c>
      <c r="AG174" s="320">
        <v>51.0</v>
      </c>
      <c r="AH174" s="320">
        <v>79.0</v>
      </c>
      <c r="AI174" s="320">
        <v>49.45</v>
      </c>
      <c r="AJ174" s="320">
        <v>19.05</v>
      </c>
      <c r="AK174" s="320">
        <v>4.62</v>
      </c>
      <c r="AL174" s="320">
        <v>0.1294</v>
      </c>
      <c r="AM174" s="320">
        <v>20.95</v>
      </c>
      <c r="AN174" s="320">
        <v>77.01</v>
      </c>
      <c r="AO174" s="320">
        <v>82.55</v>
      </c>
      <c r="AP174" s="320">
        <v>17.29</v>
      </c>
    </row>
    <row r="175">
      <c r="A175" s="319" t="s">
        <v>256</v>
      </c>
      <c r="B175" s="328">
        <v>46078.0</v>
      </c>
      <c r="C175" s="319" t="s">
        <v>218</v>
      </c>
      <c r="D175" s="320">
        <v>607.0</v>
      </c>
      <c r="E175" s="320">
        <v>0.56</v>
      </c>
      <c r="F175" s="320">
        <v>0.0</v>
      </c>
      <c r="G175" s="320">
        <v>0.0</v>
      </c>
      <c r="H175" s="320">
        <v>0.0</v>
      </c>
      <c r="I175" s="329"/>
      <c r="J175" s="320">
        <v>250.64</v>
      </c>
      <c r="K175" s="320">
        <v>142.68</v>
      </c>
      <c r="L175" s="320">
        <v>119.03</v>
      </c>
      <c r="M175" s="320">
        <v>0.8342</v>
      </c>
      <c r="N175" s="320">
        <v>0.3224</v>
      </c>
      <c r="O175" s="320">
        <v>0.2318</v>
      </c>
      <c r="P175" s="320">
        <v>1.1988</v>
      </c>
      <c r="Q175" s="320">
        <v>421.66</v>
      </c>
      <c r="R175" s="320">
        <v>164.26</v>
      </c>
      <c r="S175" s="320">
        <v>257.41</v>
      </c>
      <c r="T175" s="320">
        <v>0.0</v>
      </c>
      <c r="U175" s="320">
        <v>421.66</v>
      </c>
      <c r="V175" s="320">
        <v>607.25</v>
      </c>
      <c r="W175" s="320">
        <v>4.2559</v>
      </c>
      <c r="X175" s="320">
        <v>0.0</v>
      </c>
      <c r="Y175" s="320">
        <v>716.0</v>
      </c>
      <c r="Z175" s="320">
        <v>3105.0</v>
      </c>
      <c r="AA175" s="320">
        <v>10340.0</v>
      </c>
      <c r="AB175" s="320">
        <v>63.2453</v>
      </c>
      <c r="AC175" s="320">
        <v>0.892</v>
      </c>
      <c r="AD175" s="320">
        <v>77.97</v>
      </c>
      <c r="AE175" s="320">
        <v>30.0</v>
      </c>
      <c r="AF175" s="320">
        <v>63.0</v>
      </c>
      <c r="AG175" s="320">
        <v>110.0</v>
      </c>
      <c r="AH175" s="320">
        <v>157.0</v>
      </c>
      <c r="AI175" s="320">
        <v>40.86</v>
      </c>
      <c r="AJ175" s="320">
        <v>6.26</v>
      </c>
      <c r="AK175" s="320">
        <v>0.82</v>
      </c>
      <c r="AL175" s="320">
        <v>0.0659</v>
      </c>
      <c r="AM175" s="320">
        <v>22.75</v>
      </c>
      <c r="AN175" s="320">
        <v>141.5</v>
      </c>
      <c r="AO175" s="320">
        <v>86.61</v>
      </c>
      <c r="AP175" s="320">
        <v>19.7</v>
      </c>
    </row>
    <row r="176">
      <c r="A176" s="319" t="s">
        <v>256</v>
      </c>
      <c r="B176" s="328">
        <v>46079.0</v>
      </c>
      <c r="C176" s="319" t="s">
        <v>257</v>
      </c>
      <c r="D176" s="320">
        <v>22108.0</v>
      </c>
      <c r="E176" s="320">
        <v>20.59</v>
      </c>
      <c r="F176" s="320">
        <v>0.0</v>
      </c>
      <c r="G176" s="320">
        <v>0.0</v>
      </c>
      <c r="H176" s="320">
        <v>0.0</v>
      </c>
      <c r="I176" s="329"/>
      <c r="J176" s="320">
        <v>6.49</v>
      </c>
      <c r="K176" s="320">
        <v>2.64</v>
      </c>
      <c r="L176" s="320">
        <v>0.02</v>
      </c>
      <c r="M176" s="320">
        <v>0.0067</v>
      </c>
      <c r="N176" s="320">
        <v>0.995</v>
      </c>
      <c r="O176" s="320">
        <v>0.925</v>
      </c>
      <c r="P176" s="320">
        <v>148.6565</v>
      </c>
      <c r="Q176" s="320">
        <v>22.51</v>
      </c>
      <c r="R176" s="320">
        <v>22.11</v>
      </c>
      <c r="S176" s="320">
        <v>0.4</v>
      </c>
      <c r="T176" s="320">
        <v>0.0</v>
      </c>
      <c r="U176" s="320">
        <v>22.51</v>
      </c>
      <c r="V176" s="320">
        <v>1.58</v>
      </c>
      <c r="W176" s="320">
        <v>0.5965</v>
      </c>
      <c r="X176" s="320">
        <v>0.0</v>
      </c>
      <c r="Y176" s="320">
        <v>273.0</v>
      </c>
      <c r="Z176" s="320">
        <v>3109.0</v>
      </c>
      <c r="AA176" s="320">
        <v>13808.0</v>
      </c>
      <c r="AB176" s="320">
        <v>48.8447</v>
      </c>
      <c r="AC176" s="320">
        <v>0.5353</v>
      </c>
      <c r="AD176" s="329"/>
      <c r="AE176" s="329"/>
      <c r="AF176" s="329"/>
      <c r="AG176" s="329"/>
      <c r="AH176" s="329"/>
      <c r="AI176" s="320">
        <v>0.0</v>
      </c>
      <c r="AJ176" s="320">
        <v>0.0</v>
      </c>
      <c r="AK176" s="320">
        <v>0.0</v>
      </c>
      <c r="AL176" s="320">
        <v>0.2857</v>
      </c>
      <c r="AM176" s="320">
        <v>16.12</v>
      </c>
      <c r="AN176" s="320">
        <v>5.99</v>
      </c>
      <c r="AO176" s="329"/>
      <c r="AP176" s="329"/>
    </row>
    <row r="177">
      <c r="A177" s="319" t="s">
        <v>256</v>
      </c>
      <c r="B177" s="328">
        <v>46079.0</v>
      </c>
      <c r="C177" s="319" t="s">
        <v>214</v>
      </c>
      <c r="D177" s="320">
        <v>39416.0</v>
      </c>
      <c r="E177" s="320">
        <v>36.71</v>
      </c>
      <c r="F177" s="320">
        <v>0.0</v>
      </c>
      <c r="G177" s="320">
        <v>0.0</v>
      </c>
      <c r="H177" s="320">
        <v>0.0</v>
      </c>
      <c r="I177" s="329"/>
      <c r="J177" s="320">
        <v>28.49</v>
      </c>
      <c r="K177" s="320">
        <v>12.82</v>
      </c>
      <c r="L177" s="320">
        <v>5.34</v>
      </c>
      <c r="M177" s="320">
        <v>0.4167</v>
      </c>
      <c r="N177" s="320">
        <v>0.76</v>
      </c>
      <c r="O177" s="320">
        <v>0.5705</v>
      </c>
      <c r="P177" s="320">
        <v>2.3998</v>
      </c>
      <c r="Q177" s="320">
        <v>46.94</v>
      </c>
      <c r="R177" s="320">
        <v>35.78</v>
      </c>
      <c r="S177" s="320">
        <v>11.17</v>
      </c>
      <c r="T177" s="320">
        <v>0.02</v>
      </c>
      <c r="U177" s="320">
        <v>46.92</v>
      </c>
      <c r="V177" s="320">
        <v>51.04</v>
      </c>
      <c r="W177" s="320">
        <v>3.98</v>
      </c>
      <c r="X177" s="320">
        <v>0.04</v>
      </c>
      <c r="Y177" s="320">
        <v>137.0</v>
      </c>
      <c r="Z177" s="320">
        <v>826.0</v>
      </c>
      <c r="AA177" s="320">
        <v>5809.0</v>
      </c>
      <c r="AB177" s="320">
        <v>48.5511</v>
      </c>
      <c r="AC177" s="320">
        <v>0.5257</v>
      </c>
      <c r="AD177" s="320">
        <v>3.84</v>
      </c>
      <c r="AE177" s="320">
        <v>1.0</v>
      </c>
      <c r="AF177" s="320">
        <v>2.0</v>
      </c>
      <c r="AG177" s="320">
        <v>5.0</v>
      </c>
      <c r="AH177" s="320">
        <v>9.0</v>
      </c>
      <c r="AI177" s="320">
        <v>70.84</v>
      </c>
      <c r="AJ177" s="320">
        <v>28.65</v>
      </c>
      <c r="AK177" s="320">
        <v>8.29</v>
      </c>
      <c r="AL177" s="320">
        <v>0.2531</v>
      </c>
      <c r="AM177" s="320">
        <v>19.71</v>
      </c>
      <c r="AN177" s="320">
        <v>16.06</v>
      </c>
      <c r="AO177" s="320">
        <v>66.25</v>
      </c>
      <c r="AP177" s="320">
        <v>13.06</v>
      </c>
    </row>
    <row r="178">
      <c r="A178" s="319" t="s">
        <v>256</v>
      </c>
      <c r="B178" s="328">
        <v>46079.0</v>
      </c>
      <c r="C178" s="319" t="s">
        <v>215</v>
      </c>
      <c r="D178" s="320">
        <v>26360.0</v>
      </c>
      <c r="E178" s="320">
        <v>24.55</v>
      </c>
      <c r="F178" s="320">
        <v>0.0</v>
      </c>
      <c r="G178" s="320">
        <v>0.0</v>
      </c>
      <c r="H178" s="320">
        <v>0.0</v>
      </c>
      <c r="I178" s="329"/>
      <c r="J178" s="320">
        <v>52.07</v>
      </c>
      <c r="K178" s="320">
        <v>24.54</v>
      </c>
      <c r="L178" s="320">
        <v>13.48</v>
      </c>
      <c r="M178" s="320">
        <v>0.5495</v>
      </c>
      <c r="N178" s="320">
        <v>0.6468</v>
      </c>
      <c r="O178" s="320">
        <v>0.4542</v>
      </c>
      <c r="P178" s="320">
        <v>1.8199</v>
      </c>
      <c r="Q178" s="320">
        <v>93.28</v>
      </c>
      <c r="R178" s="320">
        <v>66.0</v>
      </c>
      <c r="S178" s="320">
        <v>27.28</v>
      </c>
      <c r="T178" s="320">
        <v>0.26</v>
      </c>
      <c r="U178" s="320">
        <v>93.02</v>
      </c>
      <c r="V178" s="320">
        <v>94.28</v>
      </c>
      <c r="W178" s="320">
        <v>3.842</v>
      </c>
      <c r="X178" s="320">
        <v>0.28</v>
      </c>
      <c r="Y178" s="320">
        <v>124.0</v>
      </c>
      <c r="Z178" s="320">
        <v>707.0</v>
      </c>
      <c r="AA178" s="320">
        <v>5583.0</v>
      </c>
      <c r="AB178" s="320">
        <v>52.5119</v>
      </c>
      <c r="AC178" s="320">
        <v>0.6185</v>
      </c>
      <c r="AD178" s="320">
        <v>8.9</v>
      </c>
      <c r="AE178" s="320">
        <v>3.0</v>
      </c>
      <c r="AF178" s="320">
        <v>7.0</v>
      </c>
      <c r="AG178" s="320">
        <v>12.0</v>
      </c>
      <c r="AH178" s="320">
        <v>19.0</v>
      </c>
      <c r="AI178" s="320">
        <v>56.93</v>
      </c>
      <c r="AJ178" s="320">
        <v>23.69</v>
      </c>
      <c r="AK178" s="320">
        <v>4.28</v>
      </c>
      <c r="AL178" s="320">
        <v>0.1983</v>
      </c>
      <c r="AM178" s="320">
        <v>20.24</v>
      </c>
      <c r="AN178" s="320">
        <v>45.76</v>
      </c>
      <c r="AO178" s="320">
        <v>75.26</v>
      </c>
      <c r="AP178" s="320">
        <v>15.23</v>
      </c>
    </row>
    <row r="179">
      <c r="A179" s="319" t="s">
        <v>256</v>
      </c>
      <c r="B179" s="328">
        <v>46079.0</v>
      </c>
      <c r="C179" s="319" t="s">
        <v>216</v>
      </c>
      <c r="D179" s="320">
        <v>13496.0</v>
      </c>
      <c r="E179" s="320">
        <v>12.57</v>
      </c>
      <c r="F179" s="320">
        <v>0.0</v>
      </c>
      <c r="G179" s="320">
        <v>0.0</v>
      </c>
      <c r="H179" s="320">
        <v>0.0</v>
      </c>
      <c r="I179" s="329"/>
      <c r="J179" s="320">
        <v>74.03</v>
      </c>
      <c r="K179" s="320">
        <v>37.36</v>
      </c>
      <c r="L179" s="320">
        <v>25.6</v>
      </c>
      <c r="M179" s="320">
        <v>0.6853</v>
      </c>
      <c r="N179" s="320">
        <v>0.5106</v>
      </c>
      <c r="O179" s="320">
        <v>0.3583</v>
      </c>
      <c r="P179" s="320">
        <v>1.4591</v>
      </c>
      <c r="Q179" s="320">
        <v>177.19</v>
      </c>
      <c r="R179" s="320">
        <v>123.28</v>
      </c>
      <c r="S179" s="320">
        <v>53.92</v>
      </c>
      <c r="T179" s="320">
        <v>0.51</v>
      </c>
      <c r="U179" s="320">
        <v>176.68</v>
      </c>
      <c r="V179" s="320">
        <v>166.44</v>
      </c>
      <c r="W179" s="320">
        <v>4.4554</v>
      </c>
      <c r="X179" s="320">
        <v>0.29</v>
      </c>
      <c r="Y179" s="320">
        <v>155.0</v>
      </c>
      <c r="Z179" s="320">
        <v>1061.0</v>
      </c>
      <c r="AA179" s="320">
        <v>6479.0</v>
      </c>
      <c r="AB179" s="320">
        <v>56.1311</v>
      </c>
      <c r="AC179" s="320">
        <v>0.7397</v>
      </c>
      <c r="AD179" s="320">
        <v>17.62</v>
      </c>
      <c r="AE179" s="320">
        <v>7.0</v>
      </c>
      <c r="AF179" s="320">
        <v>14.0</v>
      </c>
      <c r="AG179" s="320">
        <v>24.0</v>
      </c>
      <c r="AH179" s="320">
        <v>37.0</v>
      </c>
      <c r="AI179" s="320">
        <v>59.22</v>
      </c>
      <c r="AJ179" s="320">
        <v>22.98</v>
      </c>
      <c r="AK179" s="320">
        <v>7.08</v>
      </c>
      <c r="AL179" s="320">
        <v>0.1854</v>
      </c>
      <c r="AM179" s="320">
        <v>19.45</v>
      </c>
      <c r="AN179" s="320">
        <v>103.83</v>
      </c>
      <c r="AO179" s="320">
        <v>78.14</v>
      </c>
      <c r="AP179" s="320">
        <v>15.2</v>
      </c>
    </row>
    <row r="180">
      <c r="A180" s="319" t="s">
        <v>256</v>
      </c>
      <c r="B180" s="328">
        <v>46079.0</v>
      </c>
      <c r="C180" s="319" t="s">
        <v>217</v>
      </c>
      <c r="D180" s="320">
        <v>5407.0</v>
      </c>
      <c r="E180" s="320">
        <v>5.04</v>
      </c>
      <c r="F180" s="320">
        <v>0.0</v>
      </c>
      <c r="G180" s="320">
        <v>0.0</v>
      </c>
      <c r="H180" s="320">
        <v>0.0</v>
      </c>
      <c r="I180" s="329"/>
      <c r="J180" s="320">
        <v>124.74</v>
      </c>
      <c r="K180" s="320">
        <v>67.68</v>
      </c>
      <c r="L180" s="320">
        <v>54.8</v>
      </c>
      <c r="M180" s="320">
        <v>0.8096</v>
      </c>
      <c r="N180" s="320">
        <v>0.3732</v>
      </c>
      <c r="O180" s="320">
        <v>0.2722</v>
      </c>
      <c r="P180" s="320">
        <v>1.2352</v>
      </c>
      <c r="Q180" s="320">
        <v>399.45</v>
      </c>
      <c r="R180" s="320">
        <v>283.51</v>
      </c>
      <c r="S180" s="320">
        <v>115.94</v>
      </c>
      <c r="T180" s="320">
        <v>0.02</v>
      </c>
      <c r="U180" s="320">
        <v>399.43</v>
      </c>
      <c r="V180" s="320">
        <v>329.67</v>
      </c>
      <c r="W180" s="320">
        <v>4.8706</v>
      </c>
      <c r="X180" s="320">
        <v>0.0</v>
      </c>
      <c r="Y180" s="320">
        <v>386.0</v>
      </c>
      <c r="Z180" s="320">
        <v>2719.0</v>
      </c>
      <c r="AA180" s="320">
        <v>10258.0</v>
      </c>
      <c r="AB180" s="320">
        <v>60.0395</v>
      </c>
      <c r="AC180" s="320">
        <v>0.8227</v>
      </c>
      <c r="AD180" s="320">
        <v>38.74</v>
      </c>
      <c r="AE180" s="320">
        <v>16.0</v>
      </c>
      <c r="AF180" s="320">
        <v>31.0</v>
      </c>
      <c r="AG180" s="320">
        <v>54.0</v>
      </c>
      <c r="AH180" s="320">
        <v>79.0</v>
      </c>
      <c r="AI180" s="320">
        <v>54.02</v>
      </c>
      <c r="AJ180" s="320">
        <v>20.07</v>
      </c>
      <c r="AK180" s="320">
        <v>4.77</v>
      </c>
      <c r="AL180" s="320">
        <v>0.1383</v>
      </c>
      <c r="AM180" s="320">
        <v>20.54</v>
      </c>
      <c r="AN180" s="320">
        <v>262.97</v>
      </c>
      <c r="AO180" s="320">
        <v>82.56</v>
      </c>
      <c r="AP180" s="320">
        <v>16.96</v>
      </c>
    </row>
    <row r="181">
      <c r="A181" s="319" t="s">
        <v>256</v>
      </c>
      <c r="B181" s="328">
        <v>46079.0</v>
      </c>
      <c r="C181" s="319" t="s">
        <v>218</v>
      </c>
      <c r="D181" s="320">
        <v>596.0</v>
      </c>
      <c r="E181" s="320">
        <v>0.56</v>
      </c>
      <c r="F181" s="320">
        <v>0.0</v>
      </c>
      <c r="G181" s="320">
        <v>0.0</v>
      </c>
      <c r="H181" s="320">
        <v>0.0</v>
      </c>
      <c r="I181" s="329"/>
      <c r="J181" s="320">
        <v>243.25</v>
      </c>
      <c r="K181" s="320">
        <v>138.45</v>
      </c>
      <c r="L181" s="320">
        <v>121.66</v>
      </c>
      <c r="M181" s="320">
        <v>0.8788</v>
      </c>
      <c r="N181" s="320">
        <v>0.2808</v>
      </c>
      <c r="O181" s="320">
        <v>0.2147</v>
      </c>
      <c r="P181" s="320">
        <v>1.138</v>
      </c>
      <c r="Q181" s="320">
        <v>841.39</v>
      </c>
      <c r="R181" s="320">
        <v>543.34</v>
      </c>
      <c r="S181" s="320">
        <v>298.05</v>
      </c>
      <c r="T181" s="320">
        <v>0.0</v>
      </c>
      <c r="U181" s="320">
        <v>841.39</v>
      </c>
      <c r="V181" s="320">
        <v>618.79</v>
      </c>
      <c r="W181" s="320">
        <v>4.4695</v>
      </c>
      <c r="X181" s="320">
        <v>0.0</v>
      </c>
      <c r="Y181" s="320">
        <v>924.0</v>
      </c>
      <c r="Z181" s="320">
        <v>3586.0</v>
      </c>
      <c r="AA181" s="320">
        <v>11377.0</v>
      </c>
      <c r="AB181" s="320">
        <v>63.1973</v>
      </c>
      <c r="AC181" s="320">
        <v>0.8795</v>
      </c>
      <c r="AD181" s="320">
        <v>84.18</v>
      </c>
      <c r="AE181" s="320">
        <v>37.0</v>
      </c>
      <c r="AF181" s="320">
        <v>68.0</v>
      </c>
      <c r="AG181" s="320">
        <v>112.0</v>
      </c>
      <c r="AH181" s="320">
        <v>162.0</v>
      </c>
      <c r="AI181" s="320">
        <v>44.46</v>
      </c>
      <c r="AJ181" s="320">
        <v>8.22</v>
      </c>
      <c r="AK181" s="320">
        <v>1.01</v>
      </c>
      <c r="AL181" s="320">
        <v>0.0889</v>
      </c>
      <c r="AM181" s="320">
        <v>22.62</v>
      </c>
      <c r="AN181" s="320">
        <v>520.72</v>
      </c>
      <c r="AO181" s="320">
        <v>85.74</v>
      </c>
      <c r="AP181" s="320">
        <v>19.39</v>
      </c>
    </row>
    <row r="182">
      <c r="A182" s="319" t="s">
        <v>256</v>
      </c>
      <c r="B182" s="328">
        <v>46080.0</v>
      </c>
      <c r="C182" s="319" t="s">
        <v>257</v>
      </c>
      <c r="D182" s="320">
        <v>20816.0</v>
      </c>
      <c r="E182" s="320">
        <v>19.79</v>
      </c>
      <c r="F182" s="320">
        <v>0.0</v>
      </c>
      <c r="G182" s="320">
        <v>0.0</v>
      </c>
      <c r="H182" s="320">
        <v>0.0</v>
      </c>
      <c r="I182" s="329"/>
      <c r="J182" s="320">
        <v>6.41</v>
      </c>
      <c r="K182" s="320">
        <v>2.59</v>
      </c>
      <c r="L182" s="320">
        <v>0.06</v>
      </c>
      <c r="M182" s="320">
        <v>0.0233</v>
      </c>
      <c r="N182" s="320">
        <v>0.9809</v>
      </c>
      <c r="O182" s="320">
        <v>0.7685</v>
      </c>
      <c r="P182" s="320">
        <v>42.9449</v>
      </c>
      <c r="Q182" s="320">
        <v>25.51</v>
      </c>
      <c r="R182" s="320">
        <v>25.39</v>
      </c>
      <c r="S182" s="320">
        <v>0.12</v>
      </c>
      <c r="T182" s="320">
        <v>0.0</v>
      </c>
      <c r="U182" s="320">
        <v>25.51</v>
      </c>
      <c r="V182" s="320">
        <v>1.83</v>
      </c>
      <c r="W182" s="320">
        <v>0.709</v>
      </c>
      <c r="X182" s="320">
        <v>0.0</v>
      </c>
      <c r="Y182" s="320">
        <v>340.0</v>
      </c>
      <c r="Z182" s="320">
        <v>3423.0</v>
      </c>
      <c r="AA182" s="320">
        <v>14427.0</v>
      </c>
      <c r="AB182" s="320">
        <v>49.0354</v>
      </c>
      <c r="AC182" s="320">
        <v>0.5394</v>
      </c>
      <c r="AD182" s="329"/>
      <c r="AE182" s="329"/>
      <c r="AF182" s="329"/>
      <c r="AG182" s="329"/>
      <c r="AH182" s="329"/>
      <c r="AI182" s="320">
        <v>0.0</v>
      </c>
      <c r="AJ182" s="320">
        <v>0.0</v>
      </c>
      <c r="AK182" s="320">
        <v>0.0</v>
      </c>
      <c r="AL182" s="320">
        <v>0.304</v>
      </c>
      <c r="AM182" s="320">
        <v>17.0</v>
      </c>
      <c r="AN182" s="320">
        <v>8.39</v>
      </c>
      <c r="AO182" s="329"/>
      <c r="AP182" s="329"/>
    </row>
    <row r="183">
      <c r="A183" s="319" t="s">
        <v>256</v>
      </c>
      <c r="B183" s="328">
        <v>46080.0</v>
      </c>
      <c r="C183" s="319" t="s">
        <v>214</v>
      </c>
      <c r="D183" s="320">
        <v>39732.0</v>
      </c>
      <c r="E183" s="320">
        <v>37.77</v>
      </c>
      <c r="F183" s="320">
        <v>0.0</v>
      </c>
      <c r="G183" s="320">
        <v>0.0</v>
      </c>
      <c r="H183" s="320">
        <v>0.0</v>
      </c>
      <c r="I183" s="329"/>
      <c r="J183" s="320">
        <v>31.5</v>
      </c>
      <c r="K183" s="320">
        <v>14.22</v>
      </c>
      <c r="L183" s="320">
        <v>5.72</v>
      </c>
      <c r="M183" s="320">
        <v>0.4018</v>
      </c>
      <c r="N183" s="320">
        <v>0.7677</v>
      </c>
      <c r="O183" s="320">
        <v>0.567</v>
      </c>
      <c r="P183" s="320">
        <v>2.4889</v>
      </c>
      <c r="Q183" s="320">
        <v>57.36</v>
      </c>
      <c r="R183" s="320">
        <v>45.54</v>
      </c>
      <c r="S183" s="320">
        <v>11.82</v>
      </c>
      <c r="T183" s="320">
        <v>0.09</v>
      </c>
      <c r="U183" s="320">
        <v>57.27</v>
      </c>
      <c r="V183" s="320">
        <v>54.98</v>
      </c>
      <c r="W183" s="320">
        <v>3.8656</v>
      </c>
      <c r="X183" s="320">
        <v>0.16</v>
      </c>
      <c r="Y183" s="320">
        <v>137.0</v>
      </c>
      <c r="Z183" s="320">
        <v>814.0</v>
      </c>
      <c r="AA183" s="320">
        <v>5613.0</v>
      </c>
      <c r="AB183" s="320">
        <v>48.4934</v>
      </c>
      <c r="AC183" s="320">
        <v>0.5245</v>
      </c>
      <c r="AD183" s="320">
        <v>3.94</v>
      </c>
      <c r="AE183" s="320">
        <v>1.0</v>
      </c>
      <c r="AF183" s="320">
        <v>3.0</v>
      </c>
      <c r="AG183" s="320">
        <v>5.0</v>
      </c>
      <c r="AH183" s="320">
        <v>9.0</v>
      </c>
      <c r="AI183" s="320">
        <v>72.77</v>
      </c>
      <c r="AJ183" s="320">
        <v>30.19</v>
      </c>
      <c r="AK183" s="320">
        <v>8.3</v>
      </c>
      <c r="AL183" s="320">
        <v>0.2641</v>
      </c>
      <c r="AM183" s="320">
        <v>20.29</v>
      </c>
      <c r="AN183" s="320">
        <v>25.25</v>
      </c>
      <c r="AO183" s="320">
        <v>66.06</v>
      </c>
      <c r="AP183" s="320">
        <v>13.4</v>
      </c>
    </row>
    <row r="184">
      <c r="A184" s="319" t="s">
        <v>256</v>
      </c>
      <c r="B184" s="328">
        <v>46080.0</v>
      </c>
      <c r="C184" s="319" t="s">
        <v>215</v>
      </c>
      <c r="D184" s="320">
        <v>25421.0</v>
      </c>
      <c r="E184" s="320">
        <v>24.17</v>
      </c>
      <c r="F184" s="320">
        <v>0.0</v>
      </c>
      <c r="G184" s="320">
        <v>0.0</v>
      </c>
      <c r="H184" s="320">
        <v>0.0</v>
      </c>
      <c r="I184" s="329"/>
      <c r="J184" s="320">
        <v>56.93</v>
      </c>
      <c r="K184" s="320">
        <v>27.01</v>
      </c>
      <c r="L184" s="320">
        <v>13.99</v>
      </c>
      <c r="M184" s="320">
        <v>0.518</v>
      </c>
      <c r="N184" s="320">
        <v>0.6693</v>
      </c>
      <c r="O184" s="320">
        <v>0.464</v>
      </c>
      <c r="P184" s="320">
        <v>1.9306</v>
      </c>
      <c r="Q184" s="320">
        <v>99.86</v>
      </c>
      <c r="R184" s="320">
        <v>70.59</v>
      </c>
      <c r="S184" s="320">
        <v>29.26</v>
      </c>
      <c r="T184" s="320">
        <v>0.65</v>
      </c>
      <c r="U184" s="320">
        <v>99.2</v>
      </c>
      <c r="V184" s="320">
        <v>99.88</v>
      </c>
      <c r="W184" s="320">
        <v>3.6979</v>
      </c>
      <c r="X184" s="320">
        <v>0.65</v>
      </c>
      <c r="Y184" s="320">
        <v>120.0</v>
      </c>
      <c r="Z184" s="320">
        <v>643.0</v>
      </c>
      <c r="AA184" s="320">
        <v>5043.0</v>
      </c>
      <c r="AB184" s="320">
        <v>52.4582</v>
      </c>
      <c r="AC184" s="320">
        <v>0.6258</v>
      </c>
      <c r="AD184" s="320">
        <v>9.29</v>
      </c>
      <c r="AE184" s="320">
        <v>3.0</v>
      </c>
      <c r="AF184" s="320">
        <v>7.0</v>
      </c>
      <c r="AG184" s="320">
        <v>13.0</v>
      </c>
      <c r="AH184" s="320">
        <v>19.0</v>
      </c>
      <c r="AI184" s="320">
        <v>59.92</v>
      </c>
      <c r="AJ184" s="320">
        <v>25.43</v>
      </c>
      <c r="AK184" s="320">
        <v>4.48</v>
      </c>
      <c r="AL184" s="320">
        <v>0.218</v>
      </c>
      <c r="AM184" s="320">
        <v>21.4</v>
      </c>
      <c r="AN184" s="320">
        <v>49.19</v>
      </c>
      <c r="AO184" s="320">
        <v>75.87</v>
      </c>
      <c r="AP184" s="320">
        <v>16.24</v>
      </c>
    </row>
    <row r="185">
      <c r="A185" s="319" t="s">
        <v>256</v>
      </c>
      <c r="B185" s="328">
        <v>46080.0</v>
      </c>
      <c r="C185" s="319" t="s">
        <v>216</v>
      </c>
      <c r="D185" s="320">
        <v>13370.0</v>
      </c>
      <c r="E185" s="320">
        <v>12.71</v>
      </c>
      <c r="F185" s="320">
        <v>0.0</v>
      </c>
      <c r="G185" s="320">
        <v>0.0</v>
      </c>
      <c r="H185" s="320">
        <v>0.0</v>
      </c>
      <c r="I185" s="329"/>
      <c r="J185" s="320">
        <v>81.47</v>
      </c>
      <c r="K185" s="320">
        <v>40.89</v>
      </c>
      <c r="L185" s="320">
        <v>26.61</v>
      </c>
      <c r="M185" s="320">
        <v>0.6508</v>
      </c>
      <c r="N185" s="320">
        <v>0.5365</v>
      </c>
      <c r="O185" s="320">
        <v>0.3671</v>
      </c>
      <c r="P185" s="320">
        <v>1.5366</v>
      </c>
      <c r="Q185" s="320">
        <v>158.12</v>
      </c>
      <c r="R185" s="320">
        <v>101.77</v>
      </c>
      <c r="S185" s="320">
        <v>56.34</v>
      </c>
      <c r="T185" s="320">
        <v>0.06</v>
      </c>
      <c r="U185" s="320">
        <v>158.06</v>
      </c>
      <c r="V185" s="320">
        <v>167.42</v>
      </c>
      <c r="W185" s="320">
        <v>4.0947</v>
      </c>
      <c r="X185" s="320">
        <v>0.04</v>
      </c>
      <c r="Y185" s="320">
        <v>149.0</v>
      </c>
      <c r="Z185" s="320">
        <v>1034.0</v>
      </c>
      <c r="AA185" s="320">
        <v>6743.0</v>
      </c>
      <c r="AB185" s="320">
        <v>56.0929</v>
      </c>
      <c r="AC185" s="320">
        <v>0.7399</v>
      </c>
      <c r="AD185" s="320">
        <v>17.76</v>
      </c>
      <c r="AE185" s="320">
        <v>7.0</v>
      </c>
      <c r="AF185" s="320">
        <v>14.0</v>
      </c>
      <c r="AG185" s="320">
        <v>24.0</v>
      </c>
      <c r="AH185" s="320">
        <v>37.0</v>
      </c>
      <c r="AI185" s="320">
        <v>60.59</v>
      </c>
      <c r="AJ185" s="320">
        <v>22.95</v>
      </c>
      <c r="AK185" s="320">
        <v>6.54</v>
      </c>
      <c r="AL185" s="320">
        <v>0.2104</v>
      </c>
      <c r="AM185" s="320">
        <v>21.14</v>
      </c>
      <c r="AN185" s="320">
        <v>80.64</v>
      </c>
      <c r="AO185" s="320">
        <v>78.11</v>
      </c>
      <c r="AP185" s="320">
        <v>16.51</v>
      </c>
    </row>
    <row r="186">
      <c r="A186" s="319" t="s">
        <v>256</v>
      </c>
      <c r="B186" s="328">
        <v>46080.0</v>
      </c>
      <c r="C186" s="319" t="s">
        <v>217</v>
      </c>
      <c r="D186" s="320">
        <v>5278.0</v>
      </c>
      <c r="E186" s="320">
        <v>5.02</v>
      </c>
      <c r="F186" s="320">
        <v>0.0</v>
      </c>
      <c r="G186" s="320">
        <v>0.0</v>
      </c>
      <c r="H186" s="320">
        <v>0.0</v>
      </c>
      <c r="I186" s="329"/>
      <c r="J186" s="320">
        <v>132.05</v>
      </c>
      <c r="K186" s="320">
        <v>70.93</v>
      </c>
      <c r="L186" s="320">
        <v>55.08</v>
      </c>
      <c r="M186" s="320">
        <v>0.7765</v>
      </c>
      <c r="N186" s="320">
        <v>0.3998</v>
      </c>
      <c r="O186" s="320">
        <v>0.2813</v>
      </c>
      <c r="P186" s="320">
        <v>1.2878</v>
      </c>
      <c r="Q186" s="320">
        <v>278.03</v>
      </c>
      <c r="R186" s="320">
        <v>161.64</v>
      </c>
      <c r="S186" s="320">
        <v>116.39</v>
      </c>
      <c r="T186" s="320">
        <v>0.53</v>
      </c>
      <c r="U186" s="320">
        <v>277.5</v>
      </c>
      <c r="V186" s="320">
        <v>307.78</v>
      </c>
      <c r="W186" s="320">
        <v>4.3391</v>
      </c>
      <c r="X186" s="320">
        <v>0.19</v>
      </c>
      <c r="Y186" s="320">
        <v>342.0</v>
      </c>
      <c r="Z186" s="320">
        <v>2758.0</v>
      </c>
      <c r="AA186" s="320">
        <v>9742.0</v>
      </c>
      <c r="AB186" s="320">
        <v>60.1426</v>
      </c>
      <c r="AC186" s="320">
        <v>0.8379</v>
      </c>
      <c r="AD186" s="320">
        <v>37.21</v>
      </c>
      <c r="AE186" s="320">
        <v>15.0</v>
      </c>
      <c r="AF186" s="320">
        <v>29.0</v>
      </c>
      <c r="AG186" s="320">
        <v>51.0</v>
      </c>
      <c r="AH186" s="320">
        <v>78.0</v>
      </c>
      <c r="AI186" s="320">
        <v>51.84</v>
      </c>
      <c r="AJ186" s="320">
        <v>18.95</v>
      </c>
      <c r="AK186" s="320">
        <v>4.72</v>
      </c>
      <c r="AL186" s="320">
        <v>0.1586</v>
      </c>
      <c r="AM186" s="320">
        <v>22.4</v>
      </c>
      <c r="AN186" s="320">
        <v>139.24</v>
      </c>
      <c r="AO186" s="320">
        <v>83.63</v>
      </c>
      <c r="AP186" s="320">
        <v>18.73</v>
      </c>
    </row>
    <row r="187">
      <c r="A187" s="319" t="s">
        <v>256</v>
      </c>
      <c r="B187" s="328">
        <v>46080.0</v>
      </c>
      <c r="C187" s="319" t="s">
        <v>218</v>
      </c>
      <c r="D187" s="320">
        <v>578.0</v>
      </c>
      <c r="E187" s="320">
        <v>0.55</v>
      </c>
      <c r="F187" s="320">
        <v>0.0</v>
      </c>
      <c r="G187" s="320">
        <v>0.0</v>
      </c>
      <c r="H187" s="320">
        <v>0.0</v>
      </c>
      <c r="I187" s="329"/>
      <c r="J187" s="320">
        <v>255.06</v>
      </c>
      <c r="K187" s="320">
        <v>142.91</v>
      </c>
      <c r="L187" s="320">
        <v>123.02</v>
      </c>
      <c r="M187" s="320">
        <v>0.8608</v>
      </c>
      <c r="N187" s="320">
        <v>0.2932</v>
      </c>
      <c r="O187" s="320">
        <v>0.2163</v>
      </c>
      <c r="P187" s="320">
        <v>1.1617</v>
      </c>
      <c r="Q187" s="320">
        <v>588.51</v>
      </c>
      <c r="R187" s="320">
        <v>326.02</v>
      </c>
      <c r="S187" s="320">
        <v>262.48</v>
      </c>
      <c r="T187" s="320">
        <v>0.0</v>
      </c>
      <c r="U187" s="320">
        <v>588.51</v>
      </c>
      <c r="V187" s="320">
        <v>628.11</v>
      </c>
      <c r="W187" s="320">
        <v>4.3952</v>
      </c>
      <c r="X187" s="320">
        <v>0.0</v>
      </c>
      <c r="Y187" s="320">
        <v>759.0</v>
      </c>
      <c r="Z187" s="320">
        <v>3319.0</v>
      </c>
      <c r="AA187" s="320">
        <v>11316.0</v>
      </c>
      <c r="AB187" s="320">
        <v>63.5762</v>
      </c>
      <c r="AC187" s="320">
        <v>0.9028</v>
      </c>
      <c r="AD187" s="320">
        <v>83.55</v>
      </c>
      <c r="AE187" s="320">
        <v>31.0</v>
      </c>
      <c r="AF187" s="320">
        <v>66.0</v>
      </c>
      <c r="AG187" s="320">
        <v>119.0</v>
      </c>
      <c r="AH187" s="320">
        <v>168.0</v>
      </c>
      <c r="AI187" s="320">
        <v>43.43</v>
      </c>
      <c r="AJ187" s="320">
        <v>8.65</v>
      </c>
      <c r="AK187" s="320">
        <v>0.87</v>
      </c>
      <c r="AL187" s="320">
        <v>0.1107</v>
      </c>
      <c r="AM187" s="320">
        <v>26.76</v>
      </c>
      <c r="AN187" s="320">
        <v>299.26</v>
      </c>
      <c r="AO187" s="320">
        <v>85.1</v>
      </c>
      <c r="AP187" s="320">
        <v>22.77</v>
      </c>
    </row>
    <row r="188">
      <c r="A188" s="319" t="s">
        <v>256</v>
      </c>
      <c r="B188" s="328">
        <v>46081.0</v>
      </c>
      <c r="C188" s="319" t="s">
        <v>257</v>
      </c>
      <c r="D188" s="320">
        <v>20768.0</v>
      </c>
      <c r="E188" s="320">
        <v>20.15</v>
      </c>
      <c r="F188" s="320">
        <v>0.0</v>
      </c>
      <c r="G188" s="320">
        <v>0.0</v>
      </c>
      <c r="H188" s="320">
        <v>0.0</v>
      </c>
      <c r="I188" s="329"/>
      <c r="J188" s="320">
        <v>6.34</v>
      </c>
      <c r="K188" s="320">
        <v>2.57</v>
      </c>
      <c r="L188" s="320">
        <v>0.02</v>
      </c>
      <c r="M188" s="320">
        <v>0.0061</v>
      </c>
      <c r="N188" s="320">
        <v>0.9957</v>
      </c>
      <c r="O188" s="320">
        <v>0.9427</v>
      </c>
      <c r="P188" s="320">
        <v>163.3639</v>
      </c>
      <c r="Q188" s="320">
        <v>24.44</v>
      </c>
      <c r="R188" s="320">
        <v>24.33</v>
      </c>
      <c r="S188" s="320">
        <v>0.11</v>
      </c>
      <c r="T188" s="320">
        <v>0.0</v>
      </c>
      <c r="U188" s="320">
        <v>24.44</v>
      </c>
      <c r="V188" s="320">
        <v>1.82</v>
      </c>
      <c r="W188" s="320">
        <v>0.7076</v>
      </c>
      <c r="X188" s="320">
        <v>0.0</v>
      </c>
      <c r="Y188" s="320">
        <v>277.0</v>
      </c>
      <c r="Z188" s="320">
        <v>3198.0</v>
      </c>
      <c r="AA188" s="320">
        <v>13625.0</v>
      </c>
      <c r="AB188" s="320">
        <v>48.7672</v>
      </c>
      <c r="AC188" s="320">
        <v>0.5279</v>
      </c>
      <c r="AD188" s="329"/>
      <c r="AE188" s="329"/>
      <c r="AF188" s="329"/>
      <c r="AG188" s="329"/>
      <c r="AH188" s="329"/>
      <c r="AI188" s="320">
        <v>0.0</v>
      </c>
      <c r="AJ188" s="320">
        <v>0.0</v>
      </c>
      <c r="AK188" s="320">
        <v>0.0</v>
      </c>
      <c r="AL188" s="320">
        <v>0.2966</v>
      </c>
      <c r="AM188" s="320">
        <v>18.41</v>
      </c>
      <c r="AN188" s="320">
        <v>5.92</v>
      </c>
      <c r="AO188" s="329"/>
      <c r="AP188" s="329"/>
    </row>
    <row r="189">
      <c r="A189" s="319" t="s">
        <v>256</v>
      </c>
      <c r="B189" s="328">
        <v>46081.0</v>
      </c>
      <c r="C189" s="319" t="s">
        <v>214</v>
      </c>
      <c r="D189" s="320">
        <v>38629.0</v>
      </c>
      <c r="E189" s="320">
        <v>37.49</v>
      </c>
      <c r="F189" s="320">
        <v>0.0</v>
      </c>
      <c r="G189" s="320">
        <v>0.0</v>
      </c>
      <c r="H189" s="320">
        <v>0.0</v>
      </c>
      <c r="I189" s="329"/>
      <c r="J189" s="320">
        <v>30.45</v>
      </c>
      <c r="K189" s="320">
        <v>13.75</v>
      </c>
      <c r="L189" s="320">
        <v>5.77</v>
      </c>
      <c r="M189" s="320">
        <v>0.4198</v>
      </c>
      <c r="N189" s="320">
        <v>0.7545</v>
      </c>
      <c r="O189" s="320">
        <v>0.5591</v>
      </c>
      <c r="P189" s="320">
        <v>2.3822</v>
      </c>
      <c r="Q189" s="320">
        <v>53.09</v>
      </c>
      <c r="R189" s="320">
        <v>41.19</v>
      </c>
      <c r="S189" s="320">
        <v>11.91</v>
      </c>
      <c r="T189" s="320">
        <v>0.01</v>
      </c>
      <c r="U189" s="320">
        <v>53.08</v>
      </c>
      <c r="V189" s="320">
        <v>55.46</v>
      </c>
      <c r="W189" s="320">
        <v>4.0331</v>
      </c>
      <c r="X189" s="320">
        <v>0.02</v>
      </c>
      <c r="Y189" s="320">
        <v>140.0</v>
      </c>
      <c r="Z189" s="320">
        <v>866.0</v>
      </c>
      <c r="AA189" s="320">
        <v>5836.0</v>
      </c>
      <c r="AB189" s="320">
        <v>48.5742</v>
      </c>
      <c r="AC189" s="320">
        <v>0.5289</v>
      </c>
      <c r="AD189" s="320">
        <v>4.03</v>
      </c>
      <c r="AE189" s="320">
        <v>1.0</v>
      </c>
      <c r="AF189" s="320">
        <v>3.0</v>
      </c>
      <c r="AG189" s="320">
        <v>5.0</v>
      </c>
      <c r="AH189" s="320">
        <v>9.0</v>
      </c>
      <c r="AI189" s="320">
        <v>72.17</v>
      </c>
      <c r="AJ189" s="320">
        <v>30.86</v>
      </c>
      <c r="AK189" s="320">
        <v>9.07</v>
      </c>
      <c r="AL189" s="320">
        <v>0.2547</v>
      </c>
      <c r="AM189" s="320">
        <v>22.04</v>
      </c>
      <c r="AN189" s="320">
        <v>19.15</v>
      </c>
      <c r="AO189" s="320">
        <v>65.8</v>
      </c>
      <c r="AP189" s="320">
        <v>14.5</v>
      </c>
    </row>
    <row r="190">
      <c r="A190" s="319" t="s">
        <v>256</v>
      </c>
      <c r="B190" s="328">
        <v>46081.0</v>
      </c>
      <c r="C190" s="319" t="s">
        <v>215</v>
      </c>
      <c r="D190" s="320">
        <v>24863.0</v>
      </c>
      <c r="E190" s="320">
        <v>24.13</v>
      </c>
      <c r="F190" s="320">
        <v>0.0</v>
      </c>
      <c r="G190" s="320">
        <v>0.0</v>
      </c>
      <c r="H190" s="320">
        <v>0.0</v>
      </c>
      <c r="I190" s="329"/>
      <c r="J190" s="320">
        <v>54.83</v>
      </c>
      <c r="K190" s="320">
        <v>25.84</v>
      </c>
      <c r="L190" s="320">
        <v>13.84</v>
      </c>
      <c r="M190" s="320">
        <v>0.5355</v>
      </c>
      <c r="N190" s="320">
        <v>0.6571</v>
      </c>
      <c r="O190" s="320">
        <v>0.4596</v>
      </c>
      <c r="P190" s="320">
        <v>1.8675</v>
      </c>
      <c r="Q190" s="320">
        <v>96.13</v>
      </c>
      <c r="R190" s="320">
        <v>67.22</v>
      </c>
      <c r="S190" s="320">
        <v>28.91</v>
      </c>
      <c r="T190" s="320">
        <v>0.23</v>
      </c>
      <c r="U190" s="320">
        <v>95.89</v>
      </c>
      <c r="V190" s="320">
        <v>100.42</v>
      </c>
      <c r="W190" s="320">
        <v>3.886</v>
      </c>
      <c r="X190" s="320">
        <v>0.24</v>
      </c>
      <c r="Y190" s="320">
        <v>121.0</v>
      </c>
      <c r="Z190" s="320">
        <v>675.0</v>
      </c>
      <c r="AA190" s="320">
        <v>5423.0</v>
      </c>
      <c r="AB190" s="320">
        <v>52.4413</v>
      </c>
      <c r="AC190" s="320">
        <v>0.6316</v>
      </c>
      <c r="AD190" s="320">
        <v>9.38</v>
      </c>
      <c r="AE190" s="320">
        <v>4.0</v>
      </c>
      <c r="AF190" s="320">
        <v>7.0</v>
      </c>
      <c r="AG190" s="320">
        <v>12.0</v>
      </c>
      <c r="AH190" s="320">
        <v>20.0</v>
      </c>
      <c r="AI190" s="320">
        <v>59.92</v>
      </c>
      <c r="AJ190" s="320">
        <v>25.66</v>
      </c>
      <c r="AK190" s="320">
        <v>4.74</v>
      </c>
      <c r="AL190" s="320">
        <v>0.2056</v>
      </c>
      <c r="AM190" s="320">
        <v>23.07</v>
      </c>
      <c r="AN190" s="320">
        <v>44.15</v>
      </c>
      <c r="AO190" s="320">
        <v>75.31</v>
      </c>
      <c r="AP190" s="320">
        <v>17.37</v>
      </c>
    </row>
    <row r="191">
      <c r="A191" s="319" t="s">
        <v>256</v>
      </c>
      <c r="B191" s="328">
        <v>46081.0</v>
      </c>
      <c r="C191" s="319" t="s">
        <v>216</v>
      </c>
      <c r="D191" s="320">
        <v>12990.0</v>
      </c>
      <c r="E191" s="320">
        <v>12.61</v>
      </c>
      <c r="F191" s="320">
        <v>0.0</v>
      </c>
      <c r="G191" s="320">
        <v>0.0</v>
      </c>
      <c r="H191" s="320">
        <v>0.0</v>
      </c>
      <c r="I191" s="329"/>
      <c r="J191" s="320">
        <v>78.5</v>
      </c>
      <c r="K191" s="320">
        <v>39.42</v>
      </c>
      <c r="L191" s="320">
        <v>26.37</v>
      </c>
      <c r="M191" s="320">
        <v>0.669</v>
      </c>
      <c r="N191" s="320">
        <v>0.5244</v>
      </c>
      <c r="O191" s="320">
        <v>0.3653</v>
      </c>
      <c r="P191" s="320">
        <v>1.4947</v>
      </c>
      <c r="Q191" s="320">
        <v>164.85</v>
      </c>
      <c r="R191" s="320">
        <v>109.15</v>
      </c>
      <c r="S191" s="320">
        <v>55.7</v>
      </c>
      <c r="T191" s="320">
        <v>0.45</v>
      </c>
      <c r="U191" s="320">
        <v>164.4</v>
      </c>
      <c r="V191" s="320">
        <v>169.15</v>
      </c>
      <c r="W191" s="320">
        <v>4.2906</v>
      </c>
      <c r="X191" s="320">
        <v>0.27</v>
      </c>
      <c r="Y191" s="320">
        <v>159.0</v>
      </c>
      <c r="Z191" s="320">
        <v>1070.0</v>
      </c>
      <c r="AA191" s="320">
        <v>6735.0</v>
      </c>
      <c r="AB191" s="320">
        <v>56.0937</v>
      </c>
      <c r="AC191" s="320">
        <v>0.7429</v>
      </c>
      <c r="AD191" s="320">
        <v>17.88</v>
      </c>
      <c r="AE191" s="320">
        <v>7.0</v>
      </c>
      <c r="AF191" s="320">
        <v>14.0</v>
      </c>
      <c r="AG191" s="320">
        <v>24.0</v>
      </c>
      <c r="AH191" s="320">
        <v>37.0</v>
      </c>
      <c r="AI191" s="320">
        <v>60.12</v>
      </c>
      <c r="AJ191" s="320">
        <v>23.18</v>
      </c>
      <c r="AK191" s="320">
        <v>7.11</v>
      </c>
      <c r="AL191" s="320">
        <v>0.1941</v>
      </c>
      <c r="AM191" s="320">
        <v>22.78</v>
      </c>
      <c r="AN191" s="320">
        <v>86.37</v>
      </c>
      <c r="AO191" s="320">
        <v>77.32</v>
      </c>
      <c r="AP191" s="320">
        <v>17.61</v>
      </c>
    </row>
    <row r="192">
      <c r="A192" s="319" t="s">
        <v>256</v>
      </c>
      <c r="B192" s="328">
        <v>46081.0</v>
      </c>
      <c r="C192" s="319" t="s">
        <v>217</v>
      </c>
      <c r="D192" s="320">
        <v>5243.0</v>
      </c>
      <c r="E192" s="320">
        <v>5.09</v>
      </c>
      <c r="F192" s="320">
        <v>0.0</v>
      </c>
      <c r="G192" s="320">
        <v>0.0</v>
      </c>
      <c r="H192" s="320">
        <v>0.0</v>
      </c>
      <c r="I192" s="329"/>
      <c r="J192" s="320">
        <v>125.74</v>
      </c>
      <c r="K192" s="320">
        <v>67.87</v>
      </c>
      <c r="L192" s="320">
        <v>54.71</v>
      </c>
      <c r="M192" s="320">
        <v>0.8061</v>
      </c>
      <c r="N192" s="320">
        <v>0.3739</v>
      </c>
      <c r="O192" s="320">
        <v>0.2713</v>
      </c>
      <c r="P192" s="320">
        <v>1.2405</v>
      </c>
      <c r="Q192" s="320">
        <v>322.64</v>
      </c>
      <c r="R192" s="320">
        <v>207.01</v>
      </c>
      <c r="S192" s="320">
        <v>115.63</v>
      </c>
      <c r="T192" s="320">
        <v>0.14</v>
      </c>
      <c r="U192" s="320">
        <v>322.5</v>
      </c>
      <c r="V192" s="320">
        <v>327.46</v>
      </c>
      <c r="W192" s="320">
        <v>4.8251</v>
      </c>
      <c r="X192" s="320">
        <v>0.04</v>
      </c>
      <c r="Y192" s="320">
        <v>335.0</v>
      </c>
      <c r="Z192" s="320">
        <v>2602.0</v>
      </c>
      <c r="AA192" s="320">
        <v>9892.0</v>
      </c>
      <c r="AB192" s="320">
        <v>60.2183</v>
      </c>
      <c r="AC192" s="320">
        <v>0.8367</v>
      </c>
      <c r="AD192" s="320">
        <v>38.26</v>
      </c>
      <c r="AE192" s="320">
        <v>15.0</v>
      </c>
      <c r="AF192" s="320">
        <v>30.0</v>
      </c>
      <c r="AG192" s="320">
        <v>53.0</v>
      </c>
      <c r="AH192" s="320">
        <v>80.0</v>
      </c>
      <c r="AI192" s="320">
        <v>53.16</v>
      </c>
      <c r="AJ192" s="320">
        <v>20.33</v>
      </c>
      <c r="AK192" s="320">
        <v>5.05</v>
      </c>
      <c r="AL192" s="320">
        <v>0.1543</v>
      </c>
      <c r="AM192" s="320">
        <v>23.28</v>
      </c>
      <c r="AN192" s="320">
        <v>183.73</v>
      </c>
      <c r="AO192" s="320">
        <v>81.97</v>
      </c>
      <c r="AP192" s="320">
        <v>19.08</v>
      </c>
    </row>
    <row r="193">
      <c r="A193" s="319" t="s">
        <v>256</v>
      </c>
      <c r="B193" s="328">
        <v>46081.0</v>
      </c>
      <c r="C193" s="319" t="s">
        <v>218</v>
      </c>
      <c r="D193" s="320">
        <v>551.0</v>
      </c>
      <c r="E193" s="320">
        <v>0.53</v>
      </c>
      <c r="F193" s="320">
        <v>0.0</v>
      </c>
      <c r="G193" s="320">
        <v>0.0</v>
      </c>
      <c r="H193" s="320">
        <v>0.0</v>
      </c>
      <c r="I193" s="329"/>
      <c r="J193" s="320">
        <v>232.97</v>
      </c>
      <c r="K193" s="320">
        <v>132.58</v>
      </c>
      <c r="L193" s="320">
        <v>116.42</v>
      </c>
      <c r="M193" s="320">
        <v>0.8781</v>
      </c>
      <c r="N193" s="320">
        <v>0.2836</v>
      </c>
      <c r="O193" s="320">
        <v>0.217</v>
      </c>
      <c r="P193" s="320">
        <v>1.1388</v>
      </c>
      <c r="Q193" s="320">
        <v>620.18</v>
      </c>
      <c r="R193" s="320">
        <v>368.32</v>
      </c>
      <c r="S193" s="320">
        <v>251.86</v>
      </c>
      <c r="T193" s="320">
        <v>0.0</v>
      </c>
      <c r="U193" s="320">
        <v>620.18</v>
      </c>
      <c r="V193" s="320">
        <v>567.33</v>
      </c>
      <c r="W193" s="320">
        <v>4.2791</v>
      </c>
      <c r="X193" s="320">
        <v>0.0</v>
      </c>
      <c r="Y193" s="320">
        <v>906.0</v>
      </c>
      <c r="Z193" s="320">
        <v>3894.0</v>
      </c>
      <c r="AA193" s="320">
        <v>10766.0</v>
      </c>
      <c r="AB193" s="320">
        <v>63.2114</v>
      </c>
      <c r="AC193" s="320">
        <v>0.8895</v>
      </c>
      <c r="AD193" s="320">
        <v>80.75</v>
      </c>
      <c r="AE193" s="320">
        <v>30.0</v>
      </c>
      <c r="AF193" s="320">
        <v>61.0</v>
      </c>
      <c r="AG193" s="320">
        <v>109.0</v>
      </c>
      <c r="AH193" s="320">
        <v>168.0</v>
      </c>
      <c r="AI193" s="320">
        <v>41.02</v>
      </c>
      <c r="AJ193" s="320">
        <v>8.53</v>
      </c>
      <c r="AK193" s="320">
        <v>1.09</v>
      </c>
      <c r="AL193" s="320">
        <v>0.0962</v>
      </c>
      <c r="AM193" s="320">
        <v>23.23</v>
      </c>
      <c r="AN193" s="320">
        <v>345.09</v>
      </c>
      <c r="AO193" s="320">
        <v>83.8</v>
      </c>
      <c r="AP193" s="320">
        <v>19.47</v>
      </c>
    </row>
    <row r="194">
      <c r="A194" s="319" t="s">
        <v>256</v>
      </c>
      <c r="B194" s="328">
        <v>46082.0</v>
      </c>
      <c r="C194" s="319" t="s">
        <v>257</v>
      </c>
      <c r="D194" s="320">
        <v>20931.0</v>
      </c>
      <c r="E194" s="320">
        <v>20.2</v>
      </c>
      <c r="F194" s="320">
        <v>0.0</v>
      </c>
      <c r="G194" s="320">
        <v>0.0</v>
      </c>
      <c r="H194" s="320">
        <v>0.0</v>
      </c>
      <c r="I194" s="329"/>
      <c r="J194" s="320">
        <v>6.48</v>
      </c>
      <c r="K194" s="320">
        <v>2.64</v>
      </c>
      <c r="L194" s="320">
        <v>0.04</v>
      </c>
      <c r="M194" s="320">
        <v>0.0154</v>
      </c>
      <c r="N194" s="320">
        <v>0.9875</v>
      </c>
      <c r="O194" s="320">
        <v>0.8339</v>
      </c>
      <c r="P194" s="320">
        <v>64.9284</v>
      </c>
      <c r="Q194" s="320">
        <v>22.54</v>
      </c>
      <c r="R194" s="320">
        <v>22.43</v>
      </c>
      <c r="S194" s="320">
        <v>0.11</v>
      </c>
      <c r="T194" s="320">
        <v>0.0</v>
      </c>
      <c r="U194" s="320">
        <v>22.54</v>
      </c>
      <c r="V194" s="320">
        <v>1.73</v>
      </c>
      <c r="W194" s="320">
        <v>0.6553</v>
      </c>
      <c r="X194" s="320">
        <v>0.0</v>
      </c>
      <c r="Y194" s="320">
        <v>284.0</v>
      </c>
      <c r="Z194" s="320">
        <v>3514.0</v>
      </c>
      <c r="AA194" s="320">
        <v>14411.0</v>
      </c>
      <c r="AB194" s="320">
        <v>49.0494</v>
      </c>
      <c r="AC194" s="320">
        <v>0.5422</v>
      </c>
      <c r="AD194" s="329"/>
      <c r="AE194" s="329"/>
      <c r="AF194" s="329"/>
      <c r="AG194" s="329"/>
      <c r="AH194" s="329"/>
      <c r="AI194" s="320">
        <v>0.0</v>
      </c>
      <c r="AJ194" s="320">
        <v>0.0</v>
      </c>
      <c r="AK194" s="320">
        <v>0.0</v>
      </c>
      <c r="AL194" s="320">
        <v>0.2924</v>
      </c>
      <c r="AM194" s="320">
        <v>18.43</v>
      </c>
      <c r="AN194" s="320">
        <v>3.99</v>
      </c>
      <c r="AO194" s="329"/>
      <c r="AP194" s="329"/>
    </row>
    <row r="195">
      <c r="A195" s="319" t="s">
        <v>256</v>
      </c>
      <c r="B195" s="328">
        <v>46082.0</v>
      </c>
      <c r="C195" s="319" t="s">
        <v>214</v>
      </c>
      <c r="D195" s="320">
        <v>38947.0</v>
      </c>
      <c r="E195" s="320">
        <v>37.58</v>
      </c>
      <c r="F195" s="320">
        <v>0.0</v>
      </c>
      <c r="G195" s="320">
        <v>0.0</v>
      </c>
      <c r="H195" s="320">
        <v>0.0</v>
      </c>
      <c r="I195" s="329"/>
      <c r="J195" s="320">
        <v>32.85</v>
      </c>
      <c r="K195" s="320">
        <v>15.09</v>
      </c>
      <c r="L195" s="320">
        <v>5.78</v>
      </c>
      <c r="M195" s="320">
        <v>0.383</v>
      </c>
      <c r="N195" s="320">
        <v>0.7805</v>
      </c>
      <c r="O195" s="320">
        <v>0.5785</v>
      </c>
      <c r="P195" s="320">
        <v>2.6111</v>
      </c>
      <c r="Q195" s="320">
        <v>48.07</v>
      </c>
      <c r="R195" s="320">
        <v>36.01</v>
      </c>
      <c r="S195" s="320">
        <v>12.06</v>
      </c>
      <c r="T195" s="320">
        <v>0.04</v>
      </c>
      <c r="U195" s="320">
        <v>48.03</v>
      </c>
      <c r="V195" s="320">
        <v>54.34</v>
      </c>
      <c r="W195" s="320">
        <v>3.6019</v>
      </c>
      <c r="X195" s="320">
        <v>0.08</v>
      </c>
      <c r="Y195" s="320">
        <v>127.0</v>
      </c>
      <c r="Z195" s="320">
        <v>814.0</v>
      </c>
      <c r="AA195" s="320">
        <v>5714.0</v>
      </c>
      <c r="AB195" s="320">
        <v>48.4596</v>
      </c>
      <c r="AC195" s="320">
        <v>0.523</v>
      </c>
      <c r="AD195" s="320">
        <v>3.94</v>
      </c>
      <c r="AE195" s="320">
        <v>1.0</v>
      </c>
      <c r="AF195" s="320">
        <v>3.0</v>
      </c>
      <c r="AG195" s="320">
        <v>5.0</v>
      </c>
      <c r="AH195" s="320">
        <v>9.0</v>
      </c>
      <c r="AI195" s="320">
        <v>73.0</v>
      </c>
      <c r="AJ195" s="320">
        <v>29.84</v>
      </c>
      <c r="AK195" s="320">
        <v>7.9</v>
      </c>
      <c r="AL195" s="320">
        <v>0.2601</v>
      </c>
      <c r="AM195" s="320">
        <v>21.08</v>
      </c>
      <c r="AN195" s="320">
        <v>14.93</v>
      </c>
      <c r="AO195" s="320">
        <v>65.52</v>
      </c>
      <c r="AP195" s="320">
        <v>13.81</v>
      </c>
    </row>
    <row r="196">
      <c r="A196" s="319" t="s">
        <v>256</v>
      </c>
      <c r="B196" s="328">
        <v>46082.0</v>
      </c>
      <c r="C196" s="319" t="s">
        <v>215</v>
      </c>
      <c r="D196" s="320">
        <v>24752.0</v>
      </c>
      <c r="E196" s="320">
        <v>23.89</v>
      </c>
      <c r="F196" s="320">
        <v>0.0</v>
      </c>
      <c r="G196" s="320">
        <v>0.0</v>
      </c>
      <c r="H196" s="320">
        <v>0.0</v>
      </c>
      <c r="I196" s="329"/>
      <c r="J196" s="320">
        <v>58.93</v>
      </c>
      <c r="K196" s="320">
        <v>28.15</v>
      </c>
      <c r="L196" s="320">
        <v>14.16</v>
      </c>
      <c r="M196" s="320">
        <v>0.503</v>
      </c>
      <c r="N196" s="320">
        <v>0.6798</v>
      </c>
      <c r="O196" s="320">
        <v>0.4719</v>
      </c>
      <c r="P196" s="320">
        <v>1.988</v>
      </c>
      <c r="Q196" s="320">
        <v>81.74</v>
      </c>
      <c r="R196" s="320">
        <v>51.98</v>
      </c>
      <c r="S196" s="320">
        <v>29.76</v>
      </c>
      <c r="T196" s="320">
        <v>0.68</v>
      </c>
      <c r="U196" s="320">
        <v>81.06</v>
      </c>
      <c r="V196" s="320">
        <v>95.65</v>
      </c>
      <c r="W196" s="320">
        <v>3.3982</v>
      </c>
      <c r="X196" s="320">
        <v>0.83</v>
      </c>
      <c r="Y196" s="320">
        <v>110.0</v>
      </c>
      <c r="Z196" s="320">
        <v>679.0</v>
      </c>
      <c r="AA196" s="320">
        <v>5231.0</v>
      </c>
      <c r="AB196" s="320">
        <v>52.4342</v>
      </c>
      <c r="AC196" s="320">
        <v>0.63</v>
      </c>
      <c r="AD196" s="320">
        <v>9.31</v>
      </c>
      <c r="AE196" s="320">
        <v>4.0</v>
      </c>
      <c r="AF196" s="320">
        <v>7.0</v>
      </c>
      <c r="AG196" s="320">
        <v>13.0</v>
      </c>
      <c r="AH196" s="320">
        <v>19.0</v>
      </c>
      <c r="AI196" s="320">
        <v>59.67</v>
      </c>
      <c r="AJ196" s="320">
        <v>25.07</v>
      </c>
      <c r="AK196" s="320">
        <v>4.72</v>
      </c>
      <c r="AL196" s="320">
        <v>0.2128</v>
      </c>
      <c r="AM196" s="320">
        <v>21.77</v>
      </c>
      <c r="AN196" s="320">
        <v>30.21</v>
      </c>
      <c r="AO196" s="320">
        <v>75.14</v>
      </c>
      <c r="AP196" s="320">
        <v>16.36</v>
      </c>
    </row>
    <row r="197">
      <c r="A197" s="319" t="s">
        <v>256</v>
      </c>
      <c r="B197" s="328">
        <v>46082.0</v>
      </c>
      <c r="C197" s="319" t="s">
        <v>216</v>
      </c>
      <c r="D197" s="320">
        <v>13109.0</v>
      </c>
      <c r="E197" s="320">
        <v>12.65</v>
      </c>
      <c r="F197" s="320">
        <v>0.0</v>
      </c>
      <c r="G197" s="320">
        <v>0.0</v>
      </c>
      <c r="H197" s="320">
        <v>0.0</v>
      </c>
      <c r="I197" s="329"/>
      <c r="J197" s="320">
        <v>84.84</v>
      </c>
      <c r="K197" s="320">
        <v>42.86</v>
      </c>
      <c r="L197" s="320">
        <v>27.76</v>
      </c>
      <c r="M197" s="320">
        <v>0.6478</v>
      </c>
      <c r="N197" s="320">
        <v>0.5408</v>
      </c>
      <c r="O197" s="320">
        <v>0.3707</v>
      </c>
      <c r="P197" s="320">
        <v>1.5437</v>
      </c>
      <c r="Q197" s="320">
        <v>134.04</v>
      </c>
      <c r="R197" s="320">
        <v>75.58</v>
      </c>
      <c r="S197" s="320">
        <v>58.45</v>
      </c>
      <c r="T197" s="320">
        <v>0.4</v>
      </c>
      <c r="U197" s="320">
        <v>133.64</v>
      </c>
      <c r="V197" s="320">
        <v>167.23</v>
      </c>
      <c r="W197" s="320">
        <v>3.9019</v>
      </c>
      <c r="X197" s="320">
        <v>0.3</v>
      </c>
      <c r="Y197" s="320">
        <v>136.0</v>
      </c>
      <c r="Z197" s="320">
        <v>988.0</v>
      </c>
      <c r="AA197" s="320">
        <v>6656.0</v>
      </c>
      <c r="AB197" s="320">
        <v>55.9568</v>
      </c>
      <c r="AC197" s="320">
        <v>0.7413</v>
      </c>
      <c r="AD197" s="320">
        <v>18.36</v>
      </c>
      <c r="AE197" s="320">
        <v>7.0</v>
      </c>
      <c r="AF197" s="320">
        <v>14.0</v>
      </c>
      <c r="AG197" s="320">
        <v>25.0</v>
      </c>
      <c r="AH197" s="320">
        <v>38.0</v>
      </c>
      <c r="AI197" s="320">
        <v>60.38</v>
      </c>
      <c r="AJ197" s="320">
        <v>24.11</v>
      </c>
      <c r="AK197" s="320">
        <v>7.93</v>
      </c>
      <c r="AL197" s="320">
        <v>0.2022</v>
      </c>
      <c r="AM197" s="320">
        <v>21.59</v>
      </c>
      <c r="AN197" s="320">
        <v>53.99</v>
      </c>
      <c r="AO197" s="320">
        <v>76.63</v>
      </c>
      <c r="AP197" s="320">
        <v>16.54</v>
      </c>
    </row>
    <row r="198">
      <c r="A198" s="319" t="s">
        <v>256</v>
      </c>
      <c r="B198" s="328">
        <v>46082.0</v>
      </c>
      <c r="C198" s="319" t="s">
        <v>217</v>
      </c>
      <c r="D198" s="320">
        <v>5328.0</v>
      </c>
      <c r="E198" s="320">
        <v>5.14</v>
      </c>
      <c r="F198" s="320">
        <v>0.0</v>
      </c>
      <c r="G198" s="320">
        <v>0.0</v>
      </c>
      <c r="H198" s="320">
        <v>0.0</v>
      </c>
      <c r="I198" s="329"/>
      <c r="J198" s="320">
        <v>131.63</v>
      </c>
      <c r="K198" s="320">
        <v>71.74</v>
      </c>
      <c r="L198" s="320">
        <v>56.16</v>
      </c>
      <c r="M198" s="320">
        <v>0.7828</v>
      </c>
      <c r="N198" s="320">
        <v>0.394</v>
      </c>
      <c r="O198" s="320">
        <v>0.2788</v>
      </c>
      <c r="P198" s="320">
        <v>1.2775</v>
      </c>
      <c r="Q198" s="320">
        <v>243.69</v>
      </c>
      <c r="R198" s="320">
        <v>124.94</v>
      </c>
      <c r="S198" s="320">
        <v>118.74</v>
      </c>
      <c r="T198" s="320">
        <v>0.0</v>
      </c>
      <c r="U198" s="320">
        <v>243.69</v>
      </c>
      <c r="V198" s="320">
        <v>313.39</v>
      </c>
      <c r="W198" s="320">
        <v>4.3682</v>
      </c>
      <c r="X198" s="320">
        <v>0.0</v>
      </c>
      <c r="Y198" s="320">
        <v>269.0</v>
      </c>
      <c r="Z198" s="320">
        <v>2452.0</v>
      </c>
      <c r="AA198" s="320">
        <v>9731.0</v>
      </c>
      <c r="AB198" s="320">
        <v>60.0747</v>
      </c>
      <c r="AC198" s="320">
        <v>0.8401</v>
      </c>
      <c r="AD198" s="320">
        <v>38.27</v>
      </c>
      <c r="AE198" s="320">
        <v>15.0</v>
      </c>
      <c r="AF198" s="320">
        <v>30.0</v>
      </c>
      <c r="AG198" s="320">
        <v>53.0</v>
      </c>
      <c r="AH198" s="320">
        <v>81.0</v>
      </c>
      <c r="AI198" s="320">
        <v>52.03</v>
      </c>
      <c r="AJ198" s="320">
        <v>20.46</v>
      </c>
      <c r="AK198" s="320">
        <v>5.33</v>
      </c>
      <c r="AL198" s="320">
        <v>0.153</v>
      </c>
      <c r="AM198" s="320">
        <v>22.32</v>
      </c>
      <c r="AN198" s="320">
        <v>102.63</v>
      </c>
      <c r="AO198" s="320">
        <v>80.91</v>
      </c>
      <c r="AP198" s="320">
        <v>18.06</v>
      </c>
    </row>
    <row r="199">
      <c r="A199" s="319" t="s">
        <v>256</v>
      </c>
      <c r="B199" s="328">
        <v>46082.0</v>
      </c>
      <c r="C199" s="319" t="s">
        <v>218</v>
      </c>
      <c r="D199" s="320">
        <v>562.0</v>
      </c>
      <c r="E199" s="320">
        <v>0.54</v>
      </c>
      <c r="F199" s="320">
        <v>0.0</v>
      </c>
      <c r="G199" s="320">
        <v>0.0</v>
      </c>
      <c r="H199" s="320">
        <v>0.0</v>
      </c>
      <c r="I199" s="329"/>
      <c r="J199" s="320">
        <v>256.9</v>
      </c>
      <c r="K199" s="320">
        <v>149.6</v>
      </c>
      <c r="L199" s="320">
        <v>128.35</v>
      </c>
      <c r="M199" s="320">
        <v>0.8579</v>
      </c>
      <c r="N199" s="320">
        <v>0.297</v>
      </c>
      <c r="O199" s="320">
        <v>0.2178</v>
      </c>
      <c r="P199" s="320">
        <v>1.1656</v>
      </c>
      <c r="Q199" s="320">
        <v>494.71</v>
      </c>
      <c r="R199" s="320">
        <v>221.99</v>
      </c>
      <c r="S199" s="320">
        <v>272.72</v>
      </c>
      <c r="T199" s="320">
        <v>0.0</v>
      </c>
      <c r="U199" s="320">
        <v>494.71</v>
      </c>
      <c r="V199" s="320">
        <v>706.58</v>
      </c>
      <c r="W199" s="320">
        <v>4.723</v>
      </c>
      <c r="X199" s="320">
        <v>0.0</v>
      </c>
      <c r="Y199" s="320">
        <v>800.0</v>
      </c>
      <c r="Z199" s="320">
        <v>4602.0</v>
      </c>
      <c r="AA199" s="320">
        <v>11702.0</v>
      </c>
      <c r="AB199" s="320">
        <v>63.3565</v>
      </c>
      <c r="AC199" s="320">
        <v>0.894</v>
      </c>
      <c r="AD199" s="320">
        <v>85.85</v>
      </c>
      <c r="AE199" s="320">
        <v>31.0</v>
      </c>
      <c r="AF199" s="320">
        <v>71.0</v>
      </c>
      <c r="AG199" s="320">
        <v>123.0</v>
      </c>
      <c r="AH199" s="320">
        <v>175.0</v>
      </c>
      <c r="AI199" s="320">
        <v>44.13</v>
      </c>
      <c r="AJ199" s="320">
        <v>10.32</v>
      </c>
      <c r="AK199" s="320">
        <v>1.07</v>
      </c>
      <c r="AL199" s="320">
        <v>0.1085</v>
      </c>
      <c r="AM199" s="320">
        <v>23.31</v>
      </c>
      <c r="AN199" s="320">
        <v>198.68</v>
      </c>
      <c r="AO199" s="320">
        <v>82.79</v>
      </c>
      <c r="AP199" s="320">
        <v>19.3</v>
      </c>
    </row>
    <row r="200">
      <c r="A200" s="319" t="s">
        <v>256</v>
      </c>
      <c r="B200" s="328">
        <v>46083.0</v>
      </c>
      <c r="C200" s="319" t="s">
        <v>257</v>
      </c>
      <c r="D200" s="320">
        <v>21112.0</v>
      </c>
      <c r="E200" s="320">
        <v>19.32</v>
      </c>
      <c r="F200" s="320">
        <v>0.0</v>
      </c>
      <c r="G200" s="320">
        <v>0.0</v>
      </c>
      <c r="H200" s="320">
        <v>0.0</v>
      </c>
      <c r="I200" s="329"/>
      <c r="J200" s="320">
        <v>6.2</v>
      </c>
      <c r="K200" s="320">
        <v>2.5</v>
      </c>
      <c r="L200" s="320">
        <v>0.11</v>
      </c>
      <c r="M200" s="320">
        <v>0.0432</v>
      </c>
      <c r="N200" s="320">
        <v>0.9658</v>
      </c>
      <c r="O200" s="320">
        <v>0.6855</v>
      </c>
      <c r="P200" s="320">
        <v>23.1454</v>
      </c>
      <c r="Q200" s="320">
        <v>31.86</v>
      </c>
      <c r="R200" s="320">
        <v>31.74</v>
      </c>
      <c r="S200" s="320">
        <v>0.12</v>
      </c>
      <c r="T200" s="320">
        <v>0.0</v>
      </c>
      <c r="U200" s="320">
        <v>31.86</v>
      </c>
      <c r="V200" s="320">
        <v>1.77</v>
      </c>
      <c r="W200" s="320">
        <v>0.7081</v>
      </c>
      <c r="X200" s="320">
        <v>0.0</v>
      </c>
      <c r="Y200" s="320">
        <v>368.0</v>
      </c>
      <c r="Z200" s="320">
        <v>3825.0</v>
      </c>
      <c r="AA200" s="320">
        <v>14859.0</v>
      </c>
      <c r="AB200" s="320">
        <v>49.2253</v>
      </c>
      <c r="AC200" s="320">
        <v>0.542</v>
      </c>
      <c r="AD200" s="329"/>
      <c r="AE200" s="329"/>
      <c r="AF200" s="329"/>
      <c r="AG200" s="329"/>
      <c r="AH200" s="329"/>
      <c r="AI200" s="320">
        <v>0.0</v>
      </c>
      <c r="AJ200" s="320">
        <v>0.0</v>
      </c>
      <c r="AK200" s="320">
        <v>0.0</v>
      </c>
      <c r="AL200" s="320">
        <v>0.2827</v>
      </c>
      <c r="AM200" s="320">
        <v>16.53</v>
      </c>
      <c r="AN200" s="320">
        <v>15.21</v>
      </c>
      <c r="AO200" s="329"/>
      <c r="AP200" s="329"/>
    </row>
    <row r="201">
      <c r="A201" s="319" t="s">
        <v>256</v>
      </c>
      <c r="B201" s="328">
        <v>46083.0</v>
      </c>
      <c r="C201" s="319" t="s">
        <v>214</v>
      </c>
      <c r="D201" s="320">
        <v>39955.0</v>
      </c>
      <c r="E201" s="320">
        <v>36.56</v>
      </c>
      <c r="F201" s="320">
        <v>0.0</v>
      </c>
      <c r="G201" s="320">
        <v>0.0</v>
      </c>
      <c r="H201" s="320">
        <v>0.0</v>
      </c>
      <c r="I201" s="329"/>
      <c r="J201" s="320">
        <v>32.98</v>
      </c>
      <c r="K201" s="320">
        <v>14.88</v>
      </c>
      <c r="L201" s="320">
        <v>5.73</v>
      </c>
      <c r="M201" s="320">
        <v>0.3853</v>
      </c>
      <c r="N201" s="320">
        <v>0.7843</v>
      </c>
      <c r="O201" s="320">
        <v>0.5883</v>
      </c>
      <c r="P201" s="320">
        <v>2.5954</v>
      </c>
      <c r="Q201" s="320">
        <v>73.29</v>
      </c>
      <c r="R201" s="320">
        <v>61.68</v>
      </c>
      <c r="S201" s="320">
        <v>11.6</v>
      </c>
      <c r="T201" s="320">
        <v>0.04</v>
      </c>
      <c r="U201" s="320">
        <v>73.25</v>
      </c>
      <c r="V201" s="320">
        <v>61.62</v>
      </c>
      <c r="W201" s="320">
        <v>4.141</v>
      </c>
      <c r="X201" s="320">
        <v>0.05</v>
      </c>
      <c r="Y201" s="320">
        <v>142.0</v>
      </c>
      <c r="Z201" s="320">
        <v>797.0</v>
      </c>
      <c r="AA201" s="320">
        <v>5576.0</v>
      </c>
      <c r="AB201" s="320">
        <v>48.4238</v>
      </c>
      <c r="AC201" s="320">
        <v>0.5112</v>
      </c>
      <c r="AD201" s="320">
        <v>3.87</v>
      </c>
      <c r="AE201" s="320">
        <v>1.0</v>
      </c>
      <c r="AF201" s="320">
        <v>3.0</v>
      </c>
      <c r="AG201" s="320">
        <v>5.0</v>
      </c>
      <c r="AH201" s="320">
        <v>8.0</v>
      </c>
      <c r="AI201" s="320">
        <v>72.78</v>
      </c>
      <c r="AJ201" s="320">
        <v>29.01</v>
      </c>
      <c r="AK201" s="320">
        <v>7.82</v>
      </c>
      <c r="AL201" s="320">
        <v>0.2277</v>
      </c>
      <c r="AM201" s="320">
        <v>18.88</v>
      </c>
      <c r="AN201" s="320">
        <v>42.81</v>
      </c>
      <c r="AO201" s="320">
        <v>66.08</v>
      </c>
      <c r="AP201" s="320">
        <v>12.48</v>
      </c>
    </row>
    <row r="202">
      <c r="A202" s="319" t="s">
        <v>256</v>
      </c>
      <c r="B202" s="328">
        <v>46083.0</v>
      </c>
      <c r="C202" s="319" t="s">
        <v>215</v>
      </c>
      <c r="D202" s="320">
        <v>27097.0</v>
      </c>
      <c r="E202" s="320">
        <v>24.79</v>
      </c>
      <c r="F202" s="320">
        <v>0.0</v>
      </c>
      <c r="G202" s="320">
        <v>0.0</v>
      </c>
      <c r="H202" s="320">
        <v>0.0</v>
      </c>
      <c r="I202" s="329"/>
      <c r="J202" s="320">
        <v>61.53</v>
      </c>
      <c r="K202" s="320">
        <v>28.81</v>
      </c>
      <c r="L202" s="320">
        <v>15.2</v>
      </c>
      <c r="M202" s="320">
        <v>0.5277</v>
      </c>
      <c r="N202" s="320">
        <v>0.6684</v>
      </c>
      <c r="O202" s="320">
        <v>0.4676</v>
      </c>
      <c r="P202" s="320">
        <v>1.895</v>
      </c>
      <c r="Q202" s="320">
        <v>134.51</v>
      </c>
      <c r="R202" s="320">
        <v>104.77</v>
      </c>
      <c r="S202" s="320">
        <v>29.74</v>
      </c>
      <c r="T202" s="320">
        <v>0.24</v>
      </c>
      <c r="U202" s="320">
        <v>134.27</v>
      </c>
      <c r="V202" s="320">
        <v>117.82</v>
      </c>
      <c r="W202" s="320">
        <v>4.0896</v>
      </c>
      <c r="X202" s="320">
        <v>0.18</v>
      </c>
      <c r="Y202" s="320">
        <v>131.0</v>
      </c>
      <c r="Z202" s="320">
        <v>718.0</v>
      </c>
      <c r="AA202" s="320">
        <v>5850.0</v>
      </c>
      <c r="AB202" s="320">
        <v>52.3364</v>
      </c>
      <c r="AC202" s="320">
        <v>0.5854</v>
      </c>
      <c r="AD202" s="320">
        <v>9.73</v>
      </c>
      <c r="AE202" s="320">
        <v>4.0</v>
      </c>
      <c r="AF202" s="320">
        <v>7.0</v>
      </c>
      <c r="AG202" s="320">
        <v>13.0</v>
      </c>
      <c r="AH202" s="320">
        <v>20.0</v>
      </c>
      <c r="AI202" s="320">
        <v>61.13</v>
      </c>
      <c r="AJ202" s="320">
        <v>27.31</v>
      </c>
      <c r="AK202" s="320">
        <v>5.57</v>
      </c>
      <c r="AL202" s="320">
        <v>0.1743</v>
      </c>
      <c r="AM202" s="320">
        <v>19.3</v>
      </c>
      <c r="AN202" s="320">
        <v>85.48</v>
      </c>
      <c r="AO202" s="320">
        <v>73.28</v>
      </c>
      <c r="AP202" s="320">
        <v>14.14</v>
      </c>
    </row>
    <row r="203">
      <c r="A203" s="319" t="s">
        <v>256</v>
      </c>
      <c r="B203" s="328">
        <v>46083.0</v>
      </c>
      <c r="C203" s="319" t="s">
        <v>216</v>
      </c>
      <c r="D203" s="320">
        <v>14591.0</v>
      </c>
      <c r="E203" s="320">
        <v>13.35</v>
      </c>
      <c r="F203" s="320">
        <v>0.0</v>
      </c>
      <c r="G203" s="320">
        <v>0.0</v>
      </c>
      <c r="H203" s="320">
        <v>0.0</v>
      </c>
      <c r="I203" s="329"/>
      <c r="J203" s="320">
        <v>90.6</v>
      </c>
      <c r="K203" s="320">
        <v>45.24</v>
      </c>
      <c r="L203" s="320">
        <v>31.07</v>
      </c>
      <c r="M203" s="320">
        <v>0.6868</v>
      </c>
      <c r="N203" s="320">
        <v>0.5135</v>
      </c>
      <c r="O203" s="320">
        <v>0.3566</v>
      </c>
      <c r="P203" s="320">
        <v>1.4559</v>
      </c>
      <c r="Q203" s="320">
        <v>229.52</v>
      </c>
      <c r="R203" s="320">
        <v>169.69</v>
      </c>
      <c r="S203" s="320">
        <v>59.83</v>
      </c>
      <c r="T203" s="320">
        <v>0.38</v>
      </c>
      <c r="U203" s="320">
        <v>229.14</v>
      </c>
      <c r="V203" s="320">
        <v>208.14</v>
      </c>
      <c r="W203" s="320">
        <v>4.6011</v>
      </c>
      <c r="X203" s="320">
        <v>0.17</v>
      </c>
      <c r="Y203" s="320">
        <v>187.0</v>
      </c>
      <c r="Z203" s="320">
        <v>1213.0</v>
      </c>
      <c r="AA203" s="320">
        <v>8275.0</v>
      </c>
      <c r="AB203" s="320">
        <v>55.8478</v>
      </c>
      <c r="AC203" s="320">
        <v>0.6656</v>
      </c>
      <c r="AD203" s="320">
        <v>19.59</v>
      </c>
      <c r="AE203" s="320">
        <v>8.0</v>
      </c>
      <c r="AF203" s="320">
        <v>16.0</v>
      </c>
      <c r="AG203" s="320">
        <v>28.0</v>
      </c>
      <c r="AH203" s="320">
        <v>40.0</v>
      </c>
      <c r="AI203" s="320">
        <v>65.5</v>
      </c>
      <c r="AJ203" s="320">
        <v>28.96</v>
      </c>
      <c r="AK203" s="320">
        <v>7.1</v>
      </c>
      <c r="AL203" s="320">
        <v>0.1629</v>
      </c>
      <c r="AM203" s="320">
        <v>19.86</v>
      </c>
      <c r="AN203" s="320">
        <v>149.83</v>
      </c>
      <c r="AO203" s="320">
        <v>72.65</v>
      </c>
      <c r="AP203" s="320">
        <v>14.43</v>
      </c>
    </row>
    <row r="204">
      <c r="A204" s="319" t="s">
        <v>256</v>
      </c>
      <c r="B204" s="328">
        <v>46083.0</v>
      </c>
      <c r="C204" s="319" t="s">
        <v>217</v>
      </c>
      <c r="D204" s="320">
        <v>5952.0</v>
      </c>
      <c r="E204" s="320">
        <v>5.45</v>
      </c>
      <c r="F204" s="320">
        <v>0.0</v>
      </c>
      <c r="G204" s="320">
        <v>0.0</v>
      </c>
      <c r="H204" s="320">
        <v>0.0</v>
      </c>
      <c r="I204" s="329"/>
      <c r="J204" s="320">
        <v>144.15</v>
      </c>
      <c r="K204" s="320">
        <v>77.95</v>
      </c>
      <c r="L204" s="320">
        <v>62.84</v>
      </c>
      <c r="M204" s="320">
        <v>0.8063</v>
      </c>
      <c r="N204" s="320">
        <v>0.3767</v>
      </c>
      <c r="O204" s="320">
        <v>0.2722</v>
      </c>
      <c r="P204" s="320">
        <v>1.2403</v>
      </c>
      <c r="Q204" s="320">
        <v>406.05</v>
      </c>
      <c r="R204" s="320">
        <v>285.37</v>
      </c>
      <c r="S204" s="320">
        <v>120.67</v>
      </c>
      <c r="T204" s="320">
        <v>0.0</v>
      </c>
      <c r="U204" s="320">
        <v>406.05</v>
      </c>
      <c r="V204" s="320">
        <v>381.75</v>
      </c>
      <c r="W204" s="320">
        <v>4.8975</v>
      </c>
      <c r="X204" s="320">
        <v>0.0</v>
      </c>
      <c r="Y204" s="320">
        <v>375.0</v>
      </c>
      <c r="Z204" s="320">
        <v>2952.0</v>
      </c>
      <c r="AA204" s="320">
        <v>12299.0</v>
      </c>
      <c r="AB204" s="320">
        <v>59.4817</v>
      </c>
      <c r="AC204" s="320">
        <v>0.7486</v>
      </c>
      <c r="AD204" s="320">
        <v>39.65</v>
      </c>
      <c r="AE204" s="320">
        <v>17.0</v>
      </c>
      <c r="AF204" s="320">
        <v>33.0</v>
      </c>
      <c r="AG204" s="320">
        <v>52.0</v>
      </c>
      <c r="AH204" s="320">
        <v>79.0</v>
      </c>
      <c r="AI204" s="320">
        <v>58.48</v>
      </c>
      <c r="AJ204" s="320">
        <v>20.21</v>
      </c>
      <c r="AK204" s="320">
        <v>5.02</v>
      </c>
      <c r="AL204" s="320">
        <v>0.1198</v>
      </c>
      <c r="AM204" s="320">
        <v>21.31</v>
      </c>
      <c r="AN204" s="320">
        <v>264.06</v>
      </c>
      <c r="AO204" s="320">
        <v>75.48</v>
      </c>
      <c r="AP204" s="320">
        <v>16.08</v>
      </c>
    </row>
    <row r="205">
      <c r="A205" s="319" t="s">
        <v>256</v>
      </c>
      <c r="B205" s="328">
        <v>46083.0</v>
      </c>
      <c r="C205" s="319" t="s">
        <v>218</v>
      </c>
      <c r="D205" s="320">
        <v>579.0</v>
      </c>
      <c r="E205" s="320">
        <v>0.53</v>
      </c>
      <c r="F205" s="320">
        <v>0.0</v>
      </c>
      <c r="G205" s="320">
        <v>0.0</v>
      </c>
      <c r="H205" s="320">
        <v>0.0</v>
      </c>
      <c r="I205" s="329"/>
      <c r="J205" s="320">
        <v>266.67</v>
      </c>
      <c r="K205" s="320">
        <v>156.57</v>
      </c>
      <c r="L205" s="320">
        <v>135.69</v>
      </c>
      <c r="M205" s="320">
        <v>0.8667</v>
      </c>
      <c r="N205" s="320">
        <v>0.2864</v>
      </c>
      <c r="O205" s="320">
        <v>0.2131</v>
      </c>
      <c r="P205" s="320">
        <v>1.1538</v>
      </c>
      <c r="Q205" s="320">
        <v>786.34</v>
      </c>
      <c r="R205" s="320">
        <v>496.04</v>
      </c>
      <c r="S205" s="320">
        <v>290.3</v>
      </c>
      <c r="T205" s="320">
        <v>0.0</v>
      </c>
      <c r="U205" s="320">
        <v>786.34</v>
      </c>
      <c r="V205" s="320">
        <v>682.56</v>
      </c>
      <c r="W205" s="320">
        <v>4.3595</v>
      </c>
      <c r="X205" s="320">
        <v>0.0</v>
      </c>
      <c r="Y205" s="320">
        <v>1089.0</v>
      </c>
      <c r="Z205" s="320">
        <v>4720.0</v>
      </c>
      <c r="AA205" s="320">
        <v>13379.0</v>
      </c>
      <c r="AB205" s="320">
        <v>63.7487</v>
      </c>
      <c r="AC205" s="320">
        <v>0.8916</v>
      </c>
      <c r="AD205" s="320">
        <v>93.35</v>
      </c>
      <c r="AE205" s="320">
        <v>38.0</v>
      </c>
      <c r="AF205" s="320">
        <v>82.0</v>
      </c>
      <c r="AG205" s="320">
        <v>134.0</v>
      </c>
      <c r="AH205" s="320">
        <v>183.0</v>
      </c>
      <c r="AI205" s="320">
        <v>50.95</v>
      </c>
      <c r="AJ205" s="320">
        <v>11.57</v>
      </c>
      <c r="AK205" s="320">
        <v>1.21</v>
      </c>
      <c r="AL205" s="320">
        <v>0.0984</v>
      </c>
      <c r="AM205" s="320">
        <v>21.68</v>
      </c>
      <c r="AN205" s="320">
        <v>474.36</v>
      </c>
      <c r="AO205" s="320">
        <v>84.23</v>
      </c>
      <c r="AP205" s="320">
        <v>18.26</v>
      </c>
    </row>
    <row r="206">
      <c r="A206" s="319" t="s">
        <v>256</v>
      </c>
      <c r="B206" s="328">
        <v>46084.0</v>
      </c>
      <c r="C206" s="319" t="s">
        <v>257</v>
      </c>
      <c r="D206" s="320">
        <v>19482.0</v>
      </c>
      <c r="E206" s="320">
        <v>17.85</v>
      </c>
      <c r="F206" s="320">
        <v>0.0</v>
      </c>
      <c r="G206" s="320">
        <v>0.0</v>
      </c>
      <c r="H206" s="320">
        <v>0.0</v>
      </c>
      <c r="I206" s="329"/>
      <c r="J206" s="320">
        <v>6.27</v>
      </c>
      <c r="K206" s="320">
        <v>2.43</v>
      </c>
      <c r="L206" s="320">
        <v>0.07</v>
      </c>
      <c r="M206" s="320">
        <v>0.0281</v>
      </c>
      <c r="N206" s="320">
        <v>0.9769</v>
      </c>
      <c r="O206" s="320">
        <v>0.74</v>
      </c>
      <c r="P206" s="320">
        <v>35.5303</v>
      </c>
      <c r="Q206" s="320">
        <v>33.02</v>
      </c>
      <c r="R206" s="320">
        <v>32.92</v>
      </c>
      <c r="S206" s="320">
        <v>0.1</v>
      </c>
      <c r="T206" s="320">
        <v>0.0</v>
      </c>
      <c r="U206" s="320">
        <v>33.02</v>
      </c>
      <c r="V206" s="320">
        <v>2.14</v>
      </c>
      <c r="W206" s="320">
        <v>0.8802</v>
      </c>
      <c r="X206" s="320">
        <v>0.0</v>
      </c>
      <c r="Y206" s="320">
        <v>323.0</v>
      </c>
      <c r="Z206" s="320">
        <v>3678.0</v>
      </c>
      <c r="AA206" s="320">
        <v>14394.0</v>
      </c>
      <c r="AB206" s="320">
        <v>48.8806</v>
      </c>
      <c r="AC206" s="320">
        <v>0.5261</v>
      </c>
      <c r="AD206" s="329"/>
      <c r="AE206" s="329"/>
      <c r="AF206" s="329"/>
      <c r="AG206" s="329"/>
      <c r="AH206" s="329"/>
      <c r="AI206" s="320">
        <v>0.0</v>
      </c>
      <c r="AJ206" s="320">
        <v>0.0</v>
      </c>
      <c r="AK206" s="320">
        <v>0.0</v>
      </c>
      <c r="AL206" s="320">
        <v>0.2911</v>
      </c>
      <c r="AM206" s="320">
        <v>16.99</v>
      </c>
      <c r="AN206" s="320">
        <v>15.93</v>
      </c>
      <c r="AO206" s="329"/>
      <c r="AP206" s="329"/>
    </row>
    <row r="207">
      <c r="A207" s="319" t="s">
        <v>256</v>
      </c>
      <c r="B207" s="328">
        <v>46084.0</v>
      </c>
      <c r="C207" s="319" t="s">
        <v>214</v>
      </c>
      <c r="D207" s="320">
        <v>40382.0</v>
      </c>
      <c r="E207" s="320">
        <v>36.99</v>
      </c>
      <c r="F207" s="320">
        <v>0.0</v>
      </c>
      <c r="G207" s="320">
        <v>0.0</v>
      </c>
      <c r="H207" s="320">
        <v>0.0</v>
      </c>
      <c r="I207" s="329"/>
      <c r="J207" s="320">
        <v>32.09</v>
      </c>
      <c r="K207" s="320">
        <v>14.58</v>
      </c>
      <c r="L207" s="320">
        <v>6.15</v>
      </c>
      <c r="M207" s="320">
        <v>0.4217</v>
      </c>
      <c r="N207" s="320">
        <v>0.7485</v>
      </c>
      <c r="O207" s="320">
        <v>0.5425</v>
      </c>
      <c r="P207" s="320">
        <v>2.3712</v>
      </c>
      <c r="Q207" s="320">
        <v>77.32</v>
      </c>
      <c r="R207" s="320">
        <v>64.45</v>
      </c>
      <c r="S207" s="320">
        <v>12.87</v>
      </c>
      <c r="T207" s="320">
        <v>0.05</v>
      </c>
      <c r="U207" s="320">
        <v>77.27</v>
      </c>
      <c r="V207" s="320">
        <v>60.11</v>
      </c>
      <c r="W207" s="320">
        <v>4.1242</v>
      </c>
      <c r="X207" s="320">
        <v>0.06</v>
      </c>
      <c r="Y207" s="320">
        <v>157.0</v>
      </c>
      <c r="Z207" s="320">
        <v>909.0</v>
      </c>
      <c r="AA207" s="320">
        <v>6148.0</v>
      </c>
      <c r="AB207" s="320">
        <v>48.3432</v>
      </c>
      <c r="AC207" s="320">
        <v>0.5162</v>
      </c>
      <c r="AD207" s="320">
        <v>4.42</v>
      </c>
      <c r="AE207" s="320">
        <v>2.0</v>
      </c>
      <c r="AF207" s="320">
        <v>3.0</v>
      </c>
      <c r="AG207" s="320">
        <v>6.0</v>
      </c>
      <c r="AH207" s="320">
        <v>10.0</v>
      </c>
      <c r="AI207" s="320">
        <v>75.52</v>
      </c>
      <c r="AJ207" s="320">
        <v>34.51</v>
      </c>
      <c r="AK207" s="320">
        <v>11.13</v>
      </c>
      <c r="AL207" s="320">
        <v>0.2331</v>
      </c>
      <c r="AM207" s="320">
        <v>19.63</v>
      </c>
      <c r="AN207" s="320">
        <v>44.82</v>
      </c>
      <c r="AO207" s="320">
        <v>65.27</v>
      </c>
      <c r="AP207" s="320">
        <v>12.81</v>
      </c>
    </row>
    <row r="208">
      <c r="A208" s="319" t="s">
        <v>256</v>
      </c>
      <c r="B208" s="328">
        <v>46084.0</v>
      </c>
      <c r="C208" s="319" t="s">
        <v>215</v>
      </c>
      <c r="D208" s="320">
        <v>28263.0</v>
      </c>
      <c r="E208" s="320">
        <v>25.89</v>
      </c>
      <c r="F208" s="320">
        <v>0.0</v>
      </c>
      <c r="G208" s="320">
        <v>0.0</v>
      </c>
      <c r="H208" s="320">
        <v>0.0</v>
      </c>
      <c r="I208" s="329"/>
      <c r="J208" s="320">
        <v>61.55</v>
      </c>
      <c r="K208" s="320">
        <v>29.42</v>
      </c>
      <c r="L208" s="320">
        <v>16.63</v>
      </c>
      <c r="M208" s="320">
        <v>0.5652</v>
      </c>
      <c r="N208" s="320">
        <v>0.6281</v>
      </c>
      <c r="O208" s="320">
        <v>0.4276</v>
      </c>
      <c r="P208" s="320">
        <v>1.7692</v>
      </c>
      <c r="Q208" s="320">
        <v>148.07</v>
      </c>
      <c r="R208" s="320">
        <v>114.86</v>
      </c>
      <c r="S208" s="320">
        <v>33.2</v>
      </c>
      <c r="T208" s="320">
        <v>0.95</v>
      </c>
      <c r="U208" s="320">
        <v>147.11</v>
      </c>
      <c r="V208" s="320">
        <v>120.88</v>
      </c>
      <c r="W208" s="320">
        <v>4.1086</v>
      </c>
      <c r="X208" s="320">
        <v>0.64</v>
      </c>
      <c r="Y208" s="320">
        <v>150.0</v>
      </c>
      <c r="Z208" s="320">
        <v>795.0</v>
      </c>
      <c r="AA208" s="320">
        <v>6201.0</v>
      </c>
      <c r="AB208" s="320">
        <v>52.1559</v>
      </c>
      <c r="AC208" s="320">
        <v>0.5919</v>
      </c>
      <c r="AD208" s="320">
        <v>10.82</v>
      </c>
      <c r="AE208" s="320">
        <v>4.0</v>
      </c>
      <c r="AF208" s="320">
        <v>9.0</v>
      </c>
      <c r="AG208" s="320">
        <v>15.0</v>
      </c>
      <c r="AH208" s="320">
        <v>22.0</v>
      </c>
      <c r="AI208" s="320">
        <v>67.19</v>
      </c>
      <c r="AJ208" s="320">
        <v>32.81</v>
      </c>
      <c r="AK208" s="320">
        <v>6.71</v>
      </c>
      <c r="AL208" s="320">
        <v>0.1774</v>
      </c>
      <c r="AM208" s="320">
        <v>22.86</v>
      </c>
      <c r="AN208" s="320">
        <v>92.0</v>
      </c>
      <c r="AO208" s="320">
        <v>72.73</v>
      </c>
      <c r="AP208" s="320">
        <v>16.63</v>
      </c>
    </row>
    <row r="209">
      <c r="A209" s="319" t="s">
        <v>256</v>
      </c>
      <c r="B209" s="328">
        <v>46084.0</v>
      </c>
      <c r="C209" s="319" t="s">
        <v>216</v>
      </c>
      <c r="D209" s="320">
        <v>14832.0</v>
      </c>
      <c r="E209" s="320">
        <v>13.59</v>
      </c>
      <c r="F209" s="320">
        <v>0.0</v>
      </c>
      <c r="G209" s="320">
        <v>0.0</v>
      </c>
      <c r="H209" s="320">
        <v>0.0</v>
      </c>
      <c r="I209" s="329"/>
      <c r="J209" s="320">
        <v>89.39</v>
      </c>
      <c r="K209" s="320">
        <v>45.39</v>
      </c>
      <c r="L209" s="320">
        <v>32.21</v>
      </c>
      <c r="M209" s="320">
        <v>0.7097</v>
      </c>
      <c r="N209" s="320">
        <v>0.4848</v>
      </c>
      <c r="O209" s="320">
        <v>0.3349</v>
      </c>
      <c r="P209" s="320">
        <v>1.409</v>
      </c>
      <c r="Q209" s="320">
        <v>266.73</v>
      </c>
      <c r="R209" s="320">
        <v>204.71</v>
      </c>
      <c r="S209" s="320">
        <v>62.02</v>
      </c>
      <c r="T209" s="320">
        <v>1.25</v>
      </c>
      <c r="U209" s="320">
        <v>265.48</v>
      </c>
      <c r="V209" s="320">
        <v>208.36</v>
      </c>
      <c r="W209" s="320">
        <v>4.5905</v>
      </c>
      <c r="X209" s="320">
        <v>0.47</v>
      </c>
      <c r="Y209" s="320">
        <v>212.0</v>
      </c>
      <c r="Z209" s="320">
        <v>1213.0</v>
      </c>
      <c r="AA209" s="320">
        <v>7770.0</v>
      </c>
      <c r="AB209" s="320">
        <v>55.6699</v>
      </c>
      <c r="AC209" s="320">
        <v>0.6901</v>
      </c>
      <c r="AD209" s="320">
        <v>20.03</v>
      </c>
      <c r="AE209" s="320">
        <v>9.0</v>
      </c>
      <c r="AF209" s="320">
        <v>16.0</v>
      </c>
      <c r="AG209" s="320">
        <v>28.0</v>
      </c>
      <c r="AH209" s="320">
        <v>41.0</v>
      </c>
      <c r="AI209" s="320">
        <v>67.24</v>
      </c>
      <c r="AJ209" s="320">
        <v>28.42</v>
      </c>
      <c r="AK209" s="320">
        <v>9.12</v>
      </c>
      <c r="AL209" s="320">
        <v>0.1654</v>
      </c>
      <c r="AM209" s="320">
        <v>25.68</v>
      </c>
      <c r="AN209" s="320">
        <v>179.03</v>
      </c>
      <c r="AO209" s="320">
        <v>73.42</v>
      </c>
      <c r="AP209" s="320">
        <v>18.85</v>
      </c>
    </row>
    <row r="210">
      <c r="A210" s="319" t="s">
        <v>256</v>
      </c>
      <c r="B210" s="328">
        <v>46084.0</v>
      </c>
      <c r="C210" s="319" t="s">
        <v>217</v>
      </c>
      <c r="D210" s="320">
        <v>5587.0</v>
      </c>
      <c r="E210" s="320">
        <v>5.12</v>
      </c>
      <c r="F210" s="320">
        <v>0.0</v>
      </c>
      <c r="G210" s="320">
        <v>0.0</v>
      </c>
      <c r="H210" s="320">
        <v>0.0</v>
      </c>
      <c r="I210" s="329"/>
      <c r="J210" s="320">
        <v>138.71</v>
      </c>
      <c r="K210" s="320">
        <v>76.32</v>
      </c>
      <c r="L210" s="320">
        <v>61.21</v>
      </c>
      <c r="M210" s="320">
        <v>0.8019</v>
      </c>
      <c r="N210" s="320">
        <v>0.3773</v>
      </c>
      <c r="O210" s="320">
        <v>0.2703</v>
      </c>
      <c r="P210" s="320">
        <v>1.247</v>
      </c>
      <c r="Q210" s="320">
        <v>527.35</v>
      </c>
      <c r="R210" s="320">
        <v>399.35</v>
      </c>
      <c r="S210" s="320">
        <v>128.0</v>
      </c>
      <c r="T210" s="320">
        <v>0.0</v>
      </c>
      <c r="U210" s="320">
        <v>527.35</v>
      </c>
      <c r="V210" s="320">
        <v>401.56</v>
      </c>
      <c r="W210" s="320">
        <v>5.2613</v>
      </c>
      <c r="X210" s="320">
        <v>0.0</v>
      </c>
      <c r="Y210" s="320">
        <v>463.0</v>
      </c>
      <c r="Z210" s="320">
        <v>2506.0</v>
      </c>
      <c r="AA210" s="320">
        <v>10289.0</v>
      </c>
      <c r="AB210" s="320">
        <v>59.7562</v>
      </c>
      <c r="AC210" s="320">
        <v>0.8232</v>
      </c>
      <c r="AD210" s="320">
        <v>42.32</v>
      </c>
      <c r="AE210" s="320">
        <v>19.0</v>
      </c>
      <c r="AF210" s="320">
        <v>35.0</v>
      </c>
      <c r="AG210" s="320">
        <v>58.0</v>
      </c>
      <c r="AH210" s="320">
        <v>86.0</v>
      </c>
      <c r="AI210" s="320">
        <v>60.19</v>
      </c>
      <c r="AJ210" s="320">
        <v>24.04</v>
      </c>
      <c r="AK210" s="320">
        <v>5.67</v>
      </c>
      <c r="AL210" s="320">
        <v>0.1364</v>
      </c>
      <c r="AM210" s="320">
        <v>28.29</v>
      </c>
      <c r="AN210" s="320">
        <v>371.06</v>
      </c>
      <c r="AO210" s="320">
        <v>81.66</v>
      </c>
      <c r="AP210" s="320">
        <v>23.1</v>
      </c>
    </row>
    <row r="211">
      <c r="A211" s="319" t="s">
        <v>256</v>
      </c>
      <c r="B211" s="328">
        <v>46084.0</v>
      </c>
      <c r="C211" s="319" t="s">
        <v>218</v>
      </c>
      <c r="D211" s="320">
        <v>610.0</v>
      </c>
      <c r="E211" s="320">
        <v>0.56</v>
      </c>
      <c r="F211" s="320">
        <v>0.0</v>
      </c>
      <c r="G211" s="320">
        <v>0.0</v>
      </c>
      <c r="H211" s="320">
        <v>0.0</v>
      </c>
      <c r="I211" s="329"/>
      <c r="J211" s="320">
        <v>254.86</v>
      </c>
      <c r="K211" s="320">
        <v>149.25</v>
      </c>
      <c r="L211" s="320">
        <v>132.36</v>
      </c>
      <c r="M211" s="320">
        <v>0.8869</v>
      </c>
      <c r="N211" s="320">
        <v>0.2664</v>
      </c>
      <c r="O211" s="320">
        <v>0.2052</v>
      </c>
      <c r="P211" s="320">
        <v>1.1276</v>
      </c>
      <c r="Q211" s="320">
        <v>1074.9</v>
      </c>
      <c r="R211" s="320">
        <v>794.24</v>
      </c>
      <c r="S211" s="320">
        <v>280.66</v>
      </c>
      <c r="T211" s="320">
        <v>0.0</v>
      </c>
      <c r="U211" s="320">
        <v>1074.9</v>
      </c>
      <c r="V211" s="320">
        <v>748.36</v>
      </c>
      <c r="W211" s="320">
        <v>5.0143</v>
      </c>
      <c r="X211" s="320">
        <v>0.0</v>
      </c>
      <c r="Y211" s="320">
        <v>1351.0</v>
      </c>
      <c r="Z211" s="320">
        <v>4730.0</v>
      </c>
      <c r="AA211" s="320">
        <v>10899.0</v>
      </c>
      <c r="AB211" s="320">
        <v>63.3167</v>
      </c>
      <c r="AC211" s="320">
        <v>0.8871</v>
      </c>
      <c r="AD211" s="320">
        <v>92.19</v>
      </c>
      <c r="AE211" s="320">
        <v>46.0</v>
      </c>
      <c r="AF211" s="320">
        <v>81.0</v>
      </c>
      <c r="AG211" s="320">
        <v>125.0</v>
      </c>
      <c r="AH211" s="320">
        <v>172.0</v>
      </c>
      <c r="AI211" s="320">
        <v>50.33</v>
      </c>
      <c r="AJ211" s="320">
        <v>9.67</v>
      </c>
      <c r="AK211" s="320">
        <v>0.66</v>
      </c>
      <c r="AL211" s="320">
        <v>0.0787</v>
      </c>
      <c r="AM211" s="320">
        <v>26.6</v>
      </c>
      <c r="AN211" s="320">
        <v>767.64</v>
      </c>
      <c r="AO211" s="320">
        <v>84.33</v>
      </c>
      <c r="AP211" s="320">
        <v>22.43</v>
      </c>
    </row>
    <row r="212">
      <c r="A212" s="319" t="s">
        <v>256</v>
      </c>
      <c r="B212" s="328">
        <v>46085.0</v>
      </c>
      <c r="C212" s="319" t="s">
        <v>257</v>
      </c>
      <c r="D212" s="320">
        <v>19859.0</v>
      </c>
      <c r="E212" s="320">
        <v>18.63</v>
      </c>
      <c r="F212" s="320">
        <v>0.0</v>
      </c>
      <c r="G212" s="320">
        <v>0.0</v>
      </c>
      <c r="H212" s="320">
        <v>0.0</v>
      </c>
      <c r="I212" s="329"/>
      <c r="J212" s="320">
        <v>6.62</v>
      </c>
      <c r="K212" s="320">
        <v>2.68</v>
      </c>
      <c r="L212" s="320">
        <v>0.04</v>
      </c>
      <c r="M212" s="320">
        <v>0.0167</v>
      </c>
      <c r="N212" s="320">
        <v>0.9877</v>
      </c>
      <c r="O212" s="320">
        <v>0.8443</v>
      </c>
      <c r="P212" s="320">
        <v>60.0225</v>
      </c>
      <c r="Q212" s="320">
        <v>23.75</v>
      </c>
      <c r="R212" s="320">
        <v>23.58</v>
      </c>
      <c r="S212" s="320">
        <v>0.17</v>
      </c>
      <c r="T212" s="320">
        <v>0.0</v>
      </c>
      <c r="U212" s="320">
        <v>23.75</v>
      </c>
      <c r="V212" s="320">
        <v>1.65</v>
      </c>
      <c r="W212" s="320">
        <v>0.617</v>
      </c>
      <c r="X212" s="320">
        <v>0.0</v>
      </c>
      <c r="Y212" s="320">
        <v>329.0</v>
      </c>
      <c r="Z212" s="320">
        <v>3741.0</v>
      </c>
      <c r="AA212" s="320">
        <v>14789.0</v>
      </c>
      <c r="AB212" s="320">
        <v>48.9412</v>
      </c>
      <c r="AC212" s="320">
        <v>0.5333</v>
      </c>
      <c r="AD212" s="329"/>
      <c r="AE212" s="329"/>
      <c r="AF212" s="329"/>
      <c r="AG212" s="329"/>
      <c r="AH212" s="329"/>
      <c r="AI212" s="320">
        <v>0.0</v>
      </c>
      <c r="AJ212" s="320">
        <v>0.0</v>
      </c>
      <c r="AK212" s="320">
        <v>0.0</v>
      </c>
      <c r="AL212" s="320">
        <v>0.2754</v>
      </c>
      <c r="AM212" s="320">
        <v>15.4</v>
      </c>
      <c r="AN212" s="320">
        <v>8.18</v>
      </c>
      <c r="AO212" s="329"/>
      <c r="AP212" s="329"/>
    </row>
    <row r="213">
      <c r="A213" s="319" t="s">
        <v>256</v>
      </c>
      <c r="B213" s="328">
        <v>46085.0</v>
      </c>
      <c r="C213" s="319" t="s">
        <v>214</v>
      </c>
      <c r="D213" s="320">
        <v>39087.0</v>
      </c>
      <c r="E213" s="320">
        <v>36.67</v>
      </c>
      <c r="F213" s="320">
        <v>0.0</v>
      </c>
      <c r="G213" s="320">
        <v>0.0</v>
      </c>
      <c r="H213" s="320">
        <v>0.0</v>
      </c>
      <c r="I213" s="329"/>
      <c r="J213" s="320">
        <v>32.0</v>
      </c>
      <c r="K213" s="320">
        <v>14.81</v>
      </c>
      <c r="L213" s="320">
        <v>5.94</v>
      </c>
      <c r="M213" s="320">
        <v>0.4012</v>
      </c>
      <c r="N213" s="320">
        <v>0.7616</v>
      </c>
      <c r="O213" s="320">
        <v>0.5496</v>
      </c>
      <c r="P213" s="320">
        <v>2.4926</v>
      </c>
      <c r="Q213" s="320">
        <v>56.67</v>
      </c>
      <c r="R213" s="320">
        <v>44.24</v>
      </c>
      <c r="S213" s="320">
        <v>12.43</v>
      </c>
      <c r="T213" s="320">
        <v>0.02</v>
      </c>
      <c r="U213" s="320">
        <v>56.66</v>
      </c>
      <c r="V213" s="320">
        <v>55.25</v>
      </c>
      <c r="W213" s="320">
        <v>3.7314</v>
      </c>
      <c r="X213" s="320">
        <v>0.03</v>
      </c>
      <c r="Y213" s="320">
        <v>148.0</v>
      </c>
      <c r="Z213" s="320">
        <v>897.0</v>
      </c>
      <c r="AA213" s="320">
        <v>5919.0</v>
      </c>
      <c r="AB213" s="320">
        <v>48.4411</v>
      </c>
      <c r="AC213" s="320">
        <v>0.5202</v>
      </c>
      <c r="AD213" s="320">
        <v>4.2</v>
      </c>
      <c r="AE213" s="320">
        <v>1.0</v>
      </c>
      <c r="AF213" s="320">
        <v>3.0</v>
      </c>
      <c r="AG213" s="320">
        <v>6.0</v>
      </c>
      <c r="AH213" s="320">
        <v>9.0</v>
      </c>
      <c r="AI213" s="320">
        <v>74.27</v>
      </c>
      <c r="AJ213" s="320">
        <v>32.81</v>
      </c>
      <c r="AK213" s="320">
        <v>9.83</v>
      </c>
      <c r="AL213" s="320">
        <v>0.2314</v>
      </c>
      <c r="AM213" s="320">
        <v>18.85</v>
      </c>
      <c r="AN213" s="320">
        <v>25.4</v>
      </c>
      <c r="AO213" s="320">
        <v>65.7</v>
      </c>
      <c r="AP213" s="320">
        <v>12.38</v>
      </c>
    </row>
    <row r="214">
      <c r="A214" s="319" t="s">
        <v>256</v>
      </c>
      <c r="B214" s="328">
        <v>46085.0</v>
      </c>
      <c r="C214" s="319" t="s">
        <v>215</v>
      </c>
      <c r="D214" s="320">
        <v>27583.0</v>
      </c>
      <c r="E214" s="320">
        <v>25.87</v>
      </c>
      <c r="F214" s="320">
        <v>0.0</v>
      </c>
      <c r="G214" s="320">
        <v>0.0</v>
      </c>
      <c r="H214" s="320">
        <v>0.0</v>
      </c>
      <c r="I214" s="329"/>
      <c r="J214" s="320">
        <v>58.71</v>
      </c>
      <c r="K214" s="320">
        <v>28.46</v>
      </c>
      <c r="L214" s="320">
        <v>15.17</v>
      </c>
      <c r="M214" s="320">
        <v>0.5331</v>
      </c>
      <c r="N214" s="320">
        <v>0.6504</v>
      </c>
      <c r="O214" s="320">
        <v>0.4371</v>
      </c>
      <c r="P214" s="320">
        <v>1.8759</v>
      </c>
      <c r="Q214" s="320">
        <v>95.11</v>
      </c>
      <c r="R214" s="320">
        <v>65.05</v>
      </c>
      <c r="S214" s="320">
        <v>30.06</v>
      </c>
      <c r="T214" s="320">
        <v>0.2</v>
      </c>
      <c r="U214" s="320">
        <v>94.91</v>
      </c>
      <c r="V214" s="320">
        <v>99.94</v>
      </c>
      <c r="W214" s="320">
        <v>3.5117</v>
      </c>
      <c r="X214" s="320">
        <v>0.21</v>
      </c>
      <c r="Y214" s="320">
        <v>128.0</v>
      </c>
      <c r="Z214" s="320">
        <v>702.0</v>
      </c>
      <c r="AA214" s="320">
        <v>5842.0</v>
      </c>
      <c r="AB214" s="320">
        <v>52.2874</v>
      </c>
      <c r="AC214" s="320">
        <v>0.6118</v>
      </c>
      <c r="AD214" s="320">
        <v>9.7</v>
      </c>
      <c r="AE214" s="320">
        <v>4.0</v>
      </c>
      <c r="AF214" s="320">
        <v>8.0</v>
      </c>
      <c r="AG214" s="320">
        <v>13.0</v>
      </c>
      <c r="AH214" s="320">
        <v>20.0</v>
      </c>
      <c r="AI214" s="320">
        <v>61.66</v>
      </c>
      <c r="AJ214" s="320">
        <v>27.51</v>
      </c>
      <c r="AK214" s="320">
        <v>5.13</v>
      </c>
      <c r="AL214" s="320">
        <v>0.1796</v>
      </c>
      <c r="AM214" s="320">
        <v>20.03</v>
      </c>
      <c r="AN214" s="320">
        <v>45.02</v>
      </c>
      <c r="AO214" s="320">
        <v>73.43</v>
      </c>
      <c r="AP214" s="320">
        <v>14.71</v>
      </c>
    </row>
    <row r="215">
      <c r="A215" s="319" t="s">
        <v>256</v>
      </c>
      <c r="B215" s="328">
        <v>46085.0</v>
      </c>
      <c r="C215" s="319" t="s">
        <v>216</v>
      </c>
      <c r="D215" s="320">
        <v>13965.0</v>
      </c>
      <c r="E215" s="320">
        <v>13.1</v>
      </c>
      <c r="F215" s="320">
        <v>0.0</v>
      </c>
      <c r="G215" s="320">
        <v>0.0</v>
      </c>
      <c r="H215" s="320">
        <v>0.0</v>
      </c>
      <c r="I215" s="329"/>
      <c r="J215" s="320">
        <v>82.17</v>
      </c>
      <c r="K215" s="320">
        <v>42.1</v>
      </c>
      <c r="L215" s="320">
        <v>27.44</v>
      </c>
      <c r="M215" s="320">
        <v>0.6517</v>
      </c>
      <c r="N215" s="320">
        <v>0.5321</v>
      </c>
      <c r="O215" s="320">
        <v>0.3587</v>
      </c>
      <c r="P215" s="320">
        <v>1.5343</v>
      </c>
      <c r="Q215" s="320">
        <v>150.29</v>
      </c>
      <c r="R215" s="320">
        <v>92.66</v>
      </c>
      <c r="S215" s="320">
        <v>57.63</v>
      </c>
      <c r="T215" s="320">
        <v>0.2</v>
      </c>
      <c r="U215" s="320">
        <v>150.08</v>
      </c>
      <c r="V215" s="320">
        <v>168.47</v>
      </c>
      <c r="W215" s="320">
        <v>4.0016</v>
      </c>
      <c r="X215" s="320">
        <v>0.14</v>
      </c>
      <c r="Y215" s="320">
        <v>156.0</v>
      </c>
      <c r="Z215" s="320">
        <v>997.0</v>
      </c>
      <c r="AA215" s="320">
        <v>6316.0</v>
      </c>
      <c r="AB215" s="320">
        <v>55.985</v>
      </c>
      <c r="AC215" s="320">
        <v>0.7449</v>
      </c>
      <c r="AD215" s="320">
        <v>18.28</v>
      </c>
      <c r="AE215" s="320">
        <v>8.0</v>
      </c>
      <c r="AF215" s="320">
        <v>14.0</v>
      </c>
      <c r="AG215" s="320">
        <v>25.0</v>
      </c>
      <c r="AH215" s="320">
        <v>38.0</v>
      </c>
      <c r="AI215" s="320">
        <v>61.51</v>
      </c>
      <c r="AJ215" s="320">
        <v>24.53</v>
      </c>
      <c r="AK215" s="320">
        <v>7.5</v>
      </c>
      <c r="AL215" s="320">
        <v>0.1701</v>
      </c>
      <c r="AM215" s="320">
        <v>20.63</v>
      </c>
      <c r="AN215" s="320">
        <v>72.02</v>
      </c>
      <c r="AO215" s="320">
        <v>76.66</v>
      </c>
      <c r="AP215" s="320">
        <v>15.81</v>
      </c>
    </row>
    <row r="216">
      <c r="A216" s="319" t="s">
        <v>256</v>
      </c>
      <c r="B216" s="328">
        <v>46085.0</v>
      </c>
      <c r="C216" s="319" t="s">
        <v>217</v>
      </c>
      <c r="D216" s="320">
        <v>5483.0</v>
      </c>
      <c r="E216" s="320">
        <v>5.14</v>
      </c>
      <c r="F216" s="320">
        <v>0.0</v>
      </c>
      <c r="G216" s="320">
        <v>0.0</v>
      </c>
      <c r="H216" s="320">
        <v>0.0</v>
      </c>
      <c r="I216" s="329"/>
      <c r="J216" s="320">
        <v>130.79</v>
      </c>
      <c r="K216" s="320">
        <v>72.0</v>
      </c>
      <c r="L216" s="320">
        <v>55.61</v>
      </c>
      <c r="M216" s="320">
        <v>0.7723</v>
      </c>
      <c r="N216" s="320">
        <v>0.4021</v>
      </c>
      <c r="O216" s="320">
        <v>0.2803</v>
      </c>
      <c r="P216" s="320">
        <v>1.2948</v>
      </c>
      <c r="Q216" s="320">
        <v>273.77</v>
      </c>
      <c r="R216" s="320">
        <v>156.73</v>
      </c>
      <c r="S216" s="320">
        <v>117.03</v>
      </c>
      <c r="T216" s="320">
        <v>0.0</v>
      </c>
      <c r="U216" s="320">
        <v>273.77</v>
      </c>
      <c r="V216" s="320">
        <v>329.58</v>
      </c>
      <c r="W216" s="320">
        <v>4.5774</v>
      </c>
      <c r="X216" s="320">
        <v>0.0</v>
      </c>
      <c r="Y216" s="320">
        <v>341.0</v>
      </c>
      <c r="Z216" s="320">
        <v>2249.0</v>
      </c>
      <c r="AA216" s="320">
        <v>9412.0</v>
      </c>
      <c r="AB216" s="320">
        <v>59.9077</v>
      </c>
      <c r="AC216" s="320">
        <v>0.8444</v>
      </c>
      <c r="AD216" s="320">
        <v>38.19</v>
      </c>
      <c r="AE216" s="320">
        <v>15.0</v>
      </c>
      <c r="AF216" s="320">
        <v>29.0</v>
      </c>
      <c r="AG216" s="320">
        <v>53.0</v>
      </c>
      <c r="AH216" s="320">
        <v>81.0</v>
      </c>
      <c r="AI216" s="320">
        <v>52.4</v>
      </c>
      <c r="AJ216" s="320">
        <v>20.17</v>
      </c>
      <c r="AK216" s="320">
        <v>5.34</v>
      </c>
      <c r="AL216" s="320">
        <v>0.1255</v>
      </c>
      <c r="AM216" s="320">
        <v>21.06</v>
      </c>
      <c r="AN216" s="320">
        <v>135.67</v>
      </c>
      <c r="AO216" s="320">
        <v>82.65</v>
      </c>
      <c r="AP216" s="320">
        <v>17.41</v>
      </c>
    </row>
    <row r="217">
      <c r="A217" s="319" t="s">
        <v>256</v>
      </c>
      <c r="B217" s="328">
        <v>46085.0</v>
      </c>
      <c r="C217" s="319" t="s">
        <v>218</v>
      </c>
      <c r="D217" s="320">
        <v>626.0</v>
      </c>
      <c r="E217" s="320">
        <v>0.59</v>
      </c>
      <c r="F217" s="320">
        <v>0.0</v>
      </c>
      <c r="G217" s="320">
        <v>0.0</v>
      </c>
      <c r="H217" s="320">
        <v>0.0</v>
      </c>
      <c r="I217" s="329"/>
      <c r="J217" s="320">
        <v>244.87</v>
      </c>
      <c r="K217" s="320">
        <v>142.38</v>
      </c>
      <c r="L217" s="320">
        <v>123.43</v>
      </c>
      <c r="M217" s="320">
        <v>0.8669</v>
      </c>
      <c r="N217" s="320">
        <v>0.2866</v>
      </c>
      <c r="O217" s="320">
        <v>0.2122</v>
      </c>
      <c r="P217" s="320">
        <v>1.1536</v>
      </c>
      <c r="Q217" s="320">
        <v>533.39</v>
      </c>
      <c r="R217" s="320">
        <v>269.9</v>
      </c>
      <c r="S217" s="320">
        <v>263.48</v>
      </c>
      <c r="T217" s="320">
        <v>0.0</v>
      </c>
      <c r="U217" s="320">
        <v>533.39</v>
      </c>
      <c r="V217" s="320">
        <v>612.22</v>
      </c>
      <c r="W217" s="320">
        <v>4.2999</v>
      </c>
      <c r="X217" s="320">
        <v>0.0</v>
      </c>
      <c r="Y217" s="320">
        <v>972.0</v>
      </c>
      <c r="Z217" s="320">
        <v>4445.0</v>
      </c>
      <c r="AA217" s="320">
        <v>10090.0</v>
      </c>
      <c r="AB217" s="320">
        <v>63.3656</v>
      </c>
      <c r="AC217" s="320">
        <v>0.908</v>
      </c>
      <c r="AD217" s="320">
        <v>84.84</v>
      </c>
      <c r="AE217" s="320">
        <v>35.0</v>
      </c>
      <c r="AF217" s="320">
        <v>68.0</v>
      </c>
      <c r="AG217" s="320">
        <v>122.0</v>
      </c>
      <c r="AH217" s="320">
        <v>176.0</v>
      </c>
      <c r="AI217" s="320">
        <v>44.57</v>
      </c>
      <c r="AJ217" s="320">
        <v>10.22</v>
      </c>
      <c r="AK217" s="320">
        <v>0.8</v>
      </c>
      <c r="AL217" s="320">
        <v>0.1022</v>
      </c>
      <c r="AM217" s="320">
        <v>23.31</v>
      </c>
      <c r="AN217" s="320">
        <v>246.59</v>
      </c>
      <c r="AO217" s="320">
        <v>85.58</v>
      </c>
      <c r="AP217" s="320">
        <v>19.95</v>
      </c>
    </row>
    <row r="218">
      <c r="A218" s="319" t="s">
        <v>256</v>
      </c>
      <c r="B218" s="328">
        <v>46086.0</v>
      </c>
      <c r="C218" s="319" t="s">
        <v>257</v>
      </c>
      <c r="D218" s="320">
        <v>20848.0</v>
      </c>
      <c r="E218" s="320">
        <v>19.56</v>
      </c>
      <c r="F218" s="320">
        <v>0.0</v>
      </c>
      <c r="G218" s="320">
        <v>0.0</v>
      </c>
      <c r="H218" s="320">
        <v>0.0</v>
      </c>
      <c r="I218" s="329"/>
      <c r="J218" s="320">
        <v>6.37</v>
      </c>
      <c r="K218" s="320">
        <v>2.59</v>
      </c>
      <c r="L218" s="320">
        <v>0.06</v>
      </c>
      <c r="M218" s="320">
        <v>0.0239</v>
      </c>
      <c r="N218" s="320">
        <v>0.9816</v>
      </c>
      <c r="O218" s="320">
        <v>0.7876</v>
      </c>
      <c r="P218" s="320">
        <v>41.8906</v>
      </c>
      <c r="Q218" s="320">
        <v>22.27</v>
      </c>
      <c r="R218" s="320">
        <v>22.18</v>
      </c>
      <c r="S218" s="320">
        <v>0.09</v>
      </c>
      <c r="T218" s="320">
        <v>0.0</v>
      </c>
      <c r="U218" s="320">
        <v>22.27</v>
      </c>
      <c r="V218" s="320">
        <v>1.82</v>
      </c>
      <c r="W218" s="320">
        <v>0.701</v>
      </c>
      <c r="X218" s="320">
        <v>0.0</v>
      </c>
      <c r="Y218" s="320">
        <v>313.0</v>
      </c>
      <c r="Z218" s="320">
        <v>3573.0</v>
      </c>
      <c r="AA218" s="320">
        <v>14432.0</v>
      </c>
      <c r="AB218" s="320">
        <v>48.9482</v>
      </c>
      <c r="AC218" s="320">
        <v>0.5318</v>
      </c>
      <c r="AD218" s="329"/>
      <c r="AE218" s="329"/>
      <c r="AF218" s="329"/>
      <c r="AG218" s="329"/>
      <c r="AH218" s="329"/>
      <c r="AI218" s="320">
        <v>0.0</v>
      </c>
      <c r="AJ218" s="320">
        <v>0.0</v>
      </c>
      <c r="AK218" s="320">
        <v>0.0</v>
      </c>
      <c r="AL218" s="320">
        <v>0.2909</v>
      </c>
      <c r="AM218" s="320">
        <v>16.07</v>
      </c>
      <c r="AN218" s="320">
        <v>6.11</v>
      </c>
      <c r="AO218" s="329"/>
      <c r="AP218" s="329"/>
    </row>
    <row r="219">
      <c r="A219" s="319" t="s">
        <v>256</v>
      </c>
      <c r="B219" s="328">
        <v>46086.0</v>
      </c>
      <c r="C219" s="319" t="s">
        <v>214</v>
      </c>
      <c r="D219" s="320">
        <v>38625.0</v>
      </c>
      <c r="E219" s="320">
        <v>36.23</v>
      </c>
      <c r="F219" s="320">
        <v>0.0</v>
      </c>
      <c r="G219" s="320">
        <v>0.0</v>
      </c>
      <c r="H219" s="320">
        <v>0.0</v>
      </c>
      <c r="I219" s="329"/>
      <c r="J219" s="320">
        <v>29.22</v>
      </c>
      <c r="K219" s="320">
        <v>13.3</v>
      </c>
      <c r="L219" s="320">
        <v>5.64</v>
      </c>
      <c r="M219" s="320">
        <v>0.4241</v>
      </c>
      <c r="N219" s="320">
        <v>0.7479</v>
      </c>
      <c r="O219" s="320">
        <v>0.5453</v>
      </c>
      <c r="P219" s="320">
        <v>2.3577</v>
      </c>
      <c r="Q219" s="320">
        <v>50.38</v>
      </c>
      <c r="R219" s="320">
        <v>38.67</v>
      </c>
      <c r="S219" s="320">
        <v>11.72</v>
      </c>
      <c r="T219" s="320">
        <v>0.06</v>
      </c>
      <c r="U219" s="320">
        <v>50.32</v>
      </c>
      <c r="V219" s="320">
        <v>52.33</v>
      </c>
      <c r="W219" s="320">
        <v>3.9346</v>
      </c>
      <c r="X219" s="320">
        <v>0.12</v>
      </c>
      <c r="Y219" s="320">
        <v>145.0</v>
      </c>
      <c r="Z219" s="320">
        <v>878.0</v>
      </c>
      <c r="AA219" s="320">
        <v>5809.0</v>
      </c>
      <c r="AB219" s="320">
        <v>48.6323</v>
      </c>
      <c r="AC219" s="320">
        <v>0.5259</v>
      </c>
      <c r="AD219" s="320">
        <v>4.06</v>
      </c>
      <c r="AE219" s="320">
        <v>1.0</v>
      </c>
      <c r="AF219" s="320">
        <v>3.0</v>
      </c>
      <c r="AG219" s="320">
        <v>5.0</v>
      </c>
      <c r="AH219" s="320">
        <v>9.0</v>
      </c>
      <c r="AI219" s="320">
        <v>72.67</v>
      </c>
      <c r="AJ219" s="320">
        <v>31.37</v>
      </c>
      <c r="AK219" s="320">
        <v>9.29</v>
      </c>
      <c r="AL219" s="320">
        <v>0.2457</v>
      </c>
      <c r="AM219" s="320">
        <v>19.51</v>
      </c>
      <c r="AN219" s="320">
        <v>19.15</v>
      </c>
      <c r="AO219" s="320">
        <v>65.58</v>
      </c>
      <c r="AP219" s="320">
        <v>12.79</v>
      </c>
    </row>
    <row r="220">
      <c r="A220" s="319" t="s">
        <v>256</v>
      </c>
      <c r="B220" s="328">
        <v>46086.0</v>
      </c>
      <c r="C220" s="319" t="s">
        <v>215</v>
      </c>
      <c r="D220" s="320">
        <v>26869.0</v>
      </c>
      <c r="E220" s="320">
        <v>25.2</v>
      </c>
      <c r="F220" s="320">
        <v>0.0</v>
      </c>
      <c r="G220" s="320">
        <v>0.0</v>
      </c>
      <c r="H220" s="320">
        <v>0.0</v>
      </c>
      <c r="I220" s="329"/>
      <c r="J220" s="320">
        <v>52.97</v>
      </c>
      <c r="K220" s="320">
        <v>25.37</v>
      </c>
      <c r="L220" s="320">
        <v>13.92</v>
      </c>
      <c r="M220" s="320">
        <v>0.5488</v>
      </c>
      <c r="N220" s="320">
        <v>0.6413</v>
      </c>
      <c r="O220" s="320">
        <v>0.4421</v>
      </c>
      <c r="P220" s="320">
        <v>1.822</v>
      </c>
      <c r="Q220" s="320">
        <v>93.2</v>
      </c>
      <c r="R220" s="320">
        <v>64.68</v>
      </c>
      <c r="S220" s="320">
        <v>28.52</v>
      </c>
      <c r="T220" s="320">
        <v>0.53</v>
      </c>
      <c r="U220" s="320">
        <v>92.67</v>
      </c>
      <c r="V220" s="320">
        <v>94.93</v>
      </c>
      <c r="W220" s="320">
        <v>3.7424</v>
      </c>
      <c r="X220" s="320">
        <v>0.57</v>
      </c>
      <c r="Y220" s="320">
        <v>128.0</v>
      </c>
      <c r="Z220" s="320">
        <v>752.0</v>
      </c>
      <c r="AA220" s="320">
        <v>5684.0</v>
      </c>
      <c r="AB220" s="320">
        <v>52.3679</v>
      </c>
      <c r="AC220" s="320">
        <v>0.629</v>
      </c>
      <c r="AD220" s="320">
        <v>9.31</v>
      </c>
      <c r="AE220" s="320">
        <v>4.0</v>
      </c>
      <c r="AF220" s="320">
        <v>7.0</v>
      </c>
      <c r="AG220" s="320">
        <v>13.0</v>
      </c>
      <c r="AH220" s="320">
        <v>19.0</v>
      </c>
      <c r="AI220" s="320">
        <v>60.1</v>
      </c>
      <c r="AJ220" s="320">
        <v>26.25</v>
      </c>
      <c r="AK220" s="320">
        <v>4.26</v>
      </c>
      <c r="AL220" s="320">
        <v>0.1971</v>
      </c>
      <c r="AM220" s="320">
        <v>20.38</v>
      </c>
      <c r="AN220" s="320">
        <v>44.3</v>
      </c>
      <c r="AO220" s="320">
        <v>73.94</v>
      </c>
      <c r="AP220" s="320">
        <v>15.07</v>
      </c>
    </row>
    <row r="221">
      <c r="A221" s="319" t="s">
        <v>256</v>
      </c>
      <c r="B221" s="328">
        <v>46086.0</v>
      </c>
      <c r="C221" s="319" t="s">
        <v>216</v>
      </c>
      <c r="D221" s="320">
        <v>14101.0</v>
      </c>
      <c r="E221" s="320">
        <v>13.23</v>
      </c>
      <c r="F221" s="320">
        <v>0.0</v>
      </c>
      <c r="G221" s="320">
        <v>0.0</v>
      </c>
      <c r="H221" s="320">
        <v>0.0</v>
      </c>
      <c r="I221" s="329"/>
      <c r="J221" s="320">
        <v>77.01</v>
      </c>
      <c r="K221" s="320">
        <v>39.32</v>
      </c>
      <c r="L221" s="320">
        <v>26.01</v>
      </c>
      <c r="M221" s="320">
        <v>0.6616</v>
      </c>
      <c r="N221" s="320">
        <v>0.5282</v>
      </c>
      <c r="O221" s="320">
        <v>0.3639</v>
      </c>
      <c r="P221" s="320">
        <v>1.5115</v>
      </c>
      <c r="Q221" s="320">
        <v>163.78</v>
      </c>
      <c r="R221" s="320">
        <v>108.82</v>
      </c>
      <c r="S221" s="320">
        <v>54.96</v>
      </c>
      <c r="T221" s="320">
        <v>0.53</v>
      </c>
      <c r="U221" s="320">
        <v>163.25</v>
      </c>
      <c r="V221" s="320">
        <v>165.97</v>
      </c>
      <c r="W221" s="320">
        <v>4.2214</v>
      </c>
      <c r="X221" s="320">
        <v>0.32</v>
      </c>
      <c r="Y221" s="320">
        <v>157.0</v>
      </c>
      <c r="Z221" s="320">
        <v>1002.0</v>
      </c>
      <c r="AA221" s="320">
        <v>6346.0</v>
      </c>
      <c r="AB221" s="320">
        <v>55.9576</v>
      </c>
      <c r="AC221" s="320">
        <v>0.7454</v>
      </c>
      <c r="AD221" s="320">
        <v>17.51</v>
      </c>
      <c r="AE221" s="320">
        <v>7.0</v>
      </c>
      <c r="AF221" s="320">
        <v>14.0</v>
      </c>
      <c r="AG221" s="320">
        <v>24.0</v>
      </c>
      <c r="AH221" s="320">
        <v>36.0</v>
      </c>
      <c r="AI221" s="320">
        <v>60.02</v>
      </c>
      <c r="AJ221" s="320">
        <v>22.61</v>
      </c>
      <c r="AK221" s="320">
        <v>6.29</v>
      </c>
      <c r="AL221" s="320">
        <v>0.1866</v>
      </c>
      <c r="AM221" s="320">
        <v>19.94</v>
      </c>
      <c r="AN221" s="320">
        <v>88.88</v>
      </c>
      <c r="AO221" s="320">
        <v>76.9</v>
      </c>
      <c r="AP221" s="320">
        <v>15.33</v>
      </c>
    </row>
    <row r="222">
      <c r="A222" s="319" t="s">
        <v>256</v>
      </c>
      <c r="B222" s="328">
        <v>46086.0</v>
      </c>
      <c r="C222" s="319" t="s">
        <v>217</v>
      </c>
      <c r="D222" s="320">
        <v>5551.0</v>
      </c>
      <c r="E222" s="320">
        <v>5.21</v>
      </c>
      <c r="F222" s="320">
        <v>0.0</v>
      </c>
      <c r="G222" s="320">
        <v>0.0</v>
      </c>
      <c r="H222" s="320">
        <v>0.0</v>
      </c>
      <c r="I222" s="329"/>
      <c r="J222" s="320">
        <v>126.11</v>
      </c>
      <c r="K222" s="320">
        <v>69.65</v>
      </c>
      <c r="L222" s="320">
        <v>55.19</v>
      </c>
      <c r="M222" s="320">
        <v>0.7923</v>
      </c>
      <c r="N222" s="320">
        <v>0.3881</v>
      </c>
      <c r="O222" s="320">
        <v>0.2785</v>
      </c>
      <c r="P222" s="320">
        <v>1.2621</v>
      </c>
      <c r="Q222" s="320">
        <v>330.24</v>
      </c>
      <c r="R222" s="320">
        <v>213.54</v>
      </c>
      <c r="S222" s="320">
        <v>116.7</v>
      </c>
      <c r="T222" s="320">
        <v>0.0</v>
      </c>
      <c r="U222" s="320">
        <v>330.24</v>
      </c>
      <c r="V222" s="320">
        <v>344.15</v>
      </c>
      <c r="W222" s="320">
        <v>4.9411</v>
      </c>
      <c r="X222" s="320">
        <v>0.0</v>
      </c>
      <c r="Y222" s="320">
        <v>323.0</v>
      </c>
      <c r="Z222" s="320">
        <v>2373.0</v>
      </c>
      <c r="AA222" s="320">
        <v>9762.0</v>
      </c>
      <c r="AB222" s="320">
        <v>59.9585</v>
      </c>
      <c r="AC222" s="320">
        <v>0.8311</v>
      </c>
      <c r="AD222" s="320">
        <v>37.88</v>
      </c>
      <c r="AE222" s="320">
        <v>16.0</v>
      </c>
      <c r="AF222" s="320">
        <v>30.0</v>
      </c>
      <c r="AG222" s="320">
        <v>52.0</v>
      </c>
      <c r="AH222" s="320">
        <v>78.0</v>
      </c>
      <c r="AI222" s="320">
        <v>52.93</v>
      </c>
      <c r="AJ222" s="320">
        <v>19.55</v>
      </c>
      <c r="AK222" s="320">
        <v>4.5</v>
      </c>
      <c r="AL222" s="320">
        <v>0.1311</v>
      </c>
      <c r="AM222" s="320">
        <v>20.86</v>
      </c>
      <c r="AN222" s="320">
        <v>192.68</v>
      </c>
      <c r="AO222" s="320">
        <v>82.64</v>
      </c>
      <c r="AP222" s="320">
        <v>17.24</v>
      </c>
    </row>
    <row r="223">
      <c r="A223" s="319" t="s">
        <v>256</v>
      </c>
      <c r="B223" s="328">
        <v>46086.0</v>
      </c>
      <c r="C223" s="319" t="s">
        <v>218</v>
      </c>
      <c r="D223" s="320">
        <v>616.0</v>
      </c>
      <c r="E223" s="320">
        <v>0.58</v>
      </c>
      <c r="F223" s="320">
        <v>0.0</v>
      </c>
      <c r="G223" s="320">
        <v>0.0</v>
      </c>
      <c r="H223" s="320">
        <v>0.0</v>
      </c>
      <c r="I223" s="329"/>
      <c r="J223" s="320">
        <v>241.85</v>
      </c>
      <c r="K223" s="320">
        <v>141.7</v>
      </c>
      <c r="L223" s="320">
        <v>123.06</v>
      </c>
      <c r="M223" s="320">
        <v>0.8684</v>
      </c>
      <c r="N223" s="320">
        <v>0.2816</v>
      </c>
      <c r="O223" s="320">
        <v>0.209</v>
      </c>
      <c r="P223" s="320">
        <v>1.1515</v>
      </c>
      <c r="Q223" s="320">
        <v>623.53</v>
      </c>
      <c r="R223" s="320">
        <v>360.51</v>
      </c>
      <c r="S223" s="320">
        <v>263.01</v>
      </c>
      <c r="T223" s="320">
        <v>0.0</v>
      </c>
      <c r="U223" s="320">
        <v>623.53</v>
      </c>
      <c r="V223" s="320">
        <v>651.62</v>
      </c>
      <c r="W223" s="320">
        <v>4.5985</v>
      </c>
      <c r="X223" s="320">
        <v>0.0</v>
      </c>
      <c r="Y223" s="320">
        <v>840.0</v>
      </c>
      <c r="Z223" s="320">
        <v>4465.0</v>
      </c>
      <c r="AA223" s="320">
        <v>12036.0</v>
      </c>
      <c r="AB223" s="320">
        <v>63.0586</v>
      </c>
      <c r="AC223" s="320">
        <v>0.8949</v>
      </c>
      <c r="AD223" s="320">
        <v>86.31</v>
      </c>
      <c r="AE223" s="320">
        <v>33.0</v>
      </c>
      <c r="AF223" s="320">
        <v>72.0</v>
      </c>
      <c r="AG223" s="320">
        <v>123.0</v>
      </c>
      <c r="AH223" s="320">
        <v>177.0</v>
      </c>
      <c r="AI223" s="320">
        <v>45.62</v>
      </c>
      <c r="AJ223" s="320">
        <v>10.55</v>
      </c>
      <c r="AK223" s="320">
        <v>1.46</v>
      </c>
      <c r="AL223" s="320">
        <v>0.0812</v>
      </c>
      <c r="AM223" s="320">
        <v>25.61</v>
      </c>
      <c r="AN223" s="320">
        <v>334.91</v>
      </c>
      <c r="AO223" s="320">
        <v>84.6</v>
      </c>
      <c r="AP223" s="320">
        <v>21.67</v>
      </c>
    </row>
    <row r="224">
      <c r="A224" s="319" t="s">
        <v>256</v>
      </c>
      <c r="B224" s="328">
        <v>46087.0</v>
      </c>
      <c r="C224" s="319" t="s">
        <v>257</v>
      </c>
      <c r="D224" s="320">
        <v>18777.0</v>
      </c>
      <c r="E224" s="320">
        <v>17.83</v>
      </c>
      <c r="F224" s="320">
        <v>0.0</v>
      </c>
      <c r="G224" s="320">
        <v>0.0</v>
      </c>
      <c r="H224" s="320">
        <v>0.0</v>
      </c>
      <c r="I224" s="329"/>
      <c r="J224" s="320">
        <v>5.68</v>
      </c>
      <c r="K224" s="320">
        <v>2.26</v>
      </c>
      <c r="L224" s="320">
        <v>0.03</v>
      </c>
      <c r="M224" s="320">
        <v>0.013</v>
      </c>
      <c r="N224" s="320">
        <v>0.9901</v>
      </c>
      <c r="O224" s="320">
        <v>0.8751</v>
      </c>
      <c r="P224" s="320">
        <v>76.8571</v>
      </c>
      <c r="Q224" s="320">
        <v>27.71</v>
      </c>
      <c r="R224" s="320">
        <v>27.58</v>
      </c>
      <c r="S224" s="320">
        <v>0.13</v>
      </c>
      <c r="T224" s="320">
        <v>0.0</v>
      </c>
      <c r="U224" s="320">
        <v>27.71</v>
      </c>
      <c r="V224" s="320">
        <v>1.75</v>
      </c>
      <c r="W224" s="320">
        <v>0.7753</v>
      </c>
      <c r="X224" s="320">
        <v>0.0</v>
      </c>
      <c r="Y224" s="320">
        <v>400.0</v>
      </c>
      <c r="Z224" s="320">
        <v>4065.0</v>
      </c>
      <c r="AA224" s="320">
        <v>15103.0</v>
      </c>
      <c r="AB224" s="320">
        <v>49.1628</v>
      </c>
      <c r="AC224" s="320">
        <v>0.5424</v>
      </c>
      <c r="AD224" s="329"/>
      <c r="AE224" s="329"/>
      <c r="AF224" s="329"/>
      <c r="AG224" s="329"/>
      <c r="AH224" s="329"/>
      <c r="AI224" s="320">
        <v>0.0</v>
      </c>
      <c r="AJ224" s="320">
        <v>0.0</v>
      </c>
      <c r="AK224" s="320">
        <v>0.0</v>
      </c>
      <c r="AL224" s="320">
        <v>0.3101</v>
      </c>
      <c r="AM224" s="320">
        <v>17.44</v>
      </c>
      <c r="AN224" s="320">
        <v>10.14</v>
      </c>
      <c r="AO224" s="329"/>
      <c r="AP224" s="329"/>
    </row>
    <row r="225">
      <c r="A225" s="319" t="s">
        <v>256</v>
      </c>
      <c r="B225" s="328">
        <v>46087.0</v>
      </c>
      <c r="C225" s="319" t="s">
        <v>214</v>
      </c>
      <c r="D225" s="320">
        <v>38615.0</v>
      </c>
      <c r="E225" s="320">
        <v>36.67</v>
      </c>
      <c r="F225" s="320">
        <v>0.0</v>
      </c>
      <c r="G225" s="320">
        <v>0.0</v>
      </c>
      <c r="H225" s="320">
        <v>0.0</v>
      </c>
      <c r="I225" s="329"/>
      <c r="J225" s="320">
        <v>31.53</v>
      </c>
      <c r="K225" s="320">
        <v>14.36</v>
      </c>
      <c r="L225" s="320">
        <v>6.1</v>
      </c>
      <c r="M225" s="320">
        <v>0.4246</v>
      </c>
      <c r="N225" s="320">
        <v>0.744</v>
      </c>
      <c r="O225" s="320">
        <v>0.5381</v>
      </c>
      <c r="P225" s="320">
        <v>2.355</v>
      </c>
      <c r="Q225" s="320">
        <v>60.09</v>
      </c>
      <c r="R225" s="320">
        <v>47.35</v>
      </c>
      <c r="S225" s="320">
        <v>12.74</v>
      </c>
      <c r="T225" s="320">
        <v>0.09</v>
      </c>
      <c r="U225" s="320">
        <v>60.01</v>
      </c>
      <c r="V225" s="320">
        <v>55.18</v>
      </c>
      <c r="W225" s="320">
        <v>3.842</v>
      </c>
      <c r="X225" s="320">
        <v>0.14</v>
      </c>
      <c r="Y225" s="320">
        <v>144.0</v>
      </c>
      <c r="Z225" s="320">
        <v>867.0</v>
      </c>
      <c r="AA225" s="320">
        <v>5933.0</v>
      </c>
      <c r="AB225" s="320">
        <v>48.557</v>
      </c>
      <c r="AC225" s="320">
        <v>0.5259</v>
      </c>
      <c r="AD225" s="320">
        <v>4.27</v>
      </c>
      <c r="AE225" s="320">
        <v>2.0</v>
      </c>
      <c r="AF225" s="320">
        <v>3.0</v>
      </c>
      <c r="AG225" s="320">
        <v>6.0</v>
      </c>
      <c r="AH225" s="320">
        <v>9.0</v>
      </c>
      <c r="AI225" s="320">
        <v>75.45</v>
      </c>
      <c r="AJ225" s="320">
        <v>34.07</v>
      </c>
      <c r="AK225" s="320">
        <v>9.9</v>
      </c>
      <c r="AL225" s="320">
        <v>0.2622</v>
      </c>
      <c r="AM225" s="320">
        <v>20.28</v>
      </c>
      <c r="AN225" s="320">
        <v>27.08</v>
      </c>
      <c r="AO225" s="320">
        <v>65.85</v>
      </c>
      <c r="AP225" s="320">
        <v>13.35</v>
      </c>
    </row>
    <row r="226">
      <c r="A226" s="319" t="s">
        <v>256</v>
      </c>
      <c r="B226" s="328">
        <v>46087.0</v>
      </c>
      <c r="C226" s="319" t="s">
        <v>215</v>
      </c>
      <c r="D226" s="320">
        <v>27198.0</v>
      </c>
      <c r="E226" s="320">
        <v>25.83</v>
      </c>
      <c r="F226" s="320">
        <v>0.0</v>
      </c>
      <c r="G226" s="320">
        <v>0.0</v>
      </c>
      <c r="H226" s="320">
        <v>0.0</v>
      </c>
      <c r="I226" s="329"/>
      <c r="J226" s="320">
        <v>57.34</v>
      </c>
      <c r="K226" s="320">
        <v>27.52</v>
      </c>
      <c r="L226" s="320">
        <v>14.62</v>
      </c>
      <c r="M226" s="320">
        <v>0.531</v>
      </c>
      <c r="N226" s="320">
        <v>0.6537</v>
      </c>
      <c r="O226" s="320">
        <v>0.4512</v>
      </c>
      <c r="P226" s="320">
        <v>1.8831</v>
      </c>
      <c r="Q226" s="320">
        <v>103.64</v>
      </c>
      <c r="R226" s="320">
        <v>72.84</v>
      </c>
      <c r="S226" s="320">
        <v>30.81</v>
      </c>
      <c r="T226" s="320">
        <v>0.21</v>
      </c>
      <c r="U226" s="320">
        <v>103.44</v>
      </c>
      <c r="V226" s="320">
        <v>100.77</v>
      </c>
      <c r="W226" s="320">
        <v>3.6612</v>
      </c>
      <c r="X226" s="320">
        <v>0.2</v>
      </c>
      <c r="Y226" s="320">
        <v>126.0</v>
      </c>
      <c r="Z226" s="320">
        <v>685.0</v>
      </c>
      <c r="AA226" s="320">
        <v>5203.0</v>
      </c>
      <c r="AB226" s="320">
        <v>52.2503</v>
      </c>
      <c r="AC226" s="320">
        <v>0.6295</v>
      </c>
      <c r="AD226" s="320">
        <v>9.71</v>
      </c>
      <c r="AE226" s="320">
        <v>4.0</v>
      </c>
      <c r="AF226" s="320">
        <v>8.0</v>
      </c>
      <c r="AG226" s="320">
        <v>13.0</v>
      </c>
      <c r="AH226" s="320">
        <v>20.0</v>
      </c>
      <c r="AI226" s="320">
        <v>64.2</v>
      </c>
      <c r="AJ226" s="320">
        <v>27.34</v>
      </c>
      <c r="AK226" s="320">
        <v>4.32</v>
      </c>
      <c r="AL226" s="320">
        <v>0.2137</v>
      </c>
      <c r="AM226" s="320">
        <v>20.97</v>
      </c>
      <c r="AN226" s="320">
        <v>51.87</v>
      </c>
      <c r="AO226" s="320">
        <v>74.13</v>
      </c>
      <c r="AP226" s="320">
        <v>15.55</v>
      </c>
    </row>
    <row r="227">
      <c r="A227" s="319" t="s">
        <v>256</v>
      </c>
      <c r="B227" s="328">
        <v>46087.0</v>
      </c>
      <c r="C227" s="319" t="s">
        <v>216</v>
      </c>
      <c r="D227" s="320">
        <v>14338.0</v>
      </c>
      <c r="E227" s="320">
        <v>13.61</v>
      </c>
      <c r="F227" s="320">
        <v>0.0</v>
      </c>
      <c r="G227" s="320">
        <v>0.0</v>
      </c>
      <c r="H227" s="320">
        <v>0.0</v>
      </c>
      <c r="I227" s="329"/>
      <c r="J227" s="320">
        <v>83.21</v>
      </c>
      <c r="K227" s="320">
        <v>42.25</v>
      </c>
      <c r="L227" s="320">
        <v>27.39</v>
      </c>
      <c r="M227" s="320">
        <v>0.6482</v>
      </c>
      <c r="N227" s="320">
        <v>0.5359</v>
      </c>
      <c r="O227" s="320">
        <v>0.3663</v>
      </c>
      <c r="P227" s="320">
        <v>1.5426</v>
      </c>
      <c r="Q227" s="320">
        <v>162.94</v>
      </c>
      <c r="R227" s="320">
        <v>104.96</v>
      </c>
      <c r="S227" s="320">
        <v>57.99</v>
      </c>
      <c r="T227" s="320">
        <v>0.1</v>
      </c>
      <c r="U227" s="320">
        <v>162.84</v>
      </c>
      <c r="V227" s="320">
        <v>169.38</v>
      </c>
      <c r="W227" s="320">
        <v>4.0087</v>
      </c>
      <c r="X227" s="320">
        <v>0.06</v>
      </c>
      <c r="Y227" s="320">
        <v>155.0</v>
      </c>
      <c r="Z227" s="320">
        <v>967.0</v>
      </c>
      <c r="AA227" s="320">
        <v>6544.0</v>
      </c>
      <c r="AB227" s="320">
        <v>55.7022</v>
      </c>
      <c r="AC227" s="320">
        <v>0.7371</v>
      </c>
      <c r="AD227" s="320">
        <v>18.03</v>
      </c>
      <c r="AE227" s="320">
        <v>8.0</v>
      </c>
      <c r="AF227" s="320">
        <v>14.0</v>
      </c>
      <c r="AG227" s="320">
        <v>25.0</v>
      </c>
      <c r="AH227" s="320">
        <v>36.0</v>
      </c>
      <c r="AI227" s="320">
        <v>62.44</v>
      </c>
      <c r="AJ227" s="320">
        <v>23.56</v>
      </c>
      <c r="AK227" s="320">
        <v>6.12</v>
      </c>
      <c r="AL227" s="320">
        <v>0.2026</v>
      </c>
      <c r="AM227" s="320">
        <v>21.49</v>
      </c>
      <c r="AN227" s="320">
        <v>83.47</v>
      </c>
      <c r="AO227" s="320">
        <v>76.95</v>
      </c>
      <c r="AP227" s="320">
        <v>16.54</v>
      </c>
    </row>
    <row r="228">
      <c r="A228" s="319" t="s">
        <v>256</v>
      </c>
      <c r="B228" s="328">
        <v>46087.0</v>
      </c>
      <c r="C228" s="319" t="s">
        <v>217</v>
      </c>
      <c r="D228" s="320">
        <v>5732.0</v>
      </c>
      <c r="E228" s="320">
        <v>5.44</v>
      </c>
      <c r="F228" s="320">
        <v>0.0</v>
      </c>
      <c r="G228" s="320">
        <v>0.0</v>
      </c>
      <c r="H228" s="320">
        <v>0.0</v>
      </c>
      <c r="I228" s="329"/>
      <c r="J228" s="320">
        <v>133.84</v>
      </c>
      <c r="K228" s="320">
        <v>72.34</v>
      </c>
      <c r="L228" s="320">
        <v>55.41</v>
      </c>
      <c r="M228" s="320">
        <v>0.766</v>
      </c>
      <c r="N228" s="320">
        <v>0.4094</v>
      </c>
      <c r="O228" s="320">
        <v>0.2873</v>
      </c>
      <c r="P228" s="320">
        <v>1.3055</v>
      </c>
      <c r="Q228" s="320">
        <v>276.35</v>
      </c>
      <c r="R228" s="320">
        <v>158.55</v>
      </c>
      <c r="S228" s="320">
        <v>117.8</v>
      </c>
      <c r="T228" s="320">
        <v>0.01</v>
      </c>
      <c r="U228" s="320">
        <v>276.34</v>
      </c>
      <c r="V228" s="320">
        <v>316.93</v>
      </c>
      <c r="W228" s="320">
        <v>4.3811</v>
      </c>
      <c r="X228" s="320">
        <v>0.0</v>
      </c>
      <c r="Y228" s="320">
        <v>271.0</v>
      </c>
      <c r="Z228" s="320">
        <v>2105.0</v>
      </c>
      <c r="AA228" s="320">
        <v>9155.0</v>
      </c>
      <c r="AB228" s="320">
        <v>59.729</v>
      </c>
      <c r="AC228" s="320">
        <v>0.8313</v>
      </c>
      <c r="AD228" s="320">
        <v>36.57</v>
      </c>
      <c r="AE228" s="320">
        <v>15.0</v>
      </c>
      <c r="AF228" s="320">
        <v>29.0</v>
      </c>
      <c r="AG228" s="320">
        <v>49.0</v>
      </c>
      <c r="AH228" s="320">
        <v>76.0</v>
      </c>
      <c r="AI228" s="320">
        <v>51.85</v>
      </c>
      <c r="AJ228" s="320">
        <v>17.69</v>
      </c>
      <c r="AK228" s="320">
        <v>3.98</v>
      </c>
      <c r="AL228" s="320">
        <v>0.1493</v>
      </c>
      <c r="AM228" s="320">
        <v>21.83</v>
      </c>
      <c r="AN228" s="320">
        <v>136.72</v>
      </c>
      <c r="AO228" s="320">
        <v>81.91</v>
      </c>
      <c r="AP228" s="320">
        <v>17.88</v>
      </c>
    </row>
    <row r="229">
      <c r="A229" s="319" t="s">
        <v>256</v>
      </c>
      <c r="B229" s="328">
        <v>46087.0</v>
      </c>
      <c r="C229" s="319" t="s">
        <v>218</v>
      </c>
      <c r="D229" s="320">
        <v>655.0</v>
      </c>
      <c r="E229" s="320">
        <v>0.62</v>
      </c>
      <c r="F229" s="320">
        <v>0.0</v>
      </c>
      <c r="G229" s="320">
        <v>0.0</v>
      </c>
      <c r="H229" s="320">
        <v>0.0</v>
      </c>
      <c r="I229" s="329"/>
      <c r="J229" s="320">
        <v>250.76</v>
      </c>
      <c r="K229" s="320">
        <v>143.09</v>
      </c>
      <c r="L229" s="320">
        <v>123.17</v>
      </c>
      <c r="M229" s="320">
        <v>0.8608</v>
      </c>
      <c r="N229" s="320">
        <v>0.2883</v>
      </c>
      <c r="O229" s="320">
        <v>0.2122</v>
      </c>
      <c r="P229" s="320">
        <v>1.1617</v>
      </c>
      <c r="Q229" s="320">
        <v>529.51</v>
      </c>
      <c r="R229" s="320">
        <v>267.09</v>
      </c>
      <c r="S229" s="320">
        <v>262.43</v>
      </c>
      <c r="T229" s="320">
        <v>0.0</v>
      </c>
      <c r="U229" s="320">
        <v>529.51</v>
      </c>
      <c r="V229" s="320">
        <v>761.98</v>
      </c>
      <c r="W229" s="320">
        <v>5.3252</v>
      </c>
      <c r="X229" s="320">
        <v>0.0</v>
      </c>
      <c r="Y229" s="320">
        <v>880.0</v>
      </c>
      <c r="Z229" s="320">
        <v>4392.0</v>
      </c>
      <c r="AA229" s="320">
        <v>11508.0</v>
      </c>
      <c r="AB229" s="320">
        <v>63.1298</v>
      </c>
      <c r="AC229" s="320">
        <v>0.8924</v>
      </c>
      <c r="AD229" s="320">
        <v>81.34</v>
      </c>
      <c r="AE229" s="320">
        <v>31.0</v>
      </c>
      <c r="AF229" s="320">
        <v>68.0</v>
      </c>
      <c r="AG229" s="320">
        <v>117.0</v>
      </c>
      <c r="AH229" s="320">
        <v>158.0</v>
      </c>
      <c r="AI229" s="320">
        <v>43.05</v>
      </c>
      <c r="AJ229" s="320">
        <v>7.33</v>
      </c>
      <c r="AK229" s="320">
        <v>0.46</v>
      </c>
      <c r="AL229" s="320">
        <v>0.1038</v>
      </c>
      <c r="AM229" s="320">
        <v>25.27</v>
      </c>
      <c r="AN229" s="320">
        <v>241.82</v>
      </c>
      <c r="AO229" s="320">
        <v>84.19</v>
      </c>
      <c r="AP229" s="320">
        <v>21.27</v>
      </c>
    </row>
    <row r="230">
      <c r="A230" s="319" t="s">
        <v>256</v>
      </c>
      <c r="B230" s="328">
        <v>46088.0</v>
      </c>
      <c r="C230" s="319" t="s">
        <v>257</v>
      </c>
      <c r="D230" s="320">
        <v>19281.0</v>
      </c>
      <c r="E230" s="320">
        <v>18.42</v>
      </c>
      <c r="F230" s="320">
        <v>0.0</v>
      </c>
      <c r="G230" s="320">
        <v>0.0</v>
      </c>
      <c r="H230" s="320">
        <v>0.0</v>
      </c>
      <c r="I230" s="329"/>
      <c r="J230" s="320">
        <v>6.17</v>
      </c>
      <c r="K230" s="320">
        <v>2.48</v>
      </c>
      <c r="L230" s="320">
        <v>0.03</v>
      </c>
      <c r="M230" s="320">
        <v>0.0128</v>
      </c>
      <c r="N230" s="320">
        <v>0.9907</v>
      </c>
      <c r="O230" s="320">
        <v>0.8831</v>
      </c>
      <c r="P230" s="320">
        <v>77.9397</v>
      </c>
      <c r="Q230" s="320">
        <v>25.68</v>
      </c>
      <c r="R230" s="320">
        <v>25.58</v>
      </c>
      <c r="S230" s="320">
        <v>0.1</v>
      </c>
      <c r="T230" s="320">
        <v>0.0</v>
      </c>
      <c r="U230" s="320">
        <v>25.68</v>
      </c>
      <c r="V230" s="320">
        <v>2.1</v>
      </c>
      <c r="W230" s="320">
        <v>0.8453</v>
      </c>
      <c r="X230" s="320">
        <v>0.0</v>
      </c>
      <c r="Y230" s="320">
        <v>322.0</v>
      </c>
      <c r="Z230" s="320">
        <v>3490.0</v>
      </c>
      <c r="AA230" s="320">
        <v>14148.0</v>
      </c>
      <c r="AB230" s="320">
        <v>49.0885</v>
      </c>
      <c r="AC230" s="320">
        <v>0.5337</v>
      </c>
      <c r="AD230" s="329"/>
      <c r="AE230" s="329"/>
      <c r="AF230" s="329"/>
      <c r="AG230" s="329"/>
      <c r="AH230" s="329"/>
      <c r="AI230" s="320">
        <v>0.0</v>
      </c>
      <c r="AJ230" s="320">
        <v>0.0</v>
      </c>
      <c r="AK230" s="320">
        <v>0.0</v>
      </c>
      <c r="AL230" s="320">
        <v>0.2927</v>
      </c>
      <c r="AM230" s="320">
        <v>18.64</v>
      </c>
      <c r="AN230" s="320">
        <v>6.94</v>
      </c>
      <c r="AO230" s="329"/>
      <c r="AP230" s="329"/>
    </row>
    <row r="231">
      <c r="A231" s="319" t="s">
        <v>256</v>
      </c>
      <c r="B231" s="328">
        <v>46088.0</v>
      </c>
      <c r="C231" s="319" t="s">
        <v>214</v>
      </c>
      <c r="D231" s="320">
        <v>37464.0</v>
      </c>
      <c r="E231" s="320">
        <v>35.8</v>
      </c>
      <c r="F231" s="320">
        <v>0.0</v>
      </c>
      <c r="G231" s="320">
        <v>0.0</v>
      </c>
      <c r="H231" s="320">
        <v>0.0</v>
      </c>
      <c r="I231" s="329"/>
      <c r="J231" s="320">
        <v>29.91</v>
      </c>
      <c r="K231" s="320">
        <v>13.63</v>
      </c>
      <c r="L231" s="320">
        <v>5.88</v>
      </c>
      <c r="M231" s="320">
        <v>0.4319</v>
      </c>
      <c r="N231" s="320">
        <v>0.7403</v>
      </c>
      <c r="O231" s="320">
        <v>0.541</v>
      </c>
      <c r="P231" s="320">
        <v>2.3154</v>
      </c>
      <c r="Q231" s="320">
        <v>54.38</v>
      </c>
      <c r="R231" s="320">
        <v>42.22</v>
      </c>
      <c r="S231" s="320">
        <v>12.16</v>
      </c>
      <c r="T231" s="320">
        <v>0.0</v>
      </c>
      <c r="U231" s="320">
        <v>54.38</v>
      </c>
      <c r="V231" s="320">
        <v>55.41</v>
      </c>
      <c r="W231" s="320">
        <v>4.0666</v>
      </c>
      <c r="X231" s="320">
        <v>0.0</v>
      </c>
      <c r="Y231" s="320">
        <v>147.0</v>
      </c>
      <c r="Z231" s="320">
        <v>898.0</v>
      </c>
      <c r="AA231" s="320">
        <v>5971.0</v>
      </c>
      <c r="AB231" s="320">
        <v>48.8103</v>
      </c>
      <c r="AC231" s="320">
        <v>0.5356</v>
      </c>
      <c r="AD231" s="320">
        <v>4.2</v>
      </c>
      <c r="AE231" s="320">
        <v>1.0</v>
      </c>
      <c r="AF231" s="320">
        <v>3.0</v>
      </c>
      <c r="AG231" s="320">
        <v>6.0</v>
      </c>
      <c r="AH231" s="320">
        <v>9.0</v>
      </c>
      <c r="AI231" s="320">
        <v>74.16</v>
      </c>
      <c r="AJ231" s="320">
        <v>32.79</v>
      </c>
      <c r="AK231" s="320">
        <v>9.78</v>
      </c>
      <c r="AL231" s="320">
        <v>0.2517</v>
      </c>
      <c r="AM231" s="320">
        <v>22.02</v>
      </c>
      <c r="AN231" s="320">
        <v>20.2</v>
      </c>
      <c r="AO231" s="320">
        <v>65.21</v>
      </c>
      <c r="AP231" s="320">
        <v>14.36</v>
      </c>
    </row>
    <row r="232">
      <c r="A232" s="319" t="s">
        <v>256</v>
      </c>
      <c r="B232" s="328">
        <v>46088.0</v>
      </c>
      <c r="C232" s="319" t="s">
        <v>215</v>
      </c>
      <c r="D232" s="320">
        <v>26769.0</v>
      </c>
      <c r="E232" s="320">
        <v>25.58</v>
      </c>
      <c r="F232" s="320">
        <v>0.0</v>
      </c>
      <c r="G232" s="320">
        <v>0.0</v>
      </c>
      <c r="H232" s="320">
        <v>0.0</v>
      </c>
      <c r="I232" s="329"/>
      <c r="J232" s="320">
        <v>54.62</v>
      </c>
      <c r="K232" s="320">
        <v>26.14</v>
      </c>
      <c r="L232" s="320">
        <v>14.15</v>
      </c>
      <c r="M232" s="320">
        <v>0.5412</v>
      </c>
      <c r="N232" s="320">
        <v>0.6492</v>
      </c>
      <c r="O232" s="320">
        <v>0.4542</v>
      </c>
      <c r="P232" s="320">
        <v>1.8479</v>
      </c>
      <c r="Q232" s="320">
        <v>95.4</v>
      </c>
      <c r="R232" s="320">
        <v>65.67</v>
      </c>
      <c r="S232" s="320">
        <v>29.73</v>
      </c>
      <c r="T232" s="320">
        <v>0.0</v>
      </c>
      <c r="U232" s="320">
        <v>95.4</v>
      </c>
      <c r="V232" s="320">
        <v>99.19</v>
      </c>
      <c r="W232" s="320">
        <v>3.7943</v>
      </c>
      <c r="X232" s="320">
        <v>0.0</v>
      </c>
      <c r="Y232" s="320">
        <v>125.0</v>
      </c>
      <c r="Z232" s="320">
        <v>712.0</v>
      </c>
      <c r="AA232" s="320">
        <v>5257.0</v>
      </c>
      <c r="AB232" s="320">
        <v>52.3073</v>
      </c>
      <c r="AC232" s="320">
        <v>0.6334</v>
      </c>
      <c r="AD232" s="320">
        <v>9.55</v>
      </c>
      <c r="AE232" s="320">
        <v>4.0</v>
      </c>
      <c r="AF232" s="320">
        <v>8.0</v>
      </c>
      <c r="AG232" s="320">
        <v>13.0</v>
      </c>
      <c r="AH232" s="320">
        <v>19.0</v>
      </c>
      <c r="AI232" s="320">
        <v>62.19</v>
      </c>
      <c r="AJ232" s="320">
        <v>26.48</v>
      </c>
      <c r="AK232" s="320">
        <v>4.5</v>
      </c>
      <c r="AL232" s="320">
        <v>0.2038</v>
      </c>
      <c r="AM232" s="320">
        <v>22.96</v>
      </c>
      <c r="AN232" s="320">
        <v>42.72</v>
      </c>
      <c r="AO232" s="320">
        <v>73.69</v>
      </c>
      <c r="AP232" s="320">
        <v>16.92</v>
      </c>
    </row>
    <row r="233">
      <c r="A233" s="319" t="s">
        <v>256</v>
      </c>
      <c r="B233" s="328">
        <v>46088.0</v>
      </c>
      <c r="C233" s="319" t="s">
        <v>216</v>
      </c>
      <c r="D233" s="320">
        <v>14570.0</v>
      </c>
      <c r="E233" s="320">
        <v>13.92</v>
      </c>
      <c r="F233" s="320">
        <v>0.0</v>
      </c>
      <c r="G233" s="320">
        <v>0.0</v>
      </c>
      <c r="H233" s="320">
        <v>0.0</v>
      </c>
      <c r="I233" s="329"/>
      <c r="J233" s="320">
        <v>79.88</v>
      </c>
      <c r="K233" s="320">
        <v>40.28</v>
      </c>
      <c r="L233" s="320">
        <v>26.89</v>
      </c>
      <c r="M233" s="320">
        <v>0.6677</v>
      </c>
      <c r="N233" s="320">
        <v>0.5237</v>
      </c>
      <c r="O233" s="320">
        <v>0.3639</v>
      </c>
      <c r="P233" s="320">
        <v>1.4976</v>
      </c>
      <c r="Q233" s="320">
        <v>163.86</v>
      </c>
      <c r="R233" s="320">
        <v>107.06</v>
      </c>
      <c r="S233" s="320">
        <v>56.79</v>
      </c>
      <c r="T233" s="320">
        <v>0.62</v>
      </c>
      <c r="U233" s="320">
        <v>163.24</v>
      </c>
      <c r="V233" s="320">
        <v>173.64</v>
      </c>
      <c r="W233" s="320">
        <v>4.3114</v>
      </c>
      <c r="X233" s="320">
        <v>0.38</v>
      </c>
      <c r="Y233" s="320">
        <v>148.0</v>
      </c>
      <c r="Z233" s="320">
        <v>1023.0</v>
      </c>
      <c r="AA233" s="320">
        <v>6209.0</v>
      </c>
      <c r="AB233" s="320">
        <v>55.7732</v>
      </c>
      <c r="AC233" s="320">
        <v>0.7393</v>
      </c>
      <c r="AD233" s="320">
        <v>18.05</v>
      </c>
      <c r="AE233" s="320">
        <v>8.0</v>
      </c>
      <c r="AF233" s="320">
        <v>15.0</v>
      </c>
      <c r="AG233" s="320">
        <v>25.0</v>
      </c>
      <c r="AH233" s="320">
        <v>37.0</v>
      </c>
      <c r="AI233" s="320">
        <v>61.67</v>
      </c>
      <c r="AJ233" s="320">
        <v>23.36</v>
      </c>
      <c r="AK233" s="320">
        <v>6.85</v>
      </c>
      <c r="AL233" s="320">
        <v>0.1942</v>
      </c>
      <c r="AM233" s="320">
        <v>22.37</v>
      </c>
      <c r="AN233" s="320">
        <v>84.7</v>
      </c>
      <c r="AO233" s="320">
        <v>75.79</v>
      </c>
      <c r="AP233" s="320">
        <v>16.95</v>
      </c>
    </row>
    <row r="234">
      <c r="A234" s="319" t="s">
        <v>256</v>
      </c>
      <c r="B234" s="328">
        <v>46088.0</v>
      </c>
      <c r="C234" s="319" t="s">
        <v>217</v>
      </c>
      <c r="D234" s="320">
        <v>5905.0</v>
      </c>
      <c r="E234" s="320">
        <v>5.64</v>
      </c>
      <c r="F234" s="320">
        <v>0.0</v>
      </c>
      <c r="G234" s="320">
        <v>0.0</v>
      </c>
      <c r="H234" s="320">
        <v>0.0</v>
      </c>
      <c r="I234" s="329"/>
      <c r="J234" s="320">
        <v>129.59</v>
      </c>
      <c r="K234" s="320">
        <v>70.49</v>
      </c>
      <c r="L234" s="320">
        <v>55.37</v>
      </c>
      <c r="M234" s="320">
        <v>0.7855</v>
      </c>
      <c r="N234" s="320">
        <v>0.3944</v>
      </c>
      <c r="O234" s="320">
        <v>0.2835</v>
      </c>
      <c r="P234" s="320">
        <v>1.273</v>
      </c>
      <c r="Q234" s="320">
        <v>315.42</v>
      </c>
      <c r="R234" s="320">
        <v>198.41</v>
      </c>
      <c r="S234" s="320">
        <v>117.01</v>
      </c>
      <c r="T234" s="320">
        <v>0.07</v>
      </c>
      <c r="U234" s="320">
        <v>315.35</v>
      </c>
      <c r="V234" s="320">
        <v>334.23</v>
      </c>
      <c r="W234" s="320">
        <v>4.7415</v>
      </c>
      <c r="X234" s="320">
        <v>0.02</v>
      </c>
      <c r="Y234" s="320">
        <v>284.0</v>
      </c>
      <c r="Z234" s="320">
        <v>2148.0</v>
      </c>
      <c r="AA234" s="320">
        <v>9188.0</v>
      </c>
      <c r="AB234" s="320">
        <v>59.6755</v>
      </c>
      <c r="AC234" s="320">
        <v>0.8311</v>
      </c>
      <c r="AD234" s="320">
        <v>37.65</v>
      </c>
      <c r="AE234" s="320">
        <v>15.0</v>
      </c>
      <c r="AF234" s="320">
        <v>29.0</v>
      </c>
      <c r="AG234" s="320">
        <v>51.0</v>
      </c>
      <c r="AH234" s="320">
        <v>80.0</v>
      </c>
      <c r="AI234" s="320">
        <v>52.35</v>
      </c>
      <c r="AJ234" s="320">
        <v>19.78</v>
      </c>
      <c r="AK234" s="320">
        <v>4.88</v>
      </c>
      <c r="AL234" s="320">
        <v>0.1517</v>
      </c>
      <c r="AM234" s="320">
        <v>22.91</v>
      </c>
      <c r="AN234" s="320">
        <v>175.51</v>
      </c>
      <c r="AO234" s="320">
        <v>80.58</v>
      </c>
      <c r="AP234" s="320">
        <v>18.46</v>
      </c>
    </row>
    <row r="235">
      <c r="A235" s="319" t="s">
        <v>256</v>
      </c>
      <c r="B235" s="328">
        <v>46088.0</v>
      </c>
      <c r="C235" s="319" t="s">
        <v>218</v>
      </c>
      <c r="D235" s="320">
        <v>668.0</v>
      </c>
      <c r="E235" s="320">
        <v>0.64</v>
      </c>
      <c r="F235" s="320">
        <v>0.0</v>
      </c>
      <c r="G235" s="320">
        <v>0.0</v>
      </c>
      <c r="H235" s="320">
        <v>0.0</v>
      </c>
      <c r="I235" s="329"/>
      <c r="J235" s="320">
        <v>249.54</v>
      </c>
      <c r="K235" s="320">
        <v>146.02</v>
      </c>
      <c r="L235" s="320">
        <v>125.05</v>
      </c>
      <c r="M235" s="320">
        <v>0.8564</v>
      </c>
      <c r="N235" s="320">
        <v>0.2939</v>
      </c>
      <c r="O235" s="320">
        <v>0.2154</v>
      </c>
      <c r="P235" s="320">
        <v>1.1677</v>
      </c>
      <c r="Q235" s="320">
        <v>602.09</v>
      </c>
      <c r="R235" s="320">
        <v>335.65</v>
      </c>
      <c r="S235" s="320">
        <v>266.44</v>
      </c>
      <c r="T235" s="320">
        <v>0.0</v>
      </c>
      <c r="U235" s="320">
        <v>602.09</v>
      </c>
      <c r="V235" s="320">
        <v>634.51</v>
      </c>
      <c r="W235" s="320">
        <v>4.3453</v>
      </c>
      <c r="X235" s="320">
        <v>0.0</v>
      </c>
      <c r="Y235" s="320">
        <v>818.0</v>
      </c>
      <c r="Z235" s="320">
        <v>4029.0</v>
      </c>
      <c r="AA235" s="320">
        <v>10441.0</v>
      </c>
      <c r="AB235" s="320">
        <v>62.6764</v>
      </c>
      <c r="AC235" s="320">
        <v>0.8827</v>
      </c>
      <c r="AD235" s="320">
        <v>85.52</v>
      </c>
      <c r="AE235" s="320">
        <v>33.0</v>
      </c>
      <c r="AF235" s="320">
        <v>68.0</v>
      </c>
      <c r="AG235" s="320">
        <v>119.0</v>
      </c>
      <c r="AH235" s="320">
        <v>176.0</v>
      </c>
      <c r="AI235" s="320">
        <v>44.61</v>
      </c>
      <c r="AJ235" s="320">
        <v>10.93</v>
      </c>
      <c r="AK235" s="320">
        <v>1.65</v>
      </c>
      <c r="AL235" s="320">
        <v>0.1108</v>
      </c>
      <c r="AM235" s="320">
        <v>22.19</v>
      </c>
      <c r="AN235" s="320">
        <v>313.46</v>
      </c>
      <c r="AO235" s="320">
        <v>83.3</v>
      </c>
      <c r="AP235" s="320">
        <v>18.48</v>
      </c>
    </row>
    <row r="236">
      <c r="A236" s="319" t="s">
        <v>256</v>
      </c>
      <c r="B236" s="328">
        <v>46089.0</v>
      </c>
      <c r="C236" s="319" t="s">
        <v>257</v>
      </c>
      <c r="D236" s="320">
        <v>19613.0</v>
      </c>
      <c r="E236" s="320">
        <v>18.45</v>
      </c>
      <c r="F236" s="320">
        <v>0.0</v>
      </c>
      <c r="G236" s="320">
        <v>0.0</v>
      </c>
      <c r="H236" s="320">
        <v>0.0</v>
      </c>
      <c r="I236" s="329"/>
      <c r="J236" s="320">
        <v>6.18</v>
      </c>
      <c r="K236" s="320">
        <v>2.51</v>
      </c>
      <c r="L236" s="320">
        <v>0.01</v>
      </c>
      <c r="M236" s="320">
        <v>0.0049</v>
      </c>
      <c r="N236" s="320">
        <v>0.9965</v>
      </c>
      <c r="O236" s="320">
        <v>0.9514</v>
      </c>
      <c r="P236" s="320">
        <v>205.1667</v>
      </c>
      <c r="Q236" s="320">
        <v>23.68</v>
      </c>
      <c r="R236" s="320">
        <v>23.56</v>
      </c>
      <c r="S236" s="320">
        <v>0.13</v>
      </c>
      <c r="T236" s="320">
        <v>0.0</v>
      </c>
      <c r="U236" s="320">
        <v>23.68</v>
      </c>
      <c r="V236" s="320">
        <v>1.75</v>
      </c>
      <c r="W236" s="320">
        <v>0.6986</v>
      </c>
      <c r="X236" s="320">
        <v>0.0</v>
      </c>
      <c r="Y236" s="320">
        <v>346.0</v>
      </c>
      <c r="Z236" s="320">
        <v>3698.0</v>
      </c>
      <c r="AA236" s="320">
        <v>14419.0</v>
      </c>
      <c r="AB236" s="320">
        <v>49.4289</v>
      </c>
      <c r="AC236" s="320">
        <v>0.5479</v>
      </c>
      <c r="AD236" s="329"/>
      <c r="AE236" s="329"/>
      <c r="AF236" s="329"/>
      <c r="AG236" s="329"/>
      <c r="AH236" s="329"/>
      <c r="AI236" s="320">
        <v>0.0</v>
      </c>
      <c r="AJ236" s="320">
        <v>0.0</v>
      </c>
      <c r="AK236" s="320">
        <v>0.0</v>
      </c>
      <c r="AL236" s="320">
        <v>0.2969</v>
      </c>
      <c r="AM236" s="320">
        <v>18.77</v>
      </c>
      <c r="AN236" s="320">
        <v>4.78</v>
      </c>
      <c r="AO236" s="329"/>
      <c r="AP236" s="329"/>
    </row>
    <row r="237">
      <c r="A237" s="319" t="s">
        <v>256</v>
      </c>
      <c r="B237" s="328">
        <v>46089.0</v>
      </c>
      <c r="C237" s="319" t="s">
        <v>214</v>
      </c>
      <c r="D237" s="320">
        <v>37412.0</v>
      </c>
      <c r="E237" s="320">
        <v>35.2</v>
      </c>
      <c r="F237" s="320">
        <v>0.0</v>
      </c>
      <c r="G237" s="320">
        <v>0.0</v>
      </c>
      <c r="H237" s="320">
        <v>0.0</v>
      </c>
      <c r="I237" s="329"/>
      <c r="J237" s="320">
        <v>32.28</v>
      </c>
      <c r="K237" s="320">
        <v>14.94</v>
      </c>
      <c r="L237" s="320">
        <v>5.94</v>
      </c>
      <c r="M237" s="320">
        <v>0.3976</v>
      </c>
      <c r="N237" s="320">
        <v>0.7643</v>
      </c>
      <c r="O237" s="320">
        <v>0.5558</v>
      </c>
      <c r="P237" s="320">
        <v>2.5153</v>
      </c>
      <c r="Q237" s="320">
        <v>48.24</v>
      </c>
      <c r="R237" s="320">
        <v>35.91</v>
      </c>
      <c r="S237" s="320">
        <v>12.33</v>
      </c>
      <c r="T237" s="320">
        <v>0.05</v>
      </c>
      <c r="U237" s="320">
        <v>48.19</v>
      </c>
      <c r="V237" s="320">
        <v>53.09</v>
      </c>
      <c r="W237" s="320">
        <v>3.5546</v>
      </c>
      <c r="X237" s="320">
        <v>0.11</v>
      </c>
      <c r="Y237" s="320">
        <v>142.0</v>
      </c>
      <c r="Z237" s="320">
        <v>888.0</v>
      </c>
      <c r="AA237" s="320">
        <v>6112.0</v>
      </c>
      <c r="AB237" s="320">
        <v>48.7963</v>
      </c>
      <c r="AC237" s="320">
        <v>0.5359</v>
      </c>
      <c r="AD237" s="320">
        <v>4.14</v>
      </c>
      <c r="AE237" s="320">
        <v>1.0</v>
      </c>
      <c r="AF237" s="320">
        <v>3.0</v>
      </c>
      <c r="AG237" s="320">
        <v>5.0</v>
      </c>
      <c r="AH237" s="320">
        <v>9.0</v>
      </c>
      <c r="AI237" s="320">
        <v>74.65</v>
      </c>
      <c r="AJ237" s="320">
        <v>32.39</v>
      </c>
      <c r="AK237" s="320">
        <v>8.98</v>
      </c>
      <c r="AL237" s="320">
        <v>0.2656</v>
      </c>
      <c r="AM237" s="320">
        <v>20.6</v>
      </c>
      <c r="AN237" s="320">
        <v>15.3</v>
      </c>
      <c r="AO237" s="320">
        <v>65.48</v>
      </c>
      <c r="AP237" s="320">
        <v>13.49</v>
      </c>
    </row>
    <row r="238">
      <c r="A238" s="319" t="s">
        <v>256</v>
      </c>
      <c r="B238" s="328">
        <v>46089.0</v>
      </c>
      <c r="C238" s="319" t="s">
        <v>215</v>
      </c>
      <c r="D238" s="320">
        <v>27399.0</v>
      </c>
      <c r="E238" s="320">
        <v>25.78</v>
      </c>
      <c r="F238" s="320">
        <v>0.0</v>
      </c>
      <c r="G238" s="320">
        <v>0.0</v>
      </c>
      <c r="H238" s="320">
        <v>0.0</v>
      </c>
      <c r="I238" s="329"/>
      <c r="J238" s="320">
        <v>58.95</v>
      </c>
      <c r="K238" s="320">
        <v>28.65</v>
      </c>
      <c r="L238" s="320">
        <v>14.23</v>
      </c>
      <c r="M238" s="320">
        <v>0.4968</v>
      </c>
      <c r="N238" s="320">
        <v>0.6818</v>
      </c>
      <c r="O238" s="320">
        <v>0.4701</v>
      </c>
      <c r="P238" s="320">
        <v>2.0127</v>
      </c>
      <c r="Q238" s="320">
        <v>79.26</v>
      </c>
      <c r="R238" s="320">
        <v>49.33</v>
      </c>
      <c r="S238" s="320">
        <v>29.93</v>
      </c>
      <c r="T238" s="320">
        <v>0.1</v>
      </c>
      <c r="U238" s="320">
        <v>79.16</v>
      </c>
      <c r="V238" s="320">
        <v>93.22</v>
      </c>
      <c r="W238" s="320">
        <v>3.2537</v>
      </c>
      <c r="X238" s="320">
        <v>0.12</v>
      </c>
      <c r="Y238" s="320">
        <v>116.0</v>
      </c>
      <c r="Z238" s="320">
        <v>645.0</v>
      </c>
      <c r="AA238" s="320">
        <v>5012.0</v>
      </c>
      <c r="AB238" s="320">
        <v>52.3406</v>
      </c>
      <c r="AC238" s="320">
        <v>0.6357</v>
      </c>
      <c r="AD238" s="320">
        <v>9.27</v>
      </c>
      <c r="AE238" s="320">
        <v>4.0</v>
      </c>
      <c r="AF238" s="320">
        <v>7.0</v>
      </c>
      <c r="AG238" s="320">
        <v>13.0</v>
      </c>
      <c r="AH238" s="320">
        <v>19.0</v>
      </c>
      <c r="AI238" s="320">
        <v>60.53</v>
      </c>
      <c r="AJ238" s="320">
        <v>25.13</v>
      </c>
      <c r="AK238" s="320">
        <v>4.35</v>
      </c>
      <c r="AL238" s="320">
        <v>0.2177</v>
      </c>
      <c r="AM238" s="320">
        <v>21.46</v>
      </c>
      <c r="AN238" s="320">
        <v>27.87</v>
      </c>
      <c r="AO238" s="320">
        <v>73.34</v>
      </c>
      <c r="AP238" s="320">
        <v>15.74</v>
      </c>
    </row>
    <row r="239">
      <c r="A239" s="319" t="s">
        <v>256</v>
      </c>
      <c r="B239" s="328">
        <v>46089.0</v>
      </c>
      <c r="C239" s="319" t="s">
        <v>216</v>
      </c>
      <c r="D239" s="320">
        <v>15064.0</v>
      </c>
      <c r="E239" s="320">
        <v>14.17</v>
      </c>
      <c r="F239" s="320">
        <v>0.0</v>
      </c>
      <c r="G239" s="320">
        <v>0.0</v>
      </c>
      <c r="H239" s="320">
        <v>0.0</v>
      </c>
      <c r="I239" s="329"/>
      <c r="J239" s="320">
        <v>87.22</v>
      </c>
      <c r="K239" s="320">
        <v>44.56</v>
      </c>
      <c r="L239" s="320">
        <v>27.88</v>
      </c>
      <c r="M239" s="320">
        <v>0.6257</v>
      </c>
      <c r="N239" s="320">
        <v>0.5558</v>
      </c>
      <c r="O239" s="320">
        <v>0.3767</v>
      </c>
      <c r="P239" s="320">
        <v>1.5981</v>
      </c>
      <c r="Q239" s="320">
        <v>133.32</v>
      </c>
      <c r="R239" s="320">
        <v>74.43</v>
      </c>
      <c r="S239" s="320">
        <v>58.9</v>
      </c>
      <c r="T239" s="320">
        <v>0.05</v>
      </c>
      <c r="U239" s="320">
        <v>133.27</v>
      </c>
      <c r="V239" s="320">
        <v>164.73</v>
      </c>
      <c r="W239" s="320">
        <v>3.6969</v>
      </c>
      <c r="X239" s="320">
        <v>0.04</v>
      </c>
      <c r="Y239" s="320">
        <v>133.0</v>
      </c>
      <c r="Z239" s="320">
        <v>844.0</v>
      </c>
      <c r="AA239" s="320">
        <v>5956.0</v>
      </c>
      <c r="AB239" s="320">
        <v>55.5475</v>
      </c>
      <c r="AC239" s="320">
        <v>0.7337</v>
      </c>
      <c r="AD239" s="320">
        <v>17.93</v>
      </c>
      <c r="AE239" s="320">
        <v>8.0</v>
      </c>
      <c r="AF239" s="320">
        <v>14.0</v>
      </c>
      <c r="AG239" s="320">
        <v>24.0</v>
      </c>
      <c r="AH239" s="320">
        <v>37.0</v>
      </c>
      <c r="AI239" s="320">
        <v>60.0</v>
      </c>
      <c r="AJ239" s="320">
        <v>23.01</v>
      </c>
      <c r="AK239" s="320">
        <v>7.19</v>
      </c>
      <c r="AL239" s="320">
        <v>0.2134</v>
      </c>
      <c r="AM239" s="320">
        <v>21.35</v>
      </c>
      <c r="AN239" s="320">
        <v>53.08</v>
      </c>
      <c r="AO239" s="320">
        <v>75.03</v>
      </c>
      <c r="AP239" s="320">
        <v>16.02</v>
      </c>
    </row>
    <row r="240">
      <c r="A240" s="319" t="s">
        <v>256</v>
      </c>
      <c r="B240" s="328">
        <v>46089.0</v>
      </c>
      <c r="C240" s="319" t="s">
        <v>217</v>
      </c>
      <c r="D240" s="320">
        <v>6106.0</v>
      </c>
      <c r="E240" s="320">
        <v>5.75</v>
      </c>
      <c r="F240" s="320">
        <v>0.0</v>
      </c>
      <c r="G240" s="320">
        <v>0.0</v>
      </c>
      <c r="H240" s="320">
        <v>0.0</v>
      </c>
      <c r="I240" s="329"/>
      <c r="J240" s="320">
        <v>133.23</v>
      </c>
      <c r="K240" s="320">
        <v>73.01</v>
      </c>
      <c r="L240" s="320">
        <v>55.27</v>
      </c>
      <c r="M240" s="320">
        <v>0.757</v>
      </c>
      <c r="N240" s="320">
        <v>0.4143</v>
      </c>
      <c r="O240" s="320">
        <v>0.287</v>
      </c>
      <c r="P240" s="320">
        <v>1.321</v>
      </c>
      <c r="Q240" s="320">
        <v>230.04</v>
      </c>
      <c r="R240" s="320">
        <v>113.73</v>
      </c>
      <c r="S240" s="320">
        <v>116.31</v>
      </c>
      <c r="T240" s="320">
        <v>0.02</v>
      </c>
      <c r="U240" s="320">
        <v>230.02</v>
      </c>
      <c r="V240" s="320">
        <v>303.45</v>
      </c>
      <c r="W240" s="320">
        <v>4.156</v>
      </c>
      <c r="X240" s="320">
        <v>0.01</v>
      </c>
      <c r="Y240" s="320">
        <v>230.0</v>
      </c>
      <c r="Z240" s="320">
        <v>1993.0</v>
      </c>
      <c r="AA240" s="320">
        <v>8821.0</v>
      </c>
      <c r="AB240" s="320">
        <v>59.4779</v>
      </c>
      <c r="AC240" s="320">
        <v>0.828</v>
      </c>
      <c r="AD240" s="320">
        <v>36.44</v>
      </c>
      <c r="AE240" s="320">
        <v>15.0</v>
      </c>
      <c r="AF240" s="320">
        <v>28.0</v>
      </c>
      <c r="AG240" s="320">
        <v>50.0</v>
      </c>
      <c r="AH240" s="320">
        <v>76.0</v>
      </c>
      <c r="AI240" s="320">
        <v>50.16</v>
      </c>
      <c r="AJ240" s="320">
        <v>18.29</v>
      </c>
      <c r="AK240" s="320">
        <v>4.44</v>
      </c>
      <c r="AL240" s="320">
        <v>0.1649</v>
      </c>
      <c r="AM240" s="320">
        <v>21.86</v>
      </c>
      <c r="AN240" s="320">
        <v>91.86</v>
      </c>
      <c r="AO240" s="320">
        <v>79.38</v>
      </c>
      <c r="AP240" s="320">
        <v>17.35</v>
      </c>
    </row>
    <row r="241">
      <c r="A241" s="319" t="s">
        <v>256</v>
      </c>
      <c r="B241" s="328">
        <v>46089.0</v>
      </c>
      <c r="C241" s="319" t="s">
        <v>218</v>
      </c>
      <c r="D241" s="320">
        <v>686.0</v>
      </c>
      <c r="E241" s="320">
        <v>0.65</v>
      </c>
      <c r="F241" s="320">
        <v>0.0</v>
      </c>
      <c r="G241" s="320">
        <v>0.0</v>
      </c>
      <c r="H241" s="320">
        <v>0.0</v>
      </c>
      <c r="I241" s="329"/>
      <c r="J241" s="320">
        <v>256.04</v>
      </c>
      <c r="K241" s="320">
        <v>150.24</v>
      </c>
      <c r="L241" s="320">
        <v>129.01</v>
      </c>
      <c r="M241" s="320">
        <v>0.8587</v>
      </c>
      <c r="N241" s="320">
        <v>0.2925</v>
      </c>
      <c r="O241" s="320">
        <v>0.2138</v>
      </c>
      <c r="P241" s="320">
        <v>1.1646</v>
      </c>
      <c r="Q241" s="320">
        <v>448.26</v>
      </c>
      <c r="R241" s="320">
        <v>172.13</v>
      </c>
      <c r="S241" s="320">
        <v>276.12</v>
      </c>
      <c r="T241" s="320">
        <v>0.0</v>
      </c>
      <c r="U241" s="320">
        <v>448.26</v>
      </c>
      <c r="V241" s="320">
        <v>716.47</v>
      </c>
      <c r="W241" s="320">
        <v>4.7688</v>
      </c>
      <c r="X241" s="320">
        <v>0.0</v>
      </c>
      <c r="Y241" s="320">
        <v>561.0</v>
      </c>
      <c r="Z241" s="320">
        <v>3733.0</v>
      </c>
      <c r="AA241" s="320">
        <v>11990.0</v>
      </c>
      <c r="AB241" s="320">
        <v>62.3731</v>
      </c>
      <c r="AC241" s="320">
        <v>0.883</v>
      </c>
      <c r="AD241" s="320">
        <v>86.29</v>
      </c>
      <c r="AE241" s="320">
        <v>31.0</v>
      </c>
      <c r="AF241" s="320">
        <v>70.0</v>
      </c>
      <c r="AG241" s="320">
        <v>120.0</v>
      </c>
      <c r="AH241" s="320">
        <v>175.0</v>
      </c>
      <c r="AI241" s="320">
        <v>45.92</v>
      </c>
      <c r="AJ241" s="320">
        <v>10.2</v>
      </c>
      <c r="AK241" s="320">
        <v>1.75</v>
      </c>
      <c r="AL241" s="320">
        <v>0.1152</v>
      </c>
      <c r="AM241" s="320">
        <v>21.76</v>
      </c>
      <c r="AN241" s="320">
        <v>150.37</v>
      </c>
      <c r="AO241" s="320">
        <v>80.57</v>
      </c>
      <c r="AP241" s="320">
        <v>17.53</v>
      </c>
    </row>
    <row r="242">
      <c r="A242" s="319" t="s">
        <v>256</v>
      </c>
      <c r="B242" s="328">
        <v>46090.0</v>
      </c>
      <c r="C242" s="319" t="s">
        <v>257</v>
      </c>
      <c r="D242" s="320">
        <v>19555.0</v>
      </c>
      <c r="E242" s="320">
        <v>17.59</v>
      </c>
      <c r="F242" s="320">
        <v>0.0</v>
      </c>
      <c r="G242" s="320">
        <v>0.0</v>
      </c>
      <c r="H242" s="320">
        <v>0.0</v>
      </c>
      <c r="I242" s="329"/>
      <c r="J242" s="320">
        <v>5.52</v>
      </c>
      <c r="K242" s="320">
        <v>2.2</v>
      </c>
      <c r="L242" s="320">
        <v>0.09</v>
      </c>
      <c r="M242" s="320">
        <v>0.0428</v>
      </c>
      <c r="N242" s="320">
        <v>0.9652</v>
      </c>
      <c r="O242" s="320">
        <v>0.7067</v>
      </c>
      <c r="P242" s="320">
        <v>23.3826</v>
      </c>
      <c r="Q242" s="320">
        <v>33.39</v>
      </c>
      <c r="R242" s="320">
        <v>33.29</v>
      </c>
      <c r="S242" s="320">
        <v>0.1</v>
      </c>
      <c r="T242" s="320">
        <v>0.0</v>
      </c>
      <c r="U242" s="320">
        <v>33.39</v>
      </c>
      <c r="V242" s="320">
        <v>1.8</v>
      </c>
      <c r="W242" s="320">
        <v>0.817</v>
      </c>
      <c r="X242" s="320">
        <v>0.0</v>
      </c>
      <c r="Y242" s="320">
        <v>433.0</v>
      </c>
      <c r="Z242" s="320">
        <v>4402.0</v>
      </c>
      <c r="AA242" s="320">
        <v>15798.0</v>
      </c>
      <c r="AB242" s="320">
        <v>49.6996</v>
      </c>
      <c r="AC242" s="320">
        <v>0.554</v>
      </c>
      <c r="AD242" s="329"/>
      <c r="AE242" s="329"/>
      <c r="AF242" s="329"/>
      <c r="AG242" s="329"/>
      <c r="AH242" s="329"/>
      <c r="AI242" s="320">
        <v>0.0</v>
      </c>
      <c r="AJ242" s="320">
        <v>0.0</v>
      </c>
      <c r="AK242" s="320">
        <v>0.0</v>
      </c>
      <c r="AL242" s="320">
        <v>0.2773</v>
      </c>
      <c r="AM242" s="320">
        <v>16.79</v>
      </c>
      <c r="AN242" s="320">
        <v>16.5</v>
      </c>
      <c r="AO242" s="329"/>
      <c r="AP242" s="329"/>
    </row>
    <row r="243">
      <c r="A243" s="319" t="s">
        <v>256</v>
      </c>
      <c r="B243" s="328">
        <v>46090.0</v>
      </c>
      <c r="C243" s="319" t="s">
        <v>214</v>
      </c>
      <c r="D243" s="320">
        <v>37840.0</v>
      </c>
      <c r="E243" s="320">
        <v>34.04</v>
      </c>
      <c r="F243" s="320">
        <v>0.0</v>
      </c>
      <c r="G243" s="320">
        <v>0.0</v>
      </c>
      <c r="H243" s="320">
        <v>0.0</v>
      </c>
      <c r="I243" s="329"/>
      <c r="J243" s="320">
        <v>31.79</v>
      </c>
      <c r="K243" s="320">
        <v>14.41</v>
      </c>
      <c r="L243" s="320">
        <v>5.78</v>
      </c>
      <c r="M243" s="320">
        <v>0.4013</v>
      </c>
      <c r="N243" s="320">
        <v>0.7668</v>
      </c>
      <c r="O243" s="320">
        <v>0.5686</v>
      </c>
      <c r="P243" s="320">
        <v>2.4922</v>
      </c>
      <c r="Q243" s="320">
        <v>71.77</v>
      </c>
      <c r="R243" s="320">
        <v>59.95</v>
      </c>
      <c r="S243" s="320">
        <v>11.82</v>
      </c>
      <c r="T243" s="320">
        <v>0.02</v>
      </c>
      <c r="U243" s="320">
        <v>71.75</v>
      </c>
      <c r="V243" s="320">
        <v>59.22</v>
      </c>
      <c r="W243" s="320">
        <v>4.1088</v>
      </c>
      <c r="X243" s="320">
        <v>0.03</v>
      </c>
      <c r="Y243" s="320">
        <v>153.0</v>
      </c>
      <c r="Z243" s="320">
        <v>911.0</v>
      </c>
      <c r="AA243" s="320">
        <v>5843.0</v>
      </c>
      <c r="AB243" s="320">
        <v>48.887</v>
      </c>
      <c r="AC243" s="320">
        <v>0.5277</v>
      </c>
      <c r="AD243" s="320">
        <v>3.98</v>
      </c>
      <c r="AE243" s="320">
        <v>1.0</v>
      </c>
      <c r="AF243" s="320">
        <v>3.0</v>
      </c>
      <c r="AG243" s="320">
        <v>5.0</v>
      </c>
      <c r="AH243" s="320">
        <v>9.0</v>
      </c>
      <c r="AI243" s="320">
        <v>74.0</v>
      </c>
      <c r="AJ243" s="320">
        <v>30.89</v>
      </c>
      <c r="AK243" s="320">
        <v>8.01</v>
      </c>
      <c r="AL243" s="320">
        <v>0.2387</v>
      </c>
      <c r="AM243" s="320">
        <v>18.27</v>
      </c>
      <c r="AN243" s="320">
        <v>41.69</v>
      </c>
      <c r="AO243" s="320">
        <v>66.1</v>
      </c>
      <c r="AP243" s="320">
        <v>12.08</v>
      </c>
    </row>
    <row r="244">
      <c r="A244" s="319" t="s">
        <v>256</v>
      </c>
      <c r="B244" s="328">
        <v>46090.0</v>
      </c>
      <c r="C244" s="319" t="s">
        <v>215</v>
      </c>
      <c r="D244" s="320">
        <v>29745.0</v>
      </c>
      <c r="E244" s="320">
        <v>26.75</v>
      </c>
      <c r="F244" s="320">
        <v>0.0</v>
      </c>
      <c r="G244" s="320">
        <v>0.0</v>
      </c>
      <c r="H244" s="320">
        <v>0.0</v>
      </c>
      <c r="I244" s="329"/>
      <c r="J244" s="320">
        <v>59.68</v>
      </c>
      <c r="K244" s="320">
        <v>28.2</v>
      </c>
      <c r="L244" s="320">
        <v>14.44</v>
      </c>
      <c r="M244" s="320">
        <v>0.5121</v>
      </c>
      <c r="N244" s="320">
        <v>0.6804</v>
      </c>
      <c r="O244" s="320">
        <v>0.48</v>
      </c>
      <c r="P244" s="320">
        <v>1.9528</v>
      </c>
      <c r="Q244" s="320">
        <v>126.79</v>
      </c>
      <c r="R244" s="320">
        <v>98.18</v>
      </c>
      <c r="S244" s="320">
        <v>28.61</v>
      </c>
      <c r="T244" s="320">
        <v>0.04</v>
      </c>
      <c r="U244" s="320">
        <v>126.74</v>
      </c>
      <c r="V244" s="320">
        <v>112.46</v>
      </c>
      <c r="W244" s="320">
        <v>3.9884</v>
      </c>
      <c r="X244" s="320">
        <v>0.03</v>
      </c>
      <c r="Y244" s="320">
        <v>139.0</v>
      </c>
      <c r="Z244" s="320">
        <v>715.0</v>
      </c>
      <c r="AA244" s="320">
        <v>5577.0</v>
      </c>
      <c r="AB244" s="320">
        <v>52.1061</v>
      </c>
      <c r="AC244" s="320">
        <v>0.5883</v>
      </c>
      <c r="AD244" s="320">
        <v>9.22</v>
      </c>
      <c r="AE244" s="320">
        <v>4.0</v>
      </c>
      <c r="AF244" s="320">
        <v>7.0</v>
      </c>
      <c r="AG244" s="320">
        <v>13.0</v>
      </c>
      <c r="AH244" s="320">
        <v>19.0</v>
      </c>
      <c r="AI244" s="320">
        <v>60.18</v>
      </c>
      <c r="AJ244" s="320">
        <v>25.15</v>
      </c>
      <c r="AK244" s="320">
        <v>4.2</v>
      </c>
      <c r="AL244" s="320">
        <v>0.1821</v>
      </c>
      <c r="AM244" s="320">
        <v>19.12</v>
      </c>
      <c r="AN244" s="320">
        <v>79.05</v>
      </c>
      <c r="AO244" s="320">
        <v>72.24</v>
      </c>
      <c r="AP244" s="320">
        <v>13.81</v>
      </c>
    </row>
    <row r="245">
      <c r="A245" s="319" t="s">
        <v>256</v>
      </c>
      <c r="B245" s="328">
        <v>46090.0</v>
      </c>
      <c r="C245" s="319" t="s">
        <v>216</v>
      </c>
      <c r="D245" s="320">
        <v>16607.0</v>
      </c>
      <c r="E245" s="320">
        <v>14.94</v>
      </c>
      <c r="F245" s="320">
        <v>0.0</v>
      </c>
      <c r="G245" s="320">
        <v>0.0</v>
      </c>
      <c r="H245" s="320">
        <v>0.0</v>
      </c>
      <c r="I245" s="329"/>
      <c r="J245" s="320">
        <v>90.01</v>
      </c>
      <c r="K245" s="320">
        <v>44.64</v>
      </c>
      <c r="L245" s="320">
        <v>29.28</v>
      </c>
      <c r="M245" s="320">
        <v>0.6559</v>
      </c>
      <c r="N245" s="320">
        <v>0.5442</v>
      </c>
      <c r="O245" s="320">
        <v>0.3812</v>
      </c>
      <c r="P245" s="320">
        <v>1.5246</v>
      </c>
      <c r="Q245" s="320">
        <v>218.5</v>
      </c>
      <c r="R245" s="320">
        <v>161.43</v>
      </c>
      <c r="S245" s="320">
        <v>57.06</v>
      </c>
      <c r="T245" s="320">
        <v>0.78</v>
      </c>
      <c r="U245" s="320">
        <v>217.72</v>
      </c>
      <c r="V245" s="320">
        <v>198.99</v>
      </c>
      <c r="W245" s="320">
        <v>4.4572</v>
      </c>
      <c r="X245" s="320">
        <v>0.36</v>
      </c>
      <c r="Y245" s="320">
        <v>167.0</v>
      </c>
      <c r="Z245" s="320">
        <v>1008.0</v>
      </c>
      <c r="AA245" s="320">
        <v>7660.0</v>
      </c>
      <c r="AB245" s="320">
        <v>55.2321</v>
      </c>
      <c r="AC245" s="320">
        <v>0.6568</v>
      </c>
      <c r="AD245" s="320">
        <v>18.19</v>
      </c>
      <c r="AE245" s="320">
        <v>8.0</v>
      </c>
      <c r="AF245" s="320">
        <v>15.0</v>
      </c>
      <c r="AG245" s="320">
        <v>25.0</v>
      </c>
      <c r="AH245" s="320">
        <v>37.0</v>
      </c>
      <c r="AI245" s="320">
        <v>62.57</v>
      </c>
      <c r="AJ245" s="320">
        <v>24.56</v>
      </c>
      <c r="AK245" s="320">
        <v>5.62</v>
      </c>
      <c r="AL245" s="320">
        <v>0.1607</v>
      </c>
      <c r="AM245" s="320">
        <v>19.68</v>
      </c>
      <c r="AN245" s="320">
        <v>141.76</v>
      </c>
      <c r="AO245" s="320">
        <v>71.98</v>
      </c>
      <c r="AP245" s="320">
        <v>14.17</v>
      </c>
    </row>
    <row r="246">
      <c r="A246" s="319" t="s">
        <v>256</v>
      </c>
      <c r="B246" s="328">
        <v>46090.0</v>
      </c>
      <c r="C246" s="319" t="s">
        <v>217</v>
      </c>
      <c r="D246" s="320">
        <v>6774.0</v>
      </c>
      <c r="E246" s="320">
        <v>6.09</v>
      </c>
      <c r="F246" s="320">
        <v>0.0</v>
      </c>
      <c r="G246" s="320">
        <v>0.0</v>
      </c>
      <c r="H246" s="320">
        <v>0.0</v>
      </c>
      <c r="I246" s="329"/>
      <c r="J246" s="320">
        <v>144.09</v>
      </c>
      <c r="K246" s="320">
        <v>76.6</v>
      </c>
      <c r="L246" s="320">
        <v>60.09</v>
      </c>
      <c r="M246" s="320">
        <v>0.7845</v>
      </c>
      <c r="N246" s="320">
        <v>0.4039</v>
      </c>
      <c r="O246" s="320">
        <v>0.2932</v>
      </c>
      <c r="P246" s="320">
        <v>1.2747</v>
      </c>
      <c r="Q246" s="320">
        <v>375.64</v>
      </c>
      <c r="R246" s="320">
        <v>261.05</v>
      </c>
      <c r="S246" s="320">
        <v>114.6</v>
      </c>
      <c r="T246" s="320">
        <v>0.01</v>
      </c>
      <c r="U246" s="320">
        <v>375.64</v>
      </c>
      <c r="V246" s="320">
        <v>383.84</v>
      </c>
      <c r="W246" s="320">
        <v>5.0112</v>
      </c>
      <c r="X246" s="320">
        <v>0.0</v>
      </c>
      <c r="Y246" s="320">
        <v>283.0</v>
      </c>
      <c r="Z246" s="320">
        <v>2310.0</v>
      </c>
      <c r="AA246" s="320">
        <v>10612.0</v>
      </c>
      <c r="AB246" s="320">
        <v>58.8279</v>
      </c>
      <c r="AC246" s="320">
        <v>0.733</v>
      </c>
      <c r="AD246" s="320">
        <v>37.05</v>
      </c>
      <c r="AE246" s="320">
        <v>16.0</v>
      </c>
      <c r="AF246" s="320">
        <v>30.0</v>
      </c>
      <c r="AG246" s="320">
        <v>48.0</v>
      </c>
      <c r="AH246" s="320">
        <v>76.0</v>
      </c>
      <c r="AI246" s="320">
        <v>53.6</v>
      </c>
      <c r="AJ246" s="320">
        <v>17.36</v>
      </c>
      <c r="AK246" s="320">
        <v>4.34</v>
      </c>
      <c r="AL246" s="320">
        <v>0.1156</v>
      </c>
      <c r="AM246" s="320">
        <v>21.29</v>
      </c>
      <c r="AN246" s="320">
        <v>239.76</v>
      </c>
      <c r="AO246" s="320">
        <v>75.07</v>
      </c>
      <c r="AP246" s="320">
        <v>15.98</v>
      </c>
    </row>
    <row r="247">
      <c r="A247" s="319" t="s">
        <v>256</v>
      </c>
      <c r="B247" s="328">
        <v>46090.0</v>
      </c>
      <c r="C247" s="319" t="s">
        <v>218</v>
      </c>
      <c r="D247" s="320">
        <v>655.0</v>
      </c>
      <c r="E247" s="320">
        <v>0.59</v>
      </c>
      <c r="F247" s="320">
        <v>0.0</v>
      </c>
      <c r="G247" s="320">
        <v>0.0</v>
      </c>
      <c r="H247" s="320">
        <v>0.0</v>
      </c>
      <c r="I247" s="329"/>
      <c r="J247" s="320">
        <v>256.71</v>
      </c>
      <c r="K247" s="320">
        <v>148.45</v>
      </c>
      <c r="L247" s="320">
        <v>129.43</v>
      </c>
      <c r="M247" s="320">
        <v>0.8719</v>
      </c>
      <c r="N247" s="320">
        <v>0.2797</v>
      </c>
      <c r="O247" s="320">
        <v>0.2108</v>
      </c>
      <c r="P247" s="320">
        <v>1.1469</v>
      </c>
      <c r="Q247" s="320">
        <v>678.71</v>
      </c>
      <c r="R247" s="320">
        <v>402.09</v>
      </c>
      <c r="S247" s="320">
        <v>276.62</v>
      </c>
      <c r="T247" s="320">
        <v>0.0</v>
      </c>
      <c r="U247" s="320">
        <v>678.71</v>
      </c>
      <c r="V247" s="320">
        <v>738.93</v>
      </c>
      <c r="W247" s="320">
        <v>4.9777</v>
      </c>
      <c r="X247" s="320">
        <v>0.0</v>
      </c>
      <c r="Y247" s="320">
        <v>710.0</v>
      </c>
      <c r="Z247" s="320">
        <v>4152.0</v>
      </c>
      <c r="AA247" s="320">
        <v>11749.0</v>
      </c>
      <c r="AB247" s="320">
        <v>62.7228</v>
      </c>
      <c r="AC247" s="320">
        <v>0.8819</v>
      </c>
      <c r="AD247" s="320">
        <v>90.89</v>
      </c>
      <c r="AE247" s="320">
        <v>39.0</v>
      </c>
      <c r="AF247" s="320">
        <v>73.0</v>
      </c>
      <c r="AG247" s="320">
        <v>132.0</v>
      </c>
      <c r="AH247" s="320">
        <v>191.0</v>
      </c>
      <c r="AI247" s="320">
        <v>45.19</v>
      </c>
      <c r="AJ247" s="320">
        <v>12.98</v>
      </c>
      <c r="AK247" s="320">
        <v>1.53</v>
      </c>
      <c r="AL247" s="320">
        <v>0.0809</v>
      </c>
      <c r="AM247" s="320">
        <v>22.27</v>
      </c>
      <c r="AN247" s="320">
        <v>379.83</v>
      </c>
      <c r="AO247" s="320">
        <v>84.38</v>
      </c>
      <c r="AP247" s="320">
        <v>18.79</v>
      </c>
    </row>
    <row r="248">
      <c r="A248" s="319" t="s">
        <v>256</v>
      </c>
      <c r="B248" s="328">
        <v>46091.0</v>
      </c>
      <c r="C248" s="319" t="s">
        <v>257</v>
      </c>
      <c r="D248" s="320">
        <v>20050.0</v>
      </c>
      <c r="E248" s="320">
        <v>18.18</v>
      </c>
      <c r="F248" s="320">
        <v>0.0</v>
      </c>
      <c r="G248" s="320">
        <v>0.0</v>
      </c>
      <c r="H248" s="320">
        <v>0.0</v>
      </c>
      <c r="I248" s="329"/>
      <c r="J248" s="320">
        <v>6.0</v>
      </c>
      <c r="K248" s="320">
        <v>2.43</v>
      </c>
      <c r="L248" s="320">
        <v>0.08</v>
      </c>
      <c r="M248" s="320">
        <v>0.0333</v>
      </c>
      <c r="N248" s="320">
        <v>0.9739</v>
      </c>
      <c r="O248" s="320">
        <v>0.7345</v>
      </c>
      <c r="P248" s="320">
        <v>30.0234</v>
      </c>
      <c r="Q248" s="320">
        <v>25.67</v>
      </c>
      <c r="R248" s="320">
        <v>25.56</v>
      </c>
      <c r="S248" s="320">
        <v>0.1</v>
      </c>
      <c r="T248" s="320">
        <v>0.04</v>
      </c>
      <c r="U248" s="320">
        <v>25.63</v>
      </c>
      <c r="V248" s="320">
        <v>1.58</v>
      </c>
      <c r="W248" s="320">
        <v>0.6483</v>
      </c>
      <c r="X248" s="320">
        <v>0.15</v>
      </c>
      <c r="Y248" s="320">
        <v>360.0</v>
      </c>
      <c r="Z248" s="320">
        <v>3892.0</v>
      </c>
      <c r="AA248" s="320">
        <v>14712.0</v>
      </c>
      <c r="AB248" s="320">
        <v>49.3917</v>
      </c>
      <c r="AC248" s="320">
        <v>0.543</v>
      </c>
      <c r="AD248" s="329"/>
      <c r="AE248" s="329"/>
      <c r="AF248" s="329"/>
      <c r="AG248" s="329"/>
      <c r="AH248" s="329"/>
      <c r="AI248" s="320">
        <v>0.0</v>
      </c>
      <c r="AJ248" s="320">
        <v>0.0</v>
      </c>
      <c r="AK248" s="320">
        <v>0.0</v>
      </c>
      <c r="AL248" s="320">
        <v>0.2718</v>
      </c>
      <c r="AM248" s="320">
        <v>15.78</v>
      </c>
      <c r="AN248" s="320">
        <v>9.78</v>
      </c>
      <c r="AO248" s="329"/>
      <c r="AP248" s="329"/>
    </row>
    <row r="249">
      <c r="A249" s="319" t="s">
        <v>256</v>
      </c>
      <c r="B249" s="328">
        <v>46091.0</v>
      </c>
      <c r="C249" s="319" t="s">
        <v>214</v>
      </c>
      <c r="D249" s="320">
        <v>38681.0</v>
      </c>
      <c r="E249" s="320">
        <v>35.07</v>
      </c>
      <c r="F249" s="320">
        <v>0.0</v>
      </c>
      <c r="G249" s="320">
        <v>0.0</v>
      </c>
      <c r="H249" s="320">
        <v>0.0</v>
      </c>
      <c r="I249" s="329"/>
      <c r="J249" s="320">
        <v>28.33</v>
      </c>
      <c r="K249" s="320">
        <v>12.76</v>
      </c>
      <c r="L249" s="320">
        <v>5.47</v>
      </c>
      <c r="M249" s="320">
        <v>0.4285</v>
      </c>
      <c r="N249" s="320">
        <v>0.7502</v>
      </c>
      <c r="O249" s="320">
        <v>0.5629</v>
      </c>
      <c r="P249" s="320">
        <v>2.3336</v>
      </c>
      <c r="Q249" s="320">
        <v>53.25</v>
      </c>
      <c r="R249" s="320">
        <v>41.8</v>
      </c>
      <c r="S249" s="320">
        <v>11.45</v>
      </c>
      <c r="T249" s="320">
        <v>0.0</v>
      </c>
      <c r="U249" s="320">
        <v>53.25</v>
      </c>
      <c r="V249" s="320">
        <v>53.72</v>
      </c>
      <c r="W249" s="320">
        <v>4.2105</v>
      </c>
      <c r="X249" s="320">
        <v>0.0</v>
      </c>
      <c r="Y249" s="320">
        <v>154.0</v>
      </c>
      <c r="Z249" s="320">
        <v>895.0</v>
      </c>
      <c r="AA249" s="320">
        <v>6023.0</v>
      </c>
      <c r="AB249" s="320">
        <v>49.0097</v>
      </c>
      <c r="AC249" s="320">
        <v>0.5329</v>
      </c>
      <c r="AD249" s="320">
        <v>3.99</v>
      </c>
      <c r="AE249" s="320">
        <v>1.0</v>
      </c>
      <c r="AF249" s="320">
        <v>3.0</v>
      </c>
      <c r="AG249" s="320">
        <v>5.0</v>
      </c>
      <c r="AH249" s="320">
        <v>9.0</v>
      </c>
      <c r="AI249" s="320">
        <v>72.88</v>
      </c>
      <c r="AJ249" s="320">
        <v>30.79</v>
      </c>
      <c r="AK249" s="320">
        <v>8.87</v>
      </c>
      <c r="AL249" s="320">
        <v>0.2334</v>
      </c>
      <c r="AM249" s="320">
        <v>17.92</v>
      </c>
      <c r="AN249" s="320">
        <v>23.88</v>
      </c>
      <c r="AO249" s="320">
        <v>66.32</v>
      </c>
      <c r="AP249" s="320">
        <v>11.88</v>
      </c>
    </row>
    <row r="250">
      <c r="A250" s="319" t="s">
        <v>256</v>
      </c>
      <c r="B250" s="328">
        <v>46091.0</v>
      </c>
      <c r="C250" s="319" t="s">
        <v>215</v>
      </c>
      <c r="D250" s="320">
        <v>29017.0</v>
      </c>
      <c r="E250" s="320">
        <v>26.31</v>
      </c>
      <c r="F250" s="320">
        <v>0.0</v>
      </c>
      <c r="G250" s="320">
        <v>0.0</v>
      </c>
      <c r="H250" s="320">
        <v>0.0</v>
      </c>
      <c r="I250" s="329"/>
      <c r="J250" s="320">
        <v>53.14</v>
      </c>
      <c r="K250" s="320">
        <v>25.16</v>
      </c>
      <c r="L250" s="320">
        <v>13.83</v>
      </c>
      <c r="M250" s="320">
        <v>0.5495</v>
      </c>
      <c r="N250" s="320">
        <v>0.651</v>
      </c>
      <c r="O250" s="320">
        <v>0.4616</v>
      </c>
      <c r="P250" s="320">
        <v>1.8199</v>
      </c>
      <c r="Q250" s="320">
        <v>97.04</v>
      </c>
      <c r="R250" s="320">
        <v>68.81</v>
      </c>
      <c r="S250" s="320">
        <v>28.23</v>
      </c>
      <c r="T250" s="320">
        <v>0.35</v>
      </c>
      <c r="U250" s="320">
        <v>96.7</v>
      </c>
      <c r="V250" s="320">
        <v>99.12</v>
      </c>
      <c r="W250" s="320">
        <v>3.9391</v>
      </c>
      <c r="X250" s="320">
        <v>0.36</v>
      </c>
      <c r="Y250" s="320">
        <v>132.0</v>
      </c>
      <c r="Z250" s="320">
        <v>750.0</v>
      </c>
      <c r="AA250" s="320">
        <v>6008.0</v>
      </c>
      <c r="AB250" s="320">
        <v>52.2378</v>
      </c>
      <c r="AC250" s="320">
        <v>0.5988</v>
      </c>
      <c r="AD250" s="320">
        <v>9.1</v>
      </c>
      <c r="AE250" s="320">
        <v>3.0</v>
      </c>
      <c r="AF250" s="320">
        <v>7.0</v>
      </c>
      <c r="AG250" s="320">
        <v>12.0</v>
      </c>
      <c r="AH250" s="320">
        <v>19.0</v>
      </c>
      <c r="AI250" s="320">
        <v>59.09</v>
      </c>
      <c r="AJ250" s="320">
        <v>24.79</v>
      </c>
      <c r="AK250" s="320">
        <v>4.02</v>
      </c>
      <c r="AL250" s="320">
        <v>0.1815</v>
      </c>
      <c r="AM250" s="320">
        <v>18.77</v>
      </c>
      <c r="AN250" s="320">
        <v>50.04</v>
      </c>
      <c r="AO250" s="320">
        <v>72.73</v>
      </c>
      <c r="AP250" s="320">
        <v>13.65</v>
      </c>
    </row>
    <row r="251">
      <c r="A251" s="319" t="s">
        <v>256</v>
      </c>
      <c r="B251" s="328">
        <v>46091.0</v>
      </c>
      <c r="C251" s="319" t="s">
        <v>216</v>
      </c>
      <c r="D251" s="320">
        <v>16044.0</v>
      </c>
      <c r="E251" s="320">
        <v>14.55</v>
      </c>
      <c r="F251" s="320">
        <v>0.0</v>
      </c>
      <c r="G251" s="320">
        <v>0.0</v>
      </c>
      <c r="H251" s="320">
        <v>0.0</v>
      </c>
      <c r="I251" s="329"/>
      <c r="J251" s="320">
        <v>82.15</v>
      </c>
      <c r="K251" s="320">
        <v>41.45</v>
      </c>
      <c r="L251" s="320">
        <v>28.63</v>
      </c>
      <c r="M251" s="320">
        <v>0.6908</v>
      </c>
      <c r="N251" s="320">
        <v>0.508</v>
      </c>
      <c r="O251" s="320">
        <v>0.3563</v>
      </c>
      <c r="P251" s="320">
        <v>1.4477</v>
      </c>
      <c r="Q251" s="320">
        <v>175.76</v>
      </c>
      <c r="R251" s="320">
        <v>121.83</v>
      </c>
      <c r="S251" s="320">
        <v>53.93</v>
      </c>
      <c r="T251" s="320">
        <v>0.37</v>
      </c>
      <c r="U251" s="320">
        <v>175.38</v>
      </c>
      <c r="V251" s="320">
        <v>180.76</v>
      </c>
      <c r="W251" s="320">
        <v>4.3607</v>
      </c>
      <c r="X251" s="320">
        <v>0.21</v>
      </c>
      <c r="Y251" s="320">
        <v>163.0</v>
      </c>
      <c r="Z251" s="320">
        <v>1042.0</v>
      </c>
      <c r="AA251" s="320">
        <v>7323.0</v>
      </c>
      <c r="AB251" s="320">
        <v>55.5371</v>
      </c>
      <c r="AC251" s="320">
        <v>0.6783</v>
      </c>
      <c r="AD251" s="320">
        <v>17.14</v>
      </c>
      <c r="AE251" s="320">
        <v>7.0</v>
      </c>
      <c r="AF251" s="320">
        <v>13.0</v>
      </c>
      <c r="AG251" s="320">
        <v>24.0</v>
      </c>
      <c r="AH251" s="320">
        <v>35.0</v>
      </c>
      <c r="AI251" s="320">
        <v>59.03</v>
      </c>
      <c r="AJ251" s="320">
        <v>21.8</v>
      </c>
      <c r="AK251" s="320">
        <v>6.05</v>
      </c>
      <c r="AL251" s="320">
        <v>0.1611</v>
      </c>
      <c r="AM251" s="320">
        <v>19.19</v>
      </c>
      <c r="AN251" s="320">
        <v>102.64</v>
      </c>
      <c r="AO251" s="320">
        <v>73.32</v>
      </c>
      <c r="AP251" s="320">
        <v>14.07</v>
      </c>
    </row>
    <row r="252">
      <c r="A252" s="319" t="s">
        <v>256</v>
      </c>
      <c r="B252" s="328">
        <v>46091.0</v>
      </c>
      <c r="C252" s="319" t="s">
        <v>217</v>
      </c>
      <c r="D252" s="320">
        <v>5855.0</v>
      </c>
      <c r="E252" s="320">
        <v>5.31</v>
      </c>
      <c r="F252" s="320">
        <v>0.0</v>
      </c>
      <c r="G252" s="320">
        <v>0.0</v>
      </c>
      <c r="H252" s="320">
        <v>0.0</v>
      </c>
      <c r="I252" s="329"/>
      <c r="J252" s="320">
        <v>129.11</v>
      </c>
      <c r="K252" s="320">
        <v>69.27</v>
      </c>
      <c r="L252" s="320">
        <v>55.2</v>
      </c>
      <c r="M252" s="320">
        <v>0.7968</v>
      </c>
      <c r="N252" s="320">
        <v>0.3869</v>
      </c>
      <c r="O252" s="320">
        <v>0.2828</v>
      </c>
      <c r="P252" s="320">
        <v>1.2551</v>
      </c>
      <c r="Q252" s="320">
        <v>325.78</v>
      </c>
      <c r="R252" s="320">
        <v>210.22</v>
      </c>
      <c r="S252" s="320">
        <v>115.56</v>
      </c>
      <c r="T252" s="320">
        <v>0.0</v>
      </c>
      <c r="U252" s="320">
        <v>325.78</v>
      </c>
      <c r="V252" s="320">
        <v>326.67</v>
      </c>
      <c r="W252" s="320">
        <v>4.7157</v>
      </c>
      <c r="X252" s="320">
        <v>0.0</v>
      </c>
      <c r="Y252" s="320">
        <v>277.0</v>
      </c>
      <c r="Z252" s="320">
        <v>2024.0</v>
      </c>
      <c r="AA252" s="320">
        <v>8753.0</v>
      </c>
      <c r="AB252" s="320">
        <v>59.5237</v>
      </c>
      <c r="AC252" s="320">
        <v>0.821</v>
      </c>
      <c r="AD252" s="320">
        <v>37.45</v>
      </c>
      <c r="AE252" s="320">
        <v>15.0</v>
      </c>
      <c r="AF252" s="320">
        <v>29.0</v>
      </c>
      <c r="AG252" s="320">
        <v>51.0</v>
      </c>
      <c r="AH252" s="320">
        <v>78.0</v>
      </c>
      <c r="AI252" s="320">
        <v>52.35</v>
      </c>
      <c r="AJ252" s="320">
        <v>19.04</v>
      </c>
      <c r="AK252" s="320">
        <v>4.59</v>
      </c>
      <c r="AL252" s="320">
        <v>0.1214</v>
      </c>
      <c r="AM252" s="320">
        <v>20.71</v>
      </c>
      <c r="AN252" s="320">
        <v>189.52</v>
      </c>
      <c r="AO252" s="320">
        <v>82.35</v>
      </c>
      <c r="AP252" s="320">
        <v>17.05</v>
      </c>
    </row>
    <row r="253">
      <c r="A253" s="319" t="s">
        <v>256</v>
      </c>
      <c r="B253" s="328">
        <v>46091.0</v>
      </c>
      <c r="C253" s="319" t="s">
        <v>218</v>
      </c>
      <c r="D253" s="320">
        <v>654.0</v>
      </c>
      <c r="E253" s="320">
        <v>0.59</v>
      </c>
      <c r="F253" s="320">
        <v>0.0</v>
      </c>
      <c r="G253" s="320">
        <v>0.0</v>
      </c>
      <c r="H253" s="320">
        <v>0.0</v>
      </c>
      <c r="I253" s="329"/>
      <c r="J253" s="320">
        <v>252.51</v>
      </c>
      <c r="K253" s="320">
        <v>149.0</v>
      </c>
      <c r="L253" s="320">
        <v>130.59</v>
      </c>
      <c r="M253" s="320">
        <v>0.8764</v>
      </c>
      <c r="N253" s="320">
        <v>0.2764</v>
      </c>
      <c r="O253" s="320">
        <v>0.209</v>
      </c>
      <c r="P253" s="320">
        <v>1.141</v>
      </c>
      <c r="Q253" s="320">
        <v>645.7</v>
      </c>
      <c r="R253" s="320">
        <v>368.83</v>
      </c>
      <c r="S253" s="320">
        <v>276.87</v>
      </c>
      <c r="T253" s="320">
        <v>0.0</v>
      </c>
      <c r="U253" s="320">
        <v>645.7</v>
      </c>
      <c r="V253" s="320">
        <v>737.23</v>
      </c>
      <c r="W253" s="320">
        <v>4.9478</v>
      </c>
      <c r="X253" s="320">
        <v>0.0</v>
      </c>
      <c r="Y253" s="320">
        <v>734.0</v>
      </c>
      <c r="Z253" s="320">
        <v>4225.0</v>
      </c>
      <c r="AA253" s="320">
        <v>11505.0</v>
      </c>
      <c r="AB253" s="320">
        <v>63.3123</v>
      </c>
      <c r="AC253" s="320">
        <v>0.8981</v>
      </c>
      <c r="AD253" s="320">
        <v>87.81</v>
      </c>
      <c r="AE253" s="320">
        <v>40.0</v>
      </c>
      <c r="AF253" s="320">
        <v>72.0</v>
      </c>
      <c r="AG253" s="320">
        <v>121.0</v>
      </c>
      <c r="AH253" s="320">
        <v>169.0</v>
      </c>
      <c r="AI253" s="320">
        <v>46.64</v>
      </c>
      <c r="AJ253" s="320">
        <v>8.1</v>
      </c>
      <c r="AK253" s="320">
        <v>1.83</v>
      </c>
      <c r="AL253" s="320">
        <v>0.0795</v>
      </c>
      <c r="AM253" s="320">
        <v>20.78</v>
      </c>
      <c r="AN253" s="320">
        <v>348.05</v>
      </c>
      <c r="AO253" s="320">
        <v>84.75</v>
      </c>
      <c r="AP253" s="320">
        <v>17.61</v>
      </c>
    </row>
    <row r="254">
      <c r="A254" s="319" t="s">
        <v>256</v>
      </c>
      <c r="B254" s="328">
        <v>46092.0</v>
      </c>
      <c r="C254" s="319" t="s">
        <v>257</v>
      </c>
      <c r="D254" s="320">
        <v>20866.0</v>
      </c>
      <c r="E254" s="320">
        <v>19.15</v>
      </c>
      <c r="F254" s="320">
        <v>0.0</v>
      </c>
      <c r="G254" s="320">
        <v>0.0</v>
      </c>
      <c r="H254" s="320">
        <v>0.0</v>
      </c>
      <c r="I254" s="329"/>
      <c r="J254" s="320">
        <v>6.17</v>
      </c>
      <c r="K254" s="320">
        <v>2.49</v>
      </c>
      <c r="L254" s="320">
        <v>0.04</v>
      </c>
      <c r="M254" s="320">
        <v>0.0153</v>
      </c>
      <c r="N254" s="320">
        <v>0.9885</v>
      </c>
      <c r="O254" s="320">
        <v>0.8568</v>
      </c>
      <c r="P254" s="320">
        <v>65.147</v>
      </c>
      <c r="Q254" s="320">
        <v>21.93</v>
      </c>
      <c r="R254" s="320">
        <v>21.81</v>
      </c>
      <c r="S254" s="320">
        <v>0.12</v>
      </c>
      <c r="T254" s="320">
        <v>0.0</v>
      </c>
      <c r="U254" s="320">
        <v>21.93</v>
      </c>
      <c r="V254" s="320">
        <v>1.77</v>
      </c>
      <c r="W254" s="320">
        <v>0.7125</v>
      </c>
      <c r="X254" s="320">
        <v>0.0</v>
      </c>
      <c r="Y254" s="320">
        <v>336.0</v>
      </c>
      <c r="Z254" s="320">
        <v>3887.0</v>
      </c>
      <c r="AA254" s="320">
        <v>14982.0</v>
      </c>
      <c r="AB254" s="320">
        <v>49.4167</v>
      </c>
      <c r="AC254" s="320">
        <v>0.5485</v>
      </c>
      <c r="AD254" s="329"/>
      <c r="AE254" s="329"/>
      <c r="AF254" s="329"/>
      <c r="AG254" s="329"/>
      <c r="AH254" s="329"/>
      <c r="AI254" s="320">
        <v>0.0</v>
      </c>
      <c r="AJ254" s="320">
        <v>0.0</v>
      </c>
      <c r="AK254" s="320">
        <v>0.0</v>
      </c>
      <c r="AL254" s="320">
        <v>0.285</v>
      </c>
      <c r="AM254" s="320">
        <v>16.05</v>
      </c>
      <c r="AN254" s="320">
        <v>5.76</v>
      </c>
      <c r="AO254" s="329"/>
      <c r="AP254" s="329"/>
    </row>
    <row r="255">
      <c r="A255" s="319" t="s">
        <v>256</v>
      </c>
      <c r="B255" s="328">
        <v>46092.0</v>
      </c>
      <c r="C255" s="319" t="s">
        <v>214</v>
      </c>
      <c r="D255" s="320">
        <v>38888.0</v>
      </c>
      <c r="E255" s="320">
        <v>35.69</v>
      </c>
      <c r="F255" s="320">
        <v>0.0</v>
      </c>
      <c r="G255" s="320">
        <v>0.0</v>
      </c>
      <c r="H255" s="320">
        <v>0.0</v>
      </c>
      <c r="I255" s="329"/>
      <c r="J255" s="320">
        <v>29.5</v>
      </c>
      <c r="K255" s="320">
        <v>13.39</v>
      </c>
      <c r="L255" s="320">
        <v>5.45</v>
      </c>
      <c r="M255" s="320">
        <v>0.4067</v>
      </c>
      <c r="N255" s="320">
        <v>0.7626</v>
      </c>
      <c r="O255" s="320">
        <v>0.5671</v>
      </c>
      <c r="P255" s="320">
        <v>2.4586</v>
      </c>
      <c r="Q255" s="320">
        <v>46.16</v>
      </c>
      <c r="R255" s="320">
        <v>34.66</v>
      </c>
      <c r="S255" s="320">
        <v>11.51</v>
      </c>
      <c r="T255" s="320">
        <v>0.1</v>
      </c>
      <c r="U255" s="320">
        <v>46.07</v>
      </c>
      <c r="V255" s="320">
        <v>50.26</v>
      </c>
      <c r="W255" s="320">
        <v>3.7526</v>
      </c>
      <c r="X255" s="320">
        <v>0.21</v>
      </c>
      <c r="Y255" s="320">
        <v>141.0</v>
      </c>
      <c r="Z255" s="320">
        <v>888.0</v>
      </c>
      <c r="AA255" s="320">
        <v>5594.0</v>
      </c>
      <c r="AB255" s="320">
        <v>49.095</v>
      </c>
      <c r="AC255" s="320">
        <v>0.5346</v>
      </c>
      <c r="AD255" s="320">
        <v>3.9</v>
      </c>
      <c r="AE255" s="320">
        <v>1.0</v>
      </c>
      <c r="AF255" s="320">
        <v>3.0</v>
      </c>
      <c r="AG255" s="320">
        <v>5.0</v>
      </c>
      <c r="AH255" s="320">
        <v>9.0</v>
      </c>
      <c r="AI255" s="320">
        <v>72.5</v>
      </c>
      <c r="AJ255" s="320">
        <v>30.2</v>
      </c>
      <c r="AK255" s="320">
        <v>8.02</v>
      </c>
      <c r="AL255" s="320">
        <v>0.2415</v>
      </c>
      <c r="AM255" s="320">
        <v>18.63</v>
      </c>
      <c r="AN255" s="320">
        <v>16.02</v>
      </c>
      <c r="AO255" s="320">
        <v>66.66</v>
      </c>
      <c r="AP255" s="320">
        <v>12.42</v>
      </c>
    </row>
    <row r="256">
      <c r="A256" s="319" t="s">
        <v>256</v>
      </c>
      <c r="B256" s="328">
        <v>46092.0</v>
      </c>
      <c r="C256" s="319" t="s">
        <v>215</v>
      </c>
      <c r="D256" s="320">
        <v>28194.0</v>
      </c>
      <c r="E256" s="320">
        <v>25.88</v>
      </c>
      <c r="F256" s="320">
        <v>0.0</v>
      </c>
      <c r="G256" s="320">
        <v>0.0</v>
      </c>
      <c r="H256" s="320">
        <v>0.0</v>
      </c>
      <c r="I256" s="329"/>
      <c r="J256" s="320">
        <v>56.29</v>
      </c>
      <c r="K256" s="320">
        <v>26.88</v>
      </c>
      <c r="L256" s="320">
        <v>14.14</v>
      </c>
      <c r="M256" s="320">
        <v>0.5261</v>
      </c>
      <c r="N256" s="320">
        <v>0.6625</v>
      </c>
      <c r="O256" s="320">
        <v>0.4591</v>
      </c>
      <c r="P256" s="320">
        <v>1.9006</v>
      </c>
      <c r="Q256" s="320">
        <v>76.48</v>
      </c>
      <c r="R256" s="320">
        <v>48.69</v>
      </c>
      <c r="S256" s="320">
        <v>27.79</v>
      </c>
      <c r="T256" s="320">
        <v>0.0</v>
      </c>
      <c r="U256" s="320">
        <v>76.48</v>
      </c>
      <c r="V256" s="320">
        <v>91.01</v>
      </c>
      <c r="W256" s="320">
        <v>3.3857</v>
      </c>
      <c r="X256" s="320">
        <v>0.0</v>
      </c>
      <c r="Y256" s="320">
        <v>115.0</v>
      </c>
      <c r="Z256" s="320">
        <v>693.0</v>
      </c>
      <c r="AA256" s="320">
        <v>5534.0</v>
      </c>
      <c r="AB256" s="320">
        <v>52.1624</v>
      </c>
      <c r="AC256" s="320">
        <v>0.6037</v>
      </c>
      <c r="AD256" s="320">
        <v>8.71</v>
      </c>
      <c r="AE256" s="320">
        <v>3.0</v>
      </c>
      <c r="AF256" s="320">
        <v>7.0</v>
      </c>
      <c r="AG256" s="320">
        <v>12.0</v>
      </c>
      <c r="AH256" s="320">
        <v>18.0</v>
      </c>
      <c r="AI256" s="320">
        <v>57.07</v>
      </c>
      <c r="AJ256" s="320">
        <v>23.27</v>
      </c>
      <c r="AK256" s="320">
        <v>3.55</v>
      </c>
      <c r="AL256" s="320">
        <v>0.1846</v>
      </c>
      <c r="AM256" s="320">
        <v>19.26</v>
      </c>
      <c r="AN256" s="320">
        <v>29.43</v>
      </c>
      <c r="AO256" s="320">
        <v>73.53</v>
      </c>
      <c r="AP256" s="320">
        <v>14.16</v>
      </c>
    </row>
    <row r="257">
      <c r="A257" s="319" t="s">
        <v>256</v>
      </c>
      <c r="B257" s="328">
        <v>46092.0</v>
      </c>
      <c r="C257" s="319" t="s">
        <v>216</v>
      </c>
      <c r="D257" s="320">
        <v>14568.0</v>
      </c>
      <c r="E257" s="320">
        <v>13.37</v>
      </c>
      <c r="F257" s="320">
        <v>0.0</v>
      </c>
      <c r="G257" s="320">
        <v>0.0</v>
      </c>
      <c r="H257" s="320">
        <v>0.0</v>
      </c>
      <c r="I257" s="329"/>
      <c r="J257" s="320">
        <v>78.72</v>
      </c>
      <c r="K257" s="320">
        <v>40.09</v>
      </c>
      <c r="L257" s="320">
        <v>26.02</v>
      </c>
      <c r="M257" s="320">
        <v>0.6492</v>
      </c>
      <c r="N257" s="320">
        <v>0.5384</v>
      </c>
      <c r="O257" s="320">
        <v>0.3726</v>
      </c>
      <c r="P257" s="320">
        <v>1.5404</v>
      </c>
      <c r="Q257" s="320">
        <v>125.09</v>
      </c>
      <c r="R257" s="320">
        <v>70.8</v>
      </c>
      <c r="S257" s="320">
        <v>54.29</v>
      </c>
      <c r="T257" s="320">
        <v>0.86</v>
      </c>
      <c r="U257" s="320">
        <v>124.24</v>
      </c>
      <c r="V257" s="320">
        <v>156.92</v>
      </c>
      <c r="W257" s="320">
        <v>3.9145</v>
      </c>
      <c r="X257" s="320">
        <v>0.69</v>
      </c>
      <c r="Y257" s="320">
        <v>138.0</v>
      </c>
      <c r="Z257" s="320">
        <v>954.0</v>
      </c>
      <c r="AA257" s="320">
        <v>6407.0</v>
      </c>
      <c r="AB257" s="320">
        <v>55.8918</v>
      </c>
      <c r="AC257" s="320">
        <v>0.7325</v>
      </c>
      <c r="AD257" s="320">
        <v>17.05</v>
      </c>
      <c r="AE257" s="320">
        <v>7.0</v>
      </c>
      <c r="AF257" s="320">
        <v>13.0</v>
      </c>
      <c r="AG257" s="320">
        <v>23.0</v>
      </c>
      <c r="AH257" s="320">
        <v>36.0</v>
      </c>
      <c r="AI257" s="320">
        <v>57.47</v>
      </c>
      <c r="AJ257" s="320">
        <v>21.42</v>
      </c>
      <c r="AK257" s="320">
        <v>6.4</v>
      </c>
      <c r="AL257" s="320">
        <v>0.1792</v>
      </c>
      <c r="AM257" s="320">
        <v>19.36</v>
      </c>
      <c r="AN257" s="320">
        <v>51.44</v>
      </c>
      <c r="AO257" s="320">
        <v>77.27</v>
      </c>
      <c r="AP257" s="320">
        <v>14.96</v>
      </c>
    </row>
    <row r="258">
      <c r="A258" s="319" t="s">
        <v>256</v>
      </c>
      <c r="B258" s="328">
        <v>46092.0</v>
      </c>
      <c r="C258" s="319" t="s">
        <v>217</v>
      </c>
      <c r="D258" s="320">
        <v>5784.0</v>
      </c>
      <c r="E258" s="320">
        <v>5.31</v>
      </c>
      <c r="F258" s="320">
        <v>0.0</v>
      </c>
      <c r="G258" s="320">
        <v>0.0</v>
      </c>
      <c r="H258" s="320">
        <v>0.0</v>
      </c>
      <c r="I258" s="329"/>
      <c r="J258" s="320">
        <v>131.66</v>
      </c>
      <c r="K258" s="320">
        <v>70.66</v>
      </c>
      <c r="L258" s="320">
        <v>54.11</v>
      </c>
      <c r="M258" s="320">
        <v>0.7658</v>
      </c>
      <c r="N258" s="320">
        <v>0.4111</v>
      </c>
      <c r="O258" s="320">
        <v>0.2896</v>
      </c>
      <c r="P258" s="320">
        <v>1.3058</v>
      </c>
      <c r="Q258" s="320">
        <v>216.24</v>
      </c>
      <c r="R258" s="320">
        <v>101.84</v>
      </c>
      <c r="S258" s="320">
        <v>114.4</v>
      </c>
      <c r="T258" s="320">
        <v>0.03</v>
      </c>
      <c r="U258" s="320">
        <v>216.21</v>
      </c>
      <c r="V258" s="320">
        <v>290.73</v>
      </c>
      <c r="W258" s="320">
        <v>4.1147</v>
      </c>
      <c r="X258" s="320">
        <v>0.01</v>
      </c>
      <c r="Y258" s="320">
        <v>226.0</v>
      </c>
      <c r="Z258" s="320">
        <v>1986.0</v>
      </c>
      <c r="AA258" s="320">
        <v>8554.0</v>
      </c>
      <c r="AB258" s="320">
        <v>59.5196</v>
      </c>
      <c r="AC258" s="320">
        <v>0.83</v>
      </c>
      <c r="AD258" s="320">
        <v>35.97</v>
      </c>
      <c r="AE258" s="320">
        <v>13.0</v>
      </c>
      <c r="AF258" s="320">
        <v>27.0</v>
      </c>
      <c r="AG258" s="320">
        <v>50.0</v>
      </c>
      <c r="AH258" s="320">
        <v>77.0</v>
      </c>
      <c r="AI258" s="320">
        <v>49.08</v>
      </c>
      <c r="AJ258" s="320">
        <v>18.24</v>
      </c>
      <c r="AK258" s="320">
        <v>4.48</v>
      </c>
      <c r="AL258" s="320">
        <v>0.1226</v>
      </c>
      <c r="AM258" s="320">
        <v>20.26</v>
      </c>
      <c r="AN258" s="320">
        <v>81.58</v>
      </c>
      <c r="AO258" s="320">
        <v>83.04</v>
      </c>
      <c r="AP258" s="320">
        <v>16.82</v>
      </c>
    </row>
    <row r="259">
      <c r="A259" s="319" t="s">
        <v>256</v>
      </c>
      <c r="B259" s="328">
        <v>46092.0</v>
      </c>
      <c r="C259" s="319" t="s">
        <v>218</v>
      </c>
      <c r="D259" s="320">
        <v>649.0</v>
      </c>
      <c r="E259" s="320">
        <v>0.6</v>
      </c>
      <c r="F259" s="320">
        <v>0.0</v>
      </c>
      <c r="G259" s="320">
        <v>0.0</v>
      </c>
      <c r="H259" s="320">
        <v>0.0</v>
      </c>
      <c r="I259" s="329"/>
      <c r="J259" s="320">
        <v>253.71</v>
      </c>
      <c r="K259" s="320">
        <v>147.91</v>
      </c>
      <c r="L259" s="320">
        <v>128.6</v>
      </c>
      <c r="M259" s="320">
        <v>0.8694</v>
      </c>
      <c r="N259" s="320">
        <v>0.2854</v>
      </c>
      <c r="O259" s="320">
        <v>0.2144</v>
      </c>
      <c r="P259" s="320">
        <v>1.1502</v>
      </c>
      <c r="Q259" s="320">
        <v>434.44</v>
      </c>
      <c r="R259" s="320">
        <v>162.2</v>
      </c>
      <c r="S259" s="320">
        <v>272.24</v>
      </c>
      <c r="T259" s="320">
        <v>0.0</v>
      </c>
      <c r="U259" s="320">
        <v>434.44</v>
      </c>
      <c r="V259" s="320">
        <v>836.75</v>
      </c>
      <c r="W259" s="320">
        <v>5.657</v>
      </c>
      <c r="X259" s="320">
        <v>0.0</v>
      </c>
      <c r="Y259" s="320">
        <v>694.0</v>
      </c>
      <c r="Z259" s="320">
        <v>4304.0</v>
      </c>
      <c r="AA259" s="320">
        <v>13253.0</v>
      </c>
      <c r="AB259" s="320">
        <v>63.2025</v>
      </c>
      <c r="AC259" s="320">
        <v>0.8986</v>
      </c>
      <c r="AD259" s="320">
        <v>87.58</v>
      </c>
      <c r="AE259" s="320">
        <v>34.0</v>
      </c>
      <c r="AF259" s="320">
        <v>71.0</v>
      </c>
      <c r="AG259" s="320">
        <v>120.0</v>
      </c>
      <c r="AH259" s="320">
        <v>180.0</v>
      </c>
      <c r="AI259" s="320">
        <v>45.45</v>
      </c>
      <c r="AJ259" s="320">
        <v>11.56</v>
      </c>
      <c r="AK259" s="320">
        <v>1.69</v>
      </c>
      <c r="AL259" s="320">
        <v>0.074</v>
      </c>
      <c r="AM259" s="320">
        <v>23.58</v>
      </c>
      <c r="AN259" s="320">
        <v>138.61</v>
      </c>
      <c r="AO259" s="320">
        <v>85.38</v>
      </c>
      <c r="AP259" s="320">
        <v>20.13</v>
      </c>
    </row>
    <row r="260">
      <c r="A260" s="319" t="s">
        <v>256</v>
      </c>
      <c r="B260" s="328">
        <v>46093.0</v>
      </c>
      <c r="C260" s="319" t="s">
        <v>257</v>
      </c>
      <c r="D260" s="320">
        <v>21127.0</v>
      </c>
      <c r="E260" s="320">
        <v>19.77</v>
      </c>
      <c r="F260" s="320">
        <v>0.0</v>
      </c>
      <c r="G260" s="320">
        <v>0.0</v>
      </c>
      <c r="H260" s="320">
        <v>0.0</v>
      </c>
      <c r="I260" s="329"/>
      <c r="J260" s="320">
        <v>6.42</v>
      </c>
      <c r="K260" s="320">
        <v>2.59</v>
      </c>
      <c r="L260" s="320">
        <v>0.04</v>
      </c>
      <c r="M260" s="320">
        <v>0.0169</v>
      </c>
      <c r="N260" s="320">
        <v>0.9862</v>
      </c>
      <c r="O260" s="320">
        <v>0.8274</v>
      </c>
      <c r="P260" s="320">
        <v>59.1145</v>
      </c>
      <c r="Q260" s="320">
        <v>22.74</v>
      </c>
      <c r="R260" s="320">
        <v>22.62</v>
      </c>
      <c r="S260" s="320">
        <v>0.12</v>
      </c>
      <c r="T260" s="320">
        <v>0.0</v>
      </c>
      <c r="U260" s="320">
        <v>22.74</v>
      </c>
      <c r="V260" s="320">
        <v>1.76</v>
      </c>
      <c r="W260" s="320">
        <v>0.6787</v>
      </c>
      <c r="X260" s="320">
        <v>0.0</v>
      </c>
      <c r="Y260" s="320">
        <v>294.0</v>
      </c>
      <c r="Z260" s="320">
        <v>3405.0</v>
      </c>
      <c r="AA260" s="320">
        <v>14268.0</v>
      </c>
      <c r="AB260" s="320">
        <v>49.1899</v>
      </c>
      <c r="AC260" s="320">
        <v>0.543</v>
      </c>
      <c r="AD260" s="329"/>
      <c r="AE260" s="329"/>
      <c r="AF260" s="329"/>
      <c r="AG260" s="329"/>
      <c r="AH260" s="329"/>
      <c r="AI260" s="320">
        <v>0.0</v>
      </c>
      <c r="AJ260" s="320">
        <v>0.0</v>
      </c>
      <c r="AK260" s="320">
        <v>0.0</v>
      </c>
      <c r="AL260" s="320">
        <v>0.2843</v>
      </c>
      <c r="AM260" s="320">
        <v>16.31</v>
      </c>
      <c r="AN260" s="320">
        <v>6.31</v>
      </c>
      <c r="AO260" s="329"/>
      <c r="AP260" s="329"/>
    </row>
    <row r="261">
      <c r="A261" s="319" t="s">
        <v>256</v>
      </c>
      <c r="B261" s="328">
        <v>46093.0</v>
      </c>
      <c r="C261" s="319" t="s">
        <v>214</v>
      </c>
      <c r="D261" s="320">
        <v>38206.0</v>
      </c>
      <c r="E261" s="320">
        <v>35.76</v>
      </c>
      <c r="F261" s="320">
        <v>0.0</v>
      </c>
      <c r="G261" s="320">
        <v>0.0</v>
      </c>
      <c r="H261" s="320">
        <v>0.0</v>
      </c>
      <c r="I261" s="329"/>
      <c r="J261" s="320">
        <v>27.65</v>
      </c>
      <c r="K261" s="320">
        <v>12.43</v>
      </c>
      <c r="L261" s="320">
        <v>5.39</v>
      </c>
      <c r="M261" s="320">
        <v>0.4334</v>
      </c>
      <c r="N261" s="320">
        <v>0.7442</v>
      </c>
      <c r="O261" s="320">
        <v>0.5542</v>
      </c>
      <c r="P261" s="320">
        <v>2.3071</v>
      </c>
      <c r="Q261" s="320">
        <v>46.6</v>
      </c>
      <c r="R261" s="320">
        <v>35.39</v>
      </c>
      <c r="S261" s="320">
        <v>11.2</v>
      </c>
      <c r="T261" s="320">
        <v>0.01</v>
      </c>
      <c r="U261" s="320">
        <v>46.58</v>
      </c>
      <c r="V261" s="320">
        <v>49.9</v>
      </c>
      <c r="W261" s="320">
        <v>4.015</v>
      </c>
      <c r="X261" s="320">
        <v>0.03</v>
      </c>
      <c r="Y261" s="320">
        <v>142.0</v>
      </c>
      <c r="Z261" s="320">
        <v>885.0</v>
      </c>
      <c r="AA261" s="320">
        <v>6167.0</v>
      </c>
      <c r="AB261" s="320">
        <v>49.0994</v>
      </c>
      <c r="AC261" s="320">
        <v>0.5374</v>
      </c>
      <c r="AD261" s="320">
        <v>3.91</v>
      </c>
      <c r="AE261" s="320">
        <v>1.0</v>
      </c>
      <c r="AF261" s="320">
        <v>3.0</v>
      </c>
      <c r="AG261" s="320">
        <v>5.0</v>
      </c>
      <c r="AH261" s="320">
        <v>9.0</v>
      </c>
      <c r="AI261" s="320">
        <v>71.8</v>
      </c>
      <c r="AJ261" s="320">
        <v>30.22</v>
      </c>
      <c r="AK261" s="320">
        <v>8.37</v>
      </c>
      <c r="AL261" s="320">
        <v>0.2493</v>
      </c>
      <c r="AM261" s="320">
        <v>19.47</v>
      </c>
      <c r="AN261" s="320">
        <v>15.92</v>
      </c>
      <c r="AO261" s="320">
        <v>66.86</v>
      </c>
      <c r="AP261" s="320">
        <v>13.02</v>
      </c>
    </row>
    <row r="262">
      <c r="A262" s="319" t="s">
        <v>256</v>
      </c>
      <c r="B262" s="328">
        <v>46093.0</v>
      </c>
      <c r="C262" s="319" t="s">
        <v>215</v>
      </c>
      <c r="D262" s="320">
        <v>27012.0</v>
      </c>
      <c r="E262" s="320">
        <v>25.28</v>
      </c>
      <c r="F262" s="320">
        <v>0.0</v>
      </c>
      <c r="G262" s="320">
        <v>0.0</v>
      </c>
      <c r="H262" s="320">
        <v>0.0</v>
      </c>
      <c r="I262" s="329"/>
      <c r="J262" s="320">
        <v>50.85</v>
      </c>
      <c r="K262" s="320">
        <v>24.0</v>
      </c>
      <c r="L262" s="320">
        <v>13.49</v>
      </c>
      <c r="M262" s="320">
        <v>0.5618</v>
      </c>
      <c r="N262" s="320">
        <v>0.6364</v>
      </c>
      <c r="O262" s="320">
        <v>0.4474</v>
      </c>
      <c r="P262" s="320">
        <v>1.7801</v>
      </c>
      <c r="Q262" s="320">
        <v>90.23</v>
      </c>
      <c r="R262" s="320">
        <v>63.05</v>
      </c>
      <c r="S262" s="320">
        <v>27.18</v>
      </c>
      <c r="T262" s="320">
        <v>0.07</v>
      </c>
      <c r="U262" s="320">
        <v>90.16</v>
      </c>
      <c r="V262" s="320">
        <v>91.05</v>
      </c>
      <c r="W262" s="320">
        <v>3.793</v>
      </c>
      <c r="X262" s="320">
        <v>0.08</v>
      </c>
      <c r="Y262" s="320">
        <v>123.0</v>
      </c>
      <c r="Z262" s="320">
        <v>699.0</v>
      </c>
      <c r="AA262" s="320">
        <v>5517.0</v>
      </c>
      <c r="AB262" s="320">
        <v>52.3262</v>
      </c>
      <c r="AC262" s="320">
        <v>0.621</v>
      </c>
      <c r="AD262" s="320">
        <v>8.84</v>
      </c>
      <c r="AE262" s="320">
        <v>3.0</v>
      </c>
      <c r="AF262" s="320">
        <v>7.0</v>
      </c>
      <c r="AG262" s="320">
        <v>12.0</v>
      </c>
      <c r="AH262" s="320">
        <v>19.0</v>
      </c>
      <c r="AI262" s="320">
        <v>56.95</v>
      </c>
      <c r="AJ262" s="320">
        <v>23.29</v>
      </c>
      <c r="AK262" s="320">
        <v>4.02</v>
      </c>
      <c r="AL262" s="320">
        <v>0.2003</v>
      </c>
      <c r="AM262" s="320">
        <v>20.03</v>
      </c>
      <c r="AN262" s="320">
        <v>43.02</v>
      </c>
      <c r="AO262" s="320">
        <v>74.71</v>
      </c>
      <c r="AP262" s="320">
        <v>14.96</v>
      </c>
    </row>
    <row r="263">
      <c r="A263" s="319" t="s">
        <v>256</v>
      </c>
      <c r="B263" s="328">
        <v>46093.0</v>
      </c>
      <c r="C263" s="319" t="s">
        <v>216</v>
      </c>
      <c r="D263" s="320">
        <v>14137.0</v>
      </c>
      <c r="E263" s="320">
        <v>13.23</v>
      </c>
      <c r="F263" s="320">
        <v>0.0</v>
      </c>
      <c r="G263" s="320">
        <v>0.0</v>
      </c>
      <c r="H263" s="320">
        <v>0.0</v>
      </c>
      <c r="I263" s="329"/>
      <c r="J263" s="320">
        <v>75.72</v>
      </c>
      <c r="K263" s="320">
        <v>38.12</v>
      </c>
      <c r="L263" s="320">
        <v>25.94</v>
      </c>
      <c r="M263" s="320">
        <v>0.6805</v>
      </c>
      <c r="N263" s="320">
        <v>0.5128</v>
      </c>
      <c r="O263" s="320">
        <v>0.3598</v>
      </c>
      <c r="P263" s="320">
        <v>1.4695</v>
      </c>
      <c r="Q263" s="320">
        <v>176.49</v>
      </c>
      <c r="R263" s="320">
        <v>121.59</v>
      </c>
      <c r="S263" s="320">
        <v>54.9</v>
      </c>
      <c r="T263" s="320">
        <v>0.02</v>
      </c>
      <c r="U263" s="320">
        <v>176.46</v>
      </c>
      <c r="V263" s="320">
        <v>163.41</v>
      </c>
      <c r="W263" s="320">
        <v>4.2866</v>
      </c>
      <c r="X263" s="320">
        <v>0.01</v>
      </c>
      <c r="Y263" s="320">
        <v>160.0</v>
      </c>
      <c r="Z263" s="320">
        <v>1033.0</v>
      </c>
      <c r="AA263" s="320">
        <v>6479.0</v>
      </c>
      <c r="AB263" s="320">
        <v>55.8869</v>
      </c>
      <c r="AC263" s="320">
        <v>0.7345</v>
      </c>
      <c r="AD263" s="320">
        <v>17.59</v>
      </c>
      <c r="AE263" s="320">
        <v>7.0</v>
      </c>
      <c r="AF263" s="320">
        <v>14.0</v>
      </c>
      <c r="AG263" s="320">
        <v>24.0</v>
      </c>
      <c r="AH263" s="320">
        <v>37.0</v>
      </c>
      <c r="AI263" s="320">
        <v>59.06</v>
      </c>
      <c r="AJ263" s="320">
        <v>22.56</v>
      </c>
      <c r="AK263" s="320">
        <v>7.24</v>
      </c>
      <c r="AL263" s="320">
        <v>0.1863</v>
      </c>
      <c r="AM263" s="320">
        <v>19.84</v>
      </c>
      <c r="AN263" s="320">
        <v>101.75</v>
      </c>
      <c r="AO263" s="320">
        <v>78.28</v>
      </c>
      <c r="AP263" s="320">
        <v>15.53</v>
      </c>
    </row>
    <row r="264">
      <c r="A264" s="319" t="s">
        <v>256</v>
      </c>
      <c r="B264" s="328">
        <v>46093.0</v>
      </c>
      <c r="C264" s="319" t="s">
        <v>217</v>
      </c>
      <c r="D264" s="320">
        <v>5690.0</v>
      </c>
      <c r="E264" s="320">
        <v>5.33</v>
      </c>
      <c r="F264" s="320">
        <v>0.0</v>
      </c>
      <c r="G264" s="320">
        <v>0.0</v>
      </c>
      <c r="H264" s="320">
        <v>0.0</v>
      </c>
      <c r="I264" s="329"/>
      <c r="J264" s="320">
        <v>127.49</v>
      </c>
      <c r="K264" s="320">
        <v>69.03</v>
      </c>
      <c r="L264" s="320">
        <v>55.25</v>
      </c>
      <c r="M264" s="320">
        <v>0.8003</v>
      </c>
      <c r="N264" s="320">
        <v>0.3806</v>
      </c>
      <c r="O264" s="320">
        <v>0.2751</v>
      </c>
      <c r="P264" s="320">
        <v>1.2496</v>
      </c>
      <c r="Q264" s="320">
        <v>383.99</v>
      </c>
      <c r="R264" s="320">
        <v>267.43</v>
      </c>
      <c r="S264" s="320">
        <v>116.56</v>
      </c>
      <c r="T264" s="320">
        <v>0.0</v>
      </c>
      <c r="U264" s="320">
        <v>383.99</v>
      </c>
      <c r="V264" s="320">
        <v>319.97</v>
      </c>
      <c r="W264" s="320">
        <v>4.6349</v>
      </c>
      <c r="X264" s="320">
        <v>0.0</v>
      </c>
      <c r="Y264" s="320">
        <v>306.0</v>
      </c>
      <c r="Z264" s="320">
        <v>2126.0</v>
      </c>
      <c r="AA264" s="320">
        <v>8941.0</v>
      </c>
      <c r="AB264" s="320">
        <v>59.4653</v>
      </c>
      <c r="AC264" s="320">
        <v>0.8192</v>
      </c>
      <c r="AD264" s="320">
        <v>38.6</v>
      </c>
      <c r="AE264" s="320">
        <v>15.0</v>
      </c>
      <c r="AF264" s="320">
        <v>30.0</v>
      </c>
      <c r="AG264" s="320">
        <v>54.0</v>
      </c>
      <c r="AH264" s="320">
        <v>80.0</v>
      </c>
      <c r="AI264" s="320">
        <v>53.43</v>
      </c>
      <c r="AJ264" s="320">
        <v>20.65</v>
      </c>
      <c r="AK264" s="320">
        <v>5.29</v>
      </c>
      <c r="AL264" s="320">
        <v>0.1327</v>
      </c>
      <c r="AM264" s="320">
        <v>21.04</v>
      </c>
      <c r="AN264" s="320">
        <v>246.39</v>
      </c>
      <c r="AO264" s="320">
        <v>83.44</v>
      </c>
      <c r="AP264" s="320">
        <v>17.56</v>
      </c>
    </row>
    <row r="265">
      <c r="A265" s="319" t="s">
        <v>256</v>
      </c>
      <c r="B265" s="328">
        <v>46093.0</v>
      </c>
      <c r="C265" s="319" t="s">
        <v>218</v>
      </c>
      <c r="D265" s="320">
        <v>676.0</v>
      </c>
      <c r="E265" s="320">
        <v>0.63</v>
      </c>
      <c r="F265" s="320">
        <v>0.0</v>
      </c>
      <c r="G265" s="320">
        <v>0.0</v>
      </c>
      <c r="H265" s="320">
        <v>0.0</v>
      </c>
      <c r="I265" s="329"/>
      <c r="J265" s="320">
        <v>251.72</v>
      </c>
      <c r="K265" s="320">
        <v>148.72</v>
      </c>
      <c r="L265" s="320">
        <v>131.69</v>
      </c>
      <c r="M265" s="320">
        <v>0.8855</v>
      </c>
      <c r="N265" s="320">
        <v>0.2664</v>
      </c>
      <c r="O265" s="320">
        <v>0.2029</v>
      </c>
      <c r="P265" s="320">
        <v>1.1293</v>
      </c>
      <c r="Q265" s="320">
        <v>800.24</v>
      </c>
      <c r="R265" s="320">
        <v>521.44</v>
      </c>
      <c r="S265" s="320">
        <v>278.79</v>
      </c>
      <c r="T265" s="320">
        <v>0.0</v>
      </c>
      <c r="U265" s="320">
        <v>800.24</v>
      </c>
      <c r="V265" s="320">
        <v>838.98</v>
      </c>
      <c r="W265" s="320">
        <v>5.6413</v>
      </c>
      <c r="X265" s="320">
        <v>0.0</v>
      </c>
      <c r="Y265" s="320">
        <v>886.0</v>
      </c>
      <c r="Z265" s="320">
        <v>4365.0</v>
      </c>
      <c r="AA265" s="320">
        <v>13091.0</v>
      </c>
      <c r="AB265" s="320">
        <v>62.9492</v>
      </c>
      <c r="AC265" s="320">
        <v>0.886</v>
      </c>
      <c r="AD265" s="320">
        <v>94.86</v>
      </c>
      <c r="AE265" s="320">
        <v>38.0</v>
      </c>
      <c r="AF265" s="320">
        <v>80.0</v>
      </c>
      <c r="AG265" s="320">
        <v>133.0</v>
      </c>
      <c r="AH265" s="320">
        <v>194.0</v>
      </c>
      <c r="AI265" s="320">
        <v>50.74</v>
      </c>
      <c r="AJ265" s="320">
        <v>14.35</v>
      </c>
      <c r="AK265" s="320">
        <v>1.92</v>
      </c>
      <c r="AL265" s="320">
        <v>0.0769</v>
      </c>
      <c r="AM265" s="320">
        <v>25.05</v>
      </c>
      <c r="AN265" s="320">
        <v>496.39</v>
      </c>
      <c r="AO265" s="320">
        <v>85.46</v>
      </c>
      <c r="AP265" s="320">
        <v>21.41</v>
      </c>
    </row>
    <row r="266">
      <c r="A266" s="319" t="s">
        <v>256</v>
      </c>
      <c r="B266" s="328">
        <v>46094.0</v>
      </c>
      <c r="C266" s="319" t="s">
        <v>257</v>
      </c>
      <c r="D266" s="320">
        <v>20004.0</v>
      </c>
      <c r="E266" s="320">
        <v>19.03</v>
      </c>
      <c r="F266" s="320">
        <v>0.0</v>
      </c>
      <c r="G266" s="320">
        <v>0.0</v>
      </c>
      <c r="H266" s="320">
        <v>0.0</v>
      </c>
      <c r="I266" s="329"/>
      <c r="J266" s="320">
        <v>5.96</v>
      </c>
      <c r="K266" s="320">
        <v>2.31</v>
      </c>
      <c r="L266" s="320">
        <v>0.04</v>
      </c>
      <c r="M266" s="320">
        <v>0.0176</v>
      </c>
      <c r="N266" s="320">
        <v>0.9865</v>
      </c>
      <c r="O266" s="320">
        <v>0.8484</v>
      </c>
      <c r="P266" s="320">
        <v>56.9494</v>
      </c>
      <c r="Q266" s="320">
        <v>26.63</v>
      </c>
      <c r="R266" s="320">
        <v>26.51</v>
      </c>
      <c r="S266" s="320">
        <v>0.12</v>
      </c>
      <c r="T266" s="320">
        <v>0.0</v>
      </c>
      <c r="U266" s="320">
        <v>26.63</v>
      </c>
      <c r="V266" s="320">
        <v>1.71</v>
      </c>
      <c r="W266" s="320">
        <v>0.7394</v>
      </c>
      <c r="X266" s="320">
        <v>0.0</v>
      </c>
      <c r="Y266" s="320">
        <v>371.0</v>
      </c>
      <c r="Z266" s="320">
        <v>3801.0</v>
      </c>
      <c r="AA266" s="320">
        <v>14762.0</v>
      </c>
      <c r="AB266" s="320">
        <v>49.5671</v>
      </c>
      <c r="AC266" s="320">
        <v>0.5516</v>
      </c>
      <c r="AD266" s="329"/>
      <c r="AE266" s="329"/>
      <c r="AF266" s="329"/>
      <c r="AG266" s="329"/>
      <c r="AH266" s="329"/>
      <c r="AI266" s="320">
        <v>0.0</v>
      </c>
      <c r="AJ266" s="320">
        <v>0.0</v>
      </c>
      <c r="AK266" s="320">
        <v>0.0</v>
      </c>
      <c r="AL266" s="320">
        <v>0.3056</v>
      </c>
      <c r="AM266" s="320">
        <v>17.59</v>
      </c>
      <c r="AN266" s="320">
        <v>8.93</v>
      </c>
      <c r="AO266" s="329"/>
      <c r="AP266" s="329"/>
    </row>
    <row r="267">
      <c r="A267" s="319" t="s">
        <v>256</v>
      </c>
      <c r="B267" s="328">
        <v>46094.0</v>
      </c>
      <c r="C267" s="319" t="s">
        <v>214</v>
      </c>
      <c r="D267" s="320">
        <v>38780.0</v>
      </c>
      <c r="E267" s="320">
        <v>36.9</v>
      </c>
      <c r="F267" s="320">
        <v>0.0</v>
      </c>
      <c r="G267" s="320">
        <v>0.0</v>
      </c>
      <c r="H267" s="320">
        <v>0.0</v>
      </c>
      <c r="I267" s="329"/>
      <c r="J267" s="320">
        <v>30.55</v>
      </c>
      <c r="K267" s="320">
        <v>13.77</v>
      </c>
      <c r="L267" s="320">
        <v>5.78</v>
      </c>
      <c r="M267" s="320">
        <v>0.4196</v>
      </c>
      <c r="N267" s="320">
        <v>0.753</v>
      </c>
      <c r="O267" s="320">
        <v>0.5551</v>
      </c>
      <c r="P267" s="320">
        <v>2.3831</v>
      </c>
      <c r="Q267" s="320">
        <v>57.06</v>
      </c>
      <c r="R267" s="320">
        <v>45.06</v>
      </c>
      <c r="S267" s="320">
        <v>12.01</v>
      </c>
      <c r="T267" s="320">
        <v>0.03</v>
      </c>
      <c r="U267" s="320">
        <v>57.04</v>
      </c>
      <c r="V267" s="320">
        <v>53.83</v>
      </c>
      <c r="W267" s="320">
        <v>3.9104</v>
      </c>
      <c r="X267" s="320">
        <v>0.05</v>
      </c>
      <c r="Y267" s="320">
        <v>139.0</v>
      </c>
      <c r="Z267" s="320">
        <v>862.0</v>
      </c>
      <c r="AA267" s="320">
        <v>5769.0</v>
      </c>
      <c r="AB267" s="320">
        <v>48.9332</v>
      </c>
      <c r="AC267" s="320">
        <v>0.5358</v>
      </c>
      <c r="AD267" s="320">
        <v>4.03</v>
      </c>
      <c r="AE267" s="320">
        <v>1.0</v>
      </c>
      <c r="AF267" s="320">
        <v>3.0</v>
      </c>
      <c r="AG267" s="320">
        <v>5.0</v>
      </c>
      <c r="AH267" s="320">
        <v>9.0</v>
      </c>
      <c r="AI267" s="320">
        <v>73.45</v>
      </c>
      <c r="AJ267" s="320">
        <v>31.46</v>
      </c>
      <c r="AK267" s="320">
        <v>8.62</v>
      </c>
      <c r="AL267" s="320">
        <v>0.2657</v>
      </c>
      <c r="AM267" s="320">
        <v>20.13</v>
      </c>
      <c r="AN267" s="320">
        <v>24.93</v>
      </c>
      <c r="AO267" s="320">
        <v>66.81</v>
      </c>
      <c r="AP267" s="320">
        <v>13.45</v>
      </c>
    </row>
    <row r="268">
      <c r="A268" s="319" t="s">
        <v>256</v>
      </c>
      <c r="B268" s="328">
        <v>46094.0</v>
      </c>
      <c r="C268" s="319" t="s">
        <v>215</v>
      </c>
      <c r="D268" s="320">
        <v>25990.0</v>
      </c>
      <c r="E268" s="320">
        <v>24.73</v>
      </c>
      <c r="F268" s="320">
        <v>0.0</v>
      </c>
      <c r="G268" s="320">
        <v>0.0</v>
      </c>
      <c r="H268" s="320">
        <v>0.0</v>
      </c>
      <c r="I268" s="329"/>
      <c r="J268" s="320">
        <v>56.28</v>
      </c>
      <c r="K268" s="320">
        <v>26.75</v>
      </c>
      <c r="L268" s="320">
        <v>14.17</v>
      </c>
      <c r="M268" s="320">
        <v>0.5296</v>
      </c>
      <c r="N268" s="320">
        <v>0.6581</v>
      </c>
      <c r="O268" s="320">
        <v>0.4578</v>
      </c>
      <c r="P268" s="320">
        <v>1.8881</v>
      </c>
      <c r="Q268" s="320">
        <v>99.72</v>
      </c>
      <c r="R268" s="320">
        <v>70.15</v>
      </c>
      <c r="S268" s="320">
        <v>29.57</v>
      </c>
      <c r="T268" s="320">
        <v>0.4</v>
      </c>
      <c r="U268" s="320">
        <v>99.31</v>
      </c>
      <c r="V268" s="320">
        <v>98.22</v>
      </c>
      <c r="W268" s="320">
        <v>3.6719</v>
      </c>
      <c r="X268" s="320">
        <v>0.4</v>
      </c>
      <c r="Y268" s="320">
        <v>124.0</v>
      </c>
      <c r="Z268" s="320">
        <v>674.0</v>
      </c>
      <c r="AA268" s="320">
        <v>5218.0</v>
      </c>
      <c r="AB268" s="320">
        <v>52.3102</v>
      </c>
      <c r="AC268" s="320">
        <v>0.6271</v>
      </c>
      <c r="AD268" s="320">
        <v>9.41</v>
      </c>
      <c r="AE268" s="320">
        <v>3.0</v>
      </c>
      <c r="AF268" s="320">
        <v>7.0</v>
      </c>
      <c r="AG268" s="320">
        <v>13.0</v>
      </c>
      <c r="AH268" s="320">
        <v>19.0</v>
      </c>
      <c r="AI268" s="320">
        <v>60.48</v>
      </c>
      <c r="AJ268" s="320">
        <v>25.96</v>
      </c>
      <c r="AK268" s="320">
        <v>4.82</v>
      </c>
      <c r="AL268" s="320">
        <v>0.2149</v>
      </c>
      <c r="AM268" s="320">
        <v>21.09</v>
      </c>
      <c r="AN268" s="320">
        <v>49.06</v>
      </c>
      <c r="AO268" s="320">
        <v>75.37</v>
      </c>
      <c r="AP268" s="320">
        <v>15.9</v>
      </c>
    </row>
    <row r="269">
      <c r="A269" s="319" t="s">
        <v>256</v>
      </c>
      <c r="B269" s="328">
        <v>46094.0</v>
      </c>
      <c r="C269" s="319" t="s">
        <v>216</v>
      </c>
      <c r="D269" s="320">
        <v>14032.0</v>
      </c>
      <c r="E269" s="320">
        <v>13.35</v>
      </c>
      <c r="F269" s="320">
        <v>0.0</v>
      </c>
      <c r="G269" s="320">
        <v>0.0</v>
      </c>
      <c r="H269" s="320">
        <v>0.0</v>
      </c>
      <c r="I269" s="329"/>
      <c r="J269" s="320">
        <v>82.23</v>
      </c>
      <c r="K269" s="320">
        <v>41.4</v>
      </c>
      <c r="L269" s="320">
        <v>26.92</v>
      </c>
      <c r="M269" s="320">
        <v>0.6503</v>
      </c>
      <c r="N269" s="320">
        <v>0.5349</v>
      </c>
      <c r="O269" s="320">
        <v>0.3665</v>
      </c>
      <c r="P269" s="320">
        <v>1.5377</v>
      </c>
      <c r="Q269" s="320">
        <v>161.6</v>
      </c>
      <c r="R269" s="320">
        <v>104.75</v>
      </c>
      <c r="S269" s="320">
        <v>56.85</v>
      </c>
      <c r="T269" s="320">
        <v>0.16</v>
      </c>
      <c r="U269" s="320">
        <v>161.44</v>
      </c>
      <c r="V269" s="320">
        <v>165.36</v>
      </c>
      <c r="W269" s="320">
        <v>3.9941</v>
      </c>
      <c r="X269" s="320">
        <v>0.1</v>
      </c>
      <c r="Y269" s="320">
        <v>156.0</v>
      </c>
      <c r="Z269" s="320">
        <v>958.0</v>
      </c>
      <c r="AA269" s="320">
        <v>5929.0</v>
      </c>
      <c r="AB269" s="320">
        <v>55.8178</v>
      </c>
      <c r="AC269" s="320">
        <v>0.7381</v>
      </c>
      <c r="AD269" s="320">
        <v>17.96</v>
      </c>
      <c r="AE269" s="320">
        <v>7.0</v>
      </c>
      <c r="AF269" s="320">
        <v>14.0</v>
      </c>
      <c r="AG269" s="320">
        <v>25.0</v>
      </c>
      <c r="AH269" s="320">
        <v>37.0</v>
      </c>
      <c r="AI269" s="320">
        <v>60.14</v>
      </c>
      <c r="AJ269" s="320">
        <v>23.36</v>
      </c>
      <c r="AK269" s="320">
        <v>6.92</v>
      </c>
      <c r="AL269" s="320">
        <v>0.2037</v>
      </c>
      <c r="AM269" s="320">
        <v>21.08</v>
      </c>
      <c r="AN269" s="320">
        <v>83.67</v>
      </c>
      <c r="AO269" s="320">
        <v>78.14</v>
      </c>
      <c r="AP269" s="320">
        <v>16.47</v>
      </c>
    </row>
    <row r="270">
      <c r="A270" s="319" t="s">
        <v>256</v>
      </c>
      <c r="B270" s="328">
        <v>46094.0</v>
      </c>
      <c r="C270" s="319" t="s">
        <v>217</v>
      </c>
      <c r="D270" s="320">
        <v>5617.0</v>
      </c>
      <c r="E270" s="320">
        <v>5.34</v>
      </c>
      <c r="F270" s="320">
        <v>0.0</v>
      </c>
      <c r="G270" s="320">
        <v>0.0</v>
      </c>
      <c r="H270" s="320">
        <v>0.0</v>
      </c>
      <c r="I270" s="329"/>
      <c r="J270" s="320">
        <v>130.33</v>
      </c>
      <c r="K270" s="320">
        <v>69.9</v>
      </c>
      <c r="L270" s="320">
        <v>53.8</v>
      </c>
      <c r="M270" s="320">
        <v>0.7696</v>
      </c>
      <c r="N270" s="320">
        <v>0.4061</v>
      </c>
      <c r="O270" s="320">
        <v>0.2846</v>
      </c>
      <c r="P270" s="320">
        <v>1.2993</v>
      </c>
      <c r="Q270" s="320">
        <v>277.19</v>
      </c>
      <c r="R270" s="320">
        <v>162.83</v>
      </c>
      <c r="S270" s="320">
        <v>114.36</v>
      </c>
      <c r="T270" s="320">
        <v>0.0</v>
      </c>
      <c r="U270" s="320">
        <v>277.19</v>
      </c>
      <c r="V270" s="320">
        <v>298.15</v>
      </c>
      <c r="W270" s="320">
        <v>4.2651</v>
      </c>
      <c r="X270" s="320">
        <v>0.0</v>
      </c>
      <c r="Y270" s="320">
        <v>281.0</v>
      </c>
      <c r="Z270" s="320">
        <v>2070.0</v>
      </c>
      <c r="AA270" s="320">
        <v>8569.0</v>
      </c>
      <c r="AB270" s="320">
        <v>59.5561</v>
      </c>
      <c r="AC270" s="320">
        <v>0.8299</v>
      </c>
      <c r="AD270" s="320">
        <v>35.96</v>
      </c>
      <c r="AE270" s="320">
        <v>14.0</v>
      </c>
      <c r="AF270" s="320">
        <v>28.0</v>
      </c>
      <c r="AG270" s="320">
        <v>50.0</v>
      </c>
      <c r="AH270" s="320">
        <v>75.0</v>
      </c>
      <c r="AI270" s="320">
        <v>50.08</v>
      </c>
      <c r="AJ270" s="320">
        <v>17.66</v>
      </c>
      <c r="AK270" s="320">
        <v>4.08</v>
      </c>
      <c r="AL270" s="320">
        <v>0.1495</v>
      </c>
      <c r="AM270" s="320">
        <v>22.09</v>
      </c>
      <c r="AN270" s="320">
        <v>140.74</v>
      </c>
      <c r="AO270" s="320">
        <v>82.98</v>
      </c>
      <c r="AP270" s="320">
        <v>18.33</v>
      </c>
    </row>
    <row r="271">
      <c r="A271" s="319" t="s">
        <v>256</v>
      </c>
      <c r="B271" s="328">
        <v>46094.0</v>
      </c>
      <c r="C271" s="319" t="s">
        <v>218</v>
      </c>
      <c r="D271" s="320">
        <v>676.0</v>
      </c>
      <c r="E271" s="320">
        <v>0.64</v>
      </c>
      <c r="F271" s="320">
        <v>0.0</v>
      </c>
      <c r="G271" s="320">
        <v>0.0</v>
      </c>
      <c r="H271" s="320">
        <v>0.0</v>
      </c>
      <c r="I271" s="329"/>
      <c r="J271" s="320">
        <v>254.78</v>
      </c>
      <c r="K271" s="320">
        <v>148.87</v>
      </c>
      <c r="L271" s="320">
        <v>130.24</v>
      </c>
      <c r="M271" s="320">
        <v>0.8748</v>
      </c>
      <c r="N271" s="320">
        <v>0.2754</v>
      </c>
      <c r="O271" s="320">
        <v>0.2064</v>
      </c>
      <c r="P271" s="320">
        <v>1.1431</v>
      </c>
      <c r="Q271" s="320">
        <v>591.51</v>
      </c>
      <c r="R271" s="320">
        <v>316.76</v>
      </c>
      <c r="S271" s="320">
        <v>274.76</v>
      </c>
      <c r="T271" s="320">
        <v>0.0</v>
      </c>
      <c r="U271" s="320">
        <v>591.51</v>
      </c>
      <c r="V271" s="320">
        <v>689.13</v>
      </c>
      <c r="W271" s="320">
        <v>4.629</v>
      </c>
      <c r="X271" s="320">
        <v>0.0</v>
      </c>
      <c r="Y271" s="320">
        <v>816.0</v>
      </c>
      <c r="Z271" s="320">
        <v>4253.0</v>
      </c>
      <c r="AA271" s="320">
        <v>12731.0</v>
      </c>
      <c r="AB271" s="320">
        <v>63.1349</v>
      </c>
      <c r="AC271" s="320">
        <v>0.905</v>
      </c>
      <c r="AD271" s="320">
        <v>88.34</v>
      </c>
      <c r="AE271" s="320">
        <v>34.0</v>
      </c>
      <c r="AF271" s="320">
        <v>74.0</v>
      </c>
      <c r="AG271" s="320">
        <v>120.0</v>
      </c>
      <c r="AH271" s="320">
        <v>176.0</v>
      </c>
      <c r="AI271" s="320">
        <v>47.63</v>
      </c>
      <c r="AJ271" s="320">
        <v>10.06</v>
      </c>
      <c r="AK271" s="320">
        <v>1.78</v>
      </c>
      <c r="AL271" s="320">
        <v>0.1124</v>
      </c>
      <c r="AM271" s="320">
        <v>25.68</v>
      </c>
      <c r="AN271" s="320">
        <v>291.08</v>
      </c>
      <c r="AO271" s="320">
        <v>86.2</v>
      </c>
      <c r="AP271" s="320">
        <v>22.14</v>
      </c>
    </row>
    <row r="272">
      <c r="A272" s="319" t="s">
        <v>256</v>
      </c>
      <c r="B272" s="328">
        <v>46095.0</v>
      </c>
      <c r="C272" s="319" t="s">
        <v>257</v>
      </c>
      <c r="D272" s="320">
        <v>19763.0</v>
      </c>
      <c r="E272" s="320">
        <v>19.07</v>
      </c>
      <c r="F272" s="320">
        <v>0.0</v>
      </c>
      <c r="G272" s="320">
        <v>0.0</v>
      </c>
      <c r="H272" s="320">
        <v>0.0</v>
      </c>
      <c r="I272" s="329"/>
      <c r="J272" s="320">
        <v>6.03</v>
      </c>
      <c r="K272" s="320">
        <v>2.4</v>
      </c>
      <c r="L272" s="320">
        <v>0.02</v>
      </c>
      <c r="M272" s="320">
        <v>0.009</v>
      </c>
      <c r="N272" s="320">
        <v>0.993</v>
      </c>
      <c r="O272" s="320">
        <v>0.9103</v>
      </c>
      <c r="P272" s="320">
        <v>111.3906</v>
      </c>
      <c r="Q272" s="320">
        <v>25.76</v>
      </c>
      <c r="R272" s="320">
        <v>25.66</v>
      </c>
      <c r="S272" s="320">
        <v>0.1</v>
      </c>
      <c r="T272" s="320">
        <v>0.0</v>
      </c>
      <c r="U272" s="320">
        <v>25.76</v>
      </c>
      <c r="V272" s="320">
        <v>1.62</v>
      </c>
      <c r="W272" s="320">
        <v>0.6749</v>
      </c>
      <c r="X272" s="320">
        <v>0.0</v>
      </c>
      <c r="Y272" s="320">
        <v>315.0</v>
      </c>
      <c r="Z272" s="320">
        <v>3623.0</v>
      </c>
      <c r="AA272" s="320">
        <v>14462.0</v>
      </c>
      <c r="AB272" s="320">
        <v>49.2087</v>
      </c>
      <c r="AC272" s="320">
        <v>0.5413</v>
      </c>
      <c r="AD272" s="329"/>
      <c r="AE272" s="329"/>
      <c r="AF272" s="329"/>
      <c r="AG272" s="329"/>
      <c r="AH272" s="329"/>
      <c r="AI272" s="320">
        <v>0.0</v>
      </c>
      <c r="AJ272" s="320">
        <v>0.0</v>
      </c>
      <c r="AK272" s="320">
        <v>0.0</v>
      </c>
      <c r="AL272" s="320">
        <v>0.2917</v>
      </c>
      <c r="AM272" s="320">
        <v>19.0</v>
      </c>
      <c r="AN272" s="320">
        <v>6.66</v>
      </c>
      <c r="AO272" s="329"/>
      <c r="AP272" s="329"/>
    </row>
    <row r="273">
      <c r="A273" s="319" t="s">
        <v>256</v>
      </c>
      <c r="B273" s="328">
        <v>46095.0</v>
      </c>
      <c r="C273" s="319" t="s">
        <v>214</v>
      </c>
      <c r="D273" s="320">
        <v>38042.0</v>
      </c>
      <c r="E273" s="320">
        <v>36.72</v>
      </c>
      <c r="F273" s="320">
        <v>0.0</v>
      </c>
      <c r="G273" s="320">
        <v>0.0</v>
      </c>
      <c r="H273" s="320">
        <v>0.0</v>
      </c>
      <c r="I273" s="329"/>
      <c r="J273" s="320">
        <v>29.64</v>
      </c>
      <c r="K273" s="320">
        <v>13.43</v>
      </c>
      <c r="L273" s="320">
        <v>5.87</v>
      </c>
      <c r="M273" s="320">
        <v>0.4369</v>
      </c>
      <c r="N273" s="320">
        <v>0.7395</v>
      </c>
      <c r="O273" s="320">
        <v>0.5434</v>
      </c>
      <c r="P273" s="320">
        <v>2.2891</v>
      </c>
      <c r="Q273" s="320">
        <v>53.65</v>
      </c>
      <c r="R273" s="320">
        <v>41.45</v>
      </c>
      <c r="S273" s="320">
        <v>12.2</v>
      </c>
      <c r="T273" s="320">
        <v>0.03</v>
      </c>
      <c r="U273" s="320">
        <v>53.62</v>
      </c>
      <c r="V273" s="320">
        <v>55.03</v>
      </c>
      <c r="W273" s="320">
        <v>4.098</v>
      </c>
      <c r="X273" s="320">
        <v>0.06</v>
      </c>
      <c r="Y273" s="320">
        <v>149.0</v>
      </c>
      <c r="Z273" s="320">
        <v>885.0</v>
      </c>
      <c r="AA273" s="320">
        <v>5859.0</v>
      </c>
      <c r="AB273" s="320">
        <v>49.0482</v>
      </c>
      <c r="AC273" s="320">
        <v>0.5407</v>
      </c>
      <c r="AD273" s="320">
        <v>4.16</v>
      </c>
      <c r="AE273" s="320">
        <v>1.0</v>
      </c>
      <c r="AF273" s="320">
        <v>3.0</v>
      </c>
      <c r="AG273" s="320">
        <v>5.0</v>
      </c>
      <c r="AH273" s="320">
        <v>9.0</v>
      </c>
      <c r="AI273" s="320">
        <v>73.57</v>
      </c>
      <c r="AJ273" s="320">
        <v>32.26</v>
      </c>
      <c r="AK273" s="320">
        <v>9.69</v>
      </c>
      <c r="AL273" s="320">
        <v>0.2492</v>
      </c>
      <c r="AM273" s="320">
        <v>21.91</v>
      </c>
      <c r="AN273" s="320">
        <v>19.54</v>
      </c>
      <c r="AO273" s="320">
        <v>66.44</v>
      </c>
      <c r="AP273" s="320">
        <v>14.56</v>
      </c>
    </row>
    <row r="274">
      <c r="A274" s="319" t="s">
        <v>256</v>
      </c>
      <c r="B274" s="328">
        <v>46095.0</v>
      </c>
      <c r="C274" s="319" t="s">
        <v>215</v>
      </c>
      <c r="D274" s="320">
        <v>25414.0</v>
      </c>
      <c r="E274" s="320">
        <v>24.53</v>
      </c>
      <c r="F274" s="320">
        <v>0.0</v>
      </c>
      <c r="G274" s="320">
        <v>0.0</v>
      </c>
      <c r="H274" s="320">
        <v>0.0</v>
      </c>
      <c r="I274" s="329"/>
      <c r="J274" s="320">
        <v>54.8</v>
      </c>
      <c r="K274" s="320">
        <v>26.01</v>
      </c>
      <c r="L274" s="320">
        <v>14.21</v>
      </c>
      <c r="M274" s="320">
        <v>0.5463</v>
      </c>
      <c r="N274" s="320">
        <v>0.6458</v>
      </c>
      <c r="O274" s="320">
        <v>0.4527</v>
      </c>
      <c r="P274" s="320">
        <v>1.8304</v>
      </c>
      <c r="Q274" s="320">
        <v>97.6</v>
      </c>
      <c r="R274" s="320">
        <v>67.88</v>
      </c>
      <c r="S274" s="320">
        <v>29.73</v>
      </c>
      <c r="T274" s="320">
        <v>0.09</v>
      </c>
      <c r="U274" s="320">
        <v>97.51</v>
      </c>
      <c r="V274" s="320">
        <v>99.15</v>
      </c>
      <c r="W274" s="320">
        <v>3.8112</v>
      </c>
      <c r="X274" s="320">
        <v>0.09</v>
      </c>
      <c r="Y274" s="320">
        <v>126.0</v>
      </c>
      <c r="Z274" s="320">
        <v>666.0</v>
      </c>
      <c r="AA274" s="320">
        <v>5413.0</v>
      </c>
      <c r="AB274" s="320">
        <v>52.4304</v>
      </c>
      <c r="AC274" s="320">
        <v>0.6322</v>
      </c>
      <c r="AD274" s="320">
        <v>9.57</v>
      </c>
      <c r="AE274" s="320">
        <v>4.0</v>
      </c>
      <c r="AF274" s="320">
        <v>8.0</v>
      </c>
      <c r="AG274" s="320">
        <v>13.0</v>
      </c>
      <c r="AH274" s="320">
        <v>20.0</v>
      </c>
      <c r="AI274" s="320">
        <v>61.16</v>
      </c>
      <c r="AJ274" s="320">
        <v>26.45</v>
      </c>
      <c r="AK274" s="320">
        <v>5.05</v>
      </c>
      <c r="AL274" s="320">
        <v>0.2035</v>
      </c>
      <c r="AM274" s="320">
        <v>23.28</v>
      </c>
      <c r="AN274" s="320">
        <v>44.6</v>
      </c>
      <c r="AO274" s="320">
        <v>74.64</v>
      </c>
      <c r="AP274" s="320">
        <v>17.38</v>
      </c>
    </row>
    <row r="275">
      <c r="A275" s="319" t="s">
        <v>256</v>
      </c>
      <c r="B275" s="328">
        <v>46095.0</v>
      </c>
      <c r="C275" s="319" t="s">
        <v>216</v>
      </c>
      <c r="D275" s="320">
        <v>14102.0</v>
      </c>
      <c r="E275" s="320">
        <v>13.61</v>
      </c>
      <c r="F275" s="320">
        <v>0.0</v>
      </c>
      <c r="G275" s="320">
        <v>0.0</v>
      </c>
      <c r="H275" s="320">
        <v>0.0</v>
      </c>
      <c r="I275" s="329"/>
      <c r="J275" s="320">
        <v>80.72</v>
      </c>
      <c r="K275" s="320">
        <v>41.01</v>
      </c>
      <c r="L275" s="320">
        <v>27.47</v>
      </c>
      <c r="M275" s="320">
        <v>0.67</v>
      </c>
      <c r="N275" s="320">
        <v>0.5194</v>
      </c>
      <c r="O275" s="320">
        <v>0.3595</v>
      </c>
      <c r="P275" s="320">
        <v>1.4925</v>
      </c>
      <c r="Q275" s="320">
        <v>170.69</v>
      </c>
      <c r="R275" s="320">
        <v>112.73</v>
      </c>
      <c r="S275" s="320">
        <v>57.96</v>
      </c>
      <c r="T275" s="320">
        <v>0.09</v>
      </c>
      <c r="U275" s="320">
        <v>170.6</v>
      </c>
      <c r="V275" s="320">
        <v>173.56</v>
      </c>
      <c r="W275" s="320">
        <v>4.2324</v>
      </c>
      <c r="X275" s="320">
        <v>0.05</v>
      </c>
      <c r="Y275" s="320">
        <v>163.0</v>
      </c>
      <c r="Z275" s="320">
        <v>1050.0</v>
      </c>
      <c r="AA275" s="320">
        <v>6503.0</v>
      </c>
      <c r="AB275" s="320">
        <v>55.7412</v>
      </c>
      <c r="AC275" s="320">
        <v>0.7405</v>
      </c>
      <c r="AD275" s="320">
        <v>18.46</v>
      </c>
      <c r="AE275" s="320">
        <v>8.0</v>
      </c>
      <c r="AF275" s="320">
        <v>14.0</v>
      </c>
      <c r="AG275" s="320">
        <v>25.0</v>
      </c>
      <c r="AH275" s="320">
        <v>38.0</v>
      </c>
      <c r="AI275" s="320">
        <v>60.69</v>
      </c>
      <c r="AJ275" s="320">
        <v>24.73</v>
      </c>
      <c r="AK275" s="320">
        <v>7.89</v>
      </c>
      <c r="AL275" s="320">
        <v>0.1891</v>
      </c>
      <c r="AM275" s="320">
        <v>22.91</v>
      </c>
      <c r="AN275" s="320">
        <v>89.83</v>
      </c>
      <c r="AO275" s="320">
        <v>77.14</v>
      </c>
      <c r="AP275" s="320">
        <v>17.67</v>
      </c>
    </row>
    <row r="276">
      <c r="A276" s="319" t="s">
        <v>256</v>
      </c>
      <c r="B276" s="328">
        <v>46095.0</v>
      </c>
      <c r="C276" s="319" t="s">
        <v>217</v>
      </c>
      <c r="D276" s="320">
        <v>5612.0</v>
      </c>
      <c r="E276" s="320">
        <v>5.42</v>
      </c>
      <c r="F276" s="320">
        <v>0.0</v>
      </c>
      <c r="G276" s="320">
        <v>0.0</v>
      </c>
      <c r="H276" s="320">
        <v>0.0</v>
      </c>
      <c r="I276" s="329"/>
      <c r="J276" s="320">
        <v>126.19</v>
      </c>
      <c r="K276" s="320">
        <v>68.64</v>
      </c>
      <c r="L276" s="320">
        <v>54.51</v>
      </c>
      <c r="M276" s="320">
        <v>0.7941</v>
      </c>
      <c r="N276" s="320">
        <v>0.384</v>
      </c>
      <c r="O276" s="320">
        <v>0.2764</v>
      </c>
      <c r="P276" s="320">
        <v>1.2593</v>
      </c>
      <c r="Q276" s="320">
        <v>309.21</v>
      </c>
      <c r="R276" s="320">
        <v>194.06</v>
      </c>
      <c r="S276" s="320">
        <v>115.15</v>
      </c>
      <c r="T276" s="320">
        <v>0.0</v>
      </c>
      <c r="U276" s="320">
        <v>309.21</v>
      </c>
      <c r="V276" s="320">
        <v>306.05</v>
      </c>
      <c r="W276" s="320">
        <v>4.4587</v>
      </c>
      <c r="X276" s="320">
        <v>0.0</v>
      </c>
      <c r="Y276" s="320">
        <v>279.0</v>
      </c>
      <c r="Z276" s="320">
        <v>2073.0</v>
      </c>
      <c r="AA276" s="320">
        <v>8838.0</v>
      </c>
      <c r="AB276" s="320">
        <v>59.5329</v>
      </c>
      <c r="AC276" s="320">
        <v>0.8289</v>
      </c>
      <c r="AD276" s="320">
        <v>37.41</v>
      </c>
      <c r="AE276" s="320">
        <v>14.0</v>
      </c>
      <c r="AF276" s="320">
        <v>29.0</v>
      </c>
      <c r="AG276" s="320">
        <v>51.0</v>
      </c>
      <c r="AH276" s="320">
        <v>79.0</v>
      </c>
      <c r="AI276" s="320">
        <v>51.89</v>
      </c>
      <c r="AJ276" s="320">
        <v>19.33</v>
      </c>
      <c r="AK276" s="320">
        <v>4.88</v>
      </c>
      <c r="AL276" s="320">
        <v>0.1401</v>
      </c>
      <c r="AM276" s="320">
        <v>23.6</v>
      </c>
      <c r="AN276" s="320">
        <v>170.47</v>
      </c>
      <c r="AO276" s="320">
        <v>81.59</v>
      </c>
      <c r="AP276" s="320">
        <v>19.26</v>
      </c>
    </row>
    <row r="277">
      <c r="A277" s="319" t="s">
        <v>256</v>
      </c>
      <c r="B277" s="328">
        <v>46095.0</v>
      </c>
      <c r="C277" s="319" t="s">
        <v>218</v>
      </c>
      <c r="D277" s="320">
        <v>681.0</v>
      </c>
      <c r="E277" s="320">
        <v>0.66</v>
      </c>
      <c r="F277" s="320">
        <v>0.0</v>
      </c>
      <c r="G277" s="320">
        <v>0.0</v>
      </c>
      <c r="H277" s="320">
        <v>0.0</v>
      </c>
      <c r="I277" s="329"/>
      <c r="J277" s="320">
        <v>238.27</v>
      </c>
      <c r="K277" s="320">
        <v>143.04</v>
      </c>
      <c r="L277" s="320">
        <v>125.99</v>
      </c>
      <c r="M277" s="320">
        <v>0.8808</v>
      </c>
      <c r="N277" s="320">
        <v>0.2699</v>
      </c>
      <c r="O277" s="320">
        <v>0.2075</v>
      </c>
      <c r="P277" s="320">
        <v>1.1353</v>
      </c>
      <c r="Q277" s="320">
        <v>661.17</v>
      </c>
      <c r="R277" s="320">
        <v>396.51</v>
      </c>
      <c r="S277" s="320">
        <v>264.65</v>
      </c>
      <c r="T277" s="320">
        <v>0.0</v>
      </c>
      <c r="U277" s="320">
        <v>661.17</v>
      </c>
      <c r="V277" s="320">
        <v>643.25</v>
      </c>
      <c r="W277" s="320">
        <v>4.4971</v>
      </c>
      <c r="X277" s="320">
        <v>0.0</v>
      </c>
      <c r="Y277" s="320">
        <v>939.0</v>
      </c>
      <c r="Z277" s="320">
        <v>4733.0</v>
      </c>
      <c r="AA277" s="320">
        <v>11816.0</v>
      </c>
      <c r="AB277" s="320">
        <v>63.0024</v>
      </c>
      <c r="AC277" s="320">
        <v>0.9026</v>
      </c>
      <c r="AD277" s="320">
        <v>87.3</v>
      </c>
      <c r="AE277" s="320">
        <v>34.0</v>
      </c>
      <c r="AF277" s="320">
        <v>69.0</v>
      </c>
      <c r="AG277" s="320">
        <v>122.0</v>
      </c>
      <c r="AH277" s="320">
        <v>180.0</v>
      </c>
      <c r="AI277" s="320">
        <v>44.93</v>
      </c>
      <c r="AJ277" s="320">
        <v>11.01</v>
      </c>
      <c r="AK277" s="320">
        <v>1.62</v>
      </c>
      <c r="AL277" s="320">
        <v>0.1072</v>
      </c>
      <c r="AM277" s="320">
        <v>26.27</v>
      </c>
      <c r="AN277" s="320">
        <v>370.24</v>
      </c>
      <c r="AO277" s="320">
        <v>84.22</v>
      </c>
      <c r="AP277" s="320">
        <v>22.12</v>
      </c>
    </row>
    <row r="278">
      <c r="A278" s="319" t="s">
        <v>256</v>
      </c>
      <c r="B278" s="328">
        <v>46096.0</v>
      </c>
      <c r="C278" s="319" t="s">
        <v>257</v>
      </c>
      <c r="D278" s="320">
        <v>19583.0</v>
      </c>
      <c r="E278" s="320">
        <v>18.64</v>
      </c>
      <c r="F278" s="320">
        <v>0.0</v>
      </c>
      <c r="G278" s="320">
        <v>0.0</v>
      </c>
      <c r="H278" s="320">
        <v>0.0</v>
      </c>
      <c r="I278" s="329"/>
      <c r="J278" s="320">
        <v>6.17</v>
      </c>
      <c r="K278" s="320">
        <v>2.51</v>
      </c>
      <c r="L278" s="320">
        <v>0.03</v>
      </c>
      <c r="M278" s="320">
        <v>0.0125</v>
      </c>
      <c r="N278" s="320">
        <v>0.9908</v>
      </c>
      <c r="O278" s="320">
        <v>0.8769</v>
      </c>
      <c r="P278" s="320">
        <v>79.7565</v>
      </c>
      <c r="Q278" s="320">
        <v>23.49</v>
      </c>
      <c r="R278" s="320">
        <v>23.34</v>
      </c>
      <c r="S278" s="320">
        <v>0.15</v>
      </c>
      <c r="T278" s="320">
        <v>0.0</v>
      </c>
      <c r="U278" s="320">
        <v>23.49</v>
      </c>
      <c r="V278" s="320">
        <v>1.6</v>
      </c>
      <c r="W278" s="320">
        <v>0.6361</v>
      </c>
      <c r="X278" s="320">
        <v>0.0</v>
      </c>
      <c r="Y278" s="320">
        <v>330.0</v>
      </c>
      <c r="Z278" s="320">
        <v>3713.0</v>
      </c>
      <c r="AA278" s="320">
        <v>14734.0</v>
      </c>
      <c r="AB278" s="320">
        <v>49.3739</v>
      </c>
      <c r="AC278" s="320">
        <v>0.5529</v>
      </c>
      <c r="AD278" s="329"/>
      <c r="AE278" s="329"/>
      <c r="AF278" s="329"/>
      <c r="AG278" s="329"/>
      <c r="AH278" s="329"/>
      <c r="AI278" s="320">
        <v>0.0</v>
      </c>
      <c r="AJ278" s="320">
        <v>0.0</v>
      </c>
      <c r="AK278" s="320">
        <v>0.0</v>
      </c>
      <c r="AL278" s="320">
        <v>0.2939</v>
      </c>
      <c r="AM278" s="320">
        <v>19.04</v>
      </c>
      <c r="AN278" s="320">
        <v>4.3</v>
      </c>
      <c r="AO278" s="329"/>
      <c r="AP278" s="329"/>
    </row>
    <row r="279">
      <c r="A279" s="319" t="s">
        <v>256</v>
      </c>
      <c r="B279" s="328">
        <v>46096.0</v>
      </c>
      <c r="C279" s="319" t="s">
        <v>214</v>
      </c>
      <c r="D279" s="320">
        <v>38676.0</v>
      </c>
      <c r="E279" s="320">
        <v>36.81</v>
      </c>
      <c r="F279" s="320">
        <v>0.0</v>
      </c>
      <c r="G279" s="320">
        <v>0.0</v>
      </c>
      <c r="H279" s="320">
        <v>0.0</v>
      </c>
      <c r="I279" s="329"/>
      <c r="J279" s="320">
        <v>32.04</v>
      </c>
      <c r="K279" s="320">
        <v>14.75</v>
      </c>
      <c r="L279" s="320">
        <v>5.99</v>
      </c>
      <c r="M279" s="320">
        <v>0.406</v>
      </c>
      <c r="N279" s="320">
        <v>0.7588</v>
      </c>
      <c r="O279" s="320">
        <v>0.5544</v>
      </c>
      <c r="P279" s="320">
        <v>2.4629</v>
      </c>
      <c r="Q279" s="320">
        <v>48.46</v>
      </c>
      <c r="R279" s="320">
        <v>35.99</v>
      </c>
      <c r="S279" s="320">
        <v>12.46</v>
      </c>
      <c r="T279" s="320">
        <v>0.02</v>
      </c>
      <c r="U279" s="320">
        <v>48.44</v>
      </c>
      <c r="V279" s="320">
        <v>53.28</v>
      </c>
      <c r="W279" s="320">
        <v>3.6129</v>
      </c>
      <c r="X279" s="320">
        <v>0.03</v>
      </c>
      <c r="Y279" s="320">
        <v>138.0</v>
      </c>
      <c r="Z279" s="320">
        <v>865.0</v>
      </c>
      <c r="AA279" s="320">
        <v>5810.0</v>
      </c>
      <c r="AB279" s="320">
        <v>48.9281</v>
      </c>
      <c r="AC279" s="320">
        <v>0.5401</v>
      </c>
      <c r="AD279" s="320">
        <v>4.15</v>
      </c>
      <c r="AE279" s="320">
        <v>1.0</v>
      </c>
      <c r="AF279" s="320">
        <v>3.0</v>
      </c>
      <c r="AG279" s="320">
        <v>5.0</v>
      </c>
      <c r="AH279" s="320">
        <v>9.0</v>
      </c>
      <c r="AI279" s="320">
        <v>74.03</v>
      </c>
      <c r="AJ279" s="320">
        <v>32.3</v>
      </c>
      <c r="AK279" s="320">
        <v>9.17</v>
      </c>
      <c r="AL279" s="320">
        <v>0.2612</v>
      </c>
      <c r="AM279" s="320">
        <v>20.92</v>
      </c>
      <c r="AN279" s="320">
        <v>15.07</v>
      </c>
      <c r="AO279" s="320">
        <v>65.81</v>
      </c>
      <c r="AP279" s="320">
        <v>13.77</v>
      </c>
    </row>
    <row r="280">
      <c r="A280" s="319" t="s">
        <v>256</v>
      </c>
      <c r="B280" s="328">
        <v>46096.0</v>
      </c>
      <c r="C280" s="319" t="s">
        <v>215</v>
      </c>
      <c r="D280" s="320">
        <v>26029.0</v>
      </c>
      <c r="E280" s="320">
        <v>24.77</v>
      </c>
      <c r="F280" s="320">
        <v>0.0</v>
      </c>
      <c r="G280" s="320">
        <v>0.0</v>
      </c>
      <c r="H280" s="320">
        <v>0.0</v>
      </c>
      <c r="I280" s="329"/>
      <c r="J280" s="320">
        <v>59.47</v>
      </c>
      <c r="K280" s="320">
        <v>28.52</v>
      </c>
      <c r="L280" s="320">
        <v>14.69</v>
      </c>
      <c r="M280" s="320">
        <v>0.5151</v>
      </c>
      <c r="N280" s="320">
        <v>0.6677</v>
      </c>
      <c r="O280" s="320">
        <v>0.4617</v>
      </c>
      <c r="P280" s="320">
        <v>1.9413</v>
      </c>
      <c r="Q280" s="320">
        <v>83.64</v>
      </c>
      <c r="R280" s="320">
        <v>52.73</v>
      </c>
      <c r="S280" s="320">
        <v>30.91</v>
      </c>
      <c r="T280" s="320">
        <v>0.03</v>
      </c>
      <c r="U280" s="320">
        <v>83.61</v>
      </c>
      <c r="V280" s="320">
        <v>95.32</v>
      </c>
      <c r="W280" s="320">
        <v>3.3421</v>
      </c>
      <c r="X280" s="320">
        <v>0.03</v>
      </c>
      <c r="Y280" s="320">
        <v>112.0</v>
      </c>
      <c r="Z280" s="320">
        <v>648.0</v>
      </c>
      <c r="AA280" s="320">
        <v>5031.0</v>
      </c>
      <c r="AB280" s="320">
        <v>52.4255</v>
      </c>
      <c r="AC280" s="320">
        <v>0.6348</v>
      </c>
      <c r="AD280" s="320">
        <v>9.63</v>
      </c>
      <c r="AE280" s="320">
        <v>4.0</v>
      </c>
      <c r="AF280" s="320">
        <v>8.0</v>
      </c>
      <c r="AG280" s="320">
        <v>13.0</v>
      </c>
      <c r="AH280" s="320">
        <v>20.0</v>
      </c>
      <c r="AI280" s="320">
        <v>61.51</v>
      </c>
      <c r="AJ280" s="320">
        <v>26.69</v>
      </c>
      <c r="AK280" s="320">
        <v>5.11</v>
      </c>
      <c r="AL280" s="320">
        <v>0.2203</v>
      </c>
      <c r="AM280" s="320">
        <v>22.01</v>
      </c>
      <c r="AN280" s="320">
        <v>30.72</v>
      </c>
      <c r="AO280" s="320">
        <v>73.97</v>
      </c>
      <c r="AP280" s="320">
        <v>16.28</v>
      </c>
    </row>
    <row r="281">
      <c r="A281" s="319" t="s">
        <v>256</v>
      </c>
      <c r="B281" s="328">
        <v>46096.0</v>
      </c>
      <c r="C281" s="319" t="s">
        <v>216</v>
      </c>
      <c r="D281" s="320">
        <v>14332.0</v>
      </c>
      <c r="E281" s="320">
        <v>13.64</v>
      </c>
      <c r="F281" s="320">
        <v>0.0</v>
      </c>
      <c r="G281" s="320">
        <v>0.0</v>
      </c>
      <c r="H281" s="320">
        <v>0.0</v>
      </c>
      <c r="I281" s="329"/>
      <c r="J281" s="320">
        <v>86.38</v>
      </c>
      <c r="K281" s="320">
        <v>43.88</v>
      </c>
      <c r="L281" s="320">
        <v>28.44</v>
      </c>
      <c r="M281" s="320">
        <v>0.648</v>
      </c>
      <c r="N281" s="320">
        <v>0.5355</v>
      </c>
      <c r="O281" s="320">
        <v>0.3649</v>
      </c>
      <c r="P281" s="320">
        <v>1.5431</v>
      </c>
      <c r="Q281" s="320">
        <v>139.84</v>
      </c>
      <c r="R281" s="320">
        <v>79.78</v>
      </c>
      <c r="S281" s="320">
        <v>60.07</v>
      </c>
      <c r="T281" s="320">
        <v>0.05</v>
      </c>
      <c r="U281" s="320">
        <v>139.8</v>
      </c>
      <c r="V281" s="320">
        <v>167.46</v>
      </c>
      <c r="W281" s="320">
        <v>3.8159</v>
      </c>
      <c r="X281" s="320">
        <v>0.03</v>
      </c>
      <c r="Y281" s="320">
        <v>137.0</v>
      </c>
      <c r="Z281" s="320">
        <v>931.0</v>
      </c>
      <c r="AA281" s="320">
        <v>6172.0</v>
      </c>
      <c r="AB281" s="320">
        <v>55.7372</v>
      </c>
      <c r="AC281" s="320">
        <v>0.7434</v>
      </c>
      <c r="AD281" s="320">
        <v>18.65</v>
      </c>
      <c r="AE281" s="320">
        <v>8.0</v>
      </c>
      <c r="AF281" s="320">
        <v>14.0</v>
      </c>
      <c r="AG281" s="320">
        <v>25.0</v>
      </c>
      <c r="AH281" s="320">
        <v>39.0</v>
      </c>
      <c r="AI281" s="320">
        <v>61.05</v>
      </c>
      <c r="AJ281" s="320">
        <v>24.8</v>
      </c>
      <c r="AK281" s="320">
        <v>8.36</v>
      </c>
      <c r="AL281" s="320">
        <v>0.2075</v>
      </c>
      <c r="AM281" s="320">
        <v>21.55</v>
      </c>
      <c r="AN281" s="320">
        <v>58.22</v>
      </c>
      <c r="AO281" s="320">
        <v>76.51</v>
      </c>
      <c r="AP281" s="320">
        <v>16.49</v>
      </c>
    </row>
    <row r="282">
      <c r="A282" s="319" t="s">
        <v>256</v>
      </c>
      <c r="B282" s="328">
        <v>46096.0</v>
      </c>
      <c r="C282" s="319" t="s">
        <v>217</v>
      </c>
      <c r="D282" s="320">
        <v>5758.0</v>
      </c>
      <c r="E282" s="320">
        <v>5.48</v>
      </c>
      <c r="F282" s="320">
        <v>0.0</v>
      </c>
      <c r="G282" s="320">
        <v>0.0</v>
      </c>
      <c r="H282" s="320">
        <v>0.0</v>
      </c>
      <c r="I282" s="329"/>
      <c r="J282" s="320">
        <v>133.17</v>
      </c>
      <c r="K282" s="320">
        <v>73.1</v>
      </c>
      <c r="L282" s="320">
        <v>56.91</v>
      </c>
      <c r="M282" s="320">
        <v>0.7785</v>
      </c>
      <c r="N282" s="320">
        <v>0.396</v>
      </c>
      <c r="O282" s="320">
        <v>0.2783</v>
      </c>
      <c r="P282" s="320">
        <v>1.2846</v>
      </c>
      <c r="Q282" s="320">
        <v>246.7</v>
      </c>
      <c r="R282" s="320">
        <v>126.21</v>
      </c>
      <c r="S282" s="320">
        <v>120.5</v>
      </c>
      <c r="T282" s="320">
        <v>0.0</v>
      </c>
      <c r="U282" s="320">
        <v>246.7</v>
      </c>
      <c r="V282" s="320">
        <v>304.56</v>
      </c>
      <c r="W282" s="320">
        <v>4.1664</v>
      </c>
      <c r="X282" s="320">
        <v>0.0</v>
      </c>
      <c r="Y282" s="320">
        <v>238.0</v>
      </c>
      <c r="Z282" s="320">
        <v>2049.0</v>
      </c>
      <c r="AA282" s="320">
        <v>8535.0</v>
      </c>
      <c r="AB282" s="320">
        <v>59.5588</v>
      </c>
      <c r="AC282" s="320">
        <v>0.8335</v>
      </c>
      <c r="AD282" s="320">
        <v>38.44</v>
      </c>
      <c r="AE282" s="320">
        <v>14.0</v>
      </c>
      <c r="AF282" s="320">
        <v>29.0</v>
      </c>
      <c r="AG282" s="320">
        <v>53.0</v>
      </c>
      <c r="AH282" s="320">
        <v>82.0</v>
      </c>
      <c r="AI282" s="320">
        <v>52.1</v>
      </c>
      <c r="AJ282" s="320">
        <v>20.7</v>
      </c>
      <c r="AK282" s="320">
        <v>5.8</v>
      </c>
      <c r="AL282" s="320">
        <v>0.1688</v>
      </c>
      <c r="AM282" s="320">
        <v>22.13</v>
      </c>
      <c r="AN282" s="320">
        <v>104.08</v>
      </c>
      <c r="AO282" s="320">
        <v>79.78</v>
      </c>
      <c r="AP282" s="320">
        <v>17.66</v>
      </c>
    </row>
    <row r="283">
      <c r="A283" s="319" t="s">
        <v>256</v>
      </c>
      <c r="B283" s="328">
        <v>46096.0</v>
      </c>
      <c r="C283" s="319" t="s">
        <v>218</v>
      </c>
      <c r="D283" s="320">
        <v>698.0</v>
      </c>
      <c r="E283" s="320">
        <v>0.66</v>
      </c>
      <c r="F283" s="320">
        <v>0.0</v>
      </c>
      <c r="G283" s="320">
        <v>0.0</v>
      </c>
      <c r="H283" s="320">
        <v>0.0</v>
      </c>
      <c r="I283" s="329"/>
      <c r="J283" s="320">
        <v>240.93</v>
      </c>
      <c r="K283" s="320">
        <v>141.69</v>
      </c>
      <c r="L283" s="320">
        <v>122.91</v>
      </c>
      <c r="M283" s="320">
        <v>0.8674</v>
      </c>
      <c r="N283" s="320">
        <v>0.2836</v>
      </c>
      <c r="O283" s="320">
        <v>0.2108</v>
      </c>
      <c r="P283" s="320">
        <v>1.1529</v>
      </c>
      <c r="Q283" s="320">
        <v>484.64</v>
      </c>
      <c r="R283" s="320">
        <v>224.02</v>
      </c>
      <c r="S283" s="320">
        <v>260.62</v>
      </c>
      <c r="T283" s="320">
        <v>0.0</v>
      </c>
      <c r="U283" s="320">
        <v>484.64</v>
      </c>
      <c r="V283" s="320">
        <v>634.03</v>
      </c>
      <c r="W283" s="320">
        <v>4.4746</v>
      </c>
      <c r="X283" s="320">
        <v>0.0</v>
      </c>
      <c r="Y283" s="320">
        <v>760.0</v>
      </c>
      <c r="Z283" s="320">
        <v>4218.0</v>
      </c>
      <c r="AA283" s="320">
        <v>12211.0</v>
      </c>
      <c r="AB283" s="320">
        <v>63.2126</v>
      </c>
      <c r="AC283" s="320">
        <v>0.9061</v>
      </c>
      <c r="AD283" s="320">
        <v>83.82</v>
      </c>
      <c r="AE283" s="320">
        <v>32.0</v>
      </c>
      <c r="AF283" s="320">
        <v>69.0</v>
      </c>
      <c r="AG283" s="320">
        <v>123.0</v>
      </c>
      <c r="AH283" s="320">
        <v>168.0</v>
      </c>
      <c r="AI283" s="320">
        <v>46.13</v>
      </c>
      <c r="AJ283" s="320">
        <v>8.6</v>
      </c>
      <c r="AK283" s="320">
        <v>1.15</v>
      </c>
      <c r="AL283" s="320">
        <v>0.1089</v>
      </c>
      <c r="AM283" s="320">
        <v>22.12</v>
      </c>
      <c r="AN283" s="320">
        <v>201.9</v>
      </c>
      <c r="AO283" s="320">
        <v>82.48</v>
      </c>
      <c r="AP283" s="320">
        <v>18.24</v>
      </c>
    </row>
    <row r="284">
      <c r="A284" s="319" t="s">
        <v>256</v>
      </c>
      <c r="B284" s="328">
        <v>46097.0</v>
      </c>
      <c r="C284" s="319" t="s">
        <v>257</v>
      </c>
      <c r="D284" s="320">
        <v>20046.0</v>
      </c>
      <c r="E284" s="320">
        <v>18.17</v>
      </c>
      <c r="F284" s="320">
        <v>0.0</v>
      </c>
      <c r="G284" s="320">
        <v>0.0</v>
      </c>
      <c r="H284" s="320">
        <v>0.0</v>
      </c>
      <c r="I284" s="329"/>
      <c r="J284" s="320">
        <v>5.65</v>
      </c>
      <c r="K284" s="320">
        <v>2.25</v>
      </c>
      <c r="L284" s="320">
        <v>0.09</v>
      </c>
      <c r="M284" s="320">
        <v>0.0405</v>
      </c>
      <c r="N284" s="320">
        <v>0.9671</v>
      </c>
      <c r="O284" s="320">
        <v>0.7151</v>
      </c>
      <c r="P284" s="320">
        <v>24.7193</v>
      </c>
      <c r="Q284" s="320">
        <v>32.55</v>
      </c>
      <c r="R284" s="320">
        <v>32.37</v>
      </c>
      <c r="S284" s="320">
        <v>0.18</v>
      </c>
      <c r="T284" s="320">
        <v>0.0</v>
      </c>
      <c r="U284" s="320">
        <v>32.55</v>
      </c>
      <c r="V284" s="320">
        <v>1.75</v>
      </c>
      <c r="W284" s="320">
        <v>0.7774</v>
      </c>
      <c r="X284" s="320">
        <v>0.0</v>
      </c>
      <c r="Y284" s="320">
        <v>425.0</v>
      </c>
      <c r="Z284" s="320">
        <v>4228.0</v>
      </c>
      <c r="AA284" s="320">
        <v>16267.0</v>
      </c>
      <c r="AB284" s="320">
        <v>49.6506</v>
      </c>
      <c r="AC284" s="320">
        <v>0.5558</v>
      </c>
      <c r="AD284" s="329"/>
      <c r="AE284" s="329"/>
      <c r="AF284" s="329"/>
      <c r="AG284" s="329"/>
      <c r="AH284" s="329"/>
      <c r="AI284" s="320">
        <v>0.0</v>
      </c>
      <c r="AJ284" s="320">
        <v>0.0</v>
      </c>
      <c r="AK284" s="320">
        <v>0.0</v>
      </c>
      <c r="AL284" s="320">
        <v>0.2843</v>
      </c>
      <c r="AM284" s="320">
        <v>17.0</v>
      </c>
      <c r="AN284" s="320">
        <v>15.37</v>
      </c>
      <c r="AO284" s="329"/>
      <c r="AP284" s="329"/>
    </row>
    <row r="285">
      <c r="A285" s="319" t="s">
        <v>256</v>
      </c>
      <c r="B285" s="328">
        <v>46097.0</v>
      </c>
      <c r="C285" s="319" t="s">
        <v>214</v>
      </c>
      <c r="D285" s="320">
        <v>39604.0</v>
      </c>
      <c r="E285" s="320">
        <v>35.89</v>
      </c>
      <c r="F285" s="320">
        <v>0.0</v>
      </c>
      <c r="G285" s="320">
        <v>0.0</v>
      </c>
      <c r="H285" s="320">
        <v>0.0</v>
      </c>
      <c r="I285" s="329"/>
      <c r="J285" s="320">
        <v>32.63</v>
      </c>
      <c r="K285" s="320">
        <v>14.78</v>
      </c>
      <c r="L285" s="320">
        <v>5.92</v>
      </c>
      <c r="M285" s="320">
        <v>0.4007</v>
      </c>
      <c r="N285" s="320">
        <v>0.7695</v>
      </c>
      <c r="O285" s="320">
        <v>0.5687</v>
      </c>
      <c r="P285" s="320">
        <v>2.4953</v>
      </c>
      <c r="Q285" s="320">
        <v>73.15</v>
      </c>
      <c r="R285" s="320">
        <v>61.27</v>
      </c>
      <c r="S285" s="320">
        <v>11.88</v>
      </c>
      <c r="T285" s="320">
        <v>0.0</v>
      </c>
      <c r="U285" s="320">
        <v>73.15</v>
      </c>
      <c r="V285" s="320">
        <v>60.93</v>
      </c>
      <c r="W285" s="320">
        <v>4.1226</v>
      </c>
      <c r="X285" s="320">
        <v>0.0</v>
      </c>
      <c r="Y285" s="320">
        <v>149.0</v>
      </c>
      <c r="Z285" s="320">
        <v>843.0</v>
      </c>
      <c r="AA285" s="320">
        <v>5850.0</v>
      </c>
      <c r="AB285" s="320">
        <v>48.783</v>
      </c>
      <c r="AC285" s="320">
        <v>0.5223</v>
      </c>
      <c r="AD285" s="320">
        <v>4.04</v>
      </c>
      <c r="AE285" s="320">
        <v>1.0</v>
      </c>
      <c r="AF285" s="320">
        <v>3.0</v>
      </c>
      <c r="AG285" s="320">
        <v>5.0</v>
      </c>
      <c r="AH285" s="320">
        <v>9.0</v>
      </c>
      <c r="AI285" s="320">
        <v>74.31</v>
      </c>
      <c r="AJ285" s="320">
        <v>31.11</v>
      </c>
      <c r="AK285" s="320">
        <v>8.42</v>
      </c>
      <c r="AL285" s="320">
        <v>0.2387</v>
      </c>
      <c r="AM285" s="320">
        <v>18.82</v>
      </c>
      <c r="AN285" s="320">
        <v>42.46</v>
      </c>
      <c r="AO285" s="320">
        <v>65.86</v>
      </c>
      <c r="AP285" s="320">
        <v>12.39</v>
      </c>
    </row>
    <row r="286">
      <c r="A286" s="319" t="s">
        <v>256</v>
      </c>
      <c r="B286" s="328">
        <v>46097.0</v>
      </c>
      <c r="C286" s="319" t="s">
        <v>215</v>
      </c>
      <c r="D286" s="320">
        <v>27809.0</v>
      </c>
      <c r="E286" s="320">
        <v>25.2</v>
      </c>
      <c r="F286" s="320">
        <v>0.0</v>
      </c>
      <c r="G286" s="320">
        <v>0.0</v>
      </c>
      <c r="H286" s="320">
        <v>0.0</v>
      </c>
      <c r="I286" s="329"/>
      <c r="J286" s="320">
        <v>60.97</v>
      </c>
      <c r="K286" s="320">
        <v>28.76</v>
      </c>
      <c r="L286" s="320">
        <v>15.25</v>
      </c>
      <c r="M286" s="320">
        <v>0.5304</v>
      </c>
      <c r="N286" s="320">
        <v>0.6655</v>
      </c>
      <c r="O286" s="320">
        <v>0.4667</v>
      </c>
      <c r="P286" s="320">
        <v>1.8853</v>
      </c>
      <c r="Q286" s="320">
        <v>133.49</v>
      </c>
      <c r="R286" s="320">
        <v>103.77</v>
      </c>
      <c r="S286" s="320">
        <v>29.72</v>
      </c>
      <c r="T286" s="320">
        <v>0.03</v>
      </c>
      <c r="U286" s="320">
        <v>133.46</v>
      </c>
      <c r="V286" s="320">
        <v>119.08</v>
      </c>
      <c r="W286" s="320">
        <v>4.1404</v>
      </c>
      <c r="X286" s="320">
        <v>0.02</v>
      </c>
      <c r="Y286" s="320">
        <v>136.0</v>
      </c>
      <c r="Z286" s="320">
        <v>734.0</v>
      </c>
      <c r="AA286" s="320">
        <v>5548.0</v>
      </c>
      <c r="AB286" s="320">
        <v>52.237</v>
      </c>
      <c r="AC286" s="320">
        <v>0.589</v>
      </c>
      <c r="AD286" s="320">
        <v>9.86</v>
      </c>
      <c r="AE286" s="320">
        <v>4.0</v>
      </c>
      <c r="AF286" s="320">
        <v>8.0</v>
      </c>
      <c r="AG286" s="320">
        <v>14.0</v>
      </c>
      <c r="AH286" s="320">
        <v>21.0</v>
      </c>
      <c r="AI286" s="320">
        <v>62.11</v>
      </c>
      <c r="AJ286" s="320">
        <v>27.95</v>
      </c>
      <c r="AK286" s="320">
        <v>5.73</v>
      </c>
      <c r="AL286" s="320">
        <v>0.1783</v>
      </c>
      <c r="AM286" s="320">
        <v>18.94</v>
      </c>
      <c r="AN286" s="320">
        <v>84.84</v>
      </c>
      <c r="AO286" s="320">
        <v>72.77</v>
      </c>
      <c r="AP286" s="320">
        <v>13.78</v>
      </c>
    </row>
    <row r="287">
      <c r="A287" s="319" t="s">
        <v>256</v>
      </c>
      <c r="B287" s="328">
        <v>46097.0</v>
      </c>
      <c r="C287" s="319" t="s">
        <v>216</v>
      </c>
      <c r="D287" s="320">
        <v>15776.0</v>
      </c>
      <c r="E287" s="320">
        <v>14.3</v>
      </c>
      <c r="F287" s="320">
        <v>0.0</v>
      </c>
      <c r="G287" s="320">
        <v>0.0</v>
      </c>
      <c r="H287" s="320">
        <v>0.0</v>
      </c>
      <c r="I287" s="329"/>
      <c r="J287" s="320">
        <v>89.89</v>
      </c>
      <c r="K287" s="320">
        <v>45.06</v>
      </c>
      <c r="L287" s="320">
        <v>30.6</v>
      </c>
      <c r="M287" s="320">
        <v>0.679</v>
      </c>
      <c r="N287" s="320">
        <v>0.5206</v>
      </c>
      <c r="O287" s="320">
        <v>0.363</v>
      </c>
      <c r="P287" s="320">
        <v>1.4727</v>
      </c>
      <c r="Q287" s="320">
        <v>227.36</v>
      </c>
      <c r="R287" s="320">
        <v>168.32</v>
      </c>
      <c r="S287" s="320">
        <v>59.04</v>
      </c>
      <c r="T287" s="320">
        <v>0.35</v>
      </c>
      <c r="U287" s="320">
        <v>227.01</v>
      </c>
      <c r="V287" s="320">
        <v>208.85</v>
      </c>
      <c r="W287" s="320">
        <v>4.6352</v>
      </c>
      <c r="X287" s="320">
        <v>0.15</v>
      </c>
      <c r="Y287" s="320">
        <v>177.0</v>
      </c>
      <c r="Z287" s="320">
        <v>1089.0</v>
      </c>
      <c r="AA287" s="320">
        <v>7351.0</v>
      </c>
      <c r="AB287" s="320">
        <v>55.5402</v>
      </c>
      <c r="AC287" s="320">
        <v>0.6712</v>
      </c>
      <c r="AD287" s="320">
        <v>19.47</v>
      </c>
      <c r="AE287" s="320">
        <v>8.0</v>
      </c>
      <c r="AF287" s="320">
        <v>16.0</v>
      </c>
      <c r="AG287" s="320">
        <v>27.0</v>
      </c>
      <c r="AH287" s="320">
        <v>39.0</v>
      </c>
      <c r="AI287" s="320">
        <v>65.24</v>
      </c>
      <c r="AJ287" s="320">
        <v>28.15</v>
      </c>
      <c r="AK287" s="320">
        <v>7.21</v>
      </c>
      <c r="AL287" s="320">
        <v>0.1604</v>
      </c>
      <c r="AM287" s="320">
        <v>19.93</v>
      </c>
      <c r="AN287" s="320">
        <v>148.39</v>
      </c>
      <c r="AO287" s="320">
        <v>73.55</v>
      </c>
      <c r="AP287" s="320">
        <v>14.66</v>
      </c>
    </row>
    <row r="288">
      <c r="A288" s="319" t="s">
        <v>256</v>
      </c>
      <c r="B288" s="328">
        <v>46097.0</v>
      </c>
      <c r="C288" s="319" t="s">
        <v>217</v>
      </c>
      <c r="D288" s="320">
        <v>6388.0</v>
      </c>
      <c r="E288" s="320">
        <v>5.79</v>
      </c>
      <c r="F288" s="320">
        <v>0.0</v>
      </c>
      <c r="G288" s="320">
        <v>0.0</v>
      </c>
      <c r="H288" s="320">
        <v>0.0</v>
      </c>
      <c r="I288" s="329"/>
      <c r="J288" s="320">
        <v>144.66</v>
      </c>
      <c r="K288" s="320">
        <v>78.2</v>
      </c>
      <c r="L288" s="320">
        <v>62.45</v>
      </c>
      <c r="M288" s="320">
        <v>0.7986</v>
      </c>
      <c r="N288" s="320">
        <v>0.3862</v>
      </c>
      <c r="O288" s="320">
        <v>0.2789</v>
      </c>
      <c r="P288" s="320">
        <v>1.2522</v>
      </c>
      <c r="Q288" s="320">
        <v>402.83</v>
      </c>
      <c r="R288" s="320">
        <v>284.0</v>
      </c>
      <c r="S288" s="320">
        <v>118.82</v>
      </c>
      <c r="T288" s="320">
        <v>0.01</v>
      </c>
      <c r="U288" s="320">
        <v>402.82</v>
      </c>
      <c r="V288" s="320">
        <v>375.95</v>
      </c>
      <c r="W288" s="320">
        <v>4.8074</v>
      </c>
      <c r="X288" s="320">
        <v>0.0</v>
      </c>
      <c r="Y288" s="320">
        <v>352.0</v>
      </c>
      <c r="Z288" s="320">
        <v>2384.0</v>
      </c>
      <c r="AA288" s="320">
        <v>10473.0</v>
      </c>
      <c r="AB288" s="320">
        <v>58.6603</v>
      </c>
      <c r="AC288" s="320">
        <v>0.7398</v>
      </c>
      <c r="AD288" s="320">
        <v>38.96</v>
      </c>
      <c r="AE288" s="320">
        <v>17.0</v>
      </c>
      <c r="AF288" s="320">
        <v>33.0</v>
      </c>
      <c r="AG288" s="320">
        <v>51.0</v>
      </c>
      <c r="AH288" s="320">
        <v>79.0</v>
      </c>
      <c r="AI288" s="320">
        <v>57.22</v>
      </c>
      <c r="AJ288" s="320">
        <v>19.29</v>
      </c>
      <c r="AK288" s="320">
        <v>5.07</v>
      </c>
      <c r="AL288" s="320">
        <v>0.1194</v>
      </c>
      <c r="AM288" s="320">
        <v>20.85</v>
      </c>
      <c r="AN288" s="320">
        <v>263.15</v>
      </c>
      <c r="AO288" s="320">
        <v>74.77</v>
      </c>
      <c r="AP288" s="320">
        <v>15.59</v>
      </c>
    </row>
    <row r="289">
      <c r="A289" s="319" t="s">
        <v>256</v>
      </c>
      <c r="B289" s="328">
        <v>46097.0</v>
      </c>
      <c r="C289" s="319" t="s">
        <v>218</v>
      </c>
      <c r="D289" s="320">
        <v>730.0</v>
      </c>
      <c r="E289" s="320">
        <v>0.66</v>
      </c>
      <c r="F289" s="320">
        <v>0.0</v>
      </c>
      <c r="G289" s="320">
        <v>0.0</v>
      </c>
      <c r="H289" s="320">
        <v>0.0</v>
      </c>
      <c r="I289" s="329"/>
      <c r="J289" s="320">
        <v>248.15</v>
      </c>
      <c r="K289" s="320">
        <v>147.31</v>
      </c>
      <c r="L289" s="320">
        <v>129.7</v>
      </c>
      <c r="M289" s="320">
        <v>0.8805</v>
      </c>
      <c r="N289" s="320">
        <v>0.2722</v>
      </c>
      <c r="O289" s="320">
        <v>0.2069</v>
      </c>
      <c r="P289" s="320">
        <v>1.1358</v>
      </c>
      <c r="Q289" s="320">
        <v>762.72</v>
      </c>
      <c r="R289" s="320">
        <v>488.89</v>
      </c>
      <c r="S289" s="320">
        <v>273.84</v>
      </c>
      <c r="T289" s="320">
        <v>0.0</v>
      </c>
      <c r="U289" s="320">
        <v>762.72</v>
      </c>
      <c r="V289" s="320">
        <v>746.99</v>
      </c>
      <c r="W289" s="320">
        <v>5.0708</v>
      </c>
      <c r="X289" s="320">
        <v>0.0</v>
      </c>
      <c r="Y289" s="320">
        <v>823.0</v>
      </c>
      <c r="Z289" s="320">
        <v>4256.0</v>
      </c>
      <c r="AA289" s="320">
        <v>12359.0</v>
      </c>
      <c r="AB289" s="320">
        <v>62.9655</v>
      </c>
      <c r="AC289" s="320">
        <v>0.8877</v>
      </c>
      <c r="AD289" s="320">
        <v>92.95</v>
      </c>
      <c r="AE289" s="320">
        <v>37.0</v>
      </c>
      <c r="AF289" s="320">
        <v>82.0</v>
      </c>
      <c r="AG289" s="320">
        <v>125.0</v>
      </c>
      <c r="AH289" s="320">
        <v>185.0</v>
      </c>
      <c r="AI289" s="320">
        <v>51.78</v>
      </c>
      <c r="AJ289" s="320">
        <v>12.74</v>
      </c>
      <c r="AK289" s="320">
        <v>1.64</v>
      </c>
      <c r="AL289" s="320">
        <v>0.0863</v>
      </c>
      <c r="AM289" s="320">
        <v>22.62</v>
      </c>
      <c r="AN289" s="320">
        <v>466.26</v>
      </c>
      <c r="AO289" s="320">
        <v>84.11</v>
      </c>
      <c r="AP289" s="320">
        <v>19.03</v>
      </c>
    </row>
    <row r="290">
      <c r="A290" s="319" t="s">
        <v>256</v>
      </c>
      <c r="B290" s="328">
        <v>46098.0</v>
      </c>
      <c r="C290" s="319" t="s">
        <v>257</v>
      </c>
      <c r="D290" s="320">
        <v>20411.0</v>
      </c>
      <c r="E290" s="320">
        <v>18.66</v>
      </c>
      <c r="F290" s="320">
        <v>0.0</v>
      </c>
      <c r="G290" s="320">
        <v>0.0</v>
      </c>
      <c r="H290" s="320">
        <v>0.0</v>
      </c>
      <c r="I290" s="329"/>
      <c r="J290" s="320">
        <v>6.15</v>
      </c>
      <c r="K290" s="320">
        <v>2.57</v>
      </c>
      <c r="L290" s="320">
        <v>0.07</v>
      </c>
      <c r="M290" s="320">
        <v>0.0292</v>
      </c>
      <c r="N290" s="320">
        <v>0.977</v>
      </c>
      <c r="O290" s="320">
        <v>0.7512</v>
      </c>
      <c r="P290" s="320">
        <v>34.2837</v>
      </c>
      <c r="Q290" s="320">
        <v>25.92</v>
      </c>
      <c r="R290" s="320">
        <v>25.85</v>
      </c>
      <c r="S290" s="320">
        <v>0.07</v>
      </c>
      <c r="T290" s="320">
        <v>0.0</v>
      </c>
      <c r="U290" s="320">
        <v>25.92</v>
      </c>
      <c r="V290" s="320">
        <v>2.2</v>
      </c>
      <c r="W290" s="320">
        <v>0.856</v>
      </c>
      <c r="X290" s="320">
        <v>0.0</v>
      </c>
      <c r="Y290" s="320">
        <v>350.0</v>
      </c>
      <c r="Z290" s="320">
        <v>3769.0</v>
      </c>
      <c r="AA290" s="320">
        <v>14848.0</v>
      </c>
      <c r="AB290" s="320">
        <v>49.193</v>
      </c>
      <c r="AC290" s="320">
        <v>0.5415</v>
      </c>
      <c r="AD290" s="329"/>
      <c r="AE290" s="329"/>
      <c r="AF290" s="329"/>
      <c r="AG290" s="329"/>
      <c r="AH290" s="329"/>
      <c r="AI290" s="320">
        <v>0.0</v>
      </c>
      <c r="AJ290" s="320">
        <v>0.0</v>
      </c>
      <c r="AK290" s="320">
        <v>0.0</v>
      </c>
      <c r="AL290" s="320">
        <v>0.2753</v>
      </c>
      <c r="AM290" s="320">
        <v>15.98</v>
      </c>
      <c r="AN290" s="320">
        <v>9.86</v>
      </c>
      <c r="AO290" s="329"/>
      <c r="AP290" s="329"/>
    </row>
    <row r="291">
      <c r="A291" s="319" t="s">
        <v>256</v>
      </c>
      <c r="B291" s="328">
        <v>46098.0</v>
      </c>
      <c r="C291" s="319" t="s">
        <v>214</v>
      </c>
      <c r="D291" s="320">
        <v>39128.0</v>
      </c>
      <c r="E291" s="320">
        <v>35.77</v>
      </c>
      <c r="F291" s="320">
        <v>0.0</v>
      </c>
      <c r="G291" s="320">
        <v>0.0</v>
      </c>
      <c r="H291" s="320">
        <v>0.0</v>
      </c>
      <c r="I291" s="329"/>
      <c r="J291" s="320">
        <v>28.85</v>
      </c>
      <c r="K291" s="320">
        <v>13.06</v>
      </c>
      <c r="L291" s="320">
        <v>5.52</v>
      </c>
      <c r="M291" s="320">
        <v>0.4227</v>
      </c>
      <c r="N291" s="320">
        <v>0.756</v>
      </c>
      <c r="O291" s="320">
        <v>0.5638</v>
      </c>
      <c r="P291" s="320">
        <v>2.3658</v>
      </c>
      <c r="Q291" s="320">
        <v>54.34</v>
      </c>
      <c r="R291" s="320">
        <v>42.88</v>
      </c>
      <c r="S291" s="320">
        <v>11.46</v>
      </c>
      <c r="T291" s="320">
        <v>0.0</v>
      </c>
      <c r="U291" s="320">
        <v>54.34</v>
      </c>
      <c r="V291" s="320">
        <v>54.18</v>
      </c>
      <c r="W291" s="320">
        <v>4.1483</v>
      </c>
      <c r="X291" s="320">
        <v>0.0</v>
      </c>
      <c r="Y291" s="320">
        <v>150.0</v>
      </c>
      <c r="Z291" s="320">
        <v>878.0</v>
      </c>
      <c r="AA291" s="320">
        <v>6063.0</v>
      </c>
      <c r="AB291" s="320">
        <v>48.87</v>
      </c>
      <c r="AC291" s="320">
        <v>0.5261</v>
      </c>
      <c r="AD291" s="320">
        <v>4.02</v>
      </c>
      <c r="AE291" s="320">
        <v>1.0</v>
      </c>
      <c r="AF291" s="320">
        <v>3.0</v>
      </c>
      <c r="AG291" s="320">
        <v>5.0</v>
      </c>
      <c r="AH291" s="320">
        <v>9.0</v>
      </c>
      <c r="AI291" s="320">
        <v>72.67</v>
      </c>
      <c r="AJ291" s="320">
        <v>30.74</v>
      </c>
      <c r="AK291" s="320">
        <v>8.89</v>
      </c>
      <c r="AL291" s="320">
        <v>0.2408</v>
      </c>
      <c r="AM291" s="320">
        <v>18.06</v>
      </c>
      <c r="AN291" s="320">
        <v>24.82</v>
      </c>
      <c r="AO291" s="320">
        <v>66.03</v>
      </c>
      <c r="AP291" s="320">
        <v>11.93</v>
      </c>
    </row>
    <row r="292">
      <c r="A292" s="319" t="s">
        <v>256</v>
      </c>
      <c r="B292" s="328">
        <v>46098.0</v>
      </c>
      <c r="C292" s="319" t="s">
        <v>215</v>
      </c>
      <c r="D292" s="320">
        <v>27703.0</v>
      </c>
      <c r="E292" s="320">
        <v>25.33</v>
      </c>
      <c r="F292" s="320">
        <v>0.0</v>
      </c>
      <c r="G292" s="320">
        <v>0.0</v>
      </c>
      <c r="H292" s="320">
        <v>0.0</v>
      </c>
      <c r="I292" s="329"/>
      <c r="J292" s="320">
        <v>54.39</v>
      </c>
      <c r="K292" s="320">
        <v>25.63</v>
      </c>
      <c r="L292" s="320">
        <v>14.52</v>
      </c>
      <c r="M292" s="320">
        <v>0.5664</v>
      </c>
      <c r="N292" s="320">
        <v>0.6355</v>
      </c>
      <c r="O292" s="320">
        <v>0.4449</v>
      </c>
      <c r="P292" s="320">
        <v>1.7654</v>
      </c>
      <c r="Q292" s="320">
        <v>102.95</v>
      </c>
      <c r="R292" s="320">
        <v>73.72</v>
      </c>
      <c r="S292" s="320">
        <v>29.23</v>
      </c>
      <c r="T292" s="320">
        <v>0.21</v>
      </c>
      <c r="U292" s="320">
        <v>102.74</v>
      </c>
      <c r="V292" s="320">
        <v>103.54</v>
      </c>
      <c r="W292" s="320">
        <v>4.0389</v>
      </c>
      <c r="X292" s="320">
        <v>0.2</v>
      </c>
      <c r="Y292" s="320">
        <v>137.0</v>
      </c>
      <c r="Z292" s="320">
        <v>758.0</v>
      </c>
      <c r="AA292" s="320">
        <v>5733.0</v>
      </c>
      <c r="AB292" s="320">
        <v>52.371</v>
      </c>
      <c r="AC292" s="320">
        <v>0.604</v>
      </c>
      <c r="AD292" s="320">
        <v>9.77</v>
      </c>
      <c r="AE292" s="320">
        <v>4.0</v>
      </c>
      <c r="AF292" s="320">
        <v>8.0</v>
      </c>
      <c r="AG292" s="320">
        <v>13.0</v>
      </c>
      <c r="AH292" s="320">
        <v>21.0</v>
      </c>
      <c r="AI292" s="320">
        <v>61.85</v>
      </c>
      <c r="AJ292" s="320">
        <v>28.11</v>
      </c>
      <c r="AK292" s="320">
        <v>5.2</v>
      </c>
      <c r="AL292" s="320">
        <v>0.185</v>
      </c>
      <c r="AM292" s="320">
        <v>18.55</v>
      </c>
      <c r="AN292" s="320">
        <v>55.17</v>
      </c>
      <c r="AO292" s="320">
        <v>72.92</v>
      </c>
      <c r="AP292" s="320">
        <v>13.53</v>
      </c>
    </row>
    <row r="293">
      <c r="A293" s="319" t="s">
        <v>256</v>
      </c>
      <c r="B293" s="328">
        <v>46098.0</v>
      </c>
      <c r="C293" s="319" t="s">
        <v>216</v>
      </c>
      <c r="D293" s="320">
        <v>15609.0</v>
      </c>
      <c r="E293" s="320">
        <v>14.27</v>
      </c>
      <c r="F293" s="320">
        <v>0.0</v>
      </c>
      <c r="G293" s="320">
        <v>0.0</v>
      </c>
      <c r="H293" s="320">
        <v>0.0</v>
      </c>
      <c r="I293" s="329"/>
      <c r="J293" s="320">
        <v>80.58</v>
      </c>
      <c r="K293" s="320">
        <v>40.97</v>
      </c>
      <c r="L293" s="320">
        <v>28.77</v>
      </c>
      <c r="M293" s="320">
        <v>0.7023</v>
      </c>
      <c r="N293" s="320">
        <v>0.4957</v>
      </c>
      <c r="O293" s="320">
        <v>0.3462</v>
      </c>
      <c r="P293" s="320">
        <v>1.4238</v>
      </c>
      <c r="Q293" s="320">
        <v>183.09</v>
      </c>
      <c r="R293" s="320">
        <v>127.72</v>
      </c>
      <c r="S293" s="320">
        <v>55.37</v>
      </c>
      <c r="T293" s="320">
        <v>0.09</v>
      </c>
      <c r="U293" s="320">
        <v>183.01</v>
      </c>
      <c r="V293" s="320">
        <v>181.31</v>
      </c>
      <c r="W293" s="320">
        <v>4.426</v>
      </c>
      <c r="X293" s="320">
        <v>0.05</v>
      </c>
      <c r="Y293" s="320">
        <v>176.0</v>
      </c>
      <c r="Z293" s="320">
        <v>1160.0</v>
      </c>
      <c r="AA293" s="320">
        <v>7928.0</v>
      </c>
      <c r="AB293" s="320">
        <v>55.6285</v>
      </c>
      <c r="AC293" s="320">
        <v>0.6949</v>
      </c>
      <c r="AD293" s="320">
        <v>18.04</v>
      </c>
      <c r="AE293" s="320">
        <v>7.0</v>
      </c>
      <c r="AF293" s="320">
        <v>14.0</v>
      </c>
      <c r="AG293" s="320">
        <v>25.0</v>
      </c>
      <c r="AH293" s="320">
        <v>37.0</v>
      </c>
      <c r="AI293" s="320">
        <v>61.16</v>
      </c>
      <c r="AJ293" s="320">
        <v>24.22</v>
      </c>
      <c r="AK293" s="320">
        <v>7.08</v>
      </c>
      <c r="AL293" s="320">
        <v>0.1657</v>
      </c>
      <c r="AM293" s="320">
        <v>19.52</v>
      </c>
      <c r="AN293" s="320">
        <v>108.2</v>
      </c>
      <c r="AO293" s="320">
        <v>74.53</v>
      </c>
      <c r="AP293" s="320">
        <v>14.55</v>
      </c>
    </row>
    <row r="294">
      <c r="A294" s="319" t="s">
        <v>256</v>
      </c>
      <c r="B294" s="328">
        <v>46098.0</v>
      </c>
      <c r="C294" s="319" t="s">
        <v>217</v>
      </c>
      <c r="D294" s="320">
        <v>5848.0</v>
      </c>
      <c r="E294" s="320">
        <v>5.35</v>
      </c>
      <c r="F294" s="320">
        <v>0.0</v>
      </c>
      <c r="G294" s="320">
        <v>0.0</v>
      </c>
      <c r="H294" s="320">
        <v>0.0</v>
      </c>
      <c r="I294" s="329"/>
      <c r="J294" s="320">
        <v>127.26</v>
      </c>
      <c r="K294" s="320">
        <v>70.1</v>
      </c>
      <c r="L294" s="320">
        <v>56.08</v>
      </c>
      <c r="M294" s="320">
        <v>0.8</v>
      </c>
      <c r="N294" s="320">
        <v>0.3811</v>
      </c>
      <c r="O294" s="320">
        <v>0.275</v>
      </c>
      <c r="P294" s="320">
        <v>1.25</v>
      </c>
      <c r="Q294" s="320">
        <v>348.34</v>
      </c>
      <c r="R294" s="320">
        <v>230.83</v>
      </c>
      <c r="S294" s="320">
        <v>117.51</v>
      </c>
      <c r="T294" s="320">
        <v>0.0</v>
      </c>
      <c r="U294" s="320">
        <v>348.34</v>
      </c>
      <c r="V294" s="320">
        <v>329.02</v>
      </c>
      <c r="W294" s="320">
        <v>4.6936</v>
      </c>
      <c r="X294" s="320">
        <v>0.0</v>
      </c>
      <c r="Y294" s="320">
        <v>327.0</v>
      </c>
      <c r="Z294" s="320">
        <v>2090.0</v>
      </c>
      <c r="AA294" s="320">
        <v>8733.0</v>
      </c>
      <c r="AB294" s="320">
        <v>59.3965</v>
      </c>
      <c r="AC294" s="320">
        <v>0.8334</v>
      </c>
      <c r="AD294" s="320">
        <v>39.06</v>
      </c>
      <c r="AE294" s="320">
        <v>16.0</v>
      </c>
      <c r="AF294" s="320">
        <v>31.0</v>
      </c>
      <c r="AG294" s="320">
        <v>54.0</v>
      </c>
      <c r="AH294" s="320">
        <v>80.0</v>
      </c>
      <c r="AI294" s="320">
        <v>55.44</v>
      </c>
      <c r="AJ294" s="320">
        <v>20.5</v>
      </c>
      <c r="AK294" s="320">
        <v>4.77</v>
      </c>
      <c r="AL294" s="320">
        <v>0.1296</v>
      </c>
      <c r="AM294" s="320">
        <v>20.1</v>
      </c>
      <c r="AN294" s="320">
        <v>210.73</v>
      </c>
      <c r="AO294" s="320">
        <v>81.25</v>
      </c>
      <c r="AP294" s="320">
        <v>16.33</v>
      </c>
    </row>
    <row r="295">
      <c r="A295" s="319" t="s">
        <v>256</v>
      </c>
      <c r="B295" s="328">
        <v>46098.0</v>
      </c>
      <c r="C295" s="319" t="s">
        <v>218</v>
      </c>
      <c r="D295" s="320">
        <v>683.0</v>
      </c>
      <c r="E295" s="320">
        <v>0.62</v>
      </c>
      <c r="F295" s="320">
        <v>0.0</v>
      </c>
      <c r="G295" s="320">
        <v>0.0</v>
      </c>
      <c r="H295" s="320">
        <v>0.0</v>
      </c>
      <c r="I295" s="329"/>
      <c r="J295" s="320">
        <v>235.14</v>
      </c>
      <c r="K295" s="320">
        <v>141.59</v>
      </c>
      <c r="L295" s="320">
        <v>123.77</v>
      </c>
      <c r="M295" s="320">
        <v>0.8742</v>
      </c>
      <c r="N295" s="320">
        <v>0.2738</v>
      </c>
      <c r="O295" s="320">
        <v>0.2047</v>
      </c>
      <c r="P295" s="320">
        <v>1.1439</v>
      </c>
      <c r="Q295" s="320">
        <v>743.79</v>
      </c>
      <c r="R295" s="320">
        <v>481.45</v>
      </c>
      <c r="S295" s="320">
        <v>262.34</v>
      </c>
      <c r="T295" s="320">
        <v>45.02</v>
      </c>
      <c r="U295" s="320">
        <v>698.77</v>
      </c>
      <c r="V295" s="320">
        <v>844.8</v>
      </c>
      <c r="W295" s="320">
        <v>5.9667</v>
      </c>
      <c r="X295" s="320">
        <v>6.05</v>
      </c>
      <c r="Y295" s="320">
        <v>823.0</v>
      </c>
      <c r="Z295" s="320">
        <v>4004.0</v>
      </c>
      <c r="AA295" s="320">
        <v>11549.0</v>
      </c>
      <c r="AB295" s="320">
        <v>62.8869</v>
      </c>
      <c r="AC295" s="320">
        <v>0.9003</v>
      </c>
      <c r="AD295" s="320">
        <v>86.63</v>
      </c>
      <c r="AE295" s="320">
        <v>35.0</v>
      </c>
      <c r="AF295" s="320">
        <v>70.0</v>
      </c>
      <c r="AG295" s="320">
        <v>124.0</v>
      </c>
      <c r="AH295" s="320">
        <v>174.0</v>
      </c>
      <c r="AI295" s="320">
        <v>46.41</v>
      </c>
      <c r="AJ295" s="320">
        <v>9.37</v>
      </c>
      <c r="AK295" s="320">
        <v>0.88</v>
      </c>
      <c r="AL295" s="320">
        <v>0.0732</v>
      </c>
      <c r="AM295" s="320">
        <v>19.58</v>
      </c>
      <c r="AN295" s="320">
        <v>461.87</v>
      </c>
      <c r="AO295" s="320">
        <v>86.15</v>
      </c>
      <c r="AP295" s="320">
        <v>16.87</v>
      </c>
    </row>
    <row r="296">
      <c r="A296" s="319" t="s">
        <v>256</v>
      </c>
      <c r="B296" s="328">
        <v>46099.0</v>
      </c>
      <c r="C296" s="319" t="s">
        <v>257</v>
      </c>
      <c r="D296" s="320">
        <v>20694.0</v>
      </c>
      <c r="E296" s="320">
        <v>19.36</v>
      </c>
      <c r="F296" s="320">
        <v>0.0</v>
      </c>
      <c r="G296" s="320">
        <v>0.0</v>
      </c>
      <c r="H296" s="320">
        <v>0.0</v>
      </c>
      <c r="I296" s="329"/>
      <c r="J296" s="320">
        <v>6.32</v>
      </c>
      <c r="K296" s="320">
        <v>2.64</v>
      </c>
      <c r="L296" s="320">
        <v>0.04</v>
      </c>
      <c r="M296" s="320">
        <v>0.015</v>
      </c>
      <c r="N296" s="320">
        <v>0.9894</v>
      </c>
      <c r="O296" s="320">
        <v>0.8598</v>
      </c>
      <c r="P296" s="320">
        <v>66.6593</v>
      </c>
      <c r="Q296" s="320">
        <v>21.9</v>
      </c>
      <c r="R296" s="320">
        <v>21.79</v>
      </c>
      <c r="S296" s="320">
        <v>0.11</v>
      </c>
      <c r="T296" s="320">
        <v>0.0</v>
      </c>
      <c r="U296" s="320">
        <v>21.9</v>
      </c>
      <c r="V296" s="320">
        <v>2.08</v>
      </c>
      <c r="W296" s="320">
        <v>0.7885</v>
      </c>
      <c r="X296" s="320">
        <v>0.0</v>
      </c>
      <c r="Y296" s="320">
        <v>337.0</v>
      </c>
      <c r="Z296" s="320">
        <v>3803.0</v>
      </c>
      <c r="AA296" s="320">
        <v>14803.0</v>
      </c>
      <c r="AB296" s="320">
        <v>49.358</v>
      </c>
      <c r="AC296" s="320">
        <v>0.5513</v>
      </c>
      <c r="AD296" s="329"/>
      <c r="AE296" s="329"/>
      <c r="AF296" s="329"/>
      <c r="AG296" s="329"/>
      <c r="AH296" s="329"/>
      <c r="AI296" s="320">
        <v>0.0</v>
      </c>
      <c r="AJ296" s="320">
        <v>0.0</v>
      </c>
      <c r="AK296" s="320">
        <v>0.0</v>
      </c>
      <c r="AL296" s="320">
        <v>0.2746</v>
      </c>
      <c r="AM296" s="320">
        <v>16.18</v>
      </c>
      <c r="AN296" s="320">
        <v>5.61</v>
      </c>
      <c r="AO296" s="329"/>
      <c r="AP296" s="329"/>
    </row>
    <row r="297">
      <c r="A297" s="319" t="s">
        <v>256</v>
      </c>
      <c r="B297" s="328">
        <v>46099.0</v>
      </c>
      <c r="C297" s="319" t="s">
        <v>214</v>
      </c>
      <c r="D297" s="320">
        <v>38464.0</v>
      </c>
      <c r="E297" s="320">
        <v>35.98</v>
      </c>
      <c r="F297" s="320">
        <v>0.0</v>
      </c>
      <c r="G297" s="320">
        <v>0.0</v>
      </c>
      <c r="H297" s="320">
        <v>0.0</v>
      </c>
      <c r="I297" s="329"/>
      <c r="J297" s="320">
        <v>30.01</v>
      </c>
      <c r="K297" s="320">
        <v>13.85</v>
      </c>
      <c r="L297" s="320">
        <v>5.55</v>
      </c>
      <c r="M297" s="320">
        <v>0.4005</v>
      </c>
      <c r="N297" s="320">
        <v>0.7664</v>
      </c>
      <c r="O297" s="320">
        <v>0.5633</v>
      </c>
      <c r="P297" s="320">
        <v>2.4967</v>
      </c>
      <c r="Q297" s="320">
        <v>46.34</v>
      </c>
      <c r="R297" s="320">
        <v>34.71</v>
      </c>
      <c r="S297" s="320">
        <v>11.64</v>
      </c>
      <c r="T297" s="320">
        <v>0.0</v>
      </c>
      <c r="U297" s="320">
        <v>46.34</v>
      </c>
      <c r="V297" s="320">
        <v>49.18</v>
      </c>
      <c r="W297" s="320">
        <v>3.5522</v>
      </c>
      <c r="X297" s="320">
        <v>0.01</v>
      </c>
      <c r="Y297" s="320">
        <v>139.0</v>
      </c>
      <c r="Z297" s="320">
        <v>853.0</v>
      </c>
      <c r="AA297" s="320">
        <v>5834.0</v>
      </c>
      <c r="AB297" s="320">
        <v>48.7166</v>
      </c>
      <c r="AC297" s="320">
        <v>0.527</v>
      </c>
      <c r="AD297" s="320">
        <v>3.97</v>
      </c>
      <c r="AE297" s="320">
        <v>1.0</v>
      </c>
      <c r="AF297" s="320">
        <v>3.0</v>
      </c>
      <c r="AG297" s="320">
        <v>5.0</v>
      </c>
      <c r="AH297" s="320">
        <v>9.0</v>
      </c>
      <c r="AI297" s="320">
        <v>72.73</v>
      </c>
      <c r="AJ297" s="320">
        <v>30.52</v>
      </c>
      <c r="AK297" s="320">
        <v>8.28</v>
      </c>
      <c r="AL297" s="320">
        <v>0.2414</v>
      </c>
      <c r="AM297" s="320">
        <v>18.4</v>
      </c>
      <c r="AN297" s="320">
        <v>16.31</v>
      </c>
      <c r="AO297" s="320">
        <v>66.17</v>
      </c>
      <c r="AP297" s="320">
        <v>12.18</v>
      </c>
    </row>
    <row r="298">
      <c r="A298" s="319" t="s">
        <v>256</v>
      </c>
      <c r="B298" s="328">
        <v>46099.0</v>
      </c>
      <c r="C298" s="319" t="s">
        <v>215</v>
      </c>
      <c r="D298" s="320">
        <v>26750.0</v>
      </c>
      <c r="E298" s="320">
        <v>25.02</v>
      </c>
      <c r="F298" s="320">
        <v>0.0</v>
      </c>
      <c r="G298" s="320">
        <v>0.0</v>
      </c>
      <c r="H298" s="320">
        <v>0.0</v>
      </c>
      <c r="I298" s="329"/>
      <c r="J298" s="320">
        <v>56.89</v>
      </c>
      <c r="K298" s="320">
        <v>27.37</v>
      </c>
      <c r="L298" s="320">
        <v>14.47</v>
      </c>
      <c r="M298" s="320">
        <v>0.5288</v>
      </c>
      <c r="N298" s="320">
        <v>0.6585</v>
      </c>
      <c r="O298" s="320">
        <v>0.4495</v>
      </c>
      <c r="P298" s="320">
        <v>1.8912</v>
      </c>
      <c r="Q298" s="320">
        <v>82.46</v>
      </c>
      <c r="R298" s="320">
        <v>53.97</v>
      </c>
      <c r="S298" s="320">
        <v>28.49</v>
      </c>
      <c r="T298" s="320">
        <v>0.48</v>
      </c>
      <c r="U298" s="320">
        <v>81.98</v>
      </c>
      <c r="V298" s="320">
        <v>93.57</v>
      </c>
      <c r="W298" s="320">
        <v>3.4192</v>
      </c>
      <c r="X298" s="320">
        <v>0.58</v>
      </c>
      <c r="Y298" s="320">
        <v>123.0</v>
      </c>
      <c r="Z298" s="320">
        <v>741.0</v>
      </c>
      <c r="AA298" s="320">
        <v>5557.0</v>
      </c>
      <c r="AB298" s="320">
        <v>52.2349</v>
      </c>
      <c r="AC298" s="320">
        <v>0.6094</v>
      </c>
      <c r="AD298" s="320">
        <v>9.19</v>
      </c>
      <c r="AE298" s="320">
        <v>3.0</v>
      </c>
      <c r="AF298" s="320">
        <v>7.0</v>
      </c>
      <c r="AG298" s="320">
        <v>12.0</v>
      </c>
      <c r="AH298" s="320">
        <v>19.0</v>
      </c>
      <c r="AI298" s="320">
        <v>59.07</v>
      </c>
      <c r="AJ298" s="320">
        <v>24.8</v>
      </c>
      <c r="AK298" s="320">
        <v>4.4</v>
      </c>
      <c r="AL298" s="320">
        <v>0.1866</v>
      </c>
      <c r="AM298" s="320">
        <v>19.47</v>
      </c>
      <c r="AN298" s="320">
        <v>34.5</v>
      </c>
      <c r="AO298" s="320">
        <v>73.86</v>
      </c>
      <c r="AP298" s="320">
        <v>14.38</v>
      </c>
    </row>
    <row r="299">
      <c r="A299" s="319" t="s">
        <v>256</v>
      </c>
      <c r="B299" s="328">
        <v>46099.0</v>
      </c>
      <c r="C299" s="319" t="s">
        <v>216</v>
      </c>
      <c r="D299" s="320">
        <v>14603.0</v>
      </c>
      <c r="E299" s="320">
        <v>13.66</v>
      </c>
      <c r="F299" s="320">
        <v>0.0</v>
      </c>
      <c r="G299" s="320">
        <v>0.0</v>
      </c>
      <c r="H299" s="320">
        <v>0.0</v>
      </c>
      <c r="I299" s="329"/>
      <c r="J299" s="320">
        <v>77.74</v>
      </c>
      <c r="K299" s="320">
        <v>39.81</v>
      </c>
      <c r="L299" s="320">
        <v>26.04</v>
      </c>
      <c r="M299" s="320">
        <v>0.6541</v>
      </c>
      <c r="N299" s="320">
        <v>0.5314</v>
      </c>
      <c r="O299" s="320">
        <v>0.3604</v>
      </c>
      <c r="P299" s="320">
        <v>1.5287</v>
      </c>
      <c r="Q299" s="320">
        <v>128.81</v>
      </c>
      <c r="R299" s="320">
        <v>73.87</v>
      </c>
      <c r="S299" s="320">
        <v>54.94</v>
      </c>
      <c r="T299" s="320">
        <v>0.0</v>
      </c>
      <c r="U299" s="320">
        <v>128.8</v>
      </c>
      <c r="V299" s="320">
        <v>156.3</v>
      </c>
      <c r="W299" s="320">
        <v>3.9263</v>
      </c>
      <c r="X299" s="320">
        <v>0.0</v>
      </c>
      <c r="Y299" s="320">
        <v>143.0</v>
      </c>
      <c r="Z299" s="320">
        <v>969.0</v>
      </c>
      <c r="AA299" s="320">
        <v>6296.0</v>
      </c>
      <c r="AB299" s="320">
        <v>55.8427</v>
      </c>
      <c r="AC299" s="320">
        <v>0.7427</v>
      </c>
      <c r="AD299" s="320">
        <v>17.52</v>
      </c>
      <c r="AE299" s="320">
        <v>7.0</v>
      </c>
      <c r="AF299" s="320">
        <v>14.0</v>
      </c>
      <c r="AG299" s="320">
        <v>24.0</v>
      </c>
      <c r="AH299" s="320">
        <v>36.0</v>
      </c>
      <c r="AI299" s="320">
        <v>58.88</v>
      </c>
      <c r="AJ299" s="320">
        <v>22.96</v>
      </c>
      <c r="AK299" s="320">
        <v>6.61</v>
      </c>
      <c r="AL299" s="320">
        <v>0.1812</v>
      </c>
      <c r="AM299" s="320">
        <v>19.34</v>
      </c>
      <c r="AN299" s="320">
        <v>54.53</v>
      </c>
      <c r="AO299" s="320">
        <v>77.81</v>
      </c>
      <c r="AP299" s="320">
        <v>15.05</v>
      </c>
    </row>
    <row r="300">
      <c r="A300" s="319" t="s">
        <v>256</v>
      </c>
      <c r="B300" s="328">
        <v>46099.0</v>
      </c>
      <c r="C300" s="319" t="s">
        <v>217</v>
      </c>
      <c r="D300" s="320">
        <v>5705.0</v>
      </c>
      <c r="E300" s="320">
        <v>5.34</v>
      </c>
      <c r="F300" s="320">
        <v>0.0</v>
      </c>
      <c r="G300" s="320">
        <v>0.0</v>
      </c>
      <c r="H300" s="320">
        <v>0.0</v>
      </c>
      <c r="I300" s="329"/>
      <c r="J300" s="320">
        <v>125.48</v>
      </c>
      <c r="K300" s="320">
        <v>68.87</v>
      </c>
      <c r="L300" s="320">
        <v>53.33</v>
      </c>
      <c r="M300" s="320">
        <v>0.7743</v>
      </c>
      <c r="N300" s="320">
        <v>0.4018</v>
      </c>
      <c r="O300" s="320">
        <v>0.2823</v>
      </c>
      <c r="P300" s="320">
        <v>1.2914</v>
      </c>
      <c r="Q300" s="320">
        <v>236.81</v>
      </c>
      <c r="R300" s="320">
        <v>124.28</v>
      </c>
      <c r="S300" s="320">
        <v>112.53</v>
      </c>
      <c r="T300" s="320">
        <v>0.0</v>
      </c>
      <c r="U300" s="320">
        <v>236.81</v>
      </c>
      <c r="V300" s="320">
        <v>288.67</v>
      </c>
      <c r="W300" s="320">
        <v>4.1912</v>
      </c>
      <c r="X300" s="320">
        <v>0.0</v>
      </c>
      <c r="Y300" s="320">
        <v>266.0</v>
      </c>
      <c r="Z300" s="320">
        <v>1994.0</v>
      </c>
      <c r="AA300" s="320">
        <v>8580.0</v>
      </c>
      <c r="AB300" s="320">
        <v>59.4296</v>
      </c>
      <c r="AC300" s="320">
        <v>0.8382</v>
      </c>
      <c r="AD300" s="320">
        <v>35.94</v>
      </c>
      <c r="AE300" s="320">
        <v>14.0</v>
      </c>
      <c r="AF300" s="320">
        <v>27.0</v>
      </c>
      <c r="AG300" s="320">
        <v>50.0</v>
      </c>
      <c r="AH300" s="320">
        <v>77.0</v>
      </c>
      <c r="AI300" s="320">
        <v>50.18</v>
      </c>
      <c r="AJ300" s="320">
        <v>18.0</v>
      </c>
      <c r="AK300" s="320">
        <v>4.26</v>
      </c>
      <c r="AL300" s="320">
        <v>0.1309</v>
      </c>
      <c r="AM300" s="320">
        <v>19.9</v>
      </c>
      <c r="AN300" s="320">
        <v>104.38</v>
      </c>
      <c r="AO300" s="320">
        <v>82.72</v>
      </c>
      <c r="AP300" s="320">
        <v>16.46</v>
      </c>
    </row>
    <row r="301">
      <c r="A301" s="319" t="s">
        <v>256</v>
      </c>
      <c r="B301" s="328">
        <v>46099.0</v>
      </c>
      <c r="C301" s="319" t="s">
        <v>218</v>
      </c>
      <c r="D301" s="320">
        <v>686.0</v>
      </c>
      <c r="E301" s="320">
        <v>0.64</v>
      </c>
      <c r="F301" s="320">
        <v>0.0</v>
      </c>
      <c r="G301" s="320">
        <v>0.0</v>
      </c>
      <c r="H301" s="320">
        <v>0.0</v>
      </c>
      <c r="I301" s="329"/>
      <c r="J301" s="320">
        <v>233.52</v>
      </c>
      <c r="K301" s="320">
        <v>140.46</v>
      </c>
      <c r="L301" s="320">
        <v>122.31</v>
      </c>
      <c r="M301" s="320">
        <v>0.8708</v>
      </c>
      <c r="N301" s="320">
        <v>0.2795</v>
      </c>
      <c r="O301" s="320">
        <v>0.2089</v>
      </c>
      <c r="P301" s="320">
        <v>1.1484</v>
      </c>
      <c r="Q301" s="320">
        <v>507.07</v>
      </c>
      <c r="R301" s="320">
        <v>247.25</v>
      </c>
      <c r="S301" s="320">
        <v>259.83</v>
      </c>
      <c r="T301" s="320">
        <v>0.0</v>
      </c>
      <c r="U301" s="320">
        <v>507.07</v>
      </c>
      <c r="V301" s="320">
        <v>655.17</v>
      </c>
      <c r="W301" s="320">
        <v>4.6646</v>
      </c>
      <c r="X301" s="320">
        <v>0.0</v>
      </c>
      <c r="Y301" s="320">
        <v>822.0</v>
      </c>
      <c r="Z301" s="320">
        <v>4126.0</v>
      </c>
      <c r="AA301" s="320">
        <v>11316.0</v>
      </c>
      <c r="AB301" s="320">
        <v>63.1793</v>
      </c>
      <c r="AC301" s="320">
        <v>0.9131</v>
      </c>
      <c r="AD301" s="320">
        <v>84.18</v>
      </c>
      <c r="AE301" s="320">
        <v>37.0</v>
      </c>
      <c r="AF301" s="320">
        <v>70.0</v>
      </c>
      <c r="AG301" s="320">
        <v>122.0</v>
      </c>
      <c r="AH301" s="320">
        <v>166.0</v>
      </c>
      <c r="AI301" s="320">
        <v>45.04</v>
      </c>
      <c r="AJ301" s="320">
        <v>7.73</v>
      </c>
      <c r="AK301" s="320">
        <v>0.44</v>
      </c>
      <c r="AL301" s="320">
        <v>0.0904</v>
      </c>
      <c r="AM301" s="320">
        <v>23.13</v>
      </c>
      <c r="AN301" s="320">
        <v>224.12</v>
      </c>
      <c r="AO301" s="320">
        <v>86.67</v>
      </c>
      <c r="AP301" s="320">
        <v>20.05</v>
      </c>
    </row>
    <row r="302">
      <c r="A302" s="319" t="s">
        <v>256</v>
      </c>
      <c r="B302" s="328">
        <v>46100.0</v>
      </c>
      <c r="C302" s="319" t="s">
        <v>257</v>
      </c>
      <c r="D302" s="320">
        <v>21251.0</v>
      </c>
      <c r="E302" s="320">
        <v>20.26</v>
      </c>
      <c r="F302" s="320">
        <v>0.0</v>
      </c>
      <c r="G302" s="320">
        <v>0.0</v>
      </c>
      <c r="H302" s="320">
        <v>0.0</v>
      </c>
      <c r="I302" s="329"/>
      <c r="J302" s="320">
        <v>6.08</v>
      </c>
      <c r="K302" s="320">
        <v>2.55</v>
      </c>
      <c r="L302" s="320">
        <v>0.02</v>
      </c>
      <c r="M302" s="320">
        <v>0.0092</v>
      </c>
      <c r="N302" s="320">
        <v>0.9931</v>
      </c>
      <c r="O302" s="320">
        <v>0.9039</v>
      </c>
      <c r="P302" s="320">
        <v>108.364</v>
      </c>
      <c r="Q302" s="320">
        <v>21.48</v>
      </c>
      <c r="R302" s="320">
        <v>21.38</v>
      </c>
      <c r="S302" s="320">
        <v>0.1</v>
      </c>
      <c r="T302" s="320">
        <v>0.0</v>
      </c>
      <c r="U302" s="320">
        <v>21.48</v>
      </c>
      <c r="V302" s="320">
        <v>2.08</v>
      </c>
      <c r="W302" s="320">
        <v>0.8139</v>
      </c>
      <c r="X302" s="320">
        <v>0.0</v>
      </c>
      <c r="Y302" s="320">
        <v>294.0</v>
      </c>
      <c r="Z302" s="320">
        <v>3398.0</v>
      </c>
      <c r="AA302" s="320">
        <v>14337.0</v>
      </c>
      <c r="AB302" s="320">
        <v>48.9649</v>
      </c>
      <c r="AC302" s="320">
        <v>0.5423</v>
      </c>
      <c r="AD302" s="329"/>
      <c r="AE302" s="329"/>
      <c r="AF302" s="329"/>
      <c r="AG302" s="329"/>
      <c r="AH302" s="329"/>
      <c r="AI302" s="320">
        <v>0.0</v>
      </c>
      <c r="AJ302" s="320">
        <v>0.0</v>
      </c>
      <c r="AK302" s="320">
        <v>0.0</v>
      </c>
      <c r="AL302" s="320">
        <v>0.2912</v>
      </c>
      <c r="AM302" s="320">
        <v>16.61</v>
      </c>
      <c r="AN302" s="320">
        <v>4.77</v>
      </c>
      <c r="AO302" s="329"/>
      <c r="AP302" s="329"/>
    </row>
    <row r="303">
      <c r="A303" s="319" t="s">
        <v>256</v>
      </c>
      <c r="B303" s="328">
        <v>46100.0</v>
      </c>
      <c r="C303" s="319" t="s">
        <v>214</v>
      </c>
      <c r="D303" s="320">
        <v>37779.0</v>
      </c>
      <c r="E303" s="320">
        <v>36.02</v>
      </c>
      <c r="F303" s="320">
        <v>0.0</v>
      </c>
      <c r="G303" s="320">
        <v>0.0</v>
      </c>
      <c r="H303" s="320">
        <v>0.0</v>
      </c>
      <c r="I303" s="329"/>
      <c r="J303" s="320">
        <v>28.26</v>
      </c>
      <c r="K303" s="320">
        <v>12.88</v>
      </c>
      <c r="L303" s="320">
        <v>5.4</v>
      </c>
      <c r="M303" s="320">
        <v>0.419</v>
      </c>
      <c r="N303" s="320">
        <v>0.7561</v>
      </c>
      <c r="O303" s="320">
        <v>0.5628</v>
      </c>
      <c r="P303" s="320">
        <v>2.3866</v>
      </c>
      <c r="Q303" s="320">
        <v>45.25</v>
      </c>
      <c r="R303" s="320">
        <v>33.89</v>
      </c>
      <c r="S303" s="320">
        <v>11.36</v>
      </c>
      <c r="T303" s="320">
        <v>0.02</v>
      </c>
      <c r="U303" s="320">
        <v>45.23</v>
      </c>
      <c r="V303" s="320">
        <v>48.93</v>
      </c>
      <c r="W303" s="320">
        <v>3.7994</v>
      </c>
      <c r="X303" s="320">
        <v>0.04</v>
      </c>
      <c r="Y303" s="320">
        <v>138.0</v>
      </c>
      <c r="Z303" s="320">
        <v>884.0</v>
      </c>
      <c r="AA303" s="320">
        <v>6057.0</v>
      </c>
      <c r="AB303" s="320">
        <v>48.7633</v>
      </c>
      <c r="AC303" s="320">
        <v>0.5301</v>
      </c>
      <c r="AD303" s="320">
        <v>3.9</v>
      </c>
      <c r="AE303" s="320">
        <v>1.0</v>
      </c>
      <c r="AF303" s="320">
        <v>3.0</v>
      </c>
      <c r="AG303" s="320">
        <v>5.0</v>
      </c>
      <c r="AH303" s="320">
        <v>9.0</v>
      </c>
      <c r="AI303" s="320">
        <v>71.86</v>
      </c>
      <c r="AJ303" s="320">
        <v>29.46</v>
      </c>
      <c r="AK303" s="320">
        <v>8.27</v>
      </c>
      <c r="AL303" s="320">
        <v>0.2562</v>
      </c>
      <c r="AM303" s="320">
        <v>19.21</v>
      </c>
      <c r="AN303" s="320">
        <v>14.68</v>
      </c>
      <c r="AO303" s="320">
        <v>66.55</v>
      </c>
      <c r="AP303" s="320">
        <v>12.78</v>
      </c>
    </row>
    <row r="304">
      <c r="A304" s="319" t="s">
        <v>256</v>
      </c>
      <c r="B304" s="328">
        <v>46100.0</v>
      </c>
      <c r="C304" s="319" t="s">
        <v>215</v>
      </c>
      <c r="D304" s="320">
        <v>25313.0</v>
      </c>
      <c r="E304" s="320">
        <v>24.13</v>
      </c>
      <c r="F304" s="320">
        <v>0.0</v>
      </c>
      <c r="G304" s="320">
        <v>0.0</v>
      </c>
      <c r="H304" s="320">
        <v>0.0</v>
      </c>
      <c r="I304" s="329"/>
      <c r="J304" s="320">
        <v>51.05</v>
      </c>
      <c r="K304" s="320">
        <v>24.38</v>
      </c>
      <c r="L304" s="320">
        <v>13.38</v>
      </c>
      <c r="M304" s="320">
        <v>0.5488</v>
      </c>
      <c r="N304" s="320">
        <v>0.6447</v>
      </c>
      <c r="O304" s="320">
        <v>0.4467</v>
      </c>
      <c r="P304" s="320">
        <v>1.8223</v>
      </c>
      <c r="Q304" s="320">
        <v>88.22</v>
      </c>
      <c r="R304" s="320">
        <v>60.76</v>
      </c>
      <c r="S304" s="320">
        <v>27.46</v>
      </c>
      <c r="T304" s="320">
        <v>0.0</v>
      </c>
      <c r="U304" s="320">
        <v>88.22</v>
      </c>
      <c r="V304" s="320">
        <v>92.27</v>
      </c>
      <c r="W304" s="320">
        <v>3.7843</v>
      </c>
      <c r="X304" s="320">
        <v>0.0</v>
      </c>
      <c r="Y304" s="320">
        <v>124.0</v>
      </c>
      <c r="Z304" s="320">
        <v>714.0</v>
      </c>
      <c r="AA304" s="320">
        <v>5303.0</v>
      </c>
      <c r="AB304" s="320">
        <v>52.3968</v>
      </c>
      <c r="AC304" s="320">
        <v>0.6328</v>
      </c>
      <c r="AD304" s="320">
        <v>8.95</v>
      </c>
      <c r="AE304" s="320">
        <v>3.0</v>
      </c>
      <c r="AF304" s="320">
        <v>7.0</v>
      </c>
      <c r="AG304" s="320">
        <v>12.0</v>
      </c>
      <c r="AH304" s="320">
        <v>19.0</v>
      </c>
      <c r="AI304" s="320">
        <v>58.22</v>
      </c>
      <c r="AJ304" s="320">
        <v>24.0</v>
      </c>
      <c r="AK304" s="320">
        <v>3.93</v>
      </c>
      <c r="AL304" s="320">
        <v>0.2044</v>
      </c>
      <c r="AM304" s="320">
        <v>20.14</v>
      </c>
      <c r="AN304" s="320">
        <v>40.62</v>
      </c>
      <c r="AO304" s="320">
        <v>74.96</v>
      </c>
      <c r="AP304" s="320">
        <v>15.1</v>
      </c>
    </row>
    <row r="305">
      <c r="A305" s="319" t="s">
        <v>256</v>
      </c>
      <c r="B305" s="328">
        <v>46100.0</v>
      </c>
      <c r="C305" s="319" t="s">
        <v>216</v>
      </c>
      <c r="D305" s="320">
        <v>14231.0</v>
      </c>
      <c r="E305" s="320">
        <v>13.57</v>
      </c>
      <c r="F305" s="320">
        <v>0.0</v>
      </c>
      <c r="G305" s="320">
        <v>0.0</v>
      </c>
      <c r="H305" s="320">
        <v>0.0</v>
      </c>
      <c r="I305" s="329"/>
      <c r="J305" s="320">
        <v>73.86</v>
      </c>
      <c r="K305" s="320">
        <v>37.74</v>
      </c>
      <c r="L305" s="320">
        <v>25.09</v>
      </c>
      <c r="M305" s="320">
        <v>0.6646</v>
      </c>
      <c r="N305" s="320">
        <v>0.5256</v>
      </c>
      <c r="O305" s="320">
        <v>0.3619</v>
      </c>
      <c r="P305" s="320">
        <v>1.5046</v>
      </c>
      <c r="Q305" s="320">
        <v>153.92</v>
      </c>
      <c r="R305" s="320">
        <v>100.76</v>
      </c>
      <c r="S305" s="320">
        <v>53.17</v>
      </c>
      <c r="T305" s="320">
        <v>0.21</v>
      </c>
      <c r="U305" s="320">
        <v>153.72</v>
      </c>
      <c r="V305" s="320">
        <v>157.2</v>
      </c>
      <c r="W305" s="320">
        <v>4.1647</v>
      </c>
      <c r="X305" s="320">
        <v>0.13</v>
      </c>
      <c r="Y305" s="320">
        <v>152.0</v>
      </c>
      <c r="Z305" s="320">
        <v>989.0</v>
      </c>
      <c r="AA305" s="320">
        <v>6419.0</v>
      </c>
      <c r="AB305" s="320">
        <v>55.7173</v>
      </c>
      <c r="AC305" s="320">
        <v>0.7431</v>
      </c>
      <c r="AD305" s="320">
        <v>17.01</v>
      </c>
      <c r="AE305" s="320">
        <v>7.0</v>
      </c>
      <c r="AF305" s="320">
        <v>13.0</v>
      </c>
      <c r="AG305" s="320">
        <v>24.0</v>
      </c>
      <c r="AH305" s="320">
        <v>35.0</v>
      </c>
      <c r="AI305" s="320">
        <v>58.7</v>
      </c>
      <c r="AJ305" s="320">
        <v>21.61</v>
      </c>
      <c r="AK305" s="320">
        <v>5.59</v>
      </c>
      <c r="AL305" s="320">
        <v>0.1967</v>
      </c>
      <c r="AM305" s="320">
        <v>20.14</v>
      </c>
      <c r="AN305" s="320">
        <v>80.61</v>
      </c>
      <c r="AO305" s="320">
        <v>78.51</v>
      </c>
      <c r="AP305" s="320">
        <v>15.81</v>
      </c>
    </row>
    <row r="306">
      <c r="A306" s="319" t="s">
        <v>256</v>
      </c>
      <c r="B306" s="328">
        <v>46100.0</v>
      </c>
      <c r="C306" s="319" t="s">
        <v>217</v>
      </c>
      <c r="D306" s="320">
        <v>5652.0</v>
      </c>
      <c r="E306" s="320">
        <v>5.39</v>
      </c>
      <c r="F306" s="320">
        <v>0.0</v>
      </c>
      <c r="G306" s="320">
        <v>0.0</v>
      </c>
      <c r="H306" s="320">
        <v>0.0</v>
      </c>
      <c r="I306" s="329"/>
      <c r="J306" s="320">
        <v>122.25</v>
      </c>
      <c r="K306" s="320">
        <v>67.01</v>
      </c>
      <c r="L306" s="320">
        <v>53.32</v>
      </c>
      <c r="M306" s="320">
        <v>0.7957</v>
      </c>
      <c r="N306" s="320">
        <v>0.3871</v>
      </c>
      <c r="O306" s="320">
        <v>0.2785</v>
      </c>
      <c r="P306" s="320">
        <v>1.2567</v>
      </c>
      <c r="Q306" s="320">
        <v>309.0</v>
      </c>
      <c r="R306" s="320">
        <v>195.98</v>
      </c>
      <c r="S306" s="320">
        <v>113.03</v>
      </c>
      <c r="T306" s="320">
        <v>0.0</v>
      </c>
      <c r="U306" s="320">
        <v>309.0</v>
      </c>
      <c r="V306" s="320">
        <v>307.7</v>
      </c>
      <c r="W306" s="320">
        <v>4.5919</v>
      </c>
      <c r="X306" s="320">
        <v>0.0</v>
      </c>
      <c r="Y306" s="320">
        <v>284.0</v>
      </c>
      <c r="Z306" s="320">
        <v>2025.0</v>
      </c>
      <c r="AA306" s="320">
        <v>8723.0</v>
      </c>
      <c r="AB306" s="320">
        <v>59.418</v>
      </c>
      <c r="AC306" s="320">
        <v>0.828</v>
      </c>
      <c r="AD306" s="320">
        <v>36.71</v>
      </c>
      <c r="AE306" s="320">
        <v>14.0</v>
      </c>
      <c r="AF306" s="320">
        <v>29.0</v>
      </c>
      <c r="AG306" s="320">
        <v>50.0</v>
      </c>
      <c r="AH306" s="320">
        <v>77.0</v>
      </c>
      <c r="AI306" s="320">
        <v>51.63</v>
      </c>
      <c r="AJ306" s="320">
        <v>18.86</v>
      </c>
      <c r="AK306" s="320">
        <v>4.41</v>
      </c>
      <c r="AL306" s="320">
        <v>0.1465</v>
      </c>
      <c r="AM306" s="320">
        <v>20.83</v>
      </c>
      <c r="AN306" s="320">
        <v>175.15</v>
      </c>
      <c r="AO306" s="320">
        <v>82.95</v>
      </c>
      <c r="AP306" s="320">
        <v>17.28</v>
      </c>
    </row>
    <row r="307">
      <c r="A307" s="319" t="s">
        <v>256</v>
      </c>
      <c r="B307" s="328">
        <v>46100.0</v>
      </c>
      <c r="C307" s="319" t="s">
        <v>218</v>
      </c>
      <c r="D307" s="320">
        <v>662.0</v>
      </c>
      <c r="E307" s="320">
        <v>0.63</v>
      </c>
      <c r="F307" s="320">
        <v>0.0</v>
      </c>
      <c r="G307" s="320">
        <v>0.0</v>
      </c>
      <c r="H307" s="320">
        <v>0.0</v>
      </c>
      <c r="I307" s="329"/>
      <c r="J307" s="320">
        <v>225.79</v>
      </c>
      <c r="K307" s="320">
        <v>134.85</v>
      </c>
      <c r="L307" s="320">
        <v>118.21</v>
      </c>
      <c r="M307" s="320">
        <v>0.8766</v>
      </c>
      <c r="N307" s="320">
        <v>0.2834</v>
      </c>
      <c r="O307" s="320">
        <v>0.2158</v>
      </c>
      <c r="P307" s="320">
        <v>1.1408</v>
      </c>
      <c r="Q307" s="320">
        <v>576.15</v>
      </c>
      <c r="R307" s="320">
        <v>325.37</v>
      </c>
      <c r="S307" s="320">
        <v>250.78</v>
      </c>
      <c r="T307" s="320">
        <v>0.0</v>
      </c>
      <c r="U307" s="320">
        <v>576.15</v>
      </c>
      <c r="V307" s="320">
        <v>694.26</v>
      </c>
      <c r="W307" s="320">
        <v>5.1482</v>
      </c>
      <c r="X307" s="320">
        <v>0.0</v>
      </c>
      <c r="Y307" s="320">
        <v>841.0</v>
      </c>
      <c r="Z307" s="320">
        <v>4011.0</v>
      </c>
      <c r="AA307" s="320">
        <v>11104.0</v>
      </c>
      <c r="AB307" s="320">
        <v>63.2089</v>
      </c>
      <c r="AC307" s="320">
        <v>0.8908</v>
      </c>
      <c r="AD307" s="320">
        <v>82.83</v>
      </c>
      <c r="AE307" s="320">
        <v>37.0</v>
      </c>
      <c r="AF307" s="320">
        <v>70.0</v>
      </c>
      <c r="AG307" s="320">
        <v>116.0</v>
      </c>
      <c r="AH307" s="320">
        <v>163.0</v>
      </c>
      <c r="AI307" s="320">
        <v>41.69</v>
      </c>
      <c r="AJ307" s="320">
        <v>7.4</v>
      </c>
      <c r="AK307" s="320">
        <v>0.91</v>
      </c>
      <c r="AL307" s="320">
        <v>0.0891</v>
      </c>
      <c r="AM307" s="320">
        <v>22.48</v>
      </c>
      <c r="AN307" s="320">
        <v>302.89</v>
      </c>
      <c r="AO307" s="320">
        <v>85.3</v>
      </c>
      <c r="AP307" s="320">
        <v>19.18</v>
      </c>
    </row>
    <row r="308">
      <c r="A308" s="319" t="s">
        <v>256</v>
      </c>
      <c r="B308" s="328">
        <v>46101.0</v>
      </c>
      <c r="C308" s="319" t="s">
        <v>257</v>
      </c>
      <c r="D308" s="320">
        <v>18934.0</v>
      </c>
      <c r="E308" s="320">
        <v>18.41</v>
      </c>
      <c r="F308" s="320">
        <v>0.0</v>
      </c>
      <c r="G308" s="320">
        <v>0.0</v>
      </c>
      <c r="H308" s="320">
        <v>0.0</v>
      </c>
      <c r="I308" s="329"/>
      <c r="J308" s="320">
        <v>5.67</v>
      </c>
      <c r="K308" s="320">
        <v>2.23</v>
      </c>
      <c r="L308" s="320">
        <v>0.02</v>
      </c>
      <c r="M308" s="320">
        <v>0.0074</v>
      </c>
      <c r="N308" s="320">
        <v>0.9948</v>
      </c>
      <c r="O308" s="320">
        <v>0.9377</v>
      </c>
      <c r="P308" s="320">
        <v>134.6486</v>
      </c>
      <c r="Q308" s="320">
        <v>27.13</v>
      </c>
      <c r="R308" s="320">
        <v>27.02</v>
      </c>
      <c r="S308" s="320">
        <v>0.11</v>
      </c>
      <c r="T308" s="320">
        <v>0.01</v>
      </c>
      <c r="U308" s="320">
        <v>27.12</v>
      </c>
      <c r="V308" s="320">
        <v>2.04</v>
      </c>
      <c r="W308" s="320">
        <v>0.9171</v>
      </c>
      <c r="X308" s="320">
        <v>0.02</v>
      </c>
      <c r="Y308" s="320">
        <v>376.0</v>
      </c>
      <c r="Z308" s="320">
        <v>4138.0</v>
      </c>
      <c r="AA308" s="320">
        <v>15274.0</v>
      </c>
      <c r="AB308" s="320">
        <v>49.2187</v>
      </c>
      <c r="AC308" s="320">
        <v>0.5508</v>
      </c>
      <c r="AD308" s="329"/>
      <c r="AE308" s="329"/>
      <c r="AF308" s="329"/>
      <c r="AG308" s="329"/>
      <c r="AH308" s="329"/>
      <c r="AI308" s="320">
        <v>0.0</v>
      </c>
      <c r="AJ308" s="320">
        <v>0.0</v>
      </c>
      <c r="AK308" s="320">
        <v>0.0</v>
      </c>
      <c r="AL308" s="320">
        <v>0.3119</v>
      </c>
      <c r="AM308" s="320">
        <v>17.99</v>
      </c>
      <c r="AN308" s="320">
        <v>9.04</v>
      </c>
      <c r="AO308" s="329"/>
      <c r="AP308" s="329"/>
    </row>
    <row r="309">
      <c r="A309" s="319" t="s">
        <v>256</v>
      </c>
      <c r="B309" s="328">
        <v>46101.0</v>
      </c>
      <c r="C309" s="319" t="s">
        <v>214</v>
      </c>
      <c r="D309" s="320">
        <v>38113.0</v>
      </c>
      <c r="E309" s="320">
        <v>37.06</v>
      </c>
      <c r="F309" s="320">
        <v>0.0</v>
      </c>
      <c r="G309" s="320">
        <v>0.0</v>
      </c>
      <c r="H309" s="320">
        <v>0.0</v>
      </c>
      <c r="I309" s="329"/>
      <c r="J309" s="320">
        <v>31.34</v>
      </c>
      <c r="K309" s="320">
        <v>14.26</v>
      </c>
      <c r="L309" s="320">
        <v>5.98</v>
      </c>
      <c r="M309" s="320">
        <v>0.4195</v>
      </c>
      <c r="N309" s="320">
        <v>0.7513</v>
      </c>
      <c r="O309" s="320">
        <v>0.5514</v>
      </c>
      <c r="P309" s="320">
        <v>2.3836</v>
      </c>
      <c r="Q309" s="320">
        <v>57.41</v>
      </c>
      <c r="R309" s="320">
        <v>45.13</v>
      </c>
      <c r="S309" s="320">
        <v>12.28</v>
      </c>
      <c r="T309" s="320">
        <v>0.22</v>
      </c>
      <c r="U309" s="320">
        <v>57.19</v>
      </c>
      <c r="V309" s="320">
        <v>53.51</v>
      </c>
      <c r="W309" s="320">
        <v>3.7515</v>
      </c>
      <c r="X309" s="320">
        <v>0.38</v>
      </c>
      <c r="Y309" s="320">
        <v>146.0</v>
      </c>
      <c r="Z309" s="320">
        <v>883.0</v>
      </c>
      <c r="AA309" s="320">
        <v>5981.0</v>
      </c>
      <c r="AB309" s="320">
        <v>48.6797</v>
      </c>
      <c r="AC309" s="320">
        <v>0.5297</v>
      </c>
      <c r="AD309" s="320">
        <v>4.14</v>
      </c>
      <c r="AE309" s="320">
        <v>1.0</v>
      </c>
      <c r="AF309" s="320">
        <v>3.0</v>
      </c>
      <c r="AG309" s="320">
        <v>6.0</v>
      </c>
      <c r="AH309" s="320">
        <v>9.0</v>
      </c>
      <c r="AI309" s="320">
        <v>74.74</v>
      </c>
      <c r="AJ309" s="320">
        <v>32.76</v>
      </c>
      <c r="AK309" s="320">
        <v>9.04</v>
      </c>
      <c r="AL309" s="320">
        <v>0.2676</v>
      </c>
      <c r="AM309" s="320">
        <v>20.39</v>
      </c>
      <c r="AN309" s="320">
        <v>24.74</v>
      </c>
      <c r="AO309" s="320">
        <v>66.34</v>
      </c>
      <c r="AP309" s="320">
        <v>13.53</v>
      </c>
    </row>
    <row r="310">
      <c r="A310" s="319" t="s">
        <v>256</v>
      </c>
      <c r="B310" s="328">
        <v>46101.0</v>
      </c>
      <c r="C310" s="319" t="s">
        <v>215</v>
      </c>
      <c r="D310" s="320">
        <v>25325.0</v>
      </c>
      <c r="E310" s="320">
        <v>24.63</v>
      </c>
      <c r="F310" s="320">
        <v>0.0</v>
      </c>
      <c r="G310" s="320">
        <v>0.0</v>
      </c>
      <c r="H310" s="320">
        <v>0.0</v>
      </c>
      <c r="I310" s="329"/>
      <c r="J310" s="320">
        <v>56.86</v>
      </c>
      <c r="K310" s="320">
        <v>27.29</v>
      </c>
      <c r="L310" s="320">
        <v>14.47</v>
      </c>
      <c r="M310" s="320">
        <v>0.5305</v>
      </c>
      <c r="N310" s="320">
        <v>0.6557</v>
      </c>
      <c r="O310" s="320">
        <v>0.454</v>
      </c>
      <c r="P310" s="320">
        <v>1.8851</v>
      </c>
      <c r="Q310" s="320">
        <v>100.17</v>
      </c>
      <c r="R310" s="320">
        <v>69.89</v>
      </c>
      <c r="S310" s="320">
        <v>30.28</v>
      </c>
      <c r="T310" s="320">
        <v>0.01</v>
      </c>
      <c r="U310" s="320">
        <v>100.17</v>
      </c>
      <c r="V310" s="320">
        <v>98.72</v>
      </c>
      <c r="W310" s="320">
        <v>3.6179</v>
      </c>
      <c r="X310" s="320">
        <v>0.01</v>
      </c>
      <c r="Y310" s="320">
        <v>130.0</v>
      </c>
      <c r="Z310" s="320">
        <v>676.0</v>
      </c>
      <c r="AA310" s="320">
        <v>5117.0</v>
      </c>
      <c r="AB310" s="320">
        <v>52.1658</v>
      </c>
      <c r="AC310" s="320">
        <v>0.6305</v>
      </c>
      <c r="AD310" s="320">
        <v>9.57</v>
      </c>
      <c r="AE310" s="320">
        <v>4.0</v>
      </c>
      <c r="AF310" s="320">
        <v>8.0</v>
      </c>
      <c r="AG310" s="320">
        <v>13.0</v>
      </c>
      <c r="AH310" s="320">
        <v>19.0</v>
      </c>
      <c r="AI310" s="320">
        <v>63.37</v>
      </c>
      <c r="AJ310" s="320">
        <v>26.78</v>
      </c>
      <c r="AK310" s="320">
        <v>4.23</v>
      </c>
      <c r="AL310" s="320">
        <v>0.217</v>
      </c>
      <c r="AM310" s="320">
        <v>21.03</v>
      </c>
      <c r="AN310" s="320">
        <v>48.86</v>
      </c>
      <c r="AO310" s="320">
        <v>75.27</v>
      </c>
      <c r="AP310" s="320">
        <v>15.83</v>
      </c>
    </row>
    <row r="311">
      <c r="A311" s="319" t="s">
        <v>256</v>
      </c>
      <c r="B311" s="328">
        <v>46101.0</v>
      </c>
      <c r="C311" s="319" t="s">
        <v>216</v>
      </c>
      <c r="D311" s="320">
        <v>14225.0</v>
      </c>
      <c r="E311" s="320">
        <v>13.83</v>
      </c>
      <c r="F311" s="320">
        <v>0.0</v>
      </c>
      <c r="G311" s="320">
        <v>0.0</v>
      </c>
      <c r="H311" s="320">
        <v>0.0</v>
      </c>
      <c r="I311" s="329"/>
      <c r="J311" s="320">
        <v>82.11</v>
      </c>
      <c r="K311" s="320">
        <v>41.72</v>
      </c>
      <c r="L311" s="320">
        <v>26.9</v>
      </c>
      <c r="M311" s="320">
        <v>0.6446</v>
      </c>
      <c r="N311" s="320">
        <v>0.5403</v>
      </c>
      <c r="O311" s="320">
        <v>0.3699</v>
      </c>
      <c r="P311" s="320">
        <v>1.5512</v>
      </c>
      <c r="Q311" s="320">
        <v>156.0</v>
      </c>
      <c r="R311" s="320">
        <v>98.94</v>
      </c>
      <c r="S311" s="320">
        <v>57.06</v>
      </c>
      <c r="T311" s="320">
        <v>0.0</v>
      </c>
      <c r="U311" s="320">
        <v>156.0</v>
      </c>
      <c r="V311" s="320">
        <v>165.0</v>
      </c>
      <c r="W311" s="320">
        <v>3.9545</v>
      </c>
      <c r="X311" s="320">
        <v>0.0</v>
      </c>
      <c r="Y311" s="320">
        <v>148.0</v>
      </c>
      <c r="Z311" s="320">
        <v>944.0</v>
      </c>
      <c r="AA311" s="320">
        <v>6434.0</v>
      </c>
      <c r="AB311" s="320">
        <v>55.5995</v>
      </c>
      <c r="AC311" s="320">
        <v>0.738</v>
      </c>
      <c r="AD311" s="320">
        <v>17.63</v>
      </c>
      <c r="AE311" s="320">
        <v>8.0</v>
      </c>
      <c r="AF311" s="320">
        <v>14.0</v>
      </c>
      <c r="AG311" s="320">
        <v>24.0</v>
      </c>
      <c r="AH311" s="320">
        <v>36.0</v>
      </c>
      <c r="AI311" s="320">
        <v>61.2</v>
      </c>
      <c r="AJ311" s="320">
        <v>22.04</v>
      </c>
      <c r="AK311" s="320">
        <v>6.14</v>
      </c>
      <c r="AL311" s="320">
        <v>0.1986</v>
      </c>
      <c r="AM311" s="320">
        <v>21.31</v>
      </c>
      <c r="AN311" s="320">
        <v>77.63</v>
      </c>
      <c r="AO311" s="320">
        <v>78.1</v>
      </c>
      <c r="AP311" s="320">
        <v>16.64</v>
      </c>
    </row>
    <row r="312">
      <c r="A312" s="319" t="s">
        <v>256</v>
      </c>
      <c r="B312" s="328">
        <v>46101.0</v>
      </c>
      <c r="C312" s="319" t="s">
        <v>217</v>
      </c>
      <c r="D312" s="320">
        <v>5587.0</v>
      </c>
      <c r="E312" s="320">
        <v>5.43</v>
      </c>
      <c r="F312" s="320">
        <v>0.0</v>
      </c>
      <c r="G312" s="320">
        <v>0.0</v>
      </c>
      <c r="H312" s="320">
        <v>0.0</v>
      </c>
      <c r="I312" s="329"/>
      <c r="J312" s="320">
        <v>131.31</v>
      </c>
      <c r="K312" s="320">
        <v>70.64</v>
      </c>
      <c r="L312" s="320">
        <v>54.65</v>
      </c>
      <c r="M312" s="320">
        <v>0.7736</v>
      </c>
      <c r="N312" s="320">
        <v>0.4062</v>
      </c>
      <c r="O312" s="320">
        <v>0.2878</v>
      </c>
      <c r="P312" s="320">
        <v>1.2926</v>
      </c>
      <c r="Q312" s="320">
        <v>258.69</v>
      </c>
      <c r="R312" s="320">
        <v>143.02</v>
      </c>
      <c r="S312" s="320">
        <v>115.66</v>
      </c>
      <c r="T312" s="320">
        <v>0.0</v>
      </c>
      <c r="U312" s="320">
        <v>258.69</v>
      </c>
      <c r="V312" s="320">
        <v>304.09</v>
      </c>
      <c r="W312" s="320">
        <v>4.305</v>
      </c>
      <c r="X312" s="320">
        <v>0.0</v>
      </c>
      <c r="Y312" s="320">
        <v>229.0</v>
      </c>
      <c r="Z312" s="320">
        <v>1885.0</v>
      </c>
      <c r="AA312" s="320">
        <v>8304.0</v>
      </c>
      <c r="AB312" s="320">
        <v>59.4503</v>
      </c>
      <c r="AC312" s="320">
        <v>0.8282</v>
      </c>
      <c r="AD312" s="320">
        <v>36.38</v>
      </c>
      <c r="AE312" s="320">
        <v>15.0</v>
      </c>
      <c r="AF312" s="320">
        <v>28.0</v>
      </c>
      <c r="AG312" s="320">
        <v>49.0</v>
      </c>
      <c r="AH312" s="320">
        <v>76.0</v>
      </c>
      <c r="AI312" s="320">
        <v>50.6</v>
      </c>
      <c r="AJ312" s="320">
        <v>18.15</v>
      </c>
      <c r="AK312" s="320">
        <v>4.51</v>
      </c>
      <c r="AL312" s="320">
        <v>0.1541</v>
      </c>
      <c r="AM312" s="320">
        <v>22.25</v>
      </c>
      <c r="AN312" s="320">
        <v>120.78</v>
      </c>
      <c r="AO312" s="320">
        <v>82.69</v>
      </c>
      <c r="AP312" s="320">
        <v>18.4</v>
      </c>
    </row>
    <row r="313">
      <c r="A313" s="319" t="s">
        <v>256</v>
      </c>
      <c r="B313" s="328">
        <v>46101.0</v>
      </c>
      <c r="C313" s="319" t="s">
        <v>218</v>
      </c>
      <c r="D313" s="320">
        <v>649.0</v>
      </c>
      <c r="E313" s="320">
        <v>0.63</v>
      </c>
      <c r="F313" s="320">
        <v>0.0</v>
      </c>
      <c r="G313" s="320">
        <v>0.0</v>
      </c>
      <c r="H313" s="320">
        <v>0.0</v>
      </c>
      <c r="I313" s="329"/>
      <c r="J313" s="320">
        <v>244.91</v>
      </c>
      <c r="K313" s="320">
        <v>142.06</v>
      </c>
      <c r="L313" s="320">
        <v>122.32</v>
      </c>
      <c r="M313" s="320">
        <v>0.861</v>
      </c>
      <c r="N313" s="320">
        <v>0.2935</v>
      </c>
      <c r="O313" s="320">
        <v>0.2184</v>
      </c>
      <c r="P313" s="320">
        <v>1.1614</v>
      </c>
      <c r="Q313" s="320">
        <v>506.95</v>
      </c>
      <c r="R313" s="320">
        <v>248.35</v>
      </c>
      <c r="S313" s="320">
        <v>258.6</v>
      </c>
      <c r="T313" s="320">
        <v>0.08</v>
      </c>
      <c r="U313" s="320">
        <v>506.87</v>
      </c>
      <c r="V313" s="320">
        <v>736.21</v>
      </c>
      <c r="W313" s="320">
        <v>5.1823</v>
      </c>
      <c r="X313" s="320">
        <v>0.02</v>
      </c>
      <c r="Y313" s="320">
        <v>1002.0</v>
      </c>
      <c r="Z313" s="320">
        <v>4606.0</v>
      </c>
      <c r="AA313" s="320">
        <v>12798.0</v>
      </c>
      <c r="AB313" s="320">
        <v>63.1838</v>
      </c>
      <c r="AC313" s="320">
        <v>0.9029</v>
      </c>
      <c r="AD313" s="320">
        <v>83.71</v>
      </c>
      <c r="AE313" s="320">
        <v>34.0</v>
      </c>
      <c r="AF313" s="320">
        <v>68.0</v>
      </c>
      <c r="AG313" s="320">
        <v>118.0</v>
      </c>
      <c r="AH313" s="320">
        <v>175.0</v>
      </c>
      <c r="AI313" s="320">
        <v>43.76</v>
      </c>
      <c r="AJ313" s="320">
        <v>10.32</v>
      </c>
      <c r="AK313" s="320">
        <v>1.08</v>
      </c>
      <c r="AL313" s="320">
        <v>0.1063</v>
      </c>
      <c r="AM313" s="320">
        <v>25.79</v>
      </c>
      <c r="AN313" s="320">
        <v>222.56</v>
      </c>
      <c r="AO313" s="320">
        <v>86.35</v>
      </c>
      <c r="AP313" s="320">
        <v>22.27</v>
      </c>
    </row>
    <row r="314">
      <c r="A314" s="319" t="s">
        <v>256</v>
      </c>
      <c r="B314" s="328">
        <v>46102.0</v>
      </c>
      <c r="C314" s="319" t="s">
        <v>257</v>
      </c>
      <c r="D314" s="320">
        <v>19611.0</v>
      </c>
      <c r="E314" s="320">
        <v>19.29</v>
      </c>
      <c r="F314" s="320">
        <v>0.0</v>
      </c>
      <c r="G314" s="320">
        <v>0.0</v>
      </c>
      <c r="H314" s="320">
        <v>0.0</v>
      </c>
      <c r="I314" s="329"/>
      <c r="J314" s="320">
        <v>5.89</v>
      </c>
      <c r="K314" s="320">
        <v>2.44</v>
      </c>
      <c r="L314" s="320">
        <v>0.01</v>
      </c>
      <c r="M314" s="320">
        <v>0.006</v>
      </c>
      <c r="N314" s="320">
        <v>0.9954</v>
      </c>
      <c r="O314" s="320">
        <v>0.9421</v>
      </c>
      <c r="P314" s="320">
        <v>165.7128</v>
      </c>
      <c r="Q314" s="320">
        <v>25.73</v>
      </c>
      <c r="R314" s="320">
        <v>25.61</v>
      </c>
      <c r="S314" s="320">
        <v>0.12</v>
      </c>
      <c r="T314" s="320">
        <v>0.0</v>
      </c>
      <c r="U314" s="320">
        <v>25.73</v>
      </c>
      <c r="V314" s="320">
        <v>2.34</v>
      </c>
      <c r="W314" s="320">
        <v>0.9563</v>
      </c>
      <c r="X314" s="320">
        <v>0.0</v>
      </c>
      <c r="Y314" s="320">
        <v>342.0</v>
      </c>
      <c r="Z314" s="320">
        <v>3577.0</v>
      </c>
      <c r="AA314" s="320">
        <v>14570.0</v>
      </c>
      <c r="AB314" s="320">
        <v>48.9798</v>
      </c>
      <c r="AC314" s="320">
        <v>0.5402</v>
      </c>
      <c r="AD314" s="329"/>
      <c r="AE314" s="329"/>
      <c r="AF314" s="329"/>
      <c r="AG314" s="329"/>
      <c r="AH314" s="329"/>
      <c r="AI314" s="320">
        <v>0.0</v>
      </c>
      <c r="AJ314" s="320">
        <v>0.0</v>
      </c>
      <c r="AK314" s="320">
        <v>0.0</v>
      </c>
      <c r="AL314" s="320">
        <v>0.2934</v>
      </c>
      <c r="AM314" s="320">
        <v>19.42</v>
      </c>
      <c r="AN314" s="320">
        <v>6.19</v>
      </c>
      <c r="AO314" s="329"/>
      <c r="AP314" s="329"/>
    </row>
    <row r="315">
      <c r="A315" s="319" t="s">
        <v>256</v>
      </c>
      <c r="B315" s="328">
        <v>46102.0</v>
      </c>
      <c r="C315" s="319" t="s">
        <v>214</v>
      </c>
      <c r="D315" s="320">
        <v>36775.0</v>
      </c>
      <c r="E315" s="320">
        <v>36.18</v>
      </c>
      <c r="F315" s="320">
        <v>0.0</v>
      </c>
      <c r="G315" s="320">
        <v>0.0</v>
      </c>
      <c r="H315" s="320">
        <v>0.0</v>
      </c>
      <c r="I315" s="329"/>
      <c r="J315" s="320">
        <v>29.78</v>
      </c>
      <c r="K315" s="320">
        <v>13.6</v>
      </c>
      <c r="L315" s="320">
        <v>5.82</v>
      </c>
      <c r="M315" s="320">
        <v>0.4282</v>
      </c>
      <c r="N315" s="320">
        <v>0.7466</v>
      </c>
      <c r="O315" s="320">
        <v>0.553</v>
      </c>
      <c r="P315" s="320">
        <v>2.3355</v>
      </c>
      <c r="Q315" s="320">
        <v>52.65</v>
      </c>
      <c r="R315" s="320">
        <v>40.72</v>
      </c>
      <c r="S315" s="320">
        <v>11.93</v>
      </c>
      <c r="T315" s="320">
        <v>0.01</v>
      </c>
      <c r="U315" s="320">
        <v>52.64</v>
      </c>
      <c r="V315" s="320">
        <v>53.61</v>
      </c>
      <c r="W315" s="320">
        <v>3.9433</v>
      </c>
      <c r="X315" s="320">
        <v>0.02</v>
      </c>
      <c r="Y315" s="320">
        <v>141.0</v>
      </c>
      <c r="Z315" s="320">
        <v>868.0</v>
      </c>
      <c r="AA315" s="320">
        <v>6106.0</v>
      </c>
      <c r="AB315" s="320">
        <v>48.7188</v>
      </c>
      <c r="AC315" s="320">
        <v>0.5348</v>
      </c>
      <c r="AD315" s="320">
        <v>4.08</v>
      </c>
      <c r="AE315" s="320">
        <v>1.0</v>
      </c>
      <c r="AF315" s="320">
        <v>3.0</v>
      </c>
      <c r="AG315" s="320">
        <v>5.0</v>
      </c>
      <c r="AH315" s="320">
        <v>9.0</v>
      </c>
      <c r="AI315" s="320">
        <v>73.11</v>
      </c>
      <c r="AJ315" s="320">
        <v>31.39</v>
      </c>
      <c r="AK315" s="320">
        <v>9.18</v>
      </c>
      <c r="AL315" s="320">
        <v>0.2478</v>
      </c>
      <c r="AM315" s="320">
        <v>22.14</v>
      </c>
      <c r="AN315" s="320">
        <v>18.58</v>
      </c>
      <c r="AO315" s="320">
        <v>65.8</v>
      </c>
      <c r="AP315" s="320">
        <v>14.57</v>
      </c>
    </row>
    <row r="316">
      <c r="A316" s="319" t="s">
        <v>256</v>
      </c>
      <c r="B316" s="328">
        <v>46102.0</v>
      </c>
      <c r="C316" s="319" t="s">
        <v>215</v>
      </c>
      <c r="D316" s="320">
        <v>25012.0</v>
      </c>
      <c r="E316" s="320">
        <v>24.61</v>
      </c>
      <c r="F316" s="320">
        <v>0.0</v>
      </c>
      <c r="G316" s="320">
        <v>0.0</v>
      </c>
      <c r="H316" s="320">
        <v>0.0</v>
      </c>
      <c r="I316" s="329"/>
      <c r="J316" s="320">
        <v>53.98</v>
      </c>
      <c r="K316" s="320">
        <v>25.59</v>
      </c>
      <c r="L316" s="320">
        <v>13.93</v>
      </c>
      <c r="M316" s="320">
        <v>0.5442</v>
      </c>
      <c r="N316" s="320">
        <v>0.6496</v>
      </c>
      <c r="O316" s="320">
        <v>0.4566</v>
      </c>
      <c r="P316" s="320">
        <v>1.8375</v>
      </c>
      <c r="Q316" s="320">
        <v>95.33</v>
      </c>
      <c r="R316" s="320">
        <v>65.99</v>
      </c>
      <c r="S316" s="320">
        <v>29.34</v>
      </c>
      <c r="T316" s="320">
        <v>0.01</v>
      </c>
      <c r="U316" s="320">
        <v>95.32</v>
      </c>
      <c r="V316" s="320">
        <v>97.71</v>
      </c>
      <c r="W316" s="320">
        <v>3.8175</v>
      </c>
      <c r="X316" s="320">
        <v>0.01</v>
      </c>
      <c r="Y316" s="320">
        <v>126.0</v>
      </c>
      <c r="Z316" s="320">
        <v>696.0</v>
      </c>
      <c r="AA316" s="320">
        <v>5181.0</v>
      </c>
      <c r="AB316" s="320">
        <v>52.2791</v>
      </c>
      <c r="AC316" s="320">
        <v>0.6394</v>
      </c>
      <c r="AD316" s="320">
        <v>9.45</v>
      </c>
      <c r="AE316" s="320">
        <v>4.0</v>
      </c>
      <c r="AF316" s="320">
        <v>8.0</v>
      </c>
      <c r="AG316" s="320">
        <v>13.0</v>
      </c>
      <c r="AH316" s="320">
        <v>19.0</v>
      </c>
      <c r="AI316" s="320">
        <v>61.44</v>
      </c>
      <c r="AJ316" s="320">
        <v>26.36</v>
      </c>
      <c r="AK316" s="320">
        <v>4.36</v>
      </c>
      <c r="AL316" s="320">
        <v>0.1987</v>
      </c>
      <c r="AM316" s="320">
        <v>22.95</v>
      </c>
      <c r="AN316" s="320">
        <v>43.04</v>
      </c>
      <c r="AO316" s="320">
        <v>74.68</v>
      </c>
      <c r="AP316" s="320">
        <v>17.14</v>
      </c>
    </row>
    <row r="317">
      <c r="A317" s="319" t="s">
        <v>256</v>
      </c>
      <c r="B317" s="328">
        <v>46102.0</v>
      </c>
      <c r="C317" s="319" t="s">
        <v>216</v>
      </c>
      <c r="D317" s="320">
        <v>14020.0</v>
      </c>
      <c r="E317" s="320">
        <v>13.79</v>
      </c>
      <c r="F317" s="320">
        <v>0.0</v>
      </c>
      <c r="G317" s="320">
        <v>0.0</v>
      </c>
      <c r="H317" s="320">
        <v>0.0</v>
      </c>
      <c r="I317" s="329"/>
      <c r="J317" s="320">
        <v>78.24</v>
      </c>
      <c r="K317" s="320">
        <v>39.62</v>
      </c>
      <c r="L317" s="320">
        <v>26.35</v>
      </c>
      <c r="M317" s="320">
        <v>0.665</v>
      </c>
      <c r="N317" s="320">
        <v>0.5263</v>
      </c>
      <c r="O317" s="320">
        <v>0.3666</v>
      </c>
      <c r="P317" s="320">
        <v>1.5037</v>
      </c>
      <c r="Q317" s="320">
        <v>157.78</v>
      </c>
      <c r="R317" s="320">
        <v>102.01</v>
      </c>
      <c r="S317" s="320">
        <v>55.77</v>
      </c>
      <c r="T317" s="320">
        <v>0.15</v>
      </c>
      <c r="U317" s="320">
        <v>157.63</v>
      </c>
      <c r="V317" s="320">
        <v>165.19</v>
      </c>
      <c r="W317" s="320">
        <v>4.1689</v>
      </c>
      <c r="X317" s="320">
        <v>0.1</v>
      </c>
      <c r="Y317" s="320">
        <v>145.0</v>
      </c>
      <c r="Z317" s="320">
        <v>973.0</v>
      </c>
      <c r="AA317" s="320">
        <v>6254.0</v>
      </c>
      <c r="AB317" s="320">
        <v>55.7175</v>
      </c>
      <c r="AC317" s="320">
        <v>0.7388</v>
      </c>
      <c r="AD317" s="320">
        <v>17.65</v>
      </c>
      <c r="AE317" s="320">
        <v>7.0</v>
      </c>
      <c r="AF317" s="320">
        <v>14.0</v>
      </c>
      <c r="AG317" s="320">
        <v>24.0</v>
      </c>
      <c r="AH317" s="320">
        <v>36.0</v>
      </c>
      <c r="AI317" s="320">
        <v>59.61</v>
      </c>
      <c r="AJ317" s="320">
        <v>22.66</v>
      </c>
      <c r="AK317" s="320">
        <v>6.87</v>
      </c>
      <c r="AL317" s="320">
        <v>0.1891</v>
      </c>
      <c r="AM317" s="320">
        <v>22.78</v>
      </c>
      <c r="AN317" s="320">
        <v>79.23</v>
      </c>
      <c r="AO317" s="320">
        <v>77.26</v>
      </c>
      <c r="AP317" s="320">
        <v>17.6</v>
      </c>
    </row>
    <row r="318">
      <c r="A318" s="319" t="s">
        <v>256</v>
      </c>
      <c r="B318" s="328">
        <v>46102.0</v>
      </c>
      <c r="C318" s="319" t="s">
        <v>217</v>
      </c>
      <c r="D318" s="320">
        <v>5587.0</v>
      </c>
      <c r="E318" s="320">
        <v>5.5</v>
      </c>
      <c r="F318" s="320">
        <v>0.0</v>
      </c>
      <c r="G318" s="320">
        <v>0.0</v>
      </c>
      <c r="H318" s="320">
        <v>0.0</v>
      </c>
      <c r="I318" s="329"/>
      <c r="J318" s="320">
        <v>124.65</v>
      </c>
      <c r="K318" s="320">
        <v>67.44</v>
      </c>
      <c r="L318" s="320">
        <v>53.29</v>
      </c>
      <c r="M318" s="320">
        <v>0.7902</v>
      </c>
      <c r="N318" s="320">
        <v>0.3926</v>
      </c>
      <c r="O318" s="320">
        <v>0.2852</v>
      </c>
      <c r="P318" s="320">
        <v>1.2656</v>
      </c>
      <c r="Q318" s="320">
        <v>293.46</v>
      </c>
      <c r="R318" s="320">
        <v>180.92</v>
      </c>
      <c r="S318" s="320">
        <v>112.54</v>
      </c>
      <c r="T318" s="320">
        <v>0.0</v>
      </c>
      <c r="U318" s="320">
        <v>293.46</v>
      </c>
      <c r="V318" s="320">
        <v>308.3</v>
      </c>
      <c r="W318" s="320">
        <v>4.5712</v>
      </c>
      <c r="X318" s="320">
        <v>0.0</v>
      </c>
      <c r="Y318" s="320">
        <v>263.0</v>
      </c>
      <c r="Z318" s="320">
        <v>2035.0</v>
      </c>
      <c r="AA318" s="320">
        <v>8589.0</v>
      </c>
      <c r="AB318" s="320">
        <v>59.3527</v>
      </c>
      <c r="AC318" s="320">
        <v>0.8301</v>
      </c>
      <c r="AD318" s="320">
        <v>36.09</v>
      </c>
      <c r="AE318" s="320">
        <v>14.0</v>
      </c>
      <c r="AF318" s="320">
        <v>28.0</v>
      </c>
      <c r="AG318" s="320">
        <v>50.0</v>
      </c>
      <c r="AH318" s="320">
        <v>76.0</v>
      </c>
      <c r="AI318" s="320">
        <v>50.62</v>
      </c>
      <c r="AJ318" s="320">
        <v>17.65</v>
      </c>
      <c r="AK318" s="320">
        <v>4.3</v>
      </c>
      <c r="AL318" s="320">
        <v>0.1339</v>
      </c>
      <c r="AM318" s="320">
        <v>23.13</v>
      </c>
      <c r="AN318" s="320">
        <v>157.79</v>
      </c>
      <c r="AO318" s="320">
        <v>81.32</v>
      </c>
      <c r="AP318" s="320">
        <v>18.81</v>
      </c>
    </row>
    <row r="319">
      <c r="A319" s="319" t="s">
        <v>256</v>
      </c>
      <c r="B319" s="328">
        <v>46102.0</v>
      </c>
      <c r="C319" s="319" t="s">
        <v>218</v>
      </c>
      <c r="D319" s="320">
        <v>635.0</v>
      </c>
      <c r="E319" s="320">
        <v>0.62</v>
      </c>
      <c r="F319" s="320">
        <v>0.0</v>
      </c>
      <c r="G319" s="320">
        <v>0.0</v>
      </c>
      <c r="H319" s="320">
        <v>0.0</v>
      </c>
      <c r="I319" s="329"/>
      <c r="J319" s="320">
        <v>233.81</v>
      </c>
      <c r="K319" s="320">
        <v>139.93</v>
      </c>
      <c r="L319" s="320">
        <v>119.92</v>
      </c>
      <c r="M319" s="320">
        <v>0.857</v>
      </c>
      <c r="N319" s="320">
        <v>0.2955</v>
      </c>
      <c r="O319" s="320">
        <v>0.2179</v>
      </c>
      <c r="P319" s="320">
        <v>1.1668</v>
      </c>
      <c r="Q319" s="320">
        <v>586.18</v>
      </c>
      <c r="R319" s="320">
        <v>331.12</v>
      </c>
      <c r="S319" s="320">
        <v>255.06</v>
      </c>
      <c r="T319" s="320">
        <v>0.0</v>
      </c>
      <c r="U319" s="320">
        <v>586.18</v>
      </c>
      <c r="V319" s="320">
        <v>610.71</v>
      </c>
      <c r="W319" s="320">
        <v>4.3645</v>
      </c>
      <c r="X319" s="320">
        <v>0.0</v>
      </c>
      <c r="Y319" s="320">
        <v>1002.0</v>
      </c>
      <c r="Z319" s="320">
        <v>4493.0</v>
      </c>
      <c r="AA319" s="320">
        <v>11377.0</v>
      </c>
      <c r="AB319" s="320">
        <v>62.8275</v>
      </c>
      <c r="AC319" s="320">
        <v>0.8899</v>
      </c>
      <c r="AD319" s="320">
        <v>81.81</v>
      </c>
      <c r="AE319" s="320">
        <v>31.0</v>
      </c>
      <c r="AF319" s="320">
        <v>64.0</v>
      </c>
      <c r="AG319" s="320">
        <v>117.0</v>
      </c>
      <c r="AH319" s="320">
        <v>166.0</v>
      </c>
      <c r="AI319" s="320">
        <v>43.46</v>
      </c>
      <c r="AJ319" s="320">
        <v>8.82</v>
      </c>
      <c r="AK319" s="320">
        <v>1.26</v>
      </c>
      <c r="AL319" s="320">
        <v>0.0961</v>
      </c>
      <c r="AM319" s="320">
        <v>23.68</v>
      </c>
      <c r="AN319" s="320">
        <v>307.44</v>
      </c>
      <c r="AO319" s="320">
        <v>85.29</v>
      </c>
      <c r="AP319" s="320">
        <v>20.2</v>
      </c>
    </row>
    <row r="320">
      <c r="A320" s="319" t="s">
        <v>256</v>
      </c>
      <c r="B320" s="328">
        <v>46103.0</v>
      </c>
      <c r="C320" s="319" t="s">
        <v>257</v>
      </c>
      <c r="D320" s="320">
        <v>19751.0</v>
      </c>
      <c r="E320" s="320">
        <v>18.97</v>
      </c>
      <c r="F320" s="320">
        <v>0.0</v>
      </c>
      <c r="G320" s="320">
        <v>0.0</v>
      </c>
      <c r="H320" s="320">
        <v>0.0</v>
      </c>
      <c r="I320" s="329"/>
      <c r="J320" s="320">
        <v>6.12</v>
      </c>
      <c r="K320" s="320">
        <v>2.51</v>
      </c>
      <c r="L320" s="320">
        <v>0.02</v>
      </c>
      <c r="M320" s="320">
        <v>0.0096</v>
      </c>
      <c r="N320" s="320">
        <v>0.9927</v>
      </c>
      <c r="O320" s="320">
        <v>0.9058</v>
      </c>
      <c r="P320" s="320">
        <v>104.3466</v>
      </c>
      <c r="Q320" s="320">
        <v>23.16</v>
      </c>
      <c r="R320" s="320">
        <v>23.07</v>
      </c>
      <c r="S320" s="320">
        <v>0.09</v>
      </c>
      <c r="T320" s="320">
        <v>0.0</v>
      </c>
      <c r="U320" s="320">
        <v>23.16</v>
      </c>
      <c r="V320" s="320">
        <v>2.2</v>
      </c>
      <c r="W320" s="320">
        <v>0.8768</v>
      </c>
      <c r="X320" s="320">
        <v>0.0</v>
      </c>
      <c r="Y320" s="320">
        <v>318.0</v>
      </c>
      <c r="Z320" s="320">
        <v>3774.0</v>
      </c>
      <c r="AA320" s="320">
        <v>14757.0</v>
      </c>
      <c r="AB320" s="320">
        <v>49.1482</v>
      </c>
      <c r="AC320" s="320">
        <v>0.5498</v>
      </c>
      <c r="AD320" s="329"/>
      <c r="AE320" s="329"/>
      <c r="AF320" s="329"/>
      <c r="AG320" s="329"/>
      <c r="AH320" s="329"/>
      <c r="AI320" s="320">
        <v>0.0</v>
      </c>
      <c r="AJ320" s="320">
        <v>0.0</v>
      </c>
      <c r="AK320" s="320">
        <v>0.0</v>
      </c>
      <c r="AL320" s="320">
        <v>0.2875</v>
      </c>
      <c r="AM320" s="320">
        <v>18.68</v>
      </c>
      <c r="AN320" s="320">
        <v>4.39</v>
      </c>
      <c r="AO320" s="329"/>
      <c r="AP320" s="329"/>
    </row>
    <row r="321">
      <c r="A321" s="319" t="s">
        <v>256</v>
      </c>
      <c r="B321" s="328">
        <v>46103.0</v>
      </c>
      <c r="C321" s="319" t="s">
        <v>214</v>
      </c>
      <c r="D321" s="320">
        <v>37930.0</v>
      </c>
      <c r="E321" s="320">
        <v>36.43</v>
      </c>
      <c r="F321" s="320">
        <v>0.0</v>
      </c>
      <c r="G321" s="320">
        <v>0.0</v>
      </c>
      <c r="H321" s="320">
        <v>0.0</v>
      </c>
      <c r="I321" s="329"/>
      <c r="J321" s="320">
        <v>32.02</v>
      </c>
      <c r="K321" s="320">
        <v>14.83</v>
      </c>
      <c r="L321" s="320">
        <v>5.89</v>
      </c>
      <c r="M321" s="320">
        <v>0.397</v>
      </c>
      <c r="N321" s="320">
        <v>0.7671</v>
      </c>
      <c r="O321" s="320">
        <v>0.5635</v>
      </c>
      <c r="P321" s="320">
        <v>2.5192</v>
      </c>
      <c r="Q321" s="320">
        <v>47.43</v>
      </c>
      <c r="R321" s="320">
        <v>35.23</v>
      </c>
      <c r="S321" s="320">
        <v>12.2</v>
      </c>
      <c r="T321" s="320">
        <v>0.13</v>
      </c>
      <c r="U321" s="320">
        <v>47.3</v>
      </c>
      <c r="V321" s="320">
        <v>52.49</v>
      </c>
      <c r="W321" s="320">
        <v>3.5401</v>
      </c>
      <c r="X321" s="320">
        <v>0.27</v>
      </c>
      <c r="Y321" s="320">
        <v>137.0</v>
      </c>
      <c r="Z321" s="320">
        <v>920.0</v>
      </c>
      <c r="AA321" s="320">
        <v>5694.0</v>
      </c>
      <c r="AB321" s="320">
        <v>48.7418</v>
      </c>
      <c r="AC321" s="320">
        <v>0.5381</v>
      </c>
      <c r="AD321" s="320">
        <v>4.06</v>
      </c>
      <c r="AE321" s="320">
        <v>1.0</v>
      </c>
      <c r="AF321" s="320">
        <v>3.0</v>
      </c>
      <c r="AG321" s="320">
        <v>5.0</v>
      </c>
      <c r="AH321" s="320">
        <v>9.0</v>
      </c>
      <c r="AI321" s="320">
        <v>73.91</v>
      </c>
      <c r="AJ321" s="320">
        <v>31.43</v>
      </c>
      <c r="AK321" s="320">
        <v>8.67</v>
      </c>
      <c r="AL321" s="320">
        <v>0.2684</v>
      </c>
      <c r="AM321" s="320">
        <v>20.78</v>
      </c>
      <c r="AN321" s="320">
        <v>14.45</v>
      </c>
      <c r="AO321" s="320">
        <v>65.02</v>
      </c>
      <c r="AP321" s="320">
        <v>13.51</v>
      </c>
    </row>
    <row r="322">
      <c r="A322" s="319" t="s">
        <v>256</v>
      </c>
      <c r="B322" s="328">
        <v>46103.0</v>
      </c>
      <c r="C322" s="319" t="s">
        <v>215</v>
      </c>
      <c r="D322" s="320">
        <v>25748.0</v>
      </c>
      <c r="E322" s="320">
        <v>24.73</v>
      </c>
      <c r="F322" s="320">
        <v>0.0</v>
      </c>
      <c r="G322" s="320">
        <v>0.0</v>
      </c>
      <c r="H322" s="320">
        <v>0.0</v>
      </c>
      <c r="I322" s="329"/>
      <c r="J322" s="320">
        <v>58.54</v>
      </c>
      <c r="K322" s="320">
        <v>28.04</v>
      </c>
      <c r="L322" s="320">
        <v>14.3</v>
      </c>
      <c r="M322" s="320">
        <v>0.5099</v>
      </c>
      <c r="N322" s="320">
        <v>0.674</v>
      </c>
      <c r="O322" s="320">
        <v>0.4672</v>
      </c>
      <c r="P322" s="320">
        <v>1.9611</v>
      </c>
      <c r="Q322" s="320">
        <v>80.43</v>
      </c>
      <c r="R322" s="320">
        <v>50.35</v>
      </c>
      <c r="S322" s="320">
        <v>30.08</v>
      </c>
      <c r="T322" s="320">
        <v>0.0</v>
      </c>
      <c r="U322" s="320">
        <v>80.43</v>
      </c>
      <c r="V322" s="320">
        <v>93.83</v>
      </c>
      <c r="W322" s="320">
        <v>3.3465</v>
      </c>
      <c r="X322" s="320">
        <v>0.0</v>
      </c>
      <c r="Y322" s="320">
        <v>111.0</v>
      </c>
      <c r="Z322" s="320">
        <v>635.0</v>
      </c>
      <c r="AA322" s="320">
        <v>4919.0</v>
      </c>
      <c r="AB322" s="320">
        <v>52.3013</v>
      </c>
      <c r="AC322" s="320">
        <v>0.6386</v>
      </c>
      <c r="AD322" s="320">
        <v>9.45</v>
      </c>
      <c r="AE322" s="320">
        <v>4.0</v>
      </c>
      <c r="AF322" s="320">
        <v>8.0</v>
      </c>
      <c r="AG322" s="320">
        <v>13.0</v>
      </c>
      <c r="AH322" s="320">
        <v>19.0</v>
      </c>
      <c r="AI322" s="320">
        <v>61.24</v>
      </c>
      <c r="AJ322" s="320">
        <v>26.3</v>
      </c>
      <c r="AK322" s="320">
        <v>4.37</v>
      </c>
      <c r="AL322" s="320">
        <v>0.222</v>
      </c>
      <c r="AM322" s="320">
        <v>21.55</v>
      </c>
      <c r="AN322" s="320">
        <v>28.8</v>
      </c>
      <c r="AO322" s="320">
        <v>73.88</v>
      </c>
      <c r="AP322" s="320">
        <v>15.92</v>
      </c>
    </row>
    <row r="323">
      <c r="A323" s="319" t="s">
        <v>256</v>
      </c>
      <c r="B323" s="328">
        <v>46103.0</v>
      </c>
      <c r="C323" s="319" t="s">
        <v>216</v>
      </c>
      <c r="D323" s="320">
        <v>14328.0</v>
      </c>
      <c r="E323" s="320">
        <v>13.76</v>
      </c>
      <c r="F323" s="320">
        <v>0.0</v>
      </c>
      <c r="G323" s="320">
        <v>0.0</v>
      </c>
      <c r="H323" s="320">
        <v>0.0</v>
      </c>
      <c r="I323" s="329"/>
      <c r="J323" s="320">
        <v>85.05</v>
      </c>
      <c r="K323" s="320">
        <v>43.41</v>
      </c>
      <c r="L323" s="320">
        <v>27.86</v>
      </c>
      <c r="M323" s="320">
        <v>0.6417</v>
      </c>
      <c r="N323" s="320">
        <v>0.5422</v>
      </c>
      <c r="O323" s="320">
        <v>0.3705</v>
      </c>
      <c r="P323" s="320">
        <v>1.5583</v>
      </c>
      <c r="Q323" s="320">
        <v>127.8</v>
      </c>
      <c r="R323" s="320">
        <v>69.17</v>
      </c>
      <c r="S323" s="320">
        <v>58.64</v>
      </c>
      <c r="T323" s="320">
        <v>0.01</v>
      </c>
      <c r="U323" s="320">
        <v>127.79</v>
      </c>
      <c r="V323" s="320">
        <v>162.58</v>
      </c>
      <c r="W323" s="320">
        <v>3.745</v>
      </c>
      <c r="X323" s="320">
        <v>0.01</v>
      </c>
      <c r="Y323" s="320">
        <v>131.0</v>
      </c>
      <c r="Z323" s="320">
        <v>948.0</v>
      </c>
      <c r="AA323" s="320">
        <v>6085.0</v>
      </c>
      <c r="AB323" s="320">
        <v>55.7247</v>
      </c>
      <c r="AC323" s="320">
        <v>0.7416</v>
      </c>
      <c r="AD323" s="320">
        <v>18.14</v>
      </c>
      <c r="AE323" s="320">
        <v>7.0</v>
      </c>
      <c r="AF323" s="320">
        <v>14.0</v>
      </c>
      <c r="AG323" s="320">
        <v>25.0</v>
      </c>
      <c r="AH323" s="320">
        <v>38.0</v>
      </c>
      <c r="AI323" s="320">
        <v>59.92</v>
      </c>
      <c r="AJ323" s="320">
        <v>23.69</v>
      </c>
      <c r="AK323" s="320">
        <v>7.61</v>
      </c>
      <c r="AL323" s="320">
        <v>0.2091</v>
      </c>
      <c r="AM323" s="320">
        <v>21.48</v>
      </c>
      <c r="AN323" s="320">
        <v>47.69</v>
      </c>
      <c r="AO323" s="320">
        <v>76.32</v>
      </c>
      <c r="AP323" s="320">
        <v>16.39</v>
      </c>
    </row>
    <row r="324">
      <c r="A324" s="319" t="s">
        <v>256</v>
      </c>
      <c r="B324" s="328">
        <v>46103.0</v>
      </c>
      <c r="C324" s="319" t="s">
        <v>217</v>
      </c>
      <c r="D324" s="320">
        <v>5697.0</v>
      </c>
      <c r="E324" s="320">
        <v>5.47</v>
      </c>
      <c r="F324" s="320">
        <v>0.0</v>
      </c>
      <c r="G324" s="320">
        <v>0.0</v>
      </c>
      <c r="H324" s="320">
        <v>0.0</v>
      </c>
      <c r="I324" s="329"/>
      <c r="J324" s="320">
        <v>131.99</v>
      </c>
      <c r="K324" s="320">
        <v>72.01</v>
      </c>
      <c r="L324" s="320">
        <v>55.45</v>
      </c>
      <c r="M324" s="320">
        <v>0.77</v>
      </c>
      <c r="N324" s="320">
        <v>0.4052</v>
      </c>
      <c r="O324" s="320">
        <v>0.2858</v>
      </c>
      <c r="P324" s="320">
        <v>1.2987</v>
      </c>
      <c r="Q324" s="320">
        <v>222.25</v>
      </c>
      <c r="R324" s="320">
        <v>104.97</v>
      </c>
      <c r="S324" s="320">
        <v>117.28</v>
      </c>
      <c r="T324" s="320">
        <v>0.16</v>
      </c>
      <c r="U324" s="320">
        <v>222.09</v>
      </c>
      <c r="V324" s="320">
        <v>297.69</v>
      </c>
      <c r="W324" s="320">
        <v>4.1342</v>
      </c>
      <c r="X324" s="320">
        <v>0.07</v>
      </c>
      <c r="Y324" s="320">
        <v>205.0</v>
      </c>
      <c r="Z324" s="320">
        <v>2084.0</v>
      </c>
      <c r="AA324" s="320">
        <v>8843.0</v>
      </c>
      <c r="AB324" s="320">
        <v>59.5434</v>
      </c>
      <c r="AC324" s="320">
        <v>0.8321</v>
      </c>
      <c r="AD324" s="320">
        <v>36.54</v>
      </c>
      <c r="AE324" s="320">
        <v>14.0</v>
      </c>
      <c r="AF324" s="320">
        <v>28.0</v>
      </c>
      <c r="AG324" s="320">
        <v>50.0</v>
      </c>
      <c r="AH324" s="320">
        <v>78.0</v>
      </c>
      <c r="AI324" s="320">
        <v>50.01</v>
      </c>
      <c r="AJ324" s="320">
        <v>19.12</v>
      </c>
      <c r="AK324" s="320">
        <v>4.44</v>
      </c>
      <c r="AL324" s="320">
        <v>0.1596</v>
      </c>
      <c r="AM324" s="320">
        <v>21.79</v>
      </c>
      <c r="AN324" s="320">
        <v>83.18</v>
      </c>
      <c r="AO324" s="320">
        <v>80.23</v>
      </c>
      <c r="AP324" s="320">
        <v>17.48</v>
      </c>
    </row>
    <row r="325">
      <c r="A325" s="319" t="s">
        <v>256</v>
      </c>
      <c r="B325" s="328">
        <v>46103.0</v>
      </c>
      <c r="C325" s="319" t="s">
        <v>218</v>
      </c>
      <c r="D325" s="320">
        <v>663.0</v>
      </c>
      <c r="E325" s="320">
        <v>0.64</v>
      </c>
      <c r="F325" s="320">
        <v>0.0</v>
      </c>
      <c r="G325" s="320">
        <v>0.0</v>
      </c>
      <c r="H325" s="320">
        <v>0.0</v>
      </c>
      <c r="I325" s="329"/>
      <c r="J325" s="320">
        <v>248.25</v>
      </c>
      <c r="K325" s="320">
        <v>145.33</v>
      </c>
      <c r="L325" s="320">
        <v>124.95</v>
      </c>
      <c r="M325" s="320">
        <v>0.8598</v>
      </c>
      <c r="N325" s="320">
        <v>0.2902</v>
      </c>
      <c r="O325" s="320">
        <v>0.2124</v>
      </c>
      <c r="P325" s="320">
        <v>1.1631</v>
      </c>
      <c r="Q325" s="320">
        <v>427.47</v>
      </c>
      <c r="R325" s="320">
        <v>162.65</v>
      </c>
      <c r="S325" s="320">
        <v>264.82</v>
      </c>
      <c r="T325" s="320">
        <v>0.0</v>
      </c>
      <c r="U325" s="320">
        <v>427.47</v>
      </c>
      <c r="V325" s="320">
        <v>603.54</v>
      </c>
      <c r="W325" s="320">
        <v>4.153</v>
      </c>
      <c r="X325" s="320">
        <v>0.0</v>
      </c>
      <c r="Y325" s="320">
        <v>756.0</v>
      </c>
      <c r="Z325" s="320">
        <v>4104.0</v>
      </c>
      <c r="AA325" s="320">
        <v>11580.0</v>
      </c>
      <c r="AB325" s="320">
        <v>63.0457</v>
      </c>
      <c r="AC325" s="320">
        <v>0.8872</v>
      </c>
      <c r="AD325" s="320">
        <v>85.16</v>
      </c>
      <c r="AE325" s="320">
        <v>31.0</v>
      </c>
      <c r="AF325" s="320">
        <v>69.0</v>
      </c>
      <c r="AG325" s="320">
        <v>122.0</v>
      </c>
      <c r="AH325" s="320">
        <v>183.0</v>
      </c>
      <c r="AI325" s="320">
        <v>44.19</v>
      </c>
      <c r="AJ325" s="320">
        <v>11.76</v>
      </c>
      <c r="AK325" s="320">
        <v>1.21</v>
      </c>
      <c r="AL325" s="320">
        <v>0.0995</v>
      </c>
      <c r="AM325" s="320">
        <v>25.38</v>
      </c>
      <c r="AN325" s="320">
        <v>137.28</v>
      </c>
      <c r="AO325" s="320">
        <v>82.53</v>
      </c>
      <c r="AP325" s="320">
        <v>20.95</v>
      </c>
    </row>
    <row r="326">
      <c r="A326" s="319" t="s">
        <v>256</v>
      </c>
      <c r="B326" s="328">
        <v>46104.0</v>
      </c>
      <c r="C326" s="319" t="s">
        <v>257</v>
      </c>
      <c r="D326" s="320">
        <v>19674.0</v>
      </c>
      <c r="E326" s="320">
        <v>18.07</v>
      </c>
      <c r="F326" s="320">
        <v>0.0</v>
      </c>
      <c r="G326" s="320">
        <v>0.0</v>
      </c>
      <c r="H326" s="320">
        <v>0.0</v>
      </c>
      <c r="I326" s="329"/>
      <c r="J326" s="320">
        <v>5.42</v>
      </c>
      <c r="K326" s="320">
        <v>2.15</v>
      </c>
      <c r="L326" s="320">
        <v>0.09</v>
      </c>
      <c r="M326" s="320">
        <v>0.0438</v>
      </c>
      <c r="N326" s="320">
        <v>0.9656</v>
      </c>
      <c r="O326" s="320">
        <v>0.7063</v>
      </c>
      <c r="P326" s="320">
        <v>22.8439</v>
      </c>
      <c r="Q326" s="320">
        <v>32.34</v>
      </c>
      <c r="R326" s="320">
        <v>32.23</v>
      </c>
      <c r="S326" s="320">
        <v>0.11</v>
      </c>
      <c r="T326" s="320">
        <v>0.0</v>
      </c>
      <c r="U326" s="320">
        <v>32.34</v>
      </c>
      <c r="V326" s="320">
        <v>1.91</v>
      </c>
      <c r="W326" s="320">
        <v>0.8869</v>
      </c>
      <c r="X326" s="320">
        <v>0.0</v>
      </c>
      <c r="Y326" s="320">
        <v>392.0</v>
      </c>
      <c r="Z326" s="320">
        <v>4449.0</v>
      </c>
      <c r="AA326" s="320">
        <v>16074.0</v>
      </c>
      <c r="AB326" s="320">
        <v>49.5357</v>
      </c>
      <c r="AC326" s="320">
        <v>0.5565</v>
      </c>
      <c r="AD326" s="329"/>
      <c r="AE326" s="329"/>
      <c r="AF326" s="329"/>
      <c r="AG326" s="329"/>
      <c r="AH326" s="329"/>
      <c r="AI326" s="320">
        <v>0.0</v>
      </c>
      <c r="AJ326" s="320">
        <v>0.0</v>
      </c>
      <c r="AK326" s="320">
        <v>0.0</v>
      </c>
      <c r="AL326" s="320">
        <v>0.2788</v>
      </c>
      <c r="AM326" s="320">
        <v>16.69</v>
      </c>
      <c r="AN326" s="320">
        <v>15.54</v>
      </c>
      <c r="AO326" s="329"/>
      <c r="AP326" s="329"/>
    </row>
    <row r="327">
      <c r="A327" s="319" t="s">
        <v>256</v>
      </c>
      <c r="B327" s="328">
        <v>46104.0</v>
      </c>
      <c r="C327" s="319" t="s">
        <v>214</v>
      </c>
      <c r="D327" s="320">
        <v>38411.0</v>
      </c>
      <c r="E327" s="320">
        <v>35.27</v>
      </c>
      <c r="F327" s="320">
        <v>0.0</v>
      </c>
      <c r="G327" s="320">
        <v>0.0</v>
      </c>
      <c r="H327" s="320">
        <v>0.0</v>
      </c>
      <c r="I327" s="329"/>
      <c r="J327" s="320">
        <v>31.89</v>
      </c>
      <c r="K327" s="320">
        <v>14.61</v>
      </c>
      <c r="L327" s="320">
        <v>5.86</v>
      </c>
      <c r="M327" s="320">
        <v>0.4011</v>
      </c>
      <c r="N327" s="320">
        <v>0.7704</v>
      </c>
      <c r="O327" s="320">
        <v>0.577</v>
      </c>
      <c r="P327" s="320">
        <v>2.4931</v>
      </c>
      <c r="Q327" s="320">
        <v>71.4</v>
      </c>
      <c r="R327" s="320">
        <v>59.58</v>
      </c>
      <c r="S327" s="320">
        <v>11.82</v>
      </c>
      <c r="T327" s="320">
        <v>0.06</v>
      </c>
      <c r="U327" s="320">
        <v>71.34</v>
      </c>
      <c r="V327" s="320">
        <v>59.55</v>
      </c>
      <c r="W327" s="320">
        <v>4.076</v>
      </c>
      <c r="X327" s="320">
        <v>0.08</v>
      </c>
      <c r="Y327" s="320">
        <v>154.0</v>
      </c>
      <c r="Z327" s="320">
        <v>871.0</v>
      </c>
      <c r="AA327" s="320">
        <v>5933.0</v>
      </c>
      <c r="AB327" s="320">
        <v>48.6833</v>
      </c>
      <c r="AC327" s="320">
        <v>0.5246</v>
      </c>
      <c r="AD327" s="320">
        <v>4.01</v>
      </c>
      <c r="AE327" s="320">
        <v>1.0</v>
      </c>
      <c r="AF327" s="320">
        <v>3.0</v>
      </c>
      <c r="AG327" s="320">
        <v>5.0</v>
      </c>
      <c r="AH327" s="320">
        <v>9.0</v>
      </c>
      <c r="AI327" s="320">
        <v>73.95</v>
      </c>
      <c r="AJ327" s="320">
        <v>30.85</v>
      </c>
      <c r="AK327" s="320">
        <v>8.23</v>
      </c>
      <c r="AL327" s="320">
        <v>0.2365</v>
      </c>
      <c r="AM327" s="320">
        <v>18.38</v>
      </c>
      <c r="AN327" s="320">
        <v>41.2</v>
      </c>
      <c r="AO327" s="320">
        <v>65.76</v>
      </c>
      <c r="AP327" s="320">
        <v>12.09</v>
      </c>
    </row>
    <row r="328">
      <c r="A328" s="319" t="s">
        <v>256</v>
      </c>
      <c r="B328" s="328">
        <v>46104.0</v>
      </c>
      <c r="C328" s="319" t="s">
        <v>215</v>
      </c>
      <c r="D328" s="320">
        <v>27858.0</v>
      </c>
      <c r="E328" s="320">
        <v>25.58</v>
      </c>
      <c r="F328" s="320">
        <v>0.0</v>
      </c>
      <c r="G328" s="320">
        <v>0.0</v>
      </c>
      <c r="H328" s="320">
        <v>0.0</v>
      </c>
      <c r="I328" s="329"/>
      <c r="J328" s="320">
        <v>61.56</v>
      </c>
      <c r="K328" s="320">
        <v>29.12</v>
      </c>
      <c r="L328" s="320">
        <v>15.51</v>
      </c>
      <c r="M328" s="320">
        <v>0.5325</v>
      </c>
      <c r="N328" s="320">
        <v>0.6651</v>
      </c>
      <c r="O328" s="320">
        <v>0.4701</v>
      </c>
      <c r="P328" s="320">
        <v>1.8779</v>
      </c>
      <c r="Q328" s="320">
        <v>132.36</v>
      </c>
      <c r="R328" s="320">
        <v>101.7</v>
      </c>
      <c r="S328" s="320">
        <v>30.66</v>
      </c>
      <c r="T328" s="320">
        <v>0.14</v>
      </c>
      <c r="U328" s="320">
        <v>132.22</v>
      </c>
      <c r="V328" s="320">
        <v>116.93</v>
      </c>
      <c r="W328" s="320">
        <v>4.0157</v>
      </c>
      <c r="X328" s="320">
        <v>0.11</v>
      </c>
      <c r="Y328" s="320">
        <v>138.0</v>
      </c>
      <c r="Z328" s="320">
        <v>703.0</v>
      </c>
      <c r="AA328" s="320">
        <v>5700.0</v>
      </c>
      <c r="AB328" s="320">
        <v>52.1267</v>
      </c>
      <c r="AC328" s="320">
        <v>0.5899</v>
      </c>
      <c r="AD328" s="320">
        <v>9.91</v>
      </c>
      <c r="AE328" s="320">
        <v>4.0</v>
      </c>
      <c r="AF328" s="320">
        <v>8.0</v>
      </c>
      <c r="AG328" s="320">
        <v>14.0</v>
      </c>
      <c r="AH328" s="320">
        <v>21.0</v>
      </c>
      <c r="AI328" s="320">
        <v>62.78</v>
      </c>
      <c r="AJ328" s="320">
        <v>28.42</v>
      </c>
      <c r="AK328" s="320">
        <v>5.46</v>
      </c>
      <c r="AL328" s="320">
        <v>0.1788</v>
      </c>
      <c r="AM328" s="320">
        <v>19.6</v>
      </c>
      <c r="AN328" s="320">
        <v>82.1</v>
      </c>
      <c r="AO328" s="320">
        <v>72.55</v>
      </c>
      <c r="AP328" s="320">
        <v>14.22</v>
      </c>
    </row>
    <row r="329">
      <c r="A329" s="319" t="s">
        <v>256</v>
      </c>
      <c r="B329" s="328">
        <v>46104.0</v>
      </c>
      <c r="C329" s="319" t="s">
        <v>216</v>
      </c>
      <c r="D329" s="320">
        <v>15963.0</v>
      </c>
      <c r="E329" s="320">
        <v>14.66</v>
      </c>
      <c r="F329" s="320">
        <v>0.0</v>
      </c>
      <c r="G329" s="320">
        <v>0.0</v>
      </c>
      <c r="H329" s="320">
        <v>0.0</v>
      </c>
      <c r="I329" s="329"/>
      <c r="J329" s="320">
        <v>90.17</v>
      </c>
      <c r="K329" s="320">
        <v>45.3</v>
      </c>
      <c r="L329" s="320">
        <v>30.81</v>
      </c>
      <c r="M329" s="320">
        <v>0.6801</v>
      </c>
      <c r="N329" s="320">
        <v>0.5189</v>
      </c>
      <c r="O329" s="320">
        <v>0.3637</v>
      </c>
      <c r="P329" s="320">
        <v>1.4704</v>
      </c>
      <c r="Q329" s="320">
        <v>218.25</v>
      </c>
      <c r="R329" s="320">
        <v>157.91</v>
      </c>
      <c r="S329" s="320">
        <v>60.34</v>
      </c>
      <c r="T329" s="320">
        <v>0.15</v>
      </c>
      <c r="U329" s="320">
        <v>218.1</v>
      </c>
      <c r="V329" s="320">
        <v>199.92</v>
      </c>
      <c r="W329" s="320">
        <v>4.4131</v>
      </c>
      <c r="X329" s="320">
        <v>0.07</v>
      </c>
      <c r="Y329" s="320">
        <v>171.0</v>
      </c>
      <c r="Z329" s="320">
        <v>1045.0</v>
      </c>
      <c r="AA329" s="320">
        <v>7308.0</v>
      </c>
      <c r="AB329" s="320">
        <v>55.399</v>
      </c>
      <c r="AC329" s="320">
        <v>0.6615</v>
      </c>
      <c r="AD329" s="320">
        <v>19.33</v>
      </c>
      <c r="AE329" s="320">
        <v>8.0</v>
      </c>
      <c r="AF329" s="320">
        <v>16.0</v>
      </c>
      <c r="AG329" s="320">
        <v>27.0</v>
      </c>
      <c r="AH329" s="320">
        <v>39.0</v>
      </c>
      <c r="AI329" s="320">
        <v>65.53</v>
      </c>
      <c r="AJ329" s="320">
        <v>27.33</v>
      </c>
      <c r="AK329" s="320">
        <v>6.58</v>
      </c>
      <c r="AL329" s="320">
        <v>0.1596</v>
      </c>
      <c r="AM329" s="320">
        <v>19.7</v>
      </c>
      <c r="AN329" s="320">
        <v>138.21</v>
      </c>
      <c r="AO329" s="320">
        <v>72.06</v>
      </c>
      <c r="AP329" s="320">
        <v>14.2</v>
      </c>
    </row>
    <row r="330">
      <c r="A330" s="319" t="s">
        <v>256</v>
      </c>
      <c r="B330" s="328">
        <v>46104.0</v>
      </c>
      <c r="C330" s="319" t="s">
        <v>217</v>
      </c>
      <c r="D330" s="320">
        <v>6354.0</v>
      </c>
      <c r="E330" s="320">
        <v>5.83</v>
      </c>
      <c r="F330" s="320">
        <v>0.0</v>
      </c>
      <c r="G330" s="320">
        <v>0.0</v>
      </c>
      <c r="H330" s="320">
        <v>0.0</v>
      </c>
      <c r="I330" s="329"/>
      <c r="J330" s="320">
        <v>146.05</v>
      </c>
      <c r="K330" s="320">
        <v>79.27</v>
      </c>
      <c r="L330" s="320">
        <v>63.36</v>
      </c>
      <c r="M330" s="320">
        <v>0.7993</v>
      </c>
      <c r="N330" s="320">
        <v>0.3855</v>
      </c>
      <c r="O330" s="320">
        <v>0.2798</v>
      </c>
      <c r="P330" s="320">
        <v>1.2511</v>
      </c>
      <c r="Q330" s="320">
        <v>379.4</v>
      </c>
      <c r="R330" s="320">
        <v>259.04</v>
      </c>
      <c r="S330" s="320">
        <v>120.36</v>
      </c>
      <c r="T330" s="320">
        <v>0.0</v>
      </c>
      <c r="U330" s="320">
        <v>379.4</v>
      </c>
      <c r="V330" s="320">
        <v>371.34</v>
      </c>
      <c r="W330" s="320">
        <v>4.6843</v>
      </c>
      <c r="X330" s="320">
        <v>0.0</v>
      </c>
      <c r="Y330" s="320">
        <v>296.0</v>
      </c>
      <c r="Z330" s="320">
        <v>2282.0</v>
      </c>
      <c r="AA330" s="320">
        <v>11083.0</v>
      </c>
      <c r="AB330" s="320">
        <v>58.9109</v>
      </c>
      <c r="AC330" s="320">
        <v>0.7293</v>
      </c>
      <c r="AD330" s="320">
        <v>38.79</v>
      </c>
      <c r="AE330" s="320">
        <v>17.0</v>
      </c>
      <c r="AF330" s="320">
        <v>33.0</v>
      </c>
      <c r="AG330" s="320">
        <v>51.0</v>
      </c>
      <c r="AH330" s="320">
        <v>78.0</v>
      </c>
      <c r="AI330" s="320">
        <v>57.15</v>
      </c>
      <c r="AJ330" s="320">
        <v>19.28</v>
      </c>
      <c r="AK330" s="320">
        <v>4.58</v>
      </c>
      <c r="AL330" s="320">
        <v>0.1209</v>
      </c>
      <c r="AM330" s="320">
        <v>21.15</v>
      </c>
      <c r="AN330" s="320">
        <v>237.89</v>
      </c>
      <c r="AO330" s="320">
        <v>74.63</v>
      </c>
      <c r="AP330" s="320">
        <v>15.78</v>
      </c>
    </row>
    <row r="331">
      <c r="A331" s="319" t="s">
        <v>256</v>
      </c>
      <c r="B331" s="328">
        <v>46104.0</v>
      </c>
      <c r="C331" s="319" t="s">
        <v>218</v>
      </c>
      <c r="D331" s="320">
        <v>639.0</v>
      </c>
      <c r="E331" s="320">
        <v>0.59</v>
      </c>
      <c r="F331" s="320">
        <v>0.0</v>
      </c>
      <c r="G331" s="320">
        <v>0.0</v>
      </c>
      <c r="H331" s="320">
        <v>0.0</v>
      </c>
      <c r="I331" s="329"/>
      <c r="J331" s="320">
        <v>257.64</v>
      </c>
      <c r="K331" s="320">
        <v>151.6</v>
      </c>
      <c r="L331" s="320">
        <v>131.53</v>
      </c>
      <c r="M331" s="320">
        <v>0.8676</v>
      </c>
      <c r="N331" s="320">
        <v>0.286</v>
      </c>
      <c r="O331" s="320">
        <v>0.2144</v>
      </c>
      <c r="P331" s="320">
        <v>1.1525</v>
      </c>
      <c r="Q331" s="320">
        <v>679.09</v>
      </c>
      <c r="R331" s="320">
        <v>400.49</v>
      </c>
      <c r="S331" s="320">
        <v>278.6</v>
      </c>
      <c r="T331" s="320">
        <v>0.0</v>
      </c>
      <c r="U331" s="320">
        <v>679.09</v>
      </c>
      <c r="V331" s="320">
        <v>691.24</v>
      </c>
      <c r="W331" s="320">
        <v>4.5597</v>
      </c>
      <c r="X331" s="320">
        <v>0.0</v>
      </c>
      <c r="Y331" s="320">
        <v>825.0</v>
      </c>
      <c r="Z331" s="320">
        <v>4555.0</v>
      </c>
      <c r="AA331" s="320">
        <v>11730.0</v>
      </c>
      <c r="AB331" s="320">
        <v>62.8886</v>
      </c>
      <c r="AC331" s="320">
        <v>0.8874</v>
      </c>
      <c r="AD331" s="320">
        <v>89.71</v>
      </c>
      <c r="AE331" s="320">
        <v>40.0</v>
      </c>
      <c r="AF331" s="320">
        <v>78.0</v>
      </c>
      <c r="AG331" s="320">
        <v>127.0</v>
      </c>
      <c r="AH331" s="320">
        <v>176.0</v>
      </c>
      <c r="AI331" s="320">
        <v>48.67</v>
      </c>
      <c r="AJ331" s="320">
        <v>10.17</v>
      </c>
      <c r="AK331" s="320">
        <v>1.1</v>
      </c>
      <c r="AL331" s="320">
        <v>0.0908</v>
      </c>
      <c r="AM331" s="320">
        <v>21.46</v>
      </c>
      <c r="AN331" s="320">
        <v>379.04</v>
      </c>
      <c r="AO331" s="320">
        <v>84.91</v>
      </c>
      <c r="AP331" s="320">
        <v>18.22</v>
      </c>
    </row>
    <row r="332">
      <c r="A332" s="319" t="s">
        <v>256</v>
      </c>
      <c r="B332" s="328">
        <v>46105.0</v>
      </c>
      <c r="C332" s="319" t="s">
        <v>257</v>
      </c>
      <c r="D332" s="320">
        <v>20183.0</v>
      </c>
      <c r="E332" s="320">
        <v>18.61</v>
      </c>
      <c r="F332" s="320">
        <v>0.0</v>
      </c>
      <c r="G332" s="320">
        <v>0.0</v>
      </c>
      <c r="H332" s="320">
        <v>0.0</v>
      </c>
      <c r="I332" s="329"/>
      <c r="J332" s="320">
        <v>5.74</v>
      </c>
      <c r="K332" s="320">
        <v>2.37</v>
      </c>
      <c r="L332" s="320">
        <v>0.08</v>
      </c>
      <c r="M332" s="320">
        <v>0.0334</v>
      </c>
      <c r="N332" s="320">
        <v>0.9719</v>
      </c>
      <c r="O332" s="320">
        <v>0.7165</v>
      </c>
      <c r="P332" s="320">
        <v>29.9055</v>
      </c>
      <c r="Q332" s="320">
        <v>25.67</v>
      </c>
      <c r="R332" s="320">
        <v>25.42</v>
      </c>
      <c r="S332" s="320">
        <v>0.25</v>
      </c>
      <c r="T332" s="320">
        <v>0.0</v>
      </c>
      <c r="U332" s="320">
        <v>25.67</v>
      </c>
      <c r="V332" s="320">
        <v>2.34</v>
      </c>
      <c r="W332" s="320">
        <v>0.9866</v>
      </c>
      <c r="X332" s="320">
        <v>0.0</v>
      </c>
      <c r="Y332" s="320">
        <v>355.0</v>
      </c>
      <c r="Z332" s="320">
        <v>3993.0</v>
      </c>
      <c r="AA332" s="320">
        <v>14935.0</v>
      </c>
      <c r="AB332" s="320">
        <v>49.1994</v>
      </c>
      <c r="AC332" s="320">
        <v>0.5474</v>
      </c>
      <c r="AD332" s="329"/>
      <c r="AE332" s="329"/>
      <c r="AF332" s="329"/>
      <c r="AG332" s="329"/>
      <c r="AH332" s="329"/>
      <c r="AI332" s="320">
        <v>0.0</v>
      </c>
      <c r="AJ332" s="320">
        <v>0.0</v>
      </c>
      <c r="AK332" s="320">
        <v>0.0</v>
      </c>
      <c r="AL332" s="320">
        <v>0.2793</v>
      </c>
      <c r="AM332" s="320">
        <v>15.72</v>
      </c>
      <c r="AN332" s="320">
        <v>9.7</v>
      </c>
      <c r="AO332" s="329"/>
      <c r="AP332" s="329"/>
    </row>
    <row r="333">
      <c r="A333" s="319" t="s">
        <v>256</v>
      </c>
      <c r="B333" s="328">
        <v>46105.0</v>
      </c>
      <c r="C333" s="319" t="s">
        <v>214</v>
      </c>
      <c r="D333" s="320">
        <v>38476.0</v>
      </c>
      <c r="E333" s="320">
        <v>35.48</v>
      </c>
      <c r="F333" s="320">
        <v>0.0</v>
      </c>
      <c r="G333" s="320">
        <v>0.0</v>
      </c>
      <c r="H333" s="320">
        <v>0.0</v>
      </c>
      <c r="I333" s="329"/>
      <c r="J333" s="320">
        <v>28.77</v>
      </c>
      <c r="K333" s="320">
        <v>12.99</v>
      </c>
      <c r="L333" s="320">
        <v>5.56</v>
      </c>
      <c r="M333" s="320">
        <v>0.4284</v>
      </c>
      <c r="N333" s="320">
        <v>0.7528</v>
      </c>
      <c r="O333" s="320">
        <v>0.5682</v>
      </c>
      <c r="P333" s="320">
        <v>2.3345</v>
      </c>
      <c r="Q333" s="320">
        <v>53.46</v>
      </c>
      <c r="R333" s="320">
        <v>41.8</v>
      </c>
      <c r="S333" s="320">
        <v>11.67</v>
      </c>
      <c r="T333" s="320">
        <v>0.01</v>
      </c>
      <c r="U333" s="320">
        <v>53.45</v>
      </c>
      <c r="V333" s="320">
        <v>53.96</v>
      </c>
      <c r="W333" s="320">
        <v>4.1545</v>
      </c>
      <c r="X333" s="320">
        <v>0.03</v>
      </c>
      <c r="Y333" s="320">
        <v>149.0</v>
      </c>
      <c r="Z333" s="320">
        <v>876.0</v>
      </c>
      <c r="AA333" s="320">
        <v>6041.0</v>
      </c>
      <c r="AB333" s="320">
        <v>48.8746</v>
      </c>
      <c r="AC333" s="320">
        <v>0.5278</v>
      </c>
      <c r="AD333" s="320">
        <v>4.03</v>
      </c>
      <c r="AE333" s="320">
        <v>1.0</v>
      </c>
      <c r="AF333" s="320">
        <v>3.0</v>
      </c>
      <c r="AG333" s="320">
        <v>5.0</v>
      </c>
      <c r="AH333" s="320">
        <v>9.0</v>
      </c>
      <c r="AI333" s="320">
        <v>72.85</v>
      </c>
      <c r="AJ333" s="320">
        <v>30.83</v>
      </c>
      <c r="AK333" s="320">
        <v>9.08</v>
      </c>
      <c r="AL333" s="320">
        <v>0.2362</v>
      </c>
      <c r="AM333" s="320">
        <v>17.87</v>
      </c>
      <c r="AN333" s="320">
        <v>23.92</v>
      </c>
      <c r="AO333" s="320">
        <v>65.65</v>
      </c>
      <c r="AP333" s="320">
        <v>11.73</v>
      </c>
    </row>
    <row r="334">
      <c r="A334" s="319" t="s">
        <v>256</v>
      </c>
      <c r="B334" s="328">
        <v>46105.0</v>
      </c>
      <c r="C334" s="319" t="s">
        <v>215</v>
      </c>
      <c r="D334" s="320">
        <v>27754.0</v>
      </c>
      <c r="E334" s="320">
        <v>25.59</v>
      </c>
      <c r="F334" s="320">
        <v>0.0</v>
      </c>
      <c r="G334" s="320">
        <v>0.0</v>
      </c>
      <c r="H334" s="320">
        <v>0.0</v>
      </c>
      <c r="I334" s="329"/>
      <c r="J334" s="320">
        <v>54.67</v>
      </c>
      <c r="K334" s="320">
        <v>25.85</v>
      </c>
      <c r="L334" s="320">
        <v>14.78</v>
      </c>
      <c r="M334" s="320">
        <v>0.572</v>
      </c>
      <c r="N334" s="320">
        <v>0.6309</v>
      </c>
      <c r="O334" s="320">
        <v>0.4447</v>
      </c>
      <c r="P334" s="320">
        <v>1.7484</v>
      </c>
      <c r="Q334" s="320">
        <v>99.95</v>
      </c>
      <c r="R334" s="320">
        <v>70.26</v>
      </c>
      <c r="S334" s="320">
        <v>29.69</v>
      </c>
      <c r="T334" s="320">
        <v>0.26</v>
      </c>
      <c r="U334" s="320">
        <v>99.69</v>
      </c>
      <c r="V334" s="320">
        <v>101.73</v>
      </c>
      <c r="W334" s="320">
        <v>3.9355</v>
      </c>
      <c r="X334" s="320">
        <v>0.26</v>
      </c>
      <c r="Y334" s="320">
        <v>131.0</v>
      </c>
      <c r="Z334" s="320">
        <v>749.0</v>
      </c>
      <c r="AA334" s="320">
        <v>5792.0</v>
      </c>
      <c r="AB334" s="320">
        <v>52.3365</v>
      </c>
      <c r="AC334" s="320">
        <v>0.6028</v>
      </c>
      <c r="AD334" s="320">
        <v>9.67</v>
      </c>
      <c r="AE334" s="320">
        <v>4.0</v>
      </c>
      <c r="AF334" s="320">
        <v>8.0</v>
      </c>
      <c r="AG334" s="320">
        <v>13.0</v>
      </c>
      <c r="AH334" s="320">
        <v>20.0</v>
      </c>
      <c r="AI334" s="320">
        <v>61.99</v>
      </c>
      <c r="AJ334" s="320">
        <v>27.54</v>
      </c>
      <c r="AK334" s="320">
        <v>4.73</v>
      </c>
      <c r="AL334" s="320">
        <v>0.1794</v>
      </c>
      <c r="AM334" s="320">
        <v>18.69</v>
      </c>
      <c r="AN334" s="320">
        <v>51.58</v>
      </c>
      <c r="AO334" s="320">
        <v>73.13</v>
      </c>
      <c r="AP334" s="320">
        <v>13.67</v>
      </c>
    </row>
    <row r="335">
      <c r="A335" s="319" t="s">
        <v>256</v>
      </c>
      <c r="B335" s="328">
        <v>46105.0</v>
      </c>
      <c r="C335" s="319" t="s">
        <v>216</v>
      </c>
      <c r="D335" s="320">
        <v>15700.0</v>
      </c>
      <c r="E335" s="320">
        <v>14.48</v>
      </c>
      <c r="F335" s="320">
        <v>0.0</v>
      </c>
      <c r="G335" s="320">
        <v>0.0</v>
      </c>
      <c r="H335" s="320">
        <v>0.0</v>
      </c>
      <c r="I335" s="329"/>
      <c r="J335" s="320">
        <v>81.04</v>
      </c>
      <c r="K335" s="320">
        <v>41.66</v>
      </c>
      <c r="L335" s="320">
        <v>29.48</v>
      </c>
      <c r="M335" s="320">
        <v>0.7075</v>
      </c>
      <c r="N335" s="320">
        <v>0.4876</v>
      </c>
      <c r="O335" s="320">
        <v>0.3415</v>
      </c>
      <c r="P335" s="320">
        <v>1.4135</v>
      </c>
      <c r="Q335" s="320">
        <v>174.63</v>
      </c>
      <c r="R335" s="320">
        <v>119.45</v>
      </c>
      <c r="S335" s="320">
        <v>55.18</v>
      </c>
      <c r="T335" s="320">
        <v>0.0</v>
      </c>
      <c r="U335" s="320">
        <v>174.63</v>
      </c>
      <c r="V335" s="320">
        <v>175.99</v>
      </c>
      <c r="W335" s="320">
        <v>4.224</v>
      </c>
      <c r="X335" s="320">
        <v>0.0</v>
      </c>
      <c r="Y335" s="320">
        <v>167.0</v>
      </c>
      <c r="Z335" s="320">
        <v>1089.0</v>
      </c>
      <c r="AA335" s="320">
        <v>7218.0</v>
      </c>
      <c r="AB335" s="320">
        <v>55.5662</v>
      </c>
      <c r="AC335" s="320">
        <v>0.6874</v>
      </c>
      <c r="AD335" s="320">
        <v>17.75</v>
      </c>
      <c r="AE335" s="320">
        <v>7.0</v>
      </c>
      <c r="AF335" s="320">
        <v>14.0</v>
      </c>
      <c r="AG335" s="320">
        <v>25.0</v>
      </c>
      <c r="AH335" s="320">
        <v>37.0</v>
      </c>
      <c r="AI335" s="320">
        <v>61.17</v>
      </c>
      <c r="AJ335" s="320">
        <v>23.46</v>
      </c>
      <c r="AK335" s="320">
        <v>6.61</v>
      </c>
      <c r="AL335" s="320">
        <v>0.1685</v>
      </c>
      <c r="AM335" s="320">
        <v>19.12</v>
      </c>
      <c r="AN335" s="320">
        <v>100.34</v>
      </c>
      <c r="AO335" s="320">
        <v>73.05</v>
      </c>
      <c r="AP335" s="320">
        <v>13.97</v>
      </c>
    </row>
    <row r="336">
      <c r="A336" s="319" t="s">
        <v>256</v>
      </c>
      <c r="B336" s="328">
        <v>46105.0</v>
      </c>
      <c r="C336" s="319" t="s">
        <v>217</v>
      </c>
      <c r="D336" s="320">
        <v>5663.0</v>
      </c>
      <c r="E336" s="320">
        <v>5.22</v>
      </c>
      <c r="F336" s="320">
        <v>0.0</v>
      </c>
      <c r="G336" s="320">
        <v>0.0</v>
      </c>
      <c r="H336" s="320">
        <v>0.0</v>
      </c>
      <c r="I336" s="329"/>
      <c r="J336" s="320">
        <v>128.62</v>
      </c>
      <c r="K336" s="320">
        <v>70.6</v>
      </c>
      <c r="L336" s="320">
        <v>56.49</v>
      </c>
      <c r="M336" s="320">
        <v>0.8002</v>
      </c>
      <c r="N336" s="320">
        <v>0.3828</v>
      </c>
      <c r="O336" s="320">
        <v>0.2796</v>
      </c>
      <c r="P336" s="320">
        <v>1.2496</v>
      </c>
      <c r="Q336" s="320">
        <v>325.38</v>
      </c>
      <c r="R336" s="320">
        <v>206.86</v>
      </c>
      <c r="S336" s="320">
        <v>118.52</v>
      </c>
      <c r="T336" s="320">
        <v>0.0</v>
      </c>
      <c r="U336" s="320">
        <v>325.38</v>
      </c>
      <c r="V336" s="320">
        <v>335.2</v>
      </c>
      <c r="W336" s="320">
        <v>4.7481</v>
      </c>
      <c r="X336" s="320">
        <v>0.0</v>
      </c>
      <c r="Y336" s="320">
        <v>271.0</v>
      </c>
      <c r="Z336" s="320">
        <v>2101.0</v>
      </c>
      <c r="AA336" s="320">
        <v>9014.0</v>
      </c>
      <c r="AB336" s="320">
        <v>59.5935</v>
      </c>
      <c r="AC336" s="320">
        <v>0.8265</v>
      </c>
      <c r="AD336" s="320">
        <v>38.46</v>
      </c>
      <c r="AE336" s="320">
        <v>16.0</v>
      </c>
      <c r="AF336" s="320">
        <v>30.0</v>
      </c>
      <c r="AG336" s="320">
        <v>52.0</v>
      </c>
      <c r="AH336" s="320">
        <v>81.0</v>
      </c>
      <c r="AI336" s="320">
        <v>54.58</v>
      </c>
      <c r="AJ336" s="320">
        <v>19.83</v>
      </c>
      <c r="AK336" s="320">
        <v>4.89</v>
      </c>
      <c r="AL336" s="320">
        <v>0.1229</v>
      </c>
      <c r="AM336" s="320">
        <v>19.6</v>
      </c>
      <c r="AN336" s="320">
        <v>187.25</v>
      </c>
      <c r="AO336" s="320">
        <v>81.93</v>
      </c>
      <c r="AP336" s="320">
        <v>16.06</v>
      </c>
    </row>
    <row r="337">
      <c r="A337" s="319" t="s">
        <v>256</v>
      </c>
      <c r="B337" s="328">
        <v>46105.0</v>
      </c>
      <c r="C337" s="319" t="s">
        <v>218</v>
      </c>
      <c r="D337" s="320">
        <v>662.0</v>
      </c>
      <c r="E337" s="320">
        <v>0.61</v>
      </c>
      <c r="F337" s="320">
        <v>0.0</v>
      </c>
      <c r="G337" s="320">
        <v>0.0</v>
      </c>
      <c r="H337" s="320">
        <v>0.0</v>
      </c>
      <c r="I337" s="329"/>
      <c r="J337" s="320">
        <v>239.93</v>
      </c>
      <c r="K337" s="320">
        <v>141.05</v>
      </c>
      <c r="L337" s="320">
        <v>125.24</v>
      </c>
      <c r="M337" s="320">
        <v>0.8879</v>
      </c>
      <c r="N337" s="320">
        <v>0.2649</v>
      </c>
      <c r="O337" s="320">
        <v>0.2032</v>
      </c>
      <c r="P337" s="320">
        <v>1.1263</v>
      </c>
      <c r="Q337" s="320">
        <v>621.23</v>
      </c>
      <c r="R337" s="320">
        <v>355.05</v>
      </c>
      <c r="S337" s="320">
        <v>266.18</v>
      </c>
      <c r="T337" s="320">
        <v>0.0</v>
      </c>
      <c r="U337" s="320">
        <v>621.23</v>
      </c>
      <c r="V337" s="320">
        <v>621.22</v>
      </c>
      <c r="W337" s="320">
        <v>4.4042</v>
      </c>
      <c r="X337" s="320">
        <v>0.0</v>
      </c>
      <c r="Y337" s="320">
        <v>905.0</v>
      </c>
      <c r="Z337" s="320">
        <v>4114.0</v>
      </c>
      <c r="AA337" s="320">
        <v>10646.0</v>
      </c>
      <c r="AB337" s="320">
        <v>63.0133</v>
      </c>
      <c r="AC337" s="320">
        <v>0.8983</v>
      </c>
      <c r="AD337" s="320">
        <v>88.62</v>
      </c>
      <c r="AE337" s="320">
        <v>40.0</v>
      </c>
      <c r="AF337" s="320">
        <v>78.0</v>
      </c>
      <c r="AG337" s="320">
        <v>122.0</v>
      </c>
      <c r="AH337" s="320">
        <v>167.0</v>
      </c>
      <c r="AI337" s="320">
        <v>49.4</v>
      </c>
      <c r="AJ337" s="320">
        <v>8.76</v>
      </c>
      <c r="AK337" s="320">
        <v>1.36</v>
      </c>
      <c r="AL337" s="320">
        <v>0.0816</v>
      </c>
      <c r="AM337" s="320">
        <v>19.72</v>
      </c>
      <c r="AN337" s="320">
        <v>335.33</v>
      </c>
      <c r="AO337" s="320">
        <v>84.33</v>
      </c>
      <c r="AP337" s="320">
        <v>16.63</v>
      </c>
    </row>
    <row r="338">
      <c r="A338" s="319" t="s">
        <v>256</v>
      </c>
      <c r="B338" s="328">
        <v>46106.0</v>
      </c>
      <c r="C338" s="319" t="s">
        <v>257</v>
      </c>
      <c r="D338" s="320">
        <v>20381.0</v>
      </c>
      <c r="E338" s="320">
        <v>19.2</v>
      </c>
      <c r="F338" s="320">
        <v>0.0</v>
      </c>
      <c r="G338" s="320">
        <v>0.0</v>
      </c>
      <c r="H338" s="320">
        <v>0.0</v>
      </c>
      <c r="I338" s="329"/>
      <c r="J338" s="320">
        <v>6.1</v>
      </c>
      <c r="K338" s="320">
        <v>2.51</v>
      </c>
      <c r="L338" s="320">
        <v>0.05</v>
      </c>
      <c r="M338" s="320">
        <v>0.0202</v>
      </c>
      <c r="N338" s="320">
        <v>0.984</v>
      </c>
      <c r="O338" s="320">
        <v>0.8133</v>
      </c>
      <c r="P338" s="320">
        <v>49.5818</v>
      </c>
      <c r="Q338" s="320">
        <v>21.52</v>
      </c>
      <c r="R338" s="320">
        <v>21.41</v>
      </c>
      <c r="S338" s="320">
        <v>0.11</v>
      </c>
      <c r="T338" s="320">
        <v>0.0</v>
      </c>
      <c r="U338" s="320">
        <v>21.52</v>
      </c>
      <c r="V338" s="320">
        <v>1.67</v>
      </c>
      <c r="W338" s="320">
        <v>0.6648</v>
      </c>
      <c r="X338" s="320">
        <v>0.0</v>
      </c>
      <c r="Y338" s="320">
        <v>358.0</v>
      </c>
      <c r="Z338" s="320">
        <v>4027.0</v>
      </c>
      <c r="AA338" s="320">
        <v>14986.0</v>
      </c>
      <c r="AB338" s="320">
        <v>49.1504</v>
      </c>
      <c r="AC338" s="320">
        <v>0.5527</v>
      </c>
      <c r="AD338" s="329"/>
      <c r="AE338" s="329"/>
      <c r="AF338" s="329"/>
      <c r="AG338" s="329"/>
      <c r="AH338" s="329"/>
      <c r="AI338" s="320">
        <v>0.0</v>
      </c>
      <c r="AJ338" s="320">
        <v>0.0</v>
      </c>
      <c r="AK338" s="320">
        <v>0.0</v>
      </c>
      <c r="AL338" s="320">
        <v>0.2777</v>
      </c>
      <c r="AM338" s="320">
        <v>16.06</v>
      </c>
      <c r="AN338" s="320">
        <v>5.35</v>
      </c>
      <c r="AO338" s="329"/>
      <c r="AP338" s="329"/>
    </row>
    <row r="339">
      <c r="A339" s="319" t="s">
        <v>256</v>
      </c>
      <c r="B339" s="328">
        <v>46106.0</v>
      </c>
      <c r="C339" s="319" t="s">
        <v>214</v>
      </c>
      <c r="D339" s="320">
        <v>37961.0</v>
      </c>
      <c r="E339" s="320">
        <v>35.76</v>
      </c>
      <c r="F339" s="320">
        <v>0.0</v>
      </c>
      <c r="G339" s="320">
        <v>0.0</v>
      </c>
      <c r="H339" s="320">
        <v>0.0</v>
      </c>
      <c r="I339" s="329"/>
      <c r="J339" s="320">
        <v>30.02</v>
      </c>
      <c r="K339" s="320">
        <v>13.84</v>
      </c>
      <c r="L339" s="320">
        <v>5.6</v>
      </c>
      <c r="M339" s="320">
        <v>0.4045</v>
      </c>
      <c r="N339" s="320">
        <v>0.7639</v>
      </c>
      <c r="O339" s="320">
        <v>0.5679</v>
      </c>
      <c r="P339" s="320">
        <v>2.4722</v>
      </c>
      <c r="Q339" s="320">
        <v>45.69</v>
      </c>
      <c r="R339" s="320">
        <v>33.93</v>
      </c>
      <c r="S339" s="320">
        <v>11.75</v>
      </c>
      <c r="T339" s="320">
        <v>0.04</v>
      </c>
      <c r="U339" s="320">
        <v>45.65</v>
      </c>
      <c r="V339" s="320">
        <v>50.27</v>
      </c>
      <c r="W339" s="320">
        <v>3.6318</v>
      </c>
      <c r="X339" s="320">
        <v>0.09</v>
      </c>
      <c r="Y339" s="320">
        <v>141.0</v>
      </c>
      <c r="Z339" s="320">
        <v>875.0</v>
      </c>
      <c r="AA339" s="320">
        <v>6054.0</v>
      </c>
      <c r="AB339" s="320">
        <v>48.8749</v>
      </c>
      <c r="AC339" s="320">
        <v>0.5321</v>
      </c>
      <c r="AD339" s="320">
        <v>3.98</v>
      </c>
      <c r="AE339" s="320">
        <v>1.0</v>
      </c>
      <c r="AF339" s="320">
        <v>3.0</v>
      </c>
      <c r="AG339" s="320">
        <v>5.0</v>
      </c>
      <c r="AH339" s="320">
        <v>9.0</v>
      </c>
      <c r="AI339" s="320">
        <v>72.63</v>
      </c>
      <c r="AJ339" s="320">
        <v>30.3</v>
      </c>
      <c r="AK339" s="320">
        <v>8.4</v>
      </c>
      <c r="AL339" s="320">
        <v>0.2385</v>
      </c>
      <c r="AM339" s="320">
        <v>18.41</v>
      </c>
      <c r="AN339" s="320">
        <v>15.52</v>
      </c>
      <c r="AO339" s="320">
        <v>65.89</v>
      </c>
      <c r="AP339" s="320">
        <v>12.13</v>
      </c>
    </row>
    <row r="340">
      <c r="A340" s="319" t="s">
        <v>256</v>
      </c>
      <c r="B340" s="328">
        <v>46106.0</v>
      </c>
      <c r="C340" s="319" t="s">
        <v>215</v>
      </c>
      <c r="D340" s="320">
        <v>27235.0</v>
      </c>
      <c r="E340" s="320">
        <v>25.66</v>
      </c>
      <c r="F340" s="320">
        <v>0.0</v>
      </c>
      <c r="G340" s="320">
        <v>0.0</v>
      </c>
      <c r="H340" s="320">
        <v>0.0</v>
      </c>
      <c r="I340" s="329"/>
      <c r="J340" s="320">
        <v>57.41</v>
      </c>
      <c r="K340" s="320">
        <v>27.73</v>
      </c>
      <c r="L340" s="320">
        <v>14.87</v>
      </c>
      <c r="M340" s="320">
        <v>0.536</v>
      </c>
      <c r="N340" s="320">
        <v>0.651</v>
      </c>
      <c r="O340" s="320">
        <v>0.4458</v>
      </c>
      <c r="P340" s="320">
        <v>1.8655</v>
      </c>
      <c r="Q340" s="320">
        <v>78.73</v>
      </c>
      <c r="R340" s="320">
        <v>49.59</v>
      </c>
      <c r="S340" s="320">
        <v>29.14</v>
      </c>
      <c r="T340" s="320">
        <v>0.02</v>
      </c>
      <c r="U340" s="320">
        <v>78.72</v>
      </c>
      <c r="V340" s="320">
        <v>92.16</v>
      </c>
      <c r="W340" s="320">
        <v>3.3235</v>
      </c>
      <c r="X340" s="320">
        <v>0.02</v>
      </c>
      <c r="Y340" s="320">
        <v>120.0</v>
      </c>
      <c r="Z340" s="320">
        <v>700.0</v>
      </c>
      <c r="AA340" s="320">
        <v>5515.0</v>
      </c>
      <c r="AB340" s="320">
        <v>52.3779</v>
      </c>
      <c r="AC340" s="320">
        <v>0.6121</v>
      </c>
      <c r="AD340" s="320">
        <v>9.2</v>
      </c>
      <c r="AE340" s="320">
        <v>3.0</v>
      </c>
      <c r="AF340" s="320">
        <v>7.0</v>
      </c>
      <c r="AG340" s="320">
        <v>13.0</v>
      </c>
      <c r="AH340" s="320">
        <v>20.0</v>
      </c>
      <c r="AI340" s="320">
        <v>59.31</v>
      </c>
      <c r="AJ340" s="320">
        <v>25.22</v>
      </c>
      <c r="AK340" s="320">
        <v>4.33</v>
      </c>
      <c r="AL340" s="320">
        <v>0.1861</v>
      </c>
      <c r="AM340" s="320">
        <v>19.14</v>
      </c>
      <c r="AN340" s="320">
        <v>30.45</v>
      </c>
      <c r="AO340" s="320">
        <v>73.97</v>
      </c>
      <c r="AP340" s="320">
        <v>14.16</v>
      </c>
    </row>
    <row r="341">
      <c r="A341" s="319" t="s">
        <v>256</v>
      </c>
      <c r="B341" s="328">
        <v>46106.0</v>
      </c>
      <c r="C341" s="319" t="s">
        <v>216</v>
      </c>
      <c r="D341" s="320">
        <v>14342.0</v>
      </c>
      <c r="E341" s="320">
        <v>13.51</v>
      </c>
      <c r="F341" s="320">
        <v>0.0</v>
      </c>
      <c r="G341" s="320">
        <v>0.0</v>
      </c>
      <c r="H341" s="320">
        <v>0.0</v>
      </c>
      <c r="I341" s="329"/>
      <c r="J341" s="320">
        <v>79.7</v>
      </c>
      <c r="K341" s="320">
        <v>40.86</v>
      </c>
      <c r="L341" s="320">
        <v>26.78</v>
      </c>
      <c r="M341" s="320">
        <v>0.6554</v>
      </c>
      <c r="N341" s="320">
        <v>0.5312</v>
      </c>
      <c r="O341" s="320">
        <v>0.3656</v>
      </c>
      <c r="P341" s="320">
        <v>1.5258</v>
      </c>
      <c r="Q341" s="320">
        <v>122.14</v>
      </c>
      <c r="R341" s="320">
        <v>66.2</v>
      </c>
      <c r="S341" s="320">
        <v>55.94</v>
      </c>
      <c r="T341" s="320">
        <v>0.0</v>
      </c>
      <c r="U341" s="320">
        <v>122.14</v>
      </c>
      <c r="V341" s="320">
        <v>155.56</v>
      </c>
      <c r="W341" s="320">
        <v>3.8066</v>
      </c>
      <c r="X341" s="320">
        <v>0.0</v>
      </c>
      <c r="Y341" s="320">
        <v>131.0</v>
      </c>
      <c r="Z341" s="320">
        <v>913.0</v>
      </c>
      <c r="AA341" s="320">
        <v>5939.0</v>
      </c>
      <c r="AB341" s="320">
        <v>55.9153</v>
      </c>
      <c r="AC341" s="320">
        <v>0.7412</v>
      </c>
      <c r="AD341" s="320">
        <v>17.52</v>
      </c>
      <c r="AE341" s="320">
        <v>7.0</v>
      </c>
      <c r="AF341" s="320">
        <v>14.0</v>
      </c>
      <c r="AG341" s="320">
        <v>24.0</v>
      </c>
      <c r="AH341" s="320">
        <v>36.0</v>
      </c>
      <c r="AI341" s="320">
        <v>59.35</v>
      </c>
      <c r="AJ341" s="320">
        <v>22.32</v>
      </c>
      <c r="AK341" s="320">
        <v>6.54</v>
      </c>
      <c r="AL341" s="320">
        <v>0.1726</v>
      </c>
      <c r="AM341" s="320">
        <v>19.15</v>
      </c>
      <c r="AN341" s="320">
        <v>47.05</v>
      </c>
      <c r="AO341" s="320">
        <v>77.48</v>
      </c>
      <c r="AP341" s="320">
        <v>14.84</v>
      </c>
    </row>
    <row r="342">
      <c r="A342" s="319" t="s">
        <v>256</v>
      </c>
      <c r="B342" s="328">
        <v>46106.0</v>
      </c>
      <c r="C342" s="319" t="s">
        <v>217</v>
      </c>
      <c r="D342" s="320">
        <v>5558.0</v>
      </c>
      <c r="E342" s="320">
        <v>5.24</v>
      </c>
      <c r="F342" s="320">
        <v>0.0</v>
      </c>
      <c r="G342" s="320">
        <v>0.0</v>
      </c>
      <c r="H342" s="320">
        <v>0.0</v>
      </c>
      <c r="I342" s="329"/>
      <c r="J342" s="320">
        <v>131.44</v>
      </c>
      <c r="K342" s="320">
        <v>71.47</v>
      </c>
      <c r="L342" s="320">
        <v>55.23</v>
      </c>
      <c r="M342" s="320">
        <v>0.7727</v>
      </c>
      <c r="N342" s="320">
        <v>0.4056</v>
      </c>
      <c r="O342" s="320">
        <v>0.2873</v>
      </c>
      <c r="P342" s="320">
        <v>1.2941</v>
      </c>
      <c r="Q342" s="320">
        <v>213.25</v>
      </c>
      <c r="R342" s="320">
        <v>96.66</v>
      </c>
      <c r="S342" s="320">
        <v>116.59</v>
      </c>
      <c r="T342" s="320">
        <v>0.0</v>
      </c>
      <c r="U342" s="320">
        <v>213.25</v>
      </c>
      <c r="V342" s="320">
        <v>299.17</v>
      </c>
      <c r="W342" s="320">
        <v>4.1858</v>
      </c>
      <c r="X342" s="320">
        <v>0.0</v>
      </c>
      <c r="Y342" s="320">
        <v>201.0</v>
      </c>
      <c r="Z342" s="320">
        <v>1859.0</v>
      </c>
      <c r="AA342" s="320">
        <v>8562.0</v>
      </c>
      <c r="AB342" s="320">
        <v>59.6968</v>
      </c>
      <c r="AC342" s="320">
        <v>0.8365</v>
      </c>
      <c r="AD342" s="320">
        <v>36.82</v>
      </c>
      <c r="AE342" s="320">
        <v>14.0</v>
      </c>
      <c r="AF342" s="320">
        <v>28.0</v>
      </c>
      <c r="AG342" s="320">
        <v>51.0</v>
      </c>
      <c r="AH342" s="320">
        <v>80.0</v>
      </c>
      <c r="AI342" s="320">
        <v>49.66</v>
      </c>
      <c r="AJ342" s="320">
        <v>19.29</v>
      </c>
      <c r="AK342" s="320">
        <v>4.66</v>
      </c>
      <c r="AL342" s="320">
        <v>0.1234</v>
      </c>
      <c r="AM342" s="320">
        <v>20.56</v>
      </c>
      <c r="AN342" s="320">
        <v>76.1</v>
      </c>
      <c r="AO342" s="320">
        <v>82.9</v>
      </c>
      <c r="AP342" s="320">
        <v>17.04</v>
      </c>
    </row>
    <row r="343">
      <c r="A343" s="319" t="s">
        <v>256</v>
      </c>
      <c r="B343" s="328">
        <v>46106.0</v>
      </c>
      <c r="C343" s="319" t="s">
        <v>218</v>
      </c>
      <c r="D343" s="320">
        <v>674.0</v>
      </c>
      <c r="E343" s="320">
        <v>0.63</v>
      </c>
      <c r="F343" s="320">
        <v>0.0</v>
      </c>
      <c r="G343" s="320">
        <v>0.0</v>
      </c>
      <c r="H343" s="320">
        <v>0.0</v>
      </c>
      <c r="I343" s="329"/>
      <c r="J343" s="320">
        <v>242.55</v>
      </c>
      <c r="K343" s="320">
        <v>141.53</v>
      </c>
      <c r="L343" s="320">
        <v>121.71</v>
      </c>
      <c r="M343" s="320">
        <v>0.8599</v>
      </c>
      <c r="N343" s="320">
        <v>0.2898</v>
      </c>
      <c r="O343" s="320">
        <v>0.2147</v>
      </c>
      <c r="P343" s="320">
        <v>1.1629</v>
      </c>
      <c r="Q343" s="320">
        <v>425.62</v>
      </c>
      <c r="R343" s="320">
        <v>167.2</v>
      </c>
      <c r="S343" s="320">
        <v>258.42</v>
      </c>
      <c r="T343" s="320">
        <v>0.0</v>
      </c>
      <c r="U343" s="320">
        <v>425.62</v>
      </c>
      <c r="V343" s="320">
        <v>539.61</v>
      </c>
      <c r="W343" s="320">
        <v>3.8126</v>
      </c>
      <c r="X343" s="320">
        <v>0.0</v>
      </c>
      <c r="Y343" s="320">
        <v>651.0</v>
      </c>
      <c r="Z343" s="320">
        <v>3814.0</v>
      </c>
      <c r="AA343" s="320">
        <v>10884.0</v>
      </c>
      <c r="AB343" s="320">
        <v>62.5598</v>
      </c>
      <c r="AC343" s="320">
        <v>0.8983</v>
      </c>
      <c r="AD343" s="320">
        <v>81.92</v>
      </c>
      <c r="AE343" s="320">
        <v>32.0</v>
      </c>
      <c r="AF343" s="320">
        <v>69.0</v>
      </c>
      <c r="AG343" s="320">
        <v>116.0</v>
      </c>
      <c r="AH343" s="320">
        <v>166.0</v>
      </c>
      <c r="AI343" s="320">
        <v>44.66</v>
      </c>
      <c r="AJ343" s="320">
        <v>8.46</v>
      </c>
      <c r="AK343" s="320">
        <v>1.34</v>
      </c>
      <c r="AL343" s="320">
        <v>0.0831</v>
      </c>
      <c r="AM343" s="320">
        <v>21.85</v>
      </c>
      <c r="AN343" s="320">
        <v>145.35</v>
      </c>
      <c r="AO343" s="320">
        <v>84.36</v>
      </c>
      <c r="AP343" s="320">
        <v>18.43</v>
      </c>
    </row>
    <row r="344">
      <c r="A344" s="319" t="s">
        <v>256</v>
      </c>
      <c r="B344" s="328">
        <v>46107.0</v>
      </c>
      <c r="C344" s="319" t="s">
        <v>257</v>
      </c>
      <c r="D344" s="320">
        <v>20812.0</v>
      </c>
      <c r="E344" s="320">
        <v>19.89</v>
      </c>
      <c r="F344" s="320">
        <v>0.0</v>
      </c>
      <c r="G344" s="320">
        <v>0.0</v>
      </c>
      <c r="H344" s="320">
        <v>0.0</v>
      </c>
      <c r="I344" s="329"/>
      <c r="J344" s="320">
        <v>6.07</v>
      </c>
      <c r="K344" s="320">
        <v>2.52</v>
      </c>
      <c r="L344" s="320">
        <v>0.03</v>
      </c>
      <c r="M344" s="320">
        <v>0.0133</v>
      </c>
      <c r="N344" s="320">
        <v>0.9901</v>
      </c>
      <c r="O344" s="320">
        <v>0.8686</v>
      </c>
      <c r="P344" s="320">
        <v>75.4555</v>
      </c>
      <c r="Q344" s="320">
        <v>22.49</v>
      </c>
      <c r="R344" s="320">
        <v>22.38</v>
      </c>
      <c r="S344" s="320">
        <v>0.11</v>
      </c>
      <c r="T344" s="320">
        <v>0.0</v>
      </c>
      <c r="U344" s="320">
        <v>22.49</v>
      </c>
      <c r="V344" s="320">
        <v>2.26</v>
      </c>
      <c r="W344" s="320">
        <v>0.8969</v>
      </c>
      <c r="X344" s="320">
        <v>0.0</v>
      </c>
      <c r="Y344" s="320">
        <v>308.0</v>
      </c>
      <c r="Z344" s="320">
        <v>3643.0</v>
      </c>
      <c r="AA344" s="320">
        <v>14717.0</v>
      </c>
      <c r="AB344" s="320">
        <v>49.0484</v>
      </c>
      <c r="AC344" s="320">
        <v>0.5464</v>
      </c>
      <c r="AD344" s="329"/>
      <c r="AE344" s="329"/>
      <c r="AF344" s="329"/>
      <c r="AG344" s="329"/>
      <c r="AH344" s="329"/>
      <c r="AI344" s="320">
        <v>0.0</v>
      </c>
      <c r="AJ344" s="320">
        <v>0.0</v>
      </c>
      <c r="AK344" s="320">
        <v>0.0</v>
      </c>
      <c r="AL344" s="320">
        <v>0.2847</v>
      </c>
      <c r="AM344" s="320">
        <v>16.29</v>
      </c>
      <c r="AN344" s="320">
        <v>6.09</v>
      </c>
      <c r="AO344" s="329"/>
      <c r="AP344" s="329"/>
    </row>
    <row r="345">
      <c r="A345" s="319" t="s">
        <v>256</v>
      </c>
      <c r="B345" s="328">
        <v>46107.0</v>
      </c>
      <c r="C345" s="319" t="s">
        <v>214</v>
      </c>
      <c r="D345" s="320">
        <v>37157.0</v>
      </c>
      <c r="E345" s="320">
        <v>35.51</v>
      </c>
      <c r="F345" s="320">
        <v>0.0</v>
      </c>
      <c r="G345" s="320">
        <v>0.0</v>
      </c>
      <c r="H345" s="320">
        <v>0.0</v>
      </c>
      <c r="I345" s="329"/>
      <c r="J345" s="320">
        <v>27.77</v>
      </c>
      <c r="K345" s="320">
        <v>12.74</v>
      </c>
      <c r="L345" s="320">
        <v>5.49</v>
      </c>
      <c r="M345" s="320">
        <v>0.4311</v>
      </c>
      <c r="N345" s="320">
        <v>0.746</v>
      </c>
      <c r="O345" s="320">
        <v>0.5555</v>
      </c>
      <c r="P345" s="320">
        <v>2.3199</v>
      </c>
      <c r="Q345" s="320">
        <v>46.72</v>
      </c>
      <c r="R345" s="320">
        <v>35.18</v>
      </c>
      <c r="S345" s="320">
        <v>11.53</v>
      </c>
      <c r="T345" s="320">
        <v>0.0</v>
      </c>
      <c r="U345" s="320">
        <v>46.71</v>
      </c>
      <c r="V345" s="320">
        <v>48.6</v>
      </c>
      <c r="W345" s="320">
        <v>3.8159</v>
      </c>
      <c r="X345" s="320">
        <v>0.01</v>
      </c>
      <c r="Y345" s="320">
        <v>139.0</v>
      </c>
      <c r="Z345" s="320">
        <v>875.0</v>
      </c>
      <c r="AA345" s="320">
        <v>5830.0</v>
      </c>
      <c r="AB345" s="320">
        <v>48.8632</v>
      </c>
      <c r="AC345" s="320">
        <v>0.5335</v>
      </c>
      <c r="AD345" s="320">
        <v>3.95</v>
      </c>
      <c r="AE345" s="320">
        <v>1.0</v>
      </c>
      <c r="AF345" s="320">
        <v>3.0</v>
      </c>
      <c r="AG345" s="320">
        <v>5.0</v>
      </c>
      <c r="AH345" s="320">
        <v>9.0</v>
      </c>
      <c r="AI345" s="320">
        <v>72.35</v>
      </c>
      <c r="AJ345" s="320">
        <v>29.91</v>
      </c>
      <c r="AK345" s="320">
        <v>8.78</v>
      </c>
      <c r="AL345" s="320">
        <v>0.2514</v>
      </c>
      <c r="AM345" s="320">
        <v>19.3</v>
      </c>
      <c r="AN345" s="320">
        <v>15.88</v>
      </c>
      <c r="AO345" s="320">
        <v>66.22</v>
      </c>
      <c r="AP345" s="320">
        <v>12.78</v>
      </c>
    </row>
    <row r="346">
      <c r="A346" s="319" t="s">
        <v>256</v>
      </c>
      <c r="B346" s="328">
        <v>46107.0</v>
      </c>
      <c r="C346" s="319" t="s">
        <v>215</v>
      </c>
      <c r="D346" s="320">
        <v>26140.0</v>
      </c>
      <c r="E346" s="320">
        <v>24.98</v>
      </c>
      <c r="F346" s="320">
        <v>0.0</v>
      </c>
      <c r="G346" s="320">
        <v>0.0</v>
      </c>
      <c r="H346" s="320">
        <v>0.0</v>
      </c>
      <c r="I346" s="329"/>
      <c r="J346" s="320">
        <v>50.97</v>
      </c>
      <c r="K346" s="320">
        <v>24.26</v>
      </c>
      <c r="L346" s="320">
        <v>13.76</v>
      </c>
      <c r="M346" s="320">
        <v>0.5673</v>
      </c>
      <c r="N346" s="320">
        <v>0.6297</v>
      </c>
      <c r="O346" s="320">
        <v>0.4402</v>
      </c>
      <c r="P346" s="320">
        <v>1.7628</v>
      </c>
      <c r="Q346" s="320">
        <v>91.85</v>
      </c>
      <c r="R346" s="320">
        <v>63.96</v>
      </c>
      <c r="S346" s="320">
        <v>27.89</v>
      </c>
      <c r="T346" s="320">
        <v>0.0</v>
      </c>
      <c r="U346" s="320">
        <v>91.85</v>
      </c>
      <c r="V346" s="320">
        <v>91.58</v>
      </c>
      <c r="W346" s="320">
        <v>3.7743</v>
      </c>
      <c r="X346" s="320">
        <v>0.0</v>
      </c>
      <c r="Y346" s="320">
        <v>126.0</v>
      </c>
      <c r="Z346" s="320">
        <v>714.0</v>
      </c>
      <c r="AA346" s="320">
        <v>5560.0</v>
      </c>
      <c r="AB346" s="320">
        <v>52.3905</v>
      </c>
      <c r="AC346" s="320">
        <v>0.6277</v>
      </c>
      <c r="AD346" s="320">
        <v>9.16</v>
      </c>
      <c r="AE346" s="320">
        <v>3.0</v>
      </c>
      <c r="AF346" s="320">
        <v>7.0</v>
      </c>
      <c r="AG346" s="320">
        <v>12.0</v>
      </c>
      <c r="AH346" s="320">
        <v>19.0</v>
      </c>
      <c r="AI346" s="320">
        <v>58.19</v>
      </c>
      <c r="AJ346" s="320">
        <v>24.76</v>
      </c>
      <c r="AK346" s="320">
        <v>4.68</v>
      </c>
      <c r="AL346" s="320">
        <v>0.1997</v>
      </c>
      <c r="AM346" s="320">
        <v>19.93</v>
      </c>
      <c r="AN346" s="320">
        <v>44.03</v>
      </c>
      <c r="AO346" s="320">
        <v>74.74</v>
      </c>
      <c r="AP346" s="320">
        <v>14.9</v>
      </c>
    </row>
    <row r="347">
      <c r="A347" s="319" t="s">
        <v>256</v>
      </c>
      <c r="B347" s="328">
        <v>46107.0</v>
      </c>
      <c r="C347" s="319" t="s">
        <v>216</v>
      </c>
      <c r="D347" s="320">
        <v>14114.0</v>
      </c>
      <c r="E347" s="320">
        <v>13.49</v>
      </c>
      <c r="F347" s="320">
        <v>0.0</v>
      </c>
      <c r="G347" s="320">
        <v>0.0</v>
      </c>
      <c r="H347" s="320">
        <v>0.0</v>
      </c>
      <c r="I347" s="329"/>
      <c r="J347" s="320">
        <v>74.34</v>
      </c>
      <c r="K347" s="320">
        <v>37.89</v>
      </c>
      <c r="L347" s="320">
        <v>26.08</v>
      </c>
      <c r="M347" s="320">
        <v>0.6882</v>
      </c>
      <c r="N347" s="320">
        <v>0.5063</v>
      </c>
      <c r="O347" s="320">
        <v>0.3544</v>
      </c>
      <c r="P347" s="320">
        <v>1.4531</v>
      </c>
      <c r="Q347" s="320">
        <v>172.07</v>
      </c>
      <c r="R347" s="320">
        <v>116.58</v>
      </c>
      <c r="S347" s="320">
        <v>55.48</v>
      </c>
      <c r="T347" s="320">
        <v>0.0</v>
      </c>
      <c r="U347" s="320">
        <v>172.07</v>
      </c>
      <c r="V347" s="320">
        <v>158.02</v>
      </c>
      <c r="W347" s="320">
        <v>4.1701</v>
      </c>
      <c r="X347" s="320">
        <v>0.0</v>
      </c>
      <c r="Y347" s="320">
        <v>154.0</v>
      </c>
      <c r="Z347" s="320">
        <v>957.0</v>
      </c>
      <c r="AA347" s="320">
        <v>6228.0</v>
      </c>
      <c r="AB347" s="320">
        <v>55.9108</v>
      </c>
      <c r="AC347" s="320">
        <v>0.7416</v>
      </c>
      <c r="AD347" s="320">
        <v>17.89</v>
      </c>
      <c r="AE347" s="320">
        <v>7.0</v>
      </c>
      <c r="AF347" s="320">
        <v>14.0</v>
      </c>
      <c r="AG347" s="320">
        <v>24.0</v>
      </c>
      <c r="AH347" s="320">
        <v>37.0</v>
      </c>
      <c r="AI347" s="320">
        <v>59.86</v>
      </c>
      <c r="AJ347" s="320">
        <v>23.55</v>
      </c>
      <c r="AK347" s="320">
        <v>7.41</v>
      </c>
      <c r="AL347" s="320">
        <v>0.1888</v>
      </c>
      <c r="AM347" s="320">
        <v>19.83</v>
      </c>
      <c r="AN347" s="320">
        <v>96.75</v>
      </c>
      <c r="AO347" s="320">
        <v>77.8</v>
      </c>
      <c r="AP347" s="320">
        <v>15.43</v>
      </c>
    </row>
    <row r="348">
      <c r="A348" s="319" t="s">
        <v>256</v>
      </c>
      <c r="B348" s="328">
        <v>46107.0</v>
      </c>
      <c r="C348" s="319" t="s">
        <v>217</v>
      </c>
      <c r="D348" s="320">
        <v>5778.0</v>
      </c>
      <c r="E348" s="320">
        <v>5.52</v>
      </c>
      <c r="F348" s="320">
        <v>0.0</v>
      </c>
      <c r="G348" s="320">
        <v>0.0</v>
      </c>
      <c r="H348" s="320">
        <v>0.0</v>
      </c>
      <c r="I348" s="329"/>
      <c r="J348" s="320">
        <v>128.16</v>
      </c>
      <c r="K348" s="320">
        <v>70.32</v>
      </c>
      <c r="L348" s="320">
        <v>56.81</v>
      </c>
      <c r="M348" s="320">
        <v>0.808</v>
      </c>
      <c r="N348" s="320">
        <v>0.3721</v>
      </c>
      <c r="O348" s="320">
        <v>0.2705</v>
      </c>
      <c r="P348" s="320">
        <v>1.2377</v>
      </c>
      <c r="Q348" s="320">
        <v>389.23</v>
      </c>
      <c r="R348" s="320">
        <v>269.72</v>
      </c>
      <c r="S348" s="320">
        <v>119.51</v>
      </c>
      <c r="T348" s="320">
        <v>0.0</v>
      </c>
      <c r="U348" s="320">
        <v>389.23</v>
      </c>
      <c r="V348" s="320">
        <v>333.03</v>
      </c>
      <c r="W348" s="320">
        <v>4.7361</v>
      </c>
      <c r="X348" s="320">
        <v>0.0</v>
      </c>
      <c r="Y348" s="320">
        <v>301.0</v>
      </c>
      <c r="Z348" s="320">
        <v>2011.0</v>
      </c>
      <c r="AA348" s="320">
        <v>8703.0</v>
      </c>
      <c r="AB348" s="320">
        <v>59.4849</v>
      </c>
      <c r="AC348" s="320">
        <v>0.8246</v>
      </c>
      <c r="AD348" s="320">
        <v>39.73</v>
      </c>
      <c r="AE348" s="320">
        <v>16.0</v>
      </c>
      <c r="AF348" s="320">
        <v>31.0</v>
      </c>
      <c r="AG348" s="320">
        <v>55.0</v>
      </c>
      <c r="AH348" s="320">
        <v>83.0</v>
      </c>
      <c r="AI348" s="320">
        <v>55.02</v>
      </c>
      <c r="AJ348" s="320">
        <v>22.12</v>
      </c>
      <c r="AK348" s="320">
        <v>5.57</v>
      </c>
      <c r="AL348" s="320">
        <v>0.1334</v>
      </c>
      <c r="AM348" s="320">
        <v>21.01</v>
      </c>
      <c r="AN348" s="320">
        <v>248.71</v>
      </c>
      <c r="AO348" s="320">
        <v>82.54</v>
      </c>
      <c r="AP348" s="320">
        <v>17.34</v>
      </c>
    </row>
    <row r="349">
      <c r="A349" s="319" t="s">
        <v>256</v>
      </c>
      <c r="B349" s="328">
        <v>46107.0</v>
      </c>
      <c r="C349" s="319" t="s">
        <v>218</v>
      </c>
      <c r="D349" s="320">
        <v>646.0</v>
      </c>
      <c r="E349" s="320">
        <v>0.62</v>
      </c>
      <c r="F349" s="320">
        <v>0.0</v>
      </c>
      <c r="G349" s="320">
        <v>0.0</v>
      </c>
      <c r="H349" s="320">
        <v>0.0</v>
      </c>
      <c r="I349" s="329"/>
      <c r="J349" s="320">
        <v>239.12</v>
      </c>
      <c r="K349" s="320">
        <v>140.42</v>
      </c>
      <c r="L349" s="320">
        <v>124.5</v>
      </c>
      <c r="M349" s="320">
        <v>0.8866</v>
      </c>
      <c r="N349" s="320">
        <v>0.2717</v>
      </c>
      <c r="O349" s="320">
        <v>0.2087</v>
      </c>
      <c r="P349" s="320">
        <v>1.1279</v>
      </c>
      <c r="Q349" s="320">
        <v>795.64</v>
      </c>
      <c r="R349" s="320">
        <v>532.79</v>
      </c>
      <c r="S349" s="320">
        <v>262.85</v>
      </c>
      <c r="T349" s="320">
        <v>0.0</v>
      </c>
      <c r="U349" s="320">
        <v>795.64</v>
      </c>
      <c r="V349" s="320">
        <v>683.28</v>
      </c>
      <c r="W349" s="320">
        <v>4.8659</v>
      </c>
      <c r="X349" s="320">
        <v>0.0</v>
      </c>
      <c r="Y349" s="320">
        <v>868.0</v>
      </c>
      <c r="Z349" s="320">
        <v>4291.0</v>
      </c>
      <c r="AA349" s="320">
        <v>11366.0</v>
      </c>
      <c r="AB349" s="320">
        <v>63.0062</v>
      </c>
      <c r="AC349" s="320">
        <v>0.8843</v>
      </c>
      <c r="AD349" s="320">
        <v>90.68</v>
      </c>
      <c r="AE349" s="320">
        <v>40.0</v>
      </c>
      <c r="AF349" s="320">
        <v>78.0</v>
      </c>
      <c r="AG349" s="320">
        <v>122.0</v>
      </c>
      <c r="AH349" s="320">
        <v>173.0</v>
      </c>
      <c r="AI349" s="320">
        <v>49.23</v>
      </c>
      <c r="AJ349" s="320">
        <v>9.91</v>
      </c>
      <c r="AK349" s="320">
        <v>1.24</v>
      </c>
      <c r="AL349" s="320">
        <v>0.0929</v>
      </c>
      <c r="AM349" s="320">
        <v>24.45</v>
      </c>
      <c r="AN349" s="320">
        <v>508.34</v>
      </c>
      <c r="AO349" s="320">
        <v>86.0</v>
      </c>
      <c r="AP349" s="320">
        <v>21.03</v>
      </c>
    </row>
    <row r="350">
      <c r="A350" s="319" t="s">
        <v>256</v>
      </c>
      <c r="B350" s="328">
        <v>46108.0</v>
      </c>
      <c r="C350" s="319" t="s">
        <v>257</v>
      </c>
      <c r="D350" s="320">
        <v>19264.0</v>
      </c>
      <c r="E350" s="320">
        <v>18.73</v>
      </c>
      <c r="F350" s="320">
        <v>0.0</v>
      </c>
      <c r="G350" s="320">
        <v>0.0</v>
      </c>
      <c r="H350" s="320">
        <v>0.0</v>
      </c>
      <c r="I350" s="329"/>
      <c r="J350" s="320">
        <v>5.73</v>
      </c>
      <c r="K350" s="320">
        <v>2.36</v>
      </c>
      <c r="L350" s="320">
        <v>0.03</v>
      </c>
      <c r="M350" s="320">
        <v>0.0123</v>
      </c>
      <c r="N350" s="320">
        <v>0.9904</v>
      </c>
      <c r="O350" s="320">
        <v>0.8823</v>
      </c>
      <c r="P350" s="320">
        <v>81.0946</v>
      </c>
      <c r="Q350" s="320">
        <v>26.08</v>
      </c>
      <c r="R350" s="320">
        <v>25.98</v>
      </c>
      <c r="S350" s="320">
        <v>0.1</v>
      </c>
      <c r="T350" s="320">
        <v>0.0</v>
      </c>
      <c r="U350" s="320">
        <v>26.08</v>
      </c>
      <c r="V350" s="320">
        <v>1.82</v>
      </c>
      <c r="W350" s="320">
        <v>0.7707</v>
      </c>
      <c r="X350" s="320">
        <v>0.0</v>
      </c>
      <c r="Y350" s="320">
        <v>358.0</v>
      </c>
      <c r="Z350" s="320">
        <v>3957.0</v>
      </c>
      <c r="AA350" s="320">
        <v>14672.0</v>
      </c>
      <c r="AB350" s="320">
        <v>49.2613</v>
      </c>
      <c r="AC350" s="320">
        <v>0.553</v>
      </c>
      <c r="AD350" s="329"/>
      <c r="AE350" s="329"/>
      <c r="AF350" s="329"/>
      <c r="AG350" s="329"/>
      <c r="AH350" s="329"/>
      <c r="AI350" s="320">
        <v>0.0</v>
      </c>
      <c r="AJ350" s="320">
        <v>0.0</v>
      </c>
      <c r="AK350" s="320">
        <v>0.0</v>
      </c>
      <c r="AL350" s="320">
        <v>0.3018</v>
      </c>
      <c r="AM350" s="320">
        <v>17.73</v>
      </c>
      <c r="AN350" s="320">
        <v>8.25</v>
      </c>
      <c r="AO350" s="329"/>
      <c r="AP350" s="329"/>
    </row>
    <row r="351">
      <c r="A351" s="319" t="s">
        <v>256</v>
      </c>
      <c r="B351" s="328">
        <v>46108.0</v>
      </c>
      <c r="C351" s="319" t="s">
        <v>214</v>
      </c>
      <c r="D351" s="320">
        <v>37412.0</v>
      </c>
      <c r="E351" s="320">
        <v>36.38</v>
      </c>
      <c r="F351" s="320">
        <v>0.0</v>
      </c>
      <c r="G351" s="320">
        <v>0.0</v>
      </c>
      <c r="H351" s="320">
        <v>0.0</v>
      </c>
      <c r="I351" s="329"/>
      <c r="J351" s="320">
        <v>30.53</v>
      </c>
      <c r="K351" s="320">
        <v>13.97</v>
      </c>
      <c r="L351" s="320">
        <v>5.84</v>
      </c>
      <c r="M351" s="320">
        <v>0.4183</v>
      </c>
      <c r="N351" s="320">
        <v>0.7515</v>
      </c>
      <c r="O351" s="320">
        <v>0.5492</v>
      </c>
      <c r="P351" s="320">
        <v>2.3908</v>
      </c>
      <c r="Q351" s="320">
        <v>58.22</v>
      </c>
      <c r="R351" s="320">
        <v>46.18</v>
      </c>
      <c r="S351" s="320">
        <v>12.04</v>
      </c>
      <c r="T351" s="320">
        <v>0.0</v>
      </c>
      <c r="U351" s="320">
        <v>58.22</v>
      </c>
      <c r="V351" s="320">
        <v>53.21</v>
      </c>
      <c r="W351" s="320">
        <v>3.8092</v>
      </c>
      <c r="X351" s="320">
        <v>0.0</v>
      </c>
      <c r="Y351" s="320">
        <v>145.0</v>
      </c>
      <c r="Z351" s="320">
        <v>859.0</v>
      </c>
      <c r="AA351" s="320">
        <v>5881.0</v>
      </c>
      <c r="AB351" s="320">
        <v>48.7387</v>
      </c>
      <c r="AC351" s="320">
        <v>0.5317</v>
      </c>
      <c r="AD351" s="320">
        <v>4.07</v>
      </c>
      <c r="AE351" s="320">
        <v>1.0</v>
      </c>
      <c r="AF351" s="320">
        <v>3.0</v>
      </c>
      <c r="AG351" s="320">
        <v>5.0</v>
      </c>
      <c r="AH351" s="320">
        <v>9.0</v>
      </c>
      <c r="AI351" s="320">
        <v>73.85</v>
      </c>
      <c r="AJ351" s="320">
        <v>31.83</v>
      </c>
      <c r="AK351" s="320">
        <v>8.87</v>
      </c>
      <c r="AL351" s="320">
        <v>0.2666</v>
      </c>
      <c r="AM351" s="320">
        <v>20.43</v>
      </c>
      <c r="AN351" s="320">
        <v>25.75</v>
      </c>
      <c r="AO351" s="320">
        <v>66.02</v>
      </c>
      <c r="AP351" s="320">
        <v>13.49</v>
      </c>
    </row>
    <row r="352">
      <c r="A352" s="319" t="s">
        <v>256</v>
      </c>
      <c r="B352" s="328">
        <v>46108.0</v>
      </c>
      <c r="C352" s="319" t="s">
        <v>215</v>
      </c>
      <c r="D352" s="320">
        <v>25709.0</v>
      </c>
      <c r="E352" s="320">
        <v>25.0</v>
      </c>
      <c r="F352" s="320">
        <v>0.0</v>
      </c>
      <c r="G352" s="320">
        <v>0.0</v>
      </c>
      <c r="H352" s="320">
        <v>0.0</v>
      </c>
      <c r="I352" s="329"/>
      <c r="J352" s="320">
        <v>56.27</v>
      </c>
      <c r="K352" s="320">
        <v>27.01</v>
      </c>
      <c r="L352" s="320">
        <v>14.41</v>
      </c>
      <c r="M352" s="320">
        <v>0.5334</v>
      </c>
      <c r="N352" s="320">
        <v>0.6536</v>
      </c>
      <c r="O352" s="320">
        <v>0.451</v>
      </c>
      <c r="P352" s="320">
        <v>1.8748</v>
      </c>
      <c r="Q352" s="320">
        <v>99.89</v>
      </c>
      <c r="R352" s="320">
        <v>69.8</v>
      </c>
      <c r="S352" s="320">
        <v>30.08</v>
      </c>
      <c r="T352" s="320">
        <v>0.0</v>
      </c>
      <c r="U352" s="320">
        <v>99.89</v>
      </c>
      <c r="V352" s="320">
        <v>97.99</v>
      </c>
      <c r="W352" s="320">
        <v>3.6277</v>
      </c>
      <c r="X352" s="320">
        <v>0.0</v>
      </c>
      <c r="Y352" s="320">
        <v>124.0</v>
      </c>
      <c r="Z352" s="320">
        <v>673.0</v>
      </c>
      <c r="AA352" s="320">
        <v>5102.0</v>
      </c>
      <c r="AB352" s="320">
        <v>52.2849</v>
      </c>
      <c r="AC352" s="320">
        <v>0.6315</v>
      </c>
      <c r="AD352" s="320">
        <v>9.63</v>
      </c>
      <c r="AE352" s="320">
        <v>4.0</v>
      </c>
      <c r="AF352" s="320">
        <v>8.0</v>
      </c>
      <c r="AG352" s="320">
        <v>13.0</v>
      </c>
      <c r="AH352" s="320">
        <v>20.0</v>
      </c>
      <c r="AI352" s="320">
        <v>61.84</v>
      </c>
      <c r="AJ352" s="320">
        <v>27.29</v>
      </c>
      <c r="AK352" s="320">
        <v>4.75</v>
      </c>
      <c r="AL352" s="320">
        <v>0.2165</v>
      </c>
      <c r="AM352" s="320">
        <v>21.05</v>
      </c>
      <c r="AN352" s="320">
        <v>48.75</v>
      </c>
      <c r="AO352" s="320">
        <v>75.39</v>
      </c>
      <c r="AP352" s="320">
        <v>15.87</v>
      </c>
    </row>
    <row r="353">
      <c r="A353" s="319" t="s">
        <v>256</v>
      </c>
      <c r="B353" s="328">
        <v>46108.0</v>
      </c>
      <c r="C353" s="319" t="s">
        <v>216</v>
      </c>
      <c r="D353" s="320">
        <v>14083.0</v>
      </c>
      <c r="E353" s="320">
        <v>13.69</v>
      </c>
      <c r="F353" s="320">
        <v>0.0</v>
      </c>
      <c r="G353" s="320">
        <v>0.0</v>
      </c>
      <c r="H353" s="320">
        <v>0.0</v>
      </c>
      <c r="I353" s="329"/>
      <c r="J353" s="320">
        <v>81.34</v>
      </c>
      <c r="K353" s="320">
        <v>41.38</v>
      </c>
      <c r="L353" s="320">
        <v>27.19</v>
      </c>
      <c r="M353" s="320">
        <v>0.6569</v>
      </c>
      <c r="N353" s="320">
        <v>0.5293</v>
      </c>
      <c r="O353" s="320">
        <v>0.3625</v>
      </c>
      <c r="P353" s="320">
        <v>1.5222</v>
      </c>
      <c r="Q353" s="320">
        <v>159.16</v>
      </c>
      <c r="R353" s="320">
        <v>101.55</v>
      </c>
      <c r="S353" s="320">
        <v>57.61</v>
      </c>
      <c r="T353" s="320">
        <v>0.0</v>
      </c>
      <c r="U353" s="320">
        <v>159.16</v>
      </c>
      <c r="V353" s="320">
        <v>166.39</v>
      </c>
      <c r="W353" s="320">
        <v>4.0205</v>
      </c>
      <c r="X353" s="320">
        <v>0.0</v>
      </c>
      <c r="Y353" s="320">
        <v>142.0</v>
      </c>
      <c r="Z353" s="320">
        <v>931.0</v>
      </c>
      <c r="AA353" s="320">
        <v>5953.0</v>
      </c>
      <c r="AB353" s="320">
        <v>55.854</v>
      </c>
      <c r="AC353" s="320">
        <v>0.742</v>
      </c>
      <c r="AD353" s="320">
        <v>18.17</v>
      </c>
      <c r="AE353" s="320">
        <v>7.0</v>
      </c>
      <c r="AF353" s="320">
        <v>14.0</v>
      </c>
      <c r="AG353" s="320">
        <v>25.0</v>
      </c>
      <c r="AH353" s="320">
        <v>38.0</v>
      </c>
      <c r="AI353" s="320">
        <v>61.19</v>
      </c>
      <c r="AJ353" s="320">
        <v>23.77</v>
      </c>
      <c r="AK353" s="320">
        <v>7.4</v>
      </c>
      <c r="AL353" s="320">
        <v>0.2089</v>
      </c>
      <c r="AM353" s="320">
        <v>21.36</v>
      </c>
      <c r="AN353" s="320">
        <v>80.19</v>
      </c>
      <c r="AO353" s="320">
        <v>77.86</v>
      </c>
      <c r="AP353" s="320">
        <v>16.63</v>
      </c>
    </row>
    <row r="354">
      <c r="A354" s="319" t="s">
        <v>256</v>
      </c>
      <c r="B354" s="328">
        <v>46108.0</v>
      </c>
      <c r="C354" s="319" t="s">
        <v>217</v>
      </c>
      <c r="D354" s="320">
        <v>5711.0</v>
      </c>
      <c r="E354" s="320">
        <v>5.55</v>
      </c>
      <c r="F354" s="320">
        <v>0.0</v>
      </c>
      <c r="G354" s="320">
        <v>0.0</v>
      </c>
      <c r="H354" s="320">
        <v>0.0</v>
      </c>
      <c r="I354" s="329"/>
      <c r="J354" s="320">
        <v>131.8</v>
      </c>
      <c r="K354" s="320">
        <v>71.44</v>
      </c>
      <c r="L354" s="320">
        <v>55.55</v>
      </c>
      <c r="M354" s="320">
        <v>0.7775</v>
      </c>
      <c r="N354" s="320">
        <v>0.3973</v>
      </c>
      <c r="O354" s="320">
        <v>0.2804</v>
      </c>
      <c r="P354" s="320">
        <v>1.2862</v>
      </c>
      <c r="Q354" s="320">
        <v>278.85</v>
      </c>
      <c r="R354" s="320">
        <v>161.49</v>
      </c>
      <c r="S354" s="320">
        <v>117.36</v>
      </c>
      <c r="T354" s="320">
        <v>0.0</v>
      </c>
      <c r="U354" s="320">
        <v>278.85</v>
      </c>
      <c r="V354" s="320">
        <v>309.84</v>
      </c>
      <c r="W354" s="320">
        <v>4.3368</v>
      </c>
      <c r="X354" s="320">
        <v>0.0</v>
      </c>
      <c r="Y354" s="320">
        <v>273.0</v>
      </c>
      <c r="Z354" s="320">
        <v>2098.0</v>
      </c>
      <c r="AA354" s="320">
        <v>9095.0</v>
      </c>
      <c r="AB354" s="320">
        <v>59.509</v>
      </c>
      <c r="AC354" s="320">
        <v>0.8369</v>
      </c>
      <c r="AD354" s="320">
        <v>37.36</v>
      </c>
      <c r="AE354" s="320">
        <v>15.0</v>
      </c>
      <c r="AF354" s="320">
        <v>29.0</v>
      </c>
      <c r="AG354" s="320">
        <v>50.0</v>
      </c>
      <c r="AH354" s="320">
        <v>78.0</v>
      </c>
      <c r="AI354" s="320">
        <v>52.58</v>
      </c>
      <c r="AJ354" s="320">
        <v>18.74</v>
      </c>
      <c r="AK354" s="320">
        <v>5.03</v>
      </c>
      <c r="AL354" s="320">
        <v>0.1599</v>
      </c>
      <c r="AM354" s="320">
        <v>21.94</v>
      </c>
      <c r="AN354" s="320">
        <v>139.56</v>
      </c>
      <c r="AO354" s="320">
        <v>83.35</v>
      </c>
      <c r="AP354" s="320">
        <v>18.29</v>
      </c>
    </row>
    <row r="355">
      <c r="A355" s="319" t="s">
        <v>256</v>
      </c>
      <c r="B355" s="328">
        <v>46108.0</v>
      </c>
      <c r="C355" s="319" t="s">
        <v>218</v>
      </c>
      <c r="D355" s="320">
        <v>660.0</v>
      </c>
      <c r="E355" s="320">
        <v>0.64</v>
      </c>
      <c r="F355" s="320">
        <v>0.0</v>
      </c>
      <c r="G355" s="320">
        <v>0.0</v>
      </c>
      <c r="H355" s="320">
        <v>0.0</v>
      </c>
      <c r="I355" s="329"/>
      <c r="J355" s="320">
        <v>249.7</v>
      </c>
      <c r="K355" s="320">
        <v>145.6</v>
      </c>
      <c r="L355" s="320">
        <v>126.78</v>
      </c>
      <c r="M355" s="320">
        <v>0.8707</v>
      </c>
      <c r="N355" s="320">
        <v>0.2806</v>
      </c>
      <c r="O355" s="320">
        <v>0.2075</v>
      </c>
      <c r="P355" s="320">
        <v>1.1484</v>
      </c>
      <c r="Q355" s="320">
        <v>584.56</v>
      </c>
      <c r="R355" s="320">
        <v>315.64</v>
      </c>
      <c r="S355" s="320">
        <v>268.92</v>
      </c>
      <c r="T355" s="320">
        <v>0.0</v>
      </c>
      <c r="U355" s="320">
        <v>584.56</v>
      </c>
      <c r="V355" s="320">
        <v>638.48</v>
      </c>
      <c r="W355" s="320">
        <v>4.3852</v>
      </c>
      <c r="X355" s="320">
        <v>0.0</v>
      </c>
      <c r="Y355" s="320">
        <v>764.0</v>
      </c>
      <c r="Z355" s="320">
        <v>3936.0</v>
      </c>
      <c r="AA355" s="320">
        <v>10817.0</v>
      </c>
      <c r="AB355" s="320">
        <v>62.8993</v>
      </c>
      <c r="AC355" s="320">
        <v>0.9051</v>
      </c>
      <c r="AD355" s="320">
        <v>88.94</v>
      </c>
      <c r="AE355" s="320">
        <v>37.0</v>
      </c>
      <c r="AF355" s="320">
        <v>75.0</v>
      </c>
      <c r="AG355" s="320">
        <v>127.0</v>
      </c>
      <c r="AH355" s="320">
        <v>178.0</v>
      </c>
      <c r="AI355" s="320">
        <v>47.42</v>
      </c>
      <c r="AJ355" s="320">
        <v>10.91</v>
      </c>
      <c r="AK355" s="320">
        <v>1.36</v>
      </c>
      <c r="AL355" s="320">
        <v>0.0894</v>
      </c>
      <c r="AM355" s="320">
        <v>23.79</v>
      </c>
      <c r="AN355" s="320">
        <v>291.85</v>
      </c>
      <c r="AO355" s="320">
        <v>84.65</v>
      </c>
      <c r="AP355" s="320">
        <v>20.14</v>
      </c>
    </row>
    <row r="356">
      <c r="A356" s="319" t="s">
        <v>256</v>
      </c>
      <c r="B356" s="328">
        <v>46109.0</v>
      </c>
      <c r="C356" s="319" t="s">
        <v>257</v>
      </c>
      <c r="D356" s="320">
        <v>19004.0</v>
      </c>
      <c r="E356" s="320">
        <v>18.74</v>
      </c>
      <c r="F356" s="320">
        <v>0.0</v>
      </c>
      <c r="G356" s="320">
        <v>0.0</v>
      </c>
      <c r="H356" s="320">
        <v>0.0</v>
      </c>
      <c r="I356" s="329"/>
      <c r="J356" s="320">
        <v>5.85</v>
      </c>
      <c r="K356" s="320">
        <v>2.43</v>
      </c>
      <c r="L356" s="320">
        <v>0.04</v>
      </c>
      <c r="M356" s="320">
        <v>0.0154</v>
      </c>
      <c r="N356" s="320">
        <v>0.9882</v>
      </c>
      <c r="O356" s="320">
        <v>0.8591</v>
      </c>
      <c r="P356" s="320">
        <v>65.1427</v>
      </c>
      <c r="Q356" s="320">
        <v>25.55</v>
      </c>
      <c r="R356" s="320">
        <v>25.43</v>
      </c>
      <c r="S356" s="320">
        <v>0.12</v>
      </c>
      <c r="T356" s="320">
        <v>0.0</v>
      </c>
      <c r="U356" s="320">
        <v>25.55</v>
      </c>
      <c r="V356" s="320">
        <v>2.01</v>
      </c>
      <c r="W356" s="320">
        <v>0.8272</v>
      </c>
      <c r="X356" s="320">
        <v>0.0</v>
      </c>
      <c r="Y356" s="320">
        <v>304.0</v>
      </c>
      <c r="Z356" s="320">
        <v>3560.0</v>
      </c>
      <c r="AA356" s="320">
        <v>14871.0</v>
      </c>
      <c r="AB356" s="320">
        <v>48.8852</v>
      </c>
      <c r="AC356" s="320">
        <v>0.5381</v>
      </c>
      <c r="AD356" s="329"/>
      <c r="AE356" s="329"/>
      <c r="AF356" s="329"/>
      <c r="AG356" s="329"/>
      <c r="AH356" s="329"/>
      <c r="AI356" s="320">
        <v>0.0</v>
      </c>
      <c r="AJ356" s="320">
        <v>0.0</v>
      </c>
      <c r="AK356" s="320">
        <v>0.0</v>
      </c>
      <c r="AL356" s="320">
        <v>0.2941</v>
      </c>
      <c r="AM356" s="320">
        <v>19.23</v>
      </c>
      <c r="AN356" s="320">
        <v>6.2</v>
      </c>
      <c r="AO356" s="329"/>
      <c r="AP356" s="329"/>
    </row>
    <row r="357">
      <c r="A357" s="319" t="s">
        <v>256</v>
      </c>
      <c r="B357" s="328">
        <v>46109.0</v>
      </c>
      <c r="C357" s="319" t="s">
        <v>214</v>
      </c>
      <c r="D357" s="320">
        <v>36824.0</v>
      </c>
      <c r="E357" s="320">
        <v>36.32</v>
      </c>
      <c r="F357" s="320">
        <v>0.0</v>
      </c>
      <c r="G357" s="320">
        <v>0.0</v>
      </c>
      <c r="H357" s="320">
        <v>0.0</v>
      </c>
      <c r="I357" s="329"/>
      <c r="J357" s="320">
        <v>29.47</v>
      </c>
      <c r="K357" s="320">
        <v>13.54</v>
      </c>
      <c r="L357" s="320">
        <v>5.86</v>
      </c>
      <c r="M357" s="320">
        <v>0.4329</v>
      </c>
      <c r="N357" s="320">
        <v>0.7417</v>
      </c>
      <c r="O357" s="320">
        <v>0.5438</v>
      </c>
      <c r="P357" s="320">
        <v>2.3101</v>
      </c>
      <c r="Q357" s="320">
        <v>53.65</v>
      </c>
      <c r="R357" s="320">
        <v>41.6</v>
      </c>
      <c r="S357" s="320">
        <v>12.05</v>
      </c>
      <c r="T357" s="320">
        <v>0.0</v>
      </c>
      <c r="U357" s="320">
        <v>53.65</v>
      </c>
      <c r="V357" s="320">
        <v>53.64</v>
      </c>
      <c r="W357" s="320">
        <v>3.9613</v>
      </c>
      <c r="X357" s="320">
        <v>0.0</v>
      </c>
      <c r="Y357" s="320">
        <v>144.0</v>
      </c>
      <c r="Z357" s="320">
        <v>897.0</v>
      </c>
      <c r="AA357" s="320">
        <v>6075.0</v>
      </c>
      <c r="AB357" s="320">
        <v>48.7652</v>
      </c>
      <c r="AC357" s="320">
        <v>0.5365</v>
      </c>
      <c r="AD357" s="320">
        <v>4.14</v>
      </c>
      <c r="AE357" s="320">
        <v>1.0</v>
      </c>
      <c r="AF357" s="320">
        <v>3.0</v>
      </c>
      <c r="AG357" s="320">
        <v>5.0</v>
      </c>
      <c r="AH357" s="320">
        <v>9.0</v>
      </c>
      <c r="AI357" s="320">
        <v>73.61</v>
      </c>
      <c r="AJ357" s="320">
        <v>31.97</v>
      </c>
      <c r="AK357" s="320">
        <v>9.64</v>
      </c>
      <c r="AL357" s="320">
        <v>0.2519</v>
      </c>
      <c r="AM357" s="320">
        <v>22.27</v>
      </c>
      <c r="AN357" s="320">
        <v>19.32</v>
      </c>
      <c r="AO357" s="320">
        <v>65.74</v>
      </c>
      <c r="AP357" s="320">
        <v>14.64</v>
      </c>
    </row>
    <row r="358">
      <c r="A358" s="319" t="s">
        <v>256</v>
      </c>
      <c r="B358" s="328">
        <v>46109.0</v>
      </c>
      <c r="C358" s="319" t="s">
        <v>215</v>
      </c>
      <c r="D358" s="320">
        <v>25093.0</v>
      </c>
      <c r="E358" s="320">
        <v>24.75</v>
      </c>
      <c r="F358" s="320">
        <v>0.0</v>
      </c>
      <c r="G358" s="320">
        <v>0.0</v>
      </c>
      <c r="H358" s="320">
        <v>0.0</v>
      </c>
      <c r="I358" s="329"/>
      <c r="J358" s="320">
        <v>53.35</v>
      </c>
      <c r="K358" s="320">
        <v>25.58</v>
      </c>
      <c r="L358" s="320">
        <v>14.04</v>
      </c>
      <c r="M358" s="320">
        <v>0.5488</v>
      </c>
      <c r="N358" s="320">
        <v>0.6451</v>
      </c>
      <c r="O358" s="320">
        <v>0.4523</v>
      </c>
      <c r="P358" s="320">
        <v>1.8221</v>
      </c>
      <c r="Q358" s="320">
        <v>95.11</v>
      </c>
      <c r="R358" s="320">
        <v>65.94</v>
      </c>
      <c r="S358" s="320">
        <v>29.18</v>
      </c>
      <c r="T358" s="320">
        <v>0.04</v>
      </c>
      <c r="U358" s="320">
        <v>95.08</v>
      </c>
      <c r="V358" s="320">
        <v>97.98</v>
      </c>
      <c r="W358" s="320">
        <v>3.831</v>
      </c>
      <c r="X358" s="320">
        <v>0.04</v>
      </c>
      <c r="Y358" s="320">
        <v>125.0</v>
      </c>
      <c r="Z358" s="320">
        <v>672.0</v>
      </c>
      <c r="AA358" s="320">
        <v>4869.0</v>
      </c>
      <c r="AB358" s="320">
        <v>52.3429</v>
      </c>
      <c r="AC358" s="320">
        <v>0.6379</v>
      </c>
      <c r="AD358" s="320">
        <v>9.55</v>
      </c>
      <c r="AE358" s="320">
        <v>4.0</v>
      </c>
      <c r="AF358" s="320">
        <v>8.0</v>
      </c>
      <c r="AG358" s="320">
        <v>13.0</v>
      </c>
      <c r="AH358" s="320">
        <v>20.0</v>
      </c>
      <c r="AI358" s="320">
        <v>61.42</v>
      </c>
      <c r="AJ358" s="320">
        <v>26.33</v>
      </c>
      <c r="AK358" s="320">
        <v>4.83</v>
      </c>
      <c r="AL358" s="320">
        <v>0.2026</v>
      </c>
      <c r="AM358" s="320">
        <v>23.12</v>
      </c>
      <c r="AN358" s="320">
        <v>42.82</v>
      </c>
      <c r="AO358" s="320">
        <v>74.94</v>
      </c>
      <c r="AP358" s="320">
        <v>17.33</v>
      </c>
    </row>
    <row r="359">
      <c r="A359" s="319" t="s">
        <v>256</v>
      </c>
      <c r="B359" s="328">
        <v>46109.0</v>
      </c>
      <c r="C359" s="319" t="s">
        <v>216</v>
      </c>
      <c r="D359" s="320">
        <v>14068.0</v>
      </c>
      <c r="E359" s="320">
        <v>13.88</v>
      </c>
      <c r="F359" s="320">
        <v>0.0</v>
      </c>
      <c r="G359" s="320">
        <v>0.0</v>
      </c>
      <c r="H359" s="320">
        <v>0.0</v>
      </c>
      <c r="I359" s="329"/>
      <c r="J359" s="320">
        <v>78.49</v>
      </c>
      <c r="K359" s="320">
        <v>39.8</v>
      </c>
      <c r="L359" s="320">
        <v>27.1</v>
      </c>
      <c r="M359" s="320">
        <v>0.6808</v>
      </c>
      <c r="N359" s="320">
        <v>0.5118</v>
      </c>
      <c r="O359" s="320">
        <v>0.3566</v>
      </c>
      <c r="P359" s="320">
        <v>1.4689</v>
      </c>
      <c r="Q359" s="320">
        <v>163.16</v>
      </c>
      <c r="R359" s="320">
        <v>106.09</v>
      </c>
      <c r="S359" s="320">
        <v>57.07</v>
      </c>
      <c r="T359" s="320">
        <v>0.0</v>
      </c>
      <c r="U359" s="320">
        <v>163.16</v>
      </c>
      <c r="V359" s="320">
        <v>166.39</v>
      </c>
      <c r="W359" s="320">
        <v>4.1802</v>
      </c>
      <c r="X359" s="320">
        <v>0.0</v>
      </c>
      <c r="Y359" s="320">
        <v>152.0</v>
      </c>
      <c r="Z359" s="320">
        <v>1016.0</v>
      </c>
      <c r="AA359" s="320">
        <v>6558.0</v>
      </c>
      <c r="AB359" s="320">
        <v>55.8089</v>
      </c>
      <c r="AC359" s="320">
        <v>0.7431</v>
      </c>
      <c r="AD359" s="320">
        <v>18.46</v>
      </c>
      <c r="AE359" s="320">
        <v>7.0</v>
      </c>
      <c r="AF359" s="320">
        <v>14.0</v>
      </c>
      <c r="AG359" s="320">
        <v>25.0</v>
      </c>
      <c r="AH359" s="320">
        <v>38.0</v>
      </c>
      <c r="AI359" s="320">
        <v>61.08</v>
      </c>
      <c r="AJ359" s="320">
        <v>24.35</v>
      </c>
      <c r="AK359" s="320">
        <v>7.89</v>
      </c>
      <c r="AL359" s="320">
        <v>0.1926</v>
      </c>
      <c r="AM359" s="320">
        <v>23.15</v>
      </c>
      <c r="AN359" s="320">
        <v>82.94</v>
      </c>
      <c r="AO359" s="320">
        <v>77.01</v>
      </c>
      <c r="AP359" s="320">
        <v>17.83</v>
      </c>
    </row>
    <row r="360">
      <c r="A360" s="319" t="s">
        <v>256</v>
      </c>
      <c r="B360" s="328">
        <v>46109.0</v>
      </c>
      <c r="C360" s="319" t="s">
        <v>217</v>
      </c>
      <c r="D360" s="320">
        <v>5765.0</v>
      </c>
      <c r="E360" s="320">
        <v>5.69</v>
      </c>
      <c r="F360" s="320">
        <v>0.0</v>
      </c>
      <c r="G360" s="320">
        <v>0.0</v>
      </c>
      <c r="H360" s="320">
        <v>0.0</v>
      </c>
      <c r="I360" s="329"/>
      <c r="J360" s="320">
        <v>127.87</v>
      </c>
      <c r="K360" s="320">
        <v>69.54</v>
      </c>
      <c r="L360" s="320">
        <v>55.39</v>
      </c>
      <c r="M360" s="320">
        <v>0.7966</v>
      </c>
      <c r="N360" s="320">
        <v>0.3824</v>
      </c>
      <c r="O360" s="320">
        <v>0.276</v>
      </c>
      <c r="P360" s="320">
        <v>1.2554</v>
      </c>
      <c r="Q360" s="320">
        <v>315.4</v>
      </c>
      <c r="R360" s="320">
        <v>198.6</v>
      </c>
      <c r="S360" s="320">
        <v>116.8</v>
      </c>
      <c r="T360" s="320">
        <v>0.0</v>
      </c>
      <c r="U360" s="320">
        <v>315.4</v>
      </c>
      <c r="V360" s="320">
        <v>316.09</v>
      </c>
      <c r="W360" s="320">
        <v>4.5456</v>
      </c>
      <c r="X360" s="320">
        <v>0.0</v>
      </c>
      <c r="Y360" s="320">
        <v>282.0</v>
      </c>
      <c r="Z360" s="320">
        <v>2018.0</v>
      </c>
      <c r="AA360" s="320">
        <v>8761.0</v>
      </c>
      <c r="AB360" s="320">
        <v>59.4792</v>
      </c>
      <c r="AC360" s="320">
        <v>0.8339</v>
      </c>
      <c r="AD360" s="320">
        <v>37.88</v>
      </c>
      <c r="AE360" s="320">
        <v>15.0</v>
      </c>
      <c r="AF360" s="320">
        <v>30.0</v>
      </c>
      <c r="AG360" s="320">
        <v>52.0</v>
      </c>
      <c r="AH360" s="320">
        <v>79.0</v>
      </c>
      <c r="AI360" s="320">
        <v>53.53</v>
      </c>
      <c r="AJ360" s="320">
        <v>19.44</v>
      </c>
      <c r="AK360" s="320">
        <v>5.03</v>
      </c>
      <c r="AL360" s="320">
        <v>0.1528</v>
      </c>
      <c r="AM360" s="320">
        <v>23.34</v>
      </c>
      <c r="AN360" s="320">
        <v>175.26</v>
      </c>
      <c r="AO360" s="320">
        <v>81.67</v>
      </c>
      <c r="AP360" s="320">
        <v>19.06</v>
      </c>
    </row>
    <row r="361">
      <c r="A361" s="319" t="s">
        <v>256</v>
      </c>
      <c r="B361" s="328">
        <v>46109.0</v>
      </c>
      <c r="C361" s="319" t="s">
        <v>218</v>
      </c>
      <c r="D361" s="320">
        <v>636.0</v>
      </c>
      <c r="E361" s="320">
        <v>0.63</v>
      </c>
      <c r="F361" s="320">
        <v>0.0</v>
      </c>
      <c r="G361" s="320">
        <v>0.0</v>
      </c>
      <c r="H361" s="320">
        <v>0.0</v>
      </c>
      <c r="I361" s="329"/>
      <c r="J361" s="320">
        <v>235.2</v>
      </c>
      <c r="K361" s="320">
        <v>138.78</v>
      </c>
      <c r="L361" s="320">
        <v>122.54</v>
      </c>
      <c r="M361" s="320">
        <v>0.883</v>
      </c>
      <c r="N361" s="320">
        <v>0.2697</v>
      </c>
      <c r="O361" s="320">
        <v>0.2058</v>
      </c>
      <c r="P361" s="320">
        <v>1.1325</v>
      </c>
      <c r="Q361" s="320">
        <v>642.91</v>
      </c>
      <c r="R361" s="320">
        <v>385.64</v>
      </c>
      <c r="S361" s="320">
        <v>257.27</v>
      </c>
      <c r="T361" s="320">
        <v>0.0</v>
      </c>
      <c r="U361" s="320">
        <v>642.91</v>
      </c>
      <c r="V361" s="320">
        <v>612.34</v>
      </c>
      <c r="W361" s="320">
        <v>4.4124</v>
      </c>
      <c r="X361" s="320">
        <v>0.0</v>
      </c>
      <c r="Y361" s="320">
        <v>885.0</v>
      </c>
      <c r="Z361" s="320">
        <v>4634.0</v>
      </c>
      <c r="AA361" s="320">
        <v>12266.0</v>
      </c>
      <c r="AB361" s="320">
        <v>63.1233</v>
      </c>
      <c r="AC361" s="320">
        <v>0.8932</v>
      </c>
      <c r="AD361" s="320">
        <v>85.67</v>
      </c>
      <c r="AE361" s="320">
        <v>35.0</v>
      </c>
      <c r="AF361" s="320">
        <v>72.0</v>
      </c>
      <c r="AG361" s="320">
        <v>121.0</v>
      </c>
      <c r="AH361" s="320">
        <v>171.0</v>
      </c>
      <c r="AI361" s="320">
        <v>45.91</v>
      </c>
      <c r="AJ361" s="320">
        <v>9.75</v>
      </c>
      <c r="AK361" s="320">
        <v>0.94</v>
      </c>
      <c r="AL361" s="320">
        <v>0.1116</v>
      </c>
      <c r="AM361" s="320">
        <v>23.69</v>
      </c>
      <c r="AN361" s="320">
        <v>361.95</v>
      </c>
      <c r="AO361" s="320">
        <v>84.86</v>
      </c>
      <c r="AP361" s="320">
        <v>20.1</v>
      </c>
    </row>
    <row r="362">
      <c r="A362" s="319" t="s">
        <v>256</v>
      </c>
      <c r="B362" s="328">
        <v>46110.0</v>
      </c>
      <c r="C362" s="319" t="s">
        <v>257</v>
      </c>
      <c r="D362" s="320">
        <v>19282.0</v>
      </c>
      <c r="E362" s="320">
        <v>18.76</v>
      </c>
      <c r="F362" s="320">
        <v>0.0</v>
      </c>
      <c r="G362" s="320">
        <v>0.0</v>
      </c>
      <c r="H362" s="320">
        <v>0.0</v>
      </c>
      <c r="I362" s="329"/>
      <c r="J362" s="320">
        <v>6.15</v>
      </c>
      <c r="K362" s="320">
        <v>2.55</v>
      </c>
      <c r="L362" s="320">
        <v>0.03</v>
      </c>
      <c r="M362" s="320">
        <v>0.0109</v>
      </c>
      <c r="N362" s="320">
        <v>0.9912</v>
      </c>
      <c r="O362" s="320">
        <v>0.8838</v>
      </c>
      <c r="P362" s="320">
        <v>91.6499</v>
      </c>
      <c r="Q362" s="320">
        <v>24.31</v>
      </c>
      <c r="R362" s="320">
        <v>23.93</v>
      </c>
      <c r="S362" s="320">
        <v>0.37</v>
      </c>
      <c r="T362" s="320">
        <v>0.0</v>
      </c>
      <c r="U362" s="320">
        <v>24.31</v>
      </c>
      <c r="V362" s="320">
        <v>1.89</v>
      </c>
      <c r="W362" s="320">
        <v>0.7396</v>
      </c>
      <c r="X362" s="320">
        <v>0.0</v>
      </c>
      <c r="Y362" s="320">
        <v>320.0</v>
      </c>
      <c r="Z362" s="320">
        <v>3928.0</v>
      </c>
      <c r="AA362" s="320">
        <v>15316.0</v>
      </c>
      <c r="AB362" s="320">
        <v>49.105</v>
      </c>
      <c r="AC362" s="320">
        <v>0.5489</v>
      </c>
      <c r="AD362" s="329"/>
      <c r="AE362" s="329"/>
      <c r="AF362" s="329"/>
      <c r="AG362" s="329"/>
      <c r="AH362" s="329"/>
      <c r="AI362" s="320">
        <v>0.0</v>
      </c>
      <c r="AJ362" s="320">
        <v>0.0</v>
      </c>
      <c r="AK362" s="320">
        <v>0.0</v>
      </c>
      <c r="AL362" s="320">
        <v>0.29</v>
      </c>
      <c r="AM362" s="320">
        <v>19.44</v>
      </c>
      <c r="AN362" s="320">
        <v>4.49</v>
      </c>
      <c r="AO362" s="329"/>
      <c r="AP362" s="329"/>
    </row>
    <row r="363">
      <c r="A363" s="319" t="s">
        <v>256</v>
      </c>
      <c r="B363" s="328">
        <v>46110.0</v>
      </c>
      <c r="C363" s="319" t="s">
        <v>214</v>
      </c>
      <c r="D363" s="320">
        <v>36913.0</v>
      </c>
      <c r="E363" s="320">
        <v>35.91</v>
      </c>
      <c r="F363" s="320">
        <v>0.0</v>
      </c>
      <c r="G363" s="320">
        <v>0.0</v>
      </c>
      <c r="H363" s="320">
        <v>0.0</v>
      </c>
      <c r="I363" s="329"/>
      <c r="J363" s="320">
        <v>31.72</v>
      </c>
      <c r="K363" s="320">
        <v>14.7</v>
      </c>
      <c r="L363" s="320">
        <v>5.9</v>
      </c>
      <c r="M363" s="320">
        <v>0.4014</v>
      </c>
      <c r="N363" s="320">
        <v>0.7633</v>
      </c>
      <c r="O363" s="320">
        <v>0.5574</v>
      </c>
      <c r="P363" s="320">
        <v>2.4916</v>
      </c>
      <c r="Q363" s="320">
        <v>47.62</v>
      </c>
      <c r="R363" s="320">
        <v>35.47</v>
      </c>
      <c r="S363" s="320">
        <v>12.15</v>
      </c>
      <c r="T363" s="320">
        <v>0.05</v>
      </c>
      <c r="U363" s="320">
        <v>47.57</v>
      </c>
      <c r="V363" s="320">
        <v>52.16</v>
      </c>
      <c r="W363" s="320">
        <v>3.5483</v>
      </c>
      <c r="X363" s="320">
        <v>0.1</v>
      </c>
      <c r="Y363" s="320">
        <v>140.0</v>
      </c>
      <c r="Z363" s="320">
        <v>890.0</v>
      </c>
      <c r="AA363" s="320">
        <v>5967.0</v>
      </c>
      <c r="AB363" s="320">
        <v>48.7801</v>
      </c>
      <c r="AC363" s="320">
        <v>0.5386</v>
      </c>
      <c r="AD363" s="320">
        <v>4.09</v>
      </c>
      <c r="AE363" s="320">
        <v>1.0</v>
      </c>
      <c r="AF363" s="320">
        <v>3.0</v>
      </c>
      <c r="AG363" s="320">
        <v>5.0</v>
      </c>
      <c r="AH363" s="320">
        <v>9.0</v>
      </c>
      <c r="AI363" s="320">
        <v>74.34</v>
      </c>
      <c r="AJ363" s="320">
        <v>31.71</v>
      </c>
      <c r="AK363" s="320">
        <v>8.96</v>
      </c>
      <c r="AL363" s="320">
        <v>0.2597</v>
      </c>
      <c r="AM363" s="320">
        <v>20.76</v>
      </c>
      <c r="AN363" s="320">
        <v>14.71</v>
      </c>
      <c r="AO363" s="320">
        <v>65.5</v>
      </c>
      <c r="AP363" s="320">
        <v>13.6</v>
      </c>
    </row>
    <row r="364">
      <c r="A364" s="319" t="s">
        <v>256</v>
      </c>
      <c r="B364" s="328">
        <v>46110.0</v>
      </c>
      <c r="C364" s="319" t="s">
        <v>215</v>
      </c>
      <c r="D364" s="320">
        <v>25691.0</v>
      </c>
      <c r="E364" s="320">
        <v>24.99</v>
      </c>
      <c r="F364" s="320">
        <v>0.0</v>
      </c>
      <c r="G364" s="320">
        <v>0.0</v>
      </c>
      <c r="H364" s="320">
        <v>0.0</v>
      </c>
      <c r="I364" s="329"/>
      <c r="J364" s="320">
        <v>58.27</v>
      </c>
      <c r="K364" s="320">
        <v>28.02</v>
      </c>
      <c r="L364" s="320">
        <v>14.45</v>
      </c>
      <c r="M364" s="320">
        <v>0.5158</v>
      </c>
      <c r="N364" s="320">
        <v>0.6692</v>
      </c>
      <c r="O364" s="320">
        <v>0.4637</v>
      </c>
      <c r="P364" s="320">
        <v>1.9386</v>
      </c>
      <c r="Q364" s="320">
        <v>81.35</v>
      </c>
      <c r="R364" s="320">
        <v>51.23</v>
      </c>
      <c r="S364" s="320">
        <v>30.12</v>
      </c>
      <c r="T364" s="320">
        <v>0.05</v>
      </c>
      <c r="U364" s="320">
        <v>81.3</v>
      </c>
      <c r="V364" s="320">
        <v>93.95</v>
      </c>
      <c r="W364" s="320">
        <v>3.3529</v>
      </c>
      <c r="X364" s="320">
        <v>0.07</v>
      </c>
      <c r="Y364" s="320">
        <v>112.0</v>
      </c>
      <c r="Z364" s="320">
        <v>624.0</v>
      </c>
      <c r="AA364" s="320">
        <v>4636.0</v>
      </c>
      <c r="AB364" s="320">
        <v>52.2554</v>
      </c>
      <c r="AC364" s="320">
        <v>0.6377</v>
      </c>
      <c r="AD364" s="320">
        <v>9.57</v>
      </c>
      <c r="AE364" s="320">
        <v>4.0</v>
      </c>
      <c r="AF364" s="320">
        <v>7.0</v>
      </c>
      <c r="AG364" s="320">
        <v>13.0</v>
      </c>
      <c r="AH364" s="320">
        <v>20.0</v>
      </c>
      <c r="AI364" s="320">
        <v>61.19</v>
      </c>
      <c r="AJ364" s="320">
        <v>26.49</v>
      </c>
      <c r="AK364" s="320">
        <v>5.08</v>
      </c>
      <c r="AL364" s="320">
        <v>0.211</v>
      </c>
      <c r="AM364" s="320">
        <v>21.33</v>
      </c>
      <c r="AN364" s="320">
        <v>29.9</v>
      </c>
      <c r="AO364" s="320">
        <v>74.2</v>
      </c>
      <c r="AP364" s="320">
        <v>15.83</v>
      </c>
    </row>
    <row r="365">
      <c r="A365" s="319" t="s">
        <v>256</v>
      </c>
      <c r="B365" s="328">
        <v>46110.0</v>
      </c>
      <c r="C365" s="319" t="s">
        <v>216</v>
      </c>
      <c r="D365" s="320">
        <v>14390.0</v>
      </c>
      <c r="E365" s="320">
        <v>14.0</v>
      </c>
      <c r="F365" s="320">
        <v>0.0</v>
      </c>
      <c r="G365" s="320">
        <v>0.0</v>
      </c>
      <c r="H365" s="320">
        <v>0.0</v>
      </c>
      <c r="I365" s="329"/>
      <c r="J365" s="320">
        <v>84.38</v>
      </c>
      <c r="K365" s="320">
        <v>43.09</v>
      </c>
      <c r="L365" s="320">
        <v>28.02</v>
      </c>
      <c r="M365" s="320">
        <v>0.6503</v>
      </c>
      <c r="N365" s="320">
        <v>0.5348</v>
      </c>
      <c r="O365" s="320">
        <v>0.3659</v>
      </c>
      <c r="P365" s="320">
        <v>1.5378</v>
      </c>
      <c r="Q365" s="320">
        <v>132.57</v>
      </c>
      <c r="R365" s="320">
        <v>74.15</v>
      </c>
      <c r="S365" s="320">
        <v>58.42</v>
      </c>
      <c r="T365" s="320">
        <v>0.0</v>
      </c>
      <c r="U365" s="320">
        <v>132.56</v>
      </c>
      <c r="V365" s="320">
        <v>162.52</v>
      </c>
      <c r="W365" s="320">
        <v>3.7715</v>
      </c>
      <c r="X365" s="320">
        <v>0.0</v>
      </c>
      <c r="Y365" s="320">
        <v>137.0</v>
      </c>
      <c r="Z365" s="320">
        <v>971.0</v>
      </c>
      <c r="AA365" s="320">
        <v>6313.0</v>
      </c>
      <c r="AB365" s="320">
        <v>55.718</v>
      </c>
      <c r="AC365" s="320">
        <v>0.7465</v>
      </c>
      <c r="AD365" s="320">
        <v>18.33</v>
      </c>
      <c r="AE365" s="320">
        <v>7.0</v>
      </c>
      <c r="AF365" s="320">
        <v>14.0</v>
      </c>
      <c r="AG365" s="320">
        <v>25.0</v>
      </c>
      <c r="AH365" s="320">
        <v>38.0</v>
      </c>
      <c r="AI365" s="320">
        <v>60.42</v>
      </c>
      <c r="AJ365" s="320">
        <v>24.11</v>
      </c>
      <c r="AK365" s="320">
        <v>7.85</v>
      </c>
      <c r="AL365" s="320">
        <v>0.207</v>
      </c>
      <c r="AM365" s="320">
        <v>21.55</v>
      </c>
      <c r="AN365" s="320">
        <v>52.6</v>
      </c>
      <c r="AO365" s="320">
        <v>76.25</v>
      </c>
      <c r="AP365" s="320">
        <v>16.43</v>
      </c>
    </row>
    <row r="366">
      <c r="A366" s="319" t="s">
        <v>256</v>
      </c>
      <c r="B366" s="328">
        <v>46110.0</v>
      </c>
      <c r="C366" s="319" t="s">
        <v>217</v>
      </c>
      <c r="D366" s="320">
        <v>5873.0</v>
      </c>
      <c r="E366" s="320">
        <v>5.71</v>
      </c>
      <c r="F366" s="320">
        <v>0.0</v>
      </c>
      <c r="G366" s="320">
        <v>0.0</v>
      </c>
      <c r="H366" s="320">
        <v>0.0</v>
      </c>
      <c r="I366" s="329"/>
      <c r="J366" s="320">
        <v>131.44</v>
      </c>
      <c r="K366" s="320">
        <v>71.89</v>
      </c>
      <c r="L366" s="320">
        <v>56.2</v>
      </c>
      <c r="M366" s="320">
        <v>0.7818</v>
      </c>
      <c r="N366" s="320">
        <v>0.3938</v>
      </c>
      <c r="O366" s="320">
        <v>0.2792</v>
      </c>
      <c r="P366" s="320">
        <v>1.2791</v>
      </c>
      <c r="Q366" s="320">
        <v>241.05</v>
      </c>
      <c r="R366" s="320">
        <v>123.2</v>
      </c>
      <c r="S366" s="320">
        <v>117.85</v>
      </c>
      <c r="T366" s="320">
        <v>0.0</v>
      </c>
      <c r="U366" s="320">
        <v>241.05</v>
      </c>
      <c r="V366" s="320">
        <v>309.26</v>
      </c>
      <c r="W366" s="320">
        <v>4.3021</v>
      </c>
      <c r="X366" s="320">
        <v>0.0</v>
      </c>
      <c r="Y366" s="320">
        <v>249.0</v>
      </c>
      <c r="Z366" s="320">
        <v>2126.0</v>
      </c>
      <c r="AA366" s="320">
        <v>8820.0</v>
      </c>
      <c r="AB366" s="320">
        <v>59.427</v>
      </c>
      <c r="AC366" s="320">
        <v>0.8352</v>
      </c>
      <c r="AD366" s="320">
        <v>37.53</v>
      </c>
      <c r="AE366" s="320">
        <v>14.0</v>
      </c>
      <c r="AF366" s="320">
        <v>29.0</v>
      </c>
      <c r="AG366" s="320">
        <v>52.0</v>
      </c>
      <c r="AH366" s="320">
        <v>81.0</v>
      </c>
      <c r="AI366" s="320">
        <v>51.78</v>
      </c>
      <c r="AJ366" s="320">
        <v>19.65</v>
      </c>
      <c r="AK366" s="320">
        <v>4.6</v>
      </c>
      <c r="AL366" s="320">
        <v>0.1503</v>
      </c>
      <c r="AM366" s="320">
        <v>21.41</v>
      </c>
      <c r="AN366" s="320">
        <v>101.79</v>
      </c>
      <c r="AO366" s="320">
        <v>81.08</v>
      </c>
      <c r="AP366" s="320">
        <v>17.36</v>
      </c>
    </row>
    <row r="367">
      <c r="A367" s="319" t="s">
        <v>256</v>
      </c>
      <c r="B367" s="328">
        <v>46110.0</v>
      </c>
      <c r="C367" s="319" t="s">
        <v>218</v>
      </c>
      <c r="D367" s="320">
        <v>642.0</v>
      </c>
      <c r="E367" s="320">
        <v>0.62</v>
      </c>
      <c r="F367" s="320">
        <v>0.0</v>
      </c>
      <c r="G367" s="320">
        <v>0.0</v>
      </c>
      <c r="H367" s="320">
        <v>0.0</v>
      </c>
      <c r="I367" s="329"/>
      <c r="J367" s="320">
        <v>250.52</v>
      </c>
      <c r="K367" s="320">
        <v>149.33</v>
      </c>
      <c r="L367" s="320">
        <v>128.03</v>
      </c>
      <c r="M367" s="320">
        <v>0.8574</v>
      </c>
      <c r="N367" s="320">
        <v>0.2902</v>
      </c>
      <c r="O367" s="320">
        <v>0.2131</v>
      </c>
      <c r="P367" s="320">
        <v>1.1664</v>
      </c>
      <c r="Q367" s="320">
        <v>502.01</v>
      </c>
      <c r="R367" s="320">
        <v>231.45</v>
      </c>
      <c r="S367" s="320">
        <v>270.56</v>
      </c>
      <c r="T367" s="320">
        <v>0.0</v>
      </c>
      <c r="U367" s="320">
        <v>502.01</v>
      </c>
      <c r="V367" s="320">
        <v>625.08</v>
      </c>
      <c r="W367" s="320">
        <v>4.1859</v>
      </c>
      <c r="X367" s="320">
        <v>0.0</v>
      </c>
      <c r="Y367" s="320">
        <v>743.0</v>
      </c>
      <c r="Z367" s="320">
        <v>4169.0</v>
      </c>
      <c r="AA367" s="320">
        <v>11682.0</v>
      </c>
      <c r="AB367" s="320">
        <v>63.1033</v>
      </c>
      <c r="AC367" s="320">
        <v>0.899</v>
      </c>
      <c r="AD367" s="320">
        <v>85.37</v>
      </c>
      <c r="AE367" s="320">
        <v>31.0</v>
      </c>
      <c r="AF367" s="320">
        <v>68.0</v>
      </c>
      <c r="AG367" s="320">
        <v>120.0</v>
      </c>
      <c r="AH367" s="320">
        <v>181.0</v>
      </c>
      <c r="AI367" s="320">
        <v>43.77</v>
      </c>
      <c r="AJ367" s="320">
        <v>11.21</v>
      </c>
      <c r="AK367" s="320">
        <v>1.87</v>
      </c>
      <c r="AL367" s="320">
        <v>0.1044</v>
      </c>
      <c r="AM367" s="320">
        <v>23.4</v>
      </c>
      <c r="AN367" s="320">
        <v>208.05</v>
      </c>
      <c r="AO367" s="320">
        <v>82.62</v>
      </c>
      <c r="AP367" s="320">
        <v>19.33</v>
      </c>
    </row>
    <row r="368">
      <c r="A368" s="319" t="s">
        <v>256</v>
      </c>
      <c r="B368" s="328">
        <v>46111.0</v>
      </c>
      <c r="C368" s="319" t="s">
        <v>257</v>
      </c>
      <c r="D368" s="320">
        <v>19746.0</v>
      </c>
      <c r="E368" s="320">
        <v>18.16</v>
      </c>
      <c r="F368" s="320">
        <v>0.0</v>
      </c>
      <c r="G368" s="320">
        <v>0.0</v>
      </c>
      <c r="H368" s="320">
        <v>0.0</v>
      </c>
      <c r="I368" s="329"/>
      <c r="J368" s="320">
        <v>5.77</v>
      </c>
      <c r="K368" s="320">
        <v>2.32</v>
      </c>
      <c r="L368" s="320">
        <v>0.1</v>
      </c>
      <c r="M368" s="320">
        <v>0.041</v>
      </c>
      <c r="N368" s="320">
        <v>0.9666</v>
      </c>
      <c r="O368" s="320">
        <v>0.6989</v>
      </c>
      <c r="P368" s="320">
        <v>24.3938</v>
      </c>
      <c r="Q368" s="320">
        <v>33.52</v>
      </c>
      <c r="R368" s="320">
        <v>33.36</v>
      </c>
      <c r="S368" s="320">
        <v>0.16</v>
      </c>
      <c r="T368" s="320">
        <v>0.0</v>
      </c>
      <c r="U368" s="320">
        <v>33.52</v>
      </c>
      <c r="V368" s="320">
        <v>2.1</v>
      </c>
      <c r="W368" s="320">
        <v>0.9032</v>
      </c>
      <c r="X368" s="320">
        <v>0.0</v>
      </c>
      <c r="Y368" s="320">
        <v>414.0</v>
      </c>
      <c r="Z368" s="320">
        <v>4378.0</v>
      </c>
      <c r="AA368" s="320">
        <v>15780.0</v>
      </c>
      <c r="AB368" s="320">
        <v>49.4048</v>
      </c>
      <c r="AC368" s="320">
        <v>0.5566</v>
      </c>
      <c r="AD368" s="329"/>
      <c r="AE368" s="329"/>
      <c r="AF368" s="329"/>
      <c r="AG368" s="329"/>
      <c r="AH368" s="329"/>
      <c r="AI368" s="320">
        <v>0.0</v>
      </c>
      <c r="AJ368" s="320">
        <v>0.0</v>
      </c>
      <c r="AK368" s="320">
        <v>0.0</v>
      </c>
      <c r="AL368" s="320">
        <v>0.2786</v>
      </c>
      <c r="AM368" s="320">
        <v>16.92</v>
      </c>
      <c r="AN368" s="320">
        <v>16.44</v>
      </c>
      <c r="AO368" s="329"/>
      <c r="AP368" s="329"/>
    </row>
    <row r="369">
      <c r="A369" s="319" t="s">
        <v>256</v>
      </c>
      <c r="B369" s="328">
        <v>46111.0</v>
      </c>
      <c r="C369" s="319" t="s">
        <v>214</v>
      </c>
      <c r="D369" s="320">
        <v>37749.0</v>
      </c>
      <c r="E369" s="320">
        <v>34.72</v>
      </c>
      <c r="F369" s="320">
        <v>0.0</v>
      </c>
      <c r="G369" s="320">
        <v>0.0</v>
      </c>
      <c r="H369" s="320">
        <v>0.0</v>
      </c>
      <c r="I369" s="329"/>
      <c r="J369" s="320">
        <v>31.86</v>
      </c>
      <c r="K369" s="320">
        <v>14.49</v>
      </c>
      <c r="L369" s="320">
        <v>5.76</v>
      </c>
      <c r="M369" s="320">
        <v>0.3976</v>
      </c>
      <c r="N369" s="320">
        <v>0.7707</v>
      </c>
      <c r="O369" s="320">
        <v>0.5714</v>
      </c>
      <c r="P369" s="320">
        <v>2.5148</v>
      </c>
      <c r="Q369" s="320">
        <v>71.27</v>
      </c>
      <c r="R369" s="320">
        <v>59.65</v>
      </c>
      <c r="S369" s="320">
        <v>11.62</v>
      </c>
      <c r="T369" s="320">
        <v>0.0</v>
      </c>
      <c r="U369" s="320">
        <v>71.27</v>
      </c>
      <c r="V369" s="320">
        <v>58.57</v>
      </c>
      <c r="W369" s="320">
        <v>4.0433</v>
      </c>
      <c r="X369" s="320">
        <v>0.0</v>
      </c>
      <c r="Y369" s="320">
        <v>155.0</v>
      </c>
      <c r="Z369" s="320">
        <v>867.0</v>
      </c>
      <c r="AA369" s="320">
        <v>5836.0</v>
      </c>
      <c r="AB369" s="320">
        <v>48.6363</v>
      </c>
      <c r="AC369" s="320">
        <v>0.5265</v>
      </c>
      <c r="AD369" s="320">
        <v>3.99</v>
      </c>
      <c r="AE369" s="320">
        <v>1.0</v>
      </c>
      <c r="AF369" s="320">
        <v>3.0</v>
      </c>
      <c r="AG369" s="320">
        <v>5.0</v>
      </c>
      <c r="AH369" s="320">
        <v>9.0</v>
      </c>
      <c r="AI369" s="320">
        <v>73.64</v>
      </c>
      <c r="AJ369" s="320">
        <v>30.63</v>
      </c>
      <c r="AK369" s="320">
        <v>8.33</v>
      </c>
      <c r="AL369" s="320">
        <v>0.2381</v>
      </c>
      <c r="AM369" s="320">
        <v>18.54</v>
      </c>
      <c r="AN369" s="320">
        <v>41.11</v>
      </c>
      <c r="AO369" s="320">
        <v>65.98</v>
      </c>
      <c r="AP369" s="320">
        <v>12.23</v>
      </c>
    </row>
    <row r="370">
      <c r="A370" s="319" t="s">
        <v>256</v>
      </c>
      <c r="B370" s="328">
        <v>46111.0</v>
      </c>
      <c r="C370" s="319" t="s">
        <v>215</v>
      </c>
      <c r="D370" s="320">
        <v>27626.0</v>
      </c>
      <c r="E370" s="320">
        <v>25.41</v>
      </c>
      <c r="F370" s="320">
        <v>0.0</v>
      </c>
      <c r="G370" s="320">
        <v>0.0</v>
      </c>
      <c r="H370" s="320">
        <v>0.0</v>
      </c>
      <c r="I370" s="329"/>
      <c r="J370" s="320">
        <v>60.34</v>
      </c>
      <c r="K370" s="320">
        <v>28.41</v>
      </c>
      <c r="L370" s="320">
        <v>15.13</v>
      </c>
      <c r="M370" s="320">
        <v>0.5325</v>
      </c>
      <c r="N370" s="320">
        <v>0.6627</v>
      </c>
      <c r="O370" s="320">
        <v>0.464</v>
      </c>
      <c r="P370" s="320">
        <v>1.8779</v>
      </c>
      <c r="Q370" s="320">
        <v>130.07</v>
      </c>
      <c r="R370" s="320">
        <v>100.57</v>
      </c>
      <c r="S370" s="320">
        <v>29.5</v>
      </c>
      <c r="T370" s="320">
        <v>0.0</v>
      </c>
      <c r="U370" s="320">
        <v>130.07</v>
      </c>
      <c r="V370" s="320">
        <v>112.67</v>
      </c>
      <c r="W370" s="320">
        <v>3.9658</v>
      </c>
      <c r="X370" s="320">
        <v>0.0</v>
      </c>
      <c r="Y370" s="320">
        <v>144.0</v>
      </c>
      <c r="Z370" s="320">
        <v>704.0</v>
      </c>
      <c r="AA370" s="320">
        <v>5342.0</v>
      </c>
      <c r="AB370" s="320">
        <v>52.1654</v>
      </c>
      <c r="AC370" s="320">
        <v>0.5935</v>
      </c>
      <c r="AD370" s="320">
        <v>9.79</v>
      </c>
      <c r="AE370" s="320">
        <v>4.0</v>
      </c>
      <c r="AF370" s="320">
        <v>8.0</v>
      </c>
      <c r="AG370" s="320">
        <v>13.0</v>
      </c>
      <c r="AH370" s="320">
        <v>21.0</v>
      </c>
      <c r="AI370" s="320">
        <v>61.45</v>
      </c>
      <c r="AJ370" s="320">
        <v>27.73</v>
      </c>
      <c r="AK370" s="320">
        <v>5.6</v>
      </c>
      <c r="AL370" s="320">
        <v>0.1783</v>
      </c>
      <c r="AM370" s="320">
        <v>19.27</v>
      </c>
      <c r="AN370" s="320">
        <v>81.3</v>
      </c>
      <c r="AO370" s="320">
        <v>73.19</v>
      </c>
      <c r="AP370" s="320">
        <v>14.1</v>
      </c>
    </row>
    <row r="371">
      <c r="A371" s="319" t="s">
        <v>256</v>
      </c>
      <c r="B371" s="328">
        <v>46111.0</v>
      </c>
      <c r="C371" s="319" t="s">
        <v>216</v>
      </c>
      <c r="D371" s="320">
        <v>16185.0</v>
      </c>
      <c r="E371" s="320">
        <v>14.89</v>
      </c>
      <c r="F371" s="320">
        <v>0.0</v>
      </c>
      <c r="G371" s="320">
        <v>0.0</v>
      </c>
      <c r="H371" s="320">
        <v>0.0</v>
      </c>
      <c r="I371" s="329"/>
      <c r="J371" s="320">
        <v>90.23</v>
      </c>
      <c r="K371" s="320">
        <v>45.22</v>
      </c>
      <c r="L371" s="320">
        <v>31.04</v>
      </c>
      <c r="M371" s="320">
        <v>0.6863</v>
      </c>
      <c r="N371" s="320">
        <v>0.5138</v>
      </c>
      <c r="O371" s="320">
        <v>0.3581</v>
      </c>
      <c r="P371" s="320">
        <v>1.457</v>
      </c>
      <c r="Q371" s="320">
        <v>223.53</v>
      </c>
      <c r="R371" s="320">
        <v>165.97</v>
      </c>
      <c r="S371" s="320">
        <v>57.56</v>
      </c>
      <c r="T371" s="320">
        <v>0.0</v>
      </c>
      <c r="U371" s="320">
        <v>223.53</v>
      </c>
      <c r="V371" s="320">
        <v>198.75</v>
      </c>
      <c r="W371" s="320">
        <v>4.3947</v>
      </c>
      <c r="X371" s="320">
        <v>0.0</v>
      </c>
      <c r="Y371" s="320">
        <v>171.0</v>
      </c>
      <c r="Z371" s="320">
        <v>1050.0</v>
      </c>
      <c r="AA371" s="320">
        <v>7489.0</v>
      </c>
      <c r="AB371" s="320">
        <v>55.2036</v>
      </c>
      <c r="AC371" s="320">
        <v>0.6566</v>
      </c>
      <c r="AD371" s="320">
        <v>19.29</v>
      </c>
      <c r="AE371" s="320">
        <v>8.0</v>
      </c>
      <c r="AF371" s="320">
        <v>15.0</v>
      </c>
      <c r="AG371" s="320">
        <v>27.0</v>
      </c>
      <c r="AH371" s="320">
        <v>39.0</v>
      </c>
      <c r="AI371" s="320">
        <v>64.93</v>
      </c>
      <c r="AJ371" s="320">
        <v>27.91</v>
      </c>
      <c r="AK371" s="320">
        <v>6.64</v>
      </c>
      <c r="AL371" s="320">
        <v>0.1616</v>
      </c>
      <c r="AM371" s="320">
        <v>19.62</v>
      </c>
      <c r="AN371" s="320">
        <v>146.35</v>
      </c>
      <c r="AO371" s="320">
        <v>71.72</v>
      </c>
      <c r="AP371" s="320">
        <v>14.07</v>
      </c>
    </row>
    <row r="372">
      <c r="A372" s="319" t="s">
        <v>256</v>
      </c>
      <c r="B372" s="328">
        <v>46111.0</v>
      </c>
      <c r="C372" s="319" t="s">
        <v>217</v>
      </c>
      <c r="D372" s="320">
        <v>6753.0</v>
      </c>
      <c r="E372" s="320">
        <v>6.21</v>
      </c>
      <c r="F372" s="320">
        <v>0.0</v>
      </c>
      <c r="G372" s="320">
        <v>0.0</v>
      </c>
      <c r="H372" s="320">
        <v>0.0</v>
      </c>
      <c r="I372" s="329"/>
      <c r="J372" s="320">
        <v>143.7</v>
      </c>
      <c r="K372" s="320">
        <v>77.39</v>
      </c>
      <c r="L372" s="320">
        <v>62.64</v>
      </c>
      <c r="M372" s="320">
        <v>0.8094</v>
      </c>
      <c r="N372" s="320">
        <v>0.3753</v>
      </c>
      <c r="O372" s="320">
        <v>0.2732</v>
      </c>
      <c r="P372" s="320">
        <v>1.2355</v>
      </c>
      <c r="Q372" s="320">
        <v>401.63</v>
      </c>
      <c r="R372" s="320">
        <v>287.3</v>
      </c>
      <c r="S372" s="320">
        <v>114.33</v>
      </c>
      <c r="T372" s="320">
        <v>0.0</v>
      </c>
      <c r="U372" s="320">
        <v>401.63</v>
      </c>
      <c r="V372" s="320">
        <v>363.5</v>
      </c>
      <c r="W372" s="320">
        <v>4.6969</v>
      </c>
      <c r="X372" s="320">
        <v>0.0</v>
      </c>
      <c r="Y372" s="320">
        <v>356.0</v>
      </c>
      <c r="Z372" s="320">
        <v>2390.0</v>
      </c>
      <c r="AA372" s="320">
        <v>10987.0</v>
      </c>
      <c r="AB372" s="320">
        <v>58.6823</v>
      </c>
      <c r="AC372" s="320">
        <v>0.7309</v>
      </c>
      <c r="AD372" s="320">
        <v>38.84</v>
      </c>
      <c r="AE372" s="320">
        <v>18.0</v>
      </c>
      <c r="AF372" s="320">
        <v>34.0</v>
      </c>
      <c r="AG372" s="320">
        <v>50.0</v>
      </c>
      <c r="AH372" s="320">
        <v>78.0</v>
      </c>
      <c r="AI372" s="320">
        <v>57.9</v>
      </c>
      <c r="AJ372" s="320">
        <v>18.87</v>
      </c>
      <c r="AK372" s="320">
        <v>4.66</v>
      </c>
      <c r="AL372" s="320">
        <v>0.1158</v>
      </c>
      <c r="AM372" s="320">
        <v>21.4</v>
      </c>
      <c r="AN372" s="320">
        <v>265.9</v>
      </c>
      <c r="AO372" s="320">
        <v>73.79</v>
      </c>
      <c r="AP372" s="320">
        <v>15.79</v>
      </c>
    </row>
    <row r="373">
      <c r="A373" s="319" t="s">
        <v>256</v>
      </c>
      <c r="B373" s="328">
        <v>46111.0</v>
      </c>
      <c r="C373" s="319" t="s">
        <v>218</v>
      </c>
      <c r="D373" s="320">
        <v>661.0</v>
      </c>
      <c r="E373" s="320">
        <v>0.61</v>
      </c>
      <c r="F373" s="320">
        <v>0.0</v>
      </c>
      <c r="G373" s="320">
        <v>0.0</v>
      </c>
      <c r="H373" s="320">
        <v>0.0</v>
      </c>
      <c r="I373" s="329"/>
      <c r="J373" s="320">
        <v>263.2</v>
      </c>
      <c r="K373" s="320">
        <v>154.95</v>
      </c>
      <c r="L373" s="320">
        <v>136.22</v>
      </c>
      <c r="M373" s="320">
        <v>0.8791</v>
      </c>
      <c r="N373" s="320">
        <v>0.2713</v>
      </c>
      <c r="O373" s="320">
        <v>0.205</v>
      </c>
      <c r="P373" s="320">
        <v>1.1375</v>
      </c>
      <c r="Q373" s="320">
        <v>786.28</v>
      </c>
      <c r="R373" s="320">
        <v>500.33</v>
      </c>
      <c r="S373" s="320">
        <v>285.95</v>
      </c>
      <c r="T373" s="320">
        <v>0.0</v>
      </c>
      <c r="U373" s="320">
        <v>786.28</v>
      </c>
      <c r="V373" s="320">
        <v>819.29</v>
      </c>
      <c r="W373" s="320">
        <v>5.2874</v>
      </c>
      <c r="X373" s="320">
        <v>0.0</v>
      </c>
      <c r="Y373" s="320">
        <v>1020.0</v>
      </c>
      <c r="Z373" s="320">
        <v>4464.0</v>
      </c>
      <c r="AA373" s="320">
        <v>12073.0</v>
      </c>
      <c r="AB373" s="320">
        <v>63.2066</v>
      </c>
      <c r="AC373" s="320">
        <v>0.8898</v>
      </c>
      <c r="AD373" s="320">
        <v>97.62</v>
      </c>
      <c r="AE373" s="320">
        <v>42.0</v>
      </c>
      <c r="AF373" s="320">
        <v>82.0</v>
      </c>
      <c r="AG373" s="320">
        <v>137.0</v>
      </c>
      <c r="AH373" s="320">
        <v>196.0</v>
      </c>
      <c r="AI373" s="320">
        <v>51.59</v>
      </c>
      <c r="AJ373" s="320">
        <v>14.37</v>
      </c>
      <c r="AK373" s="320">
        <v>2.27</v>
      </c>
      <c r="AL373" s="320">
        <v>0.0802</v>
      </c>
      <c r="AM373" s="320">
        <v>24.75</v>
      </c>
      <c r="AN373" s="320">
        <v>475.58</v>
      </c>
      <c r="AO373" s="320">
        <v>84.07</v>
      </c>
      <c r="AP373" s="320">
        <v>20.81</v>
      </c>
    </row>
    <row r="374">
      <c r="A374" s="319" t="s">
        <v>256</v>
      </c>
      <c r="B374" s="328">
        <v>46112.0</v>
      </c>
      <c r="C374" s="319" t="s">
        <v>257</v>
      </c>
      <c r="D374" s="320">
        <v>18534.0</v>
      </c>
      <c r="E374" s="320">
        <v>17.16</v>
      </c>
      <c r="F374" s="320">
        <v>0.0</v>
      </c>
      <c r="G374" s="320">
        <v>0.0</v>
      </c>
      <c r="H374" s="320">
        <v>0.0</v>
      </c>
      <c r="I374" s="329"/>
      <c r="J374" s="320">
        <v>6.11</v>
      </c>
      <c r="K374" s="320">
        <v>2.39</v>
      </c>
      <c r="L374" s="320">
        <v>0.08</v>
      </c>
      <c r="M374" s="320">
        <v>0.0354</v>
      </c>
      <c r="N374" s="320">
        <v>0.9726</v>
      </c>
      <c r="O374" s="320">
        <v>0.7363</v>
      </c>
      <c r="P374" s="320">
        <v>28.2669</v>
      </c>
      <c r="Q374" s="320">
        <v>33.64</v>
      </c>
      <c r="R374" s="320">
        <v>33.52</v>
      </c>
      <c r="S374" s="320">
        <v>0.12</v>
      </c>
      <c r="T374" s="320">
        <v>0.0</v>
      </c>
      <c r="U374" s="320">
        <v>33.64</v>
      </c>
      <c r="V374" s="320">
        <v>2.5</v>
      </c>
      <c r="W374" s="320">
        <v>1.0444</v>
      </c>
      <c r="X374" s="320">
        <v>0.0</v>
      </c>
      <c r="Y374" s="320">
        <v>330.0</v>
      </c>
      <c r="Z374" s="320">
        <v>3754.0</v>
      </c>
      <c r="AA374" s="320">
        <v>15051.0</v>
      </c>
      <c r="AB374" s="320">
        <v>48.9473</v>
      </c>
      <c r="AC374" s="320">
        <v>0.5386</v>
      </c>
      <c r="AD374" s="329"/>
      <c r="AE374" s="329"/>
      <c r="AF374" s="329"/>
      <c r="AG374" s="329"/>
      <c r="AH374" s="329"/>
      <c r="AI374" s="320">
        <v>0.0</v>
      </c>
      <c r="AJ374" s="320">
        <v>0.0</v>
      </c>
      <c r="AK374" s="320">
        <v>0.0</v>
      </c>
      <c r="AL374" s="320">
        <v>0.2946</v>
      </c>
      <c r="AM374" s="320">
        <v>16.89</v>
      </c>
      <c r="AN374" s="320">
        <v>16.63</v>
      </c>
      <c r="AO374" s="329"/>
      <c r="AP374" s="329"/>
    </row>
    <row r="375">
      <c r="A375" s="319" t="s">
        <v>256</v>
      </c>
      <c r="B375" s="328">
        <v>46112.0</v>
      </c>
      <c r="C375" s="319" t="s">
        <v>214</v>
      </c>
      <c r="D375" s="320">
        <v>38024.0</v>
      </c>
      <c r="E375" s="320">
        <v>35.2</v>
      </c>
      <c r="F375" s="320">
        <v>0.0</v>
      </c>
      <c r="G375" s="320">
        <v>0.0</v>
      </c>
      <c r="H375" s="320">
        <v>0.0</v>
      </c>
      <c r="I375" s="329"/>
      <c r="J375" s="320">
        <v>30.63</v>
      </c>
      <c r="K375" s="320">
        <v>13.93</v>
      </c>
      <c r="L375" s="320">
        <v>6.0</v>
      </c>
      <c r="M375" s="320">
        <v>0.4307</v>
      </c>
      <c r="N375" s="320">
        <v>0.7391</v>
      </c>
      <c r="O375" s="320">
        <v>0.5346</v>
      </c>
      <c r="P375" s="320">
        <v>2.3216</v>
      </c>
      <c r="Q375" s="320">
        <v>73.47</v>
      </c>
      <c r="R375" s="320">
        <v>62.02</v>
      </c>
      <c r="S375" s="320">
        <v>11.45</v>
      </c>
      <c r="T375" s="320">
        <v>0.01</v>
      </c>
      <c r="U375" s="320">
        <v>73.45</v>
      </c>
      <c r="V375" s="320">
        <v>57.95</v>
      </c>
      <c r="W375" s="320">
        <v>4.1608</v>
      </c>
      <c r="X375" s="320">
        <v>0.02</v>
      </c>
      <c r="Y375" s="320">
        <v>161.0</v>
      </c>
      <c r="Z375" s="320">
        <v>972.0</v>
      </c>
      <c r="AA375" s="320">
        <v>6250.0</v>
      </c>
      <c r="AB375" s="320">
        <v>48.6113</v>
      </c>
      <c r="AC375" s="320">
        <v>0.531</v>
      </c>
      <c r="AD375" s="320">
        <v>4.37</v>
      </c>
      <c r="AE375" s="320">
        <v>2.0</v>
      </c>
      <c r="AF375" s="320">
        <v>3.0</v>
      </c>
      <c r="AG375" s="320">
        <v>6.0</v>
      </c>
      <c r="AH375" s="320">
        <v>10.0</v>
      </c>
      <c r="AI375" s="320">
        <v>75.3</v>
      </c>
      <c r="AJ375" s="320">
        <v>34.54</v>
      </c>
      <c r="AK375" s="320">
        <v>10.65</v>
      </c>
      <c r="AL375" s="320">
        <v>0.2484</v>
      </c>
      <c r="AM375" s="320">
        <v>18.85</v>
      </c>
      <c r="AN375" s="320">
        <v>43.17</v>
      </c>
      <c r="AO375" s="320">
        <v>65.38</v>
      </c>
      <c r="AP375" s="320">
        <v>12.32</v>
      </c>
    </row>
    <row r="376">
      <c r="A376" s="319" t="s">
        <v>256</v>
      </c>
      <c r="B376" s="328">
        <v>46112.0</v>
      </c>
      <c r="C376" s="319" t="s">
        <v>215</v>
      </c>
      <c r="D376" s="320">
        <v>28561.0</v>
      </c>
      <c r="E376" s="320">
        <v>26.44</v>
      </c>
      <c r="F376" s="320">
        <v>0.0</v>
      </c>
      <c r="G376" s="320">
        <v>0.0</v>
      </c>
      <c r="H376" s="320">
        <v>0.0</v>
      </c>
      <c r="I376" s="329"/>
      <c r="J376" s="320">
        <v>57.89</v>
      </c>
      <c r="K376" s="320">
        <v>27.63</v>
      </c>
      <c r="L376" s="320">
        <v>15.61</v>
      </c>
      <c r="M376" s="320">
        <v>0.5649</v>
      </c>
      <c r="N376" s="320">
        <v>0.629</v>
      </c>
      <c r="O376" s="320">
        <v>0.4319</v>
      </c>
      <c r="P376" s="320">
        <v>1.7702</v>
      </c>
      <c r="Q376" s="320">
        <v>134.9</v>
      </c>
      <c r="R376" s="320">
        <v>106.31</v>
      </c>
      <c r="S376" s="320">
        <v>28.58</v>
      </c>
      <c r="T376" s="320">
        <v>0.13</v>
      </c>
      <c r="U376" s="320">
        <v>134.77</v>
      </c>
      <c r="V376" s="320">
        <v>111.66</v>
      </c>
      <c r="W376" s="320">
        <v>4.0413</v>
      </c>
      <c r="X376" s="320">
        <v>0.09</v>
      </c>
      <c r="Y376" s="320">
        <v>151.0</v>
      </c>
      <c r="Z376" s="320">
        <v>779.0</v>
      </c>
      <c r="AA376" s="320">
        <v>5742.0</v>
      </c>
      <c r="AB376" s="320">
        <v>52.0737</v>
      </c>
      <c r="AC376" s="320">
        <v>0.5997</v>
      </c>
      <c r="AD376" s="320">
        <v>10.26</v>
      </c>
      <c r="AE376" s="320">
        <v>4.0</v>
      </c>
      <c r="AF376" s="320">
        <v>8.0</v>
      </c>
      <c r="AG376" s="320">
        <v>14.0</v>
      </c>
      <c r="AH376" s="320">
        <v>21.0</v>
      </c>
      <c r="AI376" s="320">
        <v>65.0</v>
      </c>
      <c r="AJ376" s="320">
        <v>30.37</v>
      </c>
      <c r="AK376" s="320">
        <v>5.81</v>
      </c>
      <c r="AL376" s="320">
        <v>0.1875</v>
      </c>
      <c r="AM376" s="320">
        <v>21.95</v>
      </c>
      <c r="AN376" s="320">
        <v>84.36</v>
      </c>
      <c r="AO376" s="320">
        <v>72.55</v>
      </c>
      <c r="AP376" s="320">
        <v>15.92</v>
      </c>
    </row>
    <row r="377">
      <c r="A377" s="319" t="s">
        <v>256</v>
      </c>
      <c r="B377" s="328">
        <v>46112.0</v>
      </c>
      <c r="C377" s="319" t="s">
        <v>216</v>
      </c>
      <c r="D377" s="320">
        <v>16117.0</v>
      </c>
      <c r="E377" s="320">
        <v>14.92</v>
      </c>
      <c r="F377" s="320">
        <v>0.0</v>
      </c>
      <c r="G377" s="320">
        <v>0.0</v>
      </c>
      <c r="H377" s="320">
        <v>0.0</v>
      </c>
      <c r="I377" s="329"/>
      <c r="J377" s="320">
        <v>86.26</v>
      </c>
      <c r="K377" s="320">
        <v>44.35</v>
      </c>
      <c r="L377" s="320">
        <v>31.45</v>
      </c>
      <c r="M377" s="320">
        <v>0.7093</v>
      </c>
      <c r="N377" s="320">
        <v>0.4835</v>
      </c>
      <c r="O377" s="320">
        <v>0.3331</v>
      </c>
      <c r="P377" s="320">
        <v>1.4099</v>
      </c>
      <c r="Q377" s="320">
        <v>242.82</v>
      </c>
      <c r="R377" s="320">
        <v>189.78</v>
      </c>
      <c r="S377" s="320">
        <v>53.04</v>
      </c>
      <c r="T377" s="320">
        <v>0.0</v>
      </c>
      <c r="U377" s="320">
        <v>242.82</v>
      </c>
      <c r="V377" s="320">
        <v>198.68</v>
      </c>
      <c r="W377" s="320">
        <v>4.4799</v>
      </c>
      <c r="X377" s="320">
        <v>0.0</v>
      </c>
      <c r="Y377" s="320">
        <v>202.0</v>
      </c>
      <c r="Z377" s="320">
        <v>1123.0</v>
      </c>
      <c r="AA377" s="320">
        <v>7455.0</v>
      </c>
      <c r="AB377" s="320">
        <v>55.3951</v>
      </c>
      <c r="AC377" s="320">
        <v>0.687</v>
      </c>
      <c r="AD377" s="320">
        <v>18.83</v>
      </c>
      <c r="AE377" s="320">
        <v>8.0</v>
      </c>
      <c r="AF377" s="320">
        <v>15.0</v>
      </c>
      <c r="AG377" s="320">
        <v>26.0</v>
      </c>
      <c r="AH377" s="320">
        <v>38.0</v>
      </c>
      <c r="AI377" s="320">
        <v>64.14</v>
      </c>
      <c r="AJ377" s="320">
        <v>25.78</v>
      </c>
      <c r="AK377" s="320">
        <v>7.69</v>
      </c>
      <c r="AL377" s="320">
        <v>0.1642</v>
      </c>
      <c r="AM377" s="320">
        <v>23.43</v>
      </c>
      <c r="AN377" s="320">
        <v>166.35</v>
      </c>
      <c r="AO377" s="320">
        <v>73.15</v>
      </c>
      <c r="AP377" s="320">
        <v>17.14</v>
      </c>
    </row>
    <row r="378">
      <c r="A378" s="319" t="s">
        <v>256</v>
      </c>
      <c r="B378" s="328">
        <v>46112.0</v>
      </c>
      <c r="C378" s="319" t="s">
        <v>217</v>
      </c>
      <c r="D378" s="320">
        <v>6081.0</v>
      </c>
      <c r="E378" s="320">
        <v>5.63</v>
      </c>
      <c r="F378" s="320">
        <v>0.0</v>
      </c>
      <c r="G378" s="320">
        <v>0.0</v>
      </c>
      <c r="H378" s="320">
        <v>0.0</v>
      </c>
      <c r="I378" s="329"/>
      <c r="J378" s="320">
        <v>134.01</v>
      </c>
      <c r="K378" s="320">
        <v>73.59</v>
      </c>
      <c r="L378" s="320">
        <v>59.04</v>
      </c>
      <c r="M378" s="320">
        <v>0.8024</v>
      </c>
      <c r="N378" s="320">
        <v>0.3786</v>
      </c>
      <c r="O378" s="320">
        <v>0.2728</v>
      </c>
      <c r="P378" s="320">
        <v>1.2463</v>
      </c>
      <c r="Q378" s="320">
        <v>486.51</v>
      </c>
      <c r="R378" s="320">
        <v>373.9</v>
      </c>
      <c r="S378" s="320">
        <v>112.61</v>
      </c>
      <c r="T378" s="320">
        <v>0.0</v>
      </c>
      <c r="U378" s="320">
        <v>486.51</v>
      </c>
      <c r="V378" s="320">
        <v>386.4</v>
      </c>
      <c r="W378" s="320">
        <v>5.251</v>
      </c>
      <c r="X378" s="320">
        <v>0.0</v>
      </c>
      <c r="Y378" s="320">
        <v>425.0</v>
      </c>
      <c r="Z378" s="320">
        <v>2192.0</v>
      </c>
      <c r="AA378" s="320">
        <v>9070.0</v>
      </c>
      <c r="AB378" s="320">
        <v>59.3184</v>
      </c>
      <c r="AC378" s="320">
        <v>0.8243</v>
      </c>
      <c r="AD378" s="320">
        <v>40.73</v>
      </c>
      <c r="AE378" s="320">
        <v>17.0</v>
      </c>
      <c r="AF378" s="320">
        <v>33.0</v>
      </c>
      <c r="AG378" s="320">
        <v>55.0</v>
      </c>
      <c r="AH378" s="320">
        <v>83.0</v>
      </c>
      <c r="AI378" s="320">
        <v>57.77</v>
      </c>
      <c r="AJ378" s="320">
        <v>22.02</v>
      </c>
      <c r="AK378" s="320">
        <v>5.67</v>
      </c>
      <c r="AL378" s="320">
        <v>0.1311</v>
      </c>
      <c r="AM378" s="320">
        <v>25.68</v>
      </c>
      <c r="AN378" s="320">
        <v>348.22</v>
      </c>
      <c r="AO378" s="320">
        <v>81.76</v>
      </c>
      <c r="AP378" s="320">
        <v>21.0</v>
      </c>
    </row>
    <row r="379">
      <c r="A379" s="319" t="s">
        <v>256</v>
      </c>
      <c r="B379" s="328">
        <v>46112.0</v>
      </c>
      <c r="C379" s="319" t="s">
        <v>218</v>
      </c>
      <c r="D379" s="320">
        <v>716.0</v>
      </c>
      <c r="E379" s="320">
        <v>0.66</v>
      </c>
      <c r="F379" s="320">
        <v>0.0</v>
      </c>
      <c r="G379" s="320">
        <v>0.0</v>
      </c>
      <c r="H379" s="320">
        <v>0.0</v>
      </c>
      <c r="I379" s="329"/>
      <c r="J379" s="320">
        <v>255.39</v>
      </c>
      <c r="K379" s="320">
        <v>150.01</v>
      </c>
      <c r="L379" s="320">
        <v>132.24</v>
      </c>
      <c r="M379" s="320">
        <v>0.8816</v>
      </c>
      <c r="N379" s="320">
        <v>0.271</v>
      </c>
      <c r="O379" s="320">
        <v>0.205</v>
      </c>
      <c r="P379" s="320">
        <v>1.1344</v>
      </c>
      <c r="Q379" s="320">
        <v>1035.42</v>
      </c>
      <c r="R379" s="320">
        <v>778.6</v>
      </c>
      <c r="S379" s="320">
        <v>256.82</v>
      </c>
      <c r="T379" s="320">
        <v>0.0</v>
      </c>
      <c r="U379" s="320">
        <v>1035.42</v>
      </c>
      <c r="V379" s="320">
        <v>867.11</v>
      </c>
      <c r="W379" s="320">
        <v>5.7802</v>
      </c>
      <c r="X379" s="320">
        <v>0.0</v>
      </c>
      <c r="Y379" s="320">
        <v>1308.0</v>
      </c>
      <c r="Z379" s="320">
        <v>4977.0</v>
      </c>
      <c r="AA379" s="320">
        <v>12323.0</v>
      </c>
      <c r="AB379" s="320">
        <v>63.108</v>
      </c>
      <c r="AC379" s="320">
        <v>0.8994</v>
      </c>
      <c r="AD379" s="320">
        <v>93.32</v>
      </c>
      <c r="AE379" s="320">
        <v>41.0</v>
      </c>
      <c r="AF379" s="320">
        <v>82.0</v>
      </c>
      <c r="AG379" s="320">
        <v>128.0</v>
      </c>
      <c r="AH379" s="320">
        <v>182.0</v>
      </c>
      <c r="AI379" s="320">
        <v>51.26</v>
      </c>
      <c r="AJ379" s="320">
        <v>11.17</v>
      </c>
      <c r="AK379" s="320">
        <v>1.82</v>
      </c>
      <c r="AL379" s="320">
        <v>0.0824</v>
      </c>
      <c r="AM379" s="320">
        <v>23.51</v>
      </c>
      <c r="AN379" s="320">
        <v>755.09</v>
      </c>
      <c r="AO379" s="320">
        <v>85.18</v>
      </c>
      <c r="AP379" s="320">
        <v>20.03</v>
      </c>
    </row>
    <row r="380">
      <c r="A380" s="319" t="s">
        <v>256</v>
      </c>
      <c r="B380" s="328">
        <v>46113.0</v>
      </c>
      <c r="C380" s="319" t="s">
        <v>257</v>
      </c>
      <c r="D380" s="320">
        <v>19255.0</v>
      </c>
      <c r="E380" s="320">
        <v>18.51</v>
      </c>
      <c r="F380" s="320">
        <v>0.0</v>
      </c>
      <c r="G380" s="320">
        <v>0.0</v>
      </c>
      <c r="H380" s="320">
        <v>0.0</v>
      </c>
      <c r="I380" s="329"/>
      <c r="J380" s="320">
        <v>6.31</v>
      </c>
      <c r="K380" s="320">
        <v>2.53</v>
      </c>
      <c r="L380" s="320">
        <v>0.04</v>
      </c>
      <c r="M380" s="320">
        <v>0.0172</v>
      </c>
      <c r="N380" s="320">
        <v>0.9842</v>
      </c>
      <c r="O380" s="320">
        <v>0.8387</v>
      </c>
      <c r="P380" s="320">
        <v>58.2823</v>
      </c>
      <c r="Q380" s="320">
        <v>24.08</v>
      </c>
      <c r="R380" s="320">
        <v>23.92</v>
      </c>
      <c r="S380" s="320">
        <v>0.16</v>
      </c>
      <c r="T380" s="320">
        <v>0.0</v>
      </c>
      <c r="U380" s="320">
        <v>24.08</v>
      </c>
      <c r="V380" s="320">
        <v>2.23</v>
      </c>
      <c r="W380" s="320">
        <v>0.8815</v>
      </c>
      <c r="X380" s="320">
        <v>0.0</v>
      </c>
      <c r="Y380" s="320">
        <v>347.0</v>
      </c>
      <c r="Z380" s="320">
        <v>3766.0</v>
      </c>
      <c r="AA380" s="320">
        <v>15165.0</v>
      </c>
      <c r="AB380" s="320">
        <v>49.0826</v>
      </c>
      <c r="AC380" s="320">
        <v>0.5478</v>
      </c>
      <c r="AD380" s="329"/>
      <c r="AE380" s="329"/>
      <c r="AF380" s="329"/>
      <c r="AG380" s="329"/>
      <c r="AH380" s="329"/>
      <c r="AI380" s="320">
        <v>0.0</v>
      </c>
      <c r="AJ380" s="320">
        <v>0.0</v>
      </c>
      <c r="AK380" s="320">
        <v>0.0</v>
      </c>
      <c r="AL380" s="320">
        <v>0.28</v>
      </c>
      <c r="AM380" s="320">
        <v>15.36</v>
      </c>
      <c r="AN380" s="320">
        <v>8.56</v>
      </c>
      <c r="AO380" s="329"/>
      <c r="AP380" s="329"/>
    </row>
    <row r="381">
      <c r="A381" s="319" t="s">
        <v>256</v>
      </c>
      <c r="B381" s="328">
        <v>46113.0</v>
      </c>
      <c r="C381" s="319" t="s">
        <v>214</v>
      </c>
      <c r="D381" s="320">
        <v>36523.0</v>
      </c>
      <c r="E381" s="320">
        <v>35.11</v>
      </c>
      <c r="F381" s="320">
        <v>0.0</v>
      </c>
      <c r="G381" s="320">
        <v>0.0</v>
      </c>
      <c r="H381" s="320">
        <v>0.0</v>
      </c>
      <c r="I381" s="329"/>
      <c r="J381" s="320">
        <v>30.43</v>
      </c>
      <c r="K381" s="320">
        <v>13.91</v>
      </c>
      <c r="L381" s="320">
        <v>5.73</v>
      </c>
      <c r="M381" s="320">
        <v>0.4116</v>
      </c>
      <c r="N381" s="320">
        <v>0.7531</v>
      </c>
      <c r="O381" s="320">
        <v>0.5451</v>
      </c>
      <c r="P381" s="320">
        <v>2.4297</v>
      </c>
      <c r="Q381" s="320">
        <v>52.83</v>
      </c>
      <c r="R381" s="320">
        <v>42.67</v>
      </c>
      <c r="S381" s="320">
        <v>10.16</v>
      </c>
      <c r="T381" s="320">
        <v>0.0</v>
      </c>
      <c r="U381" s="320">
        <v>52.83</v>
      </c>
      <c r="V381" s="320">
        <v>53.05</v>
      </c>
      <c r="W381" s="320">
        <v>3.8129</v>
      </c>
      <c r="X381" s="320">
        <v>0.0</v>
      </c>
      <c r="Y381" s="320">
        <v>158.0</v>
      </c>
      <c r="Z381" s="320">
        <v>970.0</v>
      </c>
      <c r="AA381" s="320">
        <v>6309.0</v>
      </c>
      <c r="AB381" s="320">
        <v>48.6475</v>
      </c>
      <c r="AC381" s="320">
        <v>0.5336</v>
      </c>
      <c r="AD381" s="320">
        <v>4.15</v>
      </c>
      <c r="AE381" s="320">
        <v>1.0</v>
      </c>
      <c r="AF381" s="320">
        <v>3.0</v>
      </c>
      <c r="AG381" s="320">
        <v>5.0</v>
      </c>
      <c r="AH381" s="320">
        <v>9.0</v>
      </c>
      <c r="AI381" s="320">
        <v>73.71</v>
      </c>
      <c r="AJ381" s="320">
        <v>32.0</v>
      </c>
      <c r="AK381" s="320">
        <v>9.5</v>
      </c>
      <c r="AL381" s="320">
        <v>0.2515</v>
      </c>
      <c r="AM381" s="320">
        <v>18.5</v>
      </c>
      <c r="AN381" s="320">
        <v>24.17</v>
      </c>
      <c r="AO381" s="320">
        <v>65.93</v>
      </c>
      <c r="AP381" s="320">
        <v>12.2</v>
      </c>
    </row>
    <row r="382">
      <c r="A382" s="319" t="s">
        <v>256</v>
      </c>
      <c r="B382" s="328">
        <v>46113.0</v>
      </c>
      <c r="C382" s="319" t="s">
        <v>215</v>
      </c>
      <c r="D382" s="320">
        <v>27157.0</v>
      </c>
      <c r="E382" s="320">
        <v>26.11</v>
      </c>
      <c r="F382" s="320">
        <v>0.0</v>
      </c>
      <c r="G382" s="320">
        <v>0.0</v>
      </c>
      <c r="H382" s="320">
        <v>0.0</v>
      </c>
      <c r="I382" s="329"/>
      <c r="J382" s="320">
        <v>56.73</v>
      </c>
      <c r="K382" s="320">
        <v>27.3</v>
      </c>
      <c r="L382" s="320">
        <v>14.54</v>
      </c>
      <c r="M382" s="320">
        <v>0.5328</v>
      </c>
      <c r="N382" s="320">
        <v>0.6509</v>
      </c>
      <c r="O382" s="320">
        <v>0.441</v>
      </c>
      <c r="P382" s="320">
        <v>1.8769</v>
      </c>
      <c r="Q382" s="320">
        <v>85.82</v>
      </c>
      <c r="R382" s="320">
        <v>61.87</v>
      </c>
      <c r="S382" s="320">
        <v>23.95</v>
      </c>
      <c r="T382" s="320">
        <v>0.0</v>
      </c>
      <c r="U382" s="320">
        <v>85.82</v>
      </c>
      <c r="V382" s="320">
        <v>95.11</v>
      </c>
      <c r="W382" s="320">
        <v>3.484</v>
      </c>
      <c r="X382" s="320">
        <v>0.0</v>
      </c>
      <c r="Y382" s="320">
        <v>126.0</v>
      </c>
      <c r="Z382" s="320">
        <v>746.0</v>
      </c>
      <c r="AA382" s="320">
        <v>5496.0</v>
      </c>
      <c r="AB382" s="320">
        <v>52.1918</v>
      </c>
      <c r="AC382" s="320">
        <v>0.6151</v>
      </c>
      <c r="AD382" s="320">
        <v>9.29</v>
      </c>
      <c r="AE382" s="320">
        <v>3.0</v>
      </c>
      <c r="AF382" s="320">
        <v>7.0</v>
      </c>
      <c r="AG382" s="320">
        <v>13.0</v>
      </c>
      <c r="AH382" s="320">
        <v>20.0</v>
      </c>
      <c r="AI382" s="320">
        <v>59.61</v>
      </c>
      <c r="AJ382" s="320">
        <v>25.92</v>
      </c>
      <c r="AK382" s="320">
        <v>4.5</v>
      </c>
      <c r="AL382" s="320">
        <v>0.1895</v>
      </c>
      <c r="AM382" s="320">
        <v>19.5</v>
      </c>
      <c r="AN382" s="320">
        <v>42.37</v>
      </c>
      <c r="AO382" s="320">
        <v>74.07</v>
      </c>
      <c r="AP382" s="320">
        <v>14.44</v>
      </c>
    </row>
    <row r="383">
      <c r="A383" s="319" t="s">
        <v>256</v>
      </c>
      <c r="B383" s="328">
        <v>46113.0</v>
      </c>
      <c r="C383" s="319" t="s">
        <v>216</v>
      </c>
      <c r="D383" s="320">
        <v>14604.0</v>
      </c>
      <c r="E383" s="320">
        <v>14.04</v>
      </c>
      <c r="F383" s="320">
        <v>0.0</v>
      </c>
      <c r="G383" s="320">
        <v>0.0</v>
      </c>
      <c r="H383" s="320">
        <v>0.0</v>
      </c>
      <c r="I383" s="329"/>
      <c r="J383" s="320">
        <v>78.78</v>
      </c>
      <c r="K383" s="320">
        <v>40.19</v>
      </c>
      <c r="L383" s="320">
        <v>26.28</v>
      </c>
      <c r="M383" s="320">
        <v>0.6538</v>
      </c>
      <c r="N383" s="320">
        <v>0.5324</v>
      </c>
      <c r="O383" s="320">
        <v>0.3628</v>
      </c>
      <c r="P383" s="320">
        <v>1.5294</v>
      </c>
      <c r="Q383" s="320">
        <v>134.71</v>
      </c>
      <c r="R383" s="320">
        <v>88.45</v>
      </c>
      <c r="S383" s="320">
        <v>46.26</v>
      </c>
      <c r="T383" s="320">
        <v>0.26</v>
      </c>
      <c r="U383" s="320">
        <v>134.45</v>
      </c>
      <c r="V383" s="320">
        <v>160.27</v>
      </c>
      <c r="W383" s="320">
        <v>3.9879</v>
      </c>
      <c r="X383" s="320">
        <v>0.2</v>
      </c>
      <c r="Y383" s="320">
        <v>149.0</v>
      </c>
      <c r="Z383" s="320">
        <v>1007.0</v>
      </c>
      <c r="AA383" s="320">
        <v>6583.0</v>
      </c>
      <c r="AB383" s="320">
        <v>55.8686</v>
      </c>
      <c r="AC383" s="320">
        <v>0.7467</v>
      </c>
      <c r="AD383" s="320">
        <v>17.51</v>
      </c>
      <c r="AE383" s="320">
        <v>7.0</v>
      </c>
      <c r="AF383" s="320">
        <v>14.0</v>
      </c>
      <c r="AG383" s="320">
        <v>24.0</v>
      </c>
      <c r="AH383" s="320">
        <v>37.0</v>
      </c>
      <c r="AI383" s="320">
        <v>59.96</v>
      </c>
      <c r="AJ383" s="320">
        <v>22.73</v>
      </c>
      <c r="AK383" s="320">
        <v>6.6</v>
      </c>
      <c r="AL383" s="320">
        <v>0.1828</v>
      </c>
      <c r="AM383" s="320">
        <v>19.89</v>
      </c>
      <c r="AN383" s="320">
        <v>68.56</v>
      </c>
      <c r="AO383" s="320">
        <v>77.83</v>
      </c>
      <c r="AP383" s="320">
        <v>15.48</v>
      </c>
    </row>
    <row r="384">
      <c r="A384" s="319" t="s">
        <v>256</v>
      </c>
      <c r="B384" s="328">
        <v>46113.0</v>
      </c>
      <c r="C384" s="319" t="s">
        <v>217</v>
      </c>
      <c r="D384" s="320">
        <v>5800.0</v>
      </c>
      <c r="E384" s="320">
        <v>5.58</v>
      </c>
      <c r="F384" s="320">
        <v>0.0</v>
      </c>
      <c r="G384" s="320">
        <v>0.0</v>
      </c>
      <c r="H384" s="320">
        <v>0.0</v>
      </c>
      <c r="I384" s="329"/>
      <c r="J384" s="320">
        <v>125.71</v>
      </c>
      <c r="K384" s="320">
        <v>68.3</v>
      </c>
      <c r="L384" s="320">
        <v>52.66</v>
      </c>
      <c r="M384" s="320">
        <v>0.7709</v>
      </c>
      <c r="N384" s="320">
        <v>0.4078</v>
      </c>
      <c r="O384" s="320">
        <v>0.2868</v>
      </c>
      <c r="P384" s="320">
        <v>1.2972</v>
      </c>
      <c r="Q384" s="320">
        <v>244.29</v>
      </c>
      <c r="R384" s="320">
        <v>149.96</v>
      </c>
      <c r="S384" s="320">
        <v>94.33</v>
      </c>
      <c r="T384" s="320">
        <v>0.0</v>
      </c>
      <c r="U384" s="320">
        <v>244.29</v>
      </c>
      <c r="V384" s="320">
        <v>307.56</v>
      </c>
      <c r="W384" s="320">
        <v>4.5028</v>
      </c>
      <c r="X384" s="320">
        <v>0.0</v>
      </c>
      <c r="Y384" s="320">
        <v>308.0</v>
      </c>
      <c r="Z384" s="320">
        <v>2077.0</v>
      </c>
      <c r="AA384" s="320">
        <v>8610.0</v>
      </c>
      <c r="AB384" s="320">
        <v>59.373</v>
      </c>
      <c r="AC384" s="320">
        <v>0.8444</v>
      </c>
      <c r="AD384" s="320">
        <v>35.9</v>
      </c>
      <c r="AE384" s="320">
        <v>13.0</v>
      </c>
      <c r="AF384" s="320">
        <v>28.0</v>
      </c>
      <c r="AG384" s="320">
        <v>50.0</v>
      </c>
      <c r="AH384" s="320">
        <v>76.0</v>
      </c>
      <c r="AI384" s="320">
        <v>50.21</v>
      </c>
      <c r="AJ384" s="320">
        <v>18.02</v>
      </c>
      <c r="AK384" s="320">
        <v>4.17</v>
      </c>
      <c r="AL384" s="320">
        <v>0.1257</v>
      </c>
      <c r="AM384" s="320">
        <v>20.33</v>
      </c>
      <c r="AN384" s="320">
        <v>129.63</v>
      </c>
      <c r="AO384" s="320">
        <v>83.14</v>
      </c>
      <c r="AP384" s="320">
        <v>16.9</v>
      </c>
    </row>
    <row r="385">
      <c r="A385" s="319" t="s">
        <v>256</v>
      </c>
      <c r="B385" s="328">
        <v>46113.0</v>
      </c>
      <c r="C385" s="319" t="s">
        <v>218</v>
      </c>
      <c r="D385" s="320">
        <v>678.0</v>
      </c>
      <c r="E385" s="320">
        <v>0.65</v>
      </c>
      <c r="F385" s="320">
        <v>0.0</v>
      </c>
      <c r="G385" s="320">
        <v>0.0</v>
      </c>
      <c r="H385" s="320">
        <v>0.0</v>
      </c>
      <c r="I385" s="329"/>
      <c r="J385" s="320">
        <v>233.1</v>
      </c>
      <c r="K385" s="320">
        <v>137.05</v>
      </c>
      <c r="L385" s="320">
        <v>116.76</v>
      </c>
      <c r="M385" s="320">
        <v>0.852</v>
      </c>
      <c r="N385" s="320">
        <v>0.3049</v>
      </c>
      <c r="O385" s="320">
        <v>0.2207</v>
      </c>
      <c r="P385" s="320">
        <v>1.1737</v>
      </c>
      <c r="Q385" s="320">
        <v>481.34</v>
      </c>
      <c r="R385" s="320">
        <v>271.11</v>
      </c>
      <c r="S385" s="320">
        <v>210.23</v>
      </c>
      <c r="T385" s="320">
        <v>0.0</v>
      </c>
      <c r="U385" s="320">
        <v>481.34</v>
      </c>
      <c r="V385" s="320">
        <v>668.51</v>
      </c>
      <c r="W385" s="320">
        <v>4.878</v>
      </c>
      <c r="X385" s="320">
        <v>0.0</v>
      </c>
      <c r="Y385" s="320">
        <v>968.0</v>
      </c>
      <c r="Z385" s="320">
        <v>4563.0</v>
      </c>
      <c r="AA385" s="320">
        <v>11662.0</v>
      </c>
      <c r="AB385" s="320">
        <v>63.1561</v>
      </c>
      <c r="AC385" s="320">
        <v>0.9096</v>
      </c>
      <c r="AD385" s="320">
        <v>81.5</v>
      </c>
      <c r="AE385" s="320">
        <v>32.0</v>
      </c>
      <c r="AF385" s="320">
        <v>67.0</v>
      </c>
      <c r="AG385" s="320">
        <v>116.0</v>
      </c>
      <c r="AH385" s="320">
        <v>166.0</v>
      </c>
      <c r="AI385" s="320">
        <v>42.18</v>
      </c>
      <c r="AJ385" s="320">
        <v>8.26</v>
      </c>
      <c r="AK385" s="320">
        <v>1.33</v>
      </c>
      <c r="AL385" s="320">
        <v>0.0811</v>
      </c>
      <c r="AM385" s="320">
        <v>25.05</v>
      </c>
      <c r="AN385" s="320">
        <v>246.06</v>
      </c>
      <c r="AO385" s="320">
        <v>87.32</v>
      </c>
      <c r="AP385" s="320">
        <v>21.87</v>
      </c>
    </row>
    <row r="386">
      <c r="A386" s="319" t="s">
        <v>256</v>
      </c>
      <c r="B386" s="328">
        <v>46114.0</v>
      </c>
      <c r="C386" s="319" t="s">
        <v>257</v>
      </c>
      <c r="D386" s="320">
        <v>20013.0</v>
      </c>
      <c r="E386" s="320">
        <v>19.46</v>
      </c>
      <c r="F386" s="320">
        <v>0.0</v>
      </c>
      <c r="G386" s="320">
        <v>0.0</v>
      </c>
      <c r="H386" s="320">
        <v>0.0</v>
      </c>
      <c r="I386" s="329"/>
      <c r="J386" s="320">
        <v>6.32</v>
      </c>
      <c r="K386" s="320">
        <v>2.58</v>
      </c>
      <c r="L386" s="320">
        <v>0.04</v>
      </c>
      <c r="M386" s="320">
        <v>0.0172</v>
      </c>
      <c r="N386" s="320">
        <v>0.9863</v>
      </c>
      <c r="O386" s="320">
        <v>0.828</v>
      </c>
      <c r="P386" s="320">
        <v>58.1181</v>
      </c>
      <c r="Q386" s="320">
        <v>22.38</v>
      </c>
      <c r="R386" s="320">
        <v>22.28</v>
      </c>
      <c r="S386" s="320">
        <v>0.1</v>
      </c>
      <c r="T386" s="320">
        <v>0.0</v>
      </c>
      <c r="U386" s="320">
        <v>22.38</v>
      </c>
      <c r="V386" s="320">
        <v>2.17</v>
      </c>
      <c r="W386" s="320">
        <v>0.8419</v>
      </c>
      <c r="X386" s="320">
        <v>0.0</v>
      </c>
      <c r="Y386" s="320">
        <v>329.0</v>
      </c>
      <c r="Z386" s="320">
        <v>3692.0</v>
      </c>
      <c r="AA386" s="320">
        <v>14596.0</v>
      </c>
      <c r="AB386" s="320">
        <v>48.8108</v>
      </c>
      <c r="AC386" s="320">
        <v>0.5426</v>
      </c>
      <c r="AD386" s="329"/>
      <c r="AE386" s="329"/>
      <c r="AF386" s="329"/>
      <c r="AG386" s="329"/>
      <c r="AH386" s="329"/>
      <c r="AI386" s="320">
        <v>0.0</v>
      </c>
      <c r="AJ386" s="320">
        <v>0.0</v>
      </c>
      <c r="AK386" s="320">
        <v>0.0</v>
      </c>
      <c r="AL386" s="320">
        <v>0.2836</v>
      </c>
      <c r="AM386" s="320">
        <v>16.17</v>
      </c>
      <c r="AN386" s="320">
        <v>6.11</v>
      </c>
      <c r="AO386" s="329"/>
      <c r="AP386" s="329"/>
    </row>
    <row r="387">
      <c r="A387" s="319" t="s">
        <v>256</v>
      </c>
      <c r="B387" s="328">
        <v>46114.0</v>
      </c>
      <c r="C387" s="319" t="s">
        <v>214</v>
      </c>
      <c r="D387" s="320">
        <v>36017.0</v>
      </c>
      <c r="E387" s="320">
        <v>35.01</v>
      </c>
      <c r="F387" s="320">
        <v>0.0</v>
      </c>
      <c r="G387" s="320">
        <v>0.0</v>
      </c>
      <c r="H387" s="320">
        <v>0.0</v>
      </c>
      <c r="I387" s="329"/>
      <c r="J387" s="320">
        <v>28.31</v>
      </c>
      <c r="K387" s="320">
        <v>12.8</v>
      </c>
      <c r="L387" s="320">
        <v>5.42</v>
      </c>
      <c r="M387" s="320">
        <v>0.4234</v>
      </c>
      <c r="N387" s="320">
        <v>0.7486</v>
      </c>
      <c r="O387" s="320">
        <v>0.5513</v>
      </c>
      <c r="P387" s="320">
        <v>2.3617</v>
      </c>
      <c r="Q387" s="320">
        <v>47.94</v>
      </c>
      <c r="R387" s="320">
        <v>38.56</v>
      </c>
      <c r="S387" s="320">
        <v>9.38</v>
      </c>
      <c r="T387" s="320">
        <v>0.0</v>
      </c>
      <c r="U387" s="320">
        <v>47.94</v>
      </c>
      <c r="V387" s="320">
        <v>50.8</v>
      </c>
      <c r="W387" s="320">
        <v>3.9699</v>
      </c>
      <c r="X387" s="320">
        <v>0.0</v>
      </c>
      <c r="Y387" s="320">
        <v>152.0</v>
      </c>
      <c r="Z387" s="320">
        <v>934.0</v>
      </c>
      <c r="AA387" s="320">
        <v>5904.0</v>
      </c>
      <c r="AB387" s="320">
        <v>48.7179</v>
      </c>
      <c r="AC387" s="320">
        <v>0.5371</v>
      </c>
      <c r="AD387" s="320">
        <v>3.95</v>
      </c>
      <c r="AE387" s="320">
        <v>1.0</v>
      </c>
      <c r="AF387" s="320">
        <v>3.0</v>
      </c>
      <c r="AG387" s="320">
        <v>5.0</v>
      </c>
      <c r="AH387" s="320">
        <v>9.0</v>
      </c>
      <c r="AI387" s="320">
        <v>72.02</v>
      </c>
      <c r="AJ387" s="320">
        <v>30.3</v>
      </c>
      <c r="AK387" s="320">
        <v>8.64</v>
      </c>
      <c r="AL387" s="320">
        <v>0.2642</v>
      </c>
      <c r="AM387" s="320">
        <v>19.22</v>
      </c>
      <c r="AN387" s="320">
        <v>19.34</v>
      </c>
      <c r="AO387" s="320">
        <v>65.98</v>
      </c>
      <c r="AP387" s="320">
        <v>12.68</v>
      </c>
    </row>
    <row r="388">
      <c r="A388" s="319" t="s">
        <v>256</v>
      </c>
      <c r="B388" s="328">
        <v>46114.0</v>
      </c>
      <c r="C388" s="319" t="s">
        <v>215</v>
      </c>
      <c r="D388" s="320">
        <v>26152.0</v>
      </c>
      <c r="E388" s="320">
        <v>25.42</v>
      </c>
      <c r="F388" s="320">
        <v>0.0</v>
      </c>
      <c r="G388" s="320">
        <v>0.0</v>
      </c>
      <c r="H388" s="320">
        <v>0.0</v>
      </c>
      <c r="I388" s="329"/>
      <c r="J388" s="320">
        <v>51.45</v>
      </c>
      <c r="K388" s="320">
        <v>24.75</v>
      </c>
      <c r="L388" s="320">
        <v>13.55</v>
      </c>
      <c r="M388" s="320">
        <v>0.5474</v>
      </c>
      <c r="N388" s="320">
        <v>0.6435</v>
      </c>
      <c r="O388" s="320">
        <v>0.4453</v>
      </c>
      <c r="P388" s="320">
        <v>1.8268</v>
      </c>
      <c r="Q388" s="320">
        <v>86.83</v>
      </c>
      <c r="R388" s="320">
        <v>63.5</v>
      </c>
      <c r="S388" s="320">
        <v>23.32</v>
      </c>
      <c r="T388" s="320">
        <v>0.0</v>
      </c>
      <c r="U388" s="320">
        <v>86.83</v>
      </c>
      <c r="V388" s="320">
        <v>92.85</v>
      </c>
      <c r="W388" s="320">
        <v>3.7521</v>
      </c>
      <c r="X388" s="320">
        <v>0.0</v>
      </c>
      <c r="Y388" s="320">
        <v>125.0</v>
      </c>
      <c r="Z388" s="320">
        <v>731.0</v>
      </c>
      <c r="AA388" s="320">
        <v>5490.0</v>
      </c>
      <c r="AB388" s="320">
        <v>52.3208</v>
      </c>
      <c r="AC388" s="320">
        <v>0.6338</v>
      </c>
      <c r="AD388" s="320">
        <v>9.03</v>
      </c>
      <c r="AE388" s="320">
        <v>3.0</v>
      </c>
      <c r="AF388" s="320">
        <v>7.0</v>
      </c>
      <c r="AG388" s="320">
        <v>12.0</v>
      </c>
      <c r="AH388" s="320">
        <v>19.0</v>
      </c>
      <c r="AI388" s="320">
        <v>58.51</v>
      </c>
      <c r="AJ388" s="320">
        <v>24.98</v>
      </c>
      <c r="AK388" s="320">
        <v>3.99</v>
      </c>
      <c r="AL388" s="320">
        <v>0.2122</v>
      </c>
      <c r="AM388" s="320">
        <v>20.19</v>
      </c>
      <c r="AN388" s="320">
        <v>43.32</v>
      </c>
      <c r="AO388" s="320">
        <v>74.58</v>
      </c>
      <c r="AP388" s="320">
        <v>15.06</v>
      </c>
    </row>
    <row r="389">
      <c r="A389" s="319" t="s">
        <v>256</v>
      </c>
      <c r="B389" s="328">
        <v>46114.0</v>
      </c>
      <c r="C389" s="319" t="s">
        <v>216</v>
      </c>
      <c r="D389" s="320">
        <v>14283.0</v>
      </c>
      <c r="E389" s="320">
        <v>13.88</v>
      </c>
      <c r="F389" s="320">
        <v>0.0</v>
      </c>
      <c r="G389" s="320">
        <v>0.0</v>
      </c>
      <c r="H389" s="320">
        <v>0.0</v>
      </c>
      <c r="I389" s="329"/>
      <c r="J389" s="320">
        <v>74.91</v>
      </c>
      <c r="K389" s="320">
        <v>38.3</v>
      </c>
      <c r="L389" s="320">
        <v>25.32</v>
      </c>
      <c r="M389" s="320">
        <v>0.6611</v>
      </c>
      <c r="N389" s="320">
        <v>0.5288</v>
      </c>
      <c r="O389" s="320">
        <v>0.3647</v>
      </c>
      <c r="P389" s="320">
        <v>1.5127</v>
      </c>
      <c r="Q389" s="320">
        <v>152.35</v>
      </c>
      <c r="R389" s="320">
        <v>108.49</v>
      </c>
      <c r="S389" s="320">
        <v>43.86</v>
      </c>
      <c r="T389" s="320">
        <v>0.0</v>
      </c>
      <c r="U389" s="320">
        <v>152.35</v>
      </c>
      <c r="V389" s="320">
        <v>166.23</v>
      </c>
      <c r="W389" s="320">
        <v>4.3398</v>
      </c>
      <c r="X389" s="320">
        <v>0.0</v>
      </c>
      <c r="Y389" s="320">
        <v>151.0</v>
      </c>
      <c r="Z389" s="320">
        <v>1047.0</v>
      </c>
      <c r="AA389" s="320">
        <v>6679.0</v>
      </c>
      <c r="AB389" s="320">
        <v>55.8174</v>
      </c>
      <c r="AC389" s="320">
        <v>0.7474</v>
      </c>
      <c r="AD389" s="320">
        <v>17.08</v>
      </c>
      <c r="AE389" s="320">
        <v>7.0</v>
      </c>
      <c r="AF389" s="320">
        <v>14.0</v>
      </c>
      <c r="AG389" s="320">
        <v>23.0</v>
      </c>
      <c r="AH389" s="320">
        <v>36.0</v>
      </c>
      <c r="AI389" s="320">
        <v>58.24</v>
      </c>
      <c r="AJ389" s="320">
        <v>21.35</v>
      </c>
      <c r="AK389" s="320">
        <v>6.34</v>
      </c>
      <c r="AL389" s="320">
        <v>0.1941</v>
      </c>
      <c r="AM389" s="320">
        <v>20.17</v>
      </c>
      <c r="AN389" s="320">
        <v>88.33</v>
      </c>
      <c r="AO389" s="320">
        <v>78.34</v>
      </c>
      <c r="AP389" s="320">
        <v>15.8</v>
      </c>
    </row>
    <row r="390">
      <c r="A390" s="319" t="s">
        <v>256</v>
      </c>
      <c r="B390" s="328">
        <v>46114.0</v>
      </c>
      <c r="C390" s="319" t="s">
        <v>217</v>
      </c>
      <c r="D390" s="320">
        <v>5720.0</v>
      </c>
      <c r="E390" s="320">
        <v>5.56</v>
      </c>
      <c r="F390" s="320">
        <v>0.0</v>
      </c>
      <c r="G390" s="320">
        <v>0.0</v>
      </c>
      <c r="H390" s="320">
        <v>0.0</v>
      </c>
      <c r="I390" s="329"/>
      <c r="J390" s="320">
        <v>122.95</v>
      </c>
      <c r="K390" s="320">
        <v>66.99</v>
      </c>
      <c r="L390" s="320">
        <v>52.58</v>
      </c>
      <c r="M390" s="320">
        <v>0.7849</v>
      </c>
      <c r="N390" s="320">
        <v>0.3965</v>
      </c>
      <c r="O390" s="320">
        <v>0.2836</v>
      </c>
      <c r="P390" s="320">
        <v>1.274</v>
      </c>
      <c r="Q390" s="320">
        <v>301.9</v>
      </c>
      <c r="R390" s="320">
        <v>209.89</v>
      </c>
      <c r="S390" s="320">
        <v>92.01</v>
      </c>
      <c r="T390" s="320">
        <v>0.04</v>
      </c>
      <c r="U390" s="320">
        <v>301.86</v>
      </c>
      <c r="V390" s="320">
        <v>317.53</v>
      </c>
      <c r="W390" s="320">
        <v>4.74</v>
      </c>
      <c r="X390" s="320">
        <v>0.01</v>
      </c>
      <c r="Y390" s="320">
        <v>304.0</v>
      </c>
      <c r="Z390" s="320">
        <v>2194.0</v>
      </c>
      <c r="AA390" s="320">
        <v>8768.0</v>
      </c>
      <c r="AB390" s="320">
        <v>59.479</v>
      </c>
      <c r="AC390" s="320">
        <v>0.831</v>
      </c>
      <c r="AD390" s="320">
        <v>35.91</v>
      </c>
      <c r="AE390" s="320">
        <v>14.0</v>
      </c>
      <c r="AF390" s="320">
        <v>28.0</v>
      </c>
      <c r="AG390" s="320">
        <v>51.0</v>
      </c>
      <c r="AH390" s="320">
        <v>75.0</v>
      </c>
      <c r="AI390" s="320">
        <v>50.86</v>
      </c>
      <c r="AJ390" s="320">
        <v>17.9</v>
      </c>
      <c r="AK390" s="320">
        <v>3.85</v>
      </c>
      <c r="AL390" s="320">
        <v>0.1407</v>
      </c>
      <c r="AM390" s="320">
        <v>21.08</v>
      </c>
      <c r="AN390" s="320">
        <v>188.82</v>
      </c>
      <c r="AO390" s="320">
        <v>83.34</v>
      </c>
      <c r="AP390" s="320">
        <v>17.57</v>
      </c>
    </row>
    <row r="391">
      <c r="A391" s="319" t="s">
        <v>256</v>
      </c>
      <c r="B391" s="328">
        <v>46114.0</v>
      </c>
      <c r="C391" s="319" t="s">
        <v>218</v>
      </c>
      <c r="D391" s="320">
        <v>682.0</v>
      </c>
      <c r="E391" s="320">
        <v>0.66</v>
      </c>
      <c r="F391" s="320">
        <v>0.0</v>
      </c>
      <c r="G391" s="320">
        <v>0.0</v>
      </c>
      <c r="H391" s="320">
        <v>0.0</v>
      </c>
      <c r="I391" s="329"/>
      <c r="J391" s="320">
        <v>223.41</v>
      </c>
      <c r="K391" s="320">
        <v>131.39</v>
      </c>
      <c r="L391" s="320">
        <v>111.94</v>
      </c>
      <c r="M391" s="320">
        <v>0.852</v>
      </c>
      <c r="N391" s="320">
        <v>0.3036</v>
      </c>
      <c r="O391" s="320">
        <v>0.2227</v>
      </c>
      <c r="P391" s="320">
        <v>1.1737</v>
      </c>
      <c r="Q391" s="320">
        <v>540.95</v>
      </c>
      <c r="R391" s="320">
        <v>343.47</v>
      </c>
      <c r="S391" s="320">
        <v>197.48</v>
      </c>
      <c r="T391" s="320">
        <v>0.0</v>
      </c>
      <c r="U391" s="320">
        <v>540.95</v>
      </c>
      <c r="V391" s="320">
        <v>689.22</v>
      </c>
      <c r="W391" s="320">
        <v>5.2457</v>
      </c>
      <c r="X391" s="320">
        <v>0.0</v>
      </c>
      <c r="Y391" s="320">
        <v>817.0</v>
      </c>
      <c r="Z391" s="320">
        <v>4324.0</v>
      </c>
      <c r="AA391" s="320">
        <v>11928.0</v>
      </c>
      <c r="AB391" s="320">
        <v>62.8043</v>
      </c>
      <c r="AC391" s="320">
        <v>0.8897</v>
      </c>
      <c r="AD391" s="320">
        <v>76.44</v>
      </c>
      <c r="AE391" s="320">
        <v>33.0</v>
      </c>
      <c r="AF391" s="320">
        <v>60.0</v>
      </c>
      <c r="AG391" s="320">
        <v>109.0</v>
      </c>
      <c r="AH391" s="320">
        <v>155.0</v>
      </c>
      <c r="AI391" s="320">
        <v>40.32</v>
      </c>
      <c r="AJ391" s="320">
        <v>6.89</v>
      </c>
      <c r="AK391" s="320">
        <v>0.44</v>
      </c>
      <c r="AL391" s="320">
        <v>0.1012</v>
      </c>
      <c r="AM391" s="320">
        <v>23.53</v>
      </c>
      <c r="AN391" s="320">
        <v>319.94</v>
      </c>
      <c r="AO391" s="320">
        <v>87.01</v>
      </c>
      <c r="AP391" s="320">
        <v>20.47</v>
      </c>
    </row>
    <row r="392">
      <c r="A392" s="319" t="s">
        <v>256</v>
      </c>
      <c r="B392" s="328">
        <v>46115.0</v>
      </c>
      <c r="C392" s="319" t="s">
        <v>257</v>
      </c>
      <c r="D392" s="320">
        <v>17925.0</v>
      </c>
      <c r="E392" s="320">
        <v>17.67</v>
      </c>
      <c r="F392" s="320">
        <v>0.0</v>
      </c>
      <c r="G392" s="320">
        <v>0.0</v>
      </c>
      <c r="H392" s="320">
        <v>0.0</v>
      </c>
      <c r="I392" s="329"/>
      <c r="J392" s="320">
        <v>5.74</v>
      </c>
      <c r="K392" s="320">
        <v>2.33</v>
      </c>
      <c r="L392" s="320">
        <v>0.06</v>
      </c>
      <c r="M392" s="320">
        <v>0.0266</v>
      </c>
      <c r="N392" s="320">
        <v>0.9799</v>
      </c>
      <c r="O392" s="320">
        <v>0.7935</v>
      </c>
      <c r="P392" s="320">
        <v>37.5446</v>
      </c>
      <c r="Q392" s="320">
        <v>27.87</v>
      </c>
      <c r="R392" s="320">
        <v>27.77</v>
      </c>
      <c r="S392" s="320">
        <v>0.1</v>
      </c>
      <c r="T392" s="320">
        <v>0.0</v>
      </c>
      <c r="U392" s="320">
        <v>27.87</v>
      </c>
      <c r="V392" s="320">
        <v>2.15</v>
      </c>
      <c r="W392" s="320">
        <v>0.9218</v>
      </c>
      <c r="X392" s="320">
        <v>0.0</v>
      </c>
      <c r="Y392" s="320">
        <v>429.0</v>
      </c>
      <c r="Z392" s="320">
        <v>4237.0</v>
      </c>
      <c r="AA392" s="320">
        <v>15640.0</v>
      </c>
      <c r="AB392" s="320">
        <v>49.0334</v>
      </c>
      <c r="AC392" s="320">
        <v>0.5489</v>
      </c>
      <c r="AD392" s="329"/>
      <c r="AE392" s="329"/>
      <c r="AF392" s="329"/>
      <c r="AG392" s="329"/>
      <c r="AH392" s="329"/>
      <c r="AI392" s="320">
        <v>0.0</v>
      </c>
      <c r="AJ392" s="320">
        <v>0.0</v>
      </c>
      <c r="AK392" s="320">
        <v>0.0</v>
      </c>
      <c r="AL392" s="320">
        <v>0.3006</v>
      </c>
      <c r="AM392" s="320">
        <v>17.91</v>
      </c>
      <c r="AN392" s="320">
        <v>9.86</v>
      </c>
      <c r="AO392" s="329"/>
      <c r="AP392" s="329"/>
    </row>
    <row r="393">
      <c r="A393" s="319" t="s">
        <v>256</v>
      </c>
      <c r="B393" s="328">
        <v>46115.0</v>
      </c>
      <c r="C393" s="319" t="s">
        <v>214</v>
      </c>
      <c r="D393" s="320">
        <v>36244.0</v>
      </c>
      <c r="E393" s="320">
        <v>35.72</v>
      </c>
      <c r="F393" s="320">
        <v>0.0</v>
      </c>
      <c r="G393" s="320">
        <v>0.0</v>
      </c>
      <c r="H393" s="320">
        <v>0.0</v>
      </c>
      <c r="I393" s="329"/>
      <c r="J393" s="320">
        <v>31.27</v>
      </c>
      <c r="K393" s="320">
        <v>14.32</v>
      </c>
      <c r="L393" s="320">
        <v>6.05</v>
      </c>
      <c r="M393" s="320">
        <v>0.4226</v>
      </c>
      <c r="N393" s="320">
        <v>0.745</v>
      </c>
      <c r="O393" s="320">
        <v>0.5394</v>
      </c>
      <c r="P393" s="320">
        <v>2.3665</v>
      </c>
      <c r="Q393" s="320">
        <v>58.67</v>
      </c>
      <c r="R393" s="320">
        <v>48.6</v>
      </c>
      <c r="S393" s="320">
        <v>10.08</v>
      </c>
      <c r="T393" s="320">
        <v>0.01</v>
      </c>
      <c r="U393" s="320">
        <v>58.67</v>
      </c>
      <c r="V393" s="320">
        <v>55.44</v>
      </c>
      <c r="W393" s="320">
        <v>3.873</v>
      </c>
      <c r="X393" s="320">
        <v>0.01</v>
      </c>
      <c r="Y393" s="320">
        <v>144.0</v>
      </c>
      <c r="Z393" s="320">
        <v>888.0</v>
      </c>
      <c r="AA393" s="320">
        <v>5584.0</v>
      </c>
      <c r="AB393" s="320">
        <v>48.5915</v>
      </c>
      <c r="AC393" s="320">
        <v>0.5367</v>
      </c>
      <c r="AD393" s="320">
        <v>4.25</v>
      </c>
      <c r="AE393" s="320">
        <v>2.0</v>
      </c>
      <c r="AF393" s="320">
        <v>3.0</v>
      </c>
      <c r="AG393" s="320">
        <v>6.0</v>
      </c>
      <c r="AH393" s="320">
        <v>9.0</v>
      </c>
      <c r="AI393" s="320">
        <v>75.38</v>
      </c>
      <c r="AJ393" s="320">
        <v>34.17</v>
      </c>
      <c r="AK393" s="320">
        <v>9.69</v>
      </c>
      <c r="AL393" s="320">
        <v>0.2667</v>
      </c>
      <c r="AM393" s="320">
        <v>20.15</v>
      </c>
      <c r="AN393" s="320">
        <v>28.45</v>
      </c>
      <c r="AO393" s="320">
        <v>65.74</v>
      </c>
      <c r="AP393" s="320">
        <v>13.25</v>
      </c>
    </row>
    <row r="394">
      <c r="A394" s="319" t="s">
        <v>256</v>
      </c>
      <c r="B394" s="328">
        <v>46115.0</v>
      </c>
      <c r="C394" s="319" t="s">
        <v>215</v>
      </c>
      <c r="D394" s="320">
        <v>26479.0</v>
      </c>
      <c r="E394" s="320">
        <v>26.1</v>
      </c>
      <c r="F394" s="320">
        <v>0.0</v>
      </c>
      <c r="G394" s="320">
        <v>0.0</v>
      </c>
      <c r="H394" s="320">
        <v>0.0</v>
      </c>
      <c r="I394" s="329"/>
      <c r="J394" s="320">
        <v>57.16</v>
      </c>
      <c r="K394" s="320">
        <v>27.55</v>
      </c>
      <c r="L394" s="320">
        <v>14.37</v>
      </c>
      <c r="M394" s="320">
        <v>0.5218</v>
      </c>
      <c r="N394" s="320">
        <v>0.6612</v>
      </c>
      <c r="O394" s="320">
        <v>0.4563</v>
      </c>
      <c r="P394" s="320">
        <v>1.9165</v>
      </c>
      <c r="Q394" s="320">
        <v>98.38</v>
      </c>
      <c r="R394" s="320">
        <v>73.61</v>
      </c>
      <c r="S394" s="320">
        <v>24.77</v>
      </c>
      <c r="T394" s="320">
        <v>0.09</v>
      </c>
      <c r="U394" s="320">
        <v>98.29</v>
      </c>
      <c r="V394" s="320">
        <v>99.25</v>
      </c>
      <c r="W394" s="320">
        <v>3.6026</v>
      </c>
      <c r="X394" s="320">
        <v>0.09</v>
      </c>
      <c r="Y394" s="320">
        <v>129.0</v>
      </c>
      <c r="Z394" s="320">
        <v>672.0</v>
      </c>
      <c r="AA394" s="320">
        <v>4998.0</v>
      </c>
      <c r="AB394" s="320">
        <v>52.1473</v>
      </c>
      <c r="AC394" s="320">
        <v>0.6322</v>
      </c>
      <c r="AD394" s="320">
        <v>9.48</v>
      </c>
      <c r="AE394" s="320">
        <v>4.0</v>
      </c>
      <c r="AF394" s="320">
        <v>8.0</v>
      </c>
      <c r="AG394" s="320">
        <v>13.0</v>
      </c>
      <c r="AH394" s="320">
        <v>19.0</v>
      </c>
      <c r="AI394" s="320">
        <v>62.55</v>
      </c>
      <c r="AJ394" s="320">
        <v>26.24</v>
      </c>
      <c r="AK394" s="320">
        <v>4.27</v>
      </c>
      <c r="AL394" s="320">
        <v>0.2169</v>
      </c>
      <c r="AM394" s="320">
        <v>20.76</v>
      </c>
      <c r="AN394" s="320">
        <v>52.86</v>
      </c>
      <c r="AO394" s="320">
        <v>74.55</v>
      </c>
      <c r="AP394" s="320">
        <v>15.48</v>
      </c>
    </row>
    <row r="395">
      <c r="A395" s="319" t="s">
        <v>256</v>
      </c>
      <c r="B395" s="328">
        <v>46115.0</v>
      </c>
      <c r="C395" s="319" t="s">
        <v>216</v>
      </c>
      <c r="D395" s="320">
        <v>14411.0</v>
      </c>
      <c r="E395" s="320">
        <v>14.2</v>
      </c>
      <c r="F395" s="320">
        <v>0.0</v>
      </c>
      <c r="G395" s="320">
        <v>0.0</v>
      </c>
      <c r="H395" s="320">
        <v>0.0</v>
      </c>
      <c r="I395" s="329"/>
      <c r="J395" s="320">
        <v>82.79</v>
      </c>
      <c r="K395" s="320">
        <v>42.27</v>
      </c>
      <c r="L395" s="320">
        <v>27.12</v>
      </c>
      <c r="M395" s="320">
        <v>0.6417</v>
      </c>
      <c r="N395" s="320">
        <v>0.5433</v>
      </c>
      <c r="O395" s="320">
        <v>0.3722</v>
      </c>
      <c r="P395" s="320">
        <v>1.5583</v>
      </c>
      <c r="Q395" s="320">
        <v>153.97</v>
      </c>
      <c r="R395" s="320">
        <v>107.15</v>
      </c>
      <c r="S395" s="320">
        <v>46.82</v>
      </c>
      <c r="T395" s="320">
        <v>0.0</v>
      </c>
      <c r="U395" s="320">
        <v>153.97</v>
      </c>
      <c r="V395" s="320">
        <v>168.2</v>
      </c>
      <c r="W395" s="320">
        <v>3.9796</v>
      </c>
      <c r="X395" s="320">
        <v>0.0</v>
      </c>
      <c r="Y395" s="320">
        <v>143.0</v>
      </c>
      <c r="Z395" s="320">
        <v>990.0</v>
      </c>
      <c r="AA395" s="320">
        <v>6492.0</v>
      </c>
      <c r="AB395" s="320">
        <v>55.5446</v>
      </c>
      <c r="AC395" s="320">
        <v>0.7394</v>
      </c>
      <c r="AD395" s="320">
        <v>17.73</v>
      </c>
      <c r="AE395" s="320">
        <v>8.0</v>
      </c>
      <c r="AF395" s="320">
        <v>14.0</v>
      </c>
      <c r="AG395" s="320">
        <v>24.0</v>
      </c>
      <c r="AH395" s="320">
        <v>36.0</v>
      </c>
      <c r="AI395" s="320">
        <v>61.51</v>
      </c>
      <c r="AJ395" s="320">
        <v>22.45</v>
      </c>
      <c r="AK395" s="320">
        <v>6.32</v>
      </c>
      <c r="AL395" s="320">
        <v>0.199</v>
      </c>
      <c r="AM395" s="320">
        <v>20.99</v>
      </c>
      <c r="AN395" s="320">
        <v>86.16</v>
      </c>
      <c r="AO395" s="320">
        <v>77.6</v>
      </c>
      <c r="AP395" s="320">
        <v>16.29</v>
      </c>
    </row>
    <row r="396">
      <c r="A396" s="319" t="s">
        <v>256</v>
      </c>
      <c r="B396" s="328">
        <v>46115.0</v>
      </c>
      <c r="C396" s="319" t="s">
        <v>217</v>
      </c>
      <c r="D396" s="320">
        <v>5760.0</v>
      </c>
      <c r="E396" s="320">
        <v>5.68</v>
      </c>
      <c r="F396" s="320">
        <v>0.0</v>
      </c>
      <c r="G396" s="320">
        <v>0.0</v>
      </c>
      <c r="H396" s="320">
        <v>0.0</v>
      </c>
      <c r="I396" s="329"/>
      <c r="J396" s="320">
        <v>135.92</v>
      </c>
      <c r="K396" s="320">
        <v>73.61</v>
      </c>
      <c r="L396" s="320">
        <v>55.49</v>
      </c>
      <c r="M396" s="320">
        <v>0.7539</v>
      </c>
      <c r="N396" s="320">
        <v>0.4217</v>
      </c>
      <c r="O396" s="320">
        <v>0.2935</v>
      </c>
      <c r="P396" s="320">
        <v>1.3265</v>
      </c>
      <c r="Q396" s="320">
        <v>262.95</v>
      </c>
      <c r="R396" s="320">
        <v>167.09</v>
      </c>
      <c r="S396" s="320">
        <v>95.86</v>
      </c>
      <c r="T396" s="320">
        <v>0.0</v>
      </c>
      <c r="U396" s="320">
        <v>262.95</v>
      </c>
      <c r="V396" s="320">
        <v>322.41</v>
      </c>
      <c r="W396" s="320">
        <v>4.3802</v>
      </c>
      <c r="X396" s="320">
        <v>0.0</v>
      </c>
      <c r="Y396" s="320">
        <v>232.0</v>
      </c>
      <c r="Z396" s="320">
        <v>2101.0</v>
      </c>
      <c r="AA396" s="320">
        <v>8567.0</v>
      </c>
      <c r="AB396" s="320">
        <v>59.2328</v>
      </c>
      <c r="AC396" s="320">
        <v>0.827</v>
      </c>
      <c r="AD396" s="320">
        <v>36.15</v>
      </c>
      <c r="AE396" s="320">
        <v>15.0</v>
      </c>
      <c r="AF396" s="320">
        <v>28.0</v>
      </c>
      <c r="AG396" s="320">
        <v>48.0</v>
      </c>
      <c r="AH396" s="320">
        <v>77.0</v>
      </c>
      <c r="AI396" s="320">
        <v>50.35</v>
      </c>
      <c r="AJ396" s="320">
        <v>17.15</v>
      </c>
      <c r="AK396" s="320">
        <v>4.6</v>
      </c>
      <c r="AL396" s="320">
        <v>0.1418</v>
      </c>
      <c r="AM396" s="320">
        <v>22.33</v>
      </c>
      <c r="AN396" s="320">
        <v>144.76</v>
      </c>
      <c r="AO396" s="320">
        <v>83.16</v>
      </c>
      <c r="AP396" s="320">
        <v>18.57</v>
      </c>
    </row>
    <row r="397">
      <c r="A397" s="319" t="s">
        <v>256</v>
      </c>
      <c r="B397" s="328">
        <v>46115.0</v>
      </c>
      <c r="C397" s="319" t="s">
        <v>218</v>
      </c>
      <c r="D397" s="320">
        <v>652.0</v>
      </c>
      <c r="E397" s="320">
        <v>0.64</v>
      </c>
      <c r="F397" s="320">
        <v>0.0</v>
      </c>
      <c r="G397" s="320">
        <v>0.0</v>
      </c>
      <c r="H397" s="320">
        <v>0.0</v>
      </c>
      <c r="I397" s="329"/>
      <c r="J397" s="320">
        <v>241.05</v>
      </c>
      <c r="K397" s="320">
        <v>139.64</v>
      </c>
      <c r="L397" s="320">
        <v>118.14</v>
      </c>
      <c r="M397" s="320">
        <v>0.8461</v>
      </c>
      <c r="N397" s="320">
        <v>0.308</v>
      </c>
      <c r="O397" s="320">
        <v>0.2251</v>
      </c>
      <c r="P397" s="320">
        <v>1.1819</v>
      </c>
      <c r="Q397" s="320">
        <v>476.97</v>
      </c>
      <c r="R397" s="320">
        <v>269.94</v>
      </c>
      <c r="S397" s="320">
        <v>207.03</v>
      </c>
      <c r="T397" s="320">
        <v>0.0</v>
      </c>
      <c r="U397" s="320">
        <v>476.97</v>
      </c>
      <c r="V397" s="320">
        <v>729.52</v>
      </c>
      <c r="W397" s="320">
        <v>5.2245</v>
      </c>
      <c r="X397" s="320">
        <v>0.0</v>
      </c>
      <c r="Y397" s="320">
        <v>661.0</v>
      </c>
      <c r="Z397" s="320">
        <v>4110.0</v>
      </c>
      <c r="AA397" s="320">
        <v>11840.0</v>
      </c>
      <c r="AB397" s="320">
        <v>62.3233</v>
      </c>
      <c r="AC397" s="320">
        <v>0.8807</v>
      </c>
      <c r="AD397" s="320">
        <v>78.38</v>
      </c>
      <c r="AE397" s="320">
        <v>30.0</v>
      </c>
      <c r="AF397" s="320">
        <v>64.0</v>
      </c>
      <c r="AG397" s="320">
        <v>116.0</v>
      </c>
      <c r="AH397" s="320">
        <v>161.0</v>
      </c>
      <c r="AI397" s="320">
        <v>40.34</v>
      </c>
      <c r="AJ397" s="320">
        <v>6.9</v>
      </c>
      <c r="AK397" s="320">
        <v>0.61</v>
      </c>
      <c r="AL397" s="320">
        <v>0.0767</v>
      </c>
      <c r="AM397" s="320">
        <v>25.87</v>
      </c>
      <c r="AN397" s="320">
        <v>244.07</v>
      </c>
      <c r="AO397" s="320">
        <v>86.22</v>
      </c>
      <c r="AP397" s="320">
        <v>22.31</v>
      </c>
    </row>
    <row r="398">
      <c r="A398" s="319" t="s">
        <v>256</v>
      </c>
      <c r="B398" s="328">
        <v>46116.0</v>
      </c>
      <c r="C398" s="319" t="s">
        <v>257</v>
      </c>
      <c r="D398" s="320">
        <v>18793.0</v>
      </c>
      <c r="E398" s="320">
        <v>18.68</v>
      </c>
      <c r="F398" s="320">
        <v>0.0</v>
      </c>
      <c r="G398" s="320">
        <v>0.0</v>
      </c>
      <c r="H398" s="320">
        <v>0.0</v>
      </c>
      <c r="I398" s="329"/>
      <c r="J398" s="320">
        <v>5.88</v>
      </c>
      <c r="K398" s="320">
        <v>2.39</v>
      </c>
      <c r="L398" s="320">
        <v>0.03</v>
      </c>
      <c r="M398" s="320">
        <v>0.0125</v>
      </c>
      <c r="N398" s="320">
        <v>0.9896</v>
      </c>
      <c r="O398" s="320">
        <v>0.8802</v>
      </c>
      <c r="P398" s="320">
        <v>79.8668</v>
      </c>
      <c r="Q398" s="320">
        <v>25.38</v>
      </c>
      <c r="R398" s="320">
        <v>25.28</v>
      </c>
      <c r="S398" s="320">
        <v>0.1</v>
      </c>
      <c r="T398" s="320">
        <v>0.0</v>
      </c>
      <c r="U398" s="320">
        <v>25.38</v>
      </c>
      <c r="V398" s="320">
        <v>2.29</v>
      </c>
      <c r="W398" s="320">
        <v>0.9563</v>
      </c>
      <c r="X398" s="320">
        <v>0.0</v>
      </c>
      <c r="Y398" s="320">
        <v>339.0</v>
      </c>
      <c r="Z398" s="320">
        <v>3859.0</v>
      </c>
      <c r="AA398" s="320">
        <v>14623.0</v>
      </c>
      <c r="AB398" s="320">
        <v>48.8774</v>
      </c>
      <c r="AC398" s="320">
        <v>0.5423</v>
      </c>
      <c r="AD398" s="329"/>
      <c r="AE398" s="329"/>
      <c r="AF398" s="329"/>
      <c r="AG398" s="329"/>
      <c r="AH398" s="329"/>
      <c r="AI398" s="320">
        <v>0.0</v>
      </c>
      <c r="AJ398" s="320">
        <v>0.0</v>
      </c>
      <c r="AK398" s="320">
        <v>0.0</v>
      </c>
      <c r="AL398" s="320">
        <v>0.2939</v>
      </c>
      <c r="AM398" s="320">
        <v>18.28</v>
      </c>
      <c r="AN398" s="320">
        <v>7.0</v>
      </c>
      <c r="AO398" s="329"/>
      <c r="AP398" s="329"/>
    </row>
    <row r="399">
      <c r="A399" s="319" t="s">
        <v>256</v>
      </c>
      <c r="B399" s="328">
        <v>46116.0</v>
      </c>
      <c r="C399" s="319" t="s">
        <v>214</v>
      </c>
      <c r="D399" s="320">
        <v>35387.0</v>
      </c>
      <c r="E399" s="320">
        <v>35.17</v>
      </c>
      <c r="F399" s="320">
        <v>0.0</v>
      </c>
      <c r="G399" s="320">
        <v>0.0</v>
      </c>
      <c r="H399" s="320">
        <v>0.0</v>
      </c>
      <c r="I399" s="329"/>
      <c r="J399" s="320">
        <v>29.5</v>
      </c>
      <c r="K399" s="320">
        <v>13.43</v>
      </c>
      <c r="L399" s="320">
        <v>5.78</v>
      </c>
      <c r="M399" s="320">
        <v>0.4302</v>
      </c>
      <c r="N399" s="320">
        <v>0.7421</v>
      </c>
      <c r="O399" s="320">
        <v>0.5452</v>
      </c>
      <c r="P399" s="320">
        <v>2.3243</v>
      </c>
      <c r="Q399" s="320">
        <v>52.05</v>
      </c>
      <c r="R399" s="320">
        <v>42.42</v>
      </c>
      <c r="S399" s="320">
        <v>9.63</v>
      </c>
      <c r="T399" s="320">
        <v>0.0</v>
      </c>
      <c r="U399" s="320">
        <v>52.05</v>
      </c>
      <c r="V399" s="320">
        <v>53.19</v>
      </c>
      <c r="W399" s="320">
        <v>3.9613</v>
      </c>
      <c r="X399" s="320">
        <v>0.0</v>
      </c>
      <c r="Y399" s="320">
        <v>147.0</v>
      </c>
      <c r="Z399" s="320">
        <v>910.0</v>
      </c>
      <c r="AA399" s="320">
        <v>5932.0</v>
      </c>
      <c r="AB399" s="320">
        <v>48.7697</v>
      </c>
      <c r="AC399" s="320">
        <v>0.5434</v>
      </c>
      <c r="AD399" s="320">
        <v>4.1</v>
      </c>
      <c r="AE399" s="320">
        <v>1.0</v>
      </c>
      <c r="AF399" s="320">
        <v>3.0</v>
      </c>
      <c r="AG399" s="320">
        <v>5.0</v>
      </c>
      <c r="AH399" s="320">
        <v>9.0</v>
      </c>
      <c r="AI399" s="320">
        <v>73.66</v>
      </c>
      <c r="AJ399" s="320">
        <v>32.04</v>
      </c>
      <c r="AK399" s="320">
        <v>9.25</v>
      </c>
      <c r="AL399" s="320">
        <v>0.2601</v>
      </c>
      <c r="AM399" s="320">
        <v>21.94</v>
      </c>
      <c r="AN399" s="320">
        <v>20.48</v>
      </c>
      <c r="AO399" s="320">
        <v>65.46</v>
      </c>
      <c r="AP399" s="320">
        <v>14.36</v>
      </c>
    </row>
    <row r="400">
      <c r="A400" s="319" t="s">
        <v>256</v>
      </c>
      <c r="B400" s="328">
        <v>46116.0</v>
      </c>
      <c r="C400" s="319" t="s">
        <v>215</v>
      </c>
      <c r="D400" s="320">
        <v>25906.0</v>
      </c>
      <c r="E400" s="320">
        <v>25.75</v>
      </c>
      <c r="F400" s="320">
        <v>0.0</v>
      </c>
      <c r="G400" s="320">
        <v>0.0</v>
      </c>
      <c r="H400" s="320">
        <v>0.0</v>
      </c>
      <c r="I400" s="329"/>
      <c r="J400" s="320">
        <v>53.73</v>
      </c>
      <c r="K400" s="320">
        <v>25.55</v>
      </c>
      <c r="L400" s="320">
        <v>13.71</v>
      </c>
      <c r="M400" s="320">
        <v>0.5366</v>
      </c>
      <c r="N400" s="320">
        <v>0.6559</v>
      </c>
      <c r="O400" s="320">
        <v>0.4604</v>
      </c>
      <c r="P400" s="320">
        <v>1.8637</v>
      </c>
      <c r="Q400" s="320">
        <v>90.46</v>
      </c>
      <c r="R400" s="320">
        <v>67.25</v>
      </c>
      <c r="S400" s="320">
        <v>23.21</v>
      </c>
      <c r="T400" s="320">
        <v>0.11</v>
      </c>
      <c r="U400" s="320">
        <v>90.35</v>
      </c>
      <c r="V400" s="320">
        <v>97.34</v>
      </c>
      <c r="W400" s="320">
        <v>3.8106</v>
      </c>
      <c r="X400" s="320">
        <v>0.12</v>
      </c>
      <c r="Y400" s="320">
        <v>122.0</v>
      </c>
      <c r="Z400" s="320">
        <v>682.0</v>
      </c>
      <c r="AA400" s="320">
        <v>5466.0</v>
      </c>
      <c r="AB400" s="320">
        <v>52.136</v>
      </c>
      <c r="AC400" s="320">
        <v>0.6382</v>
      </c>
      <c r="AD400" s="320">
        <v>9.29</v>
      </c>
      <c r="AE400" s="320">
        <v>4.0</v>
      </c>
      <c r="AF400" s="320">
        <v>7.0</v>
      </c>
      <c r="AG400" s="320">
        <v>13.0</v>
      </c>
      <c r="AH400" s="320">
        <v>19.0</v>
      </c>
      <c r="AI400" s="320">
        <v>60.41</v>
      </c>
      <c r="AJ400" s="320">
        <v>25.99</v>
      </c>
      <c r="AK400" s="320">
        <v>4.13</v>
      </c>
      <c r="AL400" s="320">
        <v>0.2156</v>
      </c>
      <c r="AM400" s="320">
        <v>22.83</v>
      </c>
      <c r="AN400" s="320">
        <v>44.42</v>
      </c>
      <c r="AO400" s="320">
        <v>74.19</v>
      </c>
      <c r="AP400" s="320">
        <v>16.94</v>
      </c>
    </row>
    <row r="401">
      <c r="A401" s="319" t="s">
        <v>256</v>
      </c>
      <c r="B401" s="328">
        <v>46116.0</v>
      </c>
      <c r="C401" s="319" t="s">
        <v>216</v>
      </c>
      <c r="D401" s="320">
        <v>14178.0</v>
      </c>
      <c r="E401" s="320">
        <v>14.09</v>
      </c>
      <c r="F401" s="320">
        <v>0.0</v>
      </c>
      <c r="G401" s="320">
        <v>0.0</v>
      </c>
      <c r="H401" s="320">
        <v>0.0</v>
      </c>
      <c r="I401" s="329"/>
      <c r="J401" s="320">
        <v>79.41</v>
      </c>
      <c r="K401" s="320">
        <v>40.11</v>
      </c>
      <c r="L401" s="320">
        <v>26.24</v>
      </c>
      <c r="M401" s="320">
        <v>0.6541</v>
      </c>
      <c r="N401" s="320">
        <v>0.5379</v>
      </c>
      <c r="O401" s="320">
        <v>0.3739</v>
      </c>
      <c r="P401" s="320">
        <v>1.5289</v>
      </c>
      <c r="Q401" s="320">
        <v>154.25</v>
      </c>
      <c r="R401" s="320">
        <v>109.49</v>
      </c>
      <c r="S401" s="320">
        <v>44.77</v>
      </c>
      <c r="T401" s="320">
        <v>0.11</v>
      </c>
      <c r="U401" s="320">
        <v>154.14</v>
      </c>
      <c r="V401" s="320">
        <v>166.68</v>
      </c>
      <c r="W401" s="320">
        <v>4.155</v>
      </c>
      <c r="X401" s="320">
        <v>0.07</v>
      </c>
      <c r="Y401" s="320">
        <v>148.0</v>
      </c>
      <c r="Z401" s="320">
        <v>1016.0</v>
      </c>
      <c r="AA401" s="320">
        <v>6692.0</v>
      </c>
      <c r="AB401" s="320">
        <v>55.7135</v>
      </c>
      <c r="AC401" s="320">
        <v>0.7375</v>
      </c>
      <c r="AD401" s="320">
        <v>17.37</v>
      </c>
      <c r="AE401" s="320">
        <v>7.0</v>
      </c>
      <c r="AF401" s="320">
        <v>13.0</v>
      </c>
      <c r="AG401" s="320">
        <v>24.0</v>
      </c>
      <c r="AH401" s="320">
        <v>36.0</v>
      </c>
      <c r="AI401" s="320">
        <v>59.57</v>
      </c>
      <c r="AJ401" s="320">
        <v>21.27</v>
      </c>
      <c r="AK401" s="320">
        <v>6.48</v>
      </c>
      <c r="AL401" s="320">
        <v>0.1951</v>
      </c>
      <c r="AM401" s="320">
        <v>22.77</v>
      </c>
      <c r="AN401" s="320">
        <v>86.72</v>
      </c>
      <c r="AO401" s="320">
        <v>77.49</v>
      </c>
      <c r="AP401" s="320">
        <v>17.64</v>
      </c>
    </row>
    <row r="402">
      <c r="A402" s="319" t="s">
        <v>256</v>
      </c>
      <c r="B402" s="328">
        <v>46116.0</v>
      </c>
      <c r="C402" s="319" t="s">
        <v>217</v>
      </c>
      <c r="D402" s="320">
        <v>5701.0</v>
      </c>
      <c r="E402" s="320">
        <v>5.67</v>
      </c>
      <c r="F402" s="320">
        <v>0.0</v>
      </c>
      <c r="G402" s="320">
        <v>0.0</v>
      </c>
      <c r="H402" s="320">
        <v>0.0</v>
      </c>
      <c r="I402" s="329"/>
      <c r="J402" s="320">
        <v>128.24</v>
      </c>
      <c r="K402" s="320">
        <v>69.48</v>
      </c>
      <c r="L402" s="320">
        <v>53.31</v>
      </c>
      <c r="M402" s="320">
        <v>0.7672</v>
      </c>
      <c r="N402" s="320">
        <v>0.4152</v>
      </c>
      <c r="O402" s="320">
        <v>0.2944</v>
      </c>
      <c r="P402" s="320">
        <v>1.3034</v>
      </c>
      <c r="Q402" s="320">
        <v>289.08</v>
      </c>
      <c r="R402" s="320">
        <v>197.33</v>
      </c>
      <c r="S402" s="320">
        <v>91.75</v>
      </c>
      <c r="T402" s="320">
        <v>0.0</v>
      </c>
      <c r="U402" s="320">
        <v>289.08</v>
      </c>
      <c r="V402" s="320">
        <v>315.51</v>
      </c>
      <c r="W402" s="320">
        <v>4.5412</v>
      </c>
      <c r="X402" s="320">
        <v>0.0</v>
      </c>
      <c r="Y402" s="320">
        <v>250.0</v>
      </c>
      <c r="Z402" s="320">
        <v>2096.0</v>
      </c>
      <c r="AA402" s="320">
        <v>8723.0</v>
      </c>
      <c r="AB402" s="320">
        <v>59.0864</v>
      </c>
      <c r="AC402" s="320">
        <v>0.8189</v>
      </c>
      <c r="AD402" s="320">
        <v>35.27</v>
      </c>
      <c r="AE402" s="320">
        <v>14.0</v>
      </c>
      <c r="AF402" s="320">
        <v>27.0</v>
      </c>
      <c r="AG402" s="320">
        <v>49.0</v>
      </c>
      <c r="AH402" s="320">
        <v>76.0</v>
      </c>
      <c r="AI402" s="320">
        <v>48.55</v>
      </c>
      <c r="AJ402" s="320">
        <v>17.96</v>
      </c>
      <c r="AK402" s="320">
        <v>3.89</v>
      </c>
      <c r="AL402" s="320">
        <v>0.1393</v>
      </c>
      <c r="AM402" s="320">
        <v>23.6</v>
      </c>
      <c r="AN402" s="320">
        <v>173.73</v>
      </c>
      <c r="AO402" s="320">
        <v>82.86</v>
      </c>
      <c r="AP402" s="320">
        <v>19.55</v>
      </c>
    </row>
    <row r="403">
      <c r="A403" s="319" t="s">
        <v>256</v>
      </c>
      <c r="B403" s="328">
        <v>46116.0</v>
      </c>
      <c r="C403" s="319" t="s">
        <v>218</v>
      </c>
      <c r="D403" s="320">
        <v>647.0</v>
      </c>
      <c r="E403" s="320">
        <v>0.64</v>
      </c>
      <c r="F403" s="320">
        <v>0.0</v>
      </c>
      <c r="G403" s="320">
        <v>0.0</v>
      </c>
      <c r="H403" s="320">
        <v>0.0</v>
      </c>
      <c r="I403" s="329"/>
      <c r="J403" s="320">
        <v>235.8</v>
      </c>
      <c r="K403" s="320">
        <v>138.97</v>
      </c>
      <c r="L403" s="320">
        <v>120.05</v>
      </c>
      <c r="M403" s="320">
        <v>0.8638</v>
      </c>
      <c r="N403" s="320">
        <v>0.2912</v>
      </c>
      <c r="O403" s="320">
        <v>0.2166</v>
      </c>
      <c r="P403" s="320">
        <v>1.1576</v>
      </c>
      <c r="Q403" s="320">
        <v>543.49</v>
      </c>
      <c r="R403" s="320">
        <v>334.98</v>
      </c>
      <c r="S403" s="320">
        <v>208.51</v>
      </c>
      <c r="T403" s="320">
        <v>0.0</v>
      </c>
      <c r="U403" s="320">
        <v>543.49</v>
      </c>
      <c r="V403" s="320">
        <v>684.39</v>
      </c>
      <c r="W403" s="320">
        <v>4.9247</v>
      </c>
      <c r="X403" s="320">
        <v>0.0</v>
      </c>
      <c r="Y403" s="320">
        <v>900.0</v>
      </c>
      <c r="Z403" s="320">
        <v>4874.0</v>
      </c>
      <c r="AA403" s="320">
        <v>13081.0</v>
      </c>
      <c r="AB403" s="320">
        <v>62.5587</v>
      </c>
      <c r="AC403" s="320">
        <v>0.8909</v>
      </c>
      <c r="AD403" s="320">
        <v>81.76</v>
      </c>
      <c r="AE403" s="320">
        <v>32.0</v>
      </c>
      <c r="AF403" s="320">
        <v>67.0</v>
      </c>
      <c r="AG403" s="320">
        <v>115.0</v>
      </c>
      <c r="AH403" s="320">
        <v>160.0</v>
      </c>
      <c r="AI403" s="320">
        <v>42.04</v>
      </c>
      <c r="AJ403" s="320">
        <v>7.73</v>
      </c>
      <c r="AK403" s="320">
        <v>1.39</v>
      </c>
      <c r="AL403" s="320">
        <v>0.0974</v>
      </c>
      <c r="AM403" s="320">
        <v>22.74</v>
      </c>
      <c r="AN403" s="320">
        <v>312.24</v>
      </c>
      <c r="AO403" s="320">
        <v>84.06</v>
      </c>
      <c r="AP403" s="320">
        <v>19.12</v>
      </c>
    </row>
    <row r="404">
      <c r="A404" s="319" t="s">
        <v>256</v>
      </c>
      <c r="B404" s="328">
        <v>46117.0</v>
      </c>
      <c r="C404" s="319" t="s">
        <v>257</v>
      </c>
      <c r="D404" s="320">
        <v>18948.0</v>
      </c>
      <c r="E404" s="320">
        <v>18.78</v>
      </c>
      <c r="F404" s="320">
        <v>0.0</v>
      </c>
      <c r="G404" s="320">
        <v>0.0</v>
      </c>
      <c r="H404" s="320">
        <v>0.0</v>
      </c>
      <c r="I404" s="329"/>
      <c r="J404" s="320">
        <v>5.99</v>
      </c>
      <c r="K404" s="320">
        <v>2.45</v>
      </c>
      <c r="L404" s="320">
        <v>0.01</v>
      </c>
      <c r="M404" s="320">
        <v>0.0059</v>
      </c>
      <c r="N404" s="320">
        <v>0.9957</v>
      </c>
      <c r="O404" s="320">
        <v>0.9416</v>
      </c>
      <c r="P404" s="320">
        <v>168.8436</v>
      </c>
      <c r="Q404" s="320">
        <v>22.97</v>
      </c>
      <c r="R404" s="320">
        <v>22.86</v>
      </c>
      <c r="S404" s="320">
        <v>0.11</v>
      </c>
      <c r="T404" s="320">
        <v>0.0</v>
      </c>
      <c r="U404" s="320">
        <v>22.97</v>
      </c>
      <c r="V404" s="320">
        <v>1.96</v>
      </c>
      <c r="W404" s="320">
        <v>0.799</v>
      </c>
      <c r="X404" s="320">
        <v>0.0</v>
      </c>
      <c r="Y404" s="320">
        <v>342.0</v>
      </c>
      <c r="Z404" s="320">
        <v>3965.0</v>
      </c>
      <c r="AA404" s="320">
        <v>15064.0</v>
      </c>
      <c r="AB404" s="320">
        <v>49.341</v>
      </c>
      <c r="AC404" s="320">
        <v>0.5533</v>
      </c>
      <c r="AD404" s="329"/>
      <c r="AE404" s="329"/>
      <c r="AF404" s="329"/>
      <c r="AG404" s="329"/>
      <c r="AH404" s="329"/>
      <c r="AI404" s="320">
        <v>0.0</v>
      </c>
      <c r="AJ404" s="320">
        <v>0.0</v>
      </c>
      <c r="AK404" s="320">
        <v>0.0</v>
      </c>
      <c r="AL404" s="320">
        <v>0.2797</v>
      </c>
      <c r="AM404" s="320">
        <v>18.52</v>
      </c>
      <c r="AN404" s="320">
        <v>4.34</v>
      </c>
      <c r="AO404" s="329"/>
      <c r="AP404" s="329"/>
    </row>
    <row r="405">
      <c r="A405" s="319" t="s">
        <v>256</v>
      </c>
      <c r="B405" s="328">
        <v>46117.0</v>
      </c>
      <c r="C405" s="319" t="s">
        <v>214</v>
      </c>
      <c r="D405" s="320">
        <v>35507.0</v>
      </c>
      <c r="E405" s="320">
        <v>35.2</v>
      </c>
      <c r="F405" s="320">
        <v>0.0</v>
      </c>
      <c r="G405" s="320">
        <v>0.0</v>
      </c>
      <c r="H405" s="320">
        <v>0.0</v>
      </c>
      <c r="I405" s="329"/>
      <c r="J405" s="320">
        <v>31.17</v>
      </c>
      <c r="K405" s="320">
        <v>14.37</v>
      </c>
      <c r="L405" s="320">
        <v>5.71</v>
      </c>
      <c r="M405" s="320">
        <v>0.3976</v>
      </c>
      <c r="N405" s="320">
        <v>0.7652</v>
      </c>
      <c r="O405" s="320">
        <v>0.5617</v>
      </c>
      <c r="P405" s="320">
        <v>2.5152</v>
      </c>
      <c r="Q405" s="320">
        <v>45.59</v>
      </c>
      <c r="R405" s="320">
        <v>36.12</v>
      </c>
      <c r="S405" s="320">
        <v>9.47</v>
      </c>
      <c r="T405" s="320">
        <v>0.02</v>
      </c>
      <c r="U405" s="320">
        <v>45.57</v>
      </c>
      <c r="V405" s="320">
        <v>50.91</v>
      </c>
      <c r="W405" s="320">
        <v>3.5424</v>
      </c>
      <c r="X405" s="320">
        <v>0.04</v>
      </c>
      <c r="Y405" s="320">
        <v>140.0</v>
      </c>
      <c r="Z405" s="320">
        <v>913.0</v>
      </c>
      <c r="AA405" s="320">
        <v>6046.0</v>
      </c>
      <c r="AB405" s="320">
        <v>48.7208</v>
      </c>
      <c r="AC405" s="320">
        <v>0.5415</v>
      </c>
      <c r="AD405" s="320">
        <v>3.99</v>
      </c>
      <c r="AE405" s="320">
        <v>1.0</v>
      </c>
      <c r="AF405" s="320">
        <v>3.0</v>
      </c>
      <c r="AG405" s="320">
        <v>5.0</v>
      </c>
      <c r="AH405" s="320">
        <v>9.0</v>
      </c>
      <c r="AI405" s="320">
        <v>73.7</v>
      </c>
      <c r="AJ405" s="320">
        <v>30.56</v>
      </c>
      <c r="AK405" s="320">
        <v>8.33</v>
      </c>
      <c r="AL405" s="320">
        <v>0.2643</v>
      </c>
      <c r="AM405" s="320">
        <v>20.96</v>
      </c>
      <c r="AN405" s="320">
        <v>15.16</v>
      </c>
      <c r="AO405" s="320">
        <v>65.25</v>
      </c>
      <c r="AP405" s="320">
        <v>13.68</v>
      </c>
    </row>
    <row r="406">
      <c r="A406" s="319" t="s">
        <v>256</v>
      </c>
      <c r="B406" s="328">
        <v>46117.0</v>
      </c>
      <c r="C406" s="319" t="s">
        <v>215</v>
      </c>
      <c r="D406" s="320">
        <v>25929.0</v>
      </c>
      <c r="E406" s="320">
        <v>25.71</v>
      </c>
      <c r="F406" s="320">
        <v>0.0</v>
      </c>
      <c r="G406" s="320">
        <v>0.0</v>
      </c>
      <c r="H406" s="320">
        <v>0.0</v>
      </c>
      <c r="I406" s="329"/>
      <c r="J406" s="320">
        <v>57.12</v>
      </c>
      <c r="K406" s="320">
        <v>27.48</v>
      </c>
      <c r="L406" s="320">
        <v>13.87</v>
      </c>
      <c r="M406" s="320">
        <v>0.5049</v>
      </c>
      <c r="N406" s="320">
        <v>0.678</v>
      </c>
      <c r="O406" s="320">
        <v>0.4707</v>
      </c>
      <c r="P406" s="320">
        <v>1.9806</v>
      </c>
      <c r="Q406" s="320">
        <v>74.12</v>
      </c>
      <c r="R406" s="320">
        <v>50.68</v>
      </c>
      <c r="S406" s="320">
        <v>23.43</v>
      </c>
      <c r="T406" s="320">
        <v>0.0</v>
      </c>
      <c r="U406" s="320">
        <v>74.12</v>
      </c>
      <c r="V406" s="320">
        <v>92.0</v>
      </c>
      <c r="W406" s="320">
        <v>3.3478</v>
      </c>
      <c r="X406" s="320">
        <v>0.0</v>
      </c>
      <c r="Y406" s="320">
        <v>110.0</v>
      </c>
      <c r="Z406" s="320">
        <v>641.0</v>
      </c>
      <c r="AA406" s="320">
        <v>4880.0</v>
      </c>
      <c r="AB406" s="320">
        <v>52.153</v>
      </c>
      <c r="AC406" s="320">
        <v>0.6355</v>
      </c>
      <c r="AD406" s="320">
        <v>9.19</v>
      </c>
      <c r="AE406" s="320">
        <v>4.0</v>
      </c>
      <c r="AF406" s="320">
        <v>7.0</v>
      </c>
      <c r="AG406" s="320">
        <v>12.0</v>
      </c>
      <c r="AH406" s="320">
        <v>19.0</v>
      </c>
      <c r="AI406" s="320">
        <v>60.09</v>
      </c>
      <c r="AJ406" s="320">
        <v>24.8</v>
      </c>
      <c r="AK406" s="320">
        <v>4.26</v>
      </c>
      <c r="AL406" s="320">
        <v>0.2197</v>
      </c>
      <c r="AM406" s="320">
        <v>21.3</v>
      </c>
      <c r="AN406" s="320">
        <v>29.38</v>
      </c>
      <c r="AO406" s="320">
        <v>73.83</v>
      </c>
      <c r="AP406" s="320">
        <v>15.73</v>
      </c>
    </row>
    <row r="407">
      <c r="A407" s="319" t="s">
        <v>256</v>
      </c>
      <c r="B407" s="328">
        <v>46117.0</v>
      </c>
      <c r="C407" s="319" t="s">
        <v>216</v>
      </c>
      <c r="D407" s="320">
        <v>14172.0</v>
      </c>
      <c r="E407" s="320">
        <v>14.05</v>
      </c>
      <c r="F407" s="320">
        <v>0.0</v>
      </c>
      <c r="G407" s="320">
        <v>0.0</v>
      </c>
      <c r="H407" s="320">
        <v>0.0</v>
      </c>
      <c r="I407" s="329"/>
      <c r="J407" s="320">
        <v>83.31</v>
      </c>
      <c r="K407" s="320">
        <v>42.5</v>
      </c>
      <c r="L407" s="320">
        <v>27.0</v>
      </c>
      <c r="M407" s="320">
        <v>0.6352</v>
      </c>
      <c r="N407" s="320">
        <v>0.5504</v>
      </c>
      <c r="O407" s="320">
        <v>0.3769</v>
      </c>
      <c r="P407" s="320">
        <v>1.5742</v>
      </c>
      <c r="Q407" s="320">
        <v>122.67</v>
      </c>
      <c r="R407" s="320">
        <v>76.49</v>
      </c>
      <c r="S407" s="320">
        <v>46.18</v>
      </c>
      <c r="T407" s="320">
        <v>0.0</v>
      </c>
      <c r="U407" s="320">
        <v>122.67</v>
      </c>
      <c r="V407" s="320">
        <v>157.55</v>
      </c>
      <c r="W407" s="320">
        <v>3.7074</v>
      </c>
      <c r="X407" s="320">
        <v>0.0</v>
      </c>
      <c r="Y407" s="320">
        <v>121.0</v>
      </c>
      <c r="Z407" s="320">
        <v>948.0</v>
      </c>
      <c r="AA407" s="320">
        <v>6371.0</v>
      </c>
      <c r="AB407" s="320">
        <v>55.5766</v>
      </c>
      <c r="AC407" s="320">
        <v>0.7341</v>
      </c>
      <c r="AD407" s="320">
        <v>17.53</v>
      </c>
      <c r="AE407" s="320">
        <v>7.0</v>
      </c>
      <c r="AF407" s="320">
        <v>13.0</v>
      </c>
      <c r="AG407" s="320">
        <v>23.0</v>
      </c>
      <c r="AH407" s="320">
        <v>37.0</v>
      </c>
      <c r="AI407" s="320">
        <v>58.01</v>
      </c>
      <c r="AJ407" s="320">
        <v>22.24</v>
      </c>
      <c r="AK407" s="320">
        <v>7.2</v>
      </c>
      <c r="AL407" s="320">
        <v>0.196</v>
      </c>
      <c r="AM407" s="320">
        <v>21.43</v>
      </c>
      <c r="AN407" s="320">
        <v>55.06</v>
      </c>
      <c r="AO407" s="320">
        <v>77.15</v>
      </c>
      <c r="AP407" s="320">
        <v>16.53</v>
      </c>
    </row>
    <row r="408">
      <c r="A408" s="319" t="s">
        <v>256</v>
      </c>
      <c r="B408" s="328">
        <v>46117.0</v>
      </c>
      <c r="C408" s="319" t="s">
        <v>217</v>
      </c>
      <c r="D408" s="320">
        <v>5725.0</v>
      </c>
      <c r="E408" s="320">
        <v>5.68</v>
      </c>
      <c r="F408" s="320">
        <v>0.0</v>
      </c>
      <c r="G408" s="320">
        <v>0.0</v>
      </c>
      <c r="H408" s="320">
        <v>0.0</v>
      </c>
      <c r="I408" s="329"/>
      <c r="J408" s="320">
        <v>135.09</v>
      </c>
      <c r="K408" s="320">
        <v>73.76</v>
      </c>
      <c r="L408" s="320">
        <v>55.27</v>
      </c>
      <c r="M408" s="320">
        <v>0.7492</v>
      </c>
      <c r="N408" s="320">
        <v>0.4256</v>
      </c>
      <c r="O408" s="320">
        <v>0.2936</v>
      </c>
      <c r="P408" s="320">
        <v>1.3347</v>
      </c>
      <c r="Q408" s="320">
        <v>211.54</v>
      </c>
      <c r="R408" s="320">
        <v>116.99</v>
      </c>
      <c r="S408" s="320">
        <v>94.55</v>
      </c>
      <c r="T408" s="320">
        <v>0.23</v>
      </c>
      <c r="U408" s="320">
        <v>211.32</v>
      </c>
      <c r="V408" s="320">
        <v>302.64</v>
      </c>
      <c r="W408" s="320">
        <v>4.1028</v>
      </c>
      <c r="X408" s="320">
        <v>0.11</v>
      </c>
      <c r="Y408" s="320">
        <v>202.0</v>
      </c>
      <c r="Z408" s="320">
        <v>2072.0</v>
      </c>
      <c r="AA408" s="320">
        <v>9107.0</v>
      </c>
      <c r="AB408" s="320">
        <v>59.3096</v>
      </c>
      <c r="AC408" s="320">
        <v>0.8239</v>
      </c>
      <c r="AD408" s="320">
        <v>36.05</v>
      </c>
      <c r="AE408" s="320">
        <v>13.0</v>
      </c>
      <c r="AF408" s="320">
        <v>26.0</v>
      </c>
      <c r="AG408" s="320">
        <v>50.0</v>
      </c>
      <c r="AH408" s="320">
        <v>79.0</v>
      </c>
      <c r="AI408" s="320">
        <v>48.07</v>
      </c>
      <c r="AJ408" s="320">
        <v>18.72</v>
      </c>
      <c r="AK408" s="320">
        <v>4.94</v>
      </c>
      <c r="AL408" s="320">
        <v>0.1445</v>
      </c>
      <c r="AM408" s="320">
        <v>21.89</v>
      </c>
      <c r="AN408" s="320">
        <v>95.1</v>
      </c>
      <c r="AO408" s="320">
        <v>82.1</v>
      </c>
      <c r="AP408" s="320">
        <v>17.97</v>
      </c>
    </row>
    <row r="409">
      <c r="A409" s="319" t="s">
        <v>256</v>
      </c>
      <c r="B409" s="328">
        <v>46117.0</v>
      </c>
      <c r="C409" s="319" t="s">
        <v>218</v>
      </c>
      <c r="D409" s="320">
        <v>590.0</v>
      </c>
      <c r="E409" s="320">
        <v>0.58</v>
      </c>
      <c r="F409" s="320">
        <v>0.0</v>
      </c>
      <c r="G409" s="320">
        <v>0.0</v>
      </c>
      <c r="H409" s="320">
        <v>0.0</v>
      </c>
      <c r="I409" s="329"/>
      <c r="J409" s="320">
        <v>241.94</v>
      </c>
      <c r="K409" s="320">
        <v>142.02</v>
      </c>
      <c r="L409" s="320">
        <v>119.78</v>
      </c>
      <c r="M409" s="320">
        <v>0.8434</v>
      </c>
      <c r="N409" s="320">
        <v>0.3091</v>
      </c>
      <c r="O409" s="320">
        <v>0.2235</v>
      </c>
      <c r="P409" s="320">
        <v>1.1856</v>
      </c>
      <c r="Q409" s="320">
        <v>370.68</v>
      </c>
      <c r="R409" s="320">
        <v>165.98</v>
      </c>
      <c r="S409" s="320">
        <v>204.7</v>
      </c>
      <c r="T409" s="320">
        <v>0.0</v>
      </c>
      <c r="U409" s="320">
        <v>370.68</v>
      </c>
      <c r="V409" s="320">
        <v>713.22</v>
      </c>
      <c r="W409" s="320">
        <v>5.022</v>
      </c>
      <c r="X409" s="320">
        <v>0.0</v>
      </c>
      <c r="Y409" s="320">
        <v>727.0</v>
      </c>
      <c r="Z409" s="320">
        <v>4253.0</v>
      </c>
      <c r="AA409" s="320">
        <v>11241.0</v>
      </c>
      <c r="AB409" s="320">
        <v>62.6699</v>
      </c>
      <c r="AC409" s="320">
        <v>0.8892</v>
      </c>
      <c r="AD409" s="320">
        <v>77.32</v>
      </c>
      <c r="AE409" s="320">
        <v>27.0</v>
      </c>
      <c r="AF409" s="320">
        <v>58.0</v>
      </c>
      <c r="AG409" s="320">
        <v>110.0</v>
      </c>
      <c r="AH409" s="320">
        <v>167.0</v>
      </c>
      <c r="AI409" s="320">
        <v>37.63</v>
      </c>
      <c r="AJ409" s="320">
        <v>9.15</v>
      </c>
      <c r="AK409" s="320">
        <v>1.69</v>
      </c>
      <c r="AL409" s="320">
        <v>0.0966</v>
      </c>
      <c r="AM409" s="320">
        <v>23.08</v>
      </c>
      <c r="AN409" s="320">
        <v>142.89</v>
      </c>
      <c r="AO409" s="320">
        <v>84.53</v>
      </c>
      <c r="AP409" s="320">
        <v>19.51</v>
      </c>
    </row>
    <row r="410">
      <c r="A410" s="319" t="s">
        <v>256</v>
      </c>
      <c r="B410" s="328">
        <v>46118.0</v>
      </c>
      <c r="C410" s="319" t="s">
        <v>257</v>
      </c>
      <c r="D410" s="320">
        <v>18659.0</v>
      </c>
      <c r="E410" s="320">
        <v>17.35</v>
      </c>
      <c r="F410" s="320">
        <v>0.0</v>
      </c>
      <c r="G410" s="320">
        <v>0.0</v>
      </c>
      <c r="H410" s="320">
        <v>0.0</v>
      </c>
      <c r="I410" s="329"/>
      <c r="J410" s="320">
        <v>5.54</v>
      </c>
      <c r="K410" s="320">
        <v>2.2</v>
      </c>
      <c r="L410" s="320">
        <v>0.07</v>
      </c>
      <c r="M410" s="320">
        <v>0.0333</v>
      </c>
      <c r="N410" s="320">
        <v>0.9741</v>
      </c>
      <c r="O410" s="320">
        <v>0.7643</v>
      </c>
      <c r="P410" s="320">
        <v>30.0747</v>
      </c>
      <c r="Q410" s="320">
        <v>35.43</v>
      </c>
      <c r="R410" s="320">
        <v>35.33</v>
      </c>
      <c r="S410" s="320">
        <v>0.1</v>
      </c>
      <c r="T410" s="320">
        <v>0.0</v>
      </c>
      <c r="U410" s="320">
        <v>35.43</v>
      </c>
      <c r="V410" s="320">
        <v>2.31</v>
      </c>
      <c r="W410" s="320">
        <v>1.0491</v>
      </c>
      <c r="X410" s="320">
        <v>0.0</v>
      </c>
      <c r="Y410" s="320">
        <v>424.0</v>
      </c>
      <c r="Z410" s="320">
        <v>4391.0</v>
      </c>
      <c r="AA410" s="320">
        <v>16030.0</v>
      </c>
      <c r="AB410" s="320">
        <v>49.5218</v>
      </c>
      <c r="AC410" s="320">
        <v>0.5558</v>
      </c>
      <c r="AD410" s="329"/>
      <c r="AE410" s="329"/>
      <c r="AF410" s="329"/>
      <c r="AG410" s="329"/>
      <c r="AH410" s="329"/>
      <c r="AI410" s="320">
        <v>0.0</v>
      </c>
      <c r="AJ410" s="320">
        <v>0.0</v>
      </c>
      <c r="AK410" s="320">
        <v>0.0</v>
      </c>
      <c r="AL410" s="320">
        <v>0.2805</v>
      </c>
      <c r="AM410" s="320">
        <v>17.16</v>
      </c>
      <c r="AN410" s="320">
        <v>18.18</v>
      </c>
      <c r="AO410" s="329"/>
      <c r="AP410" s="329"/>
    </row>
    <row r="411">
      <c r="A411" s="319" t="s">
        <v>256</v>
      </c>
      <c r="B411" s="328">
        <v>46118.0</v>
      </c>
      <c r="C411" s="319" t="s">
        <v>214</v>
      </c>
      <c r="D411" s="320">
        <v>36885.0</v>
      </c>
      <c r="E411" s="320">
        <v>34.3</v>
      </c>
      <c r="F411" s="320">
        <v>0.0</v>
      </c>
      <c r="G411" s="320">
        <v>0.0</v>
      </c>
      <c r="H411" s="320">
        <v>0.0</v>
      </c>
      <c r="I411" s="329"/>
      <c r="J411" s="320">
        <v>31.74</v>
      </c>
      <c r="K411" s="320">
        <v>14.46</v>
      </c>
      <c r="L411" s="320">
        <v>5.85</v>
      </c>
      <c r="M411" s="320">
        <v>0.4044</v>
      </c>
      <c r="N411" s="320">
        <v>0.7666</v>
      </c>
      <c r="O411" s="320">
        <v>0.5725</v>
      </c>
      <c r="P411" s="320">
        <v>2.4728</v>
      </c>
      <c r="Q411" s="320">
        <v>72.75</v>
      </c>
      <c r="R411" s="320">
        <v>63.17</v>
      </c>
      <c r="S411" s="320">
        <v>9.59</v>
      </c>
      <c r="T411" s="320">
        <v>0.0</v>
      </c>
      <c r="U411" s="320">
        <v>72.75</v>
      </c>
      <c r="V411" s="320">
        <v>59.92</v>
      </c>
      <c r="W411" s="320">
        <v>4.1444</v>
      </c>
      <c r="X411" s="320">
        <v>0.0</v>
      </c>
      <c r="Y411" s="320">
        <v>161.0</v>
      </c>
      <c r="Z411" s="320">
        <v>888.0</v>
      </c>
      <c r="AA411" s="320">
        <v>5940.0</v>
      </c>
      <c r="AB411" s="320">
        <v>48.6953</v>
      </c>
      <c r="AC411" s="320">
        <v>0.5324</v>
      </c>
      <c r="AD411" s="320">
        <v>4.05</v>
      </c>
      <c r="AE411" s="320">
        <v>1.0</v>
      </c>
      <c r="AF411" s="320">
        <v>3.0</v>
      </c>
      <c r="AG411" s="320">
        <v>5.0</v>
      </c>
      <c r="AH411" s="320">
        <v>9.0</v>
      </c>
      <c r="AI411" s="320">
        <v>74.32</v>
      </c>
      <c r="AJ411" s="320">
        <v>31.56</v>
      </c>
      <c r="AK411" s="320">
        <v>8.55</v>
      </c>
      <c r="AL411" s="320">
        <v>0.2483</v>
      </c>
      <c r="AM411" s="320">
        <v>18.1</v>
      </c>
      <c r="AN411" s="320">
        <v>45.07</v>
      </c>
      <c r="AO411" s="320">
        <v>65.44</v>
      </c>
      <c r="AP411" s="320">
        <v>11.84</v>
      </c>
    </row>
    <row r="412">
      <c r="A412" s="319" t="s">
        <v>256</v>
      </c>
      <c r="B412" s="328">
        <v>46118.0</v>
      </c>
      <c r="C412" s="319" t="s">
        <v>215</v>
      </c>
      <c r="D412" s="320">
        <v>28446.0</v>
      </c>
      <c r="E412" s="320">
        <v>26.45</v>
      </c>
      <c r="F412" s="320">
        <v>0.0</v>
      </c>
      <c r="G412" s="320">
        <v>0.0</v>
      </c>
      <c r="H412" s="320">
        <v>0.0</v>
      </c>
      <c r="I412" s="329"/>
      <c r="J412" s="320">
        <v>61.06</v>
      </c>
      <c r="K412" s="320">
        <v>28.75</v>
      </c>
      <c r="L412" s="320">
        <v>15.01</v>
      </c>
      <c r="M412" s="320">
        <v>0.5221</v>
      </c>
      <c r="N412" s="320">
        <v>0.6761</v>
      </c>
      <c r="O412" s="320">
        <v>0.4829</v>
      </c>
      <c r="P412" s="320">
        <v>1.9154</v>
      </c>
      <c r="Q412" s="320">
        <v>127.52</v>
      </c>
      <c r="R412" s="320">
        <v>103.72</v>
      </c>
      <c r="S412" s="320">
        <v>23.8</v>
      </c>
      <c r="T412" s="320">
        <v>0.0</v>
      </c>
      <c r="U412" s="320">
        <v>127.52</v>
      </c>
      <c r="V412" s="320">
        <v>113.62</v>
      </c>
      <c r="W412" s="320">
        <v>3.9521</v>
      </c>
      <c r="X412" s="320">
        <v>0.0</v>
      </c>
      <c r="Y412" s="320">
        <v>130.0</v>
      </c>
      <c r="Z412" s="320">
        <v>698.0</v>
      </c>
      <c r="AA412" s="320">
        <v>5491.0</v>
      </c>
      <c r="AB412" s="320">
        <v>51.982</v>
      </c>
      <c r="AC412" s="320">
        <v>0.586</v>
      </c>
      <c r="AD412" s="320">
        <v>9.57</v>
      </c>
      <c r="AE412" s="320">
        <v>4.0</v>
      </c>
      <c r="AF412" s="320">
        <v>8.0</v>
      </c>
      <c r="AG412" s="320">
        <v>13.0</v>
      </c>
      <c r="AH412" s="320">
        <v>20.0</v>
      </c>
      <c r="AI412" s="320">
        <v>62.32</v>
      </c>
      <c r="AJ412" s="320">
        <v>26.99</v>
      </c>
      <c r="AK412" s="320">
        <v>4.64</v>
      </c>
      <c r="AL412" s="320">
        <v>0.1898</v>
      </c>
      <c r="AM412" s="320">
        <v>18.98</v>
      </c>
      <c r="AN412" s="320">
        <v>84.74</v>
      </c>
      <c r="AO412" s="320">
        <v>72.01</v>
      </c>
      <c r="AP412" s="320">
        <v>13.67</v>
      </c>
    </row>
    <row r="413">
      <c r="A413" s="319" t="s">
        <v>256</v>
      </c>
      <c r="B413" s="328">
        <v>46118.0</v>
      </c>
      <c r="C413" s="319" t="s">
        <v>216</v>
      </c>
      <c r="D413" s="320">
        <v>16382.0</v>
      </c>
      <c r="E413" s="320">
        <v>15.23</v>
      </c>
      <c r="F413" s="320">
        <v>0.0</v>
      </c>
      <c r="G413" s="320">
        <v>0.0</v>
      </c>
      <c r="H413" s="320">
        <v>0.0</v>
      </c>
      <c r="I413" s="329"/>
      <c r="J413" s="320">
        <v>93.43</v>
      </c>
      <c r="K413" s="320">
        <v>46.17</v>
      </c>
      <c r="L413" s="320">
        <v>30.24</v>
      </c>
      <c r="M413" s="320">
        <v>0.655</v>
      </c>
      <c r="N413" s="320">
        <v>0.5506</v>
      </c>
      <c r="O413" s="320">
        <v>0.389</v>
      </c>
      <c r="P413" s="320">
        <v>1.5266</v>
      </c>
      <c r="Q413" s="320">
        <v>217.78</v>
      </c>
      <c r="R413" s="320">
        <v>170.4</v>
      </c>
      <c r="S413" s="320">
        <v>47.38</v>
      </c>
      <c r="T413" s="320">
        <v>0.0</v>
      </c>
      <c r="U413" s="320">
        <v>217.78</v>
      </c>
      <c r="V413" s="320">
        <v>204.71</v>
      </c>
      <c r="W413" s="320">
        <v>4.4342</v>
      </c>
      <c r="X413" s="320">
        <v>0.0</v>
      </c>
      <c r="Y413" s="320">
        <v>154.0</v>
      </c>
      <c r="Z413" s="320">
        <v>1138.0</v>
      </c>
      <c r="AA413" s="320">
        <v>7593.0</v>
      </c>
      <c r="AB413" s="320">
        <v>55.0624</v>
      </c>
      <c r="AC413" s="320">
        <v>0.6431</v>
      </c>
      <c r="AD413" s="320">
        <v>18.58</v>
      </c>
      <c r="AE413" s="320">
        <v>8.0</v>
      </c>
      <c r="AF413" s="320">
        <v>15.0</v>
      </c>
      <c r="AG413" s="320">
        <v>26.0</v>
      </c>
      <c r="AH413" s="320">
        <v>38.0</v>
      </c>
      <c r="AI413" s="320">
        <v>64.04</v>
      </c>
      <c r="AJ413" s="320">
        <v>25.52</v>
      </c>
      <c r="AK413" s="320">
        <v>6.07</v>
      </c>
      <c r="AL413" s="320">
        <v>0.1601</v>
      </c>
      <c r="AM413" s="320">
        <v>19.87</v>
      </c>
      <c r="AN413" s="320">
        <v>150.53</v>
      </c>
      <c r="AO413" s="320">
        <v>71.69</v>
      </c>
      <c r="AP413" s="320">
        <v>14.24</v>
      </c>
    </row>
    <row r="414">
      <c r="A414" s="319" t="s">
        <v>256</v>
      </c>
      <c r="B414" s="328">
        <v>46118.0</v>
      </c>
      <c r="C414" s="319" t="s">
        <v>217</v>
      </c>
      <c r="D414" s="320">
        <v>6570.0</v>
      </c>
      <c r="E414" s="320">
        <v>6.11</v>
      </c>
      <c r="F414" s="320">
        <v>0.0</v>
      </c>
      <c r="G414" s="320">
        <v>0.0</v>
      </c>
      <c r="H414" s="320">
        <v>0.0</v>
      </c>
      <c r="I414" s="329"/>
      <c r="J414" s="320">
        <v>149.63</v>
      </c>
      <c r="K414" s="320">
        <v>78.94</v>
      </c>
      <c r="L414" s="320">
        <v>61.07</v>
      </c>
      <c r="M414" s="320">
        <v>0.7736</v>
      </c>
      <c r="N414" s="320">
        <v>0.4189</v>
      </c>
      <c r="O414" s="320">
        <v>0.3013</v>
      </c>
      <c r="P414" s="320">
        <v>1.2927</v>
      </c>
      <c r="Q414" s="320">
        <v>369.13</v>
      </c>
      <c r="R414" s="320">
        <v>273.99</v>
      </c>
      <c r="S414" s="320">
        <v>95.14</v>
      </c>
      <c r="T414" s="320">
        <v>0.0</v>
      </c>
      <c r="U414" s="320">
        <v>369.13</v>
      </c>
      <c r="V414" s="320">
        <v>387.13</v>
      </c>
      <c r="W414" s="320">
        <v>4.9041</v>
      </c>
      <c r="X414" s="320">
        <v>0.0</v>
      </c>
      <c r="Y414" s="320">
        <v>249.0</v>
      </c>
      <c r="Z414" s="320">
        <v>2369.0</v>
      </c>
      <c r="AA414" s="320">
        <v>10922.0</v>
      </c>
      <c r="AB414" s="320">
        <v>58.2834</v>
      </c>
      <c r="AC414" s="320">
        <v>0.707</v>
      </c>
      <c r="AD414" s="320">
        <v>36.49</v>
      </c>
      <c r="AE414" s="320">
        <v>16.0</v>
      </c>
      <c r="AF414" s="320">
        <v>30.0</v>
      </c>
      <c r="AG414" s="320">
        <v>47.0</v>
      </c>
      <c r="AH414" s="320">
        <v>72.0</v>
      </c>
      <c r="AI414" s="320">
        <v>53.93</v>
      </c>
      <c r="AJ414" s="320">
        <v>16.54</v>
      </c>
      <c r="AK414" s="320">
        <v>3.97</v>
      </c>
      <c r="AL414" s="320">
        <v>0.1161</v>
      </c>
      <c r="AM414" s="320">
        <v>21.32</v>
      </c>
      <c r="AN414" s="320">
        <v>252.67</v>
      </c>
      <c r="AO414" s="320">
        <v>74.13</v>
      </c>
      <c r="AP414" s="320">
        <v>15.8</v>
      </c>
    </row>
    <row r="415">
      <c r="A415" s="319" t="s">
        <v>256</v>
      </c>
      <c r="B415" s="328">
        <v>46118.0</v>
      </c>
      <c r="C415" s="319" t="s">
        <v>218</v>
      </c>
      <c r="D415" s="320">
        <v>588.0</v>
      </c>
      <c r="E415" s="320">
        <v>0.55</v>
      </c>
      <c r="F415" s="320">
        <v>0.0</v>
      </c>
      <c r="G415" s="320">
        <v>0.0</v>
      </c>
      <c r="H415" s="320">
        <v>0.0</v>
      </c>
      <c r="I415" s="329"/>
      <c r="J415" s="320">
        <v>255.42</v>
      </c>
      <c r="K415" s="320">
        <v>146.93</v>
      </c>
      <c r="L415" s="320">
        <v>126.24</v>
      </c>
      <c r="M415" s="320">
        <v>0.8592</v>
      </c>
      <c r="N415" s="320">
        <v>0.3028</v>
      </c>
      <c r="O415" s="320">
        <v>0.2266</v>
      </c>
      <c r="P415" s="320">
        <v>1.1638</v>
      </c>
      <c r="Q415" s="320">
        <v>625.5</v>
      </c>
      <c r="R415" s="320">
        <v>409.49</v>
      </c>
      <c r="S415" s="320">
        <v>216.01</v>
      </c>
      <c r="T415" s="320">
        <v>0.0</v>
      </c>
      <c r="U415" s="320">
        <v>625.5</v>
      </c>
      <c r="V415" s="320">
        <v>788.27</v>
      </c>
      <c r="W415" s="320">
        <v>5.3651</v>
      </c>
      <c r="X415" s="320">
        <v>0.0</v>
      </c>
      <c r="Y415" s="320">
        <v>998.0</v>
      </c>
      <c r="Z415" s="320">
        <v>5103.0</v>
      </c>
      <c r="AA415" s="320">
        <v>14750.0</v>
      </c>
      <c r="AB415" s="320">
        <v>62.5203</v>
      </c>
      <c r="AC415" s="320">
        <v>0.8823</v>
      </c>
      <c r="AD415" s="320">
        <v>85.02</v>
      </c>
      <c r="AE415" s="320">
        <v>34.0</v>
      </c>
      <c r="AF415" s="320">
        <v>69.0</v>
      </c>
      <c r="AG415" s="320">
        <v>119.0</v>
      </c>
      <c r="AH415" s="320">
        <v>177.0</v>
      </c>
      <c r="AI415" s="320">
        <v>44.73</v>
      </c>
      <c r="AJ415" s="320">
        <v>10.2</v>
      </c>
      <c r="AK415" s="320">
        <v>1.02</v>
      </c>
      <c r="AL415" s="320">
        <v>0.0816</v>
      </c>
      <c r="AM415" s="320">
        <v>21.25</v>
      </c>
      <c r="AN415" s="320">
        <v>388.24</v>
      </c>
      <c r="AO415" s="320">
        <v>84.45</v>
      </c>
      <c r="AP415" s="320">
        <v>17.95</v>
      </c>
    </row>
    <row r="416">
      <c r="A416" s="319" t="s">
        <v>256</v>
      </c>
      <c r="B416" s="328">
        <v>46119.0</v>
      </c>
      <c r="C416" s="319" t="s">
        <v>257</v>
      </c>
      <c r="D416" s="320">
        <v>19542.0</v>
      </c>
      <c r="E416" s="320">
        <v>18.36</v>
      </c>
      <c r="F416" s="320">
        <v>0.0</v>
      </c>
      <c r="G416" s="320">
        <v>0.0</v>
      </c>
      <c r="H416" s="320">
        <v>0.0</v>
      </c>
      <c r="I416" s="329"/>
      <c r="J416" s="320">
        <v>5.7</v>
      </c>
      <c r="K416" s="320">
        <v>2.38</v>
      </c>
      <c r="L416" s="320">
        <v>0.04</v>
      </c>
      <c r="M416" s="320">
        <v>0.0187</v>
      </c>
      <c r="N416" s="320">
        <v>0.9856</v>
      </c>
      <c r="O416" s="320">
        <v>0.8293</v>
      </c>
      <c r="P416" s="320">
        <v>53.5138</v>
      </c>
      <c r="Q416" s="320">
        <v>25.93</v>
      </c>
      <c r="R416" s="320">
        <v>25.82</v>
      </c>
      <c r="S416" s="320">
        <v>0.11</v>
      </c>
      <c r="T416" s="320">
        <v>0.0</v>
      </c>
      <c r="U416" s="320">
        <v>25.93</v>
      </c>
      <c r="V416" s="320">
        <v>2.03</v>
      </c>
      <c r="W416" s="320">
        <v>0.8536</v>
      </c>
      <c r="X416" s="320">
        <v>0.0</v>
      </c>
      <c r="Y416" s="320">
        <v>376.0</v>
      </c>
      <c r="Z416" s="320">
        <v>4017.0</v>
      </c>
      <c r="AA416" s="320">
        <v>15352.0</v>
      </c>
      <c r="AB416" s="320">
        <v>49.108</v>
      </c>
      <c r="AC416" s="320">
        <v>0.5448</v>
      </c>
      <c r="AD416" s="329"/>
      <c r="AE416" s="329"/>
      <c r="AF416" s="329"/>
      <c r="AG416" s="329"/>
      <c r="AH416" s="329"/>
      <c r="AI416" s="320">
        <v>0.0</v>
      </c>
      <c r="AJ416" s="320">
        <v>0.0</v>
      </c>
      <c r="AK416" s="320">
        <v>0.0</v>
      </c>
      <c r="AL416" s="320">
        <v>0.2724</v>
      </c>
      <c r="AM416" s="320">
        <v>15.99</v>
      </c>
      <c r="AN416" s="320">
        <v>9.82</v>
      </c>
      <c r="AO416" s="329"/>
      <c r="AP416" s="329"/>
    </row>
    <row r="417">
      <c r="A417" s="319" t="s">
        <v>256</v>
      </c>
      <c r="B417" s="328">
        <v>46119.0</v>
      </c>
      <c r="C417" s="319" t="s">
        <v>214</v>
      </c>
      <c r="D417" s="320">
        <v>37376.0</v>
      </c>
      <c r="E417" s="320">
        <v>35.11</v>
      </c>
      <c r="F417" s="320">
        <v>0.0</v>
      </c>
      <c r="G417" s="320">
        <v>0.0</v>
      </c>
      <c r="H417" s="320">
        <v>0.0</v>
      </c>
      <c r="I417" s="329"/>
      <c r="J417" s="320">
        <v>28.21</v>
      </c>
      <c r="K417" s="320">
        <v>12.75</v>
      </c>
      <c r="L417" s="320">
        <v>5.49</v>
      </c>
      <c r="M417" s="320">
        <v>0.4305</v>
      </c>
      <c r="N417" s="320">
        <v>0.7499</v>
      </c>
      <c r="O417" s="320">
        <v>0.5655</v>
      </c>
      <c r="P417" s="320">
        <v>2.3226</v>
      </c>
      <c r="Q417" s="320">
        <v>51.03</v>
      </c>
      <c r="R417" s="320">
        <v>41.96</v>
      </c>
      <c r="S417" s="320">
        <v>9.07</v>
      </c>
      <c r="T417" s="320">
        <v>0.0</v>
      </c>
      <c r="U417" s="320">
        <v>51.03</v>
      </c>
      <c r="V417" s="320">
        <v>53.14</v>
      </c>
      <c r="W417" s="320">
        <v>4.1676</v>
      </c>
      <c r="X417" s="320">
        <v>0.0</v>
      </c>
      <c r="Y417" s="320">
        <v>150.0</v>
      </c>
      <c r="Z417" s="320">
        <v>872.0</v>
      </c>
      <c r="AA417" s="320">
        <v>5941.0</v>
      </c>
      <c r="AB417" s="320">
        <v>48.9457</v>
      </c>
      <c r="AC417" s="320">
        <v>0.537</v>
      </c>
      <c r="AD417" s="320">
        <v>4.0</v>
      </c>
      <c r="AE417" s="320">
        <v>1.0</v>
      </c>
      <c r="AF417" s="320">
        <v>3.0</v>
      </c>
      <c r="AG417" s="320">
        <v>5.0</v>
      </c>
      <c r="AH417" s="320">
        <v>9.0</v>
      </c>
      <c r="AI417" s="320">
        <v>73.04</v>
      </c>
      <c r="AJ417" s="320">
        <v>31.11</v>
      </c>
      <c r="AK417" s="320">
        <v>8.74</v>
      </c>
      <c r="AL417" s="320">
        <v>0.2351</v>
      </c>
      <c r="AM417" s="320">
        <v>17.77</v>
      </c>
      <c r="AN417" s="320">
        <v>24.19</v>
      </c>
      <c r="AO417" s="320">
        <v>65.72</v>
      </c>
      <c r="AP417" s="320">
        <v>11.68</v>
      </c>
    </row>
    <row r="418">
      <c r="A418" s="319" t="s">
        <v>256</v>
      </c>
      <c r="B418" s="328">
        <v>46119.0</v>
      </c>
      <c r="C418" s="319" t="s">
        <v>215</v>
      </c>
      <c r="D418" s="320">
        <v>27864.0</v>
      </c>
      <c r="E418" s="320">
        <v>26.17</v>
      </c>
      <c r="F418" s="320">
        <v>0.0</v>
      </c>
      <c r="G418" s="320">
        <v>0.0</v>
      </c>
      <c r="H418" s="320">
        <v>0.0</v>
      </c>
      <c r="I418" s="329"/>
      <c r="J418" s="320">
        <v>53.44</v>
      </c>
      <c r="K418" s="320">
        <v>24.97</v>
      </c>
      <c r="L418" s="320">
        <v>13.82</v>
      </c>
      <c r="M418" s="320">
        <v>0.5534</v>
      </c>
      <c r="N418" s="320">
        <v>0.6523</v>
      </c>
      <c r="O418" s="320">
        <v>0.4683</v>
      </c>
      <c r="P418" s="320">
        <v>1.8069</v>
      </c>
      <c r="Q418" s="320">
        <v>93.2</v>
      </c>
      <c r="R418" s="320">
        <v>70.43</v>
      </c>
      <c r="S418" s="320">
        <v>22.77</v>
      </c>
      <c r="T418" s="320">
        <v>0.0</v>
      </c>
      <c r="U418" s="320">
        <v>93.2</v>
      </c>
      <c r="V418" s="320">
        <v>98.45</v>
      </c>
      <c r="W418" s="320">
        <v>3.9433</v>
      </c>
      <c r="X418" s="320">
        <v>0.0</v>
      </c>
      <c r="Y418" s="320">
        <v>128.0</v>
      </c>
      <c r="Z418" s="320">
        <v>725.0</v>
      </c>
      <c r="AA418" s="320">
        <v>5634.0</v>
      </c>
      <c r="AB418" s="320">
        <v>52.101</v>
      </c>
      <c r="AC418" s="320">
        <v>0.5947</v>
      </c>
      <c r="AD418" s="320">
        <v>9.0</v>
      </c>
      <c r="AE418" s="320">
        <v>3.0</v>
      </c>
      <c r="AF418" s="320">
        <v>7.0</v>
      </c>
      <c r="AG418" s="320">
        <v>12.0</v>
      </c>
      <c r="AH418" s="320">
        <v>19.0</v>
      </c>
      <c r="AI418" s="320">
        <v>59.32</v>
      </c>
      <c r="AJ418" s="320">
        <v>24.17</v>
      </c>
      <c r="AK418" s="320">
        <v>3.82</v>
      </c>
      <c r="AL418" s="320">
        <v>0.1821</v>
      </c>
      <c r="AM418" s="320">
        <v>18.7</v>
      </c>
      <c r="AN418" s="320">
        <v>51.73</v>
      </c>
      <c r="AO418" s="320">
        <v>71.99</v>
      </c>
      <c r="AP418" s="320">
        <v>13.46</v>
      </c>
    </row>
    <row r="419">
      <c r="A419" s="319" t="s">
        <v>256</v>
      </c>
      <c r="B419" s="328">
        <v>46119.0</v>
      </c>
      <c r="C419" s="319" t="s">
        <v>216</v>
      </c>
      <c r="D419" s="320">
        <v>15595.0</v>
      </c>
      <c r="E419" s="320">
        <v>14.65</v>
      </c>
      <c r="F419" s="320">
        <v>0.0</v>
      </c>
      <c r="G419" s="320">
        <v>0.0</v>
      </c>
      <c r="H419" s="320">
        <v>0.0</v>
      </c>
      <c r="I419" s="329"/>
      <c r="J419" s="320">
        <v>83.95</v>
      </c>
      <c r="K419" s="320">
        <v>41.75</v>
      </c>
      <c r="L419" s="320">
        <v>28.28</v>
      </c>
      <c r="M419" s="320">
        <v>0.6774</v>
      </c>
      <c r="N419" s="320">
        <v>0.5242</v>
      </c>
      <c r="O419" s="320">
        <v>0.3677</v>
      </c>
      <c r="P419" s="320">
        <v>1.4762</v>
      </c>
      <c r="Q419" s="320">
        <v>168.54</v>
      </c>
      <c r="R419" s="320">
        <v>125.04</v>
      </c>
      <c r="S419" s="320">
        <v>43.5</v>
      </c>
      <c r="T419" s="320">
        <v>0.0</v>
      </c>
      <c r="U419" s="320">
        <v>168.54</v>
      </c>
      <c r="V419" s="320">
        <v>185.08</v>
      </c>
      <c r="W419" s="320">
        <v>4.4332</v>
      </c>
      <c r="X419" s="320">
        <v>0.0</v>
      </c>
      <c r="Y419" s="320">
        <v>152.0</v>
      </c>
      <c r="Z419" s="320">
        <v>1027.0</v>
      </c>
      <c r="AA419" s="320">
        <v>7311.0</v>
      </c>
      <c r="AB419" s="320">
        <v>55.2766</v>
      </c>
      <c r="AC419" s="320">
        <v>0.6679</v>
      </c>
      <c r="AD419" s="320">
        <v>16.77</v>
      </c>
      <c r="AE419" s="320">
        <v>7.0</v>
      </c>
      <c r="AF419" s="320">
        <v>13.0</v>
      </c>
      <c r="AG419" s="320">
        <v>23.0</v>
      </c>
      <c r="AH419" s="320">
        <v>35.0</v>
      </c>
      <c r="AI419" s="320">
        <v>58.01</v>
      </c>
      <c r="AJ419" s="320">
        <v>20.47</v>
      </c>
      <c r="AK419" s="320">
        <v>5.89</v>
      </c>
      <c r="AL419" s="320">
        <v>0.1555</v>
      </c>
      <c r="AM419" s="320">
        <v>18.95</v>
      </c>
      <c r="AN419" s="320">
        <v>106.09</v>
      </c>
      <c r="AO419" s="320">
        <v>73.11</v>
      </c>
      <c r="AP419" s="320">
        <v>13.85</v>
      </c>
    </row>
    <row r="420">
      <c r="A420" s="319" t="s">
        <v>256</v>
      </c>
      <c r="B420" s="328">
        <v>46119.0</v>
      </c>
      <c r="C420" s="319" t="s">
        <v>217</v>
      </c>
      <c r="D420" s="320">
        <v>5540.0</v>
      </c>
      <c r="E420" s="320">
        <v>5.2</v>
      </c>
      <c r="F420" s="320">
        <v>0.0</v>
      </c>
      <c r="G420" s="320">
        <v>0.0</v>
      </c>
      <c r="H420" s="320">
        <v>0.0</v>
      </c>
      <c r="I420" s="329"/>
      <c r="J420" s="320">
        <v>128.13</v>
      </c>
      <c r="K420" s="320">
        <v>68.94</v>
      </c>
      <c r="L420" s="320">
        <v>54.03</v>
      </c>
      <c r="M420" s="320">
        <v>0.7837</v>
      </c>
      <c r="N420" s="320">
        <v>0.4024</v>
      </c>
      <c r="O420" s="320">
        <v>0.2915</v>
      </c>
      <c r="P420" s="320">
        <v>1.2759</v>
      </c>
      <c r="Q420" s="320">
        <v>304.81</v>
      </c>
      <c r="R420" s="320">
        <v>213.19</v>
      </c>
      <c r="S420" s="320">
        <v>91.62</v>
      </c>
      <c r="T420" s="320">
        <v>0.03</v>
      </c>
      <c r="U420" s="320">
        <v>304.78</v>
      </c>
      <c r="V420" s="320">
        <v>330.46</v>
      </c>
      <c r="W420" s="320">
        <v>4.7935</v>
      </c>
      <c r="X420" s="320">
        <v>0.01</v>
      </c>
      <c r="Y420" s="320">
        <v>250.0</v>
      </c>
      <c r="Z420" s="320">
        <v>2216.0</v>
      </c>
      <c r="AA420" s="320">
        <v>9332.0</v>
      </c>
      <c r="AB420" s="320">
        <v>59.192</v>
      </c>
      <c r="AC420" s="320">
        <v>0.8113</v>
      </c>
      <c r="AD420" s="320">
        <v>36.4</v>
      </c>
      <c r="AE420" s="320">
        <v>14.0</v>
      </c>
      <c r="AF420" s="320">
        <v>28.0</v>
      </c>
      <c r="AG420" s="320">
        <v>50.0</v>
      </c>
      <c r="AH420" s="320">
        <v>78.0</v>
      </c>
      <c r="AI420" s="320">
        <v>49.95</v>
      </c>
      <c r="AJ420" s="320">
        <v>18.63</v>
      </c>
      <c r="AK420" s="320">
        <v>4.3</v>
      </c>
      <c r="AL420" s="320">
        <v>0.1139</v>
      </c>
      <c r="AM420" s="320">
        <v>20.54</v>
      </c>
      <c r="AN420" s="320">
        <v>192.65</v>
      </c>
      <c r="AO420" s="320">
        <v>82.83</v>
      </c>
      <c r="AP420" s="320">
        <v>17.01</v>
      </c>
    </row>
    <row r="421">
      <c r="A421" s="319" t="s">
        <v>256</v>
      </c>
      <c r="B421" s="328">
        <v>46119.0</v>
      </c>
      <c r="C421" s="319" t="s">
        <v>218</v>
      </c>
      <c r="D421" s="320">
        <v>549.0</v>
      </c>
      <c r="E421" s="320">
        <v>0.52</v>
      </c>
      <c r="F421" s="320">
        <v>0.0</v>
      </c>
      <c r="G421" s="320">
        <v>0.0</v>
      </c>
      <c r="H421" s="320">
        <v>0.0</v>
      </c>
      <c r="I421" s="329"/>
      <c r="J421" s="320">
        <v>258.04</v>
      </c>
      <c r="K421" s="320">
        <v>152.11</v>
      </c>
      <c r="L421" s="320">
        <v>130.95</v>
      </c>
      <c r="M421" s="320">
        <v>0.8609</v>
      </c>
      <c r="N421" s="320">
        <v>0.2928</v>
      </c>
      <c r="O421" s="320">
        <v>0.2161</v>
      </c>
      <c r="P421" s="320">
        <v>1.1616</v>
      </c>
      <c r="Q421" s="320">
        <v>599.44</v>
      </c>
      <c r="R421" s="320">
        <v>374.75</v>
      </c>
      <c r="S421" s="320">
        <v>224.69</v>
      </c>
      <c r="T421" s="320">
        <v>0.0</v>
      </c>
      <c r="U421" s="320">
        <v>599.44</v>
      </c>
      <c r="V421" s="320">
        <v>725.77</v>
      </c>
      <c r="W421" s="320">
        <v>4.7714</v>
      </c>
      <c r="X421" s="320">
        <v>0.0</v>
      </c>
      <c r="Y421" s="320">
        <v>1188.0</v>
      </c>
      <c r="Z421" s="320">
        <v>5118.0</v>
      </c>
      <c r="AA421" s="320">
        <v>12879.0</v>
      </c>
      <c r="AB421" s="320">
        <v>63.0722</v>
      </c>
      <c r="AC421" s="320">
        <v>0.8888</v>
      </c>
      <c r="AD421" s="320">
        <v>91.22</v>
      </c>
      <c r="AE421" s="320">
        <v>36.0</v>
      </c>
      <c r="AF421" s="320">
        <v>76.0</v>
      </c>
      <c r="AG421" s="320">
        <v>130.0</v>
      </c>
      <c r="AH421" s="320">
        <v>185.0</v>
      </c>
      <c r="AI421" s="320">
        <v>48.09</v>
      </c>
      <c r="AJ421" s="320">
        <v>12.57</v>
      </c>
      <c r="AK421" s="320">
        <v>2.0</v>
      </c>
      <c r="AL421" s="320">
        <v>0.0692</v>
      </c>
      <c r="AM421" s="320">
        <v>21.97</v>
      </c>
      <c r="AN421" s="320">
        <v>352.78</v>
      </c>
      <c r="AO421" s="320">
        <v>87.04</v>
      </c>
      <c r="AP421" s="320">
        <v>19.12</v>
      </c>
    </row>
    <row r="422">
      <c r="A422" s="319" t="s">
        <v>256</v>
      </c>
      <c r="B422" s="328">
        <v>46120.0</v>
      </c>
      <c r="C422" s="319" t="s">
        <v>257</v>
      </c>
      <c r="D422" s="320">
        <v>20370.0</v>
      </c>
      <c r="E422" s="320">
        <v>19.43</v>
      </c>
      <c r="F422" s="320">
        <v>0.0</v>
      </c>
      <c r="G422" s="320">
        <v>0.0</v>
      </c>
      <c r="H422" s="320">
        <v>0.0</v>
      </c>
      <c r="I422" s="329"/>
      <c r="J422" s="320">
        <v>5.94</v>
      </c>
      <c r="K422" s="320">
        <v>2.43</v>
      </c>
      <c r="L422" s="320">
        <v>0.05</v>
      </c>
      <c r="M422" s="320">
        <v>0.0218</v>
      </c>
      <c r="N422" s="320">
        <v>0.9838</v>
      </c>
      <c r="O422" s="320">
        <v>0.8158</v>
      </c>
      <c r="P422" s="320">
        <v>45.8078</v>
      </c>
      <c r="Q422" s="320">
        <v>21.62</v>
      </c>
      <c r="R422" s="320">
        <v>21.52</v>
      </c>
      <c r="S422" s="320">
        <v>0.1</v>
      </c>
      <c r="T422" s="320">
        <v>0.0</v>
      </c>
      <c r="U422" s="320">
        <v>21.62</v>
      </c>
      <c r="V422" s="320">
        <v>1.96</v>
      </c>
      <c r="W422" s="320">
        <v>0.8056</v>
      </c>
      <c r="X422" s="320">
        <v>0.0</v>
      </c>
      <c r="Y422" s="320">
        <v>338.0</v>
      </c>
      <c r="Z422" s="320">
        <v>4027.0</v>
      </c>
      <c r="AA422" s="320">
        <v>15179.0</v>
      </c>
      <c r="AB422" s="320">
        <v>49.4116</v>
      </c>
      <c r="AC422" s="320">
        <v>0.5556</v>
      </c>
      <c r="AD422" s="329"/>
      <c r="AE422" s="329"/>
      <c r="AF422" s="329"/>
      <c r="AG422" s="329"/>
      <c r="AH422" s="329"/>
      <c r="AI422" s="320">
        <v>0.0</v>
      </c>
      <c r="AJ422" s="320">
        <v>0.0</v>
      </c>
      <c r="AK422" s="320">
        <v>0.0</v>
      </c>
      <c r="AL422" s="320">
        <v>0.2807</v>
      </c>
      <c r="AM422" s="320">
        <v>15.94</v>
      </c>
      <c r="AN422" s="320">
        <v>5.58</v>
      </c>
      <c r="AO422" s="329"/>
      <c r="AP422" s="329"/>
    </row>
    <row r="423">
      <c r="A423" s="319" t="s">
        <v>256</v>
      </c>
      <c r="B423" s="328">
        <v>46120.0</v>
      </c>
      <c r="C423" s="319" t="s">
        <v>214</v>
      </c>
      <c r="D423" s="320">
        <v>37730.0</v>
      </c>
      <c r="E423" s="320">
        <v>35.99</v>
      </c>
      <c r="F423" s="320">
        <v>0.0</v>
      </c>
      <c r="G423" s="320">
        <v>0.0</v>
      </c>
      <c r="H423" s="320">
        <v>0.0</v>
      </c>
      <c r="I423" s="329"/>
      <c r="J423" s="320">
        <v>29.41</v>
      </c>
      <c r="K423" s="320">
        <v>13.32</v>
      </c>
      <c r="L423" s="320">
        <v>5.45</v>
      </c>
      <c r="M423" s="320">
        <v>0.4094</v>
      </c>
      <c r="N423" s="320">
        <v>0.7623</v>
      </c>
      <c r="O423" s="320">
        <v>0.5701</v>
      </c>
      <c r="P423" s="320">
        <v>2.4425</v>
      </c>
      <c r="Q423" s="320">
        <v>42.63</v>
      </c>
      <c r="R423" s="320">
        <v>33.46</v>
      </c>
      <c r="S423" s="320">
        <v>9.18</v>
      </c>
      <c r="T423" s="320">
        <v>0.0</v>
      </c>
      <c r="U423" s="320">
        <v>42.63</v>
      </c>
      <c r="V423" s="320">
        <v>49.31</v>
      </c>
      <c r="W423" s="320">
        <v>3.7027</v>
      </c>
      <c r="X423" s="320">
        <v>0.0</v>
      </c>
      <c r="Y423" s="320">
        <v>138.0</v>
      </c>
      <c r="Z423" s="320">
        <v>901.0</v>
      </c>
      <c r="AA423" s="320">
        <v>5945.0</v>
      </c>
      <c r="AB423" s="320">
        <v>48.9745</v>
      </c>
      <c r="AC423" s="320">
        <v>0.5421</v>
      </c>
      <c r="AD423" s="320">
        <v>3.92</v>
      </c>
      <c r="AE423" s="320">
        <v>1.0</v>
      </c>
      <c r="AF423" s="320">
        <v>3.0</v>
      </c>
      <c r="AG423" s="320">
        <v>5.0</v>
      </c>
      <c r="AH423" s="320">
        <v>9.0</v>
      </c>
      <c r="AI423" s="320">
        <v>73.22</v>
      </c>
      <c r="AJ423" s="320">
        <v>30.22</v>
      </c>
      <c r="AK423" s="320">
        <v>7.86</v>
      </c>
      <c r="AL423" s="320">
        <v>0.2459</v>
      </c>
      <c r="AM423" s="320">
        <v>18.09</v>
      </c>
      <c r="AN423" s="320">
        <v>15.37</v>
      </c>
      <c r="AO423" s="320">
        <v>65.61</v>
      </c>
      <c r="AP423" s="320">
        <v>11.87</v>
      </c>
    </row>
    <row r="424">
      <c r="A424" s="319" t="s">
        <v>256</v>
      </c>
      <c r="B424" s="328">
        <v>46120.0</v>
      </c>
      <c r="C424" s="319" t="s">
        <v>215</v>
      </c>
      <c r="D424" s="320">
        <v>27037.0</v>
      </c>
      <c r="E424" s="320">
        <v>25.79</v>
      </c>
      <c r="F424" s="320">
        <v>0.0</v>
      </c>
      <c r="G424" s="320">
        <v>0.0</v>
      </c>
      <c r="H424" s="320">
        <v>0.0</v>
      </c>
      <c r="I424" s="329"/>
      <c r="J424" s="320">
        <v>55.74</v>
      </c>
      <c r="K424" s="320">
        <v>26.4</v>
      </c>
      <c r="L424" s="320">
        <v>13.79</v>
      </c>
      <c r="M424" s="320">
        <v>0.5221</v>
      </c>
      <c r="N424" s="320">
        <v>0.6677</v>
      </c>
      <c r="O424" s="320">
        <v>0.4662</v>
      </c>
      <c r="P424" s="320">
        <v>1.9152</v>
      </c>
      <c r="Q424" s="320">
        <v>71.64</v>
      </c>
      <c r="R424" s="320">
        <v>49.28</v>
      </c>
      <c r="S424" s="320">
        <v>22.36</v>
      </c>
      <c r="T424" s="320">
        <v>0.0</v>
      </c>
      <c r="U424" s="320">
        <v>71.64</v>
      </c>
      <c r="V424" s="320">
        <v>88.75</v>
      </c>
      <c r="W424" s="320">
        <v>3.3611</v>
      </c>
      <c r="X424" s="320">
        <v>0.0</v>
      </c>
      <c r="Y424" s="320">
        <v>112.0</v>
      </c>
      <c r="Z424" s="320">
        <v>640.0</v>
      </c>
      <c r="AA424" s="320">
        <v>5330.0</v>
      </c>
      <c r="AB424" s="320">
        <v>52.1073</v>
      </c>
      <c r="AC424" s="320">
        <v>0.604</v>
      </c>
      <c r="AD424" s="320">
        <v>8.69</v>
      </c>
      <c r="AE424" s="320">
        <v>3.0</v>
      </c>
      <c r="AF424" s="320">
        <v>7.0</v>
      </c>
      <c r="AG424" s="320">
        <v>12.0</v>
      </c>
      <c r="AH424" s="320">
        <v>18.0</v>
      </c>
      <c r="AI424" s="320">
        <v>57.53</v>
      </c>
      <c r="AJ424" s="320">
        <v>22.57</v>
      </c>
      <c r="AK424" s="320">
        <v>3.41</v>
      </c>
      <c r="AL424" s="320">
        <v>0.1879</v>
      </c>
      <c r="AM424" s="320">
        <v>18.94</v>
      </c>
      <c r="AN424" s="320">
        <v>30.34</v>
      </c>
      <c r="AO424" s="320">
        <v>72.94</v>
      </c>
      <c r="AP424" s="320">
        <v>13.81</v>
      </c>
    </row>
    <row r="425">
      <c r="A425" s="319" t="s">
        <v>256</v>
      </c>
      <c r="B425" s="328">
        <v>46120.0</v>
      </c>
      <c r="C425" s="319" t="s">
        <v>216</v>
      </c>
      <c r="D425" s="320">
        <v>13732.0</v>
      </c>
      <c r="E425" s="320">
        <v>13.1</v>
      </c>
      <c r="F425" s="320">
        <v>0.0</v>
      </c>
      <c r="G425" s="320">
        <v>0.0</v>
      </c>
      <c r="H425" s="320">
        <v>0.0</v>
      </c>
      <c r="I425" s="329"/>
      <c r="J425" s="320">
        <v>79.74</v>
      </c>
      <c r="K425" s="320">
        <v>40.19</v>
      </c>
      <c r="L425" s="320">
        <v>25.51</v>
      </c>
      <c r="M425" s="320">
        <v>0.6347</v>
      </c>
      <c r="N425" s="320">
        <v>0.5538</v>
      </c>
      <c r="O425" s="320">
        <v>0.3817</v>
      </c>
      <c r="P425" s="320">
        <v>1.5756</v>
      </c>
      <c r="Q425" s="320">
        <v>113.65</v>
      </c>
      <c r="R425" s="320">
        <v>70.82</v>
      </c>
      <c r="S425" s="320">
        <v>42.84</v>
      </c>
      <c r="T425" s="320">
        <v>0.0</v>
      </c>
      <c r="U425" s="320">
        <v>113.65</v>
      </c>
      <c r="V425" s="320">
        <v>148.1</v>
      </c>
      <c r="W425" s="320">
        <v>3.6845</v>
      </c>
      <c r="X425" s="320">
        <v>0.0</v>
      </c>
      <c r="Y425" s="320">
        <v>125.0</v>
      </c>
      <c r="Z425" s="320">
        <v>944.0</v>
      </c>
      <c r="AA425" s="320">
        <v>6685.0</v>
      </c>
      <c r="AB425" s="320">
        <v>55.8388</v>
      </c>
      <c r="AC425" s="320">
        <v>0.7297</v>
      </c>
      <c r="AD425" s="320">
        <v>16.47</v>
      </c>
      <c r="AE425" s="320">
        <v>6.0</v>
      </c>
      <c r="AF425" s="320">
        <v>12.0</v>
      </c>
      <c r="AG425" s="320">
        <v>22.0</v>
      </c>
      <c r="AH425" s="320">
        <v>35.0</v>
      </c>
      <c r="AI425" s="320">
        <v>55.83</v>
      </c>
      <c r="AJ425" s="320">
        <v>20.19</v>
      </c>
      <c r="AK425" s="320">
        <v>5.87</v>
      </c>
      <c r="AL425" s="320">
        <v>0.1647</v>
      </c>
      <c r="AM425" s="320">
        <v>19.49</v>
      </c>
      <c r="AN425" s="320">
        <v>51.33</v>
      </c>
      <c r="AO425" s="320">
        <v>77.69</v>
      </c>
      <c r="AP425" s="320">
        <v>15.14</v>
      </c>
    </row>
    <row r="426">
      <c r="A426" s="319" t="s">
        <v>256</v>
      </c>
      <c r="B426" s="328">
        <v>46120.0</v>
      </c>
      <c r="C426" s="319" t="s">
        <v>217</v>
      </c>
      <c r="D426" s="320">
        <v>5394.0</v>
      </c>
      <c r="E426" s="320">
        <v>5.15</v>
      </c>
      <c r="F426" s="320">
        <v>0.0</v>
      </c>
      <c r="G426" s="320">
        <v>0.0</v>
      </c>
      <c r="H426" s="320">
        <v>0.0</v>
      </c>
      <c r="I426" s="329"/>
      <c r="J426" s="320">
        <v>131.67</v>
      </c>
      <c r="K426" s="320">
        <v>70.44</v>
      </c>
      <c r="L426" s="320">
        <v>53.2</v>
      </c>
      <c r="M426" s="320">
        <v>0.7553</v>
      </c>
      <c r="N426" s="320">
        <v>0.4238</v>
      </c>
      <c r="O426" s="320">
        <v>0.2982</v>
      </c>
      <c r="P426" s="320">
        <v>1.3241</v>
      </c>
      <c r="Q426" s="320">
        <v>198.76</v>
      </c>
      <c r="R426" s="320">
        <v>107.02</v>
      </c>
      <c r="S426" s="320">
        <v>91.74</v>
      </c>
      <c r="T426" s="320">
        <v>0.0</v>
      </c>
      <c r="U426" s="320">
        <v>198.76</v>
      </c>
      <c r="V426" s="320">
        <v>307.7</v>
      </c>
      <c r="W426" s="320">
        <v>4.3686</v>
      </c>
      <c r="X426" s="320">
        <v>0.0</v>
      </c>
      <c r="Y426" s="320">
        <v>197.0</v>
      </c>
      <c r="Z426" s="320">
        <v>2177.0</v>
      </c>
      <c r="AA426" s="320">
        <v>9145.0</v>
      </c>
      <c r="AB426" s="320">
        <v>59.3919</v>
      </c>
      <c r="AC426" s="320">
        <v>0.8211</v>
      </c>
      <c r="AD426" s="320">
        <v>34.85</v>
      </c>
      <c r="AE426" s="320">
        <v>13.0</v>
      </c>
      <c r="AF426" s="320">
        <v>26.0</v>
      </c>
      <c r="AG426" s="320">
        <v>48.0</v>
      </c>
      <c r="AH426" s="320">
        <v>76.0</v>
      </c>
      <c r="AI426" s="320">
        <v>47.27</v>
      </c>
      <c r="AJ426" s="320">
        <v>17.39</v>
      </c>
      <c r="AK426" s="320">
        <v>4.38</v>
      </c>
      <c r="AL426" s="320">
        <v>0.111</v>
      </c>
      <c r="AM426" s="320">
        <v>20.81</v>
      </c>
      <c r="AN426" s="320">
        <v>86.21</v>
      </c>
      <c r="AO426" s="320">
        <v>83.98</v>
      </c>
      <c r="AP426" s="320">
        <v>17.48</v>
      </c>
    </row>
    <row r="427">
      <c r="A427" s="319" t="s">
        <v>256</v>
      </c>
      <c r="B427" s="328">
        <v>46120.0</v>
      </c>
      <c r="C427" s="319" t="s">
        <v>218</v>
      </c>
      <c r="D427" s="320">
        <v>571.0</v>
      </c>
      <c r="E427" s="320">
        <v>0.54</v>
      </c>
      <c r="F427" s="320">
        <v>0.0</v>
      </c>
      <c r="G427" s="320">
        <v>0.0</v>
      </c>
      <c r="H427" s="320">
        <v>0.0</v>
      </c>
      <c r="I427" s="329"/>
      <c r="J427" s="320">
        <v>258.36</v>
      </c>
      <c r="K427" s="320">
        <v>147.06</v>
      </c>
      <c r="L427" s="320">
        <v>127.63</v>
      </c>
      <c r="M427" s="320">
        <v>0.8679</v>
      </c>
      <c r="N427" s="320">
        <v>0.2879</v>
      </c>
      <c r="O427" s="320">
        <v>0.2165</v>
      </c>
      <c r="P427" s="320">
        <v>1.1522</v>
      </c>
      <c r="Q427" s="320">
        <v>401.21</v>
      </c>
      <c r="R427" s="320">
        <v>184.17</v>
      </c>
      <c r="S427" s="320">
        <v>217.04</v>
      </c>
      <c r="T427" s="320">
        <v>0.0</v>
      </c>
      <c r="U427" s="320">
        <v>401.21</v>
      </c>
      <c r="V427" s="320">
        <v>893.96</v>
      </c>
      <c r="W427" s="320">
        <v>6.0787</v>
      </c>
      <c r="X427" s="320">
        <v>0.0</v>
      </c>
      <c r="Y427" s="320">
        <v>949.0</v>
      </c>
      <c r="Z427" s="320">
        <v>5594.0</v>
      </c>
      <c r="AA427" s="320">
        <v>15821.0</v>
      </c>
      <c r="AB427" s="320">
        <v>63.1441</v>
      </c>
      <c r="AC427" s="320">
        <v>0.8933</v>
      </c>
      <c r="AD427" s="320">
        <v>85.81</v>
      </c>
      <c r="AE427" s="320">
        <v>34.0</v>
      </c>
      <c r="AF427" s="320">
        <v>69.0</v>
      </c>
      <c r="AG427" s="320">
        <v>123.0</v>
      </c>
      <c r="AH427" s="320">
        <v>175.0</v>
      </c>
      <c r="AI427" s="320">
        <v>45.53</v>
      </c>
      <c r="AJ427" s="320">
        <v>10.16</v>
      </c>
      <c r="AK427" s="320">
        <v>1.58</v>
      </c>
      <c r="AL427" s="320">
        <v>0.049</v>
      </c>
      <c r="AM427" s="320">
        <v>25.27</v>
      </c>
      <c r="AN427" s="320">
        <v>158.89</v>
      </c>
      <c r="AO427" s="320">
        <v>86.01</v>
      </c>
      <c r="AP427" s="320">
        <v>21.73</v>
      </c>
    </row>
    <row r="428">
      <c r="A428" s="319" t="s">
        <v>256</v>
      </c>
      <c r="B428" s="328">
        <v>46121.0</v>
      </c>
      <c r="C428" s="319" t="s">
        <v>257</v>
      </c>
      <c r="D428" s="320">
        <v>20709.0</v>
      </c>
      <c r="E428" s="320">
        <v>20.17</v>
      </c>
      <c r="F428" s="320">
        <v>0.0</v>
      </c>
      <c r="G428" s="320">
        <v>0.0</v>
      </c>
      <c r="H428" s="320">
        <v>0.0</v>
      </c>
      <c r="I428" s="329"/>
      <c r="J428" s="320">
        <v>6.13</v>
      </c>
      <c r="K428" s="320">
        <v>2.51</v>
      </c>
      <c r="L428" s="320">
        <v>0.05</v>
      </c>
      <c r="M428" s="320">
        <v>0.0207</v>
      </c>
      <c r="N428" s="320">
        <v>0.9834</v>
      </c>
      <c r="O428" s="320">
        <v>0.8031</v>
      </c>
      <c r="P428" s="320">
        <v>48.3389</v>
      </c>
      <c r="Q428" s="320">
        <v>22.84</v>
      </c>
      <c r="R428" s="320">
        <v>22.75</v>
      </c>
      <c r="S428" s="320">
        <v>0.08</v>
      </c>
      <c r="T428" s="320">
        <v>0.0</v>
      </c>
      <c r="U428" s="320">
        <v>22.84</v>
      </c>
      <c r="V428" s="320">
        <v>2.09</v>
      </c>
      <c r="W428" s="320">
        <v>0.8317</v>
      </c>
      <c r="X428" s="320">
        <v>0.0</v>
      </c>
      <c r="Y428" s="320">
        <v>309.0</v>
      </c>
      <c r="Z428" s="320">
        <v>3646.0</v>
      </c>
      <c r="AA428" s="320">
        <v>14686.0</v>
      </c>
      <c r="AB428" s="320">
        <v>49.0702</v>
      </c>
      <c r="AC428" s="320">
        <v>0.5458</v>
      </c>
      <c r="AD428" s="329"/>
      <c r="AE428" s="329"/>
      <c r="AF428" s="329"/>
      <c r="AG428" s="329"/>
      <c r="AH428" s="329"/>
      <c r="AI428" s="320">
        <v>0.0</v>
      </c>
      <c r="AJ428" s="320">
        <v>0.0</v>
      </c>
      <c r="AK428" s="320">
        <v>0.0</v>
      </c>
      <c r="AL428" s="320">
        <v>0.2868</v>
      </c>
      <c r="AM428" s="320">
        <v>16.65</v>
      </c>
      <c r="AN428" s="320">
        <v>6.1</v>
      </c>
      <c r="AO428" s="329"/>
      <c r="AP428" s="329"/>
    </row>
    <row r="429">
      <c r="A429" s="319" t="s">
        <v>256</v>
      </c>
      <c r="B429" s="328">
        <v>46121.0</v>
      </c>
      <c r="C429" s="319" t="s">
        <v>214</v>
      </c>
      <c r="D429" s="320">
        <v>37090.0</v>
      </c>
      <c r="E429" s="320">
        <v>36.13</v>
      </c>
      <c r="F429" s="320">
        <v>0.0</v>
      </c>
      <c r="G429" s="320">
        <v>0.0</v>
      </c>
      <c r="H429" s="320">
        <v>0.0</v>
      </c>
      <c r="I429" s="329"/>
      <c r="J429" s="320">
        <v>27.36</v>
      </c>
      <c r="K429" s="320">
        <v>12.24</v>
      </c>
      <c r="L429" s="320">
        <v>5.29</v>
      </c>
      <c r="M429" s="320">
        <v>0.4325</v>
      </c>
      <c r="N429" s="320">
        <v>0.747</v>
      </c>
      <c r="O429" s="320">
        <v>0.5624</v>
      </c>
      <c r="P429" s="320">
        <v>2.3121</v>
      </c>
      <c r="Q429" s="320">
        <v>44.76</v>
      </c>
      <c r="R429" s="320">
        <v>34.78</v>
      </c>
      <c r="S429" s="320">
        <v>9.98</v>
      </c>
      <c r="T429" s="320">
        <v>0.0</v>
      </c>
      <c r="U429" s="320">
        <v>44.76</v>
      </c>
      <c r="V429" s="320">
        <v>47.77</v>
      </c>
      <c r="W429" s="320">
        <v>3.9024</v>
      </c>
      <c r="X429" s="320">
        <v>0.0</v>
      </c>
      <c r="Y429" s="320">
        <v>137.0</v>
      </c>
      <c r="Z429" s="320">
        <v>877.0</v>
      </c>
      <c r="AA429" s="320">
        <v>5982.0</v>
      </c>
      <c r="AB429" s="320">
        <v>49.0623</v>
      </c>
      <c r="AC429" s="320">
        <v>0.5436</v>
      </c>
      <c r="AD429" s="320">
        <v>3.86</v>
      </c>
      <c r="AE429" s="320">
        <v>1.0</v>
      </c>
      <c r="AF429" s="320">
        <v>3.0</v>
      </c>
      <c r="AG429" s="320">
        <v>5.0</v>
      </c>
      <c r="AH429" s="320">
        <v>9.0</v>
      </c>
      <c r="AI429" s="320">
        <v>71.88</v>
      </c>
      <c r="AJ429" s="320">
        <v>29.65</v>
      </c>
      <c r="AK429" s="320">
        <v>7.94</v>
      </c>
      <c r="AL429" s="320">
        <v>0.2521</v>
      </c>
      <c r="AM429" s="320">
        <v>19.17</v>
      </c>
      <c r="AN429" s="320">
        <v>15.6</v>
      </c>
      <c r="AO429" s="320">
        <v>66.05</v>
      </c>
      <c r="AP429" s="320">
        <v>12.66</v>
      </c>
    </row>
    <row r="430">
      <c r="A430" s="319" t="s">
        <v>256</v>
      </c>
      <c r="B430" s="328">
        <v>46121.0</v>
      </c>
      <c r="C430" s="319" t="s">
        <v>215</v>
      </c>
      <c r="D430" s="320">
        <v>25485.0</v>
      </c>
      <c r="E430" s="320">
        <v>24.82</v>
      </c>
      <c r="F430" s="320">
        <v>0.0</v>
      </c>
      <c r="G430" s="320">
        <v>0.0</v>
      </c>
      <c r="H430" s="320">
        <v>0.0</v>
      </c>
      <c r="I430" s="329"/>
      <c r="J430" s="320">
        <v>50.55</v>
      </c>
      <c r="K430" s="320">
        <v>23.64</v>
      </c>
      <c r="L430" s="320">
        <v>13.12</v>
      </c>
      <c r="M430" s="320">
        <v>0.5552</v>
      </c>
      <c r="N430" s="320">
        <v>0.6439</v>
      </c>
      <c r="O430" s="320">
        <v>0.4568</v>
      </c>
      <c r="P430" s="320">
        <v>1.8012</v>
      </c>
      <c r="Q430" s="320">
        <v>88.61</v>
      </c>
      <c r="R430" s="320">
        <v>64.16</v>
      </c>
      <c r="S430" s="320">
        <v>24.45</v>
      </c>
      <c r="T430" s="320">
        <v>0.0</v>
      </c>
      <c r="U430" s="320">
        <v>88.61</v>
      </c>
      <c r="V430" s="320">
        <v>88.11</v>
      </c>
      <c r="W430" s="320">
        <v>3.727</v>
      </c>
      <c r="X430" s="320">
        <v>0.0</v>
      </c>
      <c r="Y430" s="320">
        <v>119.0</v>
      </c>
      <c r="Z430" s="320">
        <v>680.0</v>
      </c>
      <c r="AA430" s="320">
        <v>5495.0</v>
      </c>
      <c r="AB430" s="320">
        <v>52.2796</v>
      </c>
      <c r="AC430" s="320">
        <v>0.6201</v>
      </c>
      <c r="AD430" s="320">
        <v>8.79</v>
      </c>
      <c r="AE430" s="320">
        <v>3.0</v>
      </c>
      <c r="AF430" s="320">
        <v>7.0</v>
      </c>
      <c r="AG430" s="320">
        <v>12.0</v>
      </c>
      <c r="AH430" s="320">
        <v>19.0</v>
      </c>
      <c r="AI430" s="320">
        <v>57.31</v>
      </c>
      <c r="AJ430" s="320">
        <v>22.68</v>
      </c>
      <c r="AK430" s="320">
        <v>3.79</v>
      </c>
      <c r="AL430" s="320">
        <v>0.2007</v>
      </c>
      <c r="AM430" s="320">
        <v>20.04</v>
      </c>
      <c r="AN430" s="320">
        <v>44.12</v>
      </c>
      <c r="AO430" s="320">
        <v>74.55</v>
      </c>
      <c r="AP430" s="320">
        <v>14.94</v>
      </c>
    </row>
    <row r="431">
      <c r="A431" s="319" t="s">
        <v>256</v>
      </c>
      <c r="B431" s="328">
        <v>46121.0</v>
      </c>
      <c r="C431" s="319" t="s">
        <v>216</v>
      </c>
      <c r="D431" s="320">
        <v>13426.0</v>
      </c>
      <c r="E431" s="320">
        <v>13.08</v>
      </c>
      <c r="F431" s="320">
        <v>0.0</v>
      </c>
      <c r="G431" s="320">
        <v>0.0</v>
      </c>
      <c r="H431" s="320">
        <v>0.0</v>
      </c>
      <c r="I431" s="329"/>
      <c r="J431" s="320">
        <v>76.76</v>
      </c>
      <c r="K431" s="320">
        <v>38.41</v>
      </c>
      <c r="L431" s="320">
        <v>25.89</v>
      </c>
      <c r="M431" s="320">
        <v>0.6739</v>
      </c>
      <c r="N431" s="320">
        <v>0.5213</v>
      </c>
      <c r="O431" s="320">
        <v>0.3637</v>
      </c>
      <c r="P431" s="320">
        <v>1.4838</v>
      </c>
      <c r="Q431" s="320">
        <v>176.52</v>
      </c>
      <c r="R431" s="320">
        <v>127.41</v>
      </c>
      <c r="S431" s="320">
        <v>49.1</v>
      </c>
      <c r="T431" s="320">
        <v>0.04</v>
      </c>
      <c r="U431" s="320">
        <v>176.48</v>
      </c>
      <c r="V431" s="320">
        <v>162.22</v>
      </c>
      <c r="W431" s="320">
        <v>4.2228</v>
      </c>
      <c r="X431" s="320">
        <v>0.02</v>
      </c>
      <c r="Y431" s="320">
        <v>152.0</v>
      </c>
      <c r="Z431" s="320">
        <v>1048.0</v>
      </c>
      <c r="AA431" s="320">
        <v>6693.0</v>
      </c>
      <c r="AB431" s="320">
        <v>55.763</v>
      </c>
      <c r="AC431" s="320">
        <v>0.7303</v>
      </c>
      <c r="AD431" s="320">
        <v>17.57</v>
      </c>
      <c r="AE431" s="320">
        <v>7.0</v>
      </c>
      <c r="AF431" s="320">
        <v>13.0</v>
      </c>
      <c r="AG431" s="320">
        <v>24.0</v>
      </c>
      <c r="AH431" s="320">
        <v>38.0</v>
      </c>
      <c r="AI431" s="320">
        <v>58.16</v>
      </c>
      <c r="AJ431" s="320">
        <v>23.01</v>
      </c>
      <c r="AK431" s="320">
        <v>7.41</v>
      </c>
      <c r="AL431" s="320">
        <v>0.177</v>
      </c>
      <c r="AM431" s="320">
        <v>20.42</v>
      </c>
      <c r="AN431" s="320">
        <v>106.99</v>
      </c>
      <c r="AO431" s="320">
        <v>78.5</v>
      </c>
      <c r="AP431" s="320">
        <v>16.03</v>
      </c>
    </row>
    <row r="432">
      <c r="A432" s="319" t="s">
        <v>256</v>
      </c>
      <c r="B432" s="328">
        <v>46121.0</v>
      </c>
      <c r="C432" s="319" t="s">
        <v>217</v>
      </c>
      <c r="D432" s="320">
        <v>5388.0</v>
      </c>
      <c r="E432" s="320">
        <v>5.25</v>
      </c>
      <c r="F432" s="320">
        <v>0.0</v>
      </c>
      <c r="G432" s="320">
        <v>0.0</v>
      </c>
      <c r="H432" s="320">
        <v>0.0</v>
      </c>
      <c r="I432" s="329"/>
      <c r="J432" s="320">
        <v>126.2</v>
      </c>
      <c r="K432" s="320">
        <v>68.05</v>
      </c>
      <c r="L432" s="320">
        <v>54.39</v>
      </c>
      <c r="M432" s="320">
        <v>0.7993</v>
      </c>
      <c r="N432" s="320">
        <v>0.3843</v>
      </c>
      <c r="O432" s="320">
        <v>0.2783</v>
      </c>
      <c r="P432" s="320">
        <v>1.2511</v>
      </c>
      <c r="Q432" s="320">
        <v>381.74</v>
      </c>
      <c r="R432" s="320">
        <v>278.56</v>
      </c>
      <c r="S432" s="320">
        <v>103.18</v>
      </c>
      <c r="T432" s="320">
        <v>0.0</v>
      </c>
      <c r="U432" s="320">
        <v>381.74</v>
      </c>
      <c r="V432" s="320">
        <v>314.56</v>
      </c>
      <c r="W432" s="320">
        <v>4.6225</v>
      </c>
      <c r="X432" s="320">
        <v>0.0</v>
      </c>
      <c r="Y432" s="320">
        <v>301.0</v>
      </c>
      <c r="Z432" s="320">
        <v>2404.0</v>
      </c>
      <c r="AA432" s="320">
        <v>9156.0</v>
      </c>
      <c r="AB432" s="320">
        <v>59.4448</v>
      </c>
      <c r="AC432" s="320">
        <v>0.8152</v>
      </c>
      <c r="AD432" s="320">
        <v>38.0</v>
      </c>
      <c r="AE432" s="320">
        <v>15.0</v>
      </c>
      <c r="AF432" s="320">
        <v>30.0</v>
      </c>
      <c r="AG432" s="320">
        <v>53.0</v>
      </c>
      <c r="AH432" s="320">
        <v>79.0</v>
      </c>
      <c r="AI432" s="320">
        <v>53.25</v>
      </c>
      <c r="AJ432" s="320">
        <v>19.86</v>
      </c>
      <c r="AK432" s="320">
        <v>4.81</v>
      </c>
      <c r="AL432" s="320">
        <v>0.1346</v>
      </c>
      <c r="AM432" s="320">
        <v>21.11</v>
      </c>
      <c r="AN432" s="320">
        <v>257.45</v>
      </c>
      <c r="AO432" s="320">
        <v>83.77</v>
      </c>
      <c r="AP432" s="320">
        <v>17.68</v>
      </c>
    </row>
    <row r="433">
      <c r="A433" s="319" t="s">
        <v>256</v>
      </c>
      <c r="B433" s="328">
        <v>46121.0</v>
      </c>
      <c r="C433" s="319" t="s">
        <v>218</v>
      </c>
      <c r="D433" s="320">
        <v>564.0</v>
      </c>
      <c r="E433" s="320">
        <v>0.55</v>
      </c>
      <c r="F433" s="320">
        <v>0.0</v>
      </c>
      <c r="G433" s="320">
        <v>0.0</v>
      </c>
      <c r="H433" s="320">
        <v>0.0</v>
      </c>
      <c r="I433" s="329"/>
      <c r="J433" s="320">
        <v>259.78</v>
      </c>
      <c r="K433" s="320">
        <v>153.05</v>
      </c>
      <c r="L433" s="320">
        <v>135.92</v>
      </c>
      <c r="M433" s="320">
        <v>0.8881</v>
      </c>
      <c r="N433" s="320">
        <v>0.2709</v>
      </c>
      <c r="O433" s="320">
        <v>0.2088</v>
      </c>
      <c r="P433" s="320">
        <v>1.1261</v>
      </c>
      <c r="Q433" s="320">
        <v>819.3</v>
      </c>
      <c r="R433" s="320">
        <v>560.3</v>
      </c>
      <c r="S433" s="320">
        <v>259.01</v>
      </c>
      <c r="T433" s="320">
        <v>0.0</v>
      </c>
      <c r="U433" s="320">
        <v>819.3</v>
      </c>
      <c r="V433" s="320">
        <v>1038.39</v>
      </c>
      <c r="W433" s="320">
        <v>6.7844</v>
      </c>
      <c r="X433" s="320">
        <v>0.0</v>
      </c>
      <c r="Y433" s="320">
        <v>1138.0</v>
      </c>
      <c r="Z433" s="320">
        <v>5447.0</v>
      </c>
      <c r="AA433" s="320">
        <v>16849.0</v>
      </c>
      <c r="AB433" s="320">
        <v>63.1021</v>
      </c>
      <c r="AC433" s="320">
        <v>0.8885</v>
      </c>
      <c r="AD433" s="320">
        <v>99.75</v>
      </c>
      <c r="AE433" s="320">
        <v>44.0</v>
      </c>
      <c r="AF433" s="320">
        <v>87.0</v>
      </c>
      <c r="AG433" s="320">
        <v>131.0</v>
      </c>
      <c r="AH433" s="320">
        <v>198.0</v>
      </c>
      <c r="AI433" s="320">
        <v>56.74</v>
      </c>
      <c r="AJ433" s="320">
        <v>13.48</v>
      </c>
      <c r="AK433" s="320">
        <v>2.48</v>
      </c>
      <c r="AL433" s="320">
        <v>0.0851</v>
      </c>
      <c r="AM433" s="320">
        <v>24.02</v>
      </c>
      <c r="AN433" s="320">
        <v>536.27</v>
      </c>
      <c r="AO433" s="320">
        <v>88.47</v>
      </c>
      <c r="AP433" s="320">
        <v>21.25</v>
      </c>
    </row>
    <row r="434">
      <c r="A434" s="319" t="s">
        <v>256</v>
      </c>
      <c r="B434" s="328">
        <v>46122.0</v>
      </c>
      <c r="C434" s="319" t="s">
        <v>257</v>
      </c>
      <c r="D434" s="320">
        <v>19085.0</v>
      </c>
      <c r="E434" s="320">
        <v>18.94</v>
      </c>
      <c r="F434" s="320">
        <v>0.0</v>
      </c>
      <c r="G434" s="320">
        <v>0.0</v>
      </c>
      <c r="H434" s="320">
        <v>0.0</v>
      </c>
      <c r="I434" s="329"/>
      <c r="J434" s="320">
        <v>5.68</v>
      </c>
      <c r="K434" s="320">
        <v>2.22</v>
      </c>
      <c r="L434" s="320">
        <v>0.02</v>
      </c>
      <c r="M434" s="320">
        <v>0.0091</v>
      </c>
      <c r="N434" s="320">
        <v>0.9932</v>
      </c>
      <c r="O434" s="320">
        <v>0.9202</v>
      </c>
      <c r="P434" s="320">
        <v>109.6667</v>
      </c>
      <c r="Q434" s="320">
        <v>26.71</v>
      </c>
      <c r="R434" s="320">
        <v>26.6</v>
      </c>
      <c r="S434" s="320">
        <v>0.1</v>
      </c>
      <c r="T434" s="320">
        <v>0.0</v>
      </c>
      <c r="U434" s="320">
        <v>26.71</v>
      </c>
      <c r="V434" s="320">
        <v>1.67</v>
      </c>
      <c r="W434" s="320">
        <v>0.7528</v>
      </c>
      <c r="X434" s="320">
        <v>0.0</v>
      </c>
      <c r="Y434" s="320">
        <v>370.0</v>
      </c>
      <c r="Z434" s="320">
        <v>4079.0</v>
      </c>
      <c r="AA434" s="320">
        <v>15474.0</v>
      </c>
      <c r="AB434" s="320">
        <v>49.3611</v>
      </c>
      <c r="AC434" s="320">
        <v>0.553</v>
      </c>
      <c r="AD434" s="329"/>
      <c r="AE434" s="329"/>
      <c r="AF434" s="329"/>
      <c r="AG434" s="329"/>
      <c r="AH434" s="329"/>
      <c r="AI434" s="320">
        <v>0.0</v>
      </c>
      <c r="AJ434" s="320">
        <v>0.0</v>
      </c>
      <c r="AK434" s="320">
        <v>0.0</v>
      </c>
      <c r="AL434" s="320">
        <v>0.3061</v>
      </c>
      <c r="AM434" s="320">
        <v>17.55</v>
      </c>
      <c r="AN434" s="320">
        <v>9.05</v>
      </c>
      <c r="AO434" s="329"/>
      <c r="AP434" s="329"/>
    </row>
    <row r="435">
      <c r="A435" s="319" t="s">
        <v>256</v>
      </c>
      <c r="B435" s="328">
        <v>46122.0</v>
      </c>
      <c r="C435" s="319" t="s">
        <v>214</v>
      </c>
      <c r="D435" s="320">
        <v>37638.0</v>
      </c>
      <c r="E435" s="320">
        <v>37.35</v>
      </c>
      <c r="F435" s="320">
        <v>0.0</v>
      </c>
      <c r="G435" s="320">
        <v>0.0</v>
      </c>
      <c r="H435" s="320">
        <v>0.0</v>
      </c>
      <c r="I435" s="329"/>
      <c r="J435" s="320">
        <v>30.31</v>
      </c>
      <c r="K435" s="320">
        <v>13.62</v>
      </c>
      <c r="L435" s="320">
        <v>5.7</v>
      </c>
      <c r="M435" s="320">
        <v>0.4187</v>
      </c>
      <c r="N435" s="320">
        <v>0.7535</v>
      </c>
      <c r="O435" s="320">
        <v>0.5599</v>
      </c>
      <c r="P435" s="320">
        <v>2.3883</v>
      </c>
      <c r="Q435" s="320">
        <v>57.65</v>
      </c>
      <c r="R435" s="320">
        <v>45.98</v>
      </c>
      <c r="S435" s="320">
        <v>11.67</v>
      </c>
      <c r="T435" s="320">
        <v>0.0</v>
      </c>
      <c r="U435" s="320">
        <v>57.65</v>
      </c>
      <c r="V435" s="320">
        <v>52.48</v>
      </c>
      <c r="W435" s="320">
        <v>3.8535</v>
      </c>
      <c r="X435" s="320">
        <v>0.0</v>
      </c>
      <c r="Y435" s="320">
        <v>139.0</v>
      </c>
      <c r="Z435" s="320">
        <v>847.0</v>
      </c>
      <c r="AA435" s="320">
        <v>5786.0</v>
      </c>
      <c r="AB435" s="320">
        <v>48.8259</v>
      </c>
      <c r="AC435" s="320">
        <v>0.5383</v>
      </c>
      <c r="AD435" s="320">
        <v>4.05</v>
      </c>
      <c r="AE435" s="320">
        <v>1.0</v>
      </c>
      <c r="AF435" s="320">
        <v>3.0</v>
      </c>
      <c r="AG435" s="320">
        <v>5.0</v>
      </c>
      <c r="AH435" s="320">
        <v>9.0</v>
      </c>
      <c r="AI435" s="320">
        <v>73.79</v>
      </c>
      <c r="AJ435" s="320">
        <v>31.55</v>
      </c>
      <c r="AK435" s="320">
        <v>8.72</v>
      </c>
      <c r="AL435" s="320">
        <v>0.264</v>
      </c>
      <c r="AM435" s="320">
        <v>20.12</v>
      </c>
      <c r="AN435" s="320">
        <v>25.86</v>
      </c>
      <c r="AO435" s="320">
        <v>66.28</v>
      </c>
      <c r="AP435" s="320">
        <v>13.34</v>
      </c>
    </row>
    <row r="436">
      <c r="A436" s="319" t="s">
        <v>256</v>
      </c>
      <c r="B436" s="328">
        <v>46122.0</v>
      </c>
      <c r="C436" s="319" t="s">
        <v>215</v>
      </c>
      <c r="D436" s="320">
        <v>24895.0</v>
      </c>
      <c r="E436" s="320">
        <v>24.71</v>
      </c>
      <c r="F436" s="320">
        <v>0.0</v>
      </c>
      <c r="G436" s="320">
        <v>0.0</v>
      </c>
      <c r="H436" s="320">
        <v>0.0</v>
      </c>
      <c r="I436" s="329"/>
      <c r="J436" s="320">
        <v>57.34</v>
      </c>
      <c r="K436" s="320">
        <v>27.12</v>
      </c>
      <c r="L436" s="320">
        <v>14.38</v>
      </c>
      <c r="M436" s="320">
        <v>0.5302</v>
      </c>
      <c r="N436" s="320">
        <v>0.6597</v>
      </c>
      <c r="O436" s="320">
        <v>0.4613</v>
      </c>
      <c r="P436" s="320">
        <v>1.886</v>
      </c>
      <c r="Q436" s="320">
        <v>101.14</v>
      </c>
      <c r="R436" s="320">
        <v>71.87</v>
      </c>
      <c r="S436" s="320">
        <v>29.27</v>
      </c>
      <c r="T436" s="320">
        <v>0.0</v>
      </c>
      <c r="U436" s="320">
        <v>101.14</v>
      </c>
      <c r="V436" s="320">
        <v>100.31</v>
      </c>
      <c r="W436" s="320">
        <v>3.6991</v>
      </c>
      <c r="X436" s="320">
        <v>0.0</v>
      </c>
      <c r="Y436" s="320">
        <v>119.0</v>
      </c>
      <c r="Z436" s="320">
        <v>639.0</v>
      </c>
      <c r="AA436" s="320">
        <v>5087.0</v>
      </c>
      <c r="AB436" s="320">
        <v>52.2419</v>
      </c>
      <c r="AC436" s="320">
        <v>0.6258</v>
      </c>
      <c r="AD436" s="320">
        <v>9.57</v>
      </c>
      <c r="AE436" s="320">
        <v>4.0</v>
      </c>
      <c r="AF436" s="320">
        <v>8.0</v>
      </c>
      <c r="AG436" s="320">
        <v>13.0</v>
      </c>
      <c r="AH436" s="320">
        <v>20.0</v>
      </c>
      <c r="AI436" s="320">
        <v>61.3</v>
      </c>
      <c r="AJ436" s="320">
        <v>26.31</v>
      </c>
      <c r="AK436" s="320">
        <v>5.07</v>
      </c>
      <c r="AL436" s="320">
        <v>0.2172</v>
      </c>
      <c r="AM436" s="320">
        <v>21.38</v>
      </c>
      <c r="AN436" s="320">
        <v>50.49</v>
      </c>
      <c r="AO436" s="320">
        <v>74.77</v>
      </c>
      <c r="AP436" s="320">
        <v>15.99</v>
      </c>
    </row>
    <row r="437">
      <c r="A437" s="319" t="s">
        <v>256</v>
      </c>
      <c r="B437" s="328">
        <v>46122.0</v>
      </c>
      <c r="C437" s="319" t="s">
        <v>216</v>
      </c>
      <c r="D437" s="320">
        <v>13300.0</v>
      </c>
      <c r="E437" s="320">
        <v>13.2</v>
      </c>
      <c r="F437" s="320">
        <v>0.0</v>
      </c>
      <c r="G437" s="320">
        <v>0.0</v>
      </c>
      <c r="H437" s="320">
        <v>0.0</v>
      </c>
      <c r="I437" s="329"/>
      <c r="J437" s="320">
        <v>84.97</v>
      </c>
      <c r="K437" s="320">
        <v>42.64</v>
      </c>
      <c r="L437" s="320">
        <v>27.68</v>
      </c>
      <c r="M437" s="320">
        <v>0.6491</v>
      </c>
      <c r="N437" s="320">
        <v>0.5398</v>
      </c>
      <c r="O437" s="320">
        <v>0.3718</v>
      </c>
      <c r="P437" s="320">
        <v>1.5405</v>
      </c>
      <c r="Q437" s="320">
        <v>164.91</v>
      </c>
      <c r="R437" s="320">
        <v>108.46</v>
      </c>
      <c r="S437" s="320">
        <v>56.44</v>
      </c>
      <c r="T437" s="320">
        <v>0.19</v>
      </c>
      <c r="U437" s="320">
        <v>164.72</v>
      </c>
      <c r="V437" s="320">
        <v>175.05</v>
      </c>
      <c r="W437" s="320">
        <v>4.1053</v>
      </c>
      <c r="X437" s="320">
        <v>0.11</v>
      </c>
      <c r="Y437" s="320">
        <v>148.0</v>
      </c>
      <c r="Z437" s="320">
        <v>962.0</v>
      </c>
      <c r="AA437" s="320">
        <v>6352.0</v>
      </c>
      <c r="AB437" s="320">
        <v>55.5727</v>
      </c>
      <c r="AC437" s="320">
        <v>0.7264</v>
      </c>
      <c r="AD437" s="320">
        <v>18.1</v>
      </c>
      <c r="AE437" s="320">
        <v>8.0</v>
      </c>
      <c r="AF437" s="320">
        <v>14.0</v>
      </c>
      <c r="AG437" s="320">
        <v>25.0</v>
      </c>
      <c r="AH437" s="320">
        <v>37.0</v>
      </c>
      <c r="AI437" s="320">
        <v>61.11</v>
      </c>
      <c r="AJ437" s="320">
        <v>24.14</v>
      </c>
      <c r="AK437" s="320">
        <v>7.15</v>
      </c>
      <c r="AL437" s="320">
        <v>0.1955</v>
      </c>
      <c r="AM437" s="320">
        <v>21.57</v>
      </c>
      <c r="AN437" s="320">
        <v>86.9</v>
      </c>
      <c r="AO437" s="320">
        <v>78.52</v>
      </c>
      <c r="AP437" s="320">
        <v>16.94</v>
      </c>
    </row>
    <row r="438">
      <c r="A438" s="319" t="s">
        <v>256</v>
      </c>
      <c r="B438" s="328">
        <v>46122.0</v>
      </c>
      <c r="C438" s="319" t="s">
        <v>217</v>
      </c>
      <c r="D438" s="320">
        <v>5260.0</v>
      </c>
      <c r="E438" s="320">
        <v>5.22</v>
      </c>
      <c r="F438" s="320">
        <v>0.0</v>
      </c>
      <c r="G438" s="320">
        <v>0.0</v>
      </c>
      <c r="H438" s="320">
        <v>0.0</v>
      </c>
      <c r="I438" s="329"/>
      <c r="J438" s="320">
        <v>135.07</v>
      </c>
      <c r="K438" s="320">
        <v>72.3</v>
      </c>
      <c r="L438" s="320">
        <v>55.98</v>
      </c>
      <c r="M438" s="320">
        <v>0.7743</v>
      </c>
      <c r="N438" s="320">
        <v>0.4039</v>
      </c>
      <c r="O438" s="320">
        <v>0.2857</v>
      </c>
      <c r="P438" s="320">
        <v>1.2914</v>
      </c>
      <c r="Q438" s="320">
        <v>285.31</v>
      </c>
      <c r="R438" s="320">
        <v>171.11</v>
      </c>
      <c r="S438" s="320">
        <v>114.2</v>
      </c>
      <c r="T438" s="320">
        <v>0.0</v>
      </c>
      <c r="U438" s="320">
        <v>285.31</v>
      </c>
      <c r="V438" s="320">
        <v>312.02</v>
      </c>
      <c r="W438" s="320">
        <v>4.3158</v>
      </c>
      <c r="X438" s="320">
        <v>0.0</v>
      </c>
      <c r="Y438" s="320">
        <v>267.0</v>
      </c>
      <c r="Z438" s="320">
        <v>2253.0</v>
      </c>
      <c r="AA438" s="320">
        <v>9270.0</v>
      </c>
      <c r="AB438" s="320">
        <v>59.4862</v>
      </c>
      <c r="AC438" s="320">
        <v>0.8295</v>
      </c>
      <c r="AD438" s="320">
        <v>37.55</v>
      </c>
      <c r="AE438" s="320">
        <v>15.0</v>
      </c>
      <c r="AF438" s="320">
        <v>28.0</v>
      </c>
      <c r="AG438" s="320">
        <v>52.0</v>
      </c>
      <c r="AH438" s="320">
        <v>78.0</v>
      </c>
      <c r="AI438" s="320">
        <v>51.43</v>
      </c>
      <c r="AJ438" s="320">
        <v>19.45</v>
      </c>
      <c r="AK438" s="320">
        <v>4.92</v>
      </c>
      <c r="AL438" s="320">
        <v>0.1411</v>
      </c>
      <c r="AM438" s="320">
        <v>22.16</v>
      </c>
      <c r="AN438" s="320">
        <v>148.95</v>
      </c>
      <c r="AO438" s="320">
        <v>83.99</v>
      </c>
      <c r="AP438" s="320">
        <v>18.61</v>
      </c>
    </row>
    <row r="439">
      <c r="A439" s="319" t="s">
        <v>256</v>
      </c>
      <c r="B439" s="328">
        <v>46122.0</v>
      </c>
      <c r="C439" s="319" t="s">
        <v>218</v>
      </c>
      <c r="D439" s="320">
        <v>582.0</v>
      </c>
      <c r="E439" s="320">
        <v>0.58</v>
      </c>
      <c r="F439" s="320">
        <v>0.0</v>
      </c>
      <c r="G439" s="320">
        <v>0.0</v>
      </c>
      <c r="H439" s="320">
        <v>0.0</v>
      </c>
      <c r="I439" s="329"/>
      <c r="J439" s="320">
        <v>261.23</v>
      </c>
      <c r="K439" s="320">
        <v>149.14</v>
      </c>
      <c r="L439" s="320">
        <v>130.14</v>
      </c>
      <c r="M439" s="320">
        <v>0.8725</v>
      </c>
      <c r="N439" s="320">
        <v>0.2839</v>
      </c>
      <c r="O439" s="320">
        <v>0.2144</v>
      </c>
      <c r="P439" s="320">
        <v>1.1461</v>
      </c>
      <c r="Q439" s="320">
        <v>619.45</v>
      </c>
      <c r="R439" s="320">
        <v>352.52</v>
      </c>
      <c r="S439" s="320">
        <v>266.92</v>
      </c>
      <c r="T439" s="320">
        <v>0.0</v>
      </c>
      <c r="U439" s="320">
        <v>619.45</v>
      </c>
      <c r="V439" s="320">
        <v>1012.97</v>
      </c>
      <c r="W439" s="320">
        <v>6.7919</v>
      </c>
      <c r="X439" s="320">
        <v>0.0</v>
      </c>
      <c r="Y439" s="320">
        <v>1195.0</v>
      </c>
      <c r="Z439" s="320">
        <v>5916.0</v>
      </c>
      <c r="AA439" s="320">
        <v>15776.0</v>
      </c>
      <c r="AB439" s="320">
        <v>63.1905</v>
      </c>
      <c r="AC439" s="320">
        <v>0.9083</v>
      </c>
      <c r="AD439" s="320">
        <v>89.81</v>
      </c>
      <c r="AE439" s="320">
        <v>40.0</v>
      </c>
      <c r="AF439" s="320">
        <v>76.0</v>
      </c>
      <c r="AG439" s="320">
        <v>129.0</v>
      </c>
      <c r="AH439" s="320">
        <v>177.0</v>
      </c>
      <c r="AI439" s="320">
        <v>49.14</v>
      </c>
      <c r="AJ439" s="320">
        <v>10.65</v>
      </c>
      <c r="AK439" s="320">
        <v>1.72</v>
      </c>
      <c r="AL439" s="320">
        <v>0.1065</v>
      </c>
      <c r="AM439" s="320">
        <v>26.29</v>
      </c>
      <c r="AN439" s="320">
        <v>326.23</v>
      </c>
      <c r="AO439" s="320">
        <v>87.46</v>
      </c>
      <c r="AP439" s="320">
        <v>22.99</v>
      </c>
    </row>
    <row r="440">
      <c r="A440" s="319" t="s">
        <v>256</v>
      </c>
      <c r="B440" s="328">
        <v>46123.0</v>
      </c>
      <c r="C440" s="319" t="s">
        <v>257</v>
      </c>
      <c r="D440" s="320">
        <v>19075.0</v>
      </c>
      <c r="E440" s="320">
        <v>19.17</v>
      </c>
      <c r="F440" s="320">
        <v>0.0</v>
      </c>
      <c r="G440" s="320">
        <v>0.0</v>
      </c>
      <c r="H440" s="320">
        <v>0.0</v>
      </c>
      <c r="I440" s="329"/>
      <c r="J440" s="320">
        <v>5.72</v>
      </c>
      <c r="K440" s="320">
        <v>2.34</v>
      </c>
      <c r="L440" s="320">
        <v>0.03</v>
      </c>
      <c r="M440" s="320">
        <v>0.0128</v>
      </c>
      <c r="N440" s="320">
        <v>0.9906</v>
      </c>
      <c r="O440" s="320">
        <v>0.8895</v>
      </c>
      <c r="P440" s="320">
        <v>78.1541</v>
      </c>
      <c r="Q440" s="320">
        <v>24.84</v>
      </c>
      <c r="R440" s="320">
        <v>24.72</v>
      </c>
      <c r="S440" s="320">
        <v>0.12</v>
      </c>
      <c r="T440" s="320">
        <v>0.0</v>
      </c>
      <c r="U440" s="320">
        <v>24.84</v>
      </c>
      <c r="V440" s="320">
        <v>2.11</v>
      </c>
      <c r="W440" s="320">
        <v>0.9019</v>
      </c>
      <c r="X440" s="320">
        <v>0.0</v>
      </c>
      <c r="Y440" s="320">
        <v>327.0</v>
      </c>
      <c r="Z440" s="320">
        <v>3753.0</v>
      </c>
      <c r="AA440" s="320">
        <v>14991.0</v>
      </c>
      <c r="AB440" s="320">
        <v>49.1307</v>
      </c>
      <c r="AC440" s="320">
        <v>0.5429</v>
      </c>
      <c r="AD440" s="329"/>
      <c r="AE440" s="329"/>
      <c r="AF440" s="329"/>
      <c r="AG440" s="329"/>
      <c r="AH440" s="329"/>
      <c r="AI440" s="320">
        <v>0.0</v>
      </c>
      <c r="AJ440" s="320">
        <v>0.0</v>
      </c>
      <c r="AK440" s="320">
        <v>0.0</v>
      </c>
      <c r="AL440" s="320">
        <v>0.2932</v>
      </c>
      <c r="AM440" s="320">
        <v>18.07</v>
      </c>
      <c r="AN440" s="320">
        <v>6.65</v>
      </c>
      <c r="AO440" s="329"/>
      <c r="AP440" s="329"/>
    </row>
    <row r="441">
      <c r="A441" s="319" t="s">
        <v>256</v>
      </c>
      <c r="B441" s="328">
        <v>46123.0</v>
      </c>
      <c r="C441" s="319" t="s">
        <v>214</v>
      </c>
      <c r="D441" s="320">
        <v>36951.0</v>
      </c>
      <c r="E441" s="320">
        <v>37.14</v>
      </c>
      <c r="F441" s="320">
        <v>0.0</v>
      </c>
      <c r="G441" s="320">
        <v>0.0</v>
      </c>
      <c r="H441" s="320">
        <v>0.0</v>
      </c>
      <c r="I441" s="329"/>
      <c r="J441" s="320">
        <v>29.32</v>
      </c>
      <c r="K441" s="320">
        <v>13.25</v>
      </c>
      <c r="L441" s="320">
        <v>5.76</v>
      </c>
      <c r="M441" s="320">
        <v>0.4347</v>
      </c>
      <c r="N441" s="320">
        <v>0.7415</v>
      </c>
      <c r="O441" s="320">
        <v>0.5502</v>
      </c>
      <c r="P441" s="320">
        <v>2.3005</v>
      </c>
      <c r="Q441" s="320">
        <v>52.72</v>
      </c>
      <c r="R441" s="320">
        <v>40.97</v>
      </c>
      <c r="S441" s="320">
        <v>11.76</v>
      </c>
      <c r="T441" s="320">
        <v>0.01</v>
      </c>
      <c r="U441" s="320">
        <v>52.71</v>
      </c>
      <c r="V441" s="320">
        <v>52.92</v>
      </c>
      <c r="W441" s="320">
        <v>3.9931</v>
      </c>
      <c r="X441" s="320">
        <v>0.02</v>
      </c>
      <c r="Y441" s="320">
        <v>142.0</v>
      </c>
      <c r="Z441" s="320">
        <v>879.0</v>
      </c>
      <c r="AA441" s="320">
        <v>5823.0</v>
      </c>
      <c r="AB441" s="320">
        <v>48.8365</v>
      </c>
      <c r="AC441" s="320">
        <v>0.5415</v>
      </c>
      <c r="AD441" s="320">
        <v>4.12</v>
      </c>
      <c r="AE441" s="320">
        <v>1.0</v>
      </c>
      <c r="AF441" s="320">
        <v>3.0</v>
      </c>
      <c r="AG441" s="320">
        <v>5.0</v>
      </c>
      <c r="AH441" s="320">
        <v>9.0</v>
      </c>
      <c r="AI441" s="320">
        <v>73.69</v>
      </c>
      <c r="AJ441" s="320">
        <v>31.88</v>
      </c>
      <c r="AK441" s="320">
        <v>9.28</v>
      </c>
      <c r="AL441" s="320">
        <v>0.2491</v>
      </c>
      <c r="AM441" s="320">
        <v>21.96</v>
      </c>
      <c r="AN441" s="320">
        <v>19.0</v>
      </c>
      <c r="AO441" s="320">
        <v>65.95</v>
      </c>
      <c r="AP441" s="320">
        <v>14.48</v>
      </c>
    </row>
    <row r="442">
      <c r="A442" s="319" t="s">
        <v>256</v>
      </c>
      <c r="B442" s="328">
        <v>46123.0</v>
      </c>
      <c r="C442" s="319" t="s">
        <v>215</v>
      </c>
      <c r="D442" s="320">
        <v>24337.0</v>
      </c>
      <c r="E442" s="320">
        <v>24.46</v>
      </c>
      <c r="F442" s="320">
        <v>0.0</v>
      </c>
      <c r="G442" s="320">
        <v>0.0</v>
      </c>
      <c r="H442" s="320">
        <v>0.0</v>
      </c>
      <c r="I442" s="329"/>
      <c r="J442" s="320">
        <v>54.98</v>
      </c>
      <c r="K442" s="320">
        <v>25.91</v>
      </c>
      <c r="L442" s="320">
        <v>14.27</v>
      </c>
      <c r="M442" s="320">
        <v>0.5507</v>
      </c>
      <c r="N442" s="320">
        <v>0.6452</v>
      </c>
      <c r="O442" s="320">
        <v>0.4538</v>
      </c>
      <c r="P442" s="320">
        <v>1.8158</v>
      </c>
      <c r="Q442" s="320">
        <v>97.95</v>
      </c>
      <c r="R442" s="320">
        <v>69.02</v>
      </c>
      <c r="S442" s="320">
        <v>28.93</v>
      </c>
      <c r="T442" s="320">
        <v>0.0</v>
      </c>
      <c r="U442" s="320">
        <v>97.95</v>
      </c>
      <c r="V442" s="320">
        <v>99.48</v>
      </c>
      <c r="W442" s="320">
        <v>3.8401</v>
      </c>
      <c r="X442" s="320">
        <v>0.0</v>
      </c>
      <c r="Y442" s="320">
        <v>124.0</v>
      </c>
      <c r="Z442" s="320">
        <v>683.0</v>
      </c>
      <c r="AA442" s="320">
        <v>5276.0</v>
      </c>
      <c r="AB442" s="320">
        <v>52.3096</v>
      </c>
      <c r="AC442" s="320">
        <v>0.6336</v>
      </c>
      <c r="AD442" s="320">
        <v>9.72</v>
      </c>
      <c r="AE442" s="320">
        <v>4.0</v>
      </c>
      <c r="AF442" s="320">
        <v>8.0</v>
      </c>
      <c r="AG442" s="320">
        <v>13.0</v>
      </c>
      <c r="AH442" s="320">
        <v>20.0</v>
      </c>
      <c r="AI442" s="320">
        <v>62.19</v>
      </c>
      <c r="AJ442" s="320">
        <v>27.0</v>
      </c>
      <c r="AK442" s="320">
        <v>5.16</v>
      </c>
      <c r="AL442" s="320">
        <v>0.207</v>
      </c>
      <c r="AM442" s="320">
        <v>22.84</v>
      </c>
      <c r="AN442" s="320">
        <v>46.18</v>
      </c>
      <c r="AO442" s="320">
        <v>74.38</v>
      </c>
      <c r="AP442" s="320">
        <v>16.99</v>
      </c>
    </row>
    <row r="443">
      <c r="A443" s="319" t="s">
        <v>256</v>
      </c>
      <c r="B443" s="328">
        <v>46123.0</v>
      </c>
      <c r="C443" s="319" t="s">
        <v>216</v>
      </c>
      <c r="D443" s="320">
        <v>13296.0</v>
      </c>
      <c r="E443" s="320">
        <v>13.36</v>
      </c>
      <c r="F443" s="320">
        <v>0.0</v>
      </c>
      <c r="G443" s="320">
        <v>0.0</v>
      </c>
      <c r="H443" s="320">
        <v>0.0</v>
      </c>
      <c r="I443" s="329"/>
      <c r="J443" s="320">
        <v>82.38</v>
      </c>
      <c r="K443" s="320">
        <v>41.26</v>
      </c>
      <c r="L443" s="320">
        <v>27.52</v>
      </c>
      <c r="M443" s="320">
        <v>0.6669</v>
      </c>
      <c r="N443" s="320">
        <v>0.5273</v>
      </c>
      <c r="O443" s="320">
        <v>0.3679</v>
      </c>
      <c r="P443" s="320">
        <v>1.4995</v>
      </c>
      <c r="Q443" s="320">
        <v>170.0</v>
      </c>
      <c r="R443" s="320">
        <v>114.03</v>
      </c>
      <c r="S443" s="320">
        <v>55.97</v>
      </c>
      <c r="T443" s="320">
        <v>0.01</v>
      </c>
      <c r="U443" s="320">
        <v>169.99</v>
      </c>
      <c r="V443" s="320">
        <v>173.2</v>
      </c>
      <c r="W443" s="320">
        <v>4.1976</v>
      </c>
      <c r="X443" s="320">
        <v>0.01</v>
      </c>
      <c r="Y443" s="320">
        <v>159.0</v>
      </c>
      <c r="Z443" s="320">
        <v>1010.0</v>
      </c>
      <c r="AA443" s="320">
        <v>6598.0</v>
      </c>
      <c r="AB443" s="320">
        <v>55.6298</v>
      </c>
      <c r="AC443" s="320">
        <v>0.7342</v>
      </c>
      <c r="AD443" s="320">
        <v>18.37</v>
      </c>
      <c r="AE443" s="320">
        <v>7.0</v>
      </c>
      <c r="AF443" s="320">
        <v>14.0</v>
      </c>
      <c r="AG443" s="320">
        <v>25.0</v>
      </c>
      <c r="AH443" s="320">
        <v>38.0</v>
      </c>
      <c r="AI443" s="320">
        <v>60.86</v>
      </c>
      <c r="AJ443" s="320">
        <v>24.14</v>
      </c>
      <c r="AK443" s="320">
        <v>8.09</v>
      </c>
      <c r="AL443" s="320">
        <v>0.19</v>
      </c>
      <c r="AM443" s="320">
        <v>23.04</v>
      </c>
      <c r="AN443" s="320">
        <v>90.99</v>
      </c>
      <c r="AO443" s="320">
        <v>77.95</v>
      </c>
      <c r="AP443" s="320">
        <v>17.96</v>
      </c>
    </row>
    <row r="444">
      <c r="A444" s="319" t="s">
        <v>256</v>
      </c>
      <c r="B444" s="328">
        <v>46123.0</v>
      </c>
      <c r="C444" s="319" t="s">
        <v>217</v>
      </c>
      <c r="D444" s="320">
        <v>5247.0</v>
      </c>
      <c r="E444" s="320">
        <v>5.27</v>
      </c>
      <c r="F444" s="320">
        <v>0.0</v>
      </c>
      <c r="G444" s="320">
        <v>0.0</v>
      </c>
      <c r="H444" s="320">
        <v>0.0</v>
      </c>
      <c r="I444" s="329"/>
      <c r="J444" s="320">
        <v>129.77</v>
      </c>
      <c r="K444" s="320">
        <v>70.37</v>
      </c>
      <c r="L444" s="320">
        <v>56.22</v>
      </c>
      <c r="M444" s="320">
        <v>0.799</v>
      </c>
      <c r="N444" s="320">
        <v>0.3827</v>
      </c>
      <c r="O444" s="320">
        <v>0.2779</v>
      </c>
      <c r="P444" s="320">
        <v>1.2515</v>
      </c>
      <c r="Q444" s="320">
        <v>329.71</v>
      </c>
      <c r="R444" s="320">
        <v>215.7</v>
      </c>
      <c r="S444" s="320">
        <v>114.01</v>
      </c>
      <c r="T444" s="320">
        <v>0.0</v>
      </c>
      <c r="U444" s="320">
        <v>329.71</v>
      </c>
      <c r="V444" s="320">
        <v>317.33</v>
      </c>
      <c r="W444" s="320">
        <v>4.5097</v>
      </c>
      <c r="X444" s="320">
        <v>0.0</v>
      </c>
      <c r="Y444" s="320">
        <v>309.0</v>
      </c>
      <c r="Z444" s="320">
        <v>2376.0</v>
      </c>
      <c r="AA444" s="320">
        <v>9198.0</v>
      </c>
      <c r="AB444" s="320">
        <v>59.5743</v>
      </c>
      <c r="AC444" s="320">
        <v>0.83</v>
      </c>
      <c r="AD444" s="320">
        <v>38.48</v>
      </c>
      <c r="AE444" s="320">
        <v>15.0</v>
      </c>
      <c r="AF444" s="320">
        <v>30.0</v>
      </c>
      <c r="AG444" s="320">
        <v>53.0</v>
      </c>
      <c r="AH444" s="320">
        <v>81.0</v>
      </c>
      <c r="AI444" s="320">
        <v>53.19</v>
      </c>
      <c r="AJ444" s="320">
        <v>20.41</v>
      </c>
      <c r="AK444" s="320">
        <v>5.18</v>
      </c>
      <c r="AL444" s="320">
        <v>0.1448</v>
      </c>
      <c r="AM444" s="320">
        <v>23.57</v>
      </c>
      <c r="AN444" s="320">
        <v>192.13</v>
      </c>
      <c r="AO444" s="320">
        <v>82.71</v>
      </c>
      <c r="AP444" s="320">
        <v>19.49</v>
      </c>
    </row>
    <row r="445">
      <c r="A445" s="319" t="s">
        <v>256</v>
      </c>
      <c r="B445" s="328">
        <v>46123.0</v>
      </c>
      <c r="C445" s="319" t="s">
        <v>218</v>
      </c>
      <c r="D445" s="320">
        <v>597.0</v>
      </c>
      <c r="E445" s="320">
        <v>0.6</v>
      </c>
      <c r="F445" s="320">
        <v>0.0</v>
      </c>
      <c r="G445" s="320">
        <v>0.0</v>
      </c>
      <c r="H445" s="320">
        <v>0.0</v>
      </c>
      <c r="I445" s="329"/>
      <c r="J445" s="320">
        <v>236.56</v>
      </c>
      <c r="K445" s="320">
        <v>138.76</v>
      </c>
      <c r="L445" s="320">
        <v>122.94</v>
      </c>
      <c r="M445" s="320">
        <v>0.886</v>
      </c>
      <c r="N445" s="320">
        <v>0.2721</v>
      </c>
      <c r="O445" s="320">
        <v>0.2102</v>
      </c>
      <c r="P445" s="320">
        <v>1.1287</v>
      </c>
      <c r="Q445" s="320">
        <v>666.09</v>
      </c>
      <c r="R445" s="320">
        <v>412.76</v>
      </c>
      <c r="S445" s="320">
        <v>253.32</v>
      </c>
      <c r="T445" s="320">
        <v>0.0</v>
      </c>
      <c r="U445" s="320">
        <v>666.09</v>
      </c>
      <c r="V445" s="320">
        <v>892.96</v>
      </c>
      <c r="W445" s="320">
        <v>6.4352</v>
      </c>
      <c r="X445" s="320">
        <v>0.0</v>
      </c>
      <c r="Y445" s="320">
        <v>1341.0</v>
      </c>
      <c r="Z445" s="320">
        <v>5185.0</v>
      </c>
      <c r="AA445" s="320">
        <v>15244.0</v>
      </c>
      <c r="AB445" s="320">
        <v>63.021</v>
      </c>
      <c r="AC445" s="320">
        <v>0.9045</v>
      </c>
      <c r="AD445" s="320">
        <v>85.93</v>
      </c>
      <c r="AE445" s="320">
        <v>36.0</v>
      </c>
      <c r="AF445" s="320">
        <v>71.0</v>
      </c>
      <c r="AG445" s="320">
        <v>121.0</v>
      </c>
      <c r="AH445" s="320">
        <v>175.0</v>
      </c>
      <c r="AI445" s="320">
        <v>45.9</v>
      </c>
      <c r="AJ445" s="320">
        <v>10.05</v>
      </c>
      <c r="AK445" s="320">
        <v>1.34</v>
      </c>
      <c r="AL445" s="320">
        <v>0.0905</v>
      </c>
      <c r="AM445" s="320">
        <v>25.26</v>
      </c>
      <c r="AN445" s="320">
        <v>387.5</v>
      </c>
      <c r="AO445" s="320">
        <v>86.19</v>
      </c>
      <c r="AP445" s="320">
        <v>21.77</v>
      </c>
    </row>
    <row r="446">
      <c r="A446" s="319" t="s">
        <v>256</v>
      </c>
      <c r="B446" s="328">
        <v>46124.0</v>
      </c>
      <c r="C446" s="319" t="s">
        <v>257</v>
      </c>
      <c r="D446" s="320">
        <v>18985.0</v>
      </c>
      <c r="E446" s="320">
        <v>18.83</v>
      </c>
      <c r="F446" s="320">
        <v>0.0</v>
      </c>
      <c r="G446" s="320">
        <v>0.0</v>
      </c>
      <c r="H446" s="320">
        <v>0.0</v>
      </c>
      <c r="I446" s="329"/>
      <c r="J446" s="320">
        <v>6.0</v>
      </c>
      <c r="K446" s="320">
        <v>2.44</v>
      </c>
      <c r="L446" s="320">
        <v>0.03</v>
      </c>
      <c r="M446" s="320">
        <v>0.0114</v>
      </c>
      <c r="N446" s="320">
        <v>0.9918</v>
      </c>
      <c r="O446" s="320">
        <v>0.9014</v>
      </c>
      <c r="P446" s="320">
        <v>87.9905</v>
      </c>
      <c r="Q446" s="320">
        <v>22.67</v>
      </c>
      <c r="R446" s="320">
        <v>22.57</v>
      </c>
      <c r="S446" s="320">
        <v>0.1</v>
      </c>
      <c r="T446" s="320">
        <v>0.0</v>
      </c>
      <c r="U446" s="320">
        <v>22.67</v>
      </c>
      <c r="V446" s="320">
        <v>1.96</v>
      </c>
      <c r="W446" s="320">
        <v>0.8048</v>
      </c>
      <c r="X446" s="320">
        <v>0.0</v>
      </c>
      <c r="Y446" s="320">
        <v>326.0</v>
      </c>
      <c r="Z446" s="320">
        <v>3971.0</v>
      </c>
      <c r="AA446" s="320">
        <v>15127.0</v>
      </c>
      <c r="AB446" s="320">
        <v>49.3325</v>
      </c>
      <c r="AC446" s="320">
        <v>0.5536</v>
      </c>
      <c r="AD446" s="329"/>
      <c r="AE446" s="329"/>
      <c r="AF446" s="329"/>
      <c r="AG446" s="329"/>
      <c r="AH446" s="329"/>
      <c r="AI446" s="320">
        <v>0.0</v>
      </c>
      <c r="AJ446" s="320">
        <v>0.0</v>
      </c>
      <c r="AK446" s="320">
        <v>0.0</v>
      </c>
      <c r="AL446" s="320">
        <v>0.2884</v>
      </c>
      <c r="AM446" s="320">
        <v>18.43</v>
      </c>
      <c r="AN446" s="320">
        <v>4.15</v>
      </c>
      <c r="AO446" s="329"/>
      <c r="AP446" s="329"/>
    </row>
    <row r="447">
      <c r="A447" s="319" t="s">
        <v>256</v>
      </c>
      <c r="B447" s="328">
        <v>46124.0</v>
      </c>
      <c r="C447" s="319" t="s">
        <v>214</v>
      </c>
      <c r="D447" s="320">
        <v>37676.0</v>
      </c>
      <c r="E447" s="320">
        <v>37.37</v>
      </c>
      <c r="F447" s="320">
        <v>0.0</v>
      </c>
      <c r="G447" s="320">
        <v>0.0</v>
      </c>
      <c r="H447" s="320">
        <v>0.0</v>
      </c>
      <c r="I447" s="329"/>
      <c r="J447" s="320">
        <v>31.28</v>
      </c>
      <c r="K447" s="320">
        <v>14.35</v>
      </c>
      <c r="L447" s="320">
        <v>5.84</v>
      </c>
      <c r="M447" s="320">
        <v>0.4066</v>
      </c>
      <c r="N447" s="320">
        <v>0.7594</v>
      </c>
      <c r="O447" s="320">
        <v>0.5599</v>
      </c>
      <c r="P447" s="320">
        <v>2.4596</v>
      </c>
      <c r="Q447" s="320">
        <v>46.95</v>
      </c>
      <c r="R447" s="320">
        <v>35.09</v>
      </c>
      <c r="S447" s="320">
        <v>11.86</v>
      </c>
      <c r="T447" s="320">
        <v>0.0</v>
      </c>
      <c r="U447" s="320">
        <v>46.94</v>
      </c>
      <c r="V447" s="320">
        <v>51.57</v>
      </c>
      <c r="W447" s="320">
        <v>3.5932</v>
      </c>
      <c r="X447" s="320">
        <v>0.01</v>
      </c>
      <c r="Y447" s="320">
        <v>132.0</v>
      </c>
      <c r="Z447" s="320">
        <v>851.0</v>
      </c>
      <c r="AA447" s="320">
        <v>5847.0</v>
      </c>
      <c r="AB447" s="320">
        <v>48.8139</v>
      </c>
      <c r="AC447" s="320">
        <v>0.5415</v>
      </c>
      <c r="AD447" s="320">
        <v>4.11</v>
      </c>
      <c r="AE447" s="320">
        <v>1.0</v>
      </c>
      <c r="AF447" s="320">
        <v>3.0</v>
      </c>
      <c r="AG447" s="320">
        <v>5.0</v>
      </c>
      <c r="AH447" s="320">
        <v>9.0</v>
      </c>
      <c r="AI447" s="320">
        <v>73.96</v>
      </c>
      <c r="AJ447" s="320">
        <v>31.86</v>
      </c>
      <c r="AK447" s="320">
        <v>8.99</v>
      </c>
      <c r="AL447" s="320">
        <v>0.2668</v>
      </c>
      <c r="AM447" s="320">
        <v>20.78</v>
      </c>
      <c r="AN447" s="320">
        <v>14.31</v>
      </c>
      <c r="AO447" s="320">
        <v>65.5</v>
      </c>
      <c r="AP447" s="320">
        <v>13.61</v>
      </c>
    </row>
    <row r="448">
      <c r="A448" s="319" t="s">
        <v>256</v>
      </c>
      <c r="B448" s="328">
        <v>46124.0</v>
      </c>
      <c r="C448" s="319" t="s">
        <v>215</v>
      </c>
      <c r="D448" s="320">
        <v>24628.0</v>
      </c>
      <c r="E448" s="320">
        <v>24.43</v>
      </c>
      <c r="F448" s="320">
        <v>0.0</v>
      </c>
      <c r="G448" s="320">
        <v>0.0</v>
      </c>
      <c r="H448" s="320">
        <v>0.0</v>
      </c>
      <c r="I448" s="329"/>
      <c r="J448" s="320">
        <v>59.53</v>
      </c>
      <c r="K448" s="320">
        <v>28.52</v>
      </c>
      <c r="L448" s="320">
        <v>14.76</v>
      </c>
      <c r="M448" s="320">
        <v>0.5173</v>
      </c>
      <c r="N448" s="320">
        <v>0.6686</v>
      </c>
      <c r="O448" s="320">
        <v>0.4655</v>
      </c>
      <c r="P448" s="320">
        <v>1.9331</v>
      </c>
      <c r="Q448" s="320">
        <v>83.49</v>
      </c>
      <c r="R448" s="320">
        <v>53.44</v>
      </c>
      <c r="S448" s="320">
        <v>30.05</v>
      </c>
      <c r="T448" s="320">
        <v>0.0</v>
      </c>
      <c r="U448" s="320">
        <v>83.49</v>
      </c>
      <c r="V448" s="320">
        <v>96.93</v>
      </c>
      <c r="W448" s="320">
        <v>3.3981</v>
      </c>
      <c r="X448" s="320">
        <v>0.0</v>
      </c>
      <c r="Y448" s="320">
        <v>110.0</v>
      </c>
      <c r="Z448" s="320">
        <v>621.0</v>
      </c>
      <c r="AA448" s="320">
        <v>4914.0</v>
      </c>
      <c r="AB448" s="320">
        <v>52.2562</v>
      </c>
      <c r="AC448" s="320">
        <v>0.6337</v>
      </c>
      <c r="AD448" s="320">
        <v>9.78</v>
      </c>
      <c r="AE448" s="320">
        <v>4.0</v>
      </c>
      <c r="AF448" s="320">
        <v>8.0</v>
      </c>
      <c r="AG448" s="320">
        <v>13.0</v>
      </c>
      <c r="AH448" s="320">
        <v>20.0</v>
      </c>
      <c r="AI448" s="320">
        <v>61.98</v>
      </c>
      <c r="AJ448" s="320">
        <v>27.2</v>
      </c>
      <c r="AK448" s="320">
        <v>5.29</v>
      </c>
      <c r="AL448" s="320">
        <v>0.22</v>
      </c>
      <c r="AM448" s="320">
        <v>21.68</v>
      </c>
      <c r="AN448" s="320">
        <v>31.75</v>
      </c>
      <c r="AO448" s="320">
        <v>73.83</v>
      </c>
      <c r="AP448" s="320">
        <v>16.01</v>
      </c>
    </row>
    <row r="449">
      <c r="A449" s="319" t="s">
        <v>256</v>
      </c>
      <c r="B449" s="328">
        <v>46124.0</v>
      </c>
      <c r="C449" s="319" t="s">
        <v>216</v>
      </c>
      <c r="D449" s="320">
        <v>13561.0</v>
      </c>
      <c r="E449" s="320">
        <v>13.45</v>
      </c>
      <c r="F449" s="320">
        <v>0.0</v>
      </c>
      <c r="G449" s="320">
        <v>0.0</v>
      </c>
      <c r="H449" s="320">
        <v>0.0</v>
      </c>
      <c r="I449" s="329"/>
      <c r="J449" s="320">
        <v>88.31</v>
      </c>
      <c r="K449" s="320">
        <v>44.79</v>
      </c>
      <c r="L449" s="320">
        <v>28.8</v>
      </c>
      <c r="M449" s="320">
        <v>0.643</v>
      </c>
      <c r="N449" s="320">
        <v>0.5438</v>
      </c>
      <c r="O449" s="320">
        <v>0.3734</v>
      </c>
      <c r="P449" s="320">
        <v>1.5552</v>
      </c>
      <c r="Q449" s="320">
        <v>139.28</v>
      </c>
      <c r="R449" s="320">
        <v>81.03</v>
      </c>
      <c r="S449" s="320">
        <v>58.24</v>
      </c>
      <c r="T449" s="320">
        <v>0.16</v>
      </c>
      <c r="U449" s="320">
        <v>139.11</v>
      </c>
      <c r="V449" s="320">
        <v>170.39</v>
      </c>
      <c r="W449" s="320">
        <v>3.8046</v>
      </c>
      <c r="X449" s="320">
        <v>0.12</v>
      </c>
      <c r="Y449" s="320">
        <v>131.0</v>
      </c>
      <c r="Z449" s="320">
        <v>1026.0</v>
      </c>
      <c r="AA449" s="320">
        <v>6311.0</v>
      </c>
      <c r="AB449" s="320">
        <v>55.6829</v>
      </c>
      <c r="AC449" s="320">
        <v>0.7387</v>
      </c>
      <c r="AD449" s="320">
        <v>18.65</v>
      </c>
      <c r="AE449" s="320">
        <v>8.0</v>
      </c>
      <c r="AF449" s="320">
        <v>14.0</v>
      </c>
      <c r="AG449" s="320">
        <v>25.0</v>
      </c>
      <c r="AH449" s="320">
        <v>39.0</v>
      </c>
      <c r="AI449" s="320">
        <v>60.57</v>
      </c>
      <c r="AJ449" s="320">
        <v>24.67</v>
      </c>
      <c r="AK449" s="320">
        <v>8.74</v>
      </c>
      <c r="AL449" s="320">
        <v>0.1997</v>
      </c>
      <c r="AM449" s="320">
        <v>21.36</v>
      </c>
      <c r="AN449" s="320">
        <v>59.68</v>
      </c>
      <c r="AO449" s="320">
        <v>77.54</v>
      </c>
      <c r="AP449" s="320">
        <v>16.56</v>
      </c>
    </row>
    <row r="450">
      <c r="A450" s="319" t="s">
        <v>256</v>
      </c>
      <c r="B450" s="328">
        <v>46124.0</v>
      </c>
      <c r="C450" s="319" t="s">
        <v>217</v>
      </c>
      <c r="D450" s="320">
        <v>5339.0</v>
      </c>
      <c r="E450" s="320">
        <v>5.3</v>
      </c>
      <c r="F450" s="320">
        <v>0.0</v>
      </c>
      <c r="G450" s="320">
        <v>0.0</v>
      </c>
      <c r="H450" s="320">
        <v>0.0</v>
      </c>
      <c r="I450" s="329"/>
      <c r="J450" s="320">
        <v>132.52</v>
      </c>
      <c r="K450" s="320">
        <v>72.33</v>
      </c>
      <c r="L450" s="320">
        <v>56.19</v>
      </c>
      <c r="M450" s="320">
        <v>0.7769</v>
      </c>
      <c r="N450" s="320">
        <v>0.4016</v>
      </c>
      <c r="O450" s="320">
        <v>0.2845</v>
      </c>
      <c r="P450" s="320">
        <v>1.2872</v>
      </c>
      <c r="Q450" s="320">
        <v>251.25</v>
      </c>
      <c r="R450" s="320">
        <v>136.89</v>
      </c>
      <c r="S450" s="320">
        <v>114.36</v>
      </c>
      <c r="T450" s="320">
        <v>0.0</v>
      </c>
      <c r="U450" s="320">
        <v>251.25</v>
      </c>
      <c r="V450" s="320">
        <v>306.46</v>
      </c>
      <c r="W450" s="320">
        <v>4.2371</v>
      </c>
      <c r="X450" s="320">
        <v>0.0</v>
      </c>
      <c r="Y450" s="320">
        <v>260.0</v>
      </c>
      <c r="Z450" s="320">
        <v>2211.0</v>
      </c>
      <c r="AA450" s="320">
        <v>9518.0</v>
      </c>
      <c r="AB450" s="320">
        <v>59.5866</v>
      </c>
      <c r="AC450" s="320">
        <v>0.8361</v>
      </c>
      <c r="AD450" s="320">
        <v>37.61</v>
      </c>
      <c r="AE450" s="320">
        <v>14.0</v>
      </c>
      <c r="AF450" s="320">
        <v>29.0</v>
      </c>
      <c r="AG450" s="320">
        <v>52.0</v>
      </c>
      <c r="AH450" s="320">
        <v>81.0</v>
      </c>
      <c r="AI450" s="320">
        <v>51.75</v>
      </c>
      <c r="AJ450" s="320">
        <v>19.76</v>
      </c>
      <c r="AK450" s="320">
        <v>4.78</v>
      </c>
      <c r="AL450" s="320">
        <v>0.1497</v>
      </c>
      <c r="AM450" s="320">
        <v>22.4</v>
      </c>
      <c r="AN450" s="320">
        <v>114.49</v>
      </c>
      <c r="AO450" s="320">
        <v>81.72</v>
      </c>
      <c r="AP450" s="320">
        <v>18.31</v>
      </c>
    </row>
    <row r="451">
      <c r="A451" s="319" t="s">
        <v>256</v>
      </c>
      <c r="B451" s="328">
        <v>46124.0</v>
      </c>
      <c r="C451" s="319" t="s">
        <v>218</v>
      </c>
      <c r="D451" s="320">
        <v>624.0</v>
      </c>
      <c r="E451" s="320">
        <v>0.62</v>
      </c>
      <c r="F451" s="320">
        <v>0.0</v>
      </c>
      <c r="G451" s="320">
        <v>0.0</v>
      </c>
      <c r="H451" s="320">
        <v>0.0</v>
      </c>
      <c r="I451" s="329"/>
      <c r="J451" s="320">
        <v>251.04</v>
      </c>
      <c r="K451" s="320">
        <v>144.23</v>
      </c>
      <c r="L451" s="320">
        <v>126.27</v>
      </c>
      <c r="M451" s="320">
        <v>0.8754</v>
      </c>
      <c r="N451" s="320">
        <v>0.2835</v>
      </c>
      <c r="O451" s="320">
        <v>0.2149</v>
      </c>
      <c r="P451" s="320">
        <v>1.1423</v>
      </c>
      <c r="Q451" s="320">
        <v>525.67</v>
      </c>
      <c r="R451" s="320">
        <v>264.54</v>
      </c>
      <c r="S451" s="320">
        <v>261.13</v>
      </c>
      <c r="T451" s="320">
        <v>0.0</v>
      </c>
      <c r="U451" s="320">
        <v>525.67</v>
      </c>
      <c r="V451" s="320">
        <v>805.77</v>
      </c>
      <c r="W451" s="320">
        <v>5.5866</v>
      </c>
      <c r="X451" s="320">
        <v>0.0</v>
      </c>
      <c r="Y451" s="320">
        <v>878.0</v>
      </c>
      <c r="Z451" s="320">
        <v>4763.0</v>
      </c>
      <c r="AA451" s="320">
        <v>13610.0</v>
      </c>
      <c r="AB451" s="320">
        <v>63.5362</v>
      </c>
      <c r="AC451" s="320">
        <v>0.9037</v>
      </c>
      <c r="AD451" s="320">
        <v>87.93</v>
      </c>
      <c r="AE451" s="320">
        <v>36.0</v>
      </c>
      <c r="AF451" s="320">
        <v>69.0</v>
      </c>
      <c r="AG451" s="320">
        <v>121.0</v>
      </c>
      <c r="AH451" s="320">
        <v>185.0</v>
      </c>
      <c r="AI451" s="320">
        <v>44.07</v>
      </c>
      <c r="AJ451" s="320">
        <v>11.22</v>
      </c>
      <c r="AK451" s="320">
        <v>2.56</v>
      </c>
      <c r="AL451" s="320">
        <v>0.0978</v>
      </c>
      <c r="AM451" s="320">
        <v>22.11</v>
      </c>
      <c r="AN451" s="320">
        <v>242.44</v>
      </c>
      <c r="AO451" s="320">
        <v>84.13</v>
      </c>
      <c r="AP451" s="320">
        <v>18.6</v>
      </c>
    </row>
    <row r="452">
      <c r="A452" s="319" t="s">
        <v>256</v>
      </c>
      <c r="B452" s="328">
        <v>46125.0</v>
      </c>
      <c r="C452" s="319" t="s">
        <v>257</v>
      </c>
      <c r="D452" s="320">
        <v>19181.0</v>
      </c>
      <c r="E452" s="320">
        <v>17.96</v>
      </c>
      <c r="F452" s="320">
        <v>0.0</v>
      </c>
      <c r="G452" s="320">
        <v>0.0</v>
      </c>
      <c r="H452" s="320">
        <v>0.0</v>
      </c>
      <c r="I452" s="329"/>
      <c r="J452" s="320">
        <v>5.59</v>
      </c>
      <c r="K452" s="320">
        <v>2.21</v>
      </c>
      <c r="L452" s="320">
        <v>0.07</v>
      </c>
      <c r="M452" s="320">
        <v>0.033</v>
      </c>
      <c r="N452" s="320">
        <v>0.9745</v>
      </c>
      <c r="O452" s="320">
        <v>0.7582</v>
      </c>
      <c r="P452" s="320">
        <v>30.3307</v>
      </c>
      <c r="Q452" s="320">
        <v>35.48</v>
      </c>
      <c r="R452" s="320">
        <v>35.34</v>
      </c>
      <c r="S452" s="320">
        <v>0.14</v>
      </c>
      <c r="T452" s="320">
        <v>0.0</v>
      </c>
      <c r="U452" s="320">
        <v>35.48</v>
      </c>
      <c r="V452" s="320">
        <v>1.89</v>
      </c>
      <c r="W452" s="320">
        <v>0.8537</v>
      </c>
      <c r="X452" s="320">
        <v>0.0</v>
      </c>
      <c r="Y452" s="320">
        <v>456.0</v>
      </c>
      <c r="Z452" s="320">
        <v>4520.0</v>
      </c>
      <c r="AA452" s="320">
        <v>16163.0</v>
      </c>
      <c r="AB452" s="320">
        <v>49.5916</v>
      </c>
      <c r="AC452" s="320">
        <v>0.5555</v>
      </c>
      <c r="AD452" s="329"/>
      <c r="AE452" s="329"/>
      <c r="AF452" s="329"/>
      <c r="AG452" s="329"/>
      <c r="AH452" s="329"/>
      <c r="AI452" s="320">
        <v>0.0</v>
      </c>
      <c r="AJ452" s="320">
        <v>0.0</v>
      </c>
      <c r="AK452" s="320">
        <v>0.0</v>
      </c>
      <c r="AL452" s="320">
        <v>0.2777</v>
      </c>
      <c r="AM452" s="320">
        <v>17.29</v>
      </c>
      <c r="AN452" s="320">
        <v>18.05</v>
      </c>
      <c r="AO452" s="329"/>
      <c r="AP452" s="329"/>
    </row>
    <row r="453">
      <c r="A453" s="319" t="s">
        <v>256</v>
      </c>
      <c r="B453" s="328">
        <v>46125.0</v>
      </c>
      <c r="C453" s="319" t="s">
        <v>214</v>
      </c>
      <c r="D453" s="320">
        <v>38346.0</v>
      </c>
      <c r="E453" s="320">
        <v>35.91</v>
      </c>
      <c r="F453" s="320">
        <v>0.0</v>
      </c>
      <c r="G453" s="320">
        <v>0.0</v>
      </c>
      <c r="H453" s="320">
        <v>0.0</v>
      </c>
      <c r="I453" s="329"/>
      <c r="J453" s="320">
        <v>31.62</v>
      </c>
      <c r="K453" s="320">
        <v>14.35</v>
      </c>
      <c r="L453" s="320">
        <v>5.87</v>
      </c>
      <c r="M453" s="320">
        <v>0.4095</v>
      </c>
      <c r="N453" s="320">
        <v>0.7624</v>
      </c>
      <c r="O453" s="320">
        <v>0.5643</v>
      </c>
      <c r="P453" s="320">
        <v>2.4419</v>
      </c>
      <c r="Q453" s="320">
        <v>74.69</v>
      </c>
      <c r="R453" s="320">
        <v>63.07</v>
      </c>
      <c r="S453" s="320">
        <v>11.62</v>
      </c>
      <c r="T453" s="320">
        <v>0.0</v>
      </c>
      <c r="U453" s="320">
        <v>74.69</v>
      </c>
      <c r="V453" s="320">
        <v>59.39</v>
      </c>
      <c r="W453" s="320">
        <v>4.1397</v>
      </c>
      <c r="X453" s="320">
        <v>0.0</v>
      </c>
      <c r="Y453" s="320">
        <v>156.0</v>
      </c>
      <c r="Z453" s="320">
        <v>865.0</v>
      </c>
      <c r="AA453" s="320">
        <v>5731.0</v>
      </c>
      <c r="AB453" s="320">
        <v>48.8119</v>
      </c>
      <c r="AC453" s="320">
        <v>0.5298</v>
      </c>
      <c r="AD453" s="320">
        <v>4.1</v>
      </c>
      <c r="AE453" s="320">
        <v>1.0</v>
      </c>
      <c r="AF453" s="320">
        <v>3.0</v>
      </c>
      <c r="AG453" s="320">
        <v>5.0</v>
      </c>
      <c r="AH453" s="320">
        <v>9.0</v>
      </c>
      <c r="AI453" s="320">
        <v>74.48</v>
      </c>
      <c r="AJ453" s="320">
        <v>31.94</v>
      </c>
      <c r="AK453" s="320">
        <v>8.7</v>
      </c>
      <c r="AL453" s="320">
        <v>0.2363</v>
      </c>
      <c r="AM453" s="320">
        <v>18.42</v>
      </c>
      <c r="AN453" s="320">
        <v>44.65</v>
      </c>
      <c r="AO453" s="320">
        <v>65.82</v>
      </c>
      <c r="AP453" s="320">
        <v>12.12</v>
      </c>
    </row>
    <row r="454">
      <c r="A454" s="319" t="s">
        <v>256</v>
      </c>
      <c r="B454" s="328">
        <v>46125.0</v>
      </c>
      <c r="C454" s="319" t="s">
        <v>215</v>
      </c>
      <c r="D454" s="320">
        <v>27022.0</v>
      </c>
      <c r="E454" s="320">
        <v>25.31</v>
      </c>
      <c r="F454" s="320">
        <v>0.0</v>
      </c>
      <c r="G454" s="320">
        <v>0.0</v>
      </c>
      <c r="H454" s="320">
        <v>0.0</v>
      </c>
      <c r="I454" s="329"/>
      <c r="J454" s="320">
        <v>62.05</v>
      </c>
      <c r="K454" s="320">
        <v>29.3</v>
      </c>
      <c r="L454" s="320">
        <v>15.58</v>
      </c>
      <c r="M454" s="320">
        <v>0.5317</v>
      </c>
      <c r="N454" s="320">
        <v>0.6666</v>
      </c>
      <c r="O454" s="320">
        <v>0.4691</v>
      </c>
      <c r="P454" s="320">
        <v>1.8806</v>
      </c>
      <c r="Q454" s="320">
        <v>139.34</v>
      </c>
      <c r="R454" s="320">
        <v>110.07</v>
      </c>
      <c r="S454" s="320">
        <v>29.27</v>
      </c>
      <c r="T454" s="320">
        <v>0.01</v>
      </c>
      <c r="U454" s="320">
        <v>139.33</v>
      </c>
      <c r="V454" s="320">
        <v>120.88</v>
      </c>
      <c r="W454" s="320">
        <v>4.1254</v>
      </c>
      <c r="X454" s="320">
        <v>0.01</v>
      </c>
      <c r="Y454" s="320">
        <v>137.0</v>
      </c>
      <c r="Z454" s="320">
        <v>704.0</v>
      </c>
      <c r="AA454" s="320">
        <v>5651.0</v>
      </c>
      <c r="AB454" s="320">
        <v>52.023</v>
      </c>
      <c r="AC454" s="320">
        <v>0.5771</v>
      </c>
      <c r="AD454" s="320">
        <v>10.03</v>
      </c>
      <c r="AE454" s="320">
        <v>4.0</v>
      </c>
      <c r="AF454" s="320">
        <v>8.0</v>
      </c>
      <c r="AG454" s="320">
        <v>14.0</v>
      </c>
      <c r="AH454" s="320">
        <v>21.0</v>
      </c>
      <c r="AI454" s="320">
        <v>63.45</v>
      </c>
      <c r="AJ454" s="320">
        <v>29.01</v>
      </c>
      <c r="AK454" s="320">
        <v>5.58</v>
      </c>
      <c r="AL454" s="320">
        <v>0.1777</v>
      </c>
      <c r="AM454" s="320">
        <v>19.21</v>
      </c>
      <c r="AN454" s="320">
        <v>90.86</v>
      </c>
      <c r="AO454" s="320">
        <v>71.42</v>
      </c>
      <c r="AP454" s="320">
        <v>13.72</v>
      </c>
    </row>
    <row r="455">
      <c r="A455" s="319" t="s">
        <v>256</v>
      </c>
      <c r="B455" s="328">
        <v>46125.0</v>
      </c>
      <c r="C455" s="319" t="s">
        <v>216</v>
      </c>
      <c r="D455" s="320">
        <v>15551.0</v>
      </c>
      <c r="E455" s="320">
        <v>14.56</v>
      </c>
      <c r="F455" s="320">
        <v>0.0</v>
      </c>
      <c r="G455" s="320">
        <v>0.0</v>
      </c>
      <c r="H455" s="320">
        <v>0.0</v>
      </c>
      <c r="I455" s="329"/>
      <c r="J455" s="320">
        <v>92.89</v>
      </c>
      <c r="K455" s="320">
        <v>46.06</v>
      </c>
      <c r="L455" s="320">
        <v>30.86</v>
      </c>
      <c r="M455" s="320">
        <v>0.67</v>
      </c>
      <c r="N455" s="320">
        <v>0.5348</v>
      </c>
      <c r="O455" s="320">
        <v>0.3749</v>
      </c>
      <c r="P455" s="320">
        <v>1.4926</v>
      </c>
      <c r="Q455" s="320">
        <v>237.26</v>
      </c>
      <c r="R455" s="320">
        <v>178.6</v>
      </c>
      <c r="S455" s="320">
        <v>58.67</v>
      </c>
      <c r="T455" s="320">
        <v>0.0</v>
      </c>
      <c r="U455" s="320">
        <v>237.26</v>
      </c>
      <c r="V455" s="320">
        <v>218.26</v>
      </c>
      <c r="W455" s="320">
        <v>4.7382</v>
      </c>
      <c r="X455" s="320">
        <v>0.0</v>
      </c>
      <c r="Y455" s="320">
        <v>177.0</v>
      </c>
      <c r="Z455" s="320">
        <v>1042.0</v>
      </c>
      <c r="AA455" s="320">
        <v>7485.0</v>
      </c>
      <c r="AB455" s="320">
        <v>55.3402</v>
      </c>
      <c r="AC455" s="320">
        <v>0.658</v>
      </c>
      <c r="AD455" s="320">
        <v>19.67</v>
      </c>
      <c r="AE455" s="320">
        <v>9.0</v>
      </c>
      <c r="AF455" s="320">
        <v>16.0</v>
      </c>
      <c r="AG455" s="320">
        <v>27.0</v>
      </c>
      <c r="AH455" s="320">
        <v>39.0</v>
      </c>
      <c r="AI455" s="320">
        <v>65.99</v>
      </c>
      <c r="AJ455" s="320">
        <v>28.23</v>
      </c>
      <c r="AK455" s="320">
        <v>7.56</v>
      </c>
      <c r="AL455" s="320">
        <v>0.15</v>
      </c>
      <c r="AM455" s="320">
        <v>20.08</v>
      </c>
      <c r="AN455" s="320">
        <v>158.52</v>
      </c>
      <c r="AO455" s="320">
        <v>72.62</v>
      </c>
      <c r="AP455" s="320">
        <v>14.58</v>
      </c>
    </row>
    <row r="456">
      <c r="A456" s="319" t="s">
        <v>256</v>
      </c>
      <c r="B456" s="328">
        <v>46125.0</v>
      </c>
      <c r="C456" s="319" t="s">
        <v>217</v>
      </c>
      <c r="D456" s="320">
        <v>6061.0</v>
      </c>
      <c r="E456" s="320">
        <v>5.68</v>
      </c>
      <c r="F456" s="320">
        <v>0.0</v>
      </c>
      <c r="G456" s="320">
        <v>0.0</v>
      </c>
      <c r="H456" s="320">
        <v>0.0</v>
      </c>
      <c r="I456" s="329"/>
      <c r="J456" s="320">
        <v>146.84</v>
      </c>
      <c r="K456" s="320">
        <v>78.94</v>
      </c>
      <c r="L456" s="320">
        <v>62.6</v>
      </c>
      <c r="M456" s="320">
        <v>0.7929</v>
      </c>
      <c r="N456" s="320">
        <v>0.3976</v>
      </c>
      <c r="O456" s="320">
        <v>0.2881</v>
      </c>
      <c r="P456" s="320">
        <v>1.2611</v>
      </c>
      <c r="Q456" s="320">
        <v>422.99</v>
      </c>
      <c r="R456" s="320">
        <v>307.16</v>
      </c>
      <c r="S456" s="320">
        <v>115.83</v>
      </c>
      <c r="T456" s="320">
        <v>0.0</v>
      </c>
      <c r="U456" s="320">
        <v>422.99</v>
      </c>
      <c r="V456" s="320">
        <v>388.85</v>
      </c>
      <c r="W456" s="320">
        <v>4.9259</v>
      </c>
      <c r="X456" s="320">
        <v>0.0</v>
      </c>
      <c r="Y456" s="320">
        <v>346.0</v>
      </c>
      <c r="Z456" s="320">
        <v>2619.0</v>
      </c>
      <c r="AA456" s="320">
        <v>11241.0</v>
      </c>
      <c r="AB456" s="320">
        <v>58.8889</v>
      </c>
      <c r="AC456" s="320">
        <v>0.7419</v>
      </c>
      <c r="AD456" s="320">
        <v>39.03</v>
      </c>
      <c r="AE456" s="320">
        <v>17.0</v>
      </c>
      <c r="AF456" s="320">
        <v>32.0</v>
      </c>
      <c r="AG456" s="320">
        <v>51.0</v>
      </c>
      <c r="AH456" s="320">
        <v>79.0</v>
      </c>
      <c r="AI456" s="320">
        <v>57.4</v>
      </c>
      <c r="AJ456" s="320">
        <v>19.24</v>
      </c>
      <c r="AK456" s="320">
        <v>4.95</v>
      </c>
      <c r="AL456" s="320">
        <v>0.114</v>
      </c>
      <c r="AM456" s="320">
        <v>21.07</v>
      </c>
      <c r="AN456" s="320">
        <v>286.08</v>
      </c>
      <c r="AO456" s="320">
        <v>75.81</v>
      </c>
      <c r="AP456" s="320">
        <v>15.97</v>
      </c>
    </row>
    <row r="457">
      <c r="A457" s="319" t="s">
        <v>256</v>
      </c>
      <c r="B457" s="328">
        <v>46125.0</v>
      </c>
      <c r="C457" s="319" t="s">
        <v>218</v>
      </c>
      <c r="D457" s="320">
        <v>615.0</v>
      </c>
      <c r="E457" s="320">
        <v>0.58</v>
      </c>
      <c r="F457" s="320">
        <v>0.0</v>
      </c>
      <c r="G457" s="320">
        <v>0.0</v>
      </c>
      <c r="H457" s="320">
        <v>0.0</v>
      </c>
      <c r="I457" s="329"/>
      <c r="J457" s="320">
        <v>259.98</v>
      </c>
      <c r="K457" s="320">
        <v>150.13</v>
      </c>
      <c r="L457" s="320">
        <v>131.36</v>
      </c>
      <c r="M457" s="320">
        <v>0.875</v>
      </c>
      <c r="N457" s="320">
        <v>0.2824</v>
      </c>
      <c r="O457" s="320">
        <v>0.2139</v>
      </c>
      <c r="P457" s="320">
        <v>1.1429</v>
      </c>
      <c r="Q457" s="320">
        <v>764.15</v>
      </c>
      <c r="R457" s="320">
        <v>495.31</v>
      </c>
      <c r="S457" s="320">
        <v>268.84</v>
      </c>
      <c r="T457" s="320">
        <v>0.0</v>
      </c>
      <c r="U457" s="320">
        <v>764.15</v>
      </c>
      <c r="V457" s="320">
        <v>755.85</v>
      </c>
      <c r="W457" s="320">
        <v>5.0345</v>
      </c>
      <c r="X457" s="320">
        <v>0.0</v>
      </c>
      <c r="Y457" s="320">
        <v>952.0</v>
      </c>
      <c r="Z457" s="320">
        <v>4735.0</v>
      </c>
      <c r="AA457" s="320">
        <v>13618.0</v>
      </c>
      <c r="AB457" s="320">
        <v>63.6807</v>
      </c>
      <c r="AC457" s="320">
        <v>0.9012</v>
      </c>
      <c r="AD457" s="320">
        <v>92.35</v>
      </c>
      <c r="AE457" s="320">
        <v>39.0</v>
      </c>
      <c r="AF457" s="320">
        <v>80.0</v>
      </c>
      <c r="AG457" s="320">
        <v>131.0</v>
      </c>
      <c r="AH457" s="320">
        <v>180.0</v>
      </c>
      <c r="AI457" s="320">
        <v>50.24</v>
      </c>
      <c r="AJ457" s="320">
        <v>12.2</v>
      </c>
      <c r="AK457" s="320">
        <v>1.46</v>
      </c>
      <c r="AL457" s="320">
        <v>0.0667</v>
      </c>
      <c r="AM457" s="320">
        <v>20.69</v>
      </c>
      <c r="AN457" s="320">
        <v>474.62</v>
      </c>
      <c r="AO457" s="320">
        <v>86.81</v>
      </c>
      <c r="AP457" s="320">
        <v>17.96</v>
      </c>
    </row>
    <row r="458">
      <c r="A458" s="319" t="s">
        <v>256</v>
      </c>
      <c r="B458" s="328">
        <v>46126.0</v>
      </c>
      <c r="C458" s="319" t="s">
        <v>257</v>
      </c>
      <c r="D458" s="320">
        <v>19818.0</v>
      </c>
      <c r="E458" s="320">
        <v>18.64</v>
      </c>
      <c r="F458" s="320">
        <v>0.0</v>
      </c>
      <c r="G458" s="320">
        <v>0.0</v>
      </c>
      <c r="H458" s="320">
        <v>0.0</v>
      </c>
      <c r="I458" s="329"/>
      <c r="J458" s="320">
        <v>6.12</v>
      </c>
      <c r="K458" s="320">
        <v>2.45</v>
      </c>
      <c r="L458" s="320">
        <v>0.05</v>
      </c>
      <c r="M458" s="320">
        <v>0.0188</v>
      </c>
      <c r="N458" s="320">
        <v>0.9844</v>
      </c>
      <c r="O458" s="320">
        <v>0.8168</v>
      </c>
      <c r="P458" s="320">
        <v>53.2722</v>
      </c>
      <c r="Q458" s="320">
        <v>25.72</v>
      </c>
      <c r="R458" s="320">
        <v>25.6</v>
      </c>
      <c r="S458" s="320">
        <v>0.13</v>
      </c>
      <c r="T458" s="320">
        <v>0.0</v>
      </c>
      <c r="U458" s="320">
        <v>25.72</v>
      </c>
      <c r="V458" s="320">
        <v>2.34</v>
      </c>
      <c r="W458" s="320">
        <v>0.9551</v>
      </c>
      <c r="X458" s="320">
        <v>0.0</v>
      </c>
      <c r="Y458" s="320">
        <v>386.0</v>
      </c>
      <c r="Z458" s="320">
        <v>4112.0</v>
      </c>
      <c r="AA458" s="320">
        <v>15517.0</v>
      </c>
      <c r="AB458" s="320">
        <v>49.159</v>
      </c>
      <c r="AC458" s="320">
        <v>0.5411</v>
      </c>
      <c r="AD458" s="329"/>
      <c r="AE458" s="329"/>
      <c r="AF458" s="329"/>
      <c r="AG458" s="329"/>
      <c r="AH458" s="329"/>
      <c r="AI458" s="320">
        <v>0.0</v>
      </c>
      <c r="AJ458" s="320">
        <v>0.0</v>
      </c>
      <c r="AK458" s="320">
        <v>0.0</v>
      </c>
      <c r="AL458" s="320">
        <v>0.2777</v>
      </c>
      <c r="AM458" s="320">
        <v>15.62</v>
      </c>
      <c r="AN458" s="320">
        <v>9.98</v>
      </c>
      <c r="AO458" s="329"/>
      <c r="AP458" s="329"/>
    </row>
    <row r="459">
      <c r="A459" s="319" t="s">
        <v>256</v>
      </c>
      <c r="B459" s="328">
        <v>46126.0</v>
      </c>
      <c r="C459" s="319" t="s">
        <v>214</v>
      </c>
      <c r="D459" s="320">
        <v>38269.0</v>
      </c>
      <c r="E459" s="320">
        <v>36.0</v>
      </c>
      <c r="F459" s="320">
        <v>0.0</v>
      </c>
      <c r="G459" s="320">
        <v>0.0</v>
      </c>
      <c r="H459" s="320">
        <v>0.0</v>
      </c>
      <c r="I459" s="329"/>
      <c r="J459" s="320">
        <v>28.41</v>
      </c>
      <c r="K459" s="320">
        <v>12.79</v>
      </c>
      <c r="L459" s="320">
        <v>5.53</v>
      </c>
      <c r="M459" s="320">
        <v>0.4325</v>
      </c>
      <c r="N459" s="320">
        <v>0.7469</v>
      </c>
      <c r="O459" s="320">
        <v>0.5569</v>
      </c>
      <c r="P459" s="320">
        <v>2.3121</v>
      </c>
      <c r="Q459" s="320">
        <v>53.0</v>
      </c>
      <c r="R459" s="320">
        <v>41.71</v>
      </c>
      <c r="S459" s="320">
        <v>11.3</v>
      </c>
      <c r="T459" s="320">
        <v>0.0</v>
      </c>
      <c r="U459" s="320">
        <v>53.0</v>
      </c>
      <c r="V459" s="320">
        <v>55.34</v>
      </c>
      <c r="W459" s="320">
        <v>4.3268</v>
      </c>
      <c r="X459" s="320">
        <v>0.0</v>
      </c>
      <c r="Y459" s="320">
        <v>156.0</v>
      </c>
      <c r="Z459" s="320">
        <v>889.0</v>
      </c>
      <c r="AA459" s="320">
        <v>6054.0</v>
      </c>
      <c r="AB459" s="320">
        <v>48.8365</v>
      </c>
      <c r="AC459" s="320">
        <v>0.5303</v>
      </c>
      <c r="AD459" s="320">
        <v>4.07</v>
      </c>
      <c r="AE459" s="320">
        <v>1.0</v>
      </c>
      <c r="AF459" s="320">
        <v>3.0</v>
      </c>
      <c r="AG459" s="320">
        <v>5.0</v>
      </c>
      <c r="AH459" s="320">
        <v>9.0</v>
      </c>
      <c r="AI459" s="320">
        <v>72.87</v>
      </c>
      <c r="AJ459" s="320">
        <v>31.39</v>
      </c>
      <c r="AK459" s="320">
        <v>9.08</v>
      </c>
      <c r="AL459" s="320">
        <v>0.2371</v>
      </c>
      <c r="AM459" s="320">
        <v>17.95</v>
      </c>
      <c r="AN459" s="320">
        <v>23.76</v>
      </c>
      <c r="AO459" s="320">
        <v>65.57</v>
      </c>
      <c r="AP459" s="320">
        <v>11.77</v>
      </c>
    </row>
    <row r="460">
      <c r="A460" s="319" t="s">
        <v>256</v>
      </c>
      <c r="B460" s="328">
        <v>46126.0</v>
      </c>
      <c r="C460" s="319" t="s">
        <v>215</v>
      </c>
      <c r="D460" s="320">
        <v>26942.0</v>
      </c>
      <c r="E460" s="320">
        <v>25.34</v>
      </c>
      <c r="F460" s="320">
        <v>0.0</v>
      </c>
      <c r="G460" s="320">
        <v>0.0</v>
      </c>
      <c r="H460" s="320">
        <v>0.0</v>
      </c>
      <c r="I460" s="329"/>
      <c r="J460" s="320">
        <v>54.25</v>
      </c>
      <c r="K460" s="320">
        <v>25.54</v>
      </c>
      <c r="L460" s="320">
        <v>14.19</v>
      </c>
      <c r="M460" s="320">
        <v>0.5554</v>
      </c>
      <c r="N460" s="320">
        <v>0.649</v>
      </c>
      <c r="O460" s="320">
        <v>0.4595</v>
      </c>
      <c r="P460" s="320">
        <v>1.8005</v>
      </c>
      <c r="Q460" s="320">
        <v>103.12</v>
      </c>
      <c r="R460" s="320">
        <v>74.92</v>
      </c>
      <c r="S460" s="320">
        <v>28.2</v>
      </c>
      <c r="T460" s="320">
        <v>0.0</v>
      </c>
      <c r="U460" s="320">
        <v>103.12</v>
      </c>
      <c r="V460" s="320">
        <v>107.75</v>
      </c>
      <c r="W460" s="320">
        <v>4.2186</v>
      </c>
      <c r="X460" s="320">
        <v>0.0</v>
      </c>
      <c r="Y460" s="320">
        <v>133.0</v>
      </c>
      <c r="Z460" s="320">
        <v>761.0</v>
      </c>
      <c r="AA460" s="320">
        <v>5979.0</v>
      </c>
      <c r="AB460" s="320">
        <v>52.1832</v>
      </c>
      <c r="AC460" s="320">
        <v>0.5946</v>
      </c>
      <c r="AD460" s="320">
        <v>9.5</v>
      </c>
      <c r="AE460" s="320">
        <v>3.0</v>
      </c>
      <c r="AF460" s="320">
        <v>8.0</v>
      </c>
      <c r="AG460" s="320">
        <v>13.0</v>
      </c>
      <c r="AH460" s="320">
        <v>20.0</v>
      </c>
      <c r="AI460" s="320">
        <v>60.8</v>
      </c>
      <c r="AJ460" s="320">
        <v>26.84</v>
      </c>
      <c r="AK460" s="320">
        <v>4.71</v>
      </c>
      <c r="AL460" s="320">
        <v>0.1768</v>
      </c>
      <c r="AM460" s="320">
        <v>18.48</v>
      </c>
      <c r="AN460" s="320">
        <v>56.43</v>
      </c>
      <c r="AO460" s="320">
        <v>71.97</v>
      </c>
      <c r="AP460" s="320">
        <v>13.3</v>
      </c>
    </row>
    <row r="461">
      <c r="A461" s="319" t="s">
        <v>256</v>
      </c>
      <c r="B461" s="328">
        <v>46126.0</v>
      </c>
      <c r="C461" s="319" t="s">
        <v>216</v>
      </c>
      <c r="D461" s="320">
        <v>15198.0</v>
      </c>
      <c r="E461" s="320">
        <v>14.3</v>
      </c>
      <c r="F461" s="320">
        <v>0.0</v>
      </c>
      <c r="G461" s="320">
        <v>0.0</v>
      </c>
      <c r="H461" s="320">
        <v>0.0</v>
      </c>
      <c r="I461" s="329"/>
      <c r="J461" s="320">
        <v>83.66</v>
      </c>
      <c r="K461" s="320">
        <v>41.93</v>
      </c>
      <c r="L461" s="320">
        <v>28.49</v>
      </c>
      <c r="M461" s="320">
        <v>0.6796</v>
      </c>
      <c r="N461" s="320">
        <v>0.5214</v>
      </c>
      <c r="O461" s="320">
        <v>0.3631</v>
      </c>
      <c r="P461" s="320">
        <v>1.4715</v>
      </c>
      <c r="Q461" s="320">
        <v>188.49</v>
      </c>
      <c r="R461" s="320">
        <v>135.07</v>
      </c>
      <c r="S461" s="320">
        <v>53.42</v>
      </c>
      <c r="T461" s="320">
        <v>0.0</v>
      </c>
      <c r="U461" s="320">
        <v>188.49</v>
      </c>
      <c r="V461" s="320">
        <v>194.15</v>
      </c>
      <c r="W461" s="320">
        <v>4.6308</v>
      </c>
      <c r="X461" s="320">
        <v>0.0</v>
      </c>
      <c r="Y461" s="320">
        <v>171.0</v>
      </c>
      <c r="Z461" s="320">
        <v>1114.0</v>
      </c>
      <c r="AA461" s="320">
        <v>7208.0</v>
      </c>
      <c r="AB461" s="320">
        <v>55.4376</v>
      </c>
      <c r="AC461" s="320">
        <v>0.6821</v>
      </c>
      <c r="AD461" s="320">
        <v>17.49</v>
      </c>
      <c r="AE461" s="320">
        <v>7.0</v>
      </c>
      <c r="AF461" s="320">
        <v>14.0</v>
      </c>
      <c r="AG461" s="320">
        <v>24.0</v>
      </c>
      <c r="AH461" s="320">
        <v>36.0</v>
      </c>
      <c r="AI461" s="320">
        <v>59.28</v>
      </c>
      <c r="AJ461" s="320">
        <v>22.7</v>
      </c>
      <c r="AK461" s="320">
        <v>6.52</v>
      </c>
      <c r="AL461" s="320">
        <v>0.1541</v>
      </c>
      <c r="AM461" s="320">
        <v>18.73</v>
      </c>
      <c r="AN461" s="320">
        <v>116.34</v>
      </c>
      <c r="AO461" s="320">
        <v>74.38</v>
      </c>
      <c r="AP461" s="320">
        <v>13.93</v>
      </c>
    </row>
    <row r="462">
      <c r="A462" s="319" t="s">
        <v>256</v>
      </c>
      <c r="B462" s="328">
        <v>46126.0</v>
      </c>
      <c r="C462" s="319" t="s">
        <v>217</v>
      </c>
      <c r="D462" s="320">
        <v>5443.0</v>
      </c>
      <c r="E462" s="320">
        <v>5.12</v>
      </c>
      <c r="F462" s="320">
        <v>0.0</v>
      </c>
      <c r="G462" s="320">
        <v>0.0</v>
      </c>
      <c r="H462" s="320">
        <v>0.0</v>
      </c>
      <c r="I462" s="329"/>
      <c r="J462" s="320">
        <v>127.85</v>
      </c>
      <c r="K462" s="320">
        <v>69.74</v>
      </c>
      <c r="L462" s="320">
        <v>56.0</v>
      </c>
      <c r="M462" s="320">
        <v>0.8031</v>
      </c>
      <c r="N462" s="320">
        <v>0.3833</v>
      </c>
      <c r="O462" s="320">
        <v>0.2795</v>
      </c>
      <c r="P462" s="320">
        <v>1.2452</v>
      </c>
      <c r="Q462" s="320">
        <v>359.27</v>
      </c>
      <c r="R462" s="320">
        <v>246.37</v>
      </c>
      <c r="S462" s="320">
        <v>112.89</v>
      </c>
      <c r="T462" s="320">
        <v>0.0</v>
      </c>
      <c r="U462" s="320">
        <v>359.27</v>
      </c>
      <c r="V462" s="320">
        <v>348.69</v>
      </c>
      <c r="W462" s="320">
        <v>4.9998</v>
      </c>
      <c r="X462" s="320">
        <v>0.0</v>
      </c>
      <c r="Y462" s="320">
        <v>323.0</v>
      </c>
      <c r="Z462" s="320">
        <v>2285.0</v>
      </c>
      <c r="AA462" s="320">
        <v>9582.0</v>
      </c>
      <c r="AB462" s="320">
        <v>59.5898</v>
      </c>
      <c r="AC462" s="320">
        <v>0.8358</v>
      </c>
      <c r="AD462" s="320">
        <v>39.09</v>
      </c>
      <c r="AE462" s="320">
        <v>16.0</v>
      </c>
      <c r="AF462" s="320">
        <v>31.0</v>
      </c>
      <c r="AG462" s="320">
        <v>55.0</v>
      </c>
      <c r="AH462" s="320">
        <v>80.0</v>
      </c>
      <c r="AI462" s="320">
        <v>55.32</v>
      </c>
      <c r="AJ462" s="320">
        <v>20.69</v>
      </c>
      <c r="AK462" s="320">
        <v>4.94</v>
      </c>
      <c r="AL462" s="320">
        <v>0.1231</v>
      </c>
      <c r="AM462" s="320">
        <v>20.62</v>
      </c>
      <c r="AN462" s="320">
        <v>225.75</v>
      </c>
      <c r="AO462" s="320">
        <v>83.16</v>
      </c>
      <c r="AP462" s="320">
        <v>17.15</v>
      </c>
    </row>
    <row r="463">
      <c r="A463" s="319" t="s">
        <v>256</v>
      </c>
      <c r="B463" s="328">
        <v>46126.0</v>
      </c>
      <c r="C463" s="319" t="s">
        <v>218</v>
      </c>
      <c r="D463" s="320">
        <v>644.0</v>
      </c>
      <c r="E463" s="320">
        <v>0.61</v>
      </c>
      <c r="F463" s="320">
        <v>0.0</v>
      </c>
      <c r="G463" s="320">
        <v>0.0</v>
      </c>
      <c r="H463" s="320">
        <v>0.0</v>
      </c>
      <c r="I463" s="329"/>
      <c r="J463" s="320">
        <v>245.01</v>
      </c>
      <c r="K463" s="320">
        <v>144.52</v>
      </c>
      <c r="L463" s="320">
        <v>128.66</v>
      </c>
      <c r="M463" s="320">
        <v>0.8903</v>
      </c>
      <c r="N463" s="320">
        <v>0.2709</v>
      </c>
      <c r="O463" s="320">
        <v>0.2105</v>
      </c>
      <c r="P463" s="320">
        <v>1.1232</v>
      </c>
      <c r="Q463" s="320">
        <v>740.42</v>
      </c>
      <c r="R463" s="320">
        <v>477.71</v>
      </c>
      <c r="S463" s="320">
        <v>262.71</v>
      </c>
      <c r="T463" s="320">
        <v>0.0</v>
      </c>
      <c r="U463" s="320">
        <v>740.42</v>
      </c>
      <c r="V463" s="320">
        <v>670.19</v>
      </c>
      <c r="W463" s="320">
        <v>4.6373</v>
      </c>
      <c r="X463" s="320">
        <v>0.0</v>
      </c>
      <c r="Y463" s="320">
        <v>955.0</v>
      </c>
      <c r="Z463" s="320">
        <v>4942.0</v>
      </c>
      <c r="AA463" s="320">
        <v>14648.0</v>
      </c>
      <c r="AB463" s="320">
        <v>63.5062</v>
      </c>
      <c r="AC463" s="320">
        <v>0.9006</v>
      </c>
      <c r="AD463" s="320">
        <v>93.49</v>
      </c>
      <c r="AE463" s="320">
        <v>42.0</v>
      </c>
      <c r="AF463" s="320">
        <v>81.0</v>
      </c>
      <c r="AG463" s="320">
        <v>128.0</v>
      </c>
      <c r="AH463" s="320">
        <v>181.0</v>
      </c>
      <c r="AI463" s="320">
        <v>51.24</v>
      </c>
      <c r="AJ463" s="320">
        <v>11.18</v>
      </c>
      <c r="AK463" s="320">
        <v>0.78</v>
      </c>
      <c r="AL463" s="320">
        <v>0.073</v>
      </c>
      <c r="AM463" s="320">
        <v>22.24</v>
      </c>
      <c r="AN463" s="320">
        <v>455.48</v>
      </c>
      <c r="AO463" s="320">
        <v>86.25</v>
      </c>
      <c r="AP463" s="320">
        <v>19.18</v>
      </c>
    </row>
    <row r="464">
      <c r="A464" s="319" t="s">
        <v>256</v>
      </c>
      <c r="B464" s="328">
        <v>46127.0</v>
      </c>
      <c r="C464" s="319" t="s">
        <v>257</v>
      </c>
      <c r="D464" s="320">
        <v>20419.0</v>
      </c>
      <c r="E464" s="320">
        <v>19.48</v>
      </c>
      <c r="F464" s="320">
        <v>0.0</v>
      </c>
      <c r="G464" s="320">
        <v>0.0</v>
      </c>
      <c r="H464" s="320">
        <v>0.0</v>
      </c>
      <c r="I464" s="329"/>
      <c r="J464" s="320">
        <v>6.25</v>
      </c>
      <c r="K464" s="320">
        <v>2.57</v>
      </c>
      <c r="L464" s="320">
        <v>0.03</v>
      </c>
      <c r="M464" s="320">
        <v>0.0133</v>
      </c>
      <c r="N464" s="320">
        <v>0.9903</v>
      </c>
      <c r="O464" s="320">
        <v>0.8706</v>
      </c>
      <c r="P464" s="320">
        <v>75.0444</v>
      </c>
      <c r="Q464" s="320">
        <v>21.01</v>
      </c>
      <c r="R464" s="320">
        <v>20.87</v>
      </c>
      <c r="S464" s="320">
        <v>0.13</v>
      </c>
      <c r="T464" s="320">
        <v>0.0</v>
      </c>
      <c r="U464" s="320">
        <v>21.01</v>
      </c>
      <c r="V464" s="320">
        <v>1.71</v>
      </c>
      <c r="W464" s="320">
        <v>0.6672</v>
      </c>
      <c r="X464" s="320">
        <v>0.0</v>
      </c>
      <c r="Y464" s="320">
        <v>358.0</v>
      </c>
      <c r="Z464" s="320">
        <v>3814.0</v>
      </c>
      <c r="AA464" s="320">
        <v>15293.0</v>
      </c>
      <c r="AB464" s="320">
        <v>49.2151</v>
      </c>
      <c r="AC464" s="320">
        <v>0.5457</v>
      </c>
      <c r="AD464" s="329"/>
      <c r="AE464" s="329"/>
      <c r="AF464" s="329"/>
      <c r="AG464" s="329"/>
      <c r="AH464" s="329"/>
      <c r="AI464" s="320">
        <v>0.0</v>
      </c>
      <c r="AJ464" s="320">
        <v>0.0</v>
      </c>
      <c r="AK464" s="320">
        <v>0.0</v>
      </c>
      <c r="AL464" s="320">
        <v>0.2864</v>
      </c>
      <c r="AM464" s="320">
        <v>15.85</v>
      </c>
      <c r="AN464" s="320">
        <v>5.02</v>
      </c>
      <c r="AO464" s="329"/>
      <c r="AP464" s="329"/>
    </row>
    <row r="465">
      <c r="A465" s="319" t="s">
        <v>256</v>
      </c>
      <c r="B465" s="328">
        <v>46127.0</v>
      </c>
      <c r="C465" s="319" t="s">
        <v>214</v>
      </c>
      <c r="D465" s="320">
        <v>37722.0</v>
      </c>
      <c r="E465" s="320">
        <v>35.99</v>
      </c>
      <c r="F465" s="320">
        <v>0.0</v>
      </c>
      <c r="G465" s="320">
        <v>0.0</v>
      </c>
      <c r="H465" s="320">
        <v>0.0</v>
      </c>
      <c r="I465" s="329"/>
      <c r="J465" s="320">
        <v>30.35</v>
      </c>
      <c r="K465" s="320">
        <v>14.03</v>
      </c>
      <c r="L465" s="320">
        <v>5.52</v>
      </c>
      <c r="M465" s="320">
        <v>0.3938</v>
      </c>
      <c r="N465" s="320">
        <v>0.7691</v>
      </c>
      <c r="O465" s="320">
        <v>0.5621</v>
      </c>
      <c r="P465" s="320">
        <v>2.5391</v>
      </c>
      <c r="Q465" s="320">
        <v>45.07</v>
      </c>
      <c r="R465" s="320">
        <v>33.72</v>
      </c>
      <c r="S465" s="320">
        <v>11.35</v>
      </c>
      <c r="T465" s="320">
        <v>0.0</v>
      </c>
      <c r="U465" s="320">
        <v>45.07</v>
      </c>
      <c r="V465" s="320">
        <v>50.24</v>
      </c>
      <c r="W465" s="320">
        <v>3.582</v>
      </c>
      <c r="X465" s="320">
        <v>0.0</v>
      </c>
      <c r="Y465" s="320">
        <v>142.0</v>
      </c>
      <c r="Z465" s="320">
        <v>894.0</v>
      </c>
      <c r="AA465" s="320">
        <v>5887.0</v>
      </c>
      <c r="AB465" s="320">
        <v>48.7696</v>
      </c>
      <c r="AC465" s="320">
        <v>0.5353</v>
      </c>
      <c r="AD465" s="320">
        <v>3.98</v>
      </c>
      <c r="AE465" s="320">
        <v>1.0</v>
      </c>
      <c r="AF465" s="320">
        <v>3.0</v>
      </c>
      <c r="AG465" s="320">
        <v>5.0</v>
      </c>
      <c r="AH465" s="320">
        <v>9.0</v>
      </c>
      <c r="AI465" s="320">
        <v>73.0</v>
      </c>
      <c r="AJ465" s="320">
        <v>30.53</v>
      </c>
      <c r="AK465" s="320">
        <v>8.32</v>
      </c>
      <c r="AL465" s="320">
        <v>0.2486</v>
      </c>
      <c r="AM465" s="320">
        <v>18.4</v>
      </c>
      <c r="AN465" s="320">
        <v>15.31</v>
      </c>
      <c r="AO465" s="320">
        <v>65.41</v>
      </c>
      <c r="AP465" s="320">
        <v>12.04</v>
      </c>
    </row>
    <row r="466">
      <c r="A466" s="319" t="s">
        <v>256</v>
      </c>
      <c r="B466" s="328">
        <v>46127.0</v>
      </c>
      <c r="C466" s="319" t="s">
        <v>215</v>
      </c>
      <c r="D466" s="320">
        <v>26621.0</v>
      </c>
      <c r="E466" s="320">
        <v>25.4</v>
      </c>
      <c r="F466" s="320">
        <v>0.0</v>
      </c>
      <c r="G466" s="320">
        <v>0.0</v>
      </c>
      <c r="H466" s="320">
        <v>0.0</v>
      </c>
      <c r="I466" s="329"/>
      <c r="J466" s="320">
        <v>60.3</v>
      </c>
      <c r="K466" s="320">
        <v>29.21</v>
      </c>
      <c r="L466" s="320">
        <v>14.6</v>
      </c>
      <c r="M466" s="320">
        <v>0.4999</v>
      </c>
      <c r="N466" s="320">
        <v>0.6817</v>
      </c>
      <c r="O466" s="320">
        <v>0.4627</v>
      </c>
      <c r="P466" s="320">
        <v>2.0003</v>
      </c>
      <c r="Q466" s="320">
        <v>81.99</v>
      </c>
      <c r="R466" s="320">
        <v>53.85</v>
      </c>
      <c r="S466" s="320">
        <v>28.14</v>
      </c>
      <c r="T466" s="320">
        <v>0.0</v>
      </c>
      <c r="U466" s="320">
        <v>81.99</v>
      </c>
      <c r="V466" s="320">
        <v>96.29</v>
      </c>
      <c r="W466" s="320">
        <v>3.2961</v>
      </c>
      <c r="X466" s="320">
        <v>0.0</v>
      </c>
      <c r="Y466" s="320">
        <v>118.0</v>
      </c>
      <c r="Z466" s="320">
        <v>691.0</v>
      </c>
      <c r="AA466" s="320">
        <v>5219.0</v>
      </c>
      <c r="AB466" s="320">
        <v>51.9669</v>
      </c>
      <c r="AC466" s="320">
        <v>0.5993</v>
      </c>
      <c r="AD466" s="320">
        <v>8.99</v>
      </c>
      <c r="AE466" s="320">
        <v>3.0</v>
      </c>
      <c r="AF466" s="320">
        <v>7.0</v>
      </c>
      <c r="AG466" s="320">
        <v>12.0</v>
      </c>
      <c r="AH466" s="320">
        <v>19.0</v>
      </c>
      <c r="AI466" s="320">
        <v>58.04</v>
      </c>
      <c r="AJ466" s="320">
        <v>23.9</v>
      </c>
      <c r="AK466" s="320">
        <v>4.28</v>
      </c>
      <c r="AL466" s="320">
        <v>0.1841</v>
      </c>
      <c r="AM466" s="320">
        <v>19.41</v>
      </c>
      <c r="AN466" s="320">
        <v>34.43</v>
      </c>
      <c r="AO466" s="320">
        <v>72.78</v>
      </c>
      <c r="AP466" s="320">
        <v>14.13</v>
      </c>
    </row>
    <row r="467">
      <c r="A467" s="319" t="s">
        <v>256</v>
      </c>
      <c r="B467" s="328">
        <v>46127.0</v>
      </c>
      <c r="C467" s="319" t="s">
        <v>216</v>
      </c>
      <c r="D467" s="320">
        <v>13973.0</v>
      </c>
      <c r="E467" s="320">
        <v>13.33</v>
      </c>
      <c r="F467" s="320">
        <v>0.0</v>
      </c>
      <c r="G467" s="320">
        <v>0.0</v>
      </c>
      <c r="H467" s="320">
        <v>0.0</v>
      </c>
      <c r="I467" s="329"/>
      <c r="J467" s="320">
        <v>81.48</v>
      </c>
      <c r="K467" s="320">
        <v>41.67</v>
      </c>
      <c r="L467" s="320">
        <v>26.2</v>
      </c>
      <c r="M467" s="320">
        <v>0.6287</v>
      </c>
      <c r="N467" s="320">
        <v>0.5561</v>
      </c>
      <c r="O467" s="320">
        <v>0.3757</v>
      </c>
      <c r="P467" s="320">
        <v>1.5905</v>
      </c>
      <c r="Q467" s="320">
        <v>131.25</v>
      </c>
      <c r="R467" s="320">
        <v>78.6</v>
      </c>
      <c r="S467" s="320">
        <v>52.65</v>
      </c>
      <c r="T467" s="320">
        <v>0.05</v>
      </c>
      <c r="U467" s="320">
        <v>131.2</v>
      </c>
      <c r="V467" s="320">
        <v>156.49</v>
      </c>
      <c r="W467" s="320">
        <v>3.7553</v>
      </c>
      <c r="X467" s="320">
        <v>0.04</v>
      </c>
      <c r="Y467" s="320">
        <v>142.0</v>
      </c>
      <c r="Z467" s="320">
        <v>1017.0</v>
      </c>
      <c r="AA467" s="320">
        <v>6337.0</v>
      </c>
      <c r="AB467" s="320">
        <v>55.7886</v>
      </c>
      <c r="AC467" s="320">
        <v>0.7394</v>
      </c>
      <c r="AD467" s="320">
        <v>17.08</v>
      </c>
      <c r="AE467" s="320">
        <v>7.0</v>
      </c>
      <c r="AF467" s="320">
        <v>13.0</v>
      </c>
      <c r="AG467" s="320">
        <v>24.0</v>
      </c>
      <c r="AH467" s="320">
        <v>36.0</v>
      </c>
      <c r="AI467" s="320">
        <v>58.16</v>
      </c>
      <c r="AJ467" s="320">
        <v>21.64</v>
      </c>
      <c r="AK467" s="320">
        <v>6.25</v>
      </c>
      <c r="AL467" s="320">
        <v>0.1657</v>
      </c>
      <c r="AM467" s="320">
        <v>19.5</v>
      </c>
      <c r="AN467" s="320">
        <v>59.1</v>
      </c>
      <c r="AO467" s="320">
        <v>78.65</v>
      </c>
      <c r="AP467" s="320">
        <v>15.34</v>
      </c>
    </row>
    <row r="468">
      <c r="A468" s="319" t="s">
        <v>256</v>
      </c>
      <c r="B468" s="328">
        <v>46127.0</v>
      </c>
      <c r="C468" s="319" t="s">
        <v>217</v>
      </c>
      <c r="D468" s="320">
        <v>5445.0</v>
      </c>
      <c r="E468" s="320">
        <v>5.2</v>
      </c>
      <c r="F468" s="320">
        <v>0.0</v>
      </c>
      <c r="G468" s="320">
        <v>0.0</v>
      </c>
      <c r="H468" s="320">
        <v>0.0</v>
      </c>
      <c r="I468" s="329"/>
      <c r="J468" s="320">
        <v>129.33</v>
      </c>
      <c r="K468" s="320">
        <v>70.49</v>
      </c>
      <c r="L468" s="320">
        <v>53.7</v>
      </c>
      <c r="M468" s="320">
        <v>0.7618</v>
      </c>
      <c r="N468" s="320">
        <v>0.4169</v>
      </c>
      <c r="O468" s="320">
        <v>0.2891</v>
      </c>
      <c r="P468" s="320">
        <v>1.3127</v>
      </c>
      <c r="Q468" s="320">
        <v>243.57</v>
      </c>
      <c r="R468" s="320">
        <v>135.39</v>
      </c>
      <c r="S468" s="320">
        <v>108.18</v>
      </c>
      <c r="T468" s="320">
        <v>0.0</v>
      </c>
      <c r="U468" s="320">
        <v>243.57</v>
      </c>
      <c r="V468" s="320">
        <v>306.36</v>
      </c>
      <c r="W468" s="320">
        <v>4.3461</v>
      </c>
      <c r="X468" s="320">
        <v>0.0</v>
      </c>
      <c r="Y468" s="320">
        <v>273.0</v>
      </c>
      <c r="Z468" s="320">
        <v>2245.0</v>
      </c>
      <c r="AA468" s="320">
        <v>9345.0</v>
      </c>
      <c r="AB468" s="320">
        <v>59.6435</v>
      </c>
      <c r="AC468" s="320">
        <v>0.838</v>
      </c>
      <c r="AD468" s="320">
        <v>36.43</v>
      </c>
      <c r="AE468" s="320">
        <v>14.0</v>
      </c>
      <c r="AF468" s="320">
        <v>27.0</v>
      </c>
      <c r="AG468" s="320">
        <v>51.0</v>
      </c>
      <c r="AH468" s="320">
        <v>78.0</v>
      </c>
      <c r="AI468" s="320">
        <v>49.49</v>
      </c>
      <c r="AJ468" s="320">
        <v>18.79</v>
      </c>
      <c r="AK468" s="320">
        <v>4.68</v>
      </c>
      <c r="AL468" s="320">
        <v>0.123</v>
      </c>
      <c r="AM468" s="320">
        <v>19.44</v>
      </c>
      <c r="AN468" s="320">
        <v>115.95</v>
      </c>
      <c r="AO468" s="320">
        <v>83.65</v>
      </c>
      <c r="AP468" s="320">
        <v>16.26</v>
      </c>
    </row>
    <row r="469">
      <c r="A469" s="319" t="s">
        <v>256</v>
      </c>
      <c r="B469" s="328">
        <v>46127.0</v>
      </c>
      <c r="C469" s="319" t="s">
        <v>218</v>
      </c>
      <c r="D469" s="320">
        <v>621.0</v>
      </c>
      <c r="E469" s="320">
        <v>0.59</v>
      </c>
      <c r="F469" s="320">
        <v>0.0</v>
      </c>
      <c r="G469" s="320">
        <v>0.0</v>
      </c>
      <c r="H469" s="320">
        <v>0.0</v>
      </c>
      <c r="I469" s="329"/>
      <c r="J469" s="320">
        <v>236.78</v>
      </c>
      <c r="K469" s="320">
        <v>137.43</v>
      </c>
      <c r="L469" s="320">
        <v>119.45</v>
      </c>
      <c r="M469" s="320">
        <v>0.8692</v>
      </c>
      <c r="N469" s="320">
        <v>0.2878</v>
      </c>
      <c r="O469" s="320">
        <v>0.2153</v>
      </c>
      <c r="P469" s="320">
        <v>1.1505</v>
      </c>
      <c r="Q469" s="320">
        <v>510.68</v>
      </c>
      <c r="R469" s="320">
        <v>264.43</v>
      </c>
      <c r="S469" s="320">
        <v>246.26</v>
      </c>
      <c r="T469" s="320">
        <v>0.0</v>
      </c>
      <c r="U469" s="320">
        <v>510.68</v>
      </c>
      <c r="V469" s="320">
        <v>591.63</v>
      </c>
      <c r="W469" s="320">
        <v>4.3049</v>
      </c>
      <c r="X469" s="320">
        <v>0.0</v>
      </c>
      <c r="Y469" s="320">
        <v>894.0</v>
      </c>
      <c r="Z469" s="320">
        <v>4586.0</v>
      </c>
      <c r="AA469" s="320">
        <v>13883.0</v>
      </c>
      <c r="AB469" s="320">
        <v>63.6764</v>
      </c>
      <c r="AC469" s="320">
        <v>0.9093</v>
      </c>
      <c r="AD469" s="320">
        <v>83.86</v>
      </c>
      <c r="AE469" s="320">
        <v>34.0</v>
      </c>
      <c r="AF469" s="320">
        <v>71.0</v>
      </c>
      <c r="AG469" s="320">
        <v>117.0</v>
      </c>
      <c r="AH469" s="320">
        <v>164.0</v>
      </c>
      <c r="AI469" s="320">
        <v>45.73</v>
      </c>
      <c r="AJ469" s="320">
        <v>7.41</v>
      </c>
      <c r="AK469" s="320">
        <v>0.81</v>
      </c>
      <c r="AL469" s="320">
        <v>0.0837</v>
      </c>
      <c r="AM469" s="320">
        <v>22.7</v>
      </c>
      <c r="AN469" s="320">
        <v>241.73</v>
      </c>
      <c r="AO469" s="320">
        <v>86.27</v>
      </c>
      <c r="AP469" s="320">
        <v>19.58</v>
      </c>
    </row>
    <row r="470">
      <c r="A470" s="319" t="s">
        <v>256</v>
      </c>
      <c r="B470" s="328">
        <v>46128.0</v>
      </c>
      <c r="C470" s="319" t="s">
        <v>257</v>
      </c>
      <c r="D470" s="320">
        <v>20325.0</v>
      </c>
      <c r="E470" s="320">
        <v>19.93</v>
      </c>
      <c r="F470" s="320">
        <v>0.0</v>
      </c>
      <c r="G470" s="320">
        <v>0.0</v>
      </c>
      <c r="H470" s="320">
        <v>0.0</v>
      </c>
      <c r="I470" s="329"/>
      <c r="J470" s="320">
        <v>6.28</v>
      </c>
      <c r="K470" s="320">
        <v>2.61</v>
      </c>
      <c r="L470" s="320">
        <v>0.04</v>
      </c>
      <c r="M470" s="320">
        <v>0.0162</v>
      </c>
      <c r="N470" s="320">
        <v>0.9883</v>
      </c>
      <c r="O470" s="320">
        <v>0.8562</v>
      </c>
      <c r="P470" s="320">
        <v>61.5698</v>
      </c>
      <c r="Q470" s="320">
        <v>21.27</v>
      </c>
      <c r="R470" s="320">
        <v>21.15</v>
      </c>
      <c r="S470" s="320">
        <v>0.12</v>
      </c>
      <c r="T470" s="320">
        <v>0.0</v>
      </c>
      <c r="U470" s="320">
        <v>21.27</v>
      </c>
      <c r="V470" s="320">
        <v>1.91</v>
      </c>
      <c r="W470" s="320">
        <v>0.7337</v>
      </c>
      <c r="X470" s="320">
        <v>0.0</v>
      </c>
      <c r="Y470" s="320">
        <v>313.0</v>
      </c>
      <c r="Z470" s="320">
        <v>3759.0</v>
      </c>
      <c r="AA470" s="320">
        <v>15441.0</v>
      </c>
      <c r="AB470" s="320">
        <v>48.9695</v>
      </c>
      <c r="AC470" s="320">
        <v>0.541</v>
      </c>
      <c r="AD470" s="329"/>
      <c r="AE470" s="329"/>
      <c r="AF470" s="329"/>
      <c r="AG470" s="329"/>
      <c r="AH470" s="329"/>
      <c r="AI470" s="320">
        <v>0.0</v>
      </c>
      <c r="AJ470" s="320">
        <v>0.0</v>
      </c>
      <c r="AK470" s="320">
        <v>0.0</v>
      </c>
      <c r="AL470" s="320">
        <v>0.2865</v>
      </c>
      <c r="AM470" s="320">
        <v>16.62</v>
      </c>
      <c r="AN470" s="320">
        <v>4.54</v>
      </c>
      <c r="AO470" s="329"/>
      <c r="AP470" s="329"/>
    </row>
    <row r="471">
      <c r="A471" s="319" t="s">
        <v>256</v>
      </c>
      <c r="B471" s="328">
        <v>46128.0</v>
      </c>
      <c r="C471" s="319" t="s">
        <v>214</v>
      </c>
      <c r="D471" s="320">
        <v>36761.0</v>
      </c>
      <c r="E471" s="320">
        <v>36.04</v>
      </c>
      <c r="F471" s="320">
        <v>0.0</v>
      </c>
      <c r="G471" s="320">
        <v>0.0</v>
      </c>
      <c r="H471" s="320">
        <v>0.0</v>
      </c>
      <c r="I471" s="329"/>
      <c r="J471" s="320">
        <v>28.89</v>
      </c>
      <c r="K471" s="320">
        <v>13.15</v>
      </c>
      <c r="L471" s="320">
        <v>5.38</v>
      </c>
      <c r="M471" s="320">
        <v>0.4092</v>
      </c>
      <c r="N471" s="320">
        <v>0.7614</v>
      </c>
      <c r="O471" s="320">
        <v>0.564</v>
      </c>
      <c r="P471" s="320">
        <v>2.4435</v>
      </c>
      <c r="Q471" s="320">
        <v>44.59</v>
      </c>
      <c r="R471" s="320">
        <v>33.51</v>
      </c>
      <c r="S471" s="320">
        <v>11.08</v>
      </c>
      <c r="T471" s="320">
        <v>0.0</v>
      </c>
      <c r="U471" s="320">
        <v>44.59</v>
      </c>
      <c r="V471" s="320">
        <v>48.59</v>
      </c>
      <c r="W471" s="320">
        <v>3.696</v>
      </c>
      <c r="X471" s="320">
        <v>0.0</v>
      </c>
      <c r="Y471" s="320">
        <v>136.0</v>
      </c>
      <c r="Z471" s="320">
        <v>897.0</v>
      </c>
      <c r="AA471" s="320">
        <v>6029.0</v>
      </c>
      <c r="AB471" s="320">
        <v>48.7645</v>
      </c>
      <c r="AC471" s="320">
        <v>0.5348</v>
      </c>
      <c r="AD471" s="320">
        <v>3.89</v>
      </c>
      <c r="AE471" s="320">
        <v>1.0</v>
      </c>
      <c r="AF471" s="320">
        <v>3.0</v>
      </c>
      <c r="AG471" s="320">
        <v>5.0</v>
      </c>
      <c r="AH471" s="320">
        <v>9.0</v>
      </c>
      <c r="AI471" s="320">
        <v>71.76</v>
      </c>
      <c r="AJ471" s="320">
        <v>29.41</v>
      </c>
      <c r="AK471" s="320">
        <v>8.13</v>
      </c>
      <c r="AL471" s="320">
        <v>0.2544</v>
      </c>
      <c r="AM471" s="320">
        <v>19.16</v>
      </c>
      <c r="AN471" s="320">
        <v>14.35</v>
      </c>
      <c r="AO471" s="320">
        <v>65.92</v>
      </c>
      <c r="AP471" s="320">
        <v>12.63</v>
      </c>
    </row>
    <row r="472">
      <c r="A472" s="319" t="s">
        <v>256</v>
      </c>
      <c r="B472" s="328">
        <v>46128.0</v>
      </c>
      <c r="C472" s="319" t="s">
        <v>215</v>
      </c>
      <c r="D472" s="320">
        <v>25069.0</v>
      </c>
      <c r="E472" s="320">
        <v>24.58</v>
      </c>
      <c r="F472" s="320">
        <v>0.0</v>
      </c>
      <c r="G472" s="320">
        <v>0.0</v>
      </c>
      <c r="H472" s="320">
        <v>0.0</v>
      </c>
      <c r="I472" s="329"/>
      <c r="J472" s="320">
        <v>53.7</v>
      </c>
      <c r="K472" s="320">
        <v>25.74</v>
      </c>
      <c r="L472" s="320">
        <v>13.47</v>
      </c>
      <c r="M472" s="320">
        <v>0.5232</v>
      </c>
      <c r="N472" s="320">
        <v>0.6662</v>
      </c>
      <c r="O472" s="320">
        <v>0.4613</v>
      </c>
      <c r="P472" s="320">
        <v>1.9113</v>
      </c>
      <c r="Q472" s="320">
        <v>89.43</v>
      </c>
      <c r="R472" s="320">
        <v>62.81</v>
      </c>
      <c r="S472" s="320">
        <v>26.61</v>
      </c>
      <c r="T472" s="320">
        <v>0.0</v>
      </c>
      <c r="U472" s="320">
        <v>89.43</v>
      </c>
      <c r="V472" s="320">
        <v>92.99</v>
      </c>
      <c r="W472" s="320">
        <v>3.6131</v>
      </c>
      <c r="X472" s="320">
        <v>0.0</v>
      </c>
      <c r="Y472" s="320">
        <v>123.0</v>
      </c>
      <c r="Z472" s="320">
        <v>703.0</v>
      </c>
      <c r="AA472" s="320">
        <v>5820.0</v>
      </c>
      <c r="AB472" s="320">
        <v>52.0662</v>
      </c>
      <c r="AC472" s="320">
        <v>0.6202</v>
      </c>
      <c r="AD472" s="320">
        <v>8.76</v>
      </c>
      <c r="AE472" s="320">
        <v>3.0</v>
      </c>
      <c r="AF472" s="320">
        <v>7.0</v>
      </c>
      <c r="AG472" s="320">
        <v>12.0</v>
      </c>
      <c r="AH472" s="320">
        <v>18.0</v>
      </c>
      <c r="AI472" s="320">
        <v>57.12</v>
      </c>
      <c r="AJ472" s="320">
        <v>23.39</v>
      </c>
      <c r="AK472" s="320">
        <v>3.67</v>
      </c>
      <c r="AL472" s="320">
        <v>0.2005</v>
      </c>
      <c r="AM472" s="320">
        <v>20.0</v>
      </c>
      <c r="AN472" s="320">
        <v>42.81</v>
      </c>
      <c r="AO472" s="320">
        <v>74.63</v>
      </c>
      <c r="AP472" s="320">
        <v>14.93</v>
      </c>
    </row>
    <row r="473">
      <c r="A473" s="319" t="s">
        <v>256</v>
      </c>
      <c r="B473" s="328">
        <v>46128.0</v>
      </c>
      <c r="C473" s="319" t="s">
        <v>216</v>
      </c>
      <c r="D473" s="320">
        <v>13777.0</v>
      </c>
      <c r="E473" s="320">
        <v>13.51</v>
      </c>
      <c r="F473" s="320">
        <v>0.0</v>
      </c>
      <c r="G473" s="320">
        <v>0.0</v>
      </c>
      <c r="H473" s="320">
        <v>0.0</v>
      </c>
      <c r="I473" s="329"/>
      <c r="J473" s="320">
        <v>77.02</v>
      </c>
      <c r="K473" s="320">
        <v>39.06</v>
      </c>
      <c r="L473" s="320">
        <v>25.39</v>
      </c>
      <c r="M473" s="320">
        <v>0.65</v>
      </c>
      <c r="N473" s="320">
        <v>0.5424</v>
      </c>
      <c r="O473" s="320">
        <v>0.3733</v>
      </c>
      <c r="P473" s="320">
        <v>1.5384</v>
      </c>
      <c r="Q473" s="320">
        <v>158.73</v>
      </c>
      <c r="R473" s="320">
        <v>107.49</v>
      </c>
      <c r="S473" s="320">
        <v>51.24</v>
      </c>
      <c r="T473" s="320">
        <v>0.0</v>
      </c>
      <c r="U473" s="320">
        <v>158.73</v>
      </c>
      <c r="V473" s="320">
        <v>165.73</v>
      </c>
      <c r="W473" s="320">
        <v>4.2425</v>
      </c>
      <c r="X473" s="320">
        <v>0.0</v>
      </c>
      <c r="Y473" s="320">
        <v>149.0</v>
      </c>
      <c r="Z473" s="320">
        <v>984.0</v>
      </c>
      <c r="AA473" s="320">
        <v>6303.0</v>
      </c>
      <c r="AB473" s="320">
        <v>55.6463</v>
      </c>
      <c r="AC473" s="320">
        <v>0.7352</v>
      </c>
      <c r="AD473" s="320">
        <v>17.09</v>
      </c>
      <c r="AE473" s="320">
        <v>7.0</v>
      </c>
      <c r="AF473" s="320">
        <v>13.0</v>
      </c>
      <c r="AG473" s="320">
        <v>23.0</v>
      </c>
      <c r="AH473" s="320">
        <v>35.0</v>
      </c>
      <c r="AI473" s="320">
        <v>58.6</v>
      </c>
      <c r="AJ473" s="320">
        <v>21.48</v>
      </c>
      <c r="AK473" s="320">
        <v>6.16</v>
      </c>
      <c r="AL473" s="320">
        <v>0.1745</v>
      </c>
      <c r="AM473" s="320">
        <v>19.82</v>
      </c>
      <c r="AN473" s="320">
        <v>87.67</v>
      </c>
      <c r="AO473" s="320">
        <v>79.3</v>
      </c>
      <c r="AP473" s="320">
        <v>15.72</v>
      </c>
    </row>
    <row r="474">
      <c r="A474" s="319" t="s">
        <v>256</v>
      </c>
      <c r="B474" s="328">
        <v>46128.0</v>
      </c>
      <c r="C474" s="319" t="s">
        <v>217</v>
      </c>
      <c r="D474" s="320">
        <v>5474.0</v>
      </c>
      <c r="E474" s="320">
        <v>5.37</v>
      </c>
      <c r="F474" s="320">
        <v>0.0</v>
      </c>
      <c r="G474" s="320">
        <v>0.0</v>
      </c>
      <c r="H474" s="320">
        <v>0.0</v>
      </c>
      <c r="I474" s="329"/>
      <c r="J474" s="320">
        <v>124.3</v>
      </c>
      <c r="K474" s="320">
        <v>67.74</v>
      </c>
      <c r="L474" s="320">
        <v>53.03</v>
      </c>
      <c r="M474" s="320">
        <v>0.7828</v>
      </c>
      <c r="N474" s="320">
        <v>0.4005</v>
      </c>
      <c r="O474" s="320">
        <v>0.2864</v>
      </c>
      <c r="P474" s="320">
        <v>1.2774</v>
      </c>
      <c r="Q474" s="320">
        <v>313.29</v>
      </c>
      <c r="R474" s="320">
        <v>206.88</v>
      </c>
      <c r="S474" s="320">
        <v>106.41</v>
      </c>
      <c r="T474" s="320">
        <v>0.0</v>
      </c>
      <c r="U474" s="320">
        <v>313.29</v>
      </c>
      <c r="V474" s="320">
        <v>318.22</v>
      </c>
      <c r="W474" s="320">
        <v>4.6974</v>
      </c>
      <c r="X474" s="320">
        <v>0.0</v>
      </c>
      <c r="Y474" s="320">
        <v>300.0</v>
      </c>
      <c r="Z474" s="320">
        <v>2325.0</v>
      </c>
      <c r="AA474" s="320">
        <v>9719.0</v>
      </c>
      <c r="AB474" s="320">
        <v>59.4361</v>
      </c>
      <c r="AC474" s="320">
        <v>0.8258</v>
      </c>
      <c r="AD474" s="320">
        <v>36.01</v>
      </c>
      <c r="AE474" s="320">
        <v>15.0</v>
      </c>
      <c r="AF474" s="320">
        <v>28.0</v>
      </c>
      <c r="AG474" s="320">
        <v>50.0</v>
      </c>
      <c r="AH474" s="320">
        <v>75.0</v>
      </c>
      <c r="AI474" s="320">
        <v>51.04</v>
      </c>
      <c r="AJ474" s="320">
        <v>18.01</v>
      </c>
      <c r="AK474" s="320">
        <v>3.56</v>
      </c>
      <c r="AL474" s="320">
        <v>0.1299</v>
      </c>
      <c r="AM474" s="320">
        <v>21.18</v>
      </c>
      <c r="AN474" s="320">
        <v>185.7</v>
      </c>
      <c r="AO474" s="320">
        <v>83.87</v>
      </c>
      <c r="AP474" s="320">
        <v>17.76</v>
      </c>
    </row>
    <row r="475">
      <c r="A475" s="319" t="s">
        <v>256</v>
      </c>
      <c r="B475" s="328">
        <v>46128.0</v>
      </c>
      <c r="C475" s="319" t="s">
        <v>218</v>
      </c>
      <c r="D475" s="320">
        <v>598.0</v>
      </c>
      <c r="E475" s="320">
        <v>0.59</v>
      </c>
      <c r="F475" s="320">
        <v>0.0</v>
      </c>
      <c r="G475" s="320">
        <v>0.0</v>
      </c>
      <c r="H475" s="320">
        <v>0.0</v>
      </c>
      <c r="I475" s="329"/>
      <c r="J475" s="320">
        <v>237.71</v>
      </c>
      <c r="K475" s="320">
        <v>137.56</v>
      </c>
      <c r="L475" s="320">
        <v>120.32</v>
      </c>
      <c r="M475" s="320">
        <v>0.8746</v>
      </c>
      <c r="N475" s="320">
        <v>0.2873</v>
      </c>
      <c r="O475" s="320">
        <v>0.2229</v>
      </c>
      <c r="P475" s="320">
        <v>1.1434</v>
      </c>
      <c r="Q475" s="320">
        <v>598.17</v>
      </c>
      <c r="R475" s="320">
        <v>352.69</v>
      </c>
      <c r="S475" s="320">
        <v>245.48</v>
      </c>
      <c r="T475" s="320">
        <v>0.0</v>
      </c>
      <c r="U475" s="320">
        <v>598.17</v>
      </c>
      <c r="V475" s="320">
        <v>610.7</v>
      </c>
      <c r="W475" s="320">
        <v>4.4394</v>
      </c>
      <c r="X475" s="320">
        <v>0.0</v>
      </c>
      <c r="Y475" s="320">
        <v>823.0</v>
      </c>
      <c r="Z475" s="320">
        <v>4299.0</v>
      </c>
      <c r="AA475" s="320">
        <v>11600.0</v>
      </c>
      <c r="AB475" s="320">
        <v>63.4141</v>
      </c>
      <c r="AC475" s="320">
        <v>0.8948</v>
      </c>
      <c r="AD475" s="320">
        <v>83.35</v>
      </c>
      <c r="AE475" s="320">
        <v>35.0</v>
      </c>
      <c r="AF475" s="320">
        <v>72.0</v>
      </c>
      <c r="AG475" s="320">
        <v>117.0</v>
      </c>
      <c r="AH475" s="320">
        <v>166.0</v>
      </c>
      <c r="AI475" s="320">
        <v>46.32</v>
      </c>
      <c r="AJ475" s="320">
        <v>8.86</v>
      </c>
      <c r="AK475" s="320">
        <v>0.5</v>
      </c>
      <c r="AL475" s="320">
        <v>0.092</v>
      </c>
      <c r="AM475" s="320">
        <v>24.13</v>
      </c>
      <c r="AN475" s="320">
        <v>328.56</v>
      </c>
      <c r="AO475" s="320">
        <v>86.53</v>
      </c>
      <c r="AP475" s="320">
        <v>20.88</v>
      </c>
    </row>
    <row r="476">
      <c r="A476" s="319" t="s">
        <v>256</v>
      </c>
      <c r="B476" s="328">
        <v>46129.0</v>
      </c>
      <c r="C476" s="319" t="s">
        <v>257</v>
      </c>
      <c r="D476" s="320">
        <v>18151.0</v>
      </c>
      <c r="E476" s="320">
        <v>18.16</v>
      </c>
      <c r="F476" s="320">
        <v>0.0</v>
      </c>
      <c r="G476" s="320">
        <v>0.0</v>
      </c>
      <c r="H476" s="320">
        <v>0.0</v>
      </c>
      <c r="I476" s="329"/>
      <c r="J476" s="320">
        <v>5.89</v>
      </c>
      <c r="K476" s="320">
        <v>2.28</v>
      </c>
      <c r="L476" s="320">
        <v>0.04</v>
      </c>
      <c r="M476" s="320">
        <v>0.0164</v>
      </c>
      <c r="N476" s="320">
        <v>0.9873</v>
      </c>
      <c r="O476" s="320">
        <v>0.8431</v>
      </c>
      <c r="P476" s="320">
        <v>60.95</v>
      </c>
      <c r="Q476" s="320">
        <v>26.61</v>
      </c>
      <c r="R476" s="320">
        <v>26.48</v>
      </c>
      <c r="S476" s="320">
        <v>0.13</v>
      </c>
      <c r="T476" s="320">
        <v>0.0</v>
      </c>
      <c r="U476" s="320">
        <v>26.61</v>
      </c>
      <c r="V476" s="320">
        <v>1.67</v>
      </c>
      <c r="W476" s="320">
        <v>0.7323</v>
      </c>
      <c r="X476" s="320">
        <v>0.0</v>
      </c>
      <c r="Y476" s="320">
        <v>413.0</v>
      </c>
      <c r="Z476" s="320">
        <v>4399.0</v>
      </c>
      <c r="AA476" s="320">
        <v>15480.0</v>
      </c>
      <c r="AB476" s="320">
        <v>49.0617</v>
      </c>
      <c r="AC476" s="320">
        <v>0.5471</v>
      </c>
      <c r="AD476" s="329"/>
      <c r="AE476" s="329"/>
      <c r="AF476" s="329"/>
      <c r="AG476" s="329"/>
      <c r="AH476" s="329"/>
      <c r="AI476" s="320">
        <v>0.0</v>
      </c>
      <c r="AJ476" s="320">
        <v>0.0</v>
      </c>
      <c r="AK476" s="320">
        <v>0.0</v>
      </c>
      <c r="AL476" s="320">
        <v>0.3041</v>
      </c>
      <c r="AM476" s="320">
        <v>17.62</v>
      </c>
      <c r="AN476" s="320">
        <v>8.86</v>
      </c>
      <c r="AO476" s="329"/>
      <c r="AP476" s="329"/>
    </row>
    <row r="477">
      <c r="A477" s="319" t="s">
        <v>256</v>
      </c>
      <c r="B477" s="328">
        <v>46129.0</v>
      </c>
      <c r="C477" s="319" t="s">
        <v>214</v>
      </c>
      <c r="D477" s="320">
        <v>37078.0</v>
      </c>
      <c r="E477" s="320">
        <v>37.09</v>
      </c>
      <c r="F477" s="320">
        <v>0.0</v>
      </c>
      <c r="G477" s="320">
        <v>0.0</v>
      </c>
      <c r="H477" s="320">
        <v>0.0</v>
      </c>
      <c r="I477" s="329"/>
      <c r="J477" s="320">
        <v>31.08</v>
      </c>
      <c r="K477" s="320">
        <v>14.1</v>
      </c>
      <c r="L477" s="320">
        <v>5.94</v>
      </c>
      <c r="M477" s="320">
        <v>0.4212</v>
      </c>
      <c r="N477" s="320">
        <v>0.7477</v>
      </c>
      <c r="O477" s="320">
        <v>0.5472</v>
      </c>
      <c r="P477" s="320">
        <v>2.374</v>
      </c>
      <c r="Q477" s="320">
        <v>56.95</v>
      </c>
      <c r="R477" s="320">
        <v>45.1</v>
      </c>
      <c r="S477" s="320">
        <v>11.85</v>
      </c>
      <c r="T477" s="320">
        <v>0.0</v>
      </c>
      <c r="U477" s="320">
        <v>56.95</v>
      </c>
      <c r="V477" s="320">
        <v>53.68</v>
      </c>
      <c r="W477" s="320">
        <v>3.806</v>
      </c>
      <c r="X477" s="320">
        <v>0.0</v>
      </c>
      <c r="Y477" s="320">
        <v>146.0</v>
      </c>
      <c r="Z477" s="320">
        <v>915.0</v>
      </c>
      <c r="AA477" s="320">
        <v>6062.0</v>
      </c>
      <c r="AB477" s="320">
        <v>48.687</v>
      </c>
      <c r="AC477" s="320">
        <v>0.5352</v>
      </c>
      <c r="AD477" s="320">
        <v>4.14</v>
      </c>
      <c r="AE477" s="320">
        <v>1.0</v>
      </c>
      <c r="AF477" s="320">
        <v>3.0</v>
      </c>
      <c r="AG477" s="320">
        <v>6.0</v>
      </c>
      <c r="AH477" s="320">
        <v>9.0</v>
      </c>
      <c r="AI477" s="320">
        <v>74.79</v>
      </c>
      <c r="AJ477" s="320">
        <v>32.94</v>
      </c>
      <c r="AK477" s="320">
        <v>8.98</v>
      </c>
      <c r="AL477" s="320">
        <v>0.2682</v>
      </c>
      <c r="AM477" s="320">
        <v>20.32</v>
      </c>
      <c r="AN477" s="320">
        <v>24.79</v>
      </c>
      <c r="AO477" s="320">
        <v>65.94</v>
      </c>
      <c r="AP477" s="320">
        <v>13.4</v>
      </c>
    </row>
    <row r="478">
      <c r="A478" s="319" t="s">
        <v>256</v>
      </c>
      <c r="B478" s="328">
        <v>46129.0</v>
      </c>
      <c r="C478" s="319" t="s">
        <v>215</v>
      </c>
      <c r="D478" s="320">
        <v>24826.0</v>
      </c>
      <c r="E478" s="320">
        <v>24.83</v>
      </c>
      <c r="F478" s="320">
        <v>0.0</v>
      </c>
      <c r="G478" s="320">
        <v>0.0</v>
      </c>
      <c r="H478" s="320">
        <v>0.0</v>
      </c>
      <c r="I478" s="329"/>
      <c r="J478" s="320">
        <v>58.32</v>
      </c>
      <c r="K478" s="320">
        <v>27.88</v>
      </c>
      <c r="L478" s="320">
        <v>14.48</v>
      </c>
      <c r="M478" s="320">
        <v>0.5193</v>
      </c>
      <c r="N478" s="320">
        <v>0.6654</v>
      </c>
      <c r="O478" s="320">
        <v>0.4605</v>
      </c>
      <c r="P478" s="320">
        <v>1.9255</v>
      </c>
      <c r="Q478" s="320">
        <v>101.26</v>
      </c>
      <c r="R478" s="320">
        <v>72.28</v>
      </c>
      <c r="S478" s="320">
        <v>28.99</v>
      </c>
      <c r="T478" s="320">
        <v>0.01</v>
      </c>
      <c r="U478" s="320">
        <v>101.26</v>
      </c>
      <c r="V478" s="320">
        <v>100.41</v>
      </c>
      <c r="W478" s="320">
        <v>3.6017</v>
      </c>
      <c r="X478" s="320">
        <v>0.01</v>
      </c>
      <c r="Y478" s="320">
        <v>122.0</v>
      </c>
      <c r="Z478" s="320">
        <v>649.0</v>
      </c>
      <c r="AA478" s="320">
        <v>5244.0</v>
      </c>
      <c r="AB478" s="320">
        <v>51.9199</v>
      </c>
      <c r="AC478" s="320">
        <v>0.6244</v>
      </c>
      <c r="AD478" s="320">
        <v>9.52</v>
      </c>
      <c r="AE478" s="320">
        <v>4.0</v>
      </c>
      <c r="AF478" s="320">
        <v>8.0</v>
      </c>
      <c r="AG478" s="320">
        <v>13.0</v>
      </c>
      <c r="AH478" s="320">
        <v>20.0</v>
      </c>
      <c r="AI478" s="320">
        <v>63.05</v>
      </c>
      <c r="AJ478" s="320">
        <v>26.37</v>
      </c>
      <c r="AK478" s="320">
        <v>4.26</v>
      </c>
      <c r="AL478" s="320">
        <v>0.218</v>
      </c>
      <c r="AM478" s="320">
        <v>21.18</v>
      </c>
      <c r="AN478" s="320">
        <v>51.1</v>
      </c>
      <c r="AO478" s="320">
        <v>75.04</v>
      </c>
      <c r="AP478" s="320">
        <v>15.89</v>
      </c>
    </row>
    <row r="479">
      <c r="A479" s="319" t="s">
        <v>256</v>
      </c>
      <c r="B479" s="328">
        <v>46129.0</v>
      </c>
      <c r="C479" s="319" t="s">
        <v>216</v>
      </c>
      <c r="D479" s="320">
        <v>13939.0</v>
      </c>
      <c r="E479" s="320">
        <v>13.94</v>
      </c>
      <c r="F479" s="320">
        <v>0.0</v>
      </c>
      <c r="G479" s="320">
        <v>0.0</v>
      </c>
      <c r="H479" s="320">
        <v>0.0</v>
      </c>
      <c r="I479" s="329"/>
      <c r="J479" s="320">
        <v>83.77</v>
      </c>
      <c r="K479" s="320">
        <v>42.18</v>
      </c>
      <c r="L479" s="320">
        <v>27.01</v>
      </c>
      <c r="M479" s="320">
        <v>0.6403</v>
      </c>
      <c r="N479" s="320">
        <v>0.5456</v>
      </c>
      <c r="O479" s="320">
        <v>0.3737</v>
      </c>
      <c r="P479" s="320">
        <v>1.5617</v>
      </c>
      <c r="Q479" s="320">
        <v>158.06</v>
      </c>
      <c r="R479" s="320">
        <v>104.14</v>
      </c>
      <c r="S479" s="320">
        <v>53.93</v>
      </c>
      <c r="T479" s="320">
        <v>0.0</v>
      </c>
      <c r="U479" s="320">
        <v>158.06</v>
      </c>
      <c r="V479" s="320">
        <v>166.57</v>
      </c>
      <c r="W479" s="320">
        <v>3.9493</v>
      </c>
      <c r="X479" s="320">
        <v>0.0</v>
      </c>
      <c r="Y479" s="320">
        <v>145.0</v>
      </c>
      <c r="Z479" s="320">
        <v>947.0</v>
      </c>
      <c r="AA479" s="320">
        <v>6118.0</v>
      </c>
      <c r="AB479" s="320">
        <v>55.5181</v>
      </c>
      <c r="AC479" s="320">
        <v>0.7283</v>
      </c>
      <c r="AD479" s="320">
        <v>17.57</v>
      </c>
      <c r="AE479" s="320">
        <v>8.0</v>
      </c>
      <c r="AF479" s="320">
        <v>14.0</v>
      </c>
      <c r="AG479" s="320">
        <v>24.0</v>
      </c>
      <c r="AH479" s="320">
        <v>36.0</v>
      </c>
      <c r="AI479" s="320">
        <v>61.3</v>
      </c>
      <c r="AJ479" s="320">
        <v>22.25</v>
      </c>
      <c r="AK479" s="320">
        <v>6.06</v>
      </c>
      <c r="AL479" s="320">
        <v>0.1953</v>
      </c>
      <c r="AM479" s="320">
        <v>21.76</v>
      </c>
      <c r="AN479" s="320">
        <v>82.38</v>
      </c>
      <c r="AO479" s="320">
        <v>79.38</v>
      </c>
      <c r="AP479" s="320">
        <v>17.27</v>
      </c>
    </row>
    <row r="480">
      <c r="A480" s="319" t="s">
        <v>256</v>
      </c>
      <c r="B480" s="328">
        <v>46129.0</v>
      </c>
      <c r="C480" s="319" t="s">
        <v>217</v>
      </c>
      <c r="D480" s="320">
        <v>5398.0</v>
      </c>
      <c r="E480" s="320">
        <v>5.4</v>
      </c>
      <c r="F480" s="320">
        <v>0.0</v>
      </c>
      <c r="G480" s="320">
        <v>0.0</v>
      </c>
      <c r="H480" s="320">
        <v>0.0</v>
      </c>
      <c r="I480" s="329"/>
      <c r="J480" s="320">
        <v>132.38</v>
      </c>
      <c r="K480" s="320">
        <v>70.91</v>
      </c>
      <c r="L480" s="320">
        <v>53.92</v>
      </c>
      <c r="M480" s="320">
        <v>0.7604</v>
      </c>
      <c r="N480" s="320">
        <v>0.4191</v>
      </c>
      <c r="O480" s="320">
        <v>0.2945</v>
      </c>
      <c r="P480" s="320">
        <v>1.315</v>
      </c>
      <c r="Q480" s="320">
        <v>259.77</v>
      </c>
      <c r="R480" s="320">
        <v>152.69</v>
      </c>
      <c r="S480" s="320">
        <v>107.09</v>
      </c>
      <c r="T480" s="320">
        <v>0.0</v>
      </c>
      <c r="U480" s="320">
        <v>259.77</v>
      </c>
      <c r="V480" s="320">
        <v>327.07</v>
      </c>
      <c r="W480" s="320">
        <v>4.6128</v>
      </c>
      <c r="X480" s="320">
        <v>0.0</v>
      </c>
      <c r="Y480" s="320">
        <v>268.0</v>
      </c>
      <c r="Z480" s="320">
        <v>2246.0</v>
      </c>
      <c r="AA480" s="320">
        <v>9865.0</v>
      </c>
      <c r="AB480" s="320">
        <v>59.5285</v>
      </c>
      <c r="AC480" s="320">
        <v>0.83</v>
      </c>
      <c r="AD480" s="320">
        <v>35.52</v>
      </c>
      <c r="AE480" s="320">
        <v>14.0</v>
      </c>
      <c r="AF480" s="320">
        <v>28.0</v>
      </c>
      <c r="AG480" s="320">
        <v>48.0</v>
      </c>
      <c r="AH480" s="320">
        <v>74.0</v>
      </c>
      <c r="AI480" s="320">
        <v>50.07</v>
      </c>
      <c r="AJ480" s="320">
        <v>16.88</v>
      </c>
      <c r="AK480" s="320">
        <v>3.93</v>
      </c>
      <c r="AL480" s="320">
        <v>0.1454</v>
      </c>
      <c r="AM480" s="320">
        <v>22.79</v>
      </c>
      <c r="AN480" s="320">
        <v>129.89</v>
      </c>
      <c r="AO480" s="320">
        <v>83.69</v>
      </c>
      <c r="AP480" s="320">
        <v>19.07</v>
      </c>
    </row>
    <row r="481">
      <c r="A481" s="319" t="s">
        <v>256</v>
      </c>
      <c r="B481" s="328">
        <v>46129.0</v>
      </c>
      <c r="C481" s="319" t="s">
        <v>218</v>
      </c>
      <c r="D481" s="320">
        <v>583.0</v>
      </c>
      <c r="E481" s="320">
        <v>0.58</v>
      </c>
      <c r="F481" s="320">
        <v>0.0</v>
      </c>
      <c r="G481" s="320">
        <v>0.0</v>
      </c>
      <c r="H481" s="320">
        <v>0.0</v>
      </c>
      <c r="I481" s="329"/>
      <c r="J481" s="320">
        <v>244.67</v>
      </c>
      <c r="K481" s="320">
        <v>137.52</v>
      </c>
      <c r="L481" s="320">
        <v>120.76</v>
      </c>
      <c r="M481" s="320">
        <v>0.8781</v>
      </c>
      <c r="N481" s="320">
        <v>0.282</v>
      </c>
      <c r="O481" s="320">
        <v>0.2159</v>
      </c>
      <c r="P481" s="320">
        <v>1.1389</v>
      </c>
      <c r="Q481" s="320">
        <v>507.17</v>
      </c>
      <c r="R481" s="320">
        <v>264.16</v>
      </c>
      <c r="S481" s="320">
        <v>243.01</v>
      </c>
      <c r="T481" s="320">
        <v>0.0</v>
      </c>
      <c r="U481" s="320">
        <v>507.17</v>
      </c>
      <c r="V481" s="320">
        <v>641.51</v>
      </c>
      <c r="W481" s="320">
        <v>4.6647</v>
      </c>
      <c r="X481" s="320">
        <v>0.0</v>
      </c>
      <c r="Y481" s="320">
        <v>900.0</v>
      </c>
      <c r="Z481" s="320">
        <v>4235.0</v>
      </c>
      <c r="AA481" s="320">
        <v>13435.0</v>
      </c>
      <c r="AB481" s="320">
        <v>64.2046</v>
      </c>
      <c r="AC481" s="320">
        <v>0.9025</v>
      </c>
      <c r="AD481" s="320">
        <v>83.49</v>
      </c>
      <c r="AE481" s="320">
        <v>38.0</v>
      </c>
      <c r="AF481" s="320">
        <v>66.0</v>
      </c>
      <c r="AG481" s="320">
        <v>122.0</v>
      </c>
      <c r="AH481" s="320">
        <v>166.0</v>
      </c>
      <c r="AI481" s="320">
        <v>43.74</v>
      </c>
      <c r="AJ481" s="320">
        <v>7.72</v>
      </c>
      <c r="AK481" s="320">
        <v>0.51</v>
      </c>
      <c r="AL481" s="320">
        <v>0.0926</v>
      </c>
      <c r="AM481" s="320">
        <v>24.84</v>
      </c>
      <c r="AN481" s="320">
        <v>239.32</v>
      </c>
      <c r="AO481" s="320">
        <v>87.36</v>
      </c>
      <c r="AP481" s="320">
        <v>21.7</v>
      </c>
    </row>
    <row r="482">
      <c r="A482" s="319" t="s">
        <v>256</v>
      </c>
      <c r="B482" s="328">
        <v>46130.0</v>
      </c>
      <c r="C482" s="319" t="s">
        <v>257</v>
      </c>
      <c r="D482" s="320">
        <v>18864.0</v>
      </c>
      <c r="E482" s="320">
        <v>19.15</v>
      </c>
      <c r="F482" s="320">
        <v>0.0</v>
      </c>
      <c r="G482" s="320">
        <v>0.0</v>
      </c>
      <c r="H482" s="320">
        <v>0.0</v>
      </c>
      <c r="I482" s="329"/>
      <c r="J482" s="320">
        <v>5.88</v>
      </c>
      <c r="K482" s="320">
        <v>2.39</v>
      </c>
      <c r="L482" s="320">
        <v>0.03</v>
      </c>
      <c r="M482" s="320">
        <v>0.0133</v>
      </c>
      <c r="N482" s="320">
        <v>0.9905</v>
      </c>
      <c r="O482" s="320">
        <v>0.8828</v>
      </c>
      <c r="P482" s="320">
        <v>74.9336</v>
      </c>
      <c r="Q482" s="320">
        <v>24.26</v>
      </c>
      <c r="R482" s="320">
        <v>24.15</v>
      </c>
      <c r="S482" s="320">
        <v>0.12</v>
      </c>
      <c r="T482" s="320">
        <v>0.0</v>
      </c>
      <c r="U482" s="320">
        <v>24.26</v>
      </c>
      <c r="V482" s="320">
        <v>1.95</v>
      </c>
      <c r="W482" s="320">
        <v>0.8147</v>
      </c>
      <c r="X482" s="320">
        <v>0.01</v>
      </c>
      <c r="Y482" s="320">
        <v>303.0</v>
      </c>
      <c r="Z482" s="320">
        <v>3798.0</v>
      </c>
      <c r="AA482" s="320">
        <v>14626.0</v>
      </c>
      <c r="AB482" s="320">
        <v>48.8386</v>
      </c>
      <c r="AC482" s="320">
        <v>0.5371</v>
      </c>
      <c r="AD482" s="329"/>
      <c r="AE482" s="329"/>
      <c r="AF482" s="329"/>
      <c r="AG482" s="329"/>
      <c r="AH482" s="329"/>
      <c r="AI482" s="320">
        <v>0.0</v>
      </c>
      <c r="AJ482" s="320">
        <v>0.0</v>
      </c>
      <c r="AK482" s="320">
        <v>0.0</v>
      </c>
      <c r="AL482" s="320">
        <v>0.2863</v>
      </c>
      <c r="AM482" s="320">
        <v>17.85</v>
      </c>
      <c r="AN482" s="320">
        <v>6.3</v>
      </c>
      <c r="AO482" s="329"/>
      <c r="AP482" s="329"/>
    </row>
    <row r="483">
      <c r="A483" s="319" t="s">
        <v>256</v>
      </c>
      <c r="B483" s="328">
        <v>46130.0</v>
      </c>
      <c r="C483" s="319" t="s">
        <v>214</v>
      </c>
      <c r="D483" s="320">
        <v>35953.0</v>
      </c>
      <c r="E483" s="320">
        <v>36.5</v>
      </c>
      <c r="F483" s="320">
        <v>0.0</v>
      </c>
      <c r="G483" s="320">
        <v>0.0</v>
      </c>
      <c r="H483" s="320">
        <v>0.0</v>
      </c>
      <c r="I483" s="329"/>
      <c r="J483" s="320">
        <v>29.49</v>
      </c>
      <c r="K483" s="320">
        <v>13.33</v>
      </c>
      <c r="L483" s="320">
        <v>5.72</v>
      </c>
      <c r="M483" s="320">
        <v>0.4294</v>
      </c>
      <c r="N483" s="320">
        <v>0.7445</v>
      </c>
      <c r="O483" s="320">
        <v>0.5509</v>
      </c>
      <c r="P483" s="320">
        <v>2.3289</v>
      </c>
      <c r="Q483" s="320">
        <v>52.05</v>
      </c>
      <c r="R483" s="320">
        <v>40.59</v>
      </c>
      <c r="S483" s="320">
        <v>11.46</v>
      </c>
      <c r="T483" s="320">
        <v>0.02</v>
      </c>
      <c r="U483" s="320">
        <v>52.03</v>
      </c>
      <c r="V483" s="320">
        <v>53.83</v>
      </c>
      <c r="W483" s="320">
        <v>4.0381</v>
      </c>
      <c r="X483" s="320">
        <v>0.04</v>
      </c>
      <c r="Y483" s="320">
        <v>144.0</v>
      </c>
      <c r="Z483" s="320">
        <v>922.0</v>
      </c>
      <c r="AA483" s="320">
        <v>5943.0</v>
      </c>
      <c r="AB483" s="320">
        <v>48.8249</v>
      </c>
      <c r="AC483" s="320">
        <v>0.5424</v>
      </c>
      <c r="AD483" s="320">
        <v>4.04</v>
      </c>
      <c r="AE483" s="320">
        <v>1.0</v>
      </c>
      <c r="AF483" s="320">
        <v>3.0</v>
      </c>
      <c r="AG483" s="320">
        <v>5.0</v>
      </c>
      <c r="AH483" s="320">
        <v>9.0</v>
      </c>
      <c r="AI483" s="320">
        <v>73.3</v>
      </c>
      <c r="AJ483" s="320">
        <v>31.27</v>
      </c>
      <c r="AK483" s="320">
        <v>9.15</v>
      </c>
      <c r="AL483" s="320">
        <v>0.2538</v>
      </c>
      <c r="AM483" s="320">
        <v>21.99</v>
      </c>
      <c r="AN483" s="320">
        <v>18.6</v>
      </c>
      <c r="AO483" s="320">
        <v>65.61</v>
      </c>
      <c r="AP483" s="320">
        <v>14.43</v>
      </c>
    </row>
    <row r="484">
      <c r="A484" s="319" t="s">
        <v>256</v>
      </c>
      <c r="B484" s="328">
        <v>46130.0</v>
      </c>
      <c r="C484" s="319" t="s">
        <v>215</v>
      </c>
      <c r="D484" s="320">
        <v>24147.0</v>
      </c>
      <c r="E484" s="320">
        <v>24.51</v>
      </c>
      <c r="F484" s="320">
        <v>0.0</v>
      </c>
      <c r="G484" s="320">
        <v>0.0</v>
      </c>
      <c r="H484" s="320">
        <v>0.0</v>
      </c>
      <c r="I484" s="329"/>
      <c r="J484" s="320">
        <v>54.86</v>
      </c>
      <c r="K484" s="320">
        <v>26.03</v>
      </c>
      <c r="L484" s="320">
        <v>13.85</v>
      </c>
      <c r="M484" s="320">
        <v>0.5323</v>
      </c>
      <c r="N484" s="320">
        <v>0.6604</v>
      </c>
      <c r="O484" s="320">
        <v>0.4641</v>
      </c>
      <c r="P484" s="320">
        <v>1.8786</v>
      </c>
      <c r="Q484" s="320">
        <v>95.46</v>
      </c>
      <c r="R484" s="320">
        <v>67.84</v>
      </c>
      <c r="S484" s="320">
        <v>27.63</v>
      </c>
      <c r="T484" s="320">
        <v>0.0</v>
      </c>
      <c r="U484" s="320">
        <v>95.46</v>
      </c>
      <c r="V484" s="320">
        <v>98.5</v>
      </c>
      <c r="W484" s="320">
        <v>3.7848</v>
      </c>
      <c r="X484" s="320">
        <v>0.0</v>
      </c>
      <c r="Y484" s="320">
        <v>119.0</v>
      </c>
      <c r="Z484" s="320">
        <v>674.0</v>
      </c>
      <c r="AA484" s="320">
        <v>5456.0</v>
      </c>
      <c r="AB484" s="320">
        <v>52.111</v>
      </c>
      <c r="AC484" s="320">
        <v>0.6323</v>
      </c>
      <c r="AD484" s="320">
        <v>9.35</v>
      </c>
      <c r="AE484" s="320">
        <v>4.0</v>
      </c>
      <c r="AF484" s="320">
        <v>8.0</v>
      </c>
      <c r="AG484" s="320">
        <v>13.0</v>
      </c>
      <c r="AH484" s="320">
        <v>19.0</v>
      </c>
      <c r="AI484" s="320">
        <v>61.37</v>
      </c>
      <c r="AJ484" s="320">
        <v>25.28</v>
      </c>
      <c r="AK484" s="320">
        <v>4.36</v>
      </c>
      <c r="AL484" s="320">
        <v>0.2065</v>
      </c>
      <c r="AM484" s="320">
        <v>22.73</v>
      </c>
      <c r="AN484" s="320">
        <v>45.1</v>
      </c>
      <c r="AO484" s="320">
        <v>74.63</v>
      </c>
      <c r="AP484" s="320">
        <v>16.96</v>
      </c>
    </row>
    <row r="485">
      <c r="A485" s="319" t="s">
        <v>256</v>
      </c>
      <c r="B485" s="328">
        <v>46130.0</v>
      </c>
      <c r="C485" s="319" t="s">
        <v>216</v>
      </c>
      <c r="D485" s="320">
        <v>13631.0</v>
      </c>
      <c r="E485" s="320">
        <v>13.84</v>
      </c>
      <c r="F485" s="320">
        <v>0.0</v>
      </c>
      <c r="G485" s="320">
        <v>0.0</v>
      </c>
      <c r="H485" s="320">
        <v>0.0</v>
      </c>
      <c r="I485" s="329"/>
      <c r="J485" s="320">
        <v>80.07</v>
      </c>
      <c r="K485" s="320">
        <v>40.18</v>
      </c>
      <c r="L485" s="320">
        <v>26.61</v>
      </c>
      <c r="M485" s="320">
        <v>0.6621</v>
      </c>
      <c r="N485" s="320">
        <v>0.5317</v>
      </c>
      <c r="O485" s="320">
        <v>0.3708</v>
      </c>
      <c r="P485" s="320">
        <v>1.5103</v>
      </c>
      <c r="Q485" s="320">
        <v>163.16</v>
      </c>
      <c r="R485" s="320">
        <v>110.23</v>
      </c>
      <c r="S485" s="320">
        <v>52.92</v>
      </c>
      <c r="T485" s="320">
        <v>0.0</v>
      </c>
      <c r="U485" s="320">
        <v>163.16</v>
      </c>
      <c r="V485" s="320">
        <v>167.19</v>
      </c>
      <c r="W485" s="320">
        <v>4.1608</v>
      </c>
      <c r="X485" s="320">
        <v>0.0</v>
      </c>
      <c r="Y485" s="320">
        <v>151.0</v>
      </c>
      <c r="Z485" s="320">
        <v>969.0</v>
      </c>
      <c r="AA485" s="320">
        <v>6094.0</v>
      </c>
      <c r="AB485" s="320">
        <v>55.6218</v>
      </c>
      <c r="AC485" s="320">
        <v>0.7325</v>
      </c>
      <c r="AD485" s="320">
        <v>17.75</v>
      </c>
      <c r="AE485" s="320">
        <v>7.0</v>
      </c>
      <c r="AF485" s="320">
        <v>14.0</v>
      </c>
      <c r="AG485" s="320">
        <v>24.0</v>
      </c>
      <c r="AH485" s="320">
        <v>37.0</v>
      </c>
      <c r="AI485" s="320">
        <v>60.31</v>
      </c>
      <c r="AJ485" s="320">
        <v>22.86</v>
      </c>
      <c r="AK485" s="320">
        <v>7.0</v>
      </c>
      <c r="AL485" s="320">
        <v>0.1827</v>
      </c>
      <c r="AM485" s="320">
        <v>23.03</v>
      </c>
      <c r="AN485" s="320">
        <v>87.2</v>
      </c>
      <c r="AO485" s="320">
        <v>77.71</v>
      </c>
      <c r="AP485" s="320">
        <v>17.9</v>
      </c>
    </row>
    <row r="486">
      <c r="A486" s="319" t="s">
        <v>256</v>
      </c>
      <c r="B486" s="328">
        <v>46130.0</v>
      </c>
      <c r="C486" s="319" t="s">
        <v>217</v>
      </c>
      <c r="D486" s="320">
        <v>5323.0</v>
      </c>
      <c r="E486" s="320">
        <v>5.4</v>
      </c>
      <c r="F486" s="320">
        <v>0.0</v>
      </c>
      <c r="G486" s="320">
        <v>0.0</v>
      </c>
      <c r="H486" s="320">
        <v>0.0</v>
      </c>
      <c r="I486" s="329"/>
      <c r="J486" s="320">
        <v>128.18</v>
      </c>
      <c r="K486" s="320">
        <v>68.57</v>
      </c>
      <c r="L486" s="320">
        <v>54.05</v>
      </c>
      <c r="M486" s="320">
        <v>0.7882</v>
      </c>
      <c r="N486" s="320">
        <v>0.3973</v>
      </c>
      <c r="O486" s="320">
        <v>0.2873</v>
      </c>
      <c r="P486" s="320">
        <v>1.2687</v>
      </c>
      <c r="Q486" s="320">
        <v>303.99</v>
      </c>
      <c r="R486" s="320">
        <v>196.8</v>
      </c>
      <c r="S486" s="320">
        <v>107.19</v>
      </c>
      <c r="T486" s="320">
        <v>0.0</v>
      </c>
      <c r="U486" s="320">
        <v>303.99</v>
      </c>
      <c r="V486" s="320">
        <v>326.62</v>
      </c>
      <c r="W486" s="320">
        <v>4.7632</v>
      </c>
      <c r="X486" s="320">
        <v>0.0</v>
      </c>
      <c r="Y486" s="320">
        <v>277.0</v>
      </c>
      <c r="Z486" s="320">
        <v>2265.0</v>
      </c>
      <c r="AA486" s="320">
        <v>9539.0</v>
      </c>
      <c r="AB486" s="320">
        <v>59.4712</v>
      </c>
      <c r="AC486" s="320">
        <v>0.8248</v>
      </c>
      <c r="AD486" s="320">
        <v>36.79</v>
      </c>
      <c r="AE486" s="320">
        <v>15.0</v>
      </c>
      <c r="AF486" s="320">
        <v>28.0</v>
      </c>
      <c r="AG486" s="320">
        <v>51.0</v>
      </c>
      <c r="AH486" s="320">
        <v>76.0</v>
      </c>
      <c r="AI486" s="320">
        <v>50.93</v>
      </c>
      <c r="AJ486" s="320">
        <v>18.6</v>
      </c>
      <c r="AK486" s="320">
        <v>4.66</v>
      </c>
      <c r="AL486" s="320">
        <v>0.1319</v>
      </c>
      <c r="AM486" s="320">
        <v>24.12</v>
      </c>
      <c r="AN486" s="320">
        <v>172.67</v>
      </c>
      <c r="AO486" s="320">
        <v>83.16</v>
      </c>
      <c r="AP486" s="320">
        <v>20.06</v>
      </c>
    </row>
    <row r="487">
      <c r="A487" s="319" t="s">
        <v>256</v>
      </c>
      <c r="B487" s="328">
        <v>46130.0</v>
      </c>
      <c r="C487" s="319" t="s">
        <v>218</v>
      </c>
      <c r="D487" s="320">
        <v>583.0</v>
      </c>
      <c r="E487" s="320">
        <v>0.59</v>
      </c>
      <c r="F487" s="320">
        <v>0.0</v>
      </c>
      <c r="G487" s="320">
        <v>0.0</v>
      </c>
      <c r="H487" s="320">
        <v>0.0</v>
      </c>
      <c r="I487" s="329"/>
      <c r="J487" s="320">
        <v>244.63</v>
      </c>
      <c r="K487" s="320">
        <v>143.27</v>
      </c>
      <c r="L487" s="320">
        <v>124.49</v>
      </c>
      <c r="M487" s="320">
        <v>0.869</v>
      </c>
      <c r="N487" s="320">
        <v>0.2842</v>
      </c>
      <c r="O487" s="320">
        <v>0.2128</v>
      </c>
      <c r="P487" s="320">
        <v>1.1508</v>
      </c>
      <c r="Q487" s="320">
        <v>599.32</v>
      </c>
      <c r="R487" s="320">
        <v>348.68</v>
      </c>
      <c r="S487" s="320">
        <v>250.63</v>
      </c>
      <c r="T487" s="320">
        <v>0.0</v>
      </c>
      <c r="U487" s="320">
        <v>599.32</v>
      </c>
      <c r="V487" s="320">
        <v>665.18</v>
      </c>
      <c r="W487" s="320">
        <v>4.643</v>
      </c>
      <c r="X487" s="320">
        <v>0.0</v>
      </c>
      <c r="Y487" s="320">
        <v>826.0</v>
      </c>
      <c r="Z487" s="320">
        <v>4269.0</v>
      </c>
      <c r="AA487" s="320">
        <v>14768.0</v>
      </c>
      <c r="AB487" s="320">
        <v>63.7559</v>
      </c>
      <c r="AC487" s="320">
        <v>0.8988</v>
      </c>
      <c r="AD487" s="320">
        <v>83.73</v>
      </c>
      <c r="AE487" s="320">
        <v>36.0</v>
      </c>
      <c r="AF487" s="320">
        <v>66.0</v>
      </c>
      <c r="AG487" s="320">
        <v>114.0</v>
      </c>
      <c r="AH487" s="320">
        <v>176.0</v>
      </c>
      <c r="AI487" s="320">
        <v>42.02</v>
      </c>
      <c r="AJ487" s="320">
        <v>10.29</v>
      </c>
      <c r="AK487" s="320">
        <v>1.54</v>
      </c>
      <c r="AL487" s="320">
        <v>0.0892</v>
      </c>
      <c r="AM487" s="320">
        <v>26.44</v>
      </c>
      <c r="AN487" s="320">
        <v>322.24</v>
      </c>
      <c r="AO487" s="320">
        <v>86.72</v>
      </c>
      <c r="AP487" s="320">
        <v>22.93</v>
      </c>
    </row>
    <row r="488">
      <c r="A488" s="319" t="s">
        <v>256</v>
      </c>
      <c r="B488" s="328">
        <v>46131.0</v>
      </c>
      <c r="C488" s="319" t="s">
        <v>257</v>
      </c>
      <c r="D488" s="320">
        <v>19111.0</v>
      </c>
      <c r="E488" s="320">
        <v>19.07</v>
      </c>
      <c r="F488" s="320">
        <v>0.0</v>
      </c>
      <c r="G488" s="320">
        <v>0.0</v>
      </c>
      <c r="H488" s="320">
        <v>0.0</v>
      </c>
      <c r="I488" s="329"/>
      <c r="J488" s="320">
        <v>6.09</v>
      </c>
      <c r="K488" s="320">
        <v>2.52</v>
      </c>
      <c r="L488" s="320">
        <v>0.03</v>
      </c>
      <c r="M488" s="320">
        <v>0.0119</v>
      </c>
      <c r="N488" s="320">
        <v>0.9914</v>
      </c>
      <c r="O488" s="320">
        <v>0.8856</v>
      </c>
      <c r="P488" s="320">
        <v>83.7718</v>
      </c>
      <c r="Q488" s="320">
        <v>22.99</v>
      </c>
      <c r="R488" s="320">
        <v>22.89</v>
      </c>
      <c r="S488" s="320">
        <v>0.1</v>
      </c>
      <c r="T488" s="320">
        <v>0.0</v>
      </c>
      <c r="U488" s="320">
        <v>22.99</v>
      </c>
      <c r="V488" s="320">
        <v>1.97</v>
      </c>
      <c r="W488" s="320">
        <v>0.783</v>
      </c>
      <c r="X488" s="320">
        <v>0.0</v>
      </c>
      <c r="Y488" s="320">
        <v>356.0</v>
      </c>
      <c r="Z488" s="320">
        <v>4129.0</v>
      </c>
      <c r="AA488" s="320">
        <v>15320.0</v>
      </c>
      <c r="AB488" s="320">
        <v>49.1476</v>
      </c>
      <c r="AC488" s="320">
        <v>0.5461</v>
      </c>
      <c r="AD488" s="329"/>
      <c r="AE488" s="329"/>
      <c r="AF488" s="329"/>
      <c r="AG488" s="329"/>
      <c r="AH488" s="329"/>
      <c r="AI488" s="320">
        <v>0.0</v>
      </c>
      <c r="AJ488" s="320">
        <v>0.0</v>
      </c>
      <c r="AK488" s="320">
        <v>0.0</v>
      </c>
      <c r="AL488" s="320">
        <v>0.2919</v>
      </c>
      <c r="AM488" s="320">
        <v>18.68</v>
      </c>
      <c r="AN488" s="320">
        <v>4.22</v>
      </c>
      <c r="AO488" s="329"/>
      <c r="AP488" s="329"/>
    </row>
    <row r="489">
      <c r="A489" s="319" t="s">
        <v>256</v>
      </c>
      <c r="B489" s="328">
        <v>46131.0</v>
      </c>
      <c r="C489" s="319" t="s">
        <v>214</v>
      </c>
      <c r="D489" s="320">
        <v>36504.0</v>
      </c>
      <c r="E489" s="320">
        <v>36.43</v>
      </c>
      <c r="F489" s="320">
        <v>0.0</v>
      </c>
      <c r="G489" s="320">
        <v>0.0</v>
      </c>
      <c r="H489" s="320">
        <v>0.0</v>
      </c>
      <c r="I489" s="329"/>
      <c r="J489" s="320">
        <v>31.95</v>
      </c>
      <c r="K489" s="320">
        <v>14.66</v>
      </c>
      <c r="L489" s="320">
        <v>5.83</v>
      </c>
      <c r="M489" s="320">
        <v>0.398</v>
      </c>
      <c r="N489" s="320">
        <v>0.7658</v>
      </c>
      <c r="O489" s="320">
        <v>0.5622</v>
      </c>
      <c r="P489" s="320">
        <v>2.5128</v>
      </c>
      <c r="Q489" s="320">
        <v>47.04</v>
      </c>
      <c r="R489" s="320">
        <v>35.34</v>
      </c>
      <c r="S489" s="320">
        <v>11.7</v>
      </c>
      <c r="T489" s="320">
        <v>0.0</v>
      </c>
      <c r="U489" s="320">
        <v>47.04</v>
      </c>
      <c r="V489" s="320">
        <v>51.78</v>
      </c>
      <c r="W489" s="320">
        <v>3.5321</v>
      </c>
      <c r="X489" s="320">
        <v>0.0</v>
      </c>
      <c r="Y489" s="320">
        <v>139.0</v>
      </c>
      <c r="Z489" s="320">
        <v>941.0</v>
      </c>
      <c r="AA489" s="320">
        <v>6192.0</v>
      </c>
      <c r="AB489" s="320">
        <v>48.7698</v>
      </c>
      <c r="AC489" s="320">
        <v>0.5417</v>
      </c>
      <c r="AD489" s="320">
        <v>4.05</v>
      </c>
      <c r="AE489" s="320">
        <v>1.0</v>
      </c>
      <c r="AF489" s="320">
        <v>3.0</v>
      </c>
      <c r="AG489" s="320">
        <v>5.0</v>
      </c>
      <c r="AH489" s="320">
        <v>9.0</v>
      </c>
      <c r="AI489" s="320">
        <v>73.82</v>
      </c>
      <c r="AJ489" s="320">
        <v>31.22</v>
      </c>
      <c r="AK489" s="320">
        <v>8.68</v>
      </c>
      <c r="AL489" s="320">
        <v>0.2647</v>
      </c>
      <c r="AM489" s="320">
        <v>21.09</v>
      </c>
      <c r="AN489" s="320">
        <v>14.25</v>
      </c>
      <c r="AO489" s="320">
        <v>65.21</v>
      </c>
      <c r="AP489" s="320">
        <v>13.75</v>
      </c>
    </row>
    <row r="490">
      <c r="A490" s="319" t="s">
        <v>256</v>
      </c>
      <c r="B490" s="328">
        <v>46131.0</v>
      </c>
      <c r="C490" s="319" t="s">
        <v>215</v>
      </c>
      <c r="D490" s="320">
        <v>24561.0</v>
      </c>
      <c r="E490" s="320">
        <v>24.51</v>
      </c>
      <c r="F490" s="320">
        <v>0.0</v>
      </c>
      <c r="G490" s="320">
        <v>0.0</v>
      </c>
      <c r="H490" s="320">
        <v>0.0</v>
      </c>
      <c r="I490" s="329"/>
      <c r="J490" s="320">
        <v>60.44</v>
      </c>
      <c r="K490" s="320">
        <v>28.91</v>
      </c>
      <c r="L490" s="320">
        <v>14.4</v>
      </c>
      <c r="M490" s="320">
        <v>0.498</v>
      </c>
      <c r="N490" s="320">
        <v>0.6836</v>
      </c>
      <c r="O490" s="320">
        <v>0.475</v>
      </c>
      <c r="P490" s="320">
        <v>2.008</v>
      </c>
      <c r="Q490" s="320">
        <v>81.21</v>
      </c>
      <c r="R490" s="320">
        <v>52.3</v>
      </c>
      <c r="S490" s="320">
        <v>28.9</v>
      </c>
      <c r="T490" s="320">
        <v>0.0</v>
      </c>
      <c r="U490" s="320">
        <v>81.21</v>
      </c>
      <c r="V490" s="320">
        <v>95.43</v>
      </c>
      <c r="W490" s="320">
        <v>3.3013</v>
      </c>
      <c r="X490" s="320">
        <v>0.0</v>
      </c>
      <c r="Y490" s="320">
        <v>111.0</v>
      </c>
      <c r="Z490" s="320">
        <v>623.0</v>
      </c>
      <c r="AA490" s="320">
        <v>4725.0</v>
      </c>
      <c r="AB490" s="320">
        <v>52.1442</v>
      </c>
      <c r="AC490" s="320">
        <v>0.6312</v>
      </c>
      <c r="AD490" s="320">
        <v>9.4</v>
      </c>
      <c r="AE490" s="320">
        <v>4.0</v>
      </c>
      <c r="AF490" s="320">
        <v>7.0</v>
      </c>
      <c r="AG490" s="320">
        <v>13.0</v>
      </c>
      <c r="AH490" s="320">
        <v>20.0</v>
      </c>
      <c r="AI490" s="320">
        <v>60.98</v>
      </c>
      <c r="AJ490" s="320">
        <v>25.69</v>
      </c>
      <c r="AK490" s="320">
        <v>4.65</v>
      </c>
      <c r="AL490" s="320">
        <v>0.2136</v>
      </c>
      <c r="AM490" s="320">
        <v>21.45</v>
      </c>
      <c r="AN490" s="320">
        <v>30.85</v>
      </c>
      <c r="AO490" s="320">
        <v>74.34</v>
      </c>
      <c r="AP490" s="320">
        <v>15.95</v>
      </c>
    </row>
    <row r="491">
      <c r="A491" s="319" t="s">
        <v>256</v>
      </c>
      <c r="B491" s="328">
        <v>46131.0</v>
      </c>
      <c r="C491" s="319" t="s">
        <v>216</v>
      </c>
      <c r="D491" s="320">
        <v>13941.0</v>
      </c>
      <c r="E491" s="320">
        <v>13.91</v>
      </c>
      <c r="F491" s="320">
        <v>0.0</v>
      </c>
      <c r="G491" s="320">
        <v>0.0</v>
      </c>
      <c r="H491" s="320">
        <v>0.0</v>
      </c>
      <c r="I491" s="329"/>
      <c r="J491" s="320">
        <v>87.08</v>
      </c>
      <c r="K491" s="320">
        <v>44.32</v>
      </c>
      <c r="L491" s="320">
        <v>28.02</v>
      </c>
      <c r="M491" s="320">
        <v>0.6322</v>
      </c>
      <c r="N491" s="320">
        <v>0.5526</v>
      </c>
      <c r="O491" s="320">
        <v>0.3782</v>
      </c>
      <c r="P491" s="320">
        <v>1.5819</v>
      </c>
      <c r="Q491" s="320">
        <v>132.41</v>
      </c>
      <c r="R491" s="320">
        <v>76.69</v>
      </c>
      <c r="S491" s="320">
        <v>55.71</v>
      </c>
      <c r="T491" s="320">
        <v>0.0</v>
      </c>
      <c r="U491" s="320">
        <v>132.41</v>
      </c>
      <c r="V491" s="320">
        <v>165.97</v>
      </c>
      <c r="W491" s="320">
        <v>3.7449</v>
      </c>
      <c r="X491" s="320">
        <v>0.0</v>
      </c>
      <c r="Y491" s="320">
        <v>128.0</v>
      </c>
      <c r="Z491" s="320">
        <v>943.0</v>
      </c>
      <c r="AA491" s="320">
        <v>5987.0</v>
      </c>
      <c r="AB491" s="320">
        <v>55.7069</v>
      </c>
      <c r="AC491" s="320">
        <v>0.735</v>
      </c>
      <c r="AD491" s="320">
        <v>17.97</v>
      </c>
      <c r="AE491" s="320">
        <v>7.0</v>
      </c>
      <c r="AF491" s="320">
        <v>14.0</v>
      </c>
      <c r="AG491" s="320">
        <v>24.0</v>
      </c>
      <c r="AH491" s="320">
        <v>38.0</v>
      </c>
      <c r="AI491" s="320">
        <v>59.85</v>
      </c>
      <c r="AJ491" s="320">
        <v>23.13</v>
      </c>
      <c r="AK491" s="320">
        <v>7.62</v>
      </c>
      <c r="AL491" s="320">
        <v>0.1994</v>
      </c>
      <c r="AM491" s="320">
        <v>21.84</v>
      </c>
      <c r="AN491" s="320">
        <v>54.86</v>
      </c>
      <c r="AO491" s="320">
        <v>77.12</v>
      </c>
      <c r="AP491" s="320">
        <v>16.84</v>
      </c>
    </row>
    <row r="492">
      <c r="A492" s="319" t="s">
        <v>256</v>
      </c>
      <c r="B492" s="328">
        <v>46131.0</v>
      </c>
      <c r="C492" s="319" t="s">
        <v>217</v>
      </c>
      <c r="D492" s="320">
        <v>5493.0</v>
      </c>
      <c r="E492" s="320">
        <v>5.48</v>
      </c>
      <c r="F492" s="320">
        <v>0.0</v>
      </c>
      <c r="G492" s="320">
        <v>0.0</v>
      </c>
      <c r="H492" s="320">
        <v>0.0</v>
      </c>
      <c r="I492" s="329"/>
      <c r="J492" s="320">
        <v>135.49</v>
      </c>
      <c r="K492" s="320">
        <v>73.28</v>
      </c>
      <c r="L492" s="320">
        <v>56.04</v>
      </c>
      <c r="M492" s="320">
        <v>0.7646</v>
      </c>
      <c r="N492" s="320">
        <v>0.4146</v>
      </c>
      <c r="O492" s="320">
        <v>0.292</v>
      </c>
      <c r="P492" s="320">
        <v>1.3078</v>
      </c>
      <c r="Q492" s="320">
        <v>224.7</v>
      </c>
      <c r="R492" s="320">
        <v>113.44</v>
      </c>
      <c r="S492" s="320">
        <v>111.25</v>
      </c>
      <c r="T492" s="320">
        <v>0.0</v>
      </c>
      <c r="U492" s="320">
        <v>224.7</v>
      </c>
      <c r="V492" s="320">
        <v>323.15</v>
      </c>
      <c r="W492" s="320">
        <v>4.4095</v>
      </c>
      <c r="X492" s="320">
        <v>0.0</v>
      </c>
      <c r="Y492" s="320">
        <v>221.0</v>
      </c>
      <c r="Z492" s="320">
        <v>2112.0</v>
      </c>
      <c r="AA492" s="320">
        <v>9801.0</v>
      </c>
      <c r="AB492" s="320">
        <v>59.575</v>
      </c>
      <c r="AC492" s="320">
        <v>0.8301</v>
      </c>
      <c r="AD492" s="320">
        <v>36.64</v>
      </c>
      <c r="AE492" s="320">
        <v>14.0</v>
      </c>
      <c r="AF492" s="320">
        <v>28.0</v>
      </c>
      <c r="AG492" s="320">
        <v>50.0</v>
      </c>
      <c r="AH492" s="320">
        <v>78.0</v>
      </c>
      <c r="AI492" s="320">
        <v>50.25</v>
      </c>
      <c r="AJ492" s="320">
        <v>18.68</v>
      </c>
      <c r="AK492" s="320">
        <v>4.7</v>
      </c>
      <c r="AL492" s="320">
        <v>0.1418</v>
      </c>
      <c r="AM492" s="320">
        <v>21.88</v>
      </c>
      <c r="AN492" s="320">
        <v>91.56</v>
      </c>
      <c r="AO492" s="320">
        <v>81.96</v>
      </c>
      <c r="AP492" s="320">
        <v>17.93</v>
      </c>
    </row>
    <row r="493">
      <c r="A493" s="319" t="s">
        <v>256</v>
      </c>
      <c r="B493" s="328">
        <v>46131.0</v>
      </c>
      <c r="C493" s="319" t="s">
        <v>218</v>
      </c>
      <c r="D493" s="320">
        <v>582.0</v>
      </c>
      <c r="E493" s="320">
        <v>0.58</v>
      </c>
      <c r="F493" s="320">
        <v>0.0</v>
      </c>
      <c r="G493" s="320">
        <v>0.0</v>
      </c>
      <c r="H493" s="320">
        <v>0.0</v>
      </c>
      <c r="I493" s="329"/>
      <c r="J493" s="320">
        <v>252.59</v>
      </c>
      <c r="K493" s="320">
        <v>147.05</v>
      </c>
      <c r="L493" s="320">
        <v>124.4</v>
      </c>
      <c r="M493" s="320">
        <v>0.846</v>
      </c>
      <c r="N493" s="320">
        <v>0.3022</v>
      </c>
      <c r="O493" s="320">
        <v>0.22</v>
      </c>
      <c r="P493" s="320">
        <v>1.182</v>
      </c>
      <c r="Q493" s="320">
        <v>420.32</v>
      </c>
      <c r="R493" s="320">
        <v>170.12</v>
      </c>
      <c r="S493" s="320">
        <v>250.2</v>
      </c>
      <c r="T493" s="320">
        <v>0.0</v>
      </c>
      <c r="U493" s="320">
        <v>420.32</v>
      </c>
      <c r="V493" s="320">
        <v>590.21</v>
      </c>
      <c r="W493" s="320">
        <v>4.0137</v>
      </c>
      <c r="X493" s="320">
        <v>0.0</v>
      </c>
      <c r="Y493" s="320">
        <v>585.0</v>
      </c>
      <c r="Z493" s="320">
        <v>3410.0</v>
      </c>
      <c r="AA493" s="320">
        <v>11950.0</v>
      </c>
      <c r="AB493" s="320">
        <v>63.8265</v>
      </c>
      <c r="AC493" s="320">
        <v>0.8995</v>
      </c>
      <c r="AD493" s="320">
        <v>78.75</v>
      </c>
      <c r="AE493" s="320">
        <v>31.0</v>
      </c>
      <c r="AF493" s="320">
        <v>64.0</v>
      </c>
      <c r="AG493" s="320">
        <v>113.0</v>
      </c>
      <c r="AH493" s="320">
        <v>167.0</v>
      </c>
      <c r="AI493" s="320">
        <v>41.41</v>
      </c>
      <c r="AJ493" s="320">
        <v>7.9</v>
      </c>
      <c r="AK493" s="320">
        <v>0.69</v>
      </c>
      <c r="AL493" s="320">
        <v>0.0825</v>
      </c>
      <c r="AM493" s="320">
        <v>23.8</v>
      </c>
      <c r="AN493" s="320">
        <v>146.32</v>
      </c>
      <c r="AO493" s="320">
        <v>84.86</v>
      </c>
      <c r="AP493" s="320">
        <v>20.2</v>
      </c>
    </row>
    <row r="494">
      <c r="A494" s="319" t="s">
        <v>256</v>
      </c>
      <c r="B494" s="328">
        <v>46132.0</v>
      </c>
      <c r="C494" s="319" t="s">
        <v>257</v>
      </c>
      <c r="D494" s="320">
        <v>18810.0</v>
      </c>
      <c r="E494" s="320">
        <v>17.79</v>
      </c>
      <c r="F494" s="320">
        <v>0.0</v>
      </c>
      <c r="G494" s="320">
        <v>0.0</v>
      </c>
      <c r="H494" s="320">
        <v>0.0</v>
      </c>
      <c r="I494" s="329"/>
      <c r="J494" s="320">
        <v>5.5</v>
      </c>
      <c r="K494" s="320">
        <v>2.21</v>
      </c>
      <c r="L494" s="320">
        <v>0.09</v>
      </c>
      <c r="M494" s="320">
        <v>0.0388</v>
      </c>
      <c r="N494" s="320">
        <v>0.9702</v>
      </c>
      <c r="O494" s="320">
        <v>0.7251</v>
      </c>
      <c r="P494" s="320">
        <v>25.7986</v>
      </c>
      <c r="Q494" s="320">
        <v>32.89</v>
      </c>
      <c r="R494" s="320">
        <v>32.76</v>
      </c>
      <c r="S494" s="320">
        <v>0.13</v>
      </c>
      <c r="T494" s="320">
        <v>0.0</v>
      </c>
      <c r="U494" s="320">
        <v>32.89</v>
      </c>
      <c r="V494" s="320">
        <v>2.07</v>
      </c>
      <c r="W494" s="320">
        <v>0.9354</v>
      </c>
      <c r="X494" s="320">
        <v>0.0</v>
      </c>
      <c r="Y494" s="320">
        <v>433.0</v>
      </c>
      <c r="Z494" s="320">
        <v>4694.0</v>
      </c>
      <c r="AA494" s="320">
        <v>16344.0</v>
      </c>
      <c r="AB494" s="320">
        <v>49.5888</v>
      </c>
      <c r="AC494" s="320">
        <v>0.5557</v>
      </c>
      <c r="AD494" s="329"/>
      <c r="AE494" s="329"/>
      <c r="AF494" s="329"/>
      <c r="AG494" s="329"/>
      <c r="AH494" s="329"/>
      <c r="AI494" s="320">
        <v>0.0</v>
      </c>
      <c r="AJ494" s="320">
        <v>0.0</v>
      </c>
      <c r="AK494" s="320">
        <v>0.0</v>
      </c>
      <c r="AL494" s="320">
        <v>0.2726</v>
      </c>
      <c r="AM494" s="320">
        <v>16.95</v>
      </c>
      <c r="AN494" s="320">
        <v>15.8</v>
      </c>
      <c r="AO494" s="329"/>
      <c r="AP494" s="329"/>
    </row>
    <row r="495">
      <c r="A495" s="319" t="s">
        <v>256</v>
      </c>
      <c r="B495" s="328">
        <v>46132.0</v>
      </c>
      <c r="C495" s="319" t="s">
        <v>214</v>
      </c>
      <c r="D495" s="320">
        <v>37581.0</v>
      </c>
      <c r="E495" s="320">
        <v>35.54</v>
      </c>
      <c r="F495" s="320">
        <v>0.0</v>
      </c>
      <c r="G495" s="320">
        <v>0.0</v>
      </c>
      <c r="H495" s="320">
        <v>0.0</v>
      </c>
      <c r="I495" s="329"/>
      <c r="J495" s="320">
        <v>32.13</v>
      </c>
      <c r="K495" s="320">
        <v>14.63</v>
      </c>
      <c r="L495" s="320">
        <v>5.96</v>
      </c>
      <c r="M495" s="320">
        <v>0.4072</v>
      </c>
      <c r="N495" s="320">
        <v>0.7653</v>
      </c>
      <c r="O495" s="320">
        <v>0.5713</v>
      </c>
      <c r="P495" s="320">
        <v>2.4555</v>
      </c>
      <c r="Q495" s="320">
        <v>71.12</v>
      </c>
      <c r="R495" s="320">
        <v>59.71</v>
      </c>
      <c r="S495" s="320">
        <v>11.41</v>
      </c>
      <c r="T495" s="320">
        <v>0.0</v>
      </c>
      <c r="U495" s="320">
        <v>71.12</v>
      </c>
      <c r="V495" s="320">
        <v>58.78</v>
      </c>
      <c r="W495" s="320">
        <v>4.0182</v>
      </c>
      <c r="X495" s="320">
        <v>0.0</v>
      </c>
      <c r="Y495" s="320">
        <v>153.0</v>
      </c>
      <c r="Z495" s="320">
        <v>898.0</v>
      </c>
      <c r="AA495" s="320">
        <v>6268.0</v>
      </c>
      <c r="AB495" s="320">
        <v>48.7716</v>
      </c>
      <c r="AC495" s="320">
        <v>0.5255</v>
      </c>
      <c r="AD495" s="320">
        <v>4.05</v>
      </c>
      <c r="AE495" s="320">
        <v>1.0</v>
      </c>
      <c r="AF495" s="320">
        <v>3.0</v>
      </c>
      <c r="AG495" s="320">
        <v>5.0</v>
      </c>
      <c r="AH495" s="320">
        <v>9.0</v>
      </c>
      <c r="AI495" s="320">
        <v>73.96</v>
      </c>
      <c r="AJ495" s="320">
        <v>31.23</v>
      </c>
      <c r="AK495" s="320">
        <v>8.51</v>
      </c>
      <c r="AL495" s="320">
        <v>0.2355</v>
      </c>
      <c r="AM495" s="320">
        <v>18.35</v>
      </c>
      <c r="AN495" s="320">
        <v>41.36</v>
      </c>
      <c r="AO495" s="320">
        <v>65.86</v>
      </c>
      <c r="AP495" s="320">
        <v>12.09</v>
      </c>
    </row>
    <row r="496">
      <c r="A496" s="319" t="s">
        <v>256</v>
      </c>
      <c r="B496" s="328">
        <v>46132.0</v>
      </c>
      <c r="C496" s="319" t="s">
        <v>215</v>
      </c>
      <c r="D496" s="320">
        <v>27079.0</v>
      </c>
      <c r="E496" s="320">
        <v>25.61</v>
      </c>
      <c r="F496" s="320">
        <v>0.0</v>
      </c>
      <c r="G496" s="320">
        <v>0.0</v>
      </c>
      <c r="H496" s="320">
        <v>0.0</v>
      </c>
      <c r="I496" s="329"/>
      <c r="J496" s="320">
        <v>62.51</v>
      </c>
      <c r="K496" s="320">
        <v>29.43</v>
      </c>
      <c r="L496" s="320">
        <v>15.38</v>
      </c>
      <c r="M496" s="320">
        <v>0.5227</v>
      </c>
      <c r="N496" s="320">
        <v>0.6748</v>
      </c>
      <c r="O496" s="320">
        <v>0.4809</v>
      </c>
      <c r="P496" s="320">
        <v>1.9131</v>
      </c>
      <c r="Q496" s="320">
        <v>127.71</v>
      </c>
      <c r="R496" s="320">
        <v>99.59</v>
      </c>
      <c r="S496" s="320">
        <v>28.12</v>
      </c>
      <c r="T496" s="320">
        <v>0.0</v>
      </c>
      <c r="U496" s="320">
        <v>127.71</v>
      </c>
      <c r="V496" s="320">
        <v>114.06</v>
      </c>
      <c r="W496" s="320">
        <v>3.8754</v>
      </c>
      <c r="X496" s="320">
        <v>0.0</v>
      </c>
      <c r="Y496" s="320">
        <v>133.0</v>
      </c>
      <c r="Z496" s="320">
        <v>695.0</v>
      </c>
      <c r="AA496" s="320">
        <v>5620.0</v>
      </c>
      <c r="AB496" s="320">
        <v>51.9957</v>
      </c>
      <c r="AC496" s="320">
        <v>0.5791</v>
      </c>
      <c r="AD496" s="320">
        <v>9.74</v>
      </c>
      <c r="AE496" s="320">
        <v>4.0</v>
      </c>
      <c r="AF496" s="320">
        <v>8.0</v>
      </c>
      <c r="AG496" s="320">
        <v>13.0</v>
      </c>
      <c r="AH496" s="320">
        <v>21.0</v>
      </c>
      <c r="AI496" s="320">
        <v>61.51</v>
      </c>
      <c r="AJ496" s="320">
        <v>27.45</v>
      </c>
      <c r="AK496" s="320">
        <v>5.47</v>
      </c>
      <c r="AL496" s="320">
        <v>0.1769</v>
      </c>
      <c r="AM496" s="320">
        <v>19.24</v>
      </c>
      <c r="AN496" s="320">
        <v>80.35</v>
      </c>
      <c r="AO496" s="320">
        <v>72.51</v>
      </c>
      <c r="AP496" s="320">
        <v>13.95</v>
      </c>
    </row>
    <row r="497">
      <c r="A497" s="319" t="s">
        <v>256</v>
      </c>
      <c r="B497" s="328">
        <v>46132.0</v>
      </c>
      <c r="C497" s="319" t="s">
        <v>216</v>
      </c>
      <c r="D497" s="320">
        <v>15570.0</v>
      </c>
      <c r="E497" s="320">
        <v>14.73</v>
      </c>
      <c r="F497" s="320">
        <v>0.0</v>
      </c>
      <c r="G497" s="320">
        <v>0.0</v>
      </c>
      <c r="H497" s="320">
        <v>0.0</v>
      </c>
      <c r="I497" s="329"/>
      <c r="J497" s="320">
        <v>92.64</v>
      </c>
      <c r="K497" s="320">
        <v>46.18</v>
      </c>
      <c r="L497" s="320">
        <v>30.72</v>
      </c>
      <c r="M497" s="320">
        <v>0.6652</v>
      </c>
      <c r="N497" s="320">
        <v>0.5369</v>
      </c>
      <c r="O497" s="320">
        <v>0.3779</v>
      </c>
      <c r="P497" s="320">
        <v>1.5033</v>
      </c>
      <c r="Q497" s="320">
        <v>215.71</v>
      </c>
      <c r="R497" s="320">
        <v>159.65</v>
      </c>
      <c r="S497" s="320">
        <v>56.06</v>
      </c>
      <c r="T497" s="320">
        <v>0.06</v>
      </c>
      <c r="U497" s="320">
        <v>215.65</v>
      </c>
      <c r="V497" s="320">
        <v>202.32</v>
      </c>
      <c r="W497" s="320">
        <v>4.3814</v>
      </c>
      <c r="X497" s="320">
        <v>0.03</v>
      </c>
      <c r="Y497" s="320">
        <v>160.0</v>
      </c>
      <c r="Z497" s="320">
        <v>1053.0</v>
      </c>
      <c r="AA497" s="320">
        <v>7434.0</v>
      </c>
      <c r="AB497" s="320">
        <v>55.2912</v>
      </c>
      <c r="AC497" s="320">
        <v>0.6572</v>
      </c>
      <c r="AD497" s="320">
        <v>19.3</v>
      </c>
      <c r="AE497" s="320">
        <v>9.0</v>
      </c>
      <c r="AF497" s="320">
        <v>16.0</v>
      </c>
      <c r="AG497" s="320">
        <v>27.0</v>
      </c>
      <c r="AH497" s="320">
        <v>39.0</v>
      </c>
      <c r="AI497" s="320">
        <v>64.81</v>
      </c>
      <c r="AJ497" s="320">
        <v>27.63</v>
      </c>
      <c r="AK497" s="320">
        <v>6.98</v>
      </c>
      <c r="AL497" s="320">
        <v>0.1504</v>
      </c>
      <c r="AM497" s="320">
        <v>20.07</v>
      </c>
      <c r="AN497" s="320">
        <v>139.58</v>
      </c>
      <c r="AO497" s="320">
        <v>73.44</v>
      </c>
      <c r="AP497" s="320">
        <v>14.74</v>
      </c>
    </row>
    <row r="498">
      <c r="A498" s="319" t="s">
        <v>256</v>
      </c>
      <c r="B498" s="328">
        <v>46132.0</v>
      </c>
      <c r="C498" s="319" t="s">
        <v>217</v>
      </c>
      <c r="D498" s="320">
        <v>6098.0</v>
      </c>
      <c r="E498" s="320">
        <v>5.77</v>
      </c>
      <c r="F498" s="320">
        <v>0.0</v>
      </c>
      <c r="G498" s="320">
        <v>0.0</v>
      </c>
      <c r="H498" s="320">
        <v>0.0</v>
      </c>
      <c r="I498" s="329"/>
      <c r="J498" s="320">
        <v>144.74</v>
      </c>
      <c r="K498" s="320">
        <v>76.82</v>
      </c>
      <c r="L498" s="320">
        <v>60.73</v>
      </c>
      <c r="M498" s="320">
        <v>0.7905</v>
      </c>
      <c r="N498" s="320">
        <v>0.4027</v>
      </c>
      <c r="O498" s="320">
        <v>0.2955</v>
      </c>
      <c r="P498" s="320">
        <v>1.265</v>
      </c>
      <c r="Q498" s="320">
        <v>367.15</v>
      </c>
      <c r="R498" s="320">
        <v>257.19</v>
      </c>
      <c r="S498" s="320">
        <v>109.95</v>
      </c>
      <c r="T498" s="320">
        <v>0.0</v>
      </c>
      <c r="U498" s="320">
        <v>367.15</v>
      </c>
      <c r="V498" s="320">
        <v>374.2</v>
      </c>
      <c r="W498" s="320">
        <v>4.8709</v>
      </c>
      <c r="X498" s="320">
        <v>0.0</v>
      </c>
      <c r="Y498" s="320">
        <v>307.0</v>
      </c>
      <c r="Z498" s="320">
        <v>2665.0</v>
      </c>
      <c r="AA498" s="320">
        <v>11545.0</v>
      </c>
      <c r="AB498" s="320">
        <v>59.047</v>
      </c>
      <c r="AC498" s="320">
        <v>0.7413</v>
      </c>
      <c r="AD498" s="320">
        <v>38.41</v>
      </c>
      <c r="AE498" s="320">
        <v>17.0</v>
      </c>
      <c r="AF498" s="320">
        <v>32.0</v>
      </c>
      <c r="AG498" s="320">
        <v>51.0</v>
      </c>
      <c r="AH498" s="320">
        <v>78.0</v>
      </c>
      <c r="AI498" s="320">
        <v>56.89</v>
      </c>
      <c r="AJ498" s="320">
        <v>19.73</v>
      </c>
      <c r="AK498" s="320">
        <v>4.44</v>
      </c>
      <c r="AL498" s="320">
        <v>0.1113</v>
      </c>
      <c r="AM498" s="320">
        <v>20.58</v>
      </c>
      <c r="AN498" s="320">
        <v>236.62</v>
      </c>
      <c r="AO498" s="320">
        <v>76.18</v>
      </c>
      <c r="AP498" s="320">
        <v>15.68</v>
      </c>
    </row>
    <row r="499">
      <c r="A499" s="319" t="s">
        <v>256</v>
      </c>
      <c r="B499" s="328">
        <v>46132.0</v>
      </c>
      <c r="C499" s="319" t="s">
        <v>218</v>
      </c>
      <c r="D499" s="320">
        <v>595.0</v>
      </c>
      <c r="E499" s="320">
        <v>0.56</v>
      </c>
      <c r="F499" s="320">
        <v>0.0</v>
      </c>
      <c r="G499" s="320">
        <v>0.0</v>
      </c>
      <c r="H499" s="320">
        <v>0.0</v>
      </c>
      <c r="I499" s="329"/>
      <c r="J499" s="320">
        <v>266.7</v>
      </c>
      <c r="K499" s="320">
        <v>154.98</v>
      </c>
      <c r="L499" s="320">
        <v>135.68</v>
      </c>
      <c r="M499" s="320">
        <v>0.8755</v>
      </c>
      <c r="N499" s="320">
        <v>0.2803</v>
      </c>
      <c r="O499" s="320">
        <v>0.2126</v>
      </c>
      <c r="P499" s="320">
        <v>1.1423</v>
      </c>
      <c r="Q499" s="320">
        <v>681.47</v>
      </c>
      <c r="R499" s="320">
        <v>408.08</v>
      </c>
      <c r="S499" s="320">
        <v>273.39</v>
      </c>
      <c r="T499" s="320">
        <v>0.0</v>
      </c>
      <c r="U499" s="320">
        <v>681.47</v>
      </c>
      <c r="V499" s="320">
        <v>684.79</v>
      </c>
      <c r="W499" s="320">
        <v>4.4185</v>
      </c>
      <c r="X499" s="320">
        <v>0.0</v>
      </c>
      <c r="Y499" s="320">
        <v>636.0</v>
      </c>
      <c r="Z499" s="320">
        <v>4050.0</v>
      </c>
      <c r="AA499" s="320">
        <v>12014.0</v>
      </c>
      <c r="AB499" s="320">
        <v>63.4227</v>
      </c>
      <c r="AC499" s="320">
        <v>0.8799</v>
      </c>
      <c r="AD499" s="320">
        <v>92.93</v>
      </c>
      <c r="AE499" s="320">
        <v>35.0</v>
      </c>
      <c r="AF499" s="320">
        <v>82.0</v>
      </c>
      <c r="AG499" s="320">
        <v>130.0</v>
      </c>
      <c r="AH499" s="320">
        <v>190.0</v>
      </c>
      <c r="AI499" s="320">
        <v>50.92</v>
      </c>
      <c r="AJ499" s="320">
        <v>13.45</v>
      </c>
      <c r="AK499" s="320">
        <v>0.84</v>
      </c>
      <c r="AL499" s="320">
        <v>0.0555</v>
      </c>
      <c r="AM499" s="320">
        <v>22.23</v>
      </c>
      <c r="AN499" s="320">
        <v>385.85</v>
      </c>
      <c r="AO499" s="320">
        <v>86.17</v>
      </c>
      <c r="AP499" s="320">
        <v>19.16</v>
      </c>
    </row>
    <row r="500">
      <c r="A500" s="319" t="s">
        <v>256</v>
      </c>
      <c r="B500" s="328">
        <v>46133.0</v>
      </c>
      <c r="C500" s="319" t="s">
        <v>257</v>
      </c>
      <c r="D500" s="320">
        <v>19511.0</v>
      </c>
      <c r="E500" s="320">
        <v>18.5</v>
      </c>
      <c r="F500" s="320">
        <v>0.0</v>
      </c>
      <c r="G500" s="320">
        <v>0.0</v>
      </c>
      <c r="H500" s="320">
        <v>0.0</v>
      </c>
      <c r="I500" s="329"/>
      <c r="J500" s="320">
        <v>6.03</v>
      </c>
      <c r="K500" s="320">
        <v>2.44</v>
      </c>
      <c r="L500" s="320">
        <v>0.06</v>
      </c>
      <c r="M500" s="320">
        <v>0.0229</v>
      </c>
      <c r="N500" s="320">
        <v>0.9824</v>
      </c>
      <c r="O500" s="320">
        <v>0.7989</v>
      </c>
      <c r="P500" s="320">
        <v>43.7601</v>
      </c>
      <c r="Q500" s="320">
        <v>24.83</v>
      </c>
      <c r="R500" s="320">
        <v>24.73</v>
      </c>
      <c r="S500" s="320">
        <v>0.1</v>
      </c>
      <c r="T500" s="320">
        <v>0.0</v>
      </c>
      <c r="U500" s="320">
        <v>24.83</v>
      </c>
      <c r="V500" s="320">
        <v>2.07</v>
      </c>
      <c r="W500" s="320">
        <v>0.8496</v>
      </c>
      <c r="X500" s="320">
        <v>0.01</v>
      </c>
      <c r="Y500" s="320">
        <v>362.0</v>
      </c>
      <c r="Z500" s="320">
        <v>4264.0</v>
      </c>
      <c r="AA500" s="320">
        <v>15946.0</v>
      </c>
      <c r="AB500" s="320">
        <v>49.0281</v>
      </c>
      <c r="AC500" s="320">
        <v>0.5413</v>
      </c>
      <c r="AD500" s="329"/>
      <c r="AE500" s="329"/>
      <c r="AF500" s="329"/>
      <c r="AG500" s="329"/>
      <c r="AH500" s="329"/>
      <c r="AI500" s="320">
        <v>0.0</v>
      </c>
      <c r="AJ500" s="320">
        <v>0.0</v>
      </c>
      <c r="AK500" s="320">
        <v>0.0</v>
      </c>
      <c r="AL500" s="320">
        <v>0.2662</v>
      </c>
      <c r="AM500" s="320">
        <v>15.72</v>
      </c>
      <c r="AN500" s="320">
        <v>9.01</v>
      </c>
      <c r="AO500" s="329"/>
      <c r="AP500" s="329"/>
    </row>
    <row r="501">
      <c r="A501" s="319" t="s">
        <v>256</v>
      </c>
      <c r="B501" s="328">
        <v>46133.0</v>
      </c>
      <c r="C501" s="319" t="s">
        <v>214</v>
      </c>
      <c r="D501" s="320">
        <v>37367.0</v>
      </c>
      <c r="E501" s="320">
        <v>35.43</v>
      </c>
      <c r="F501" s="320">
        <v>0.0</v>
      </c>
      <c r="G501" s="320">
        <v>0.0</v>
      </c>
      <c r="H501" s="320">
        <v>0.0</v>
      </c>
      <c r="I501" s="329"/>
      <c r="J501" s="320">
        <v>28.15</v>
      </c>
      <c r="K501" s="320">
        <v>12.67</v>
      </c>
      <c r="L501" s="320">
        <v>5.49</v>
      </c>
      <c r="M501" s="320">
        <v>0.433</v>
      </c>
      <c r="N501" s="320">
        <v>0.7469</v>
      </c>
      <c r="O501" s="320">
        <v>0.562</v>
      </c>
      <c r="P501" s="320">
        <v>2.3096</v>
      </c>
      <c r="Q501" s="320">
        <v>51.08</v>
      </c>
      <c r="R501" s="320">
        <v>40.24</v>
      </c>
      <c r="S501" s="320">
        <v>10.83</v>
      </c>
      <c r="T501" s="320">
        <v>0.0</v>
      </c>
      <c r="U501" s="320">
        <v>51.08</v>
      </c>
      <c r="V501" s="320">
        <v>52.54</v>
      </c>
      <c r="W501" s="320">
        <v>4.1472</v>
      </c>
      <c r="X501" s="320">
        <v>0.0</v>
      </c>
      <c r="Y501" s="320">
        <v>145.0</v>
      </c>
      <c r="Z501" s="320">
        <v>881.0</v>
      </c>
      <c r="AA501" s="320">
        <v>6101.0</v>
      </c>
      <c r="AB501" s="320">
        <v>48.9097</v>
      </c>
      <c r="AC501" s="320">
        <v>0.5308</v>
      </c>
      <c r="AD501" s="320">
        <v>4.01</v>
      </c>
      <c r="AE501" s="320">
        <v>1.0</v>
      </c>
      <c r="AF501" s="320">
        <v>3.0</v>
      </c>
      <c r="AG501" s="320">
        <v>5.0</v>
      </c>
      <c r="AH501" s="320">
        <v>9.0</v>
      </c>
      <c r="AI501" s="320">
        <v>72.97</v>
      </c>
      <c r="AJ501" s="320">
        <v>30.26</v>
      </c>
      <c r="AK501" s="320">
        <v>8.95</v>
      </c>
      <c r="AL501" s="320">
        <v>0.2365</v>
      </c>
      <c r="AM501" s="320">
        <v>17.92</v>
      </c>
      <c r="AN501" s="320">
        <v>22.33</v>
      </c>
      <c r="AO501" s="320">
        <v>65.61</v>
      </c>
      <c r="AP501" s="320">
        <v>11.76</v>
      </c>
    </row>
    <row r="502">
      <c r="A502" s="319" t="s">
        <v>256</v>
      </c>
      <c r="B502" s="328">
        <v>46133.0</v>
      </c>
      <c r="C502" s="319" t="s">
        <v>215</v>
      </c>
      <c r="D502" s="320">
        <v>27142.0</v>
      </c>
      <c r="E502" s="320">
        <v>25.73</v>
      </c>
      <c r="F502" s="320">
        <v>0.0</v>
      </c>
      <c r="G502" s="320">
        <v>0.0</v>
      </c>
      <c r="H502" s="320">
        <v>0.0</v>
      </c>
      <c r="I502" s="329"/>
      <c r="J502" s="320">
        <v>55.74</v>
      </c>
      <c r="K502" s="320">
        <v>26.06</v>
      </c>
      <c r="L502" s="320">
        <v>14.49</v>
      </c>
      <c r="M502" s="320">
        <v>0.5563</v>
      </c>
      <c r="N502" s="320">
        <v>0.647</v>
      </c>
      <c r="O502" s="320">
        <v>0.4603</v>
      </c>
      <c r="P502" s="320">
        <v>1.7977</v>
      </c>
      <c r="Q502" s="320">
        <v>99.16</v>
      </c>
      <c r="R502" s="320">
        <v>71.81</v>
      </c>
      <c r="S502" s="320">
        <v>27.35</v>
      </c>
      <c r="T502" s="320">
        <v>0.0</v>
      </c>
      <c r="U502" s="320">
        <v>99.16</v>
      </c>
      <c r="V502" s="320">
        <v>103.55</v>
      </c>
      <c r="W502" s="320">
        <v>3.9739</v>
      </c>
      <c r="X502" s="320">
        <v>0.0</v>
      </c>
      <c r="Y502" s="320">
        <v>134.0</v>
      </c>
      <c r="Z502" s="320">
        <v>738.0</v>
      </c>
      <c r="AA502" s="320">
        <v>5813.0</v>
      </c>
      <c r="AB502" s="320">
        <v>52.2292</v>
      </c>
      <c r="AC502" s="320">
        <v>0.589</v>
      </c>
      <c r="AD502" s="320">
        <v>9.46</v>
      </c>
      <c r="AE502" s="320">
        <v>4.0</v>
      </c>
      <c r="AF502" s="320">
        <v>8.0</v>
      </c>
      <c r="AG502" s="320">
        <v>13.0</v>
      </c>
      <c r="AH502" s="320">
        <v>20.0</v>
      </c>
      <c r="AI502" s="320">
        <v>60.34</v>
      </c>
      <c r="AJ502" s="320">
        <v>26.61</v>
      </c>
      <c r="AK502" s="320">
        <v>4.66</v>
      </c>
      <c r="AL502" s="320">
        <v>0.1747</v>
      </c>
      <c r="AM502" s="320">
        <v>18.45</v>
      </c>
      <c r="AN502" s="320">
        <v>53.36</v>
      </c>
      <c r="AO502" s="320">
        <v>72.95</v>
      </c>
      <c r="AP502" s="320">
        <v>13.46</v>
      </c>
    </row>
    <row r="503">
      <c r="A503" s="319" t="s">
        <v>256</v>
      </c>
      <c r="B503" s="328">
        <v>46133.0</v>
      </c>
      <c r="C503" s="319" t="s">
        <v>216</v>
      </c>
      <c r="D503" s="320">
        <v>15278.0</v>
      </c>
      <c r="E503" s="320">
        <v>14.49</v>
      </c>
      <c r="F503" s="320">
        <v>0.0</v>
      </c>
      <c r="G503" s="320">
        <v>0.0</v>
      </c>
      <c r="H503" s="320">
        <v>0.0</v>
      </c>
      <c r="I503" s="329"/>
      <c r="J503" s="320">
        <v>81.23</v>
      </c>
      <c r="K503" s="320">
        <v>40.61</v>
      </c>
      <c r="L503" s="320">
        <v>28.01</v>
      </c>
      <c r="M503" s="320">
        <v>0.6896</v>
      </c>
      <c r="N503" s="320">
        <v>0.5136</v>
      </c>
      <c r="O503" s="320">
        <v>0.3643</v>
      </c>
      <c r="P503" s="320">
        <v>1.45</v>
      </c>
      <c r="Q503" s="320">
        <v>177.44</v>
      </c>
      <c r="R503" s="320">
        <v>126.02</v>
      </c>
      <c r="S503" s="320">
        <v>51.42</v>
      </c>
      <c r="T503" s="320">
        <v>0.0</v>
      </c>
      <c r="U503" s="320">
        <v>177.43</v>
      </c>
      <c r="V503" s="320">
        <v>180.62</v>
      </c>
      <c r="W503" s="320">
        <v>4.4471</v>
      </c>
      <c r="X503" s="320">
        <v>0.0</v>
      </c>
      <c r="Y503" s="320">
        <v>166.0</v>
      </c>
      <c r="Z503" s="320">
        <v>1067.0</v>
      </c>
      <c r="AA503" s="320">
        <v>7306.0</v>
      </c>
      <c r="AB503" s="320">
        <v>55.5752</v>
      </c>
      <c r="AC503" s="320">
        <v>0.6812</v>
      </c>
      <c r="AD503" s="320">
        <v>17.61</v>
      </c>
      <c r="AE503" s="320">
        <v>7.0</v>
      </c>
      <c r="AF503" s="320">
        <v>14.0</v>
      </c>
      <c r="AG503" s="320">
        <v>25.0</v>
      </c>
      <c r="AH503" s="320">
        <v>36.0</v>
      </c>
      <c r="AI503" s="320">
        <v>59.9</v>
      </c>
      <c r="AJ503" s="320">
        <v>23.43</v>
      </c>
      <c r="AK503" s="320">
        <v>6.49</v>
      </c>
      <c r="AL503" s="320">
        <v>0.1564</v>
      </c>
      <c r="AM503" s="320">
        <v>19.26</v>
      </c>
      <c r="AN503" s="320">
        <v>106.75</v>
      </c>
      <c r="AO503" s="320">
        <v>74.02</v>
      </c>
      <c r="AP503" s="320">
        <v>14.26</v>
      </c>
    </row>
    <row r="504">
      <c r="A504" s="319" t="s">
        <v>256</v>
      </c>
      <c r="B504" s="328">
        <v>46133.0</v>
      </c>
      <c r="C504" s="319" t="s">
        <v>217</v>
      </c>
      <c r="D504" s="320">
        <v>5573.0</v>
      </c>
      <c r="E504" s="320">
        <v>5.28</v>
      </c>
      <c r="F504" s="320">
        <v>0.0</v>
      </c>
      <c r="G504" s="320">
        <v>0.0</v>
      </c>
      <c r="H504" s="320">
        <v>0.0</v>
      </c>
      <c r="I504" s="329"/>
      <c r="J504" s="320">
        <v>129.01</v>
      </c>
      <c r="K504" s="320">
        <v>70.3</v>
      </c>
      <c r="L504" s="320">
        <v>56.17</v>
      </c>
      <c r="M504" s="320">
        <v>0.799</v>
      </c>
      <c r="N504" s="320">
        <v>0.3857</v>
      </c>
      <c r="O504" s="320">
        <v>0.2814</v>
      </c>
      <c r="P504" s="320">
        <v>1.2516</v>
      </c>
      <c r="Q504" s="320">
        <v>327.08</v>
      </c>
      <c r="R504" s="320">
        <v>216.7</v>
      </c>
      <c r="S504" s="320">
        <v>110.38</v>
      </c>
      <c r="T504" s="320">
        <v>0.0</v>
      </c>
      <c r="U504" s="320">
        <v>327.08</v>
      </c>
      <c r="V504" s="320">
        <v>337.58</v>
      </c>
      <c r="W504" s="320">
        <v>4.8018</v>
      </c>
      <c r="X504" s="320">
        <v>0.0</v>
      </c>
      <c r="Y504" s="320">
        <v>293.0</v>
      </c>
      <c r="Z504" s="320">
        <v>2264.0</v>
      </c>
      <c r="AA504" s="320">
        <v>9720.0</v>
      </c>
      <c r="AB504" s="320">
        <v>59.7978</v>
      </c>
      <c r="AC504" s="320">
        <v>0.8253</v>
      </c>
      <c r="AD504" s="320">
        <v>38.56</v>
      </c>
      <c r="AE504" s="320">
        <v>16.0</v>
      </c>
      <c r="AF504" s="320">
        <v>31.0</v>
      </c>
      <c r="AG504" s="320">
        <v>53.0</v>
      </c>
      <c r="AH504" s="320">
        <v>79.0</v>
      </c>
      <c r="AI504" s="320">
        <v>54.87</v>
      </c>
      <c r="AJ504" s="320">
        <v>19.92</v>
      </c>
      <c r="AK504" s="320">
        <v>5.06</v>
      </c>
      <c r="AL504" s="320">
        <v>0.1136</v>
      </c>
      <c r="AM504" s="320">
        <v>20.11</v>
      </c>
      <c r="AN504" s="320">
        <v>196.6</v>
      </c>
      <c r="AO504" s="320">
        <v>82.91</v>
      </c>
      <c r="AP504" s="320">
        <v>16.67</v>
      </c>
    </row>
    <row r="505">
      <c r="A505" s="319" t="s">
        <v>256</v>
      </c>
      <c r="B505" s="328">
        <v>46133.0</v>
      </c>
      <c r="C505" s="319" t="s">
        <v>218</v>
      </c>
      <c r="D505" s="320">
        <v>602.0</v>
      </c>
      <c r="E505" s="320">
        <v>0.57</v>
      </c>
      <c r="F505" s="320">
        <v>0.0</v>
      </c>
      <c r="G505" s="320">
        <v>0.0</v>
      </c>
      <c r="H505" s="320">
        <v>0.0</v>
      </c>
      <c r="I505" s="329"/>
      <c r="J505" s="320">
        <v>252.51</v>
      </c>
      <c r="K505" s="320">
        <v>148.15</v>
      </c>
      <c r="L505" s="320">
        <v>130.02</v>
      </c>
      <c r="M505" s="320">
        <v>0.8776</v>
      </c>
      <c r="N505" s="320">
        <v>0.2769</v>
      </c>
      <c r="O505" s="320">
        <v>0.2115</v>
      </c>
      <c r="P505" s="320">
        <v>1.1394</v>
      </c>
      <c r="Q505" s="320">
        <v>639.77</v>
      </c>
      <c r="R505" s="320">
        <v>380.5</v>
      </c>
      <c r="S505" s="320">
        <v>259.27</v>
      </c>
      <c r="T505" s="320">
        <v>0.0</v>
      </c>
      <c r="U505" s="320">
        <v>639.77</v>
      </c>
      <c r="V505" s="320">
        <v>652.24</v>
      </c>
      <c r="W505" s="320">
        <v>4.4026</v>
      </c>
      <c r="X505" s="320">
        <v>0.0</v>
      </c>
      <c r="Y505" s="320">
        <v>711.0</v>
      </c>
      <c r="Z505" s="320">
        <v>4029.0</v>
      </c>
      <c r="AA505" s="320">
        <v>11916.0</v>
      </c>
      <c r="AB505" s="320">
        <v>63.449</v>
      </c>
      <c r="AC505" s="320">
        <v>0.8964</v>
      </c>
      <c r="AD505" s="320">
        <v>88.21</v>
      </c>
      <c r="AE505" s="320">
        <v>37.0</v>
      </c>
      <c r="AF505" s="320">
        <v>76.0</v>
      </c>
      <c r="AG505" s="320">
        <v>121.0</v>
      </c>
      <c r="AH505" s="320">
        <v>165.0</v>
      </c>
      <c r="AI505" s="320">
        <v>48.67</v>
      </c>
      <c r="AJ505" s="320">
        <v>8.14</v>
      </c>
      <c r="AK505" s="320">
        <v>1.66</v>
      </c>
      <c r="AL505" s="320">
        <v>0.0797</v>
      </c>
      <c r="AM505" s="320">
        <v>22.48</v>
      </c>
      <c r="AN505" s="320">
        <v>358.02</v>
      </c>
      <c r="AO505" s="320">
        <v>85.64</v>
      </c>
      <c r="AP505" s="320">
        <v>19.25</v>
      </c>
    </row>
    <row r="506">
      <c r="A506" s="319" t="s">
        <v>256</v>
      </c>
      <c r="B506" s="328">
        <v>46134.0</v>
      </c>
      <c r="C506" s="319" t="s">
        <v>257</v>
      </c>
      <c r="D506" s="320">
        <v>19854.0</v>
      </c>
      <c r="E506" s="320">
        <v>19.17</v>
      </c>
      <c r="F506" s="320">
        <v>0.0</v>
      </c>
      <c r="G506" s="320">
        <v>0.0</v>
      </c>
      <c r="H506" s="320">
        <v>0.0</v>
      </c>
      <c r="I506" s="329"/>
      <c r="J506" s="320">
        <v>6.04</v>
      </c>
      <c r="K506" s="320">
        <v>2.41</v>
      </c>
      <c r="L506" s="320">
        <v>0.03</v>
      </c>
      <c r="M506" s="320">
        <v>0.0113</v>
      </c>
      <c r="N506" s="320">
        <v>0.9917</v>
      </c>
      <c r="O506" s="320">
        <v>0.8946</v>
      </c>
      <c r="P506" s="320">
        <v>88.2707</v>
      </c>
      <c r="Q506" s="320">
        <v>20.84</v>
      </c>
      <c r="R506" s="320">
        <v>20.72</v>
      </c>
      <c r="S506" s="320">
        <v>0.12</v>
      </c>
      <c r="T506" s="320">
        <v>0.0</v>
      </c>
      <c r="U506" s="320">
        <v>20.84</v>
      </c>
      <c r="V506" s="320">
        <v>1.57</v>
      </c>
      <c r="W506" s="320">
        <v>0.6499</v>
      </c>
      <c r="X506" s="320">
        <v>0.0</v>
      </c>
      <c r="Y506" s="320">
        <v>363.0</v>
      </c>
      <c r="Z506" s="320">
        <v>4071.0</v>
      </c>
      <c r="AA506" s="320">
        <v>15417.0</v>
      </c>
      <c r="AB506" s="320">
        <v>49.1794</v>
      </c>
      <c r="AC506" s="320">
        <v>0.5496</v>
      </c>
      <c r="AD506" s="329"/>
      <c r="AE506" s="329"/>
      <c r="AF506" s="329"/>
      <c r="AG506" s="329"/>
      <c r="AH506" s="329"/>
      <c r="AI506" s="320">
        <v>0.0</v>
      </c>
      <c r="AJ506" s="320">
        <v>0.0</v>
      </c>
      <c r="AK506" s="320">
        <v>0.0</v>
      </c>
      <c r="AL506" s="320">
        <v>0.2766</v>
      </c>
      <c r="AM506" s="320">
        <v>15.78</v>
      </c>
      <c r="AN506" s="320">
        <v>4.94</v>
      </c>
      <c r="AO506" s="329"/>
      <c r="AP506" s="329"/>
    </row>
    <row r="507">
      <c r="A507" s="319" t="s">
        <v>256</v>
      </c>
      <c r="B507" s="328">
        <v>46134.0</v>
      </c>
      <c r="C507" s="319" t="s">
        <v>214</v>
      </c>
      <c r="D507" s="320">
        <v>36869.0</v>
      </c>
      <c r="E507" s="320">
        <v>35.59</v>
      </c>
      <c r="F507" s="320">
        <v>0.0</v>
      </c>
      <c r="G507" s="320">
        <v>0.0</v>
      </c>
      <c r="H507" s="320">
        <v>0.0</v>
      </c>
      <c r="I507" s="329"/>
      <c r="J507" s="320">
        <v>30.22</v>
      </c>
      <c r="K507" s="320">
        <v>13.8</v>
      </c>
      <c r="L507" s="320">
        <v>5.58</v>
      </c>
      <c r="M507" s="320">
        <v>0.4041</v>
      </c>
      <c r="N507" s="320">
        <v>0.7644</v>
      </c>
      <c r="O507" s="320">
        <v>0.568</v>
      </c>
      <c r="P507" s="320">
        <v>2.4747</v>
      </c>
      <c r="Q507" s="320">
        <v>44.16</v>
      </c>
      <c r="R507" s="320">
        <v>33.01</v>
      </c>
      <c r="S507" s="320">
        <v>11.15</v>
      </c>
      <c r="T507" s="320">
        <v>0.0</v>
      </c>
      <c r="U507" s="320">
        <v>44.16</v>
      </c>
      <c r="V507" s="320">
        <v>49.8</v>
      </c>
      <c r="W507" s="320">
        <v>3.6082</v>
      </c>
      <c r="X507" s="320">
        <v>0.0</v>
      </c>
      <c r="Y507" s="320">
        <v>138.0</v>
      </c>
      <c r="Z507" s="320">
        <v>862.0</v>
      </c>
      <c r="AA507" s="320">
        <v>5890.0</v>
      </c>
      <c r="AB507" s="320">
        <v>48.8888</v>
      </c>
      <c r="AC507" s="320">
        <v>0.5315</v>
      </c>
      <c r="AD507" s="320">
        <v>3.98</v>
      </c>
      <c r="AE507" s="320">
        <v>1.0</v>
      </c>
      <c r="AF507" s="320">
        <v>3.0</v>
      </c>
      <c r="AG507" s="320">
        <v>5.0</v>
      </c>
      <c r="AH507" s="320">
        <v>9.0</v>
      </c>
      <c r="AI507" s="320">
        <v>72.69</v>
      </c>
      <c r="AJ507" s="320">
        <v>30.49</v>
      </c>
      <c r="AK507" s="320">
        <v>8.36</v>
      </c>
      <c r="AL507" s="320">
        <v>0.2378</v>
      </c>
      <c r="AM507" s="320">
        <v>18.37</v>
      </c>
      <c r="AN507" s="320">
        <v>14.63</v>
      </c>
      <c r="AO507" s="320">
        <v>66.0</v>
      </c>
      <c r="AP507" s="320">
        <v>12.12</v>
      </c>
    </row>
    <row r="508">
      <c r="A508" s="319" t="s">
        <v>256</v>
      </c>
      <c r="B508" s="328">
        <v>46134.0</v>
      </c>
      <c r="C508" s="319" t="s">
        <v>215</v>
      </c>
      <c r="D508" s="320">
        <v>26696.0</v>
      </c>
      <c r="E508" s="320">
        <v>25.77</v>
      </c>
      <c r="F508" s="320">
        <v>0.0</v>
      </c>
      <c r="G508" s="320">
        <v>0.0</v>
      </c>
      <c r="H508" s="320">
        <v>0.0</v>
      </c>
      <c r="I508" s="329"/>
      <c r="J508" s="320">
        <v>58.14</v>
      </c>
      <c r="K508" s="320">
        <v>27.69</v>
      </c>
      <c r="L508" s="320">
        <v>14.37</v>
      </c>
      <c r="M508" s="320">
        <v>0.5192</v>
      </c>
      <c r="N508" s="320">
        <v>0.6697</v>
      </c>
      <c r="O508" s="320">
        <v>0.4663</v>
      </c>
      <c r="P508" s="320">
        <v>1.9262</v>
      </c>
      <c r="Q508" s="320">
        <v>77.71</v>
      </c>
      <c r="R508" s="320">
        <v>50.98</v>
      </c>
      <c r="S508" s="320">
        <v>26.73</v>
      </c>
      <c r="T508" s="320">
        <v>0.08</v>
      </c>
      <c r="U508" s="320">
        <v>77.62</v>
      </c>
      <c r="V508" s="320">
        <v>96.05</v>
      </c>
      <c r="W508" s="320">
        <v>3.4691</v>
      </c>
      <c r="X508" s="320">
        <v>0.11</v>
      </c>
      <c r="Y508" s="320">
        <v>116.0</v>
      </c>
      <c r="Z508" s="320">
        <v>684.0</v>
      </c>
      <c r="AA508" s="320">
        <v>5546.0</v>
      </c>
      <c r="AB508" s="320">
        <v>52.2665</v>
      </c>
      <c r="AC508" s="320">
        <v>0.6014</v>
      </c>
      <c r="AD508" s="320">
        <v>8.97</v>
      </c>
      <c r="AE508" s="320">
        <v>3.0</v>
      </c>
      <c r="AF508" s="320">
        <v>7.0</v>
      </c>
      <c r="AG508" s="320">
        <v>12.0</v>
      </c>
      <c r="AH508" s="320">
        <v>19.0</v>
      </c>
      <c r="AI508" s="320">
        <v>57.74</v>
      </c>
      <c r="AJ508" s="320">
        <v>23.95</v>
      </c>
      <c r="AK508" s="320">
        <v>4.21</v>
      </c>
      <c r="AL508" s="320">
        <v>0.1829</v>
      </c>
      <c r="AM508" s="320">
        <v>18.78</v>
      </c>
      <c r="AN508" s="320">
        <v>32.2</v>
      </c>
      <c r="AO508" s="320">
        <v>73.7</v>
      </c>
      <c r="AP508" s="320">
        <v>13.84</v>
      </c>
    </row>
    <row r="509">
      <c r="A509" s="319" t="s">
        <v>256</v>
      </c>
      <c r="B509" s="328">
        <v>46134.0</v>
      </c>
      <c r="C509" s="319" t="s">
        <v>216</v>
      </c>
      <c r="D509" s="320">
        <v>13941.0</v>
      </c>
      <c r="E509" s="320">
        <v>13.46</v>
      </c>
      <c r="F509" s="320">
        <v>0.0</v>
      </c>
      <c r="G509" s="320">
        <v>0.0</v>
      </c>
      <c r="H509" s="320">
        <v>0.0</v>
      </c>
      <c r="I509" s="329"/>
      <c r="J509" s="320">
        <v>79.81</v>
      </c>
      <c r="K509" s="320">
        <v>40.65</v>
      </c>
      <c r="L509" s="320">
        <v>26.18</v>
      </c>
      <c r="M509" s="320">
        <v>0.6441</v>
      </c>
      <c r="N509" s="320">
        <v>0.5419</v>
      </c>
      <c r="O509" s="320">
        <v>0.3713</v>
      </c>
      <c r="P509" s="320">
        <v>1.5526</v>
      </c>
      <c r="Q509" s="320">
        <v>121.94</v>
      </c>
      <c r="R509" s="320">
        <v>71.04</v>
      </c>
      <c r="S509" s="320">
        <v>50.91</v>
      </c>
      <c r="T509" s="320">
        <v>0.08</v>
      </c>
      <c r="U509" s="320">
        <v>121.86</v>
      </c>
      <c r="V509" s="320">
        <v>150.06</v>
      </c>
      <c r="W509" s="320">
        <v>3.6917</v>
      </c>
      <c r="X509" s="320">
        <v>0.07</v>
      </c>
      <c r="Y509" s="320">
        <v>134.0</v>
      </c>
      <c r="Z509" s="320">
        <v>951.0</v>
      </c>
      <c r="AA509" s="320">
        <v>6361.0</v>
      </c>
      <c r="AB509" s="320">
        <v>55.9071</v>
      </c>
      <c r="AC509" s="320">
        <v>0.7367</v>
      </c>
      <c r="AD509" s="320">
        <v>17.23</v>
      </c>
      <c r="AE509" s="320">
        <v>7.0</v>
      </c>
      <c r="AF509" s="320">
        <v>13.0</v>
      </c>
      <c r="AG509" s="320">
        <v>24.0</v>
      </c>
      <c r="AH509" s="320">
        <v>36.0</v>
      </c>
      <c r="AI509" s="320">
        <v>58.47</v>
      </c>
      <c r="AJ509" s="320">
        <v>22.61</v>
      </c>
      <c r="AK509" s="320">
        <v>6.13</v>
      </c>
      <c r="AL509" s="320">
        <v>0.1713</v>
      </c>
      <c r="AM509" s="320">
        <v>19.46</v>
      </c>
      <c r="AN509" s="320">
        <v>51.58</v>
      </c>
      <c r="AO509" s="320">
        <v>78.06</v>
      </c>
      <c r="AP509" s="320">
        <v>15.19</v>
      </c>
    </row>
    <row r="510">
      <c r="A510" s="319" t="s">
        <v>256</v>
      </c>
      <c r="B510" s="328">
        <v>46134.0</v>
      </c>
      <c r="C510" s="319" t="s">
        <v>217</v>
      </c>
      <c r="D510" s="320">
        <v>5628.0</v>
      </c>
      <c r="E510" s="320">
        <v>5.43</v>
      </c>
      <c r="F510" s="320">
        <v>0.0</v>
      </c>
      <c r="G510" s="320">
        <v>0.0</v>
      </c>
      <c r="H510" s="320">
        <v>0.0</v>
      </c>
      <c r="I510" s="329"/>
      <c r="J510" s="320">
        <v>130.52</v>
      </c>
      <c r="K510" s="320">
        <v>70.78</v>
      </c>
      <c r="L510" s="320">
        <v>54.99</v>
      </c>
      <c r="M510" s="320">
        <v>0.7769</v>
      </c>
      <c r="N510" s="320">
        <v>0.4033</v>
      </c>
      <c r="O510" s="320">
        <v>0.2872</v>
      </c>
      <c r="P510" s="320">
        <v>1.2871</v>
      </c>
      <c r="Q510" s="320">
        <v>213.36</v>
      </c>
      <c r="R510" s="320">
        <v>106.13</v>
      </c>
      <c r="S510" s="320">
        <v>107.23</v>
      </c>
      <c r="T510" s="320">
        <v>0.0</v>
      </c>
      <c r="U510" s="320">
        <v>213.36</v>
      </c>
      <c r="V510" s="320">
        <v>303.7</v>
      </c>
      <c r="W510" s="320">
        <v>4.2908</v>
      </c>
      <c r="X510" s="320">
        <v>0.0</v>
      </c>
      <c r="Y510" s="320">
        <v>209.0</v>
      </c>
      <c r="Z510" s="320">
        <v>2185.0</v>
      </c>
      <c r="AA510" s="320">
        <v>9422.0</v>
      </c>
      <c r="AB510" s="320">
        <v>59.892</v>
      </c>
      <c r="AC510" s="320">
        <v>0.8379</v>
      </c>
      <c r="AD510" s="320">
        <v>36.95</v>
      </c>
      <c r="AE510" s="320">
        <v>14.0</v>
      </c>
      <c r="AF510" s="320">
        <v>29.0</v>
      </c>
      <c r="AG510" s="320">
        <v>51.0</v>
      </c>
      <c r="AH510" s="320">
        <v>79.0</v>
      </c>
      <c r="AI510" s="320">
        <v>50.98</v>
      </c>
      <c r="AJ510" s="320">
        <v>18.83</v>
      </c>
      <c r="AK510" s="320">
        <v>4.82</v>
      </c>
      <c r="AL510" s="320">
        <v>0.1228</v>
      </c>
      <c r="AM510" s="320">
        <v>20.36</v>
      </c>
      <c r="AN510" s="320">
        <v>85.77</v>
      </c>
      <c r="AO510" s="320">
        <v>82.91</v>
      </c>
      <c r="AP510" s="320">
        <v>16.88</v>
      </c>
    </row>
    <row r="511">
      <c r="A511" s="319" t="s">
        <v>256</v>
      </c>
      <c r="B511" s="328">
        <v>46134.0</v>
      </c>
      <c r="C511" s="319" t="s">
        <v>218</v>
      </c>
      <c r="D511" s="320">
        <v>598.0</v>
      </c>
      <c r="E511" s="320">
        <v>0.58</v>
      </c>
      <c r="F511" s="320">
        <v>0.0</v>
      </c>
      <c r="G511" s="320">
        <v>0.0</v>
      </c>
      <c r="H511" s="320">
        <v>0.0</v>
      </c>
      <c r="I511" s="329"/>
      <c r="J511" s="320">
        <v>251.43</v>
      </c>
      <c r="K511" s="320">
        <v>142.99</v>
      </c>
      <c r="L511" s="320">
        <v>123.62</v>
      </c>
      <c r="M511" s="320">
        <v>0.8645</v>
      </c>
      <c r="N511" s="320">
        <v>0.2926</v>
      </c>
      <c r="O511" s="320">
        <v>0.2202</v>
      </c>
      <c r="P511" s="320">
        <v>1.1567</v>
      </c>
      <c r="Q511" s="320">
        <v>421.15</v>
      </c>
      <c r="R511" s="320">
        <v>175.9</v>
      </c>
      <c r="S511" s="320">
        <v>245.25</v>
      </c>
      <c r="T511" s="320">
        <v>0.0</v>
      </c>
      <c r="U511" s="320">
        <v>421.15</v>
      </c>
      <c r="V511" s="320">
        <v>577.42</v>
      </c>
      <c r="W511" s="320">
        <v>4.0382</v>
      </c>
      <c r="X511" s="320">
        <v>0.0</v>
      </c>
      <c r="Y511" s="320">
        <v>639.0</v>
      </c>
      <c r="Z511" s="320">
        <v>3926.0</v>
      </c>
      <c r="AA511" s="320">
        <v>11521.0</v>
      </c>
      <c r="AB511" s="320">
        <v>63.7881</v>
      </c>
      <c r="AC511" s="320">
        <v>0.9023</v>
      </c>
      <c r="AD511" s="320">
        <v>82.51</v>
      </c>
      <c r="AE511" s="320">
        <v>34.0</v>
      </c>
      <c r="AF511" s="320">
        <v>66.0</v>
      </c>
      <c r="AG511" s="320">
        <v>115.0</v>
      </c>
      <c r="AH511" s="320">
        <v>171.0</v>
      </c>
      <c r="AI511" s="320">
        <v>41.81</v>
      </c>
      <c r="AJ511" s="320">
        <v>9.87</v>
      </c>
      <c r="AK511" s="320">
        <v>1.0</v>
      </c>
      <c r="AL511" s="320">
        <v>0.0753</v>
      </c>
      <c r="AM511" s="320">
        <v>24.43</v>
      </c>
      <c r="AN511" s="320">
        <v>151.47</v>
      </c>
      <c r="AO511" s="320">
        <v>86.19</v>
      </c>
      <c r="AP511" s="320">
        <v>21.06</v>
      </c>
    </row>
    <row r="512">
      <c r="A512" s="319" t="s">
        <v>256</v>
      </c>
      <c r="B512" s="328">
        <v>46135.0</v>
      </c>
      <c r="C512" s="319" t="s">
        <v>257</v>
      </c>
      <c r="D512" s="320">
        <v>20472.0</v>
      </c>
      <c r="E512" s="320">
        <v>20.1</v>
      </c>
      <c r="F512" s="320">
        <v>0.0</v>
      </c>
      <c r="G512" s="320">
        <v>0.0</v>
      </c>
      <c r="H512" s="320">
        <v>0.0</v>
      </c>
      <c r="I512" s="329"/>
      <c r="J512" s="320">
        <v>6.2</v>
      </c>
      <c r="K512" s="320">
        <v>2.55</v>
      </c>
      <c r="L512" s="320">
        <v>0.05</v>
      </c>
      <c r="M512" s="320">
        <v>0.0193</v>
      </c>
      <c r="N512" s="320">
        <v>0.9859</v>
      </c>
      <c r="O512" s="320">
        <v>0.8251</v>
      </c>
      <c r="P512" s="320">
        <v>51.744</v>
      </c>
      <c r="Q512" s="320">
        <v>22.36</v>
      </c>
      <c r="R512" s="320">
        <v>22.27</v>
      </c>
      <c r="S512" s="320">
        <v>0.09</v>
      </c>
      <c r="T512" s="320">
        <v>0.0</v>
      </c>
      <c r="U512" s="320">
        <v>22.36</v>
      </c>
      <c r="V512" s="320">
        <v>2.11</v>
      </c>
      <c r="W512" s="320">
        <v>0.8273</v>
      </c>
      <c r="X512" s="320">
        <v>0.0</v>
      </c>
      <c r="Y512" s="320">
        <v>301.0</v>
      </c>
      <c r="Z512" s="320">
        <v>3708.0</v>
      </c>
      <c r="AA512" s="320">
        <v>14923.0</v>
      </c>
      <c r="AB512" s="320">
        <v>48.967</v>
      </c>
      <c r="AC512" s="320">
        <v>0.5393</v>
      </c>
      <c r="AD512" s="329"/>
      <c r="AE512" s="329"/>
      <c r="AF512" s="329"/>
      <c r="AG512" s="329"/>
      <c r="AH512" s="329"/>
      <c r="AI512" s="320">
        <v>0.0</v>
      </c>
      <c r="AJ512" s="320">
        <v>0.0</v>
      </c>
      <c r="AK512" s="320">
        <v>0.0</v>
      </c>
      <c r="AL512" s="320">
        <v>0.2884</v>
      </c>
      <c r="AM512" s="320">
        <v>16.48</v>
      </c>
      <c r="AN512" s="320">
        <v>5.78</v>
      </c>
      <c r="AO512" s="329"/>
      <c r="AP512" s="329"/>
    </row>
    <row r="513">
      <c r="A513" s="319" t="s">
        <v>256</v>
      </c>
      <c r="B513" s="328">
        <v>46135.0</v>
      </c>
      <c r="C513" s="319" t="s">
        <v>214</v>
      </c>
      <c r="D513" s="320">
        <v>36417.0</v>
      </c>
      <c r="E513" s="320">
        <v>35.75</v>
      </c>
      <c r="F513" s="320">
        <v>0.0</v>
      </c>
      <c r="G513" s="320">
        <v>0.0</v>
      </c>
      <c r="H513" s="320">
        <v>0.0</v>
      </c>
      <c r="I513" s="329"/>
      <c r="J513" s="320">
        <v>27.62</v>
      </c>
      <c r="K513" s="320">
        <v>12.47</v>
      </c>
      <c r="L513" s="320">
        <v>5.41</v>
      </c>
      <c r="M513" s="320">
        <v>0.4335</v>
      </c>
      <c r="N513" s="320">
        <v>0.7442</v>
      </c>
      <c r="O513" s="320">
        <v>0.556</v>
      </c>
      <c r="P513" s="320">
        <v>2.3069</v>
      </c>
      <c r="Q513" s="320">
        <v>46.17</v>
      </c>
      <c r="R513" s="320">
        <v>35.48</v>
      </c>
      <c r="S513" s="320">
        <v>10.69</v>
      </c>
      <c r="T513" s="320">
        <v>0.03</v>
      </c>
      <c r="U513" s="320">
        <v>46.14</v>
      </c>
      <c r="V513" s="320">
        <v>48.37</v>
      </c>
      <c r="W513" s="320">
        <v>3.8781</v>
      </c>
      <c r="X513" s="320">
        <v>0.07</v>
      </c>
      <c r="Y513" s="320">
        <v>139.0</v>
      </c>
      <c r="Z513" s="320">
        <v>885.0</v>
      </c>
      <c r="AA513" s="320">
        <v>6007.0</v>
      </c>
      <c r="AB513" s="320">
        <v>48.9174</v>
      </c>
      <c r="AC513" s="320">
        <v>0.5338</v>
      </c>
      <c r="AD513" s="320">
        <v>3.94</v>
      </c>
      <c r="AE513" s="320">
        <v>1.0</v>
      </c>
      <c r="AF513" s="320">
        <v>3.0</v>
      </c>
      <c r="AG513" s="320">
        <v>5.0</v>
      </c>
      <c r="AH513" s="320">
        <v>9.0</v>
      </c>
      <c r="AI513" s="320">
        <v>71.62</v>
      </c>
      <c r="AJ513" s="320">
        <v>29.75</v>
      </c>
      <c r="AK513" s="320">
        <v>8.66</v>
      </c>
      <c r="AL513" s="320">
        <v>0.2568</v>
      </c>
      <c r="AM513" s="320">
        <v>19.11</v>
      </c>
      <c r="AN513" s="320">
        <v>16.37</v>
      </c>
      <c r="AO513" s="320">
        <v>66.08</v>
      </c>
      <c r="AP513" s="320">
        <v>12.63</v>
      </c>
    </row>
    <row r="514">
      <c r="A514" s="319" t="s">
        <v>256</v>
      </c>
      <c r="B514" s="328">
        <v>46135.0</v>
      </c>
      <c r="C514" s="319" t="s">
        <v>215</v>
      </c>
      <c r="D514" s="320">
        <v>24894.0</v>
      </c>
      <c r="E514" s="320">
        <v>24.44</v>
      </c>
      <c r="F514" s="320">
        <v>0.0</v>
      </c>
      <c r="G514" s="320">
        <v>0.0</v>
      </c>
      <c r="H514" s="320">
        <v>0.0</v>
      </c>
      <c r="I514" s="329"/>
      <c r="J514" s="320">
        <v>51.55</v>
      </c>
      <c r="K514" s="320">
        <v>24.33</v>
      </c>
      <c r="L514" s="320">
        <v>13.63</v>
      </c>
      <c r="M514" s="320">
        <v>0.5603</v>
      </c>
      <c r="N514" s="320">
        <v>0.6369</v>
      </c>
      <c r="O514" s="320">
        <v>0.4481</v>
      </c>
      <c r="P514" s="320">
        <v>1.7847</v>
      </c>
      <c r="Q514" s="320">
        <v>93.98</v>
      </c>
      <c r="R514" s="320">
        <v>67.96</v>
      </c>
      <c r="S514" s="320">
        <v>26.02</v>
      </c>
      <c r="T514" s="320">
        <v>0.04</v>
      </c>
      <c r="U514" s="320">
        <v>93.94</v>
      </c>
      <c r="V514" s="320">
        <v>92.11</v>
      </c>
      <c r="W514" s="320">
        <v>3.7863</v>
      </c>
      <c r="X514" s="320">
        <v>0.04</v>
      </c>
      <c r="Y514" s="320">
        <v>126.0</v>
      </c>
      <c r="Z514" s="320">
        <v>710.0</v>
      </c>
      <c r="AA514" s="320">
        <v>5345.0</v>
      </c>
      <c r="AB514" s="320">
        <v>52.3679</v>
      </c>
      <c r="AC514" s="320">
        <v>0.6233</v>
      </c>
      <c r="AD514" s="320">
        <v>9.18</v>
      </c>
      <c r="AE514" s="320">
        <v>3.0</v>
      </c>
      <c r="AF514" s="320">
        <v>7.0</v>
      </c>
      <c r="AG514" s="320">
        <v>12.0</v>
      </c>
      <c r="AH514" s="320">
        <v>20.0</v>
      </c>
      <c r="AI514" s="320">
        <v>57.74</v>
      </c>
      <c r="AJ514" s="320">
        <v>25.0</v>
      </c>
      <c r="AK514" s="320">
        <v>4.69</v>
      </c>
      <c r="AL514" s="320">
        <v>0.1984</v>
      </c>
      <c r="AM514" s="320">
        <v>19.86</v>
      </c>
      <c r="AN514" s="320">
        <v>48.1</v>
      </c>
      <c r="AO514" s="320">
        <v>75.37</v>
      </c>
      <c r="AP514" s="320">
        <v>14.97</v>
      </c>
    </row>
    <row r="515">
      <c r="A515" s="319" t="s">
        <v>256</v>
      </c>
      <c r="B515" s="328">
        <v>46135.0</v>
      </c>
      <c r="C515" s="319" t="s">
        <v>216</v>
      </c>
      <c r="D515" s="320">
        <v>13850.0</v>
      </c>
      <c r="E515" s="320">
        <v>13.6</v>
      </c>
      <c r="F515" s="320">
        <v>0.0</v>
      </c>
      <c r="G515" s="320">
        <v>0.0</v>
      </c>
      <c r="H515" s="320">
        <v>0.0</v>
      </c>
      <c r="I515" s="329"/>
      <c r="J515" s="320">
        <v>74.75</v>
      </c>
      <c r="K515" s="320">
        <v>37.87</v>
      </c>
      <c r="L515" s="320">
        <v>25.97</v>
      </c>
      <c r="M515" s="320">
        <v>0.6859</v>
      </c>
      <c r="N515" s="320">
        <v>0.5083</v>
      </c>
      <c r="O515" s="320">
        <v>0.3558</v>
      </c>
      <c r="P515" s="320">
        <v>1.4579</v>
      </c>
      <c r="Q515" s="320">
        <v>178.84</v>
      </c>
      <c r="R515" s="320">
        <v>128.34</v>
      </c>
      <c r="S515" s="320">
        <v>50.5</v>
      </c>
      <c r="T515" s="320">
        <v>0.0</v>
      </c>
      <c r="U515" s="320">
        <v>178.84</v>
      </c>
      <c r="V515" s="320">
        <v>160.57</v>
      </c>
      <c r="W515" s="320">
        <v>4.2403</v>
      </c>
      <c r="X515" s="320">
        <v>0.0</v>
      </c>
      <c r="Y515" s="320">
        <v>155.0</v>
      </c>
      <c r="Z515" s="320">
        <v>986.0</v>
      </c>
      <c r="AA515" s="320">
        <v>6125.0</v>
      </c>
      <c r="AB515" s="320">
        <v>55.828</v>
      </c>
      <c r="AC515" s="320">
        <v>0.7366</v>
      </c>
      <c r="AD515" s="320">
        <v>17.94</v>
      </c>
      <c r="AE515" s="320">
        <v>7.0</v>
      </c>
      <c r="AF515" s="320">
        <v>14.0</v>
      </c>
      <c r="AG515" s="320">
        <v>25.0</v>
      </c>
      <c r="AH515" s="320">
        <v>38.0</v>
      </c>
      <c r="AI515" s="320">
        <v>60.38</v>
      </c>
      <c r="AJ515" s="320">
        <v>23.7</v>
      </c>
      <c r="AK515" s="320">
        <v>7.57</v>
      </c>
      <c r="AL515" s="320">
        <v>0.1841</v>
      </c>
      <c r="AM515" s="320">
        <v>19.8</v>
      </c>
      <c r="AN515" s="320">
        <v>108.54</v>
      </c>
      <c r="AO515" s="320">
        <v>78.35</v>
      </c>
      <c r="AP515" s="320">
        <v>15.51</v>
      </c>
    </row>
    <row r="516">
      <c r="A516" s="319" t="s">
        <v>256</v>
      </c>
      <c r="B516" s="328">
        <v>46135.0</v>
      </c>
      <c r="C516" s="319" t="s">
        <v>217</v>
      </c>
      <c r="D516" s="320">
        <v>5627.0</v>
      </c>
      <c r="E516" s="320">
        <v>5.52</v>
      </c>
      <c r="F516" s="320">
        <v>0.0</v>
      </c>
      <c r="G516" s="320">
        <v>0.0</v>
      </c>
      <c r="H516" s="320">
        <v>0.0</v>
      </c>
      <c r="I516" s="329"/>
      <c r="J516" s="320">
        <v>126.74</v>
      </c>
      <c r="K516" s="320">
        <v>68.96</v>
      </c>
      <c r="L516" s="320">
        <v>55.84</v>
      </c>
      <c r="M516" s="320">
        <v>0.8097</v>
      </c>
      <c r="N516" s="320">
        <v>0.3721</v>
      </c>
      <c r="O516" s="320">
        <v>0.2718</v>
      </c>
      <c r="P516" s="320">
        <v>1.235</v>
      </c>
      <c r="Q516" s="320">
        <v>401.55</v>
      </c>
      <c r="R516" s="320">
        <v>294.16</v>
      </c>
      <c r="S516" s="320">
        <v>107.39</v>
      </c>
      <c r="T516" s="320">
        <v>0.0</v>
      </c>
      <c r="U516" s="320">
        <v>401.55</v>
      </c>
      <c r="V516" s="320">
        <v>329.65</v>
      </c>
      <c r="W516" s="320">
        <v>4.7805</v>
      </c>
      <c r="X516" s="320">
        <v>0.0</v>
      </c>
      <c r="Y516" s="320">
        <v>327.0</v>
      </c>
      <c r="Z516" s="320">
        <v>2310.0</v>
      </c>
      <c r="AA516" s="320">
        <v>9856.0</v>
      </c>
      <c r="AB516" s="320">
        <v>59.7638</v>
      </c>
      <c r="AC516" s="320">
        <v>0.8251</v>
      </c>
      <c r="AD516" s="320">
        <v>39.57</v>
      </c>
      <c r="AE516" s="320">
        <v>16.0</v>
      </c>
      <c r="AF516" s="320">
        <v>32.0</v>
      </c>
      <c r="AG516" s="320">
        <v>55.0</v>
      </c>
      <c r="AH516" s="320">
        <v>80.0</v>
      </c>
      <c r="AI516" s="320">
        <v>56.55</v>
      </c>
      <c r="AJ516" s="320">
        <v>21.41</v>
      </c>
      <c r="AK516" s="320">
        <v>4.83</v>
      </c>
      <c r="AL516" s="320">
        <v>0.1388</v>
      </c>
      <c r="AM516" s="320">
        <v>20.52</v>
      </c>
      <c r="AN516" s="320">
        <v>273.63</v>
      </c>
      <c r="AO516" s="320">
        <v>82.64</v>
      </c>
      <c r="AP516" s="320">
        <v>16.96</v>
      </c>
    </row>
    <row r="517">
      <c r="A517" s="319" t="s">
        <v>256</v>
      </c>
      <c r="B517" s="328">
        <v>46135.0</v>
      </c>
      <c r="C517" s="319" t="s">
        <v>218</v>
      </c>
      <c r="D517" s="320">
        <v>598.0</v>
      </c>
      <c r="E517" s="320">
        <v>0.59</v>
      </c>
      <c r="F517" s="320">
        <v>0.0</v>
      </c>
      <c r="G517" s="320">
        <v>0.0</v>
      </c>
      <c r="H517" s="320">
        <v>0.0</v>
      </c>
      <c r="I517" s="329"/>
      <c r="J517" s="320">
        <v>243.37</v>
      </c>
      <c r="K517" s="320">
        <v>141.66</v>
      </c>
      <c r="L517" s="320">
        <v>126.59</v>
      </c>
      <c r="M517" s="320">
        <v>0.8936</v>
      </c>
      <c r="N517" s="320">
        <v>0.2689</v>
      </c>
      <c r="O517" s="320">
        <v>0.2109</v>
      </c>
      <c r="P517" s="320">
        <v>1.1191</v>
      </c>
      <c r="Q517" s="320">
        <v>788.74</v>
      </c>
      <c r="R517" s="320">
        <v>540.93</v>
      </c>
      <c r="S517" s="320">
        <v>247.81</v>
      </c>
      <c r="T517" s="320">
        <v>0.0</v>
      </c>
      <c r="U517" s="320">
        <v>788.74</v>
      </c>
      <c r="V517" s="320">
        <v>642.14</v>
      </c>
      <c r="W517" s="320">
        <v>4.5329</v>
      </c>
      <c r="X517" s="320">
        <v>0.0</v>
      </c>
      <c r="Y517" s="320">
        <v>897.0</v>
      </c>
      <c r="Z517" s="320">
        <v>4409.0</v>
      </c>
      <c r="AA517" s="320">
        <v>13613.0</v>
      </c>
      <c r="AB517" s="320">
        <v>63.6273</v>
      </c>
      <c r="AC517" s="320">
        <v>0.8983</v>
      </c>
      <c r="AD517" s="320">
        <v>87.85</v>
      </c>
      <c r="AE517" s="320">
        <v>39.0</v>
      </c>
      <c r="AF517" s="320">
        <v>74.0</v>
      </c>
      <c r="AG517" s="320">
        <v>125.0</v>
      </c>
      <c r="AH517" s="320">
        <v>166.0</v>
      </c>
      <c r="AI517" s="320">
        <v>45.82</v>
      </c>
      <c r="AJ517" s="320">
        <v>8.86</v>
      </c>
      <c r="AK517" s="320">
        <v>1.17</v>
      </c>
      <c r="AL517" s="320">
        <v>0.0819</v>
      </c>
      <c r="AM517" s="320">
        <v>23.23</v>
      </c>
      <c r="AN517" s="320">
        <v>517.71</v>
      </c>
      <c r="AO517" s="320">
        <v>86.38</v>
      </c>
      <c r="AP517" s="320">
        <v>20.07</v>
      </c>
    </row>
    <row r="518">
      <c r="A518" s="319" t="s">
        <v>256</v>
      </c>
      <c r="B518" s="328">
        <v>46136.0</v>
      </c>
      <c r="C518" s="319" t="s">
        <v>257</v>
      </c>
      <c r="D518" s="320">
        <v>18575.0</v>
      </c>
      <c r="E518" s="320">
        <v>18.7</v>
      </c>
      <c r="F518" s="320">
        <v>0.0</v>
      </c>
      <c r="G518" s="320">
        <v>0.0</v>
      </c>
      <c r="H518" s="320">
        <v>0.0</v>
      </c>
      <c r="I518" s="329"/>
      <c r="J518" s="320">
        <v>5.73</v>
      </c>
      <c r="K518" s="320">
        <v>2.27</v>
      </c>
      <c r="L518" s="320">
        <v>0.03</v>
      </c>
      <c r="M518" s="320">
        <v>0.0136</v>
      </c>
      <c r="N518" s="320">
        <v>0.9908</v>
      </c>
      <c r="O518" s="320">
        <v>0.8895</v>
      </c>
      <c r="P518" s="320">
        <v>73.4939</v>
      </c>
      <c r="Q518" s="320">
        <v>27.08</v>
      </c>
      <c r="R518" s="320">
        <v>26.98</v>
      </c>
      <c r="S518" s="320">
        <v>0.11</v>
      </c>
      <c r="T518" s="320">
        <v>0.0</v>
      </c>
      <c r="U518" s="320">
        <v>27.08</v>
      </c>
      <c r="V518" s="320">
        <v>1.82</v>
      </c>
      <c r="W518" s="320">
        <v>0.8038</v>
      </c>
      <c r="X518" s="320">
        <v>0.0</v>
      </c>
      <c r="Y518" s="320">
        <v>376.0</v>
      </c>
      <c r="Z518" s="320">
        <v>4258.0</v>
      </c>
      <c r="AA518" s="320">
        <v>15491.0</v>
      </c>
      <c r="AB518" s="320">
        <v>49.2293</v>
      </c>
      <c r="AC518" s="320">
        <v>0.5442</v>
      </c>
      <c r="AD518" s="329"/>
      <c r="AE518" s="329"/>
      <c r="AF518" s="329"/>
      <c r="AG518" s="329"/>
      <c r="AH518" s="329"/>
      <c r="AI518" s="320">
        <v>0.0</v>
      </c>
      <c r="AJ518" s="320">
        <v>0.0</v>
      </c>
      <c r="AK518" s="320">
        <v>0.0</v>
      </c>
      <c r="AL518" s="320">
        <v>0.3086</v>
      </c>
      <c r="AM518" s="320">
        <v>17.93</v>
      </c>
      <c r="AN518" s="320">
        <v>9.04</v>
      </c>
      <c r="AO518" s="329"/>
      <c r="AP518" s="329"/>
    </row>
    <row r="519">
      <c r="A519" s="319" t="s">
        <v>256</v>
      </c>
      <c r="B519" s="328">
        <v>46136.0</v>
      </c>
      <c r="C519" s="319" t="s">
        <v>214</v>
      </c>
      <c r="D519" s="320">
        <v>36440.0</v>
      </c>
      <c r="E519" s="320">
        <v>36.68</v>
      </c>
      <c r="F519" s="320">
        <v>0.0</v>
      </c>
      <c r="G519" s="320">
        <v>0.0</v>
      </c>
      <c r="H519" s="320">
        <v>0.0</v>
      </c>
      <c r="I519" s="329"/>
      <c r="J519" s="320">
        <v>30.72</v>
      </c>
      <c r="K519" s="320">
        <v>13.98</v>
      </c>
      <c r="L519" s="320">
        <v>5.79</v>
      </c>
      <c r="M519" s="320">
        <v>0.4142</v>
      </c>
      <c r="N519" s="320">
        <v>0.7557</v>
      </c>
      <c r="O519" s="320">
        <v>0.5566</v>
      </c>
      <c r="P519" s="320">
        <v>2.4145</v>
      </c>
      <c r="Q519" s="320">
        <v>57.45</v>
      </c>
      <c r="R519" s="320">
        <v>46.17</v>
      </c>
      <c r="S519" s="320">
        <v>11.28</v>
      </c>
      <c r="T519" s="320">
        <v>0.01</v>
      </c>
      <c r="U519" s="320">
        <v>57.44</v>
      </c>
      <c r="V519" s="320">
        <v>52.72</v>
      </c>
      <c r="W519" s="320">
        <v>3.7702</v>
      </c>
      <c r="X519" s="320">
        <v>0.02</v>
      </c>
      <c r="Y519" s="320">
        <v>147.0</v>
      </c>
      <c r="Z519" s="320">
        <v>878.0</v>
      </c>
      <c r="AA519" s="320">
        <v>5872.0</v>
      </c>
      <c r="AB519" s="320">
        <v>48.8244</v>
      </c>
      <c r="AC519" s="320">
        <v>0.532</v>
      </c>
      <c r="AD519" s="320">
        <v>4.06</v>
      </c>
      <c r="AE519" s="320">
        <v>1.0</v>
      </c>
      <c r="AF519" s="320">
        <v>3.0</v>
      </c>
      <c r="AG519" s="320">
        <v>5.0</v>
      </c>
      <c r="AH519" s="320">
        <v>9.0</v>
      </c>
      <c r="AI519" s="320">
        <v>73.67</v>
      </c>
      <c r="AJ519" s="320">
        <v>31.75</v>
      </c>
      <c r="AK519" s="320">
        <v>8.86</v>
      </c>
      <c r="AL519" s="320">
        <v>0.2676</v>
      </c>
      <c r="AM519" s="320">
        <v>20.23</v>
      </c>
      <c r="AN519" s="320">
        <v>25.94</v>
      </c>
      <c r="AO519" s="320">
        <v>66.32</v>
      </c>
      <c r="AP519" s="320">
        <v>13.42</v>
      </c>
    </row>
    <row r="520">
      <c r="A520" s="319" t="s">
        <v>256</v>
      </c>
      <c r="B520" s="328">
        <v>46136.0</v>
      </c>
      <c r="C520" s="319" t="s">
        <v>215</v>
      </c>
      <c r="D520" s="320">
        <v>24363.0</v>
      </c>
      <c r="E520" s="320">
        <v>24.52</v>
      </c>
      <c r="F520" s="320">
        <v>0.0</v>
      </c>
      <c r="G520" s="320">
        <v>0.0</v>
      </c>
      <c r="H520" s="320">
        <v>0.0</v>
      </c>
      <c r="I520" s="329"/>
      <c r="J520" s="320">
        <v>56.87</v>
      </c>
      <c r="K520" s="320">
        <v>26.97</v>
      </c>
      <c r="L520" s="320">
        <v>14.11</v>
      </c>
      <c r="M520" s="320">
        <v>0.5233</v>
      </c>
      <c r="N520" s="320">
        <v>0.6629</v>
      </c>
      <c r="O520" s="320">
        <v>0.4595</v>
      </c>
      <c r="P520" s="320">
        <v>1.9111</v>
      </c>
      <c r="Q520" s="320">
        <v>100.64</v>
      </c>
      <c r="R520" s="320">
        <v>72.94</v>
      </c>
      <c r="S520" s="320">
        <v>27.7</v>
      </c>
      <c r="T520" s="320">
        <v>0.0</v>
      </c>
      <c r="U520" s="320">
        <v>100.64</v>
      </c>
      <c r="V520" s="320">
        <v>96.82</v>
      </c>
      <c r="W520" s="320">
        <v>3.5899</v>
      </c>
      <c r="X520" s="320">
        <v>0.0</v>
      </c>
      <c r="Y520" s="320">
        <v>123.0</v>
      </c>
      <c r="Z520" s="320">
        <v>673.0</v>
      </c>
      <c r="AA520" s="320">
        <v>5211.0</v>
      </c>
      <c r="AB520" s="320">
        <v>52.2951</v>
      </c>
      <c r="AC520" s="320">
        <v>0.6303</v>
      </c>
      <c r="AD520" s="320">
        <v>9.5</v>
      </c>
      <c r="AE520" s="320">
        <v>4.0</v>
      </c>
      <c r="AF520" s="320">
        <v>8.0</v>
      </c>
      <c r="AG520" s="320">
        <v>13.0</v>
      </c>
      <c r="AH520" s="320">
        <v>20.0</v>
      </c>
      <c r="AI520" s="320">
        <v>61.49</v>
      </c>
      <c r="AJ520" s="320">
        <v>26.12</v>
      </c>
      <c r="AK520" s="320">
        <v>4.71</v>
      </c>
      <c r="AL520" s="320">
        <v>0.2149</v>
      </c>
      <c r="AM520" s="320">
        <v>21.1</v>
      </c>
      <c r="AN520" s="320">
        <v>51.84</v>
      </c>
      <c r="AO520" s="320">
        <v>75.73</v>
      </c>
      <c r="AP520" s="320">
        <v>15.98</v>
      </c>
    </row>
    <row r="521">
      <c r="A521" s="319" t="s">
        <v>256</v>
      </c>
      <c r="B521" s="328">
        <v>46136.0</v>
      </c>
      <c r="C521" s="319" t="s">
        <v>216</v>
      </c>
      <c r="D521" s="320">
        <v>13767.0</v>
      </c>
      <c r="E521" s="320">
        <v>13.86</v>
      </c>
      <c r="F521" s="320">
        <v>0.0</v>
      </c>
      <c r="G521" s="320">
        <v>0.0</v>
      </c>
      <c r="H521" s="320">
        <v>0.0</v>
      </c>
      <c r="I521" s="329"/>
      <c r="J521" s="320">
        <v>81.81</v>
      </c>
      <c r="K521" s="320">
        <v>41.2</v>
      </c>
      <c r="L521" s="320">
        <v>26.85</v>
      </c>
      <c r="M521" s="320">
        <v>0.6519</v>
      </c>
      <c r="N521" s="320">
        <v>0.5338</v>
      </c>
      <c r="O521" s="320">
        <v>0.3654</v>
      </c>
      <c r="P521" s="320">
        <v>1.534</v>
      </c>
      <c r="Q521" s="320">
        <v>159.97</v>
      </c>
      <c r="R521" s="320">
        <v>107.77</v>
      </c>
      <c r="S521" s="320">
        <v>52.2</v>
      </c>
      <c r="T521" s="320">
        <v>0.0</v>
      </c>
      <c r="U521" s="320">
        <v>159.97</v>
      </c>
      <c r="V521" s="320">
        <v>161.45</v>
      </c>
      <c r="W521" s="320">
        <v>3.9191</v>
      </c>
      <c r="X521" s="320">
        <v>0.0</v>
      </c>
      <c r="Y521" s="320">
        <v>144.0</v>
      </c>
      <c r="Z521" s="320">
        <v>913.0</v>
      </c>
      <c r="AA521" s="320">
        <v>5990.0</v>
      </c>
      <c r="AB521" s="320">
        <v>55.8572</v>
      </c>
      <c r="AC521" s="320">
        <v>0.7388</v>
      </c>
      <c r="AD521" s="320">
        <v>17.96</v>
      </c>
      <c r="AE521" s="320">
        <v>8.0</v>
      </c>
      <c r="AF521" s="320">
        <v>14.0</v>
      </c>
      <c r="AG521" s="320">
        <v>24.0</v>
      </c>
      <c r="AH521" s="320">
        <v>37.0</v>
      </c>
      <c r="AI521" s="320">
        <v>60.86</v>
      </c>
      <c r="AJ521" s="320">
        <v>23.25</v>
      </c>
      <c r="AK521" s="320">
        <v>7.07</v>
      </c>
      <c r="AL521" s="320">
        <v>0.2022</v>
      </c>
      <c r="AM521" s="320">
        <v>20.76</v>
      </c>
      <c r="AN521" s="320">
        <v>87.01</v>
      </c>
      <c r="AO521" s="320">
        <v>78.3</v>
      </c>
      <c r="AP521" s="320">
        <v>16.26</v>
      </c>
    </row>
    <row r="522">
      <c r="A522" s="319" t="s">
        <v>256</v>
      </c>
      <c r="B522" s="328">
        <v>46136.0</v>
      </c>
      <c r="C522" s="319" t="s">
        <v>217</v>
      </c>
      <c r="D522" s="320">
        <v>5614.0</v>
      </c>
      <c r="E522" s="320">
        <v>5.65</v>
      </c>
      <c r="F522" s="320">
        <v>0.0</v>
      </c>
      <c r="G522" s="320">
        <v>0.0</v>
      </c>
      <c r="H522" s="320">
        <v>0.0</v>
      </c>
      <c r="I522" s="329"/>
      <c r="J522" s="320">
        <v>131.69</v>
      </c>
      <c r="K522" s="320">
        <v>70.47</v>
      </c>
      <c r="L522" s="320">
        <v>55.1</v>
      </c>
      <c r="M522" s="320">
        <v>0.7818</v>
      </c>
      <c r="N522" s="320">
        <v>0.3961</v>
      </c>
      <c r="O522" s="320">
        <v>0.2807</v>
      </c>
      <c r="P522" s="320">
        <v>1.279</v>
      </c>
      <c r="Q522" s="320">
        <v>282.52</v>
      </c>
      <c r="R522" s="320">
        <v>174.94</v>
      </c>
      <c r="S522" s="320">
        <v>107.58</v>
      </c>
      <c r="T522" s="320">
        <v>0.01</v>
      </c>
      <c r="U522" s="320">
        <v>282.51</v>
      </c>
      <c r="V522" s="320">
        <v>317.62</v>
      </c>
      <c r="W522" s="320">
        <v>4.5071</v>
      </c>
      <c r="X522" s="320">
        <v>0.0</v>
      </c>
      <c r="Y522" s="320">
        <v>303.0</v>
      </c>
      <c r="Z522" s="320">
        <v>2232.0</v>
      </c>
      <c r="AA522" s="320">
        <v>9253.0</v>
      </c>
      <c r="AB522" s="320">
        <v>59.7999</v>
      </c>
      <c r="AC522" s="320">
        <v>0.8334</v>
      </c>
      <c r="AD522" s="320">
        <v>37.54</v>
      </c>
      <c r="AE522" s="320">
        <v>15.0</v>
      </c>
      <c r="AF522" s="320">
        <v>30.0</v>
      </c>
      <c r="AG522" s="320">
        <v>51.0</v>
      </c>
      <c r="AH522" s="320">
        <v>78.0</v>
      </c>
      <c r="AI522" s="320">
        <v>53.69</v>
      </c>
      <c r="AJ522" s="320">
        <v>19.02</v>
      </c>
      <c r="AK522" s="320">
        <v>4.56</v>
      </c>
      <c r="AL522" s="320">
        <v>0.1521</v>
      </c>
      <c r="AM522" s="320">
        <v>22.88</v>
      </c>
      <c r="AN522" s="320">
        <v>152.06</v>
      </c>
      <c r="AO522" s="320">
        <v>82.41</v>
      </c>
      <c r="AP522" s="320">
        <v>18.86</v>
      </c>
    </row>
    <row r="523">
      <c r="A523" s="319" t="s">
        <v>256</v>
      </c>
      <c r="B523" s="328">
        <v>46136.0</v>
      </c>
      <c r="C523" s="319" t="s">
        <v>218</v>
      </c>
      <c r="D523" s="320">
        <v>591.0</v>
      </c>
      <c r="E523" s="320">
        <v>0.59</v>
      </c>
      <c r="F523" s="320">
        <v>0.0</v>
      </c>
      <c r="G523" s="320">
        <v>0.0</v>
      </c>
      <c r="H523" s="320">
        <v>0.0</v>
      </c>
      <c r="I523" s="329"/>
      <c r="J523" s="320">
        <v>253.57</v>
      </c>
      <c r="K523" s="320">
        <v>144.75</v>
      </c>
      <c r="L523" s="320">
        <v>127.73</v>
      </c>
      <c r="M523" s="320">
        <v>0.8824</v>
      </c>
      <c r="N523" s="320">
        <v>0.2744</v>
      </c>
      <c r="O523" s="320">
        <v>0.2108</v>
      </c>
      <c r="P523" s="320">
        <v>1.1332</v>
      </c>
      <c r="Q523" s="320">
        <v>584.34</v>
      </c>
      <c r="R523" s="320">
        <v>335.39</v>
      </c>
      <c r="S523" s="320">
        <v>248.95</v>
      </c>
      <c r="T523" s="320">
        <v>0.0</v>
      </c>
      <c r="U523" s="320">
        <v>584.34</v>
      </c>
      <c r="V523" s="320">
        <v>614.81</v>
      </c>
      <c r="W523" s="320">
        <v>4.2474</v>
      </c>
      <c r="X523" s="320">
        <v>0.0</v>
      </c>
      <c r="Y523" s="320">
        <v>889.0</v>
      </c>
      <c r="Z523" s="320">
        <v>3920.0</v>
      </c>
      <c r="AA523" s="320">
        <v>13884.0</v>
      </c>
      <c r="AB523" s="320">
        <v>63.7213</v>
      </c>
      <c r="AC523" s="320">
        <v>0.9091</v>
      </c>
      <c r="AD523" s="320">
        <v>87.28</v>
      </c>
      <c r="AE523" s="320">
        <v>37.0</v>
      </c>
      <c r="AF523" s="320">
        <v>74.0</v>
      </c>
      <c r="AG523" s="320">
        <v>123.0</v>
      </c>
      <c r="AH523" s="320">
        <v>175.0</v>
      </c>
      <c r="AI523" s="320">
        <v>45.52</v>
      </c>
      <c r="AJ523" s="320">
        <v>10.15</v>
      </c>
      <c r="AK523" s="320">
        <v>0.85</v>
      </c>
      <c r="AL523" s="320">
        <v>0.0846</v>
      </c>
      <c r="AM523" s="320">
        <v>20.94</v>
      </c>
      <c r="AN523" s="320">
        <v>314.45</v>
      </c>
      <c r="AO523" s="320">
        <v>87.0</v>
      </c>
      <c r="AP523" s="320">
        <v>18.22</v>
      </c>
    </row>
    <row r="524">
      <c r="A524" s="319" t="s">
        <v>256</v>
      </c>
      <c r="B524" s="328">
        <v>46137.0</v>
      </c>
      <c r="C524" s="319" t="s">
        <v>257</v>
      </c>
      <c r="D524" s="320">
        <v>19021.0</v>
      </c>
      <c r="E524" s="320">
        <v>19.45</v>
      </c>
      <c r="F524" s="320">
        <v>0.0</v>
      </c>
      <c r="G524" s="320">
        <v>0.0</v>
      </c>
      <c r="H524" s="320">
        <v>0.0</v>
      </c>
      <c r="I524" s="329"/>
      <c r="J524" s="320">
        <v>5.95</v>
      </c>
      <c r="K524" s="320">
        <v>2.44</v>
      </c>
      <c r="L524" s="320">
        <v>0.04</v>
      </c>
      <c r="M524" s="320">
        <v>0.0155</v>
      </c>
      <c r="N524" s="320">
        <v>0.9885</v>
      </c>
      <c r="O524" s="320">
        <v>0.8574</v>
      </c>
      <c r="P524" s="320">
        <v>64.3154</v>
      </c>
      <c r="Q524" s="320">
        <v>25.32</v>
      </c>
      <c r="R524" s="320">
        <v>25.16</v>
      </c>
      <c r="S524" s="320">
        <v>0.15</v>
      </c>
      <c r="T524" s="320">
        <v>0.0</v>
      </c>
      <c r="U524" s="320">
        <v>25.32</v>
      </c>
      <c r="V524" s="320">
        <v>2.19</v>
      </c>
      <c r="W524" s="320">
        <v>0.8946</v>
      </c>
      <c r="X524" s="320">
        <v>0.0</v>
      </c>
      <c r="Y524" s="320">
        <v>311.0</v>
      </c>
      <c r="Z524" s="320">
        <v>3948.0</v>
      </c>
      <c r="AA524" s="320">
        <v>14946.0</v>
      </c>
      <c r="AB524" s="320">
        <v>48.9148</v>
      </c>
      <c r="AC524" s="320">
        <v>0.537</v>
      </c>
      <c r="AD524" s="329"/>
      <c r="AE524" s="329"/>
      <c r="AF524" s="329"/>
      <c r="AG524" s="329"/>
      <c r="AH524" s="329"/>
      <c r="AI524" s="320">
        <v>0.0</v>
      </c>
      <c r="AJ524" s="320">
        <v>0.0</v>
      </c>
      <c r="AK524" s="320">
        <v>0.0</v>
      </c>
      <c r="AL524" s="320">
        <v>0.2899</v>
      </c>
      <c r="AM524" s="320">
        <v>18.86</v>
      </c>
      <c r="AN524" s="320">
        <v>6.3</v>
      </c>
      <c r="AO524" s="329"/>
      <c r="AP524" s="329"/>
    </row>
    <row r="525">
      <c r="A525" s="319" t="s">
        <v>256</v>
      </c>
      <c r="B525" s="328">
        <v>46137.0</v>
      </c>
      <c r="C525" s="319" t="s">
        <v>214</v>
      </c>
      <c r="D525" s="320">
        <v>35297.0</v>
      </c>
      <c r="E525" s="320">
        <v>36.1</v>
      </c>
      <c r="F525" s="320">
        <v>0.0</v>
      </c>
      <c r="G525" s="320">
        <v>0.0</v>
      </c>
      <c r="H525" s="320">
        <v>0.0</v>
      </c>
      <c r="I525" s="329"/>
      <c r="J525" s="320">
        <v>29.23</v>
      </c>
      <c r="K525" s="320">
        <v>13.33</v>
      </c>
      <c r="L525" s="320">
        <v>5.78</v>
      </c>
      <c r="M525" s="320">
        <v>0.4335</v>
      </c>
      <c r="N525" s="320">
        <v>0.7411</v>
      </c>
      <c r="O525" s="320">
        <v>0.5453</v>
      </c>
      <c r="P525" s="320">
        <v>2.3067</v>
      </c>
      <c r="Q525" s="320">
        <v>52.4</v>
      </c>
      <c r="R525" s="320">
        <v>41.09</v>
      </c>
      <c r="S525" s="320">
        <v>11.31</v>
      </c>
      <c r="T525" s="320">
        <v>0.0</v>
      </c>
      <c r="U525" s="320">
        <v>52.4</v>
      </c>
      <c r="V525" s="320">
        <v>53.78</v>
      </c>
      <c r="W525" s="320">
        <v>4.0352</v>
      </c>
      <c r="X525" s="320">
        <v>0.0</v>
      </c>
      <c r="Y525" s="320">
        <v>145.0</v>
      </c>
      <c r="Z525" s="320">
        <v>853.0</v>
      </c>
      <c r="AA525" s="320">
        <v>5768.0</v>
      </c>
      <c r="AB525" s="320">
        <v>48.8548</v>
      </c>
      <c r="AC525" s="320">
        <v>0.5359</v>
      </c>
      <c r="AD525" s="320">
        <v>4.12</v>
      </c>
      <c r="AE525" s="320">
        <v>1.0</v>
      </c>
      <c r="AF525" s="320">
        <v>3.0</v>
      </c>
      <c r="AG525" s="320">
        <v>5.0</v>
      </c>
      <c r="AH525" s="320">
        <v>9.0</v>
      </c>
      <c r="AI525" s="320">
        <v>72.72</v>
      </c>
      <c r="AJ525" s="320">
        <v>31.63</v>
      </c>
      <c r="AK525" s="320">
        <v>9.64</v>
      </c>
      <c r="AL525" s="320">
        <v>0.2546</v>
      </c>
      <c r="AM525" s="320">
        <v>21.87</v>
      </c>
      <c r="AN525" s="320">
        <v>19.22</v>
      </c>
      <c r="AO525" s="320">
        <v>65.8</v>
      </c>
      <c r="AP525" s="320">
        <v>14.39</v>
      </c>
    </row>
    <row r="526">
      <c r="A526" s="319" t="s">
        <v>256</v>
      </c>
      <c r="B526" s="328">
        <v>46137.0</v>
      </c>
      <c r="C526" s="319" t="s">
        <v>215</v>
      </c>
      <c r="D526" s="320">
        <v>23733.0</v>
      </c>
      <c r="E526" s="320">
        <v>24.27</v>
      </c>
      <c r="F526" s="320">
        <v>0.0</v>
      </c>
      <c r="G526" s="320">
        <v>0.0</v>
      </c>
      <c r="H526" s="320">
        <v>0.0</v>
      </c>
      <c r="I526" s="329"/>
      <c r="J526" s="320">
        <v>54.26</v>
      </c>
      <c r="K526" s="320">
        <v>25.54</v>
      </c>
      <c r="L526" s="320">
        <v>14.06</v>
      </c>
      <c r="M526" s="320">
        <v>0.5506</v>
      </c>
      <c r="N526" s="320">
        <v>0.6444</v>
      </c>
      <c r="O526" s="320">
        <v>0.4518</v>
      </c>
      <c r="P526" s="320">
        <v>1.8163</v>
      </c>
      <c r="Q526" s="320">
        <v>98.77</v>
      </c>
      <c r="R526" s="320">
        <v>71.18</v>
      </c>
      <c r="S526" s="320">
        <v>27.59</v>
      </c>
      <c r="T526" s="320">
        <v>0.08</v>
      </c>
      <c r="U526" s="320">
        <v>98.69</v>
      </c>
      <c r="V526" s="320">
        <v>98.62</v>
      </c>
      <c r="W526" s="320">
        <v>3.8619</v>
      </c>
      <c r="X526" s="320">
        <v>0.08</v>
      </c>
      <c r="Y526" s="320">
        <v>127.0</v>
      </c>
      <c r="Z526" s="320">
        <v>735.0</v>
      </c>
      <c r="AA526" s="320">
        <v>5188.0</v>
      </c>
      <c r="AB526" s="320">
        <v>52.3588</v>
      </c>
      <c r="AC526" s="320">
        <v>0.6358</v>
      </c>
      <c r="AD526" s="320">
        <v>9.66</v>
      </c>
      <c r="AE526" s="320">
        <v>4.0</v>
      </c>
      <c r="AF526" s="320">
        <v>8.0</v>
      </c>
      <c r="AG526" s="320">
        <v>13.0</v>
      </c>
      <c r="AH526" s="320">
        <v>20.0</v>
      </c>
      <c r="AI526" s="320">
        <v>61.23</v>
      </c>
      <c r="AJ526" s="320">
        <v>26.98</v>
      </c>
      <c r="AK526" s="320">
        <v>5.41</v>
      </c>
      <c r="AL526" s="320">
        <v>0.2006</v>
      </c>
      <c r="AM526" s="320">
        <v>23.47</v>
      </c>
      <c r="AN526" s="320">
        <v>47.7</v>
      </c>
      <c r="AO526" s="320">
        <v>75.26</v>
      </c>
      <c r="AP526" s="320">
        <v>17.66</v>
      </c>
    </row>
    <row r="527">
      <c r="A527" s="319" t="s">
        <v>256</v>
      </c>
      <c r="B527" s="328">
        <v>46137.0</v>
      </c>
      <c r="C527" s="319" t="s">
        <v>216</v>
      </c>
      <c r="D527" s="320">
        <v>13549.0</v>
      </c>
      <c r="E527" s="320">
        <v>13.86</v>
      </c>
      <c r="F527" s="320">
        <v>0.0</v>
      </c>
      <c r="G527" s="320">
        <v>0.0</v>
      </c>
      <c r="H527" s="320">
        <v>0.0</v>
      </c>
      <c r="I527" s="329"/>
      <c r="J527" s="320">
        <v>78.59</v>
      </c>
      <c r="K527" s="320">
        <v>39.59</v>
      </c>
      <c r="L527" s="320">
        <v>26.94</v>
      </c>
      <c r="M527" s="320">
        <v>0.6804</v>
      </c>
      <c r="N527" s="320">
        <v>0.5131</v>
      </c>
      <c r="O527" s="320">
        <v>0.3587</v>
      </c>
      <c r="P527" s="320">
        <v>1.4698</v>
      </c>
      <c r="Q527" s="320">
        <v>167.14</v>
      </c>
      <c r="R527" s="320">
        <v>114.54</v>
      </c>
      <c r="S527" s="320">
        <v>52.6</v>
      </c>
      <c r="T527" s="320">
        <v>0.0</v>
      </c>
      <c r="U527" s="320">
        <v>167.14</v>
      </c>
      <c r="V527" s="320">
        <v>165.38</v>
      </c>
      <c r="W527" s="320">
        <v>4.1773</v>
      </c>
      <c r="X527" s="320">
        <v>0.0</v>
      </c>
      <c r="Y527" s="320">
        <v>157.0</v>
      </c>
      <c r="Z527" s="320">
        <v>972.0</v>
      </c>
      <c r="AA527" s="320">
        <v>6298.0</v>
      </c>
      <c r="AB527" s="320">
        <v>55.8247</v>
      </c>
      <c r="AC527" s="320">
        <v>0.7404</v>
      </c>
      <c r="AD527" s="320">
        <v>18.44</v>
      </c>
      <c r="AE527" s="320">
        <v>7.0</v>
      </c>
      <c r="AF527" s="320">
        <v>14.0</v>
      </c>
      <c r="AG527" s="320">
        <v>25.0</v>
      </c>
      <c r="AH527" s="320">
        <v>38.0</v>
      </c>
      <c r="AI527" s="320">
        <v>61.09</v>
      </c>
      <c r="AJ527" s="320">
        <v>24.64</v>
      </c>
      <c r="AK527" s="320">
        <v>7.8</v>
      </c>
      <c r="AL527" s="320">
        <v>0.1903</v>
      </c>
      <c r="AM527" s="320">
        <v>23.46</v>
      </c>
      <c r="AN527" s="320">
        <v>91.08</v>
      </c>
      <c r="AO527" s="320">
        <v>77.52</v>
      </c>
      <c r="AP527" s="320">
        <v>18.19</v>
      </c>
    </row>
    <row r="528">
      <c r="A528" s="319" t="s">
        <v>256</v>
      </c>
      <c r="B528" s="328">
        <v>46137.0</v>
      </c>
      <c r="C528" s="319" t="s">
        <v>217</v>
      </c>
      <c r="D528" s="320">
        <v>5584.0</v>
      </c>
      <c r="E528" s="320">
        <v>5.71</v>
      </c>
      <c r="F528" s="320">
        <v>0.0</v>
      </c>
      <c r="G528" s="320">
        <v>0.0</v>
      </c>
      <c r="H528" s="320">
        <v>0.0</v>
      </c>
      <c r="I528" s="329"/>
      <c r="J528" s="320">
        <v>126.06</v>
      </c>
      <c r="K528" s="320">
        <v>68.08</v>
      </c>
      <c r="L528" s="320">
        <v>54.53</v>
      </c>
      <c r="M528" s="320">
        <v>0.801</v>
      </c>
      <c r="N528" s="320">
        <v>0.3812</v>
      </c>
      <c r="O528" s="320">
        <v>0.2765</v>
      </c>
      <c r="P528" s="320">
        <v>1.2484</v>
      </c>
      <c r="Q528" s="320">
        <v>320.32</v>
      </c>
      <c r="R528" s="320">
        <v>214.85</v>
      </c>
      <c r="S528" s="320">
        <v>105.46</v>
      </c>
      <c r="T528" s="320">
        <v>0.0</v>
      </c>
      <c r="U528" s="320">
        <v>320.31</v>
      </c>
      <c r="V528" s="320">
        <v>314.08</v>
      </c>
      <c r="W528" s="320">
        <v>4.6136</v>
      </c>
      <c r="X528" s="320">
        <v>0.0</v>
      </c>
      <c r="Y528" s="320">
        <v>335.0</v>
      </c>
      <c r="Z528" s="320">
        <v>2235.0</v>
      </c>
      <c r="AA528" s="320">
        <v>9596.0</v>
      </c>
      <c r="AB528" s="320">
        <v>59.8477</v>
      </c>
      <c r="AC528" s="320">
        <v>0.8379</v>
      </c>
      <c r="AD528" s="320">
        <v>38.06</v>
      </c>
      <c r="AE528" s="320">
        <v>15.0</v>
      </c>
      <c r="AF528" s="320">
        <v>30.0</v>
      </c>
      <c r="AG528" s="320">
        <v>52.0</v>
      </c>
      <c r="AH528" s="320">
        <v>79.0</v>
      </c>
      <c r="AI528" s="320">
        <v>53.4</v>
      </c>
      <c r="AJ528" s="320">
        <v>19.81</v>
      </c>
      <c r="AK528" s="320">
        <v>4.87</v>
      </c>
      <c r="AL528" s="320">
        <v>0.1452</v>
      </c>
      <c r="AM528" s="320">
        <v>22.95</v>
      </c>
      <c r="AN528" s="320">
        <v>191.91</v>
      </c>
      <c r="AO528" s="320">
        <v>81.48</v>
      </c>
      <c r="AP528" s="320">
        <v>18.7</v>
      </c>
    </row>
    <row r="529">
      <c r="A529" s="319" t="s">
        <v>256</v>
      </c>
      <c r="B529" s="328">
        <v>46137.0</v>
      </c>
      <c r="C529" s="319" t="s">
        <v>218</v>
      </c>
      <c r="D529" s="320">
        <v>596.0</v>
      </c>
      <c r="E529" s="320">
        <v>0.61</v>
      </c>
      <c r="F529" s="320">
        <v>0.0</v>
      </c>
      <c r="G529" s="320">
        <v>0.0</v>
      </c>
      <c r="H529" s="320">
        <v>0.0</v>
      </c>
      <c r="I529" s="329"/>
      <c r="J529" s="320">
        <v>242.45</v>
      </c>
      <c r="K529" s="320">
        <v>142.23</v>
      </c>
      <c r="L529" s="320">
        <v>126.13</v>
      </c>
      <c r="M529" s="320">
        <v>0.8868</v>
      </c>
      <c r="N529" s="320">
        <v>0.2672</v>
      </c>
      <c r="O529" s="320">
        <v>0.2059</v>
      </c>
      <c r="P529" s="320">
        <v>1.1276</v>
      </c>
      <c r="Q529" s="320">
        <v>664.88</v>
      </c>
      <c r="R529" s="320">
        <v>418.73</v>
      </c>
      <c r="S529" s="320">
        <v>246.15</v>
      </c>
      <c r="T529" s="320">
        <v>0.0</v>
      </c>
      <c r="U529" s="320">
        <v>664.88</v>
      </c>
      <c r="V529" s="320">
        <v>813.84</v>
      </c>
      <c r="W529" s="320">
        <v>5.7222</v>
      </c>
      <c r="X529" s="320">
        <v>0.0</v>
      </c>
      <c r="Y529" s="320">
        <v>893.0</v>
      </c>
      <c r="Z529" s="320">
        <v>4107.0</v>
      </c>
      <c r="AA529" s="320">
        <v>12480.0</v>
      </c>
      <c r="AB529" s="320">
        <v>63.136</v>
      </c>
      <c r="AC529" s="320">
        <v>0.8989</v>
      </c>
      <c r="AD529" s="320">
        <v>87.74</v>
      </c>
      <c r="AE529" s="320">
        <v>36.0</v>
      </c>
      <c r="AF529" s="320">
        <v>70.0</v>
      </c>
      <c r="AG529" s="320">
        <v>124.0</v>
      </c>
      <c r="AH529" s="320">
        <v>183.0</v>
      </c>
      <c r="AI529" s="320">
        <v>46.14</v>
      </c>
      <c r="AJ529" s="320">
        <v>11.41</v>
      </c>
      <c r="AK529" s="320">
        <v>1.68</v>
      </c>
      <c r="AL529" s="320">
        <v>0.0839</v>
      </c>
      <c r="AM529" s="320">
        <v>25.19</v>
      </c>
      <c r="AN529" s="320">
        <v>393.54</v>
      </c>
      <c r="AO529" s="320">
        <v>83.94</v>
      </c>
      <c r="AP529" s="320">
        <v>21.14</v>
      </c>
    </row>
    <row r="530">
      <c r="A530" s="319" t="s">
        <v>256</v>
      </c>
      <c r="B530" s="328">
        <v>46138.0</v>
      </c>
      <c r="C530" s="319" t="s">
        <v>257</v>
      </c>
      <c r="D530" s="320">
        <v>18868.0</v>
      </c>
      <c r="E530" s="320">
        <v>19.01</v>
      </c>
      <c r="F530" s="320">
        <v>0.0</v>
      </c>
      <c r="G530" s="320">
        <v>0.0</v>
      </c>
      <c r="H530" s="320">
        <v>0.0</v>
      </c>
      <c r="I530" s="329"/>
      <c r="J530" s="320">
        <v>6.16</v>
      </c>
      <c r="K530" s="320">
        <v>2.53</v>
      </c>
      <c r="L530" s="320">
        <v>0.04</v>
      </c>
      <c r="M530" s="320">
        <v>0.0146</v>
      </c>
      <c r="N530" s="320">
        <v>0.99</v>
      </c>
      <c r="O530" s="320">
        <v>0.8813</v>
      </c>
      <c r="P530" s="320">
        <v>68.3076</v>
      </c>
      <c r="Q530" s="320">
        <v>23.61</v>
      </c>
      <c r="R530" s="320">
        <v>23.5</v>
      </c>
      <c r="S530" s="320">
        <v>0.11</v>
      </c>
      <c r="T530" s="320">
        <v>0.0</v>
      </c>
      <c r="U530" s="320">
        <v>23.61</v>
      </c>
      <c r="V530" s="320">
        <v>2.03</v>
      </c>
      <c r="W530" s="320">
        <v>0.8032</v>
      </c>
      <c r="X530" s="320">
        <v>0.0</v>
      </c>
      <c r="Y530" s="320">
        <v>323.0</v>
      </c>
      <c r="Z530" s="320">
        <v>3842.0</v>
      </c>
      <c r="AA530" s="320">
        <v>15193.0</v>
      </c>
      <c r="AB530" s="320">
        <v>49.1071</v>
      </c>
      <c r="AC530" s="320">
        <v>0.5469</v>
      </c>
      <c r="AD530" s="329"/>
      <c r="AE530" s="329"/>
      <c r="AF530" s="329"/>
      <c r="AG530" s="329"/>
      <c r="AH530" s="329"/>
      <c r="AI530" s="320">
        <v>0.0</v>
      </c>
      <c r="AJ530" s="320">
        <v>0.0</v>
      </c>
      <c r="AK530" s="320">
        <v>0.0</v>
      </c>
      <c r="AL530" s="320">
        <v>0.2838</v>
      </c>
      <c r="AM530" s="320">
        <v>19.26</v>
      </c>
      <c r="AN530" s="320">
        <v>4.25</v>
      </c>
      <c r="AO530" s="329"/>
      <c r="AP530" s="329"/>
    </row>
    <row r="531">
      <c r="A531" s="319" t="s">
        <v>256</v>
      </c>
      <c r="B531" s="328">
        <v>46138.0</v>
      </c>
      <c r="C531" s="319" t="s">
        <v>214</v>
      </c>
      <c r="D531" s="320">
        <v>35515.0</v>
      </c>
      <c r="E531" s="320">
        <v>35.79</v>
      </c>
      <c r="F531" s="320">
        <v>0.0</v>
      </c>
      <c r="G531" s="320">
        <v>0.0</v>
      </c>
      <c r="H531" s="320">
        <v>0.0</v>
      </c>
      <c r="I531" s="329"/>
      <c r="J531" s="320">
        <v>32.27</v>
      </c>
      <c r="K531" s="320">
        <v>14.94</v>
      </c>
      <c r="L531" s="320">
        <v>5.88</v>
      </c>
      <c r="M531" s="320">
        <v>0.3938</v>
      </c>
      <c r="N531" s="320">
        <v>0.7679</v>
      </c>
      <c r="O531" s="320">
        <v>0.565</v>
      </c>
      <c r="P531" s="320">
        <v>2.5396</v>
      </c>
      <c r="Q531" s="320">
        <v>47.21</v>
      </c>
      <c r="R531" s="320">
        <v>35.59</v>
      </c>
      <c r="S531" s="320">
        <v>11.62</v>
      </c>
      <c r="T531" s="320">
        <v>0.02</v>
      </c>
      <c r="U531" s="320">
        <v>47.2</v>
      </c>
      <c r="V531" s="320">
        <v>51.41</v>
      </c>
      <c r="W531" s="320">
        <v>3.4405</v>
      </c>
      <c r="X531" s="320">
        <v>0.03</v>
      </c>
      <c r="Y531" s="320">
        <v>135.0</v>
      </c>
      <c r="Z531" s="320">
        <v>929.0</v>
      </c>
      <c r="AA531" s="320">
        <v>6226.0</v>
      </c>
      <c r="AB531" s="320">
        <v>48.6779</v>
      </c>
      <c r="AC531" s="320">
        <v>0.5333</v>
      </c>
      <c r="AD531" s="320">
        <v>4.06</v>
      </c>
      <c r="AE531" s="320">
        <v>1.0</v>
      </c>
      <c r="AF531" s="320">
        <v>3.0</v>
      </c>
      <c r="AG531" s="320">
        <v>5.0</v>
      </c>
      <c r="AH531" s="320">
        <v>9.0</v>
      </c>
      <c r="AI531" s="320">
        <v>73.82</v>
      </c>
      <c r="AJ531" s="320">
        <v>31.4</v>
      </c>
      <c r="AK531" s="320">
        <v>8.69</v>
      </c>
      <c r="AL531" s="320">
        <v>0.2583</v>
      </c>
      <c r="AM531" s="320">
        <v>21.04</v>
      </c>
      <c r="AN531" s="320">
        <v>14.54</v>
      </c>
      <c r="AO531" s="320">
        <v>65.62</v>
      </c>
      <c r="AP531" s="320">
        <v>13.81</v>
      </c>
    </row>
    <row r="532">
      <c r="A532" s="319" t="s">
        <v>256</v>
      </c>
      <c r="B532" s="328">
        <v>46138.0</v>
      </c>
      <c r="C532" s="319" t="s">
        <v>215</v>
      </c>
      <c r="D532" s="320">
        <v>24384.0</v>
      </c>
      <c r="E532" s="320">
        <v>24.57</v>
      </c>
      <c r="F532" s="320">
        <v>0.0</v>
      </c>
      <c r="G532" s="320">
        <v>0.0</v>
      </c>
      <c r="H532" s="320">
        <v>0.0</v>
      </c>
      <c r="I532" s="329"/>
      <c r="J532" s="320">
        <v>59.21</v>
      </c>
      <c r="K532" s="320">
        <v>28.44</v>
      </c>
      <c r="L532" s="320">
        <v>14.5</v>
      </c>
      <c r="M532" s="320">
        <v>0.5098</v>
      </c>
      <c r="N532" s="320">
        <v>0.6737</v>
      </c>
      <c r="O532" s="320">
        <v>0.4675</v>
      </c>
      <c r="P532" s="320">
        <v>1.9616</v>
      </c>
      <c r="Q532" s="320">
        <v>82.8</v>
      </c>
      <c r="R532" s="320">
        <v>54.2</v>
      </c>
      <c r="S532" s="320">
        <v>28.61</v>
      </c>
      <c r="T532" s="320">
        <v>0.0</v>
      </c>
      <c r="U532" s="320">
        <v>82.8</v>
      </c>
      <c r="V532" s="320">
        <v>95.0</v>
      </c>
      <c r="W532" s="320">
        <v>3.3402</v>
      </c>
      <c r="X532" s="320">
        <v>0.0</v>
      </c>
      <c r="Y532" s="320">
        <v>115.0</v>
      </c>
      <c r="Z532" s="320">
        <v>646.0</v>
      </c>
      <c r="AA532" s="320">
        <v>4733.0</v>
      </c>
      <c r="AB532" s="320">
        <v>52.3363</v>
      </c>
      <c r="AC532" s="320">
        <v>0.6354</v>
      </c>
      <c r="AD532" s="320">
        <v>9.6</v>
      </c>
      <c r="AE532" s="320">
        <v>4.0</v>
      </c>
      <c r="AF532" s="320">
        <v>7.0</v>
      </c>
      <c r="AG532" s="320">
        <v>13.0</v>
      </c>
      <c r="AH532" s="320">
        <v>20.0</v>
      </c>
      <c r="AI532" s="320">
        <v>60.75</v>
      </c>
      <c r="AJ532" s="320">
        <v>26.55</v>
      </c>
      <c r="AK532" s="320">
        <v>5.15</v>
      </c>
      <c r="AL532" s="320">
        <v>0.215</v>
      </c>
      <c r="AM532" s="320">
        <v>21.73</v>
      </c>
      <c r="AN532" s="320">
        <v>32.47</v>
      </c>
      <c r="AO532" s="320">
        <v>74.63</v>
      </c>
      <c r="AP532" s="320">
        <v>16.22</v>
      </c>
    </row>
    <row r="533">
      <c r="A533" s="319" t="s">
        <v>256</v>
      </c>
      <c r="B533" s="328">
        <v>46138.0</v>
      </c>
      <c r="C533" s="319" t="s">
        <v>216</v>
      </c>
      <c r="D533" s="320">
        <v>14086.0</v>
      </c>
      <c r="E533" s="320">
        <v>14.19</v>
      </c>
      <c r="F533" s="320">
        <v>0.0</v>
      </c>
      <c r="G533" s="320">
        <v>0.0</v>
      </c>
      <c r="H533" s="320">
        <v>0.0</v>
      </c>
      <c r="I533" s="329"/>
      <c r="J533" s="320">
        <v>83.89</v>
      </c>
      <c r="K533" s="320">
        <v>42.71</v>
      </c>
      <c r="L533" s="320">
        <v>27.81</v>
      </c>
      <c r="M533" s="320">
        <v>0.6511</v>
      </c>
      <c r="N533" s="320">
        <v>0.5321</v>
      </c>
      <c r="O533" s="320">
        <v>0.3621</v>
      </c>
      <c r="P533" s="320">
        <v>1.5358</v>
      </c>
      <c r="Q533" s="320">
        <v>135.91</v>
      </c>
      <c r="R533" s="320">
        <v>81.78</v>
      </c>
      <c r="S533" s="320">
        <v>54.14</v>
      </c>
      <c r="T533" s="320">
        <v>0.0</v>
      </c>
      <c r="U533" s="320">
        <v>135.91</v>
      </c>
      <c r="V533" s="320">
        <v>158.98</v>
      </c>
      <c r="W533" s="320">
        <v>3.7225</v>
      </c>
      <c r="X533" s="320">
        <v>0.0</v>
      </c>
      <c r="Y533" s="320">
        <v>141.0</v>
      </c>
      <c r="Z533" s="320">
        <v>955.0</v>
      </c>
      <c r="AA533" s="320">
        <v>6118.0</v>
      </c>
      <c r="AB533" s="320">
        <v>55.8949</v>
      </c>
      <c r="AC533" s="320">
        <v>0.7469</v>
      </c>
      <c r="AD533" s="320">
        <v>18.46</v>
      </c>
      <c r="AE533" s="320">
        <v>8.0</v>
      </c>
      <c r="AF533" s="320">
        <v>14.0</v>
      </c>
      <c r="AG533" s="320">
        <v>25.0</v>
      </c>
      <c r="AH533" s="320">
        <v>38.0</v>
      </c>
      <c r="AI533" s="320">
        <v>60.95</v>
      </c>
      <c r="AJ533" s="320">
        <v>24.43</v>
      </c>
      <c r="AK533" s="320">
        <v>8.04</v>
      </c>
      <c r="AL533" s="320">
        <v>0.204</v>
      </c>
      <c r="AM533" s="320">
        <v>21.35</v>
      </c>
      <c r="AN533" s="320">
        <v>60.42</v>
      </c>
      <c r="AO533" s="320">
        <v>76.1</v>
      </c>
      <c r="AP533" s="320">
        <v>16.25</v>
      </c>
    </row>
    <row r="534">
      <c r="A534" s="319" t="s">
        <v>256</v>
      </c>
      <c r="B534" s="328">
        <v>46138.0</v>
      </c>
      <c r="C534" s="319" t="s">
        <v>217</v>
      </c>
      <c r="D534" s="320">
        <v>5746.0</v>
      </c>
      <c r="E534" s="320">
        <v>5.79</v>
      </c>
      <c r="F534" s="320">
        <v>0.0</v>
      </c>
      <c r="G534" s="320">
        <v>0.0</v>
      </c>
      <c r="H534" s="320">
        <v>0.0</v>
      </c>
      <c r="I534" s="329"/>
      <c r="J534" s="320">
        <v>132.28</v>
      </c>
      <c r="K534" s="320">
        <v>72.47</v>
      </c>
      <c r="L534" s="320">
        <v>56.69</v>
      </c>
      <c r="M534" s="320">
        <v>0.7822</v>
      </c>
      <c r="N534" s="320">
        <v>0.3931</v>
      </c>
      <c r="O534" s="320">
        <v>0.2771</v>
      </c>
      <c r="P534" s="320">
        <v>1.2784</v>
      </c>
      <c r="Q534" s="320">
        <v>251.73</v>
      </c>
      <c r="R534" s="320">
        <v>141.85</v>
      </c>
      <c r="S534" s="320">
        <v>109.87</v>
      </c>
      <c r="T534" s="320">
        <v>0.0</v>
      </c>
      <c r="U534" s="320">
        <v>251.73</v>
      </c>
      <c r="V534" s="320">
        <v>314.91</v>
      </c>
      <c r="W534" s="320">
        <v>4.3453</v>
      </c>
      <c r="X534" s="320">
        <v>0.0</v>
      </c>
      <c r="Y534" s="320">
        <v>285.0</v>
      </c>
      <c r="Z534" s="320">
        <v>2355.0</v>
      </c>
      <c r="AA534" s="320">
        <v>9731.0</v>
      </c>
      <c r="AB534" s="320">
        <v>59.634</v>
      </c>
      <c r="AC534" s="320">
        <v>0.8391</v>
      </c>
      <c r="AD534" s="320">
        <v>38.85</v>
      </c>
      <c r="AE534" s="320">
        <v>15.0</v>
      </c>
      <c r="AF534" s="320">
        <v>30.0</v>
      </c>
      <c r="AG534" s="320">
        <v>54.0</v>
      </c>
      <c r="AH534" s="320">
        <v>82.0</v>
      </c>
      <c r="AI534" s="320">
        <v>53.15</v>
      </c>
      <c r="AJ534" s="320">
        <v>21.21</v>
      </c>
      <c r="AK534" s="320">
        <v>5.24</v>
      </c>
      <c r="AL534" s="320">
        <v>0.1746</v>
      </c>
      <c r="AM534" s="320">
        <v>22.42</v>
      </c>
      <c r="AN534" s="320">
        <v>119.43</v>
      </c>
      <c r="AO534" s="320">
        <v>80.05</v>
      </c>
      <c r="AP534" s="320">
        <v>17.95</v>
      </c>
    </row>
    <row r="535">
      <c r="A535" s="319" t="s">
        <v>256</v>
      </c>
      <c r="B535" s="328">
        <v>46138.0</v>
      </c>
      <c r="C535" s="319" t="s">
        <v>218</v>
      </c>
      <c r="D535" s="320">
        <v>639.0</v>
      </c>
      <c r="E535" s="320">
        <v>0.64</v>
      </c>
      <c r="F535" s="320">
        <v>0.0</v>
      </c>
      <c r="G535" s="320">
        <v>0.0</v>
      </c>
      <c r="H535" s="320">
        <v>0.0</v>
      </c>
      <c r="I535" s="329"/>
      <c r="J535" s="320">
        <v>247.11</v>
      </c>
      <c r="K535" s="320">
        <v>144.87</v>
      </c>
      <c r="L535" s="320">
        <v>127.39</v>
      </c>
      <c r="M535" s="320">
        <v>0.8794</v>
      </c>
      <c r="N535" s="320">
        <v>0.2754</v>
      </c>
      <c r="O535" s="320">
        <v>0.2088</v>
      </c>
      <c r="P535" s="320">
        <v>1.1372</v>
      </c>
      <c r="Q535" s="320">
        <v>507.47</v>
      </c>
      <c r="R535" s="320">
        <v>258.84</v>
      </c>
      <c r="S535" s="320">
        <v>248.63</v>
      </c>
      <c r="T535" s="320">
        <v>0.0</v>
      </c>
      <c r="U535" s="320">
        <v>507.47</v>
      </c>
      <c r="V535" s="320">
        <v>725.59</v>
      </c>
      <c r="W535" s="320">
        <v>5.0087</v>
      </c>
      <c r="X535" s="320">
        <v>0.0</v>
      </c>
      <c r="Y535" s="320">
        <v>795.0</v>
      </c>
      <c r="Z535" s="320">
        <v>3382.0</v>
      </c>
      <c r="AA535" s="320">
        <v>11278.0</v>
      </c>
      <c r="AB535" s="320">
        <v>63.0006</v>
      </c>
      <c r="AC535" s="320">
        <v>0.9107</v>
      </c>
      <c r="AD535" s="320">
        <v>89.3</v>
      </c>
      <c r="AE535" s="320">
        <v>36.0</v>
      </c>
      <c r="AF535" s="320">
        <v>78.0</v>
      </c>
      <c r="AG535" s="320">
        <v>126.0</v>
      </c>
      <c r="AH535" s="320">
        <v>177.0</v>
      </c>
      <c r="AI535" s="320">
        <v>49.3</v>
      </c>
      <c r="AJ535" s="320">
        <v>10.33</v>
      </c>
      <c r="AK535" s="320">
        <v>0.94</v>
      </c>
      <c r="AL535" s="320">
        <v>0.1487</v>
      </c>
      <c r="AM535" s="320">
        <v>23.76</v>
      </c>
      <c r="AN535" s="320">
        <v>235.08</v>
      </c>
      <c r="AO535" s="320">
        <v>79.23</v>
      </c>
      <c r="AP535" s="320">
        <v>18.83</v>
      </c>
    </row>
    <row r="536">
      <c r="A536" s="319" t="s">
        <v>256</v>
      </c>
      <c r="B536" s="328">
        <v>46139.0</v>
      </c>
      <c r="C536" s="319" t="s">
        <v>257</v>
      </c>
      <c r="D536" s="320">
        <v>19086.0</v>
      </c>
      <c r="E536" s="320">
        <v>18.1</v>
      </c>
      <c r="F536" s="320">
        <v>0.0</v>
      </c>
      <c r="G536" s="320">
        <v>0.0</v>
      </c>
      <c r="H536" s="320">
        <v>0.0</v>
      </c>
      <c r="I536" s="329"/>
      <c r="J536" s="320">
        <v>5.94</v>
      </c>
      <c r="K536" s="320">
        <v>2.29</v>
      </c>
      <c r="L536" s="320">
        <v>0.08</v>
      </c>
      <c r="M536" s="320">
        <v>0.0346</v>
      </c>
      <c r="N536" s="320">
        <v>0.9733</v>
      </c>
      <c r="O536" s="320">
        <v>0.7523</v>
      </c>
      <c r="P536" s="320">
        <v>28.9306</v>
      </c>
      <c r="Q536" s="320">
        <v>33.54</v>
      </c>
      <c r="R536" s="320">
        <v>33.42</v>
      </c>
      <c r="S536" s="320">
        <v>0.12</v>
      </c>
      <c r="T536" s="320">
        <v>0.0</v>
      </c>
      <c r="U536" s="320">
        <v>33.54</v>
      </c>
      <c r="V536" s="320">
        <v>2.13</v>
      </c>
      <c r="W536" s="320">
        <v>0.9304</v>
      </c>
      <c r="X536" s="320">
        <v>0.0</v>
      </c>
      <c r="Y536" s="320">
        <v>422.0</v>
      </c>
      <c r="Z536" s="320">
        <v>4528.0</v>
      </c>
      <c r="AA536" s="320">
        <v>16245.0</v>
      </c>
      <c r="AB536" s="320">
        <v>49.3852</v>
      </c>
      <c r="AC536" s="320">
        <v>0.5506</v>
      </c>
      <c r="AD536" s="329"/>
      <c r="AE536" s="329"/>
      <c r="AF536" s="329"/>
      <c r="AG536" s="329"/>
      <c r="AH536" s="329"/>
      <c r="AI536" s="320">
        <v>0.0</v>
      </c>
      <c r="AJ536" s="320">
        <v>0.0</v>
      </c>
      <c r="AK536" s="320">
        <v>0.0</v>
      </c>
      <c r="AL536" s="320">
        <v>0.2813</v>
      </c>
      <c r="AM536" s="320">
        <v>17.4</v>
      </c>
      <c r="AN536" s="320">
        <v>16.01</v>
      </c>
      <c r="AO536" s="329"/>
      <c r="AP536" s="329"/>
    </row>
    <row r="537">
      <c r="A537" s="319" t="s">
        <v>256</v>
      </c>
      <c r="B537" s="328">
        <v>46139.0</v>
      </c>
      <c r="C537" s="319" t="s">
        <v>214</v>
      </c>
      <c r="D537" s="320">
        <v>37001.0</v>
      </c>
      <c r="E537" s="320">
        <v>35.09</v>
      </c>
      <c r="F537" s="320">
        <v>0.0</v>
      </c>
      <c r="G537" s="320">
        <v>0.0</v>
      </c>
      <c r="H537" s="320">
        <v>0.0</v>
      </c>
      <c r="I537" s="329"/>
      <c r="J537" s="320">
        <v>32.7</v>
      </c>
      <c r="K537" s="320">
        <v>14.82</v>
      </c>
      <c r="L537" s="320">
        <v>5.84</v>
      </c>
      <c r="M537" s="320">
        <v>0.3939</v>
      </c>
      <c r="N537" s="320">
        <v>0.7741</v>
      </c>
      <c r="O537" s="320">
        <v>0.574</v>
      </c>
      <c r="P537" s="320">
        <v>2.5388</v>
      </c>
      <c r="Q537" s="320">
        <v>70.73</v>
      </c>
      <c r="R537" s="320">
        <v>60.18</v>
      </c>
      <c r="S537" s="320">
        <v>10.56</v>
      </c>
      <c r="T537" s="320">
        <v>0.01</v>
      </c>
      <c r="U537" s="320">
        <v>70.73</v>
      </c>
      <c r="V537" s="320">
        <v>58.24</v>
      </c>
      <c r="W537" s="320">
        <v>3.929</v>
      </c>
      <c r="X537" s="320">
        <v>0.01</v>
      </c>
      <c r="Y537" s="320">
        <v>147.0</v>
      </c>
      <c r="Z537" s="320">
        <v>854.0</v>
      </c>
      <c r="AA537" s="320">
        <v>5901.0</v>
      </c>
      <c r="AB537" s="320">
        <v>48.6504</v>
      </c>
      <c r="AC537" s="320">
        <v>0.5209</v>
      </c>
      <c r="AD537" s="320">
        <v>4.01</v>
      </c>
      <c r="AE537" s="320">
        <v>1.0</v>
      </c>
      <c r="AF537" s="320">
        <v>3.0</v>
      </c>
      <c r="AG537" s="320">
        <v>5.0</v>
      </c>
      <c r="AH537" s="320">
        <v>9.0</v>
      </c>
      <c r="AI537" s="320">
        <v>73.8</v>
      </c>
      <c r="AJ537" s="320">
        <v>30.81</v>
      </c>
      <c r="AK537" s="320">
        <v>8.45</v>
      </c>
      <c r="AL537" s="320">
        <v>0.2316</v>
      </c>
      <c r="AM537" s="320">
        <v>18.49</v>
      </c>
      <c r="AN537" s="320">
        <v>41.69</v>
      </c>
      <c r="AO537" s="320">
        <v>65.86</v>
      </c>
      <c r="AP537" s="320">
        <v>12.18</v>
      </c>
    </row>
    <row r="538">
      <c r="A538" s="319" t="s">
        <v>256</v>
      </c>
      <c r="B538" s="328">
        <v>46139.0</v>
      </c>
      <c r="C538" s="319" t="s">
        <v>215</v>
      </c>
      <c r="D538" s="320">
        <v>26588.0</v>
      </c>
      <c r="E538" s="320">
        <v>25.21</v>
      </c>
      <c r="F538" s="320">
        <v>0.0</v>
      </c>
      <c r="G538" s="320">
        <v>0.0</v>
      </c>
      <c r="H538" s="320">
        <v>0.0</v>
      </c>
      <c r="I538" s="329"/>
      <c r="J538" s="320">
        <v>61.17</v>
      </c>
      <c r="K538" s="320">
        <v>28.65</v>
      </c>
      <c r="L538" s="320">
        <v>15.24</v>
      </c>
      <c r="M538" s="320">
        <v>0.532</v>
      </c>
      <c r="N538" s="320">
        <v>0.6642</v>
      </c>
      <c r="O538" s="320">
        <v>0.4649</v>
      </c>
      <c r="P538" s="320">
        <v>1.8797</v>
      </c>
      <c r="Q538" s="320">
        <v>128.49</v>
      </c>
      <c r="R538" s="320">
        <v>101.88</v>
      </c>
      <c r="S538" s="320">
        <v>26.61</v>
      </c>
      <c r="T538" s="320">
        <v>0.15</v>
      </c>
      <c r="U538" s="320">
        <v>128.34</v>
      </c>
      <c r="V538" s="320">
        <v>112.64</v>
      </c>
      <c r="W538" s="320">
        <v>3.932</v>
      </c>
      <c r="X538" s="320">
        <v>0.12</v>
      </c>
      <c r="Y538" s="320">
        <v>138.0</v>
      </c>
      <c r="Z538" s="320">
        <v>728.0</v>
      </c>
      <c r="AA538" s="320">
        <v>5674.0</v>
      </c>
      <c r="AB538" s="320">
        <v>52.1727</v>
      </c>
      <c r="AC538" s="320">
        <v>0.5889</v>
      </c>
      <c r="AD538" s="320">
        <v>9.99</v>
      </c>
      <c r="AE538" s="320">
        <v>4.0</v>
      </c>
      <c r="AF538" s="320">
        <v>8.0</v>
      </c>
      <c r="AG538" s="320">
        <v>14.0</v>
      </c>
      <c r="AH538" s="320">
        <v>21.0</v>
      </c>
      <c r="AI538" s="320">
        <v>61.75</v>
      </c>
      <c r="AJ538" s="320">
        <v>28.52</v>
      </c>
      <c r="AK538" s="320">
        <v>5.98</v>
      </c>
      <c r="AL538" s="320">
        <v>0.1717</v>
      </c>
      <c r="AM538" s="320">
        <v>19.11</v>
      </c>
      <c r="AN538" s="320">
        <v>82.77</v>
      </c>
      <c r="AO538" s="320">
        <v>73.14</v>
      </c>
      <c r="AP538" s="320">
        <v>13.98</v>
      </c>
    </row>
    <row r="539">
      <c r="A539" s="319" t="s">
        <v>256</v>
      </c>
      <c r="B539" s="328">
        <v>46139.0</v>
      </c>
      <c r="C539" s="319" t="s">
        <v>216</v>
      </c>
      <c r="D539" s="320">
        <v>15732.0</v>
      </c>
      <c r="E539" s="320">
        <v>14.92</v>
      </c>
      <c r="F539" s="320">
        <v>0.0</v>
      </c>
      <c r="G539" s="320">
        <v>0.0</v>
      </c>
      <c r="H539" s="320">
        <v>0.0</v>
      </c>
      <c r="I539" s="329"/>
      <c r="J539" s="320">
        <v>91.25</v>
      </c>
      <c r="K539" s="320">
        <v>45.25</v>
      </c>
      <c r="L539" s="320">
        <v>30.73</v>
      </c>
      <c r="M539" s="320">
        <v>0.679</v>
      </c>
      <c r="N539" s="320">
        <v>0.5222</v>
      </c>
      <c r="O539" s="320">
        <v>0.3662</v>
      </c>
      <c r="P539" s="320">
        <v>1.4728</v>
      </c>
      <c r="Q539" s="320">
        <v>223.93</v>
      </c>
      <c r="R539" s="320">
        <v>171.26</v>
      </c>
      <c r="S539" s="320">
        <v>52.68</v>
      </c>
      <c r="T539" s="320">
        <v>0.0</v>
      </c>
      <c r="U539" s="320">
        <v>223.93</v>
      </c>
      <c r="V539" s="320">
        <v>203.29</v>
      </c>
      <c r="W539" s="320">
        <v>4.4922</v>
      </c>
      <c r="X539" s="320">
        <v>0.0</v>
      </c>
      <c r="Y539" s="320">
        <v>180.0</v>
      </c>
      <c r="Z539" s="320">
        <v>1098.0</v>
      </c>
      <c r="AA539" s="320">
        <v>7257.0</v>
      </c>
      <c r="AB539" s="320">
        <v>55.3563</v>
      </c>
      <c r="AC539" s="320">
        <v>0.6593</v>
      </c>
      <c r="AD539" s="320">
        <v>19.63</v>
      </c>
      <c r="AE539" s="320">
        <v>8.0</v>
      </c>
      <c r="AF539" s="320">
        <v>16.0</v>
      </c>
      <c r="AG539" s="320">
        <v>28.0</v>
      </c>
      <c r="AH539" s="320">
        <v>40.0</v>
      </c>
      <c r="AI539" s="320">
        <v>65.49</v>
      </c>
      <c r="AJ539" s="320">
        <v>28.84</v>
      </c>
      <c r="AK539" s="320">
        <v>7.05</v>
      </c>
      <c r="AL539" s="320">
        <v>0.1629</v>
      </c>
      <c r="AM539" s="320">
        <v>19.76</v>
      </c>
      <c r="AN539" s="320">
        <v>151.5</v>
      </c>
      <c r="AO539" s="320">
        <v>71.78</v>
      </c>
      <c r="AP539" s="320">
        <v>14.18</v>
      </c>
    </row>
    <row r="540">
      <c r="A540" s="319" t="s">
        <v>256</v>
      </c>
      <c r="B540" s="328">
        <v>46139.0</v>
      </c>
      <c r="C540" s="319" t="s">
        <v>217</v>
      </c>
      <c r="D540" s="320">
        <v>6430.0</v>
      </c>
      <c r="E540" s="320">
        <v>6.1</v>
      </c>
      <c r="F540" s="320">
        <v>0.0</v>
      </c>
      <c r="G540" s="320">
        <v>0.0</v>
      </c>
      <c r="H540" s="320">
        <v>0.0</v>
      </c>
      <c r="I540" s="329"/>
      <c r="J540" s="320">
        <v>145.25</v>
      </c>
      <c r="K540" s="320">
        <v>77.18</v>
      </c>
      <c r="L540" s="320">
        <v>62.01</v>
      </c>
      <c r="M540" s="320">
        <v>0.8034</v>
      </c>
      <c r="N540" s="320">
        <v>0.3867</v>
      </c>
      <c r="O540" s="320">
        <v>0.2835</v>
      </c>
      <c r="P540" s="320">
        <v>1.2446</v>
      </c>
      <c r="Q540" s="320">
        <v>400.72</v>
      </c>
      <c r="R540" s="320">
        <v>295.93</v>
      </c>
      <c r="S540" s="320">
        <v>104.78</v>
      </c>
      <c r="T540" s="320">
        <v>0.0</v>
      </c>
      <c r="U540" s="320">
        <v>400.72</v>
      </c>
      <c r="V540" s="320">
        <v>368.46</v>
      </c>
      <c r="W540" s="320">
        <v>4.7743</v>
      </c>
      <c r="X540" s="320">
        <v>0.0</v>
      </c>
      <c r="Y540" s="320">
        <v>379.0</v>
      </c>
      <c r="Z540" s="320">
        <v>2611.0</v>
      </c>
      <c r="AA540" s="320">
        <v>11891.0</v>
      </c>
      <c r="AB540" s="320">
        <v>59.014</v>
      </c>
      <c r="AC540" s="320">
        <v>0.7375</v>
      </c>
      <c r="AD540" s="320">
        <v>39.49</v>
      </c>
      <c r="AE540" s="320">
        <v>18.0</v>
      </c>
      <c r="AF540" s="320">
        <v>33.0</v>
      </c>
      <c r="AG540" s="320">
        <v>51.0</v>
      </c>
      <c r="AH540" s="320">
        <v>80.0</v>
      </c>
      <c r="AI540" s="320">
        <v>59.28</v>
      </c>
      <c r="AJ540" s="320">
        <v>20.03</v>
      </c>
      <c r="AK540" s="320">
        <v>4.85</v>
      </c>
      <c r="AL540" s="320">
        <v>0.1143</v>
      </c>
      <c r="AM540" s="320">
        <v>21.01</v>
      </c>
      <c r="AN540" s="320">
        <v>274.93</v>
      </c>
      <c r="AO540" s="320">
        <v>74.29</v>
      </c>
      <c r="AP540" s="320">
        <v>15.61</v>
      </c>
    </row>
    <row r="541">
      <c r="A541" s="319" t="s">
        <v>256</v>
      </c>
      <c r="B541" s="328">
        <v>46139.0</v>
      </c>
      <c r="C541" s="319" t="s">
        <v>218</v>
      </c>
      <c r="D541" s="320">
        <v>618.0</v>
      </c>
      <c r="E541" s="320">
        <v>0.59</v>
      </c>
      <c r="F541" s="320">
        <v>0.0</v>
      </c>
      <c r="G541" s="320">
        <v>0.0</v>
      </c>
      <c r="H541" s="320">
        <v>0.0</v>
      </c>
      <c r="I541" s="329"/>
      <c r="J541" s="320">
        <v>267.3</v>
      </c>
      <c r="K541" s="320">
        <v>154.55</v>
      </c>
      <c r="L541" s="320">
        <v>138.25</v>
      </c>
      <c r="M541" s="320">
        <v>0.8945</v>
      </c>
      <c r="N541" s="320">
        <v>0.2661</v>
      </c>
      <c r="O541" s="320">
        <v>0.2075</v>
      </c>
      <c r="P541" s="320">
        <v>1.1179</v>
      </c>
      <c r="Q541" s="320">
        <v>786.1</v>
      </c>
      <c r="R541" s="320">
        <v>527.74</v>
      </c>
      <c r="S541" s="320">
        <v>258.36</v>
      </c>
      <c r="T541" s="320">
        <v>0.0</v>
      </c>
      <c r="U541" s="320">
        <v>786.1</v>
      </c>
      <c r="V541" s="320">
        <v>819.42</v>
      </c>
      <c r="W541" s="320">
        <v>5.3018</v>
      </c>
      <c r="X541" s="320">
        <v>0.0</v>
      </c>
      <c r="Y541" s="320">
        <v>934.0</v>
      </c>
      <c r="Z541" s="320">
        <v>4492.0</v>
      </c>
      <c r="AA541" s="320">
        <v>14830.0</v>
      </c>
      <c r="AB541" s="320">
        <v>62.9888</v>
      </c>
      <c r="AC541" s="320">
        <v>0.8948</v>
      </c>
      <c r="AD541" s="320">
        <v>101.27</v>
      </c>
      <c r="AE541" s="320">
        <v>41.0</v>
      </c>
      <c r="AF541" s="320">
        <v>85.0</v>
      </c>
      <c r="AG541" s="320">
        <v>139.0</v>
      </c>
      <c r="AH541" s="320">
        <v>202.0</v>
      </c>
      <c r="AI541" s="320">
        <v>53.72</v>
      </c>
      <c r="AJ541" s="320">
        <v>15.7</v>
      </c>
      <c r="AK541" s="320">
        <v>2.27</v>
      </c>
      <c r="AL541" s="320">
        <v>0.0858</v>
      </c>
      <c r="AM541" s="320">
        <v>20.2</v>
      </c>
      <c r="AN541" s="320">
        <v>507.54</v>
      </c>
      <c r="AO541" s="320">
        <v>84.14</v>
      </c>
      <c r="AP541" s="320">
        <v>17.0</v>
      </c>
    </row>
    <row r="542">
      <c r="A542" s="319" t="s">
        <v>256</v>
      </c>
      <c r="B542" s="328">
        <v>46140.0</v>
      </c>
      <c r="C542" s="319" t="s">
        <v>257</v>
      </c>
      <c r="D542" s="320">
        <v>18256.0</v>
      </c>
      <c r="E542" s="320">
        <v>17.42</v>
      </c>
      <c r="F542" s="320">
        <v>0.0</v>
      </c>
      <c r="G542" s="320">
        <v>0.0</v>
      </c>
      <c r="H542" s="320">
        <v>0.0</v>
      </c>
      <c r="I542" s="329"/>
      <c r="J542" s="320">
        <v>6.35</v>
      </c>
      <c r="K542" s="320">
        <v>2.47</v>
      </c>
      <c r="L542" s="320">
        <v>0.1</v>
      </c>
      <c r="M542" s="320">
        <v>0.0401</v>
      </c>
      <c r="N542" s="320">
        <v>0.9681</v>
      </c>
      <c r="O542" s="320">
        <v>0.693</v>
      </c>
      <c r="P542" s="320">
        <v>24.9227</v>
      </c>
      <c r="Q542" s="320">
        <v>32.65</v>
      </c>
      <c r="R542" s="320">
        <v>32.53</v>
      </c>
      <c r="S542" s="320">
        <v>0.12</v>
      </c>
      <c r="T542" s="320">
        <v>0.0</v>
      </c>
      <c r="U542" s="320">
        <v>32.65</v>
      </c>
      <c r="V542" s="320">
        <v>2.2</v>
      </c>
      <c r="W542" s="320">
        <v>0.89</v>
      </c>
      <c r="X542" s="320">
        <v>0.0</v>
      </c>
      <c r="Y542" s="320">
        <v>346.0</v>
      </c>
      <c r="Z542" s="320">
        <v>3975.0</v>
      </c>
      <c r="AA542" s="320">
        <v>15485.0</v>
      </c>
      <c r="AB542" s="320">
        <v>48.8563</v>
      </c>
      <c r="AC542" s="320">
        <v>0.5363</v>
      </c>
      <c r="AD542" s="329"/>
      <c r="AE542" s="329"/>
      <c r="AF542" s="329"/>
      <c r="AG542" s="329"/>
      <c r="AH542" s="329"/>
      <c r="AI542" s="320">
        <v>0.0</v>
      </c>
      <c r="AJ542" s="320">
        <v>0.0</v>
      </c>
      <c r="AK542" s="320">
        <v>0.0</v>
      </c>
      <c r="AL542" s="320">
        <v>0.2799</v>
      </c>
      <c r="AM542" s="320">
        <v>16.76</v>
      </c>
      <c r="AN542" s="320">
        <v>15.77</v>
      </c>
      <c r="AO542" s="329"/>
      <c r="AP542" s="329"/>
    </row>
    <row r="543">
      <c r="A543" s="319" t="s">
        <v>256</v>
      </c>
      <c r="B543" s="328">
        <v>46140.0</v>
      </c>
      <c r="C543" s="319" t="s">
        <v>214</v>
      </c>
      <c r="D543" s="320">
        <v>36260.0</v>
      </c>
      <c r="E543" s="320">
        <v>34.6</v>
      </c>
      <c r="F543" s="320">
        <v>0.0</v>
      </c>
      <c r="G543" s="320">
        <v>0.0</v>
      </c>
      <c r="H543" s="320">
        <v>0.0</v>
      </c>
      <c r="I543" s="329"/>
      <c r="J543" s="320">
        <v>31.11</v>
      </c>
      <c r="K543" s="320">
        <v>14.16</v>
      </c>
      <c r="L543" s="320">
        <v>6.08</v>
      </c>
      <c r="M543" s="320">
        <v>0.4293</v>
      </c>
      <c r="N543" s="320">
        <v>0.7401</v>
      </c>
      <c r="O543" s="320">
        <v>0.5345</v>
      </c>
      <c r="P543" s="320">
        <v>2.3292</v>
      </c>
      <c r="Q543" s="320">
        <v>72.37</v>
      </c>
      <c r="R543" s="320">
        <v>61.66</v>
      </c>
      <c r="S543" s="320">
        <v>10.71</v>
      </c>
      <c r="T543" s="320">
        <v>0.0</v>
      </c>
      <c r="U543" s="320">
        <v>72.36</v>
      </c>
      <c r="V543" s="320">
        <v>57.21</v>
      </c>
      <c r="W543" s="320">
        <v>4.0389</v>
      </c>
      <c r="X543" s="320">
        <v>0.0</v>
      </c>
      <c r="Y543" s="320">
        <v>160.0</v>
      </c>
      <c r="Z543" s="320">
        <v>910.0</v>
      </c>
      <c r="AA543" s="320">
        <v>6344.0</v>
      </c>
      <c r="AB543" s="320">
        <v>48.5887</v>
      </c>
      <c r="AC543" s="320">
        <v>0.5264</v>
      </c>
      <c r="AD543" s="320">
        <v>4.43</v>
      </c>
      <c r="AE543" s="320">
        <v>2.0</v>
      </c>
      <c r="AF543" s="320">
        <v>3.0</v>
      </c>
      <c r="AG543" s="320">
        <v>6.0</v>
      </c>
      <c r="AH543" s="320">
        <v>10.0</v>
      </c>
      <c r="AI543" s="320">
        <v>75.62</v>
      </c>
      <c r="AJ543" s="320">
        <v>34.49</v>
      </c>
      <c r="AK543" s="320">
        <v>11.12</v>
      </c>
      <c r="AL543" s="320">
        <v>0.2379</v>
      </c>
      <c r="AM543" s="320">
        <v>19.29</v>
      </c>
      <c r="AN543" s="320">
        <v>42.37</v>
      </c>
      <c r="AO543" s="320">
        <v>65.5</v>
      </c>
      <c r="AP543" s="320">
        <v>12.63</v>
      </c>
    </row>
    <row r="544">
      <c r="A544" s="319" t="s">
        <v>256</v>
      </c>
      <c r="B544" s="328">
        <v>46140.0</v>
      </c>
      <c r="C544" s="319" t="s">
        <v>215</v>
      </c>
      <c r="D544" s="320">
        <v>27676.0</v>
      </c>
      <c r="E544" s="320">
        <v>26.41</v>
      </c>
      <c r="F544" s="320">
        <v>0.0</v>
      </c>
      <c r="G544" s="320">
        <v>0.0</v>
      </c>
      <c r="H544" s="320">
        <v>0.0</v>
      </c>
      <c r="I544" s="329"/>
      <c r="J544" s="320">
        <v>60.2</v>
      </c>
      <c r="K544" s="320">
        <v>28.45</v>
      </c>
      <c r="L544" s="320">
        <v>16.14</v>
      </c>
      <c r="M544" s="320">
        <v>0.5673</v>
      </c>
      <c r="N544" s="320">
        <v>0.6283</v>
      </c>
      <c r="O544" s="320">
        <v>0.4317</v>
      </c>
      <c r="P544" s="320">
        <v>1.7627</v>
      </c>
      <c r="Q544" s="320">
        <v>139.46</v>
      </c>
      <c r="R544" s="320">
        <v>111.96</v>
      </c>
      <c r="S544" s="320">
        <v>27.5</v>
      </c>
      <c r="T544" s="320">
        <v>0.0</v>
      </c>
      <c r="U544" s="320">
        <v>139.46</v>
      </c>
      <c r="V544" s="320">
        <v>113.65</v>
      </c>
      <c r="W544" s="320">
        <v>3.995</v>
      </c>
      <c r="X544" s="320">
        <v>0.0</v>
      </c>
      <c r="Y544" s="320">
        <v>153.0</v>
      </c>
      <c r="Z544" s="320">
        <v>790.0</v>
      </c>
      <c r="AA544" s="320">
        <v>6094.0</v>
      </c>
      <c r="AB544" s="320">
        <v>52.0275</v>
      </c>
      <c r="AC544" s="320">
        <v>0.5956</v>
      </c>
      <c r="AD544" s="320">
        <v>10.81</v>
      </c>
      <c r="AE544" s="320">
        <v>4.0</v>
      </c>
      <c r="AF544" s="320">
        <v>9.0</v>
      </c>
      <c r="AG544" s="320">
        <v>15.0</v>
      </c>
      <c r="AH544" s="320">
        <v>22.0</v>
      </c>
      <c r="AI544" s="320">
        <v>66.97</v>
      </c>
      <c r="AJ544" s="320">
        <v>32.68</v>
      </c>
      <c r="AK544" s="320">
        <v>6.69</v>
      </c>
      <c r="AL544" s="320">
        <v>0.1784</v>
      </c>
      <c r="AM544" s="320">
        <v>21.72</v>
      </c>
      <c r="AN544" s="320">
        <v>90.24</v>
      </c>
      <c r="AO544" s="320">
        <v>72.46</v>
      </c>
      <c r="AP544" s="320">
        <v>15.74</v>
      </c>
    </row>
    <row r="545">
      <c r="A545" s="319" t="s">
        <v>256</v>
      </c>
      <c r="B545" s="328">
        <v>46140.0</v>
      </c>
      <c r="C545" s="319" t="s">
        <v>216</v>
      </c>
      <c r="D545" s="320">
        <v>15912.0</v>
      </c>
      <c r="E545" s="320">
        <v>15.18</v>
      </c>
      <c r="F545" s="320">
        <v>0.0</v>
      </c>
      <c r="G545" s="320">
        <v>0.0</v>
      </c>
      <c r="H545" s="320">
        <v>0.0</v>
      </c>
      <c r="I545" s="329"/>
      <c r="J545" s="320">
        <v>89.47</v>
      </c>
      <c r="K545" s="320">
        <v>45.52</v>
      </c>
      <c r="L545" s="320">
        <v>31.63</v>
      </c>
      <c r="M545" s="320">
        <v>0.695</v>
      </c>
      <c r="N545" s="320">
        <v>0.4985</v>
      </c>
      <c r="O545" s="320">
        <v>0.3432</v>
      </c>
      <c r="P545" s="320">
        <v>1.4388</v>
      </c>
      <c r="Q545" s="320">
        <v>254.65</v>
      </c>
      <c r="R545" s="320">
        <v>203.92</v>
      </c>
      <c r="S545" s="320">
        <v>50.73</v>
      </c>
      <c r="T545" s="320">
        <v>0.0</v>
      </c>
      <c r="U545" s="320">
        <v>254.65</v>
      </c>
      <c r="V545" s="320">
        <v>203.05</v>
      </c>
      <c r="W545" s="320">
        <v>4.4611</v>
      </c>
      <c r="X545" s="320">
        <v>0.0</v>
      </c>
      <c r="Y545" s="320">
        <v>211.0</v>
      </c>
      <c r="Z545" s="320">
        <v>1195.0</v>
      </c>
      <c r="AA545" s="320">
        <v>7159.0</v>
      </c>
      <c r="AB545" s="320">
        <v>55.2914</v>
      </c>
      <c r="AC545" s="320">
        <v>0.6833</v>
      </c>
      <c r="AD545" s="320">
        <v>19.73</v>
      </c>
      <c r="AE545" s="320">
        <v>8.0</v>
      </c>
      <c r="AF545" s="320">
        <v>16.0</v>
      </c>
      <c r="AG545" s="320">
        <v>27.0</v>
      </c>
      <c r="AH545" s="320">
        <v>40.0</v>
      </c>
      <c r="AI545" s="320">
        <v>65.73</v>
      </c>
      <c r="AJ545" s="320">
        <v>27.95</v>
      </c>
      <c r="AK545" s="320">
        <v>8.95</v>
      </c>
      <c r="AL545" s="320">
        <v>0.1699</v>
      </c>
      <c r="AM545" s="320">
        <v>24.91</v>
      </c>
      <c r="AN545" s="320">
        <v>179.01</v>
      </c>
      <c r="AO545" s="320">
        <v>72.63</v>
      </c>
      <c r="AP545" s="320">
        <v>18.09</v>
      </c>
    </row>
    <row r="546">
      <c r="A546" s="319" t="s">
        <v>256</v>
      </c>
      <c r="B546" s="328">
        <v>46140.0</v>
      </c>
      <c r="C546" s="319" t="s">
        <v>217</v>
      </c>
      <c r="D546" s="320">
        <v>6030.0</v>
      </c>
      <c r="E546" s="320">
        <v>5.75</v>
      </c>
      <c r="F546" s="320">
        <v>0.0</v>
      </c>
      <c r="G546" s="320">
        <v>0.0</v>
      </c>
      <c r="H546" s="320">
        <v>0.0</v>
      </c>
      <c r="I546" s="329"/>
      <c r="J546" s="320">
        <v>135.49</v>
      </c>
      <c r="K546" s="320">
        <v>74.27</v>
      </c>
      <c r="L546" s="320">
        <v>59.98</v>
      </c>
      <c r="M546" s="320">
        <v>0.8076</v>
      </c>
      <c r="N546" s="320">
        <v>0.3724</v>
      </c>
      <c r="O546" s="320">
        <v>0.2694</v>
      </c>
      <c r="P546" s="320">
        <v>1.2383</v>
      </c>
      <c r="Q546" s="320">
        <v>516.36</v>
      </c>
      <c r="R546" s="320">
        <v>410.61</v>
      </c>
      <c r="S546" s="320">
        <v>105.75</v>
      </c>
      <c r="T546" s="320">
        <v>0.0</v>
      </c>
      <c r="U546" s="320">
        <v>516.36</v>
      </c>
      <c r="V546" s="320">
        <v>381.29</v>
      </c>
      <c r="W546" s="320">
        <v>5.134</v>
      </c>
      <c r="X546" s="320">
        <v>0.0</v>
      </c>
      <c r="Y546" s="320">
        <v>446.0</v>
      </c>
      <c r="Z546" s="320">
        <v>2225.0</v>
      </c>
      <c r="AA546" s="320">
        <v>9248.0</v>
      </c>
      <c r="AB546" s="320">
        <v>59.4396</v>
      </c>
      <c r="AC546" s="320">
        <v>0.8253</v>
      </c>
      <c r="AD546" s="320">
        <v>42.2</v>
      </c>
      <c r="AE546" s="320">
        <v>19.0</v>
      </c>
      <c r="AF546" s="320">
        <v>35.0</v>
      </c>
      <c r="AG546" s="320">
        <v>57.0</v>
      </c>
      <c r="AH546" s="320">
        <v>85.0</v>
      </c>
      <c r="AI546" s="320">
        <v>60.8</v>
      </c>
      <c r="AJ546" s="320">
        <v>23.23</v>
      </c>
      <c r="AK546" s="320">
        <v>6.05</v>
      </c>
      <c r="AL546" s="320">
        <v>0.1307</v>
      </c>
      <c r="AM546" s="320">
        <v>27.66</v>
      </c>
      <c r="AN546" s="320">
        <v>382.95</v>
      </c>
      <c r="AO546" s="320">
        <v>81.83</v>
      </c>
      <c r="AP546" s="320">
        <v>22.63</v>
      </c>
    </row>
    <row r="547">
      <c r="A547" s="319" t="s">
        <v>256</v>
      </c>
      <c r="B547" s="328">
        <v>46140.0</v>
      </c>
      <c r="C547" s="319" t="s">
        <v>218</v>
      </c>
      <c r="D547" s="320">
        <v>671.0</v>
      </c>
      <c r="E547" s="320">
        <v>0.64</v>
      </c>
      <c r="F547" s="320">
        <v>0.0</v>
      </c>
      <c r="G547" s="320">
        <v>0.0</v>
      </c>
      <c r="H547" s="320">
        <v>0.0</v>
      </c>
      <c r="I547" s="329"/>
      <c r="J547" s="320">
        <v>251.97</v>
      </c>
      <c r="K547" s="320">
        <v>148.84</v>
      </c>
      <c r="L547" s="320">
        <v>134.79</v>
      </c>
      <c r="M547" s="320">
        <v>0.9056</v>
      </c>
      <c r="N547" s="320">
        <v>0.2501</v>
      </c>
      <c r="O547" s="320">
        <v>0.1974</v>
      </c>
      <c r="P547" s="320">
        <v>1.1042</v>
      </c>
      <c r="Q547" s="320">
        <v>1065.71</v>
      </c>
      <c r="R547" s="320">
        <v>828.92</v>
      </c>
      <c r="S547" s="320">
        <v>236.8</v>
      </c>
      <c r="T547" s="320">
        <v>0.0</v>
      </c>
      <c r="U547" s="320">
        <v>1065.71</v>
      </c>
      <c r="V547" s="320">
        <v>877.2</v>
      </c>
      <c r="W547" s="320">
        <v>5.8937</v>
      </c>
      <c r="X547" s="320">
        <v>0.0</v>
      </c>
      <c r="Y547" s="320">
        <v>1284.0</v>
      </c>
      <c r="Z547" s="320">
        <v>4979.0</v>
      </c>
      <c r="AA547" s="320">
        <v>15281.0</v>
      </c>
      <c r="AB547" s="320">
        <v>63.2824</v>
      </c>
      <c r="AC547" s="320">
        <v>0.9065</v>
      </c>
      <c r="AD547" s="320">
        <v>99.26</v>
      </c>
      <c r="AE547" s="320">
        <v>46.0</v>
      </c>
      <c r="AF547" s="320">
        <v>86.0</v>
      </c>
      <c r="AG547" s="320">
        <v>136.0</v>
      </c>
      <c r="AH547" s="320">
        <v>192.0</v>
      </c>
      <c r="AI547" s="320">
        <v>53.35</v>
      </c>
      <c r="AJ547" s="320">
        <v>13.11</v>
      </c>
      <c r="AK547" s="320">
        <v>1.94</v>
      </c>
      <c r="AL547" s="320">
        <v>0.1073</v>
      </c>
      <c r="AM547" s="320">
        <v>24.97</v>
      </c>
      <c r="AN547" s="320">
        <v>803.94</v>
      </c>
      <c r="AO547" s="320">
        <v>83.5</v>
      </c>
      <c r="AP547" s="320">
        <v>20.85</v>
      </c>
    </row>
    <row r="548">
      <c r="A548" s="319" t="s">
        <v>256</v>
      </c>
      <c r="B548" s="328">
        <v>46141.0</v>
      </c>
      <c r="C548" s="319" t="s">
        <v>257</v>
      </c>
      <c r="D548" s="320">
        <v>18453.0</v>
      </c>
      <c r="E548" s="320">
        <v>18.08</v>
      </c>
      <c r="F548" s="320">
        <v>0.0</v>
      </c>
      <c r="G548" s="320">
        <v>0.0</v>
      </c>
      <c r="H548" s="320">
        <v>0.0</v>
      </c>
      <c r="I548" s="329"/>
      <c r="J548" s="320">
        <v>6.41</v>
      </c>
      <c r="K548" s="320">
        <v>2.52</v>
      </c>
      <c r="L548" s="320">
        <v>0.04</v>
      </c>
      <c r="M548" s="320">
        <v>0.0148</v>
      </c>
      <c r="N548" s="320">
        <v>0.9889</v>
      </c>
      <c r="O548" s="320">
        <v>0.8647</v>
      </c>
      <c r="P548" s="320">
        <v>67.7817</v>
      </c>
      <c r="Q548" s="320">
        <v>23.71</v>
      </c>
      <c r="R548" s="320">
        <v>23.59</v>
      </c>
      <c r="S548" s="320">
        <v>0.12</v>
      </c>
      <c r="T548" s="320">
        <v>0.0</v>
      </c>
      <c r="U548" s="320">
        <v>23.7</v>
      </c>
      <c r="V548" s="320">
        <v>1.82</v>
      </c>
      <c r="W548" s="320">
        <v>0.7226</v>
      </c>
      <c r="X548" s="320">
        <v>0.01</v>
      </c>
      <c r="Y548" s="320">
        <v>376.0</v>
      </c>
      <c r="Z548" s="320">
        <v>4269.0</v>
      </c>
      <c r="AA548" s="320">
        <v>16314.0</v>
      </c>
      <c r="AB548" s="320">
        <v>49.0981</v>
      </c>
      <c r="AC548" s="320">
        <v>0.5432</v>
      </c>
      <c r="AD548" s="329"/>
      <c r="AE548" s="329"/>
      <c r="AF548" s="329"/>
      <c r="AG548" s="329"/>
      <c r="AH548" s="329"/>
      <c r="AI548" s="320">
        <v>0.0</v>
      </c>
      <c r="AJ548" s="320">
        <v>0.0</v>
      </c>
      <c r="AK548" s="320">
        <v>0.0</v>
      </c>
      <c r="AL548" s="320">
        <v>0.2863</v>
      </c>
      <c r="AM548" s="320">
        <v>15.43</v>
      </c>
      <c r="AN548" s="320">
        <v>8.16</v>
      </c>
      <c r="AO548" s="329"/>
      <c r="AP548" s="329"/>
    </row>
    <row r="549">
      <c r="A549" s="319" t="s">
        <v>256</v>
      </c>
      <c r="B549" s="328">
        <v>46141.0</v>
      </c>
      <c r="C549" s="319" t="s">
        <v>214</v>
      </c>
      <c r="D549" s="320">
        <v>35098.0</v>
      </c>
      <c r="E549" s="320">
        <v>34.39</v>
      </c>
      <c r="F549" s="320">
        <v>0.0</v>
      </c>
      <c r="G549" s="320">
        <v>0.0</v>
      </c>
      <c r="H549" s="320">
        <v>0.0</v>
      </c>
      <c r="I549" s="329"/>
      <c r="J549" s="320">
        <v>31.22</v>
      </c>
      <c r="K549" s="320">
        <v>14.41</v>
      </c>
      <c r="L549" s="320">
        <v>5.84</v>
      </c>
      <c r="M549" s="320">
        <v>0.405</v>
      </c>
      <c r="N549" s="320">
        <v>0.757</v>
      </c>
      <c r="O549" s="320">
        <v>0.5436</v>
      </c>
      <c r="P549" s="320">
        <v>2.469</v>
      </c>
      <c r="Q549" s="320">
        <v>54.44</v>
      </c>
      <c r="R549" s="320">
        <v>44.11</v>
      </c>
      <c r="S549" s="320">
        <v>10.33</v>
      </c>
      <c r="T549" s="320">
        <v>0.0</v>
      </c>
      <c r="U549" s="320">
        <v>54.44</v>
      </c>
      <c r="V549" s="320">
        <v>53.5</v>
      </c>
      <c r="W549" s="320">
        <v>3.712</v>
      </c>
      <c r="X549" s="320">
        <v>0.0</v>
      </c>
      <c r="Y549" s="320">
        <v>151.0</v>
      </c>
      <c r="Z549" s="320">
        <v>977.0</v>
      </c>
      <c r="AA549" s="320">
        <v>6322.0</v>
      </c>
      <c r="AB549" s="320">
        <v>48.5362</v>
      </c>
      <c r="AC549" s="320">
        <v>0.5302</v>
      </c>
      <c r="AD549" s="320">
        <v>4.22</v>
      </c>
      <c r="AE549" s="320">
        <v>1.0</v>
      </c>
      <c r="AF549" s="320">
        <v>3.0</v>
      </c>
      <c r="AG549" s="320">
        <v>6.0</v>
      </c>
      <c r="AH549" s="320">
        <v>9.0</v>
      </c>
      <c r="AI549" s="320">
        <v>74.2</v>
      </c>
      <c r="AJ549" s="320">
        <v>32.57</v>
      </c>
      <c r="AK549" s="320">
        <v>9.93</v>
      </c>
      <c r="AL549" s="320">
        <v>0.2463</v>
      </c>
      <c r="AM549" s="320">
        <v>18.38</v>
      </c>
      <c r="AN549" s="320">
        <v>25.73</v>
      </c>
      <c r="AO549" s="320">
        <v>65.68</v>
      </c>
      <c r="AP549" s="320">
        <v>12.07</v>
      </c>
    </row>
    <row r="550">
      <c r="A550" s="319" t="s">
        <v>256</v>
      </c>
      <c r="B550" s="328">
        <v>46141.0</v>
      </c>
      <c r="C550" s="319" t="s">
        <v>215</v>
      </c>
      <c r="D550" s="320">
        <v>27050.0</v>
      </c>
      <c r="E550" s="320">
        <v>26.5</v>
      </c>
      <c r="F550" s="320">
        <v>0.0</v>
      </c>
      <c r="G550" s="320">
        <v>0.0</v>
      </c>
      <c r="H550" s="320">
        <v>0.0</v>
      </c>
      <c r="I550" s="329"/>
      <c r="J550" s="320">
        <v>59.65</v>
      </c>
      <c r="K550" s="320">
        <v>28.52</v>
      </c>
      <c r="L550" s="320">
        <v>14.97</v>
      </c>
      <c r="M550" s="320">
        <v>0.5249</v>
      </c>
      <c r="N550" s="320">
        <v>0.6596</v>
      </c>
      <c r="O550" s="320">
        <v>0.4493</v>
      </c>
      <c r="P550" s="320">
        <v>1.9053</v>
      </c>
      <c r="Q550" s="320">
        <v>93.79</v>
      </c>
      <c r="R550" s="320">
        <v>68.64</v>
      </c>
      <c r="S550" s="320">
        <v>25.15</v>
      </c>
      <c r="T550" s="320">
        <v>0.0</v>
      </c>
      <c r="U550" s="320">
        <v>93.79</v>
      </c>
      <c r="V550" s="320">
        <v>99.4</v>
      </c>
      <c r="W550" s="320">
        <v>3.4848</v>
      </c>
      <c r="X550" s="320">
        <v>0.0</v>
      </c>
      <c r="Y550" s="320">
        <v>133.0</v>
      </c>
      <c r="Z550" s="320">
        <v>738.0</v>
      </c>
      <c r="AA550" s="320">
        <v>5482.0</v>
      </c>
      <c r="AB550" s="320">
        <v>52.0262</v>
      </c>
      <c r="AC550" s="320">
        <v>0.6109</v>
      </c>
      <c r="AD550" s="320">
        <v>9.66</v>
      </c>
      <c r="AE550" s="320">
        <v>4.0</v>
      </c>
      <c r="AF550" s="320">
        <v>8.0</v>
      </c>
      <c r="AG550" s="320">
        <v>13.0</v>
      </c>
      <c r="AH550" s="320">
        <v>20.0</v>
      </c>
      <c r="AI550" s="320">
        <v>61.06</v>
      </c>
      <c r="AJ550" s="320">
        <v>27.53</v>
      </c>
      <c r="AK550" s="320">
        <v>5.11</v>
      </c>
      <c r="AL550" s="320">
        <v>0.1909</v>
      </c>
      <c r="AM550" s="320">
        <v>19.46</v>
      </c>
      <c r="AN550" s="320">
        <v>49.18</v>
      </c>
      <c r="AO550" s="320">
        <v>73.4</v>
      </c>
      <c r="AP550" s="320">
        <v>14.28</v>
      </c>
    </row>
    <row r="551">
      <c r="A551" s="319" t="s">
        <v>256</v>
      </c>
      <c r="B551" s="328">
        <v>46141.0</v>
      </c>
      <c r="C551" s="319" t="s">
        <v>216</v>
      </c>
      <c r="D551" s="320">
        <v>14790.0</v>
      </c>
      <c r="E551" s="320">
        <v>14.49</v>
      </c>
      <c r="F551" s="320">
        <v>0.0</v>
      </c>
      <c r="G551" s="320">
        <v>0.0</v>
      </c>
      <c r="H551" s="320">
        <v>0.0</v>
      </c>
      <c r="I551" s="329"/>
      <c r="J551" s="320">
        <v>81.66</v>
      </c>
      <c r="K551" s="320">
        <v>41.78</v>
      </c>
      <c r="L551" s="320">
        <v>27.46</v>
      </c>
      <c r="M551" s="320">
        <v>0.6574</v>
      </c>
      <c r="N551" s="320">
        <v>0.5277</v>
      </c>
      <c r="O551" s="320">
        <v>0.3574</v>
      </c>
      <c r="P551" s="320">
        <v>1.5211</v>
      </c>
      <c r="Q551" s="320">
        <v>150.4</v>
      </c>
      <c r="R551" s="320">
        <v>102.49</v>
      </c>
      <c r="S551" s="320">
        <v>47.91</v>
      </c>
      <c r="T551" s="320">
        <v>0.0</v>
      </c>
      <c r="U551" s="320">
        <v>150.4</v>
      </c>
      <c r="V551" s="320">
        <v>166.17</v>
      </c>
      <c r="W551" s="320">
        <v>3.9777</v>
      </c>
      <c r="X551" s="320">
        <v>0.0</v>
      </c>
      <c r="Y551" s="320">
        <v>158.0</v>
      </c>
      <c r="Z551" s="320">
        <v>1011.0</v>
      </c>
      <c r="AA551" s="320">
        <v>6659.0</v>
      </c>
      <c r="AB551" s="320">
        <v>55.8089</v>
      </c>
      <c r="AC551" s="320">
        <v>0.7471</v>
      </c>
      <c r="AD551" s="320">
        <v>18.55</v>
      </c>
      <c r="AE551" s="320">
        <v>8.0</v>
      </c>
      <c r="AF551" s="320">
        <v>14.0</v>
      </c>
      <c r="AG551" s="320">
        <v>26.0</v>
      </c>
      <c r="AH551" s="320">
        <v>39.0</v>
      </c>
      <c r="AI551" s="320">
        <v>61.95</v>
      </c>
      <c r="AJ551" s="320">
        <v>25.28</v>
      </c>
      <c r="AK551" s="320">
        <v>7.96</v>
      </c>
      <c r="AL551" s="320">
        <v>0.1814</v>
      </c>
      <c r="AM551" s="320">
        <v>19.86</v>
      </c>
      <c r="AN551" s="320">
        <v>82.63</v>
      </c>
      <c r="AO551" s="320">
        <v>77.19</v>
      </c>
      <c r="AP551" s="320">
        <v>15.33</v>
      </c>
    </row>
    <row r="552">
      <c r="A552" s="319" t="s">
        <v>256</v>
      </c>
      <c r="B552" s="328">
        <v>46141.0</v>
      </c>
      <c r="C552" s="319" t="s">
        <v>217</v>
      </c>
      <c r="D552" s="320">
        <v>6002.0</v>
      </c>
      <c r="E552" s="320">
        <v>5.88</v>
      </c>
      <c r="F552" s="320">
        <v>0.0</v>
      </c>
      <c r="G552" s="320">
        <v>0.0</v>
      </c>
      <c r="H552" s="320">
        <v>0.0</v>
      </c>
      <c r="I552" s="329"/>
      <c r="J552" s="320">
        <v>131.42</v>
      </c>
      <c r="K552" s="320">
        <v>71.23</v>
      </c>
      <c r="L552" s="320">
        <v>55.93</v>
      </c>
      <c r="M552" s="320">
        <v>0.7852</v>
      </c>
      <c r="N552" s="320">
        <v>0.3939</v>
      </c>
      <c r="O552" s="320">
        <v>0.2791</v>
      </c>
      <c r="P552" s="320">
        <v>1.2736</v>
      </c>
      <c r="Q552" s="320">
        <v>274.62</v>
      </c>
      <c r="R552" s="320">
        <v>176.42</v>
      </c>
      <c r="S552" s="320">
        <v>98.2</v>
      </c>
      <c r="T552" s="320">
        <v>0.0</v>
      </c>
      <c r="U552" s="320">
        <v>274.62</v>
      </c>
      <c r="V552" s="320">
        <v>325.22</v>
      </c>
      <c r="W552" s="320">
        <v>4.566</v>
      </c>
      <c r="X552" s="320">
        <v>0.0</v>
      </c>
      <c r="Y552" s="320">
        <v>337.0</v>
      </c>
      <c r="Z552" s="320">
        <v>2093.0</v>
      </c>
      <c r="AA552" s="320">
        <v>9028.0</v>
      </c>
      <c r="AB552" s="320">
        <v>59.7122</v>
      </c>
      <c r="AC552" s="320">
        <v>0.849</v>
      </c>
      <c r="AD552" s="320">
        <v>38.7</v>
      </c>
      <c r="AE552" s="320">
        <v>15.0</v>
      </c>
      <c r="AF552" s="320">
        <v>31.0</v>
      </c>
      <c r="AG552" s="320">
        <v>54.0</v>
      </c>
      <c r="AH552" s="320">
        <v>82.0</v>
      </c>
      <c r="AI552" s="320">
        <v>54.03</v>
      </c>
      <c r="AJ552" s="320">
        <v>21.28</v>
      </c>
      <c r="AK552" s="320">
        <v>5.01</v>
      </c>
      <c r="AL552" s="320">
        <v>0.1346</v>
      </c>
      <c r="AM552" s="320">
        <v>20.67</v>
      </c>
      <c r="AN552" s="320">
        <v>155.75</v>
      </c>
      <c r="AO552" s="320">
        <v>82.6</v>
      </c>
      <c r="AP552" s="320">
        <v>17.07</v>
      </c>
    </row>
    <row r="553">
      <c r="A553" s="319" t="s">
        <v>256</v>
      </c>
      <c r="B553" s="328">
        <v>46141.0</v>
      </c>
      <c r="C553" s="319" t="s">
        <v>218</v>
      </c>
      <c r="D553" s="320">
        <v>679.0</v>
      </c>
      <c r="E553" s="320">
        <v>0.67</v>
      </c>
      <c r="F553" s="320">
        <v>0.0</v>
      </c>
      <c r="G553" s="320">
        <v>0.0</v>
      </c>
      <c r="H553" s="320">
        <v>0.0</v>
      </c>
      <c r="I553" s="329"/>
      <c r="J553" s="320">
        <v>237.7</v>
      </c>
      <c r="K553" s="320">
        <v>139.59</v>
      </c>
      <c r="L553" s="320">
        <v>122.98</v>
      </c>
      <c r="M553" s="320">
        <v>0.881</v>
      </c>
      <c r="N553" s="320">
        <v>0.2772</v>
      </c>
      <c r="O553" s="320">
        <v>0.2137</v>
      </c>
      <c r="P553" s="320">
        <v>1.1351</v>
      </c>
      <c r="Q553" s="320">
        <v>540.33</v>
      </c>
      <c r="R553" s="320">
        <v>324.3</v>
      </c>
      <c r="S553" s="320">
        <v>216.03</v>
      </c>
      <c r="T553" s="320">
        <v>0.0</v>
      </c>
      <c r="U553" s="320">
        <v>540.33</v>
      </c>
      <c r="V553" s="320">
        <v>796.98</v>
      </c>
      <c r="W553" s="320">
        <v>5.7094</v>
      </c>
      <c r="X553" s="320">
        <v>0.0</v>
      </c>
      <c r="Y553" s="320">
        <v>994.0</v>
      </c>
      <c r="Z553" s="320">
        <v>3875.0</v>
      </c>
      <c r="AA553" s="320">
        <v>12479.0</v>
      </c>
      <c r="AB553" s="320">
        <v>62.8607</v>
      </c>
      <c r="AC553" s="320">
        <v>0.9191</v>
      </c>
      <c r="AD553" s="320">
        <v>86.5</v>
      </c>
      <c r="AE553" s="320">
        <v>33.0</v>
      </c>
      <c r="AF553" s="320">
        <v>73.0</v>
      </c>
      <c r="AG553" s="320">
        <v>122.0</v>
      </c>
      <c r="AH553" s="320">
        <v>176.0</v>
      </c>
      <c r="AI553" s="320">
        <v>47.28</v>
      </c>
      <c r="AJ553" s="320">
        <v>9.72</v>
      </c>
      <c r="AK553" s="320">
        <v>1.33</v>
      </c>
      <c r="AL553" s="320">
        <v>0.1016</v>
      </c>
      <c r="AM553" s="320">
        <v>24.0</v>
      </c>
      <c r="AN553" s="320">
        <v>300.3</v>
      </c>
      <c r="AO553" s="320">
        <v>83.19</v>
      </c>
      <c r="AP553" s="320">
        <v>19.97</v>
      </c>
    </row>
    <row r="554">
      <c r="A554" s="319" t="s">
        <v>256</v>
      </c>
      <c r="B554" s="328">
        <v>46142.0</v>
      </c>
      <c r="C554" s="319" t="s">
        <v>257</v>
      </c>
      <c r="D554" s="320">
        <v>19509.0</v>
      </c>
      <c r="E554" s="320">
        <v>19.57</v>
      </c>
      <c r="F554" s="320">
        <v>0.0</v>
      </c>
      <c r="G554" s="320">
        <v>0.0</v>
      </c>
      <c r="H554" s="320">
        <v>0.0</v>
      </c>
      <c r="I554" s="329"/>
      <c r="J554" s="320">
        <v>6.42</v>
      </c>
      <c r="K554" s="320">
        <v>2.58</v>
      </c>
      <c r="L554" s="320">
        <v>0.03</v>
      </c>
      <c r="M554" s="320">
        <v>0.0106</v>
      </c>
      <c r="N554" s="320">
        <v>0.9922</v>
      </c>
      <c r="O554" s="320">
        <v>0.8884</v>
      </c>
      <c r="P554" s="320">
        <v>94.6297</v>
      </c>
      <c r="Q554" s="320">
        <v>22.05</v>
      </c>
      <c r="R554" s="320">
        <v>21.96</v>
      </c>
      <c r="S554" s="320">
        <v>0.09</v>
      </c>
      <c r="T554" s="320">
        <v>0.0</v>
      </c>
      <c r="U554" s="320">
        <v>22.05</v>
      </c>
      <c r="V554" s="320">
        <v>1.94</v>
      </c>
      <c r="W554" s="320">
        <v>0.7508</v>
      </c>
      <c r="X554" s="320">
        <v>0.0</v>
      </c>
      <c r="Y554" s="320">
        <v>336.0</v>
      </c>
      <c r="Z554" s="320">
        <v>3835.0</v>
      </c>
      <c r="AA554" s="320">
        <v>15328.0</v>
      </c>
      <c r="AB554" s="320">
        <v>48.8259</v>
      </c>
      <c r="AC554" s="320">
        <v>0.5385</v>
      </c>
      <c r="AD554" s="329"/>
      <c r="AE554" s="329"/>
      <c r="AF554" s="329"/>
      <c r="AG554" s="329"/>
      <c r="AH554" s="329"/>
      <c r="AI554" s="320">
        <v>0.0</v>
      </c>
      <c r="AJ554" s="320">
        <v>0.0</v>
      </c>
      <c r="AK554" s="320">
        <v>0.0</v>
      </c>
      <c r="AL554" s="320">
        <v>0.287</v>
      </c>
      <c r="AM554" s="320">
        <v>16.09</v>
      </c>
      <c r="AN554" s="320">
        <v>5.88</v>
      </c>
      <c r="AO554" s="329"/>
      <c r="AP554" s="329"/>
    </row>
    <row r="555">
      <c r="A555" s="319" t="s">
        <v>256</v>
      </c>
      <c r="B555" s="328">
        <v>46142.0</v>
      </c>
      <c r="C555" s="319" t="s">
        <v>214</v>
      </c>
      <c r="D555" s="320">
        <v>34143.0</v>
      </c>
      <c r="E555" s="320">
        <v>34.25</v>
      </c>
      <c r="F555" s="320">
        <v>0.0</v>
      </c>
      <c r="G555" s="320">
        <v>0.0</v>
      </c>
      <c r="H555" s="320">
        <v>0.0</v>
      </c>
      <c r="I555" s="329"/>
      <c r="J555" s="320">
        <v>28.14</v>
      </c>
      <c r="K555" s="320">
        <v>12.82</v>
      </c>
      <c r="L555" s="320">
        <v>5.45</v>
      </c>
      <c r="M555" s="320">
        <v>0.4247</v>
      </c>
      <c r="N555" s="320">
        <v>0.7454</v>
      </c>
      <c r="O555" s="320">
        <v>0.5441</v>
      </c>
      <c r="P555" s="320">
        <v>2.3545</v>
      </c>
      <c r="Q555" s="320">
        <v>47.98</v>
      </c>
      <c r="R555" s="320">
        <v>38.46</v>
      </c>
      <c r="S555" s="320">
        <v>9.52</v>
      </c>
      <c r="T555" s="320">
        <v>0.0</v>
      </c>
      <c r="U555" s="320">
        <v>47.98</v>
      </c>
      <c r="V555" s="320">
        <v>50.15</v>
      </c>
      <c r="W555" s="320">
        <v>3.9102</v>
      </c>
      <c r="X555" s="320">
        <v>0.0</v>
      </c>
      <c r="Y555" s="320">
        <v>150.0</v>
      </c>
      <c r="Z555" s="320">
        <v>954.0</v>
      </c>
      <c r="AA555" s="320">
        <v>6235.0</v>
      </c>
      <c r="AB555" s="320">
        <v>48.7268</v>
      </c>
      <c r="AC555" s="320">
        <v>0.5355</v>
      </c>
      <c r="AD555" s="320">
        <v>4.0</v>
      </c>
      <c r="AE555" s="320">
        <v>1.0</v>
      </c>
      <c r="AF555" s="320">
        <v>3.0</v>
      </c>
      <c r="AG555" s="320">
        <v>5.0</v>
      </c>
      <c r="AH555" s="320">
        <v>9.0</v>
      </c>
      <c r="AI555" s="320">
        <v>72.02</v>
      </c>
      <c r="AJ555" s="320">
        <v>30.67</v>
      </c>
      <c r="AK555" s="320">
        <v>8.8</v>
      </c>
      <c r="AL555" s="320">
        <v>0.2698</v>
      </c>
      <c r="AM555" s="320">
        <v>19.09</v>
      </c>
      <c r="AN555" s="320">
        <v>19.37</v>
      </c>
      <c r="AO555" s="320">
        <v>65.83</v>
      </c>
      <c r="AP555" s="320">
        <v>12.57</v>
      </c>
    </row>
    <row r="556">
      <c r="A556" s="319" t="s">
        <v>256</v>
      </c>
      <c r="B556" s="328">
        <v>46142.0</v>
      </c>
      <c r="C556" s="319" t="s">
        <v>215</v>
      </c>
      <c r="D556" s="320">
        <v>25323.0</v>
      </c>
      <c r="E556" s="320">
        <v>25.4</v>
      </c>
      <c r="F556" s="320">
        <v>0.0</v>
      </c>
      <c r="G556" s="320">
        <v>0.0</v>
      </c>
      <c r="H556" s="320">
        <v>0.0</v>
      </c>
      <c r="I556" s="329"/>
      <c r="J556" s="320">
        <v>52.17</v>
      </c>
      <c r="K556" s="320">
        <v>24.79</v>
      </c>
      <c r="L556" s="320">
        <v>13.38</v>
      </c>
      <c r="M556" s="320">
        <v>0.5395</v>
      </c>
      <c r="N556" s="320">
        <v>0.6507</v>
      </c>
      <c r="O556" s="320">
        <v>0.4512</v>
      </c>
      <c r="P556" s="320">
        <v>1.8535</v>
      </c>
      <c r="Q556" s="320">
        <v>90.53</v>
      </c>
      <c r="R556" s="320">
        <v>67.42</v>
      </c>
      <c r="S556" s="320">
        <v>23.11</v>
      </c>
      <c r="T556" s="320">
        <v>0.0</v>
      </c>
      <c r="U556" s="320">
        <v>90.53</v>
      </c>
      <c r="V556" s="320">
        <v>93.0</v>
      </c>
      <c r="W556" s="320">
        <v>3.7511</v>
      </c>
      <c r="X556" s="320">
        <v>0.0</v>
      </c>
      <c r="Y556" s="320">
        <v>129.0</v>
      </c>
      <c r="Z556" s="320">
        <v>736.0</v>
      </c>
      <c r="AA556" s="320">
        <v>5357.0</v>
      </c>
      <c r="AB556" s="320">
        <v>52.3003</v>
      </c>
      <c r="AC556" s="320">
        <v>0.634</v>
      </c>
      <c r="AD556" s="320">
        <v>9.07</v>
      </c>
      <c r="AE556" s="320">
        <v>3.0</v>
      </c>
      <c r="AF556" s="320">
        <v>7.0</v>
      </c>
      <c r="AG556" s="320">
        <v>13.0</v>
      </c>
      <c r="AH556" s="320">
        <v>20.0</v>
      </c>
      <c r="AI556" s="320">
        <v>58.06</v>
      </c>
      <c r="AJ556" s="320">
        <v>24.62</v>
      </c>
      <c r="AK556" s="320">
        <v>4.46</v>
      </c>
      <c r="AL556" s="320">
        <v>0.215</v>
      </c>
      <c r="AM556" s="320">
        <v>19.98</v>
      </c>
      <c r="AN556" s="320">
        <v>47.44</v>
      </c>
      <c r="AO556" s="320">
        <v>74.87</v>
      </c>
      <c r="AP556" s="320">
        <v>14.96</v>
      </c>
    </row>
    <row r="557">
      <c r="A557" s="319" t="s">
        <v>256</v>
      </c>
      <c r="B557" s="328">
        <v>46142.0</v>
      </c>
      <c r="C557" s="319" t="s">
        <v>216</v>
      </c>
      <c r="D557" s="320">
        <v>14152.0</v>
      </c>
      <c r="E557" s="320">
        <v>14.19</v>
      </c>
      <c r="F557" s="320">
        <v>0.0</v>
      </c>
      <c r="G557" s="320">
        <v>0.0</v>
      </c>
      <c r="H557" s="320">
        <v>0.0</v>
      </c>
      <c r="I557" s="329"/>
      <c r="J557" s="320">
        <v>75.31</v>
      </c>
      <c r="K557" s="320">
        <v>38.34</v>
      </c>
      <c r="L557" s="320">
        <v>25.41</v>
      </c>
      <c r="M557" s="320">
        <v>0.6628</v>
      </c>
      <c r="N557" s="320">
        <v>0.5281</v>
      </c>
      <c r="O557" s="320">
        <v>0.3641</v>
      </c>
      <c r="P557" s="320">
        <v>1.5087</v>
      </c>
      <c r="Q557" s="320">
        <v>161.38</v>
      </c>
      <c r="R557" s="320">
        <v>116.69</v>
      </c>
      <c r="S557" s="320">
        <v>44.69</v>
      </c>
      <c r="T557" s="320">
        <v>0.0</v>
      </c>
      <c r="U557" s="320">
        <v>161.38</v>
      </c>
      <c r="V557" s="320">
        <v>164.51</v>
      </c>
      <c r="W557" s="320">
        <v>4.291</v>
      </c>
      <c r="X557" s="320">
        <v>0.0</v>
      </c>
      <c r="Y557" s="320">
        <v>162.0</v>
      </c>
      <c r="Z557" s="320">
        <v>998.0</v>
      </c>
      <c r="AA557" s="320">
        <v>6339.0</v>
      </c>
      <c r="AB557" s="320">
        <v>55.7355</v>
      </c>
      <c r="AC557" s="320">
        <v>0.7501</v>
      </c>
      <c r="AD557" s="320">
        <v>17.34</v>
      </c>
      <c r="AE557" s="320">
        <v>7.0</v>
      </c>
      <c r="AF557" s="320">
        <v>13.0</v>
      </c>
      <c r="AG557" s="320">
        <v>24.0</v>
      </c>
      <c r="AH557" s="320">
        <v>36.0</v>
      </c>
      <c r="AI557" s="320">
        <v>59.47</v>
      </c>
      <c r="AJ557" s="320">
        <v>22.62</v>
      </c>
      <c r="AK557" s="320">
        <v>6.37</v>
      </c>
      <c r="AL557" s="320">
        <v>0.2024</v>
      </c>
      <c r="AM557" s="320">
        <v>19.98</v>
      </c>
      <c r="AN557" s="320">
        <v>96.71</v>
      </c>
      <c r="AO557" s="320">
        <v>78.23</v>
      </c>
      <c r="AP557" s="320">
        <v>15.63</v>
      </c>
    </row>
    <row r="558">
      <c r="A558" s="319" t="s">
        <v>256</v>
      </c>
      <c r="B558" s="328">
        <v>46142.0</v>
      </c>
      <c r="C558" s="319" t="s">
        <v>217</v>
      </c>
      <c r="D558" s="320">
        <v>5923.0</v>
      </c>
      <c r="E558" s="320">
        <v>5.94</v>
      </c>
      <c r="F558" s="320">
        <v>0.0</v>
      </c>
      <c r="G558" s="320">
        <v>0.0</v>
      </c>
      <c r="H558" s="320">
        <v>0.0</v>
      </c>
      <c r="I558" s="329"/>
      <c r="J558" s="320">
        <v>124.5</v>
      </c>
      <c r="K558" s="320">
        <v>67.47</v>
      </c>
      <c r="L558" s="320">
        <v>53.63</v>
      </c>
      <c r="M558" s="320">
        <v>0.7949</v>
      </c>
      <c r="N558" s="320">
        <v>0.3871</v>
      </c>
      <c r="O558" s="320">
        <v>0.2797</v>
      </c>
      <c r="P558" s="320">
        <v>1.258</v>
      </c>
      <c r="Q558" s="320">
        <v>323.89</v>
      </c>
      <c r="R558" s="320">
        <v>228.86</v>
      </c>
      <c r="S558" s="320">
        <v>95.03</v>
      </c>
      <c r="T558" s="320">
        <v>0.01</v>
      </c>
      <c r="U558" s="320">
        <v>323.87</v>
      </c>
      <c r="V558" s="320">
        <v>329.71</v>
      </c>
      <c r="W558" s="320">
        <v>4.8868</v>
      </c>
      <c r="X558" s="320">
        <v>0.0</v>
      </c>
      <c r="Y558" s="320">
        <v>357.0</v>
      </c>
      <c r="Z558" s="320">
        <v>2076.0</v>
      </c>
      <c r="AA558" s="320">
        <v>8639.0</v>
      </c>
      <c r="AB558" s="320">
        <v>59.7753</v>
      </c>
      <c r="AC558" s="320">
        <v>0.8425</v>
      </c>
      <c r="AD558" s="320">
        <v>37.46</v>
      </c>
      <c r="AE558" s="320">
        <v>15.0</v>
      </c>
      <c r="AF558" s="320">
        <v>29.0</v>
      </c>
      <c r="AG558" s="320">
        <v>52.0</v>
      </c>
      <c r="AH558" s="320">
        <v>78.0</v>
      </c>
      <c r="AI558" s="320">
        <v>52.91</v>
      </c>
      <c r="AJ558" s="320">
        <v>19.72</v>
      </c>
      <c r="AK558" s="320">
        <v>4.1</v>
      </c>
      <c r="AL558" s="320">
        <v>0.1516</v>
      </c>
      <c r="AM558" s="320">
        <v>21.01</v>
      </c>
      <c r="AN558" s="320">
        <v>207.85</v>
      </c>
      <c r="AO558" s="320">
        <v>83.63</v>
      </c>
      <c r="AP558" s="320">
        <v>17.57</v>
      </c>
    </row>
    <row r="559">
      <c r="A559" s="319" t="s">
        <v>256</v>
      </c>
      <c r="B559" s="328">
        <v>46142.0</v>
      </c>
      <c r="C559" s="319" t="s">
        <v>218</v>
      </c>
      <c r="D559" s="320">
        <v>651.0</v>
      </c>
      <c r="E559" s="320">
        <v>0.65</v>
      </c>
      <c r="F559" s="320">
        <v>0.0</v>
      </c>
      <c r="G559" s="320">
        <v>0.0</v>
      </c>
      <c r="H559" s="320">
        <v>0.0</v>
      </c>
      <c r="I559" s="329"/>
      <c r="J559" s="320">
        <v>236.17</v>
      </c>
      <c r="K559" s="320">
        <v>140.53</v>
      </c>
      <c r="L559" s="320">
        <v>122.79</v>
      </c>
      <c r="M559" s="320">
        <v>0.8738</v>
      </c>
      <c r="N559" s="320">
        <v>0.2825</v>
      </c>
      <c r="O559" s="320">
        <v>0.212</v>
      </c>
      <c r="P559" s="320">
        <v>1.1444</v>
      </c>
      <c r="Q559" s="320">
        <v>592.58</v>
      </c>
      <c r="R559" s="320">
        <v>378.56</v>
      </c>
      <c r="S559" s="320">
        <v>214.02</v>
      </c>
      <c r="T559" s="320">
        <v>0.0</v>
      </c>
      <c r="U559" s="320">
        <v>592.58</v>
      </c>
      <c r="V559" s="320">
        <v>750.31</v>
      </c>
      <c r="W559" s="320">
        <v>5.3392</v>
      </c>
      <c r="X559" s="320">
        <v>0.0</v>
      </c>
      <c r="Y559" s="320">
        <v>896.0</v>
      </c>
      <c r="Z559" s="320">
        <v>4230.0</v>
      </c>
      <c r="AA559" s="320">
        <v>12801.0</v>
      </c>
      <c r="AB559" s="320">
        <v>63.0622</v>
      </c>
      <c r="AC559" s="320">
        <v>0.9011</v>
      </c>
      <c r="AD559" s="320">
        <v>88.06</v>
      </c>
      <c r="AE559" s="320">
        <v>34.0</v>
      </c>
      <c r="AF559" s="320">
        <v>72.0</v>
      </c>
      <c r="AG559" s="320">
        <v>120.0</v>
      </c>
      <c r="AH559" s="320">
        <v>172.0</v>
      </c>
      <c r="AI559" s="320">
        <v>47.0</v>
      </c>
      <c r="AJ559" s="320">
        <v>9.52</v>
      </c>
      <c r="AK559" s="320">
        <v>2.0</v>
      </c>
      <c r="AL559" s="320">
        <v>0.1029</v>
      </c>
      <c r="AM559" s="320">
        <v>25.74</v>
      </c>
      <c r="AN559" s="320">
        <v>352.82</v>
      </c>
      <c r="AO559" s="320">
        <v>84.57</v>
      </c>
      <c r="AP559" s="320">
        <v>21.77</v>
      </c>
    </row>
    <row r="560">
      <c r="A560" s="319" t="s">
        <v>256</v>
      </c>
      <c r="B560" s="328">
        <v>46143.0</v>
      </c>
      <c r="C560" s="319" t="s">
        <v>257</v>
      </c>
      <c r="D560" s="320">
        <v>17454.0</v>
      </c>
      <c r="E560" s="320">
        <v>17.94</v>
      </c>
      <c r="F560" s="320">
        <v>0.0</v>
      </c>
      <c r="G560" s="320">
        <v>0.0</v>
      </c>
      <c r="H560" s="320">
        <v>0.0</v>
      </c>
      <c r="I560" s="329"/>
      <c r="J560" s="320">
        <v>5.64</v>
      </c>
      <c r="K560" s="320">
        <v>2.19</v>
      </c>
      <c r="L560" s="320">
        <v>0.04</v>
      </c>
      <c r="M560" s="320">
        <v>0.0188</v>
      </c>
      <c r="N560" s="320">
        <v>0.9856</v>
      </c>
      <c r="O560" s="320">
        <v>0.834</v>
      </c>
      <c r="P560" s="320">
        <v>53.0974</v>
      </c>
      <c r="Q560" s="320">
        <v>27.37</v>
      </c>
      <c r="R560" s="320">
        <v>27.27</v>
      </c>
      <c r="S560" s="320">
        <v>0.1</v>
      </c>
      <c r="T560" s="320">
        <v>0.0</v>
      </c>
      <c r="U560" s="320">
        <v>27.37</v>
      </c>
      <c r="V560" s="320">
        <v>1.98</v>
      </c>
      <c r="W560" s="320">
        <v>0.9063</v>
      </c>
      <c r="X560" s="320">
        <v>0.0</v>
      </c>
      <c r="Y560" s="320">
        <v>401.0</v>
      </c>
      <c r="Z560" s="320">
        <v>4538.0</v>
      </c>
      <c r="AA560" s="320">
        <v>16362.0</v>
      </c>
      <c r="AB560" s="320">
        <v>49.0803</v>
      </c>
      <c r="AC560" s="320">
        <v>0.5469</v>
      </c>
      <c r="AD560" s="329"/>
      <c r="AE560" s="329"/>
      <c r="AF560" s="329"/>
      <c r="AG560" s="329"/>
      <c r="AH560" s="329"/>
      <c r="AI560" s="320">
        <v>0.0</v>
      </c>
      <c r="AJ560" s="320">
        <v>0.0</v>
      </c>
      <c r="AK560" s="320">
        <v>0.0</v>
      </c>
      <c r="AL560" s="320">
        <v>0.3088</v>
      </c>
      <c r="AM560" s="320">
        <v>17.47</v>
      </c>
      <c r="AN560" s="320">
        <v>9.8</v>
      </c>
      <c r="AO560" s="329"/>
      <c r="AP560" s="329"/>
    </row>
    <row r="561">
      <c r="A561" s="319" t="s">
        <v>256</v>
      </c>
      <c r="B561" s="328">
        <v>46143.0</v>
      </c>
      <c r="C561" s="319" t="s">
        <v>214</v>
      </c>
      <c r="D561" s="320">
        <v>33805.0</v>
      </c>
      <c r="E561" s="320">
        <v>34.74</v>
      </c>
      <c r="F561" s="320">
        <v>0.0</v>
      </c>
      <c r="G561" s="320">
        <v>0.0</v>
      </c>
      <c r="H561" s="320">
        <v>0.0</v>
      </c>
      <c r="I561" s="329"/>
      <c r="J561" s="320">
        <v>31.58</v>
      </c>
      <c r="K561" s="320">
        <v>14.37</v>
      </c>
      <c r="L561" s="320">
        <v>6.04</v>
      </c>
      <c r="M561" s="320">
        <v>0.4202</v>
      </c>
      <c r="N561" s="320">
        <v>0.7461</v>
      </c>
      <c r="O561" s="320">
        <v>0.5399</v>
      </c>
      <c r="P561" s="320">
        <v>2.3797</v>
      </c>
      <c r="Q561" s="320">
        <v>60.35</v>
      </c>
      <c r="R561" s="320">
        <v>49.82</v>
      </c>
      <c r="S561" s="320">
        <v>10.53</v>
      </c>
      <c r="T561" s="320">
        <v>0.0</v>
      </c>
      <c r="U561" s="320">
        <v>60.35</v>
      </c>
      <c r="V561" s="320">
        <v>54.96</v>
      </c>
      <c r="W561" s="320">
        <v>3.8255</v>
      </c>
      <c r="X561" s="320">
        <v>0.0</v>
      </c>
      <c r="Y561" s="320">
        <v>153.0</v>
      </c>
      <c r="Z561" s="320">
        <v>917.0</v>
      </c>
      <c r="AA561" s="320">
        <v>6213.0</v>
      </c>
      <c r="AB561" s="320">
        <v>48.5618</v>
      </c>
      <c r="AC561" s="320">
        <v>0.5346</v>
      </c>
      <c r="AD561" s="320">
        <v>4.27</v>
      </c>
      <c r="AE561" s="320">
        <v>1.0</v>
      </c>
      <c r="AF561" s="320">
        <v>3.0</v>
      </c>
      <c r="AG561" s="320">
        <v>6.0</v>
      </c>
      <c r="AH561" s="320">
        <v>9.0</v>
      </c>
      <c r="AI561" s="320">
        <v>75.15</v>
      </c>
      <c r="AJ561" s="320">
        <v>33.9</v>
      </c>
      <c r="AK561" s="320">
        <v>9.95</v>
      </c>
      <c r="AL561" s="320">
        <v>0.2635</v>
      </c>
      <c r="AM561" s="320">
        <v>20.28</v>
      </c>
      <c r="AN561" s="320">
        <v>29.54</v>
      </c>
      <c r="AO561" s="320">
        <v>65.85</v>
      </c>
      <c r="AP561" s="320">
        <v>13.35</v>
      </c>
    </row>
    <row r="562">
      <c r="A562" s="319" t="s">
        <v>256</v>
      </c>
      <c r="B562" s="328">
        <v>46143.0</v>
      </c>
      <c r="C562" s="319" t="s">
        <v>215</v>
      </c>
      <c r="D562" s="320">
        <v>25048.0</v>
      </c>
      <c r="E562" s="320">
        <v>25.74</v>
      </c>
      <c r="F562" s="320">
        <v>0.0</v>
      </c>
      <c r="G562" s="320">
        <v>0.0</v>
      </c>
      <c r="H562" s="320">
        <v>0.0</v>
      </c>
      <c r="I562" s="329"/>
      <c r="J562" s="320">
        <v>58.03</v>
      </c>
      <c r="K562" s="320">
        <v>27.7</v>
      </c>
      <c r="L562" s="320">
        <v>14.48</v>
      </c>
      <c r="M562" s="320">
        <v>0.5229</v>
      </c>
      <c r="N562" s="320">
        <v>0.661</v>
      </c>
      <c r="O562" s="320">
        <v>0.4551</v>
      </c>
      <c r="P562" s="320">
        <v>1.9125</v>
      </c>
      <c r="Q562" s="320">
        <v>103.46</v>
      </c>
      <c r="R562" s="320">
        <v>78.06</v>
      </c>
      <c r="S562" s="320">
        <v>25.39</v>
      </c>
      <c r="T562" s="320">
        <v>0.01</v>
      </c>
      <c r="U562" s="320">
        <v>103.44</v>
      </c>
      <c r="V562" s="320">
        <v>100.87</v>
      </c>
      <c r="W562" s="320">
        <v>3.6418</v>
      </c>
      <c r="X562" s="320">
        <v>0.01</v>
      </c>
      <c r="Y562" s="320">
        <v>135.0</v>
      </c>
      <c r="Z562" s="320">
        <v>719.0</v>
      </c>
      <c r="AA562" s="320">
        <v>5300.0</v>
      </c>
      <c r="AB562" s="320">
        <v>52.0429</v>
      </c>
      <c r="AC562" s="320">
        <v>0.6337</v>
      </c>
      <c r="AD562" s="320">
        <v>9.69</v>
      </c>
      <c r="AE562" s="320">
        <v>4.0</v>
      </c>
      <c r="AF562" s="320">
        <v>8.0</v>
      </c>
      <c r="AG562" s="320">
        <v>13.0</v>
      </c>
      <c r="AH562" s="320">
        <v>20.0</v>
      </c>
      <c r="AI562" s="320">
        <v>63.39</v>
      </c>
      <c r="AJ562" s="320">
        <v>27.39</v>
      </c>
      <c r="AK562" s="320">
        <v>4.66</v>
      </c>
      <c r="AL562" s="320">
        <v>0.2127</v>
      </c>
      <c r="AM562" s="320">
        <v>21.03</v>
      </c>
      <c r="AN562" s="320">
        <v>57.03</v>
      </c>
      <c r="AO562" s="320">
        <v>74.88</v>
      </c>
      <c r="AP562" s="320">
        <v>15.75</v>
      </c>
    </row>
    <row r="563">
      <c r="A563" s="319" t="s">
        <v>256</v>
      </c>
      <c r="B563" s="328">
        <v>46143.0</v>
      </c>
      <c r="C563" s="319" t="s">
        <v>216</v>
      </c>
      <c r="D563" s="320">
        <v>14468.0</v>
      </c>
      <c r="E563" s="320">
        <v>14.87</v>
      </c>
      <c r="F563" s="320">
        <v>0.0</v>
      </c>
      <c r="G563" s="320">
        <v>0.0</v>
      </c>
      <c r="H563" s="320">
        <v>0.0</v>
      </c>
      <c r="I563" s="329"/>
      <c r="J563" s="320">
        <v>83.8</v>
      </c>
      <c r="K563" s="320">
        <v>42.45</v>
      </c>
      <c r="L563" s="320">
        <v>27.49</v>
      </c>
      <c r="M563" s="320">
        <v>0.6476</v>
      </c>
      <c r="N563" s="320">
        <v>0.5376</v>
      </c>
      <c r="O563" s="320">
        <v>0.3677</v>
      </c>
      <c r="P563" s="320">
        <v>1.5441</v>
      </c>
      <c r="Q563" s="320">
        <v>164.04</v>
      </c>
      <c r="R563" s="320">
        <v>115.41</v>
      </c>
      <c r="S563" s="320">
        <v>48.63</v>
      </c>
      <c r="T563" s="320">
        <v>0.02</v>
      </c>
      <c r="U563" s="320">
        <v>164.02</v>
      </c>
      <c r="V563" s="320">
        <v>172.4</v>
      </c>
      <c r="W563" s="320">
        <v>4.0615</v>
      </c>
      <c r="X563" s="320">
        <v>0.01</v>
      </c>
      <c r="Y563" s="320">
        <v>152.0</v>
      </c>
      <c r="Z563" s="320">
        <v>989.0</v>
      </c>
      <c r="AA563" s="320">
        <v>6137.0</v>
      </c>
      <c r="AB563" s="320">
        <v>55.5745</v>
      </c>
      <c r="AC563" s="320">
        <v>0.7412</v>
      </c>
      <c r="AD563" s="320">
        <v>18.19</v>
      </c>
      <c r="AE563" s="320">
        <v>8.0</v>
      </c>
      <c r="AF563" s="320">
        <v>14.0</v>
      </c>
      <c r="AG563" s="320">
        <v>24.0</v>
      </c>
      <c r="AH563" s="320">
        <v>37.0</v>
      </c>
      <c r="AI563" s="320">
        <v>62.28</v>
      </c>
      <c r="AJ563" s="320">
        <v>23.77</v>
      </c>
      <c r="AK563" s="320">
        <v>6.9</v>
      </c>
      <c r="AL563" s="320">
        <v>0.1984</v>
      </c>
      <c r="AM563" s="320">
        <v>21.18</v>
      </c>
      <c r="AN563" s="320">
        <v>94.23</v>
      </c>
      <c r="AO563" s="320">
        <v>78.01</v>
      </c>
      <c r="AP563" s="320">
        <v>16.52</v>
      </c>
    </row>
    <row r="564">
      <c r="A564" s="319" t="s">
        <v>256</v>
      </c>
      <c r="B564" s="328">
        <v>46143.0</v>
      </c>
      <c r="C564" s="319" t="s">
        <v>217</v>
      </c>
      <c r="D564" s="320">
        <v>5879.0</v>
      </c>
      <c r="E564" s="320">
        <v>6.04</v>
      </c>
      <c r="F564" s="320">
        <v>0.0</v>
      </c>
      <c r="G564" s="320">
        <v>0.0</v>
      </c>
      <c r="H564" s="320">
        <v>0.0</v>
      </c>
      <c r="I564" s="329"/>
      <c r="J564" s="320">
        <v>133.74</v>
      </c>
      <c r="K564" s="320">
        <v>71.59</v>
      </c>
      <c r="L564" s="320">
        <v>55.18</v>
      </c>
      <c r="M564" s="320">
        <v>0.7707</v>
      </c>
      <c r="N564" s="320">
        <v>0.407</v>
      </c>
      <c r="O564" s="320">
        <v>0.2878</v>
      </c>
      <c r="P564" s="320">
        <v>1.2975</v>
      </c>
      <c r="Q564" s="320">
        <v>275.5</v>
      </c>
      <c r="R564" s="320">
        <v>177.84</v>
      </c>
      <c r="S564" s="320">
        <v>97.66</v>
      </c>
      <c r="T564" s="320">
        <v>0.0</v>
      </c>
      <c r="U564" s="320">
        <v>275.5</v>
      </c>
      <c r="V564" s="320">
        <v>322.71</v>
      </c>
      <c r="W564" s="320">
        <v>4.5078</v>
      </c>
      <c r="X564" s="320">
        <v>0.0</v>
      </c>
      <c r="Y564" s="320">
        <v>272.0</v>
      </c>
      <c r="Z564" s="320">
        <v>2084.0</v>
      </c>
      <c r="AA564" s="320">
        <v>9281.0</v>
      </c>
      <c r="AB564" s="320">
        <v>59.7144</v>
      </c>
      <c r="AC564" s="320">
        <v>0.8374</v>
      </c>
      <c r="AD564" s="320">
        <v>37.02</v>
      </c>
      <c r="AE564" s="320">
        <v>15.0</v>
      </c>
      <c r="AF564" s="320">
        <v>29.0</v>
      </c>
      <c r="AG564" s="320">
        <v>50.0</v>
      </c>
      <c r="AH564" s="320">
        <v>77.0</v>
      </c>
      <c r="AI564" s="320">
        <v>51.74</v>
      </c>
      <c r="AJ564" s="320">
        <v>18.15</v>
      </c>
      <c r="AK564" s="320">
        <v>4.81</v>
      </c>
      <c r="AL564" s="320">
        <v>0.1466</v>
      </c>
      <c r="AM564" s="320">
        <v>22.65</v>
      </c>
      <c r="AN564" s="320">
        <v>155.19</v>
      </c>
      <c r="AO564" s="320">
        <v>82.78</v>
      </c>
      <c r="AP564" s="320">
        <v>18.75</v>
      </c>
    </row>
    <row r="565">
      <c r="A565" s="319" t="s">
        <v>256</v>
      </c>
      <c r="B565" s="328">
        <v>46143.0</v>
      </c>
      <c r="C565" s="319" t="s">
        <v>218</v>
      </c>
      <c r="D565" s="320">
        <v>641.0</v>
      </c>
      <c r="E565" s="320">
        <v>0.66</v>
      </c>
      <c r="F565" s="320">
        <v>0.0</v>
      </c>
      <c r="G565" s="320">
        <v>0.0</v>
      </c>
      <c r="H565" s="320">
        <v>0.0</v>
      </c>
      <c r="I565" s="329"/>
      <c r="J565" s="320">
        <v>252.75</v>
      </c>
      <c r="K565" s="320">
        <v>143.92</v>
      </c>
      <c r="L565" s="320">
        <v>127.55</v>
      </c>
      <c r="M565" s="320">
        <v>0.8863</v>
      </c>
      <c r="N565" s="320">
        <v>0.2736</v>
      </c>
      <c r="O565" s="320">
        <v>0.2138</v>
      </c>
      <c r="P565" s="320">
        <v>1.1283</v>
      </c>
      <c r="Q565" s="320">
        <v>509.94</v>
      </c>
      <c r="R565" s="320">
        <v>286.98</v>
      </c>
      <c r="S565" s="320">
        <v>222.96</v>
      </c>
      <c r="T565" s="320">
        <v>0.0</v>
      </c>
      <c r="U565" s="320">
        <v>509.94</v>
      </c>
      <c r="V565" s="320">
        <v>673.95</v>
      </c>
      <c r="W565" s="320">
        <v>4.6828</v>
      </c>
      <c r="X565" s="320">
        <v>0.0</v>
      </c>
      <c r="Y565" s="320">
        <v>687.0</v>
      </c>
      <c r="Z565" s="320">
        <v>3802.0</v>
      </c>
      <c r="AA565" s="320">
        <v>11805.0</v>
      </c>
      <c r="AB565" s="320">
        <v>63.1277</v>
      </c>
      <c r="AC565" s="320">
        <v>0.8987</v>
      </c>
      <c r="AD565" s="320">
        <v>89.07</v>
      </c>
      <c r="AE565" s="320">
        <v>36.0</v>
      </c>
      <c r="AF565" s="320">
        <v>75.0</v>
      </c>
      <c r="AG565" s="320">
        <v>123.0</v>
      </c>
      <c r="AH565" s="320">
        <v>179.0</v>
      </c>
      <c r="AI565" s="320">
        <v>47.74</v>
      </c>
      <c r="AJ565" s="320">
        <v>11.7</v>
      </c>
      <c r="AK565" s="320">
        <v>1.72</v>
      </c>
      <c r="AL565" s="320">
        <v>0.1123</v>
      </c>
      <c r="AM565" s="320">
        <v>24.08</v>
      </c>
      <c r="AN565" s="320">
        <v>262.9</v>
      </c>
      <c r="AO565" s="320">
        <v>83.53</v>
      </c>
      <c r="AP565" s="320">
        <v>20.11</v>
      </c>
    </row>
    <row r="566">
      <c r="A566" s="319" t="s">
        <v>256</v>
      </c>
      <c r="B566" s="328">
        <v>46144.0</v>
      </c>
      <c r="C566" s="319" t="s">
        <v>257</v>
      </c>
      <c r="D566" s="320">
        <v>18347.0</v>
      </c>
      <c r="E566" s="320">
        <v>19.02</v>
      </c>
      <c r="F566" s="320">
        <v>0.0</v>
      </c>
      <c r="G566" s="320">
        <v>0.0</v>
      </c>
      <c r="H566" s="320">
        <v>0.0</v>
      </c>
      <c r="I566" s="329"/>
      <c r="J566" s="320">
        <v>5.8</v>
      </c>
      <c r="K566" s="320">
        <v>2.37</v>
      </c>
      <c r="L566" s="320">
        <v>0.04</v>
      </c>
      <c r="M566" s="320">
        <v>0.0148</v>
      </c>
      <c r="N566" s="320">
        <v>0.9893</v>
      </c>
      <c r="O566" s="320">
        <v>0.871</v>
      </c>
      <c r="P566" s="320">
        <v>67.5333</v>
      </c>
      <c r="Q566" s="320">
        <v>25.66</v>
      </c>
      <c r="R566" s="320">
        <v>25.55</v>
      </c>
      <c r="S566" s="320">
        <v>0.12</v>
      </c>
      <c r="T566" s="320">
        <v>0.0</v>
      </c>
      <c r="U566" s="320">
        <v>25.66</v>
      </c>
      <c r="V566" s="320">
        <v>2.07</v>
      </c>
      <c r="W566" s="320">
        <v>0.8701</v>
      </c>
      <c r="X566" s="320">
        <v>0.0</v>
      </c>
      <c r="Y566" s="320">
        <v>323.0</v>
      </c>
      <c r="Z566" s="320">
        <v>3969.0</v>
      </c>
      <c r="AA566" s="320">
        <v>15264.0</v>
      </c>
      <c r="AB566" s="320">
        <v>48.9649</v>
      </c>
      <c r="AC566" s="320">
        <v>0.5413</v>
      </c>
      <c r="AD566" s="329"/>
      <c r="AE566" s="329"/>
      <c r="AF566" s="329"/>
      <c r="AG566" s="329"/>
      <c r="AH566" s="329"/>
      <c r="AI566" s="320">
        <v>0.0</v>
      </c>
      <c r="AJ566" s="320">
        <v>0.0</v>
      </c>
      <c r="AK566" s="320">
        <v>0.0</v>
      </c>
      <c r="AL566" s="320">
        <v>0.2786</v>
      </c>
      <c r="AM566" s="320">
        <v>18.17</v>
      </c>
      <c r="AN566" s="320">
        <v>7.37</v>
      </c>
      <c r="AO566" s="329"/>
      <c r="AP566" s="329"/>
    </row>
    <row r="567">
      <c r="A567" s="319" t="s">
        <v>256</v>
      </c>
      <c r="B567" s="328">
        <v>46144.0</v>
      </c>
      <c r="C567" s="319" t="s">
        <v>214</v>
      </c>
      <c r="D567" s="320">
        <v>32844.0</v>
      </c>
      <c r="E567" s="320">
        <v>34.04</v>
      </c>
      <c r="F567" s="320">
        <v>0.0</v>
      </c>
      <c r="G567" s="320">
        <v>0.0</v>
      </c>
      <c r="H567" s="320">
        <v>0.0</v>
      </c>
      <c r="I567" s="329"/>
      <c r="J567" s="320">
        <v>29.19</v>
      </c>
      <c r="K567" s="320">
        <v>13.23</v>
      </c>
      <c r="L567" s="320">
        <v>5.68</v>
      </c>
      <c r="M567" s="320">
        <v>0.4295</v>
      </c>
      <c r="N567" s="320">
        <v>0.7431</v>
      </c>
      <c r="O567" s="320">
        <v>0.545</v>
      </c>
      <c r="P567" s="320">
        <v>2.3285</v>
      </c>
      <c r="Q567" s="320">
        <v>53.17</v>
      </c>
      <c r="R567" s="320">
        <v>43.24</v>
      </c>
      <c r="S567" s="320">
        <v>9.93</v>
      </c>
      <c r="T567" s="320">
        <v>0.0</v>
      </c>
      <c r="U567" s="320">
        <v>53.16</v>
      </c>
      <c r="V567" s="320">
        <v>53.87</v>
      </c>
      <c r="W567" s="320">
        <v>4.0725</v>
      </c>
      <c r="X567" s="320">
        <v>0.0</v>
      </c>
      <c r="Y567" s="320">
        <v>154.0</v>
      </c>
      <c r="Z567" s="320">
        <v>953.0</v>
      </c>
      <c r="AA567" s="320">
        <v>6233.0</v>
      </c>
      <c r="AB567" s="320">
        <v>48.747</v>
      </c>
      <c r="AC567" s="320">
        <v>0.5401</v>
      </c>
      <c r="AD567" s="320">
        <v>4.1</v>
      </c>
      <c r="AE567" s="320">
        <v>1.0</v>
      </c>
      <c r="AF567" s="320">
        <v>3.0</v>
      </c>
      <c r="AG567" s="320">
        <v>5.0</v>
      </c>
      <c r="AH567" s="320">
        <v>9.0</v>
      </c>
      <c r="AI567" s="320">
        <v>73.33</v>
      </c>
      <c r="AJ567" s="320">
        <v>31.93</v>
      </c>
      <c r="AK567" s="320">
        <v>9.3</v>
      </c>
      <c r="AL567" s="320">
        <v>0.2541</v>
      </c>
      <c r="AM567" s="320">
        <v>22.02</v>
      </c>
      <c r="AN567" s="320">
        <v>21.22</v>
      </c>
      <c r="AO567" s="320">
        <v>65.49</v>
      </c>
      <c r="AP567" s="320">
        <v>14.42</v>
      </c>
    </row>
    <row r="568">
      <c r="A568" s="319" t="s">
        <v>256</v>
      </c>
      <c r="B568" s="328">
        <v>46144.0</v>
      </c>
      <c r="C568" s="319" t="s">
        <v>215</v>
      </c>
      <c r="D568" s="320">
        <v>24492.0</v>
      </c>
      <c r="E568" s="320">
        <v>25.39</v>
      </c>
      <c r="F568" s="320">
        <v>0.0</v>
      </c>
      <c r="G568" s="320">
        <v>0.0</v>
      </c>
      <c r="H568" s="320">
        <v>0.0</v>
      </c>
      <c r="I568" s="329"/>
      <c r="J568" s="320">
        <v>53.26</v>
      </c>
      <c r="K568" s="320">
        <v>25.2</v>
      </c>
      <c r="L568" s="320">
        <v>13.52</v>
      </c>
      <c r="M568" s="320">
        <v>0.5364</v>
      </c>
      <c r="N568" s="320">
        <v>0.6547</v>
      </c>
      <c r="O568" s="320">
        <v>0.4572</v>
      </c>
      <c r="P568" s="320">
        <v>1.8642</v>
      </c>
      <c r="Q568" s="320">
        <v>95.14</v>
      </c>
      <c r="R568" s="320">
        <v>71.27</v>
      </c>
      <c r="S568" s="320">
        <v>23.87</v>
      </c>
      <c r="T568" s="320">
        <v>0.0</v>
      </c>
      <c r="U568" s="320">
        <v>95.14</v>
      </c>
      <c r="V568" s="320">
        <v>97.06</v>
      </c>
      <c r="W568" s="320">
        <v>3.8523</v>
      </c>
      <c r="X568" s="320">
        <v>0.0</v>
      </c>
      <c r="Y568" s="320">
        <v>132.0</v>
      </c>
      <c r="Z568" s="320">
        <v>755.0</v>
      </c>
      <c r="AA568" s="320">
        <v>5151.0</v>
      </c>
      <c r="AB568" s="320">
        <v>52.2923</v>
      </c>
      <c r="AC568" s="320">
        <v>0.6427</v>
      </c>
      <c r="AD568" s="320">
        <v>9.29</v>
      </c>
      <c r="AE568" s="320">
        <v>3.0</v>
      </c>
      <c r="AF568" s="320">
        <v>7.0</v>
      </c>
      <c r="AG568" s="320">
        <v>13.0</v>
      </c>
      <c r="AH568" s="320">
        <v>19.0</v>
      </c>
      <c r="AI568" s="320">
        <v>60.14</v>
      </c>
      <c r="AJ568" s="320">
        <v>25.86</v>
      </c>
      <c r="AK568" s="320">
        <v>4.43</v>
      </c>
      <c r="AL568" s="320">
        <v>0.205</v>
      </c>
      <c r="AM568" s="320">
        <v>23.19</v>
      </c>
      <c r="AN568" s="320">
        <v>48.08</v>
      </c>
      <c r="AO568" s="320">
        <v>74.83</v>
      </c>
      <c r="AP568" s="320">
        <v>17.35</v>
      </c>
    </row>
    <row r="569">
      <c r="A569" s="319" t="s">
        <v>256</v>
      </c>
      <c r="B569" s="328">
        <v>46144.0</v>
      </c>
      <c r="C569" s="319" t="s">
        <v>216</v>
      </c>
      <c r="D569" s="320">
        <v>14232.0</v>
      </c>
      <c r="E569" s="320">
        <v>14.75</v>
      </c>
      <c r="F569" s="320">
        <v>0.0</v>
      </c>
      <c r="G569" s="320">
        <v>0.0</v>
      </c>
      <c r="H569" s="320">
        <v>0.0</v>
      </c>
      <c r="I569" s="329"/>
      <c r="J569" s="320">
        <v>78.47</v>
      </c>
      <c r="K569" s="320">
        <v>39.48</v>
      </c>
      <c r="L569" s="320">
        <v>26.04</v>
      </c>
      <c r="M569" s="320">
        <v>0.6596</v>
      </c>
      <c r="N569" s="320">
        <v>0.5318</v>
      </c>
      <c r="O569" s="320">
        <v>0.3698</v>
      </c>
      <c r="P569" s="320">
        <v>1.5161</v>
      </c>
      <c r="Q569" s="320">
        <v>161.86</v>
      </c>
      <c r="R569" s="320">
        <v>115.95</v>
      </c>
      <c r="S569" s="320">
        <v>45.91</v>
      </c>
      <c r="T569" s="320">
        <v>0.0</v>
      </c>
      <c r="U569" s="320">
        <v>161.86</v>
      </c>
      <c r="V569" s="320">
        <v>167.53</v>
      </c>
      <c r="W569" s="320">
        <v>4.2436</v>
      </c>
      <c r="X569" s="320">
        <v>0.0</v>
      </c>
      <c r="Y569" s="320">
        <v>156.0</v>
      </c>
      <c r="Z569" s="320">
        <v>1002.0</v>
      </c>
      <c r="AA569" s="320">
        <v>6193.0</v>
      </c>
      <c r="AB569" s="320">
        <v>55.7024</v>
      </c>
      <c r="AC569" s="320">
        <v>0.7405</v>
      </c>
      <c r="AD569" s="320">
        <v>17.51</v>
      </c>
      <c r="AE569" s="320">
        <v>7.0</v>
      </c>
      <c r="AF569" s="320">
        <v>14.0</v>
      </c>
      <c r="AG569" s="320">
        <v>24.0</v>
      </c>
      <c r="AH569" s="320">
        <v>36.0</v>
      </c>
      <c r="AI569" s="320">
        <v>59.08</v>
      </c>
      <c r="AJ569" s="320">
        <v>22.54</v>
      </c>
      <c r="AK569" s="320">
        <v>6.89</v>
      </c>
      <c r="AL569" s="320">
        <v>0.1859</v>
      </c>
      <c r="AM569" s="320">
        <v>22.83</v>
      </c>
      <c r="AN569" s="320">
        <v>93.12</v>
      </c>
      <c r="AO569" s="320">
        <v>77.5</v>
      </c>
      <c r="AP569" s="320">
        <v>17.69</v>
      </c>
    </row>
    <row r="570">
      <c r="A570" s="319" t="s">
        <v>256</v>
      </c>
      <c r="B570" s="328">
        <v>46144.0</v>
      </c>
      <c r="C570" s="319" t="s">
        <v>217</v>
      </c>
      <c r="D570" s="320">
        <v>5948.0</v>
      </c>
      <c r="E570" s="320">
        <v>6.16</v>
      </c>
      <c r="F570" s="320">
        <v>0.0</v>
      </c>
      <c r="G570" s="320">
        <v>0.0</v>
      </c>
      <c r="H570" s="320">
        <v>0.0</v>
      </c>
      <c r="I570" s="329"/>
      <c r="J570" s="320">
        <v>128.56</v>
      </c>
      <c r="K570" s="320">
        <v>69.3</v>
      </c>
      <c r="L570" s="320">
        <v>54.5</v>
      </c>
      <c r="M570" s="320">
        <v>0.7864</v>
      </c>
      <c r="N570" s="320">
        <v>0.3964</v>
      </c>
      <c r="O570" s="320">
        <v>0.2855</v>
      </c>
      <c r="P570" s="320">
        <v>1.2716</v>
      </c>
      <c r="Q570" s="320">
        <v>309.74</v>
      </c>
      <c r="R570" s="320">
        <v>213.41</v>
      </c>
      <c r="S570" s="320">
        <v>96.33</v>
      </c>
      <c r="T570" s="320">
        <v>0.0</v>
      </c>
      <c r="U570" s="320">
        <v>309.74</v>
      </c>
      <c r="V570" s="320">
        <v>319.54</v>
      </c>
      <c r="W570" s="320">
        <v>4.6108</v>
      </c>
      <c r="X570" s="320">
        <v>0.0</v>
      </c>
      <c r="Y570" s="320">
        <v>306.0</v>
      </c>
      <c r="Z570" s="320">
        <v>2196.0</v>
      </c>
      <c r="AA570" s="320">
        <v>9301.0</v>
      </c>
      <c r="AB570" s="320">
        <v>59.5748</v>
      </c>
      <c r="AC570" s="320">
        <v>0.8347</v>
      </c>
      <c r="AD570" s="320">
        <v>37.6</v>
      </c>
      <c r="AE570" s="320">
        <v>14.0</v>
      </c>
      <c r="AF570" s="320">
        <v>29.0</v>
      </c>
      <c r="AG570" s="320">
        <v>52.0</v>
      </c>
      <c r="AH570" s="320">
        <v>80.0</v>
      </c>
      <c r="AI570" s="320">
        <v>51.68</v>
      </c>
      <c r="AJ570" s="320">
        <v>20.19</v>
      </c>
      <c r="AK570" s="320">
        <v>5.35</v>
      </c>
      <c r="AL570" s="320">
        <v>0.1399</v>
      </c>
      <c r="AM570" s="320">
        <v>23.03</v>
      </c>
      <c r="AN570" s="320">
        <v>190.38</v>
      </c>
      <c r="AO570" s="320">
        <v>82.1</v>
      </c>
      <c r="AP570" s="320">
        <v>18.91</v>
      </c>
    </row>
    <row r="571">
      <c r="A571" s="319" t="s">
        <v>256</v>
      </c>
      <c r="B571" s="328">
        <v>46144.0</v>
      </c>
      <c r="C571" s="319" t="s">
        <v>218</v>
      </c>
      <c r="D571" s="320">
        <v>618.0</v>
      </c>
      <c r="E571" s="320">
        <v>0.64</v>
      </c>
      <c r="F571" s="320">
        <v>0.0</v>
      </c>
      <c r="G571" s="320">
        <v>0.0</v>
      </c>
      <c r="H571" s="320">
        <v>0.0</v>
      </c>
      <c r="I571" s="329"/>
      <c r="J571" s="320">
        <v>237.37</v>
      </c>
      <c r="K571" s="320">
        <v>138.81</v>
      </c>
      <c r="L571" s="320">
        <v>121.49</v>
      </c>
      <c r="M571" s="320">
        <v>0.8752</v>
      </c>
      <c r="N571" s="320">
        <v>0.2825</v>
      </c>
      <c r="O571" s="320">
        <v>0.2162</v>
      </c>
      <c r="P571" s="320">
        <v>1.1425</v>
      </c>
      <c r="Q571" s="320">
        <v>568.17</v>
      </c>
      <c r="R571" s="320">
        <v>353.17</v>
      </c>
      <c r="S571" s="320">
        <v>215.0</v>
      </c>
      <c r="T571" s="320">
        <v>0.0</v>
      </c>
      <c r="U571" s="320">
        <v>568.17</v>
      </c>
      <c r="V571" s="320">
        <v>616.02</v>
      </c>
      <c r="W571" s="320">
        <v>4.4378</v>
      </c>
      <c r="X571" s="320">
        <v>0.0</v>
      </c>
      <c r="Y571" s="320">
        <v>560.0</v>
      </c>
      <c r="Z571" s="320">
        <v>3941.0</v>
      </c>
      <c r="AA571" s="320">
        <v>12917.0</v>
      </c>
      <c r="AB571" s="320">
        <v>63.0285</v>
      </c>
      <c r="AC571" s="320">
        <v>0.8975</v>
      </c>
      <c r="AD571" s="320">
        <v>83.5</v>
      </c>
      <c r="AE571" s="320">
        <v>34.0</v>
      </c>
      <c r="AF571" s="320">
        <v>69.0</v>
      </c>
      <c r="AG571" s="320">
        <v>119.0</v>
      </c>
      <c r="AH571" s="320">
        <v>167.0</v>
      </c>
      <c r="AI571" s="320">
        <v>44.01</v>
      </c>
      <c r="AJ571" s="320">
        <v>8.25</v>
      </c>
      <c r="AK571" s="320">
        <v>1.29</v>
      </c>
      <c r="AL571" s="320">
        <v>0.0939</v>
      </c>
      <c r="AM571" s="320">
        <v>24.94</v>
      </c>
      <c r="AN571" s="320">
        <v>328.24</v>
      </c>
      <c r="AO571" s="320">
        <v>82.94</v>
      </c>
      <c r="AP571" s="320">
        <v>20.69</v>
      </c>
    </row>
    <row r="572">
      <c r="A572" s="319" t="s">
        <v>256</v>
      </c>
      <c r="B572" s="328">
        <v>46145.0</v>
      </c>
      <c r="C572" s="319" t="s">
        <v>257</v>
      </c>
      <c r="D572" s="320">
        <v>18457.0</v>
      </c>
      <c r="E572" s="320">
        <v>18.68</v>
      </c>
      <c r="F572" s="320">
        <v>0.0</v>
      </c>
      <c r="G572" s="320">
        <v>0.0</v>
      </c>
      <c r="H572" s="320">
        <v>0.0</v>
      </c>
      <c r="I572" s="329"/>
      <c r="J572" s="320">
        <v>5.97</v>
      </c>
      <c r="K572" s="320">
        <v>2.49</v>
      </c>
      <c r="L572" s="320">
        <v>0.04</v>
      </c>
      <c r="M572" s="320">
        <v>0.0154</v>
      </c>
      <c r="N572" s="320">
        <v>0.9892</v>
      </c>
      <c r="O572" s="320">
        <v>0.8635</v>
      </c>
      <c r="P572" s="320">
        <v>65.0807</v>
      </c>
      <c r="Q572" s="320">
        <v>23.52</v>
      </c>
      <c r="R572" s="320">
        <v>23.28</v>
      </c>
      <c r="S572" s="320">
        <v>0.24</v>
      </c>
      <c r="T572" s="320">
        <v>0.0</v>
      </c>
      <c r="U572" s="320">
        <v>23.52</v>
      </c>
      <c r="V572" s="320">
        <v>1.7</v>
      </c>
      <c r="W572" s="320">
        <v>0.6845</v>
      </c>
      <c r="X572" s="320">
        <v>0.0</v>
      </c>
      <c r="Y572" s="320">
        <v>344.0</v>
      </c>
      <c r="Z572" s="320">
        <v>4153.0</v>
      </c>
      <c r="AA572" s="320">
        <v>15611.0</v>
      </c>
      <c r="AB572" s="320">
        <v>49.2171</v>
      </c>
      <c r="AC572" s="320">
        <v>0.5502</v>
      </c>
      <c r="AD572" s="329"/>
      <c r="AE572" s="329"/>
      <c r="AF572" s="329"/>
      <c r="AG572" s="329"/>
      <c r="AH572" s="329"/>
      <c r="AI572" s="320">
        <v>0.0</v>
      </c>
      <c r="AJ572" s="320">
        <v>0.0</v>
      </c>
      <c r="AK572" s="320">
        <v>0.0</v>
      </c>
      <c r="AL572" s="320">
        <v>0.2915</v>
      </c>
      <c r="AM572" s="320">
        <v>18.58</v>
      </c>
      <c r="AN572" s="320">
        <v>4.7</v>
      </c>
      <c r="AO572" s="329"/>
      <c r="AP572" s="329"/>
    </row>
    <row r="573">
      <c r="A573" s="319" t="s">
        <v>256</v>
      </c>
      <c r="B573" s="328">
        <v>46145.0</v>
      </c>
      <c r="C573" s="319" t="s">
        <v>214</v>
      </c>
      <c r="D573" s="320">
        <v>33541.0</v>
      </c>
      <c r="E573" s="320">
        <v>33.95</v>
      </c>
      <c r="F573" s="320">
        <v>0.0</v>
      </c>
      <c r="G573" s="320">
        <v>0.0</v>
      </c>
      <c r="H573" s="320">
        <v>0.0</v>
      </c>
      <c r="I573" s="329"/>
      <c r="J573" s="320">
        <v>31.34</v>
      </c>
      <c r="K573" s="320">
        <v>14.4</v>
      </c>
      <c r="L573" s="320">
        <v>5.73</v>
      </c>
      <c r="M573" s="320">
        <v>0.398</v>
      </c>
      <c r="N573" s="320">
        <v>0.7643</v>
      </c>
      <c r="O573" s="320">
        <v>0.5576</v>
      </c>
      <c r="P573" s="320">
        <v>2.5125</v>
      </c>
      <c r="Q573" s="320">
        <v>47.33</v>
      </c>
      <c r="R573" s="320">
        <v>37.36</v>
      </c>
      <c r="S573" s="320">
        <v>9.97</v>
      </c>
      <c r="T573" s="320">
        <v>0.02</v>
      </c>
      <c r="U573" s="320">
        <v>47.31</v>
      </c>
      <c r="V573" s="320">
        <v>51.67</v>
      </c>
      <c r="W573" s="320">
        <v>3.5887</v>
      </c>
      <c r="X573" s="320">
        <v>0.04</v>
      </c>
      <c r="Y573" s="320">
        <v>145.0</v>
      </c>
      <c r="Z573" s="320">
        <v>932.0</v>
      </c>
      <c r="AA573" s="320">
        <v>6197.0</v>
      </c>
      <c r="AB573" s="320">
        <v>48.681</v>
      </c>
      <c r="AC573" s="320">
        <v>0.5427</v>
      </c>
      <c r="AD573" s="320">
        <v>4.05</v>
      </c>
      <c r="AE573" s="320">
        <v>1.0</v>
      </c>
      <c r="AF573" s="320">
        <v>3.0</v>
      </c>
      <c r="AG573" s="320">
        <v>5.0</v>
      </c>
      <c r="AH573" s="320">
        <v>9.0</v>
      </c>
      <c r="AI573" s="320">
        <v>74.03</v>
      </c>
      <c r="AJ573" s="320">
        <v>31.81</v>
      </c>
      <c r="AK573" s="320">
        <v>8.44</v>
      </c>
      <c r="AL573" s="320">
        <v>0.2676</v>
      </c>
      <c r="AM573" s="320">
        <v>20.71</v>
      </c>
      <c r="AN573" s="320">
        <v>16.66</v>
      </c>
      <c r="AO573" s="320">
        <v>65.13</v>
      </c>
      <c r="AP573" s="320">
        <v>13.49</v>
      </c>
    </row>
    <row r="574">
      <c r="A574" s="319" t="s">
        <v>256</v>
      </c>
      <c r="B574" s="328">
        <v>46145.0</v>
      </c>
      <c r="C574" s="319" t="s">
        <v>215</v>
      </c>
      <c r="D574" s="320">
        <v>25333.0</v>
      </c>
      <c r="E574" s="320">
        <v>25.64</v>
      </c>
      <c r="F574" s="320">
        <v>0.0</v>
      </c>
      <c r="G574" s="320">
        <v>0.0</v>
      </c>
      <c r="H574" s="320">
        <v>0.0</v>
      </c>
      <c r="I574" s="329"/>
      <c r="J574" s="320">
        <v>58.3</v>
      </c>
      <c r="K574" s="320">
        <v>27.86</v>
      </c>
      <c r="L574" s="320">
        <v>14.0</v>
      </c>
      <c r="M574" s="320">
        <v>0.5025</v>
      </c>
      <c r="N574" s="320">
        <v>0.6809</v>
      </c>
      <c r="O574" s="320">
        <v>0.4734</v>
      </c>
      <c r="P574" s="320">
        <v>1.99</v>
      </c>
      <c r="Q574" s="320">
        <v>80.24</v>
      </c>
      <c r="R574" s="320">
        <v>55.72</v>
      </c>
      <c r="S574" s="320">
        <v>24.52</v>
      </c>
      <c r="T574" s="320">
        <v>0.0</v>
      </c>
      <c r="U574" s="320">
        <v>80.24</v>
      </c>
      <c r="V574" s="320">
        <v>94.48</v>
      </c>
      <c r="W574" s="320">
        <v>3.3911</v>
      </c>
      <c r="X574" s="320">
        <v>0.0</v>
      </c>
      <c r="Y574" s="320">
        <v>123.0</v>
      </c>
      <c r="Z574" s="320">
        <v>678.0</v>
      </c>
      <c r="AA574" s="320">
        <v>5041.0</v>
      </c>
      <c r="AB574" s="320">
        <v>52.1683</v>
      </c>
      <c r="AC574" s="320">
        <v>0.6371</v>
      </c>
      <c r="AD574" s="320">
        <v>9.27</v>
      </c>
      <c r="AE574" s="320">
        <v>4.0</v>
      </c>
      <c r="AF574" s="320">
        <v>7.0</v>
      </c>
      <c r="AG574" s="320">
        <v>13.0</v>
      </c>
      <c r="AH574" s="320">
        <v>19.0</v>
      </c>
      <c r="AI574" s="320">
        <v>59.98</v>
      </c>
      <c r="AJ574" s="320">
        <v>25.37</v>
      </c>
      <c r="AK574" s="320">
        <v>4.44</v>
      </c>
      <c r="AL574" s="320">
        <v>0.2225</v>
      </c>
      <c r="AM574" s="320">
        <v>21.62</v>
      </c>
      <c r="AN574" s="320">
        <v>34.11</v>
      </c>
      <c r="AO574" s="320">
        <v>73.85</v>
      </c>
      <c r="AP574" s="320">
        <v>15.97</v>
      </c>
    </row>
    <row r="575">
      <c r="A575" s="319" t="s">
        <v>256</v>
      </c>
      <c r="B575" s="328">
        <v>46145.0</v>
      </c>
      <c r="C575" s="319" t="s">
        <v>216</v>
      </c>
      <c r="D575" s="320">
        <v>14594.0</v>
      </c>
      <c r="E575" s="320">
        <v>14.77</v>
      </c>
      <c r="F575" s="320">
        <v>0.0</v>
      </c>
      <c r="G575" s="320">
        <v>0.0</v>
      </c>
      <c r="H575" s="320">
        <v>0.0</v>
      </c>
      <c r="I575" s="329"/>
      <c r="J575" s="320">
        <v>85.11</v>
      </c>
      <c r="K575" s="320">
        <v>42.91</v>
      </c>
      <c r="L575" s="320">
        <v>27.24</v>
      </c>
      <c r="M575" s="320">
        <v>0.6348</v>
      </c>
      <c r="N575" s="320">
        <v>0.5519</v>
      </c>
      <c r="O575" s="320">
        <v>0.3782</v>
      </c>
      <c r="P575" s="320">
        <v>1.5754</v>
      </c>
      <c r="Q575" s="320">
        <v>132.46</v>
      </c>
      <c r="R575" s="320">
        <v>84.69</v>
      </c>
      <c r="S575" s="320">
        <v>47.78</v>
      </c>
      <c r="T575" s="320">
        <v>0.0</v>
      </c>
      <c r="U575" s="320">
        <v>132.46</v>
      </c>
      <c r="V575" s="320">
        <v>166.26</v>
      </c>
      <c r="W575" s="320">
        <v>3.8748</v>
      </c>
      <c r="X575" s="320">
        <v>0.0</v>
      </c>
      <c r="Y575" s="320">
        <v>136.0</v>
      </c>
      <c r="Z575" s="320">
        <v>922.0</v>
      </c>
      <c r="AA575" s="320">
        <v>6122.0</v>
      </c>
      <c r="AB575" s="320">
        <v>55.6457</v>
      </c>
      <c r="AC575" s="320">
        <v>0.7372</v>
      </c>
      <c r="AD575" s="320">
        <v>17.7</v>
      </c>
      <c r="AE575" s="320">
        <v>7.0</v>
      </c>
      <c r="AF575" s="320">
        <v>14.0</v>
      </c>
      <c r="AG575" s="320">
        <v>24.0</v>
      </c>
      <c r="AH575" s="320">
        <v>37.0</v>
      </c>
      <c r="AI575" s="320">
        <v>59.34</v>
      </c>
      <c r="AJ575" s="320">
        <v>22.56</v>
      </c>
      <c r="AK575" s="320">
        <v>7.19</v>
      </c>
      <c r="AL575" s="320">
        <v>0.2049</v>
      </c>
      <c r="AM575" s="320">
        <v>21.25</v>
      </c>
      <c r="AN575" s="320">
        <v>63.44</v>
      </c>
      <c r="AO575" s="320">
        <v>76.72</v>
      </c>
      <c r="AP575" s="320">
        <v>16.3</v>
      </c>
    </row>
    <row r="576">
      <c r="A576" s="319" t="s">
        <v>256</v>
      </c>
      <c r="B576" s="328">
        <v>46145.0</v>
      </c>
      <c r="C576" s="319" t="s">
        <v>217</v>
      </c>
      <c r="D576" s="320">
        <v>6235.0</v>
      </c>
      <c r="E576" s="320">
        <v>6.31</v>
      </c>
      <c r="F576" s="320">
        <v>0.0</v>
      </c>
      <c r="G576" s="320">
        <v>0.0</v>
      </c>
      <c r="H576" s="320">
        <v>0.0</v>
      </c>
      <c r="I576" s="329"/>
      <c r="J576" s="320">
        <v>135.09</v>
      </c>
      <c r="K576" s="320">
        <v>73.19</v>
      </c>
      <c r="L576" s="320">
        <v>56.11</v>
      </c>
      <c r="M576" s="320">
        <v>0.7667</v>
      </c>
      <c r="N576" s="320">
        <v>0.4076</v>
      </c>
      <c r="O576" s="320">
        <v>0.2849</v>
      </c>
      <c r="P576" s="320">
        <v>1.3043</v>
      </c>
      <c r="Q576" s="320">
        <v>230.79</v>
      </c>
      <c r="R576" s="320">
        <v>131.87</v>
      </c>
      <c r="S576" s="320">
        <v>98.92</v>
      </c>
      <c r="T576" s="320">
        <v>0.0</v>
      </c>
      <c r="U576" s="320">
        <v>230.79</v>
      </c>
      <c r="V576" s="320">
        <v>298.2</v>
      </c>
      <c r="W576" s="320">
        <v>4.0743</v>
      </c>
      <c r="X576" s="320">
        <v>0.0</v>
      </c>
      <c r="Y576" s="320">
        <v>226.0</v>
      </c>
      <c r="Z576" s="320">
        <v>2043.0</v>
      </c>
      <c r="AA576" s="320">
        <v>8791.0</v>
      </c>
      <c r="AB576" s="320">
        <v>59.5251</v>
      </c>
      <c r="AC576" s="320">
        <v>0.8323</v>
      </c>
      <c r="AD576" s="320">
        <v>37.66</v>
      </c>
      <c r="AE576" s="320">
        <v>14.0</v>
      </c>
      <c r="AF576" s="320">
        <v>28.0</v>
      </c>
      <c r="AG576" s="320">
        <v>52.0</v>
      </c>
      <c r="AH576" s="320">
        <v>79.0</v>
      </c>
      <c r="AI576" s="320">
        <v>51.76</v>
      </c>
      <c r="AJ576" s="320">
        <v>19.73</v>
      </c>
      <c r="AK576" s="320">
        <v>5.18</v>
      </c>
      <c r="AL576" s="320">
        <v>0.1573</v>
      </c>
      <c r="AM576" s="320">
        <v>21.57</v>
      </c>
      <c r="AN576" s="320">
        <v>110.3</v>
      </c>
      <c r="AO576" s="320">
        <v>80.52</v>
      </c>
      <c r="AP576" s="320">
        <v>17.37</v>
      </c>
    </row>
    <row r="577">
      <c r="A577" s="319" t="s">
        <v>256</v>
      </c>
      <c r="B577" s="328">
        <v>46145.0</v>
      </c>
      <c r="C577" s="319" t="s">
        <v>218</v>
      </c>
      <c r="D577" s="320">
        <v>642.0</v>
      </c>
      <c r="E577" s="320">
        <v>0.65</v>
      </c>
      <c r="F577" s="320">
        <v>0.0</v>
      </c>
      <c r="G577" s="320">
        <v>0.0</v>
      </c>
      <c r="H577" s="320">
        <v>0.0</v>
      </c>
      <c r="I577" s="329"/>
      <c r="J577" s="320">
        <v>246.3</v>
      </c>
      <c r="K577" s="320">
        <v>143.1</v>
      </c>
      <c r="L577" s="320">
        <v>123.35</v>
      </c>
      <c r="M577" s="320">
        <v>0.862</v>
      </c>
      <c r="N577" s="320">
        <v>0.2951</v>
      </c>
      <c r="O577" s="320">
        <v>0.2198</v>
      </c>
      <c r="P577" s="320">
        <v>1.1601</v>
      </c>
      <c r="Q577" s="320">
        <v>409.72</v>
      </c>
      <c r="R577" s="320">
        <v>191.37</v>
      </c>
      <c r="S577" s="320">
        <v>218.35</v>
      </c>
      <c r="T577" s="320">
        <v>1.78</v>
      </c>
      <c r="U577" s="320">
        <v>407.95</v>
      </c>
      <c r="V577" s="320">
        <v>615.03</v>
      </c>
      <c r="W577" s="320">
        <v>4.2978</v>
      </c>
      <c r="X577" s="320">
        <v>0.43</v>
      </c>
      <c r="Y577" s="320">
        <v>579.0</v>
      </c>
      <c r="Z577" s="320">
        <v>3927.0</v>
      </c>
      <c r="AA577" s="320">
        <v>12974.0</v>
      </c>
      <c r="AB577" s="320">
        <v>62.7297</v>
      </c>
      <c r="AC577" s="320">
        <v>0.9007</v>
      </c>
      <c r="AD577" s="320">
        <v>83.38</v>
      </c>
      <c r="AE577" s="320">
        <v>32.0</v>
      </c>
      <c r="AF577" s="320">
        <v>65.0</v>
      </c>
      <c r="AG577" s="320">
        <v>120.0</v>
      </c>
      <c r="AH577" s="320">
        <v>166.0</v>
      </c>
      <c r="AI577" s="320">
        <v>42.21</v>
      </c>
      <c r="AJ577" s="320">
        <v>8.26</v>
      </c>
      <c r="AK577" s="320">
        <v>0.93</v>
      </c>
      <c r="AL577" s="320">
        <v>0.1293</v>
      </c>
      <c r="AM577" s="320">
        <v>20.65</v>
      </c>
      <c r="AN577" s="320">
        <v>170.72</v>
      </c>
      <c r="AO577" s="320">
        <v>79.53</v>
      </c>
      <c r="AP577" s="320">
        <v>16.42</v>
      </c>
    </row>
    <row r="578">
      <c r="A578" s="319" t="s">
        <v>256</v>
      </c>
      <c r="B578" s="328">
        <v>46146.0</v>
      </c>
      <c r="C578" s="319" t="s">
        <v>257</v>
      </c>
      <c r="D578" s="320">
        <v>18211.0</v>
      </c>
      <c r="E578" s="320">
        <v>17.48</v>
      </c>
      <c r="F578" s="320">
        <v>0.0</v>
      </c>
      <c r="G578" s="320">
        <v>0.0</v>
      </c>
      <c r="H578" s="320">
        <v>0.0</v>
      </c>
      <c r="I578" s="329"/>
      <c r="J578" s="320">
        <v>5.65</v>
      </c>
      <c r="K578" s="320">
        <v>2.26</v>
      </c>
      <c r="L578" s="320">
        <v>0.11</v>
      </c>
      <c r="M578" s="320">
        <v>0.048</v>
      </c>
      <c r="N578" s="320">
        <v>0.9635</v>
      </c>
      <c r="O578" s="320">
        <v>0.6918</v>
      </c>
      <c r="P578" s="320">
        <v>20.8549</v>
      </c>
      <c r="Q578" s="320">
        <v>34.01</v>
      </c>
      <c r="R578" s="320">
        <v>33.89</v>
      </c>
      <c r="S578" s="320">
        <v>0.13</v>
      </c>
      <c r="T578" s="320">
        <v>0.0</v>
      </c>
      <c r="U578" s="320">
        <v>34.01</v>
      </c>
      <c r="V578" s="320">
        <v>2.26</v>
      </c>
      <c r="W578" s="320">
        <v>1.0023</v>
      </c>
      <c r="X578" s="320">
        <v>0.0</v>
      </c>
      <c r="Y578" s="320">
        <v>430.0</v>
      </c>
      <c r="Z578" s="320">
        <v>4718.0</v>
      </c>
      <c r="AA578" s="320">
        <v>16695.0</v>
      </c>
      <c r="AB578" s="320">
        <v>49.5497</v>
      </c>
      <c r="AC578" s="320">
        <v>0.5522</v>
      </c>
      <c r="AD578" s="329"/>
      <c r="AE578" s="329"/>
      <c r="AF578" s="329"/>
      <c r="AG578" s="329"/>
      <c r="AH578" s="329"/>
      <c r="AI578" s="320">
        <v>0.0</v>
      </c>
      <c r="AJ578" s="320">
        <v>0.0</v>
      </c>
      <c r="AK578" s="320">
        <v>0.0</v>
      </c>
      <c r="AL578" s="320">
        <v>0.2708</v>
      </c>
      <c r="AM578" s="320">
        <v>17.26</v>
      </c>
      <c r="AN578" s="320">
        <v>16.62</v>
      </c>
      <c r="AO578" s="329"/>
      <c r="AP578" s="329"/>
    </row>
    <row r="579">
      <c r="A579" s="319" t="s">
        <v>256</v>
      </c>
      <c r="B579" s="328">
        <v>46146.0</v>
      </c>
      <c r="C579" s="319" t="s">
        <v>214</v>
      </c>
      <c r="D579" s="320">
        <v>34244.0</v>
      </c>
      <c r="E579" s="320">
        <v>32.86</v>
      </c>
      <c r="F579" s="320">
        <v>0.0</v>
      </c>
      <c r="G579" s="320">
        <v>0.0</v>
      </c>
      <c r="H579" s="320">
        <v>0.0</v>
      </c>
      <c r="I579" s="329"/>
      <c r="J579" s="320">
        <v>31.94</v>
      </c>
      <c r="K579" s="320">
        <v>14.45</v>
      </c>
      <c r="L579" s="320">
        <v>5.78</v>
      </c>
      <c r="M579" s="320">
        <v>0.3997</v>
      </c>
      <c r="N579" s="320">
        <v>0.7681</v>
      </c>
      <c r="O579" s="320">
        <v>0.5684</v>
      </c>
      <c r="P579" s="320">
        <v>2.5021</v>
      </c>
      <c r="Q579" s="320">
        <v>69.93</v>
      </c>
      <c r="R579" s="320">
        <v>60.06</v>
      </c>
      <c r="S579" s="320">
        <v>9.86</v>
      </c>
      <c r="T579" s="320">
        <v>0.0</v>
      </c>
      <c r="U579" s="320">
        <v>69.93</v>
      </c>
      <c r="V579" s="320">
        <v>57.29</v>
      </c>
      <c r="W579" s="320">
        <v>3.9646</v>
      </c>
      <c r="X579" s="320">
        <v>0.0</v>
      </c>
      <c r="Y579" s="320">
        <v>160.0</v>
      </c>
      <c r="Z579" s="320">
        <v>967.0</v>
      </c>
      <c r="AA579" s="320">
        <v>6405.0</v>
      </c>
      <c r="AB579" s="320">
        <v>48.7436</v>
      </c>
      <c r="AC579" s="320">
        <v>0.5332</v>
      </c>
      <c r="AD579" s="320">
        <v>4.01</v>
      </c>
      <c r="AE579" s="320">
        <v>1.0</v>
      </c>
      <c r="AF579" s="320">
        <v>3.0</v>
      </c>
      <c r="AG579" s="320">
        <v>5.0</v>
      </c>
      <c r="AH579" s="320">
        <v>9.0</v>
      </c>
      <c r="AI579" s="320">
        <v>74.02</v>
      </c>
      <c r="AJ579" s="320">
        <v>31.28</v>
      </c>
      <c r="AK579" s="320">
        <v>8.08</v>
      </c>
      <c r="AL579" s="320">
        <v>0.2394</v>
      </c>
      <c r="AM579" s="320">
        <v>18.32</v>
      </c>
      <c r="AN579" s="320">
        <v>41.74</v>
      </c>
      <c r="AO579" s="320">
        <v>65.53</v>
      </c>
      <c r="AP579" s="320">
        <v>12.01</v>
      </c>
    </row>
    <row r="580">
      <c r="A580" s="319" t="s">
        <v>256</v>
      </c>
      <c r="B580" s="328">
        <v>46146.0</v>
      </c>
      <c r="C580" s="319" t="s">
        <v>215</v>
      </c>
      <c r="D580" s="320">
        <v>27585.0</v>
      </c>
      <c r="E580" s="320">
        <v>26.47</v>
      </c>
      <c r="F580" s="320">
        <v>0.0</v>
      </c>
      <c r="G580" s="320">
        <v>0.0</v>
      </c>
      <c r="H580" s="320">
        <v>0.0</v>
      </c>
      <c r="I580" s="329"/>
      <c r="J580" s="320">
        <v>61.07</v>
      </c>
      <c r="K580" s="320">
        <v>28.57</v>
      </c>
      <c r="L580" s="320">
        <v>14.6</v>
      </c>
      <c r="M580" s="320">
        <v>0.5109</v>
      </c>
      <c r="N580" s="320">
        <v>0.6825</v>
      </c>
      <c r="O580" s="320">
        <v>0.4846</v>
      </c>
      <c r="P580" s="320">
        <v>1.9573</v>
      </c>
      <c r="Q580" s="320">
        <v>123.02</v>
      </c>
      <c r="R580" s="320">
        <v>99.01</v>
      </c>
      <c r="S580" s="320">
        <v>24.01</v>
      </c>
      <c r="T580" s="320">
        <v>0.0</v>
      </c>
      <c r="U580" s="320">
        <v>123.02</v>
      </c>
      <c r="V580" s="320">
        <v>109.77</v>
      </c>
      <c r="W580" s="320">
        <v>3.8414</v>
      </c>
      <c r="X580" s="320">
        <v>0.0</v>
      </c>
      <c r="Y580" s="320">
        <v>137.0</v>
      </c>
      <c r="Z580" s="320">
        <v>739.0</v>
      </c>
      <c r="AA580" s="320">
        <v>5389.0</v>
      </c>
      <c r="AB580" s="320">
        <v>51.8657</v>
      </c>
      <c r="AC580" s="320">
        <v>0.5837</v>
      </c>
      <c r="AD580" s="320">
        <v>9.28</v>
      </c>
      <c r="AE580" s="320">
        <v>4.0</v>
      </c>
      <c r="AF580" s="320">
        <v>7.0</v>
      </c>
      <c r="AG580" s="320">
        <v>13.0</v>
      </c>
      <c r="AH580" s="320">
        <v>19.0</v>
      </c>
      <c r="AI580" s="320">
        <v>60.65</v>
      </c>
      <c r="AJ580" s="320">
        <v>25.82</v>
      </c>
      <c r="AK580" s="320">
        <v>4.05</v>
      </c>
      <c r="AL580" s="320">
        <v>0.1794</v>
      </c>
      <c r="AM580" s="320">
        <v>18.59</v>
      </c>
      <c r="AN580" s="320">
        <v>80.42</v>
      </c>
      <c r="AO580" s="320">
        <v>71.75</v>
      </c>
      <c r="AP580" s="320">
        <v>13.34</v>
      </c>
    </row>
    <row r="581">
      <c r="A581" s="319" t="s">
        <v>256</v>
      </c>
      <c r="B581" s="328">
        <v>46146.0</v>
      </c>
      <c r="C581" s="319" t="s">
        <v>216</v>
      </c>
      <c r="D581" s="320">
        <v>16595.0</v>
      </c>
      <c r="E581" s="320">
        <v>15.92</v>
      </c>
      <c r="F581" s="320">
        <v>0.0</v>
      </c>
      <c r="G581" s="320">
        <v>0.0</v>
      </c>
      <c r="H581" s="320">
        <v>0.0</v>
      </c>
      <c r="I581" s="329"/>
      <c r="J581" s="320">
        <v>91.32</v>
      </c>
      <c r="K581" s="320">
        <v>45.15</v>
      </c>
      <c r="L581" s="320">
        <v>29.32</v>
      </c>
      <c r="M581" s="320">
        <v>0.6493</v>
      </c>
      <c r="N581" s="320">
        <v>0.5512</v>
      </c>
      <c r="O581" s="320">
        <v>0.3856</v>
      </c>
      <c r="P581" s="320">
        <v>1.5401</v>
      </c>
      <c r="Q581" s="320">
        <v>212.27</v>
      </c>
      <c r="R581" s="320">
        <v>165.34</v>
      </c>
      <c r="S581" s="320">
        <v>46.92</v>
      </c>
      <c r="T581" s="320">
        <v>0.01</v>
      </c>
      <c r="U581" s="320">
        <v>212.25</v>
      </c>
      <c r="V581" s="320">
        <v>196.74</v>
      </c>
      <c r="W581" s="320">
        <v>4.3576</v>
      </c>
      <c r="X581" s="320">
        <v>0.01</v>
      </c>
      <c r="Y581" s="320">
        <v>162.0</v>
      </c>
      <c r="Z581" s="320">
        <v>1079.0</v>
      </c>
      <c r="AA581" s="320">
        <v>7066.0</v>
      </c>
      <c r="AB581" s="320">
        <v>55.0581</v>
      </c>
      <c r="AC581" s="320">
        <v>0.6483</v>
      </c>
      <c r="AD581" s="320">
        <v>18.32</v>
      </c>
      <c r="AE581" s="320">
        <v>8.0</v>
      </c>
      <c r="AF581" s="320">
        <v>15.0</v>
      </c>
      <c r="AG581" s="320">
        <v>26.0</v>
      </c>
      <c r="AH581" s="320">
        <v>38.0</v>
      </c>
      <c r="AI581" s="320">
        <v>62.31</v>
      </c>
      <c r="AJ581" s="320">
        <v>25.09</v>
      </c>
      <c r="AK581" s="320">
        <v>5.91</v>
      </c>
      <c r="AL581" s="320">
        <v>0.1594</v>
      </c>
      <c r="AM581" s="320">
        <v>19.43</v>
      </c>
      <c r="AN581" s="320">
        <v>145.91</v>
      </c>
      <c r="AO581" s="320">
        <v>71.76</v>
      </c>
      <c r="AP581" s="320">
        <v>13.94</v>
      </c>
    </row>
    <row r="582">
      <c r="A582" s="319" t="s">
        <v>256</v>
      </c>
      <c r="B582" s="328">
        <v>46146.0</v>
      </c>
      <c r="C582" s="319" t="s">
        <v>217</v>
      </c>
      <c r="D582" s="320">
        <v>6954.0</v>
      </c>
      <c r="E582" s="320">
        <v>6.67</v>
      </c>
      <c r="F582" s="320">
        <v>0.0</v>
      </c>
      <c r="G582" s="320">
        <v>0.0</v>
      </c>
      <c r="H582" s="320">
        <v>0.0</v>
      </c>
      <c r="I582" s="329"/>
      <c r="J582" s="320">
        <v>144.45</v>
      </c>
      <c r="K582" s="320">
        <v>76.38</v>
      </c>
      <c r="L582" s="320">
        <v>60.0</v>
      </c>
      <c r="M582" s="320">
        <v>0.7856</v>
      </c>
      <c r="N582" s="320">
        <v>0.4044</v>
      </c>
      <c r="O582" s="320">
        <v>0.2932</v>
      </c>
      <c r="P582" s="320">
        <v>1.273</v>
      </c>
      <c r="Q582" s="320">
        <v>363.3</v>
      </c>
      <c r="R582" s="320">
        <v>268.4</v>
      </c>
      <c r="S582" s="320">
        <v>94.91</v>
      </c>
      <c r="T582" s="320">
        <v>0.0</v>
      </c>
      <c r="U582" s="320">
        <v>363.3</v>
      </c>
      <c r="V582" s="320">
        <v>378.5</v>
      </c>
      <c r="W582" s="320">
        <v>4.9554</v>
      </c>
      <c r="X582" s="320">
        <v>0.0</v>
      </c>
      <c r="Y582" s="320">
        <v>276.0</v>
      </c>
      <c r="Z582" s="320">
        <v>2257.0</v>
      </c>
      <c r="AA582" s="320">
        <v>10960.0</v>
      </c>
      <c r="AB582" s="320">
        <v>58.6424</v>
      </c>
      <c r="AC582" s="320">
        <v>0.7357</v>
      </c>
      <c r="AD582" s="320">
        <v>37.56</v>
      </c>
      <c r="AE582" s="320">
        <v>16.0</v>
      </c>
      <c r="AF582" s="320">
        <v>31.0</v>
      </c>
      <c r="AG582" s="320">
        <v>49.0</v>
      </c>
      <c r="AH582" s="320">
        <v>76.0</v>
      </c>
      <c r="AI582" s="320">
        <v>55.06</v>
      </c>
      <c r="AJ582" s="320">
        <v>17.76</v>
      </c>
      <c r="AK582" s="320">
        <v>4.47</v>
      </c>
      <c r="AL582" s="320">
        <v>0.1159</v>
      </c>
      <c r="AM582" s="320">
        <v>20.26</v>
      </c>
      <c r="AN582" s="320">
        <v>248.14</v>
      </c>
      <c r="AO582" s="320">
        <v>74.72</v>
      </c>
      <c r="AP582" s="320">
        <v>15.14</v>
      </c>
    </row>
    <row r="583">
      <c r="A583" s="319" t="s">
        <v>256</v>
      </c>
      <c r="B583" s="328">
        <v>46146.0</v>
      </c>
      <c r="C583" s="319" t="s">
        <v>218</v>
      </c>
      <c r="D583" s="320">
        <v>621.0</v>
      </c>
      <c r="E583" s="320">
        <v>0.6</v>
      </c>
      <c r="F583" s="320">
        <v>0.0</v>
      </c>
      <c r="G583" s="320">
        <v>0.0</v>
      </c>
      <c r="H583" s="320">
        <v>0.0</v>
      </c>
      <c r="I583" s="329"/>
      <c r="J583" s="320">
        <v>271.29</v>
      </c>
      <c r="K583" s="320">
        <v>153.91</v>
      </c>
      <c r="L583" s="320">
        <v>135.33</v>
      </c>
      <c r="M583" s="320">
        <v>0.8793</v>
      </c>
      <c r="N583" s="320">
        <v>0.2775</v>
      </c>
      <c r="O583" s="320">
        <v>0.2137</v>
      </c>
      <c r="P583" s="320">
        <v>1.1372</v>
      </c>
      <c r="Q583" s="320">
        <v>662.65</v>
      </c>
      <c r="R583" s="320">
        <v>428.23</v>
      </c>
      <c r="S583" s="320">
        <v>234.42</v>
      </c>
      <c r="T583" s="320">
        <v>0.0</v>
      </c>
      <c r="U583" s="320">
        <v>662.65</v>
      </c>
      <c r="V583" s="320">
        <v>736.88</v>
      </c>
      <c r="W583" s="320">
        <v>4.7878</v>
      </c>
      <c r="X583" s="320">
        <v>0.0</v>
      </c>
      <c r="Y583" s="320">
        <v>552.0</v>
      </c>
      <c r="Z583" s="320">
        <v>4129.0</v>
      </c>
      <c r="AA583" s="320">
        <v>12659.0</v>
      </c>
      <c r="AB583" s="320">
        <v>62.9691</v>
      </c>
      <c r="AC583" s="320">
        <v>0.8908</v>
      </c>
      <c r="AD583" s="320">
        <v>93.82</v>
      </c>
      <c r="AE583" s="320">
        <v>38.0</v>
      </c>
      <c r="AF583" s="320">
        <v>76.0</v>
      </c>
      <c r="AG583" s="320">
        <v>132.0</v>
      </c>
      <c r="AH583" s="320">
        <v>195.0</v>
      </c>
      <c r="AI583" s="320">
        <v>49.28</v>
      </c>
      <c r="AJ583" s="320">
        <v>13.53</v>
      </c>
      <c r="AK583" s="320">
        <v>1.61</v>
      </c>
      <c r="AL583" s="320">
        <v>0.0821</v>
      </c>
      <c r="AM583" s="320">
        <v>21.31</v>
      </c>
      <c r="AN583" s="320">
        <v>406.92</v>
      </c>
      <c r="AO583" s="320">
        <v>81.78</v>
      </c>
      <c r="AP583" s="320">
        <v>17.43</v>
      </c>
    </row>
    <row r="584">
      <c r="A584" s="319" t="s">
        <v>256</v>
      </c>
      <c r="B584" s="328">
        <v>46147.0</v>
      </c>
      <c r="C584" s="319" t="s">
        <v>257</v>
      </c>
      <c r="D584" s="320">
        <v>18996.0</v>
      </c>
      <c r="E584" s="320">
        <v>18.26</v>
      </c>
      <c r="F584" s="320">
        <v>0.0</v>
      </c>
      <c r="G584" s="320">
        <v>0.0</v>
      </c>
      <c r="H584" s="320">
        <v>0.0</v>
      </c>
      <c r="I584" s="329"/>
      <c r="J584" s="320">
        <v>5.98</v>
      </c>
      <c r="K584" s="320">
        <v>2.43</v>
      </c>
      <c r="L584" s="320">
        <v>0.06</v>
      </c>
      <c r="M584" s="320">
        <v>0.0247</v>
      </c>
      <c r="N584" s="320">
        <v>0.9813</v>
      </c>
      <c r="O584" s="320">
        <v>0.7924</v>
      </c>
      <c r="P584" s="320">
        <v>40.4565</v>
      </c>
      <c r="Q584" s="320">
        <v>25.09</v>
      </c>
      <c r="R584" s="320">
        <v>24.97</v>
      </c>
      <c r="S584" s="320">
        <v>0.11</v>
      </c>
      <c r="T584" s="320">
        <v>0.0</v>
      </c>
      <c r="U584" s="320">
        <v>25.09</v>
      </c>
      <c r="V584" s="320">
        <v>1.96</v>
      </c>
      <c r="W584" s="320">
        <v>0.8062</v>
      </c>
      <c r="X584" s="320">
        <v>0.0</v>
      </c>
      <c r="Y584" s="320">
        <v>378.0</v>
      </c>
      <c r="Z584" s="320">
        <v>4300.0</v>
      </c>
      <c r="AA584" s="320">
        <v>16320.0</v>
      </c>
      <c r="AB584" s="320">
        <v>49.1458</v>
      </c>
      <c r="AC584" s="320">
        <v>0.5411</v>
      </c>
      <c r="AD584" s="329"/>
      <c r="AE584" s="329"/>
      <c r="AF584" s="329"/>
      <c r="AG584" s="329"/>
      <c r="AH584" s="329"/>
      <c r="AI584" s="320">
        <v>0.0</v>
      </c>
      <c r="AJ584" s="320">
        <v>0.0</v>
      </c>
      <c r="AK584" s="320">
        <v>0.0</v>
      </c>
      <c r="AL584" s="320">
        <v>0.2622</v>
      </c>
      <c r="AM584" s="320">
        <v>15.66</v>
      </c>
      <c r="AN584" s="320">
        <v>9.31</v>
      </c>
      <c r="AO584" s="329"/>
      <c r="AP584" s="329"/>
    </row>
    <row r="585">
      <c r="A585" s="319" t="s">
        <v>256</v>
      </c>
      <c r="B585" s="328">
        <v>46147.0</v>
      </c>
      <c r="C585" s="319" t="s">
        <v>214</v>
      </c>
      <c r="D585" s="320">
        <v>35580.0</v>
      </c>
      <c r="E585" s="320">
        <v>34.2</v>
      </c>
      <c r="F585" s="320">
        <v>0.0</v>
      </c>
      <c r="G585" s="320">
        <v>0.0</v>
      </c>
      <c r="H585" s="320">
        <v>0.0</v>
      </c>
      <c r="I585" s="329"/>
      <c r="J585" s="320">
        <v>27.98</v>
      </c>
      <c r="K585" s="320">
        <v>12.53</v>
      </c>
      <c r="L585" s="320">
        <v>5.41</v>
      </c>
      <c r="M585" s="320">
        <v>0.4315</v>
      </c>
      <c r="N585" s="320">
        <v>0.7474</v>
      </c>
      <c r="O585" s="320">
        <v>0.5591</v>
      </c>
      <c r="P585" s="320">
        <v>2.3174</v>
      </c>
      <c r="Q585" s="320">
        <v>51.18</v>
      </c>
      <c r="R585" s="320">
        <v>41.68</v>
      </c>
      <c r="S585" s="320">
        <v>9.5</v>
      </c>
      <c r="T585" s="320">
        <v>0.01</v>
      </c>
      <c r="U585" s="320">
        <v>51.18</v>
      </c>
      <c r="V585" s="320">
        <v>51.86</v>
      </c>
      <c r="W585" s="320">
        <v>4.1384</v>
      </c>
      <c r="X585" s="320">
        <v>0.01</v>
      </c>
      <c r="Y585" s="320">
        <v>157.0</v>
      </c>
      <c r="Z585" s="320">
        <v>945.0</v>
      </c>
      <c r="AA585" s="320">
        <v>6384.0</v>
      </c>
      <c r="AB585" s="320">
        <v>48.9284</v>
      </c>
      <c r="AC585" s="320">
        <v>0.5391</v>
      </c>
      <c r="AD585" s="320">
        <v>3.98</v>
      </c>
      <c r="AE585" s="320">
        <v>1.0</v>
      </c>
      <c r="AF585" s="320">
        <v>3.0</v>
      </c>
      <c r="AG585" s="320">
        <v>5.0</v>
      </c>
      <c r="AH585" s="320">
        <v>9.0</v>
      </c>
      <c r="AI585" s="320">
        <v>72.68</v>
      </c>
      <c r="AJ585" s="320">
        <v>30.7</v>
      </c>
      <c r="AK585" s="320">
        <v>8.74</v>
      </c>
      <c r="AL585" s="320">
        <v>0.2379</v>
      </c>
      <c r="AM585" s="320">
        <v>17.64</v>
      </c>
      <c r="AN585" s="320">
        <v>24.04</v>
      </c>
      <c r="AO585" s="320">
        <v>65.24</v>
      </c>
      <c r="AP585" s="320">
        <v>11.51</v>
      </c>
    </row>
    <row r="586">
      <c r="A586" s="319" t="s">
        <v>256</v>
      </c>
      <c r="B586" s="328">
        <v>46147.0</v>
      </c>
      <c r="C586" s="319" t="s">
        <v>215</v>
      </c>
      <c r="D586" s="320">
        <v>27329.0</v>
      </c>
      <c r="E586" s="320">
        <v>26.27</v>
      </c>
      <c r="F586" s="320">
        <v>0.0</v>
      </c>
      <c r="G586" s="320">
        <v>0.0</v>
      </c>
      <c r="H586" s="320">
        <v>0.0</v>
      </c>
      <c r="I586" s="329"/>
      <c r="J586" s="320">
        <v>53.6</v>
      </c>
      <c r="K586" s="320">
        <v>24.88</v>
      </c>
      <c r="L586" s="320">
        <v>13.65</v>
      </c>
      <c r="M586" s="320">
        <v>0.5489</v>
      </c>
      <c r="N586" s="320">
        <v>0.6542</v>
      </c>
      <c r="O586" s="320">
        <v>0.467</v>
      </c>
      <c r="P586" s="320">
        <v>1.822</v>
      </c>
      <c r="Q586" s="320">
        <v>95.96</v>
      </c>
      <c r="R586" s="320">
        <v>72.91</v>
      </c>
      <c r="S586" s="320">
        <v>23.04</v>
      </c>
      <c r="T586" s="320">
        <v>0.0</v>
      </c>
      <c r="U586" s="320">
        <v>95.96</v>
      </c>
      <c r="V586" s="320">
        <v>99.62</v>
      </c>
      <c r="W586" s="320">
        <v>4.0047</v>
      </c>
      <c r="X586" s="320">
        <v>0.0</v>
      </c>
      <c r="Y586" s="320">
        <v>129.0</v>
      </c>
      <c r="Z586" s="320">
        <v>728.0</v>
      </c>
      <c r="AA586" s="320">
        <v>5602.0</v>
      </c>
      <c r="AB586" s="320">
        <v>51.9772</v>
      </c>
      <c r="AC586" s="320">
        <v>0.5925</v>
      </c>
      <c r="AD586" s="320">
        <v>8.98</v>
      </c>
      <c r="AE586" s="320">
        <v>3.0</v>
      </c>
      <c r="AF586" s="320">
        <v>7.0</v>
      </c>
      <c r="AG586" s="320">
        <v>12.0</v>
      </c>
      <c r="AH586" s="320">
        <v>19.0</v>
      </c>
      <c r="AI586" s="320">
        <v>58.33</v>
      </c>
      <c r="AJ586" s="320">
        <v>24.58</v>
      </c>
      <c r="AK586" s="320">
        <v>3.81</v>
      </c>
      <c r="AL586" s="320">
        <v>0.1784</v>
      </c>
      <c r="AM586" s="320">
        <v>18.17</v>
      </c>
      <c r="AN586" s="320">
        <v>54.74</v>
      </c>
      <c r="AO586" s="320">
        <v>71.86</v>
      </c>
      <c r="AP586" s="320">
        <v>13.06</v>
      </c>
    </row>
    <row r="587">
      <c r="A587" s="319" t="s">
        <v>256</v>
      </c>
      <c r="B587" s="328">
        <v>46147.0</v>
      </c>
      <c r="C587" s="319" t="s">
        <v>216</v>
      </c>
      <c r="D587" s="320">
        <v>15492.0</v>
      </c>
      <c r="E587" s="320">
        <v>14.89</v>
      </c>
      <c r="F587" s="320">
        <v>0.0</v>
      </c>
      <c r="G587" s="320">
        <v>0.0</v>
      </c>
      <c r="H587" s="320">
        <v>0.0</v>
      </c>
      <c r="I587" s="329"/>
      <c r="J587" s="320">
        <v>81.74</v>
      </c>
      <c r="K587" s="320">
        <v>40.76</v>
      </c>
      <c r="L587" s="320">
        <v>27.92</v>
      </c>
      <c r="M587" s="320">
        <v>0.685</v>
      </c>
      <c r="N587" s="320">
        <v>0.5176</v>
      </c>
      <c r="O587" s="320">
        <v>0.3651</v>
      </c>
      <c r="P587" s="320">
        <v>1.4599</v>
      </c>
      <c r="Q587" s="320">
        <v>174.69</v>
      </c>
      <c r="R587" s="320">
        <v>131.57</v>
      </c>
      <c r="S587" s="320">
        <v>43.12</v>
      </c>
      <c r="T587" s="320">
        <v>0.0</v>
      </c>
      <c r="U587" s="320">
        <v>174.69</v>
      </c>
      <c r="V587" s="320">
        <v>181.51</v>
      </c>
      <c r="W587" s="320">
        <v>4.4533</v>
      </c>
      <c r="X587" s="320">
        <v>0.0</v>
      </c>
      <c r="Y587" s="320">
        <v>164.0</v>
      </c>
      <c r="Z587" s="320">
        <v>1047.0</v>
      </c>
      <c r="AA587" s="320">
        <v>7355.0</v>
      </c>
      <c r="AB587" s="320">
        <v>55.3832</v>
      </c>
      <c r="AC587" s="320">
        <v>0.6744</v>
      </c>
      <c r="AD587" s="320">
        <v>16.83</v>
      </c>
      <c r="AE587" s="320">
        <v>6.0</v>
      </c>
      <c r="AF587" s="320">
        <v>13.0</v>
      </c>
      <c r="AG587" s="320">
        <v>23.0</v>
      </c>
      <c r="AH587" s="320">
        <v>35.0</v>
      </c>
      <c r="AI587" s="320">
        <v>57.2</v>
      </c>
      <c r="AJ587" s="320">
        <v>21.49</v>
      </c>
      <c r="AK587" s="320">
        <v>5.9</v>
      </c>
      <c r="AL587" s="320">
        <v>0.1605</v>
      </c>
      <c r="AM587" s="320">
        <v>19.44</v>
      </c>
      <c r="AN587" s="320">
        <v>112.13</v>
      </c>
      <c r="AO587" s="320">
        <v>72.9</v>
      </c>
      <c r="AP587" s="320">
        <v>14.17</v>
      </c>
    </row>
    <row r="588">
      <c r="A588" s="319" t="s">
        <v>256</v>
      </c>
      <c r="B588" s="328">
        <v>46147.0</v>
      </c>
      <c r="C588" s="319" t="s">
        <v>217</v>
      </c>
      <c r="D588" s="320">
        <v>6005.0</v>
      </c>
      <c r="E588" s="320">
        <v>5.77</v>
      </c>
      <c r="F588" s="320">
        <v>0.0</v>
      </c>
      <c r="G588" s="320">
        <v>0.0</v>
      </c>
      <c r="H588" s="320">
        <v>0.0</v>
      </c>
      <c r="I588" s="329"/>
      <c r="J588" s="320">
        <v>127.77</v>
      </c>
      <c r="K588" s="320">
        <v>67.91</v>
      </c>
      <c r="L588" s="320">
        <v>54.18</v>
      </c>
      <c r="M588" s="320">
        <v>0.7977</v>
      </c>
      <c r="N588" s="320">
        <v>0.3886</v>
      </c>
      <c r="O588" s="320">
        <v>0.2841</v>
      </c>
      <c r="P588" s="320">
        <v>1.2535</v>
      </c>
      <c r="Q588" s="320">
        <v>318.97</v>
      </c>
      <c r="R588" s="320">
        <v>224.06</v>
      </c>
      <c r="S588" s="320">
        <v>94.9</v>
      </c>
      <c r="T588" s="320">
        <v>0.0</v>
      </c>
      <c r="U588" s="320">
        <v>318.97</v>
      </c>
      <c r="V588" s="320">
        <v>323.76</v>
      </c>
      <c r="W588" s="320">
        <v>4.7671</v>
      </c>
      <c r="X588" s="320">
        <v>0.0</v>
      </c>
      <c r="Y588" s="320">
        <v>293.0</v>
      </c>
      <c r="Z588" s="320">
        <v>2196.0</v>
      </c>
      <c r="AA588" s="320">
        <v>9176.0</v>
      </c>
      <c r="AB588" s="320">
        <v>59.5208</v>
      </c>
      <c r="AC588" s="320">
        <v>0.8272</v>
      </c>
      <c r="AD588" s="320">
        <v>37.89</v>
      </c>
      <c r="AE588" s="320">
        <v>15.0</v>
      </c>
      <c r="AF588" s="320">
        <v>29.0</v>
      </c>
      <c r="AG588" s="320">
        <v>52.0</v>
      </c>
      <c r="AH588" s="320">
        <v>80.0</v>
      </c>
      <c r="AI588" s="320">
        <v>52.66</v>
      </c>
      <c r="AJ588" s="320">
        <v>20.25</v>
      </c>
      <c r="AK588" s="320">
        <v>4.9</v>
      </c>
      <c r="AL588" s="320">
        <v>0.1231</v>
      </c>
      <c r="AM588" s="320">
        <v>20.79</v>
      </c>
      <c r="AN588" s="320">
        <v>203.28</v>
      </c>
      <c r="AO588" s="320">
        <v>82.39</v>
      </c>
      <c r="AP588" s="320">
        <v>17.13</v>
      </c>
    </row>
    <row r="589">
      <c r="A589" s="319" t="s">
        <v>256</v>
      </c>
      <c r="B589" s="328">
        <v>46147.0</v>
      </c>
      <c r="C589" s="319" t="s">
        <v>218</v>
      </c>
      <c r="D589" s="320">
        <v>624.0</v>
      </c>
      <c r="E589" s="320">
        <v>0.6</v>
      </c>
      <c r="F589" s="320">
        <v>0.0</v>
      </c>
      <c r="G589" s="320">
        <v>0.0</v>
      </c>
      <c r="H589" s="320">
        <v>0.0</v>
      </c>
      <c r="I589" s="329"/>
      <c r="J589" s="320">
        <v>247.22</v>
      </c>
      <c r="K589" s="320">
        <v>143.54</v>
      </c>
      <c r="L589" s="320">
        <v>125.39</v>
      </c>
      <c r="M589" s="320">
        <v>0.8736</v>
      </c>
      <c r="N589" s="320">
        <v>0.2802</v>
      </c>
      <c r="O589" s="320">
        <v>0.2108</v>
      </c>
      <c r="P589" s="320">
        <v>1.1447</v>
      </c>
      <c r="Q589" s="320">
        <v>611.95</v>
      </c>
      <c r="R589" s="320">
        <v>392.15</v>
      </c>
      <c r="S589" s="320">
        <v>219.8</v>
      </c>
      <c r="T589" s="320">
        <v>0.0</v>
      </c>
      <c r="U589" s="320">
        <v>611.95</v>
      </c>
      <c r="V589" s="320">
        <v>776.76</v>
      </c>
      <c r="W589" s="320">
        <v>5.4115</v>
      </c>
      <c r="X589" s="320">
        <v>0.0</v>
      </c>
      <c r="Y589" s="320">
        <v>577.0</v>
      </c>
      <c r="Z589" s="320">
        <v>3346.0</v>
      </c>
      <c r="AA589" s="320">
        <v>11869.0</v>
      </c>
      <c r="AB589" s="320">
        <v>62.7794</v>
      </c>
      <c r="AC589" s="320">
        <v>0.8928</v>
      </c>
      <c r="AD589" s="320">
        <v>86.0</v>
      </c>
      <c r="AE589" s="320">
        <v>35.0</v>
      </c>
      <c r="AF589" s="320">
        <v>71.0</v>
      </c>
      <c r="AG589" s="320">
        <v>119.0</v>
      </c>
      <c r="AH589" s="320">
        <v>169.0</v>
      </c>
      <c r="AI589" s="320">
        <v>44.55</v>
      </c>
      <c r="AJ589" s="320">
        <v>10.1</v>
      </c>
      <c r="AK589" s="320">
        <v>1.44</v>
      </c>
      <c r="AL589" s="320">
        <v>0.0865</v>
      </c>
      <c r="AM589" s="320">
        <v>22.5</v>
      </c>
      <c r="AN589" s="320">
        <v>369.65</v>
      </c>
      <c r="AO589" s="320">
        <v>82.37</v>
      </c>
      <c r="AP589" s="320">
        <v>18.53</v>
      </c>
    </row>
    <row r="590">
      <c r="A590" s="319" t="s">
        <v>256</v>
      </c>
      <c r="B590" s="328">
        <v>46148.0</v>
      </c>
      <c r="C590" s="319" t="s">
        <v>257</v>
      </c>
      <c r="D590" s="320">
        <v>19328.0</v>
      </c>
      <c r="E590" s="320">
        <v>18.93</v>
      </c>
      <c r="F590" s="320">
        <v>0.0</v>
      </c>
      <c r="G590" s="320">
        <v>0.0</v>
      </c>
      <c r="H590" s="320">
        <v>0.0</v>
      </c>
      <c r="I590" s="329"/>
      <c r="J590" s="320">
        <v>6.26</v>
      </c>
      <c r="K590" s="320">
        <v>2.55</v>
      </c>
      <c r="L590" s="320">
        <v>0.06</v>
      </c>
      <c r="M590" s="320">
        <v>0.0222</v>
      </c>
      <c r="N590" s="320">
        <v>0.9845</v>
      </c>
      <c r="O590" s="320">
        <v>0.8226</v>
      </c>
      <c r="P590" s="320">
        <v>45.0438</v>
      </c>
      <c r="Q590" s="320">
        <v>21.56</v>
      </c>
      <c r="R590" s="320">
        <v>21.42</v>
      </c>
      <c r="S590" s="320">
        <v>0.15</v>
      </c>
      <c r="T590" s="320">
        <v>0.0</v>
      </c>
      <c r="U590" s="320">
        <v>21.56</v>
      </c>
      <c r="V590" s="320">
        <v>1.83</v>
      </c>
      <c r="W590" s="320">
        <v>0.7167</v>
      </c>
      <c r="X590" s="320">
        <v>0.0</v>
      </c>
      <c r="Y590" s="320">
        <v>394.0</v>
      </c>
      <c r="Z590" s="320">
        <v>4363.0</v>
      </c>
      <c r="AA590" s="320">
        <v>16164.0</v>
      </c>
      <c r="AB590" s="320">
        <v>49.1836</v>
      </c>
      <c r="AC590" s="320">
        <v>0.5475</v>
      </c>
      <c r="AD590" s="329"/>
      <c r="AE590" s="329"/>
      <c r="AF590" s="329"/>
      <c r="AG590" s="329"/>
      <c r="AH590" s="329"/>
      <c r="AI590" s="320">
        <v>0.0</v>
      </c>
      <c r="AJ590" s="320">
        <v>0.0</v>
      </c>
      <c r="AK590" s="320">
        <v>0.0</v>
      </c>
      <c r="AL590" s="320">
        <v>0.2652</v>
      </c>
      <c r="AM590" s="320">
        <v>16.11</v>
      </c>
      <c r="AN590" s="320">
        <v>5.3</v>
      </c>
      <c r="AO590" s="329"/>
      <c r="AP590" s="329"/>
    </row>
    <row r="591">
      <c r="A591" s="319" t="s">
        <v>256</v>
      </c>
      <c r="B591" s="328">
        <v>46148.0</v>
      </c>
      <c r="C591" s="319" t="s">
        <v>214</v>
      </c>
      <c r="D591" s="320">
        <v>36126.0</v>
      </c>
      <c r="E591" s="320">
        <v>35.37</v>
      </c>
      <c r="F591" s="320">
        <v>0.0</v>
      </c>
      <c r="G591" s="320">
        <v>0.0</v>
      </c>
      <c r="H591" s="320">
        <v>0.0</v>
      </c>
      <c r="I591" s="329"/>
      <c r="J591" s="320">
        <v>30.21</v>
      </c>
      <c r="K591" s="320">
        <v>13.65</v>
      </c>
      <c r="L591" s="320">
        <v>5.5</v>
      </c>
      <c r="M591" s="320">
        <v>0.4027</v>
      </c>
      <c r="N591" s="320">
        <v>0.7658</v>
      </c>
      <c r="O591" s="320">
        <v>0.5687</v>
      </c>
      <c r="P591" s="320">
        <v>2.483</v>
      </c>
      <c r="Q591" s="320">
        <v>44.5</v>
      </c>
      <c r="R591" s="320">
        <v>34.81</v>
      </c>
      <c r="S591" s="320">
        <v>9.69</v>
      </c>
      <c r="T591" s="320">
        <v>0.02</v>
      </c>
      <c r="U591" s="320">
        <v>44.47</v>
      </c>
      <c r="V591" s="320">
        <v>49.53</v>
      </c>
      <c r="W591" s="320">
        <v>3.6302</v>
      </c>
      <c r="X591" s="320">
        <v>0.05</v>
      </c>
      <c r="Y591" s="320">
        <v>146.0</v>
      </c>
      <c r="Z591" s="320">
        <v>925.0</v>
      </c>
      <c r="AA591" s="320">
        <v>6399.0</v>
      </c>
      <c r="AB591" s="320">
        <v>48.9804</v>
      </c>
      <c r="AC591" s="320">
        <v>0.5412</v>
      </c>
      <c r="AD591" s="320">
        <v>3.92</v>
      </c>
      <c r="AE591" s="320">
        <v>1.0</v>
      </c>
      <c r="AF591" s="320">
        <v>3.0</v>
      </c>
      <c r="AG591" s="320">
        <v>5.0</v>
      </c>
      <c r="AH591" s="320">
        <v>9.0</v>
      </c>
      <c r="AI591" s="320">
        <v>72.86</v>
      </c>
      <c r="AJ591" s="320">
        <v>30.25</v>
      </c>
      <c r="AK591" s="320">
        <v>8.05</v>
      </c>
      <c r="AL591" s="320">
        <v>0.2362</v>
      </c>
      <c r="AM591" s="320">
        <v>18.22</v>
      </c>
      <c r="AN591" s="320">
        <v>16.59</v>
      </c>
      <c r="AO591" s="320">
        <v>65.77</v>
      </c>
      <c r="AP591" s="320">
        <v>11.98</v>
      </c>
    </row>
    <row r="592">
      <c r="A592" s="319" t="s">
        <v>256</v>
      </c>
      <c r="B592" s="328">
        <v>46148.0</v>
      </c>
      <c r="C592" s="319" t="s">
        <v>215</v>
      </c>
      <c r="D592" s="320">
        <v>26384.0</v>
      </c>
      <c r="E592" s="320">
        <v>25.83</v>
      </c>
      <c r="F592" s="320">
        <v>0.0</v>
      </c>
      <c r="G592" s="320">
        <v>0.0</v>
      </c>
      <c r="H592" s="320">
        <v>0.0</v>
      </c>
      <c r="I592" s="329"/>
      <c r="J592" s="320">
        <v>57.0</v>
      </c>
      <c r="K592" s="320">
        <v>26.99</v>
      </c>
      <c r="L592" s="320">
        <v>14.02</v>
      </c>
      <c r="M592" s="320">
        <v>0.5193</v>
      </c>
      <c r="N592" s="320">
        <v>0.6704</v>
      </c>
      <c r="O592" s="320">
        <v>0.4673</v>
      </c>
      <c r="P592" s="320">
        <v>1.9258</v>
      </c>
      <c r="Q592" s="320">
        <v>76.56</v>
      </c>
      <c r="R592" s="320">
        <v>53.7</v>
      </c>
      <c r="S592" s="320">
        <v>22.86</v>
      </c>
      <c r="T592" s="320">
        <v>0.0</v>
      </c>
      <c r="U592" s="320">
        <v>76.56</v>
      </c>
      <c r="V592" s="320">
        <v>92.11</v>
      </c>
      <c r="W592" s="320">
        <v>3.4125</v>
      </c>
      <c r="X592" s="320">
        <v>0.0</v>
      </c>
      <c r="Y592" s="320">
        <v>117.0</v>
      </c>
      <c r="Z592" s="320">
        <v>690.0</v>
      </c>
      <c r="AA592" s="320">
        <v>5464.0</v>
      </c>
      <c r="AB592" s="320">
        <v>52.0785</v>
      </c>
      <c r="AC592" s="320">
        <v>0.6031</v>
      </c>
      <c r="AD592" s="320">
        <v>8.68</v>
      </c>
      <c r="AE592" s="320">
        <v>3.0</v>
      </c>
      <c r="AF592" s="320">
        <v>7.0</v>
      </c>
      <c r="AG592" s="320">
        <v>12.0</v>
      </c>
      <c r="AH592" s="320">
        <v>18.0</v>
      </c>
      <c r="AI592" s="320">
        <v>56.72</v>
      </c>
      <c r="AJ592" s="320">
        <v>23.26</v>
      </c>
      <c r="AK592" s="320">
        <v>3.46</v>
      </c>
      <c r="AL592" s="320">
        <v>0.1816</v>
      </c>
      <c r="AM592" s="320">
        <v>18.79</v>
      </c>
      <c r="AN592" s="320">
        <v>34.9</v>
      </c>
      <c r="AO592" s="320">
        <v>72.93</v>
      </c>
      <c r="AP592" s="320">
        <v>13.7</v>
      </c>
    </row>
    <row r="593">
      <c r="A593" s="319" t="s">
        <v>256</v>
      </c>
      <c r="B593" s="328">
        <v>46148.0</v>
      </c>
      <c r="C593" s="319" t="s">
        <v>216</v>
      </c>
      <c r="D593" s="320">
        <v>13888.0</v>
      </c>
      <c r="E593" s="320">
        <v>13.6</v>
      </c>
      <c r="F593" s="320">
        <v>0.0</v>
      </c>
      <c r="G593" s="320">
        <v>0.0</v>
      </c>
      <c r="H593" s="320">
        <v>0.0</v>
      </c>
      <c r="I593" s="329"/>
      <c r="J593" s="320">
        <v>81.21</v>
      </c>
      <c r="K593" s="320">
        <v>40.61</v>
      </c>
      <c r="L593" s="320">
        <v>25.93</v>
      </c>
      <c r="M593" s="320">
        <v>0.6385</v>
      </c>
      <c r="N593" s="320">
        <v>0.5509</v>
      </c>
      <c r="O593" s="320">
        <v>0.3808</v>
      </c>
      <c r="P593" s="320">
        <v>1.5663</v>
      </c>
      <c r="Q593" s="320">
        <v>125.44</v>
      </c>
      <c r="R593" s="320">
        <v>80.62</v>
      </c>
      <c r="S593" s="320">
        <v>44.82</v>
      </c>
      <c r="T593" s="320">
        <v>0.0</v>
      </c>
      <c r="U593" s="320">
        <v>125.44</v>
      </c>
      <c r="V593" s="320">
        <v>157.42</v>
      </c>
      <c r="W593" s="320">
        <v>3.8765</v>
      </c>
      <c r="X593" s="320">
        <v>0.0</v>
      </c>
      <c r="Y593" s="320">
        <v>135.0</v>
      </c>
      <c r="Z593" s="320">
        <v>1006.0</v>
      </c>
      <c r="AA593" s="320">
        <v>6522.0</v>
      </c>
      <c r="AB593" s="320">
        <v>55.7557</v>
      </c>
      <c r="AC593" s="320">
        <v>0.7321</v>
      </c>
      <c r="AD593" s="320">
        <v>16.95</v>
      </c>
      <c r="AE593" s="320">
        <v>7.0</v>
      </c>
      <c r="AF593" s="320">
        <v>13.0</v>
      </c>
      <c r="AG593" s="320">
        <v>23.0</v>
      </c>
      <c r="AH593" s="320">
        <v>36.0</v>
      </c>
      <c r="AI593" s="320">
        <v>56.92</v>
      </c>
      <c r="AJ593" s="320">
        <v>21.28</v>
      </c>
      <c r="AK593" s="320">
        <v>6.29</v>
      </c>
      <c r="AL593" s="320">
        <v>0.1699</v>
      </c>
      <c r="AM593" s="320">
        <v>18.81</v>
      </c>
      <c r="AN593" s="320">
        <v>61.81</v>
      </c>
      <c r="AO593" s="320">
        <v>77.28</v>
      </c>
      <c r="AP593" s="320">
        <v>14.54</v>
      </c>
    </row>
    <row r="594">
      <c r="A594" s="319" t="s">
        <v>256</v>
      </c>
      <c r="B594" s="328">
        <v>46148.0</v>
      </c>
      <c r="C594" s="319" t="s">
        <v>217</v>
      </c>
      <c r="D594" s="320">
        <v>5806.0</v>
      </c>
      <c r="E594" s="320">
        <v>5.68</v>
      </c>
      <c r="F594" s="320">
        <v>0.0</v>
      </c>
      <c r="G594" s="320">
        <v>0.0</v>
      </c>
      <c r="H594" s="320">
        <v>0.0</v>
      </c>
      <c r="I594" s="329"/>
      <c r="J594" s="320">
        <v>129.12</v>
      </c>
      <c r="K594" s="320">
        <v>69.34</v>
      </c>
      <c r="L594" s="320">
        <v>53.56</v>
      </c>
      <c r="M594" s="320">
        <v>0.7725</v>
      </c>
      <c r="N594" s="320">
        <v>0.4062</v>
      </c>
      <c r="O594" s="320">
        <v>0.2873</v>
      </c>
      <c r="P594" s="320">
        <v>1.2945</v>
      </c>
      <c r="Q594" s="320">
        <v>212.1</v>
      </c>
      <c r="R594" s="320">
        <v>118.2</v>
      </c>
      <c r="S594" s="320">
        <v>93.9</v>
      </c>
      <c r="T594" s="320">
        <v>0.02</v>
      </c>
      <c r="U594" s="320">
        <v>212.08</v>
      </c>
      <c r="V594" s="320">
        <v>305.99</v>
      </c>
      <c r="W594" s="320">
        <v>4.4129</v>
      </c>
      <c r="X594" s="320">
        <v>0.01</v>
      </c>
      <c r="Y594" s="320">
        <v>235.0</v>
      </c>
      <c r="Z594" s="320">
        <v>2171.0</v>
      </c>
      <c r="AA594" s="320">
        <v>9458.0</v>
      </c>
      <c r="AB594" s="320">
        <v>59.6751</v>
      </c>
      <c r="AC594" s="320">
        <v>0.8338</v>
      </c>
      <c r="AD594" s="320">
        <v>36.41</v>
      </c>
      <c r="AE594" s="320">
        <v>13.0</v>
      </c>
      <c r="AF594" s="320">
        <v>27.0</v>
      </c>
      <c r="AG594" s="320">
        <v>51.0</v>
      </c>
      <c r="AH594" s="320">
        <v>78.0</v>
      </c>
      <c r="AI594" s="320">
        <v>49.83</v>
      </c>
      <c r="AJ594" s="320">
        <v>19.12</v>
      </c>
      <c r="AK594" s="320">
        <v>4.94</v>
      </c>
      <c r="AL594" s="320">
        <v>0.1249</v>
      </c>
      <c r="AM594" s="320">
        <v>20.41</v>
      </c>
      <c r="AN594" s="320">
        <v>97.79</v>
      </c>
      <c r="AO594" s="320">
        <v>82.55</v>
      </c>
      <c r="AP594" s="320">
        <v>16.85</v>
      </c>
    </row>
    <row r="595">
      <c r="A595" s="319" t="s">
        <v>256</v>
      </c>
      <c r="B595" s="328">
        <v>46148.0</v>
      </c>
      <c r="C595" s="319" t="s">
        <v>218</v>
      </c>
      <c r="D595" s="320">
        <v>597.0</v>
      </c>
      <c r="E595" s="320">
        <v>0.58</v>
      </c>
      <c r="F595" s="320">
        <v>0.0</v>
      </c>
      <c r="G595" s="320">
        <v>0.0</v>
      </c>
      <c r="H595" s="320">
        <v>0.0</v>
      </c>
      <c r="I595" s="329"/>
      <c r="J595" s="320">
        <v>252.91</v>
      </c>
      <c r="K595" s="320">
        <v>143.55</v>
      </c>
      <c r="L595" s="320">
        <v>125.3</v>
      </c>
      <c r="M595" s="320">
        <v>0.8729</v>
      </c>
      <c r="N595" s="320">
        <v>0.286</v>
      </c>
      <c r="O595" s="320">
        <v>0.2182</v>
      </c>
      <c r="P595" s="320">
        <v>1.1456</v>
      </c>
      <c r="Q595" s="320">
        <v>407.01</v>
      </c>
      <c r="R595" s="320">
        <v>186.25</v>
      </c>
      <c r="S595" s="320">
        <v>220.75</v>
      </c>
      <c r="T595" s="320">
        <v>0.0</v>
      </c>
      <c r="U595" s="320">
        <v>407.01</v>
      </c>
      <c r="V595" s="320">
        <v>629.15</v>
      </c>
      <c r="W595" s="320">
        <v>4.3829</v>
      </c>
      <c r="X595" s="320">
        <v>0.0</v>
      </c>
      <c r="Y595" s="320">
        <v>498.0</v>
      </c>
      <c r="Z595" s="320">
        <v>3198.0</v>
      </c>
      <c r="AA595" s="320">
        <v>10853.0</v>
      </c>
      <c r="AB595" s="320">
        <v>63.1196</v>
      </c>
      <c r="AC595" s="320">
        <v>0.9029</v>
      </c>
      <c r="AD595" s="320">
        <v>84.37</v>
      </c>
      <c r="AE595" s="320">
        <v>36.0</v>
      </c>
      <c r="AF595" s="320">
        <v>68.0</v>
      </c>
      <c r="AG595" s="320">
        <v>112.0</v>
      </c>
      <c r="AH595" s="320">
        <v>175.0</v>
      </c>
      <c r="AI595" s="320">
        <v>43.05</v>
      </c>
      <c r="AJ595" s="320">
        <v>10.05</v>
      </c>
      <c r="AK595" s="320">
        <v>1.51</v>
      </c>
      <c r="AL595" s="320">
        <v>0.0905</v>
      </c>
      <c r="AM595" s="320">
        <v>20.85</v>
      </c>
      <c r="AN595" s="320">
        <v>165.4</v>
      </c>
      <c r="AO595" s="320">
        <v>84.59</v>
      </c>
      <c r="AP595" s="320">
        <v>17.64</v>
      </c>
    </row>
    <row r="596">
      <c r="A596" s="319" t="s">
        <v>256</v>
      </c>
      <c r="B596" s="328">
        <v>46149.0</v>
      </c>
      <c r="C596" s="319" t="s">
        <v>257</v>
      </c>
      <c r="D596" s="320">
        <v>19790.0</v>
      </c>
      <c r="E596" s="320">
        <v>19.7</v>
      </c>
      <c r="F596" s="320">
        <v>0.0</v>
      </c>
      <c r="G596" s="320">
        <v>0.0</v>
      </c>
      <c r="H596" s="320">
        <v>0.0</v>
      </c>
      <c r="I596" s="329"/>
      <c r="J596" s="320">
        <v>6.05</v>
      </c>
      <c r="K596" s="320">
        <v>2.48</v>
      </c>
      <c r="L596" s="320">
        <v>0.06</v>
      </c>
      <c r="M596" s="320">
        <v>0.0226</v>
      </c>
      <c r="N596" s="320">
        <v>0.9831</v>
      </c>
      <c r="O596" s="320">
        <v>0.8036</v>
      </c>
      <c r="P596" s="320">
        <v>44.1548</v>
      </c>
      <c r="Q596" s="320">
        <v>23.53</v>
      </c>
      <c r="R596" s="320">
        <v>23.41</v>
      </c>
      <c r="S596" s="320">
        <v>0.12</v>
      </c>
      <c r="T596" s="320">
        <v>0.0</v>
      </c>
      <c r="U596" s="320">
        <v>23.53</v>
      </c>
      <c r="V596" s="320">
        <v>2.08</v>
      </c>
      <c r="W596" s="320">
        <v>0.8399</v>
      </c>
      <c r="X596" s="320">
        <v>0.0</v>
      </c>
      <c r="Y596" s="320">
        <v>345.0</v>
      </c>
      <c r="Z596" s="320">
        <v>4096.0</v>
      </c>
      <c r="AA596" s="320">
        <v>15566.0</v>
      </c>
      <c r="AB596" s="320">
        <v>49.1314</v>
      </c>
      <c r="AC596" s="320">
        <v>0.5451</v>
      </c>
      <c r="AD596" s="329"/>
      <c r="AE596" s="329"/>
      <c r="AF596" s="329"/>
      <c r="AG596" s="329"/>
      <c r="AH596" s="329"/>
      <c r="AI596" s="320">
        <v>0.0</v>
      </c>
      <c r="AJ596" s="320">
        <v>0.0</v>
      </c>
      <c r="AK596" s="320">
        <v>0.0</v>
      </c>
      <c r="AL596" s="320">
        <v>0.2776</v>
      </c>
      <c r="AM596" s="320">
        <v>16.94</v>
      </c>
      <c r="AN596" s="320">
        <v>6.47</v>
      </c>
      <c r="AO596" s="329"/>
      <c r="AP596" s="329"/>
    </row>
    <row r="597">
      <c r="A597" s="319" t="s">
        <v>256</v>
      </c>
      <c r="B597" s="328">
        <v>46149.0</v>
      </c>
      <c r="C597" s="319" t="s">
        <v>214</v>
      </c>
      <c r="D597" s="320">
        <v>36076.0</v>
      </c>
      <c r="E597" s="320">
        <v>35.92</v>
      </c>
      <c r="F597" s="320">
        <v>0.0</v>
      </c>
      <c r="G597" s="320">
        <v>0.0</v>
      </c>
      <c r="H597" s="320">
        <v>0.0</v>
      </c>
      <c r="I597" s="329"/>
      <c r="J597" s="320">
        <v>27.72</v>
      </c>
      <c r="K597" s="320">
        <v>12.34</v>
      </c>
      <c r="L597" s="320">
        <v>5.29</v>
      </c>
      <c r="M597" s="320">
        <v>0.429</v>
      </c>
      <c r="N597" s="320">
        <v>0.7495</v>
      </c>
      <c r="O597" s="320">
        <v>0.5623</v>
      </c>
      <c r="P597" s="320">
        <v>2.3308</v>
      </c>
      <c r="Q597" s="320">
        <v>45.26</v>
      </c>
      <c r="R597" s="320">
        <v>36.13</v>
      </c>
      <c r="S597" s="320">
        <v>9.12</v>
      </c>
      <c r="T597" s="320">
        <v>0.0</v>
      </c>
      <c r="U597" s="320">
        <v>45.26</v>
      </c>
      <c r="V597" s="320">
        <v>47.57</v>
      </c>
      <c r="W597" s="320">
        <v>3.8559</v>
      </c>
      <c r="X597" s="320">
        <v>0.0</v>
      </c>
      <c r="Y597" s="320">
        <v>140.0</v>
      </c>
      <c r="Z597" s="320">
        <v>916.0</v>
      </c>
      <c r="AA597" s="320">
        <v>6216.0</v>
      </c>
      <c r="AB597" s="320">
        <v>48.925</v>
      </c>
      <c r="AC597" s="320">
        <v>0.5409</v>
      </c>
      <c r="AD597" s="320">
        <v>3.85</v>
      </c>
      <c r="AE597" s="320">
        <v>1.0</v>
      </c>
      <c r="AF597" s="320">
        <v>2.0</v>
      </c>
      <c r="AG597" s="320">
        <v>5.0</v>
      </c>
      <c r="AH597" s="320">
        <v>9.0</v>
      </c>
      <c r="AI597" s="320">
        <v>71.29</v>
      </c>
      <c r="AJ597" s="320">
        <v>29.28</v>
      </c>
      <c r="AK597" s="320">
        <v>8.06</v>
      </c>
      <c r="AL597" s="320">
        <v>0.2495</v>
      </c>
      <c r="AM597" s="320">
        <v>18.86</v>
      </c>
      <c r="AN597" s="320">
        <v>17.27</v>
      </c>
      <c r="AO597" s="320">
        <v>65.99</v>
      </c>
      <c r="AP597" s="320">
        <v>12.45</v>
      </c>
    </row>
    <row r="598">
      <c r="A598" s="319" t="s">
        <v>256</v>
      </c>
      <c r="B598" s="328">
        <v>46149.0</v>
      </c>
      <c r="C598" s="319" t="s">
        <v>215</v>
      </c>
      <c r="D598" s="320">
        <v>24728.0</v>
      </c>
      <c r="E598" s="320">
        <v>24.62</v>
      </c>
      <c r="F598" s="320">
        <v>0.0</v>
      </c>
      <c r="G598" s="320">
        <v>0.0</v>
      </c>
      <c r="H598" s="320">
        <v>0.0</v>
      </c>
      <c r="I598" s="329"/>
      <c r="J598" s="320">
        <v>51.09</v>
      </c>
      <c r="K598" s="320">
        <v>23.89</v>
      </c>
      <c r="L598" s="320">
        <v>13.31</v>
      </c>
      <c r="M598" s="320">
        <v>0.5573</v>
      </c>
      <c r="N598" s="320">
        <v>0.6419</v>
      </c>
      <c r="O598" s="320">
        <v>0.4548</v>
      </c>
      <c r="P598" s="320">
        <v>1.7945</v>
      </c>
      <c r="Q598" s="320">
        <v>92.11</v>
      </c>
      <c r="R598" s="320">
        <v>69.72</v>
      </c>
      <c r="S598" s="320">
        <v>22.39</v>
      </c>
      <c r="T598" s="320">
        <v>0.0</v>
      </c>
      <c r="U598" s="320">
        <v>92.11</v>
      </c>
      <c r="V598" s="320">
        <v>91.32</v>
      </c>
      <c r="W598" s="320">
        <v>3.8224</v>
      </c>
      <c r="X598" s="320">
        <v>0.0</v>
      </c>
      <c r="Y598" s="320">
        <v>132.0</v>
      </c>
      <c r="Z598" s="320">
        <v>717.0</v>
      </c>
      <c r="AA598" s="320">
        <v>5609.0</v>
      </c>
      <c r="AB598" s="320">
        <v>52.2825</v>
      </c>
      <c r="AC598" s="320">
        <v>0.6232</v>
      </c>
      <c r="AD598" s="320">
        <v>8.86</v>
      </c>
      <c r="AE598" s="320">
        <v>3.0</v>
      </c>
      <c r="AF598" s="320">
        <v>7.0</v>
      </c>
      <c r="AG598" s="320">
        <v>12.0</v>
      </c>
      <c r="AH598" s="320">
        <v>19.0</v>
      </c>
      <c r="AI598" s="320">
        <v>56.24</v>
      </c>
      <c r="AJ598" s="320">
        <v>23.4</v>
      </c>
      <c r="AK598" s="320">
        <v>4.24</v>
      </c>
      <c r="AL598" s="320">
        <v>0.2025</v>
      </c>
      <c r="AM598" s="320">
        <v>20.09</v>
      </c>
      <c r="AN598" s="320">
        <v>49.63</v>
      </c>
      <c r="AO598" s="320">
        <v>74.33</v>
      </c>
      <c r="AP598" s="320">
        <v>14.93</v>
      </c>
    </row>
    <row r="599">
      <c r="A599" s="319" t="s">
        <v>256</v>
      </c>
      <c r="B599" s="328">
        <v>46149.0</v>
      </c>
      <c r="C599" s="319" t="s">
        <v>216</v>
      </c>
      <c r="D599" s="320">
        <v>13516.0</v>
      </c>
      <c r="E599" s="320">
        <v>13.46</v>
      </c>
      <c r="F599" s="320">
        <v>0.0</v>
      </c>
      <c r="G599" s="320">
        <v>0.0</v>
      </c>
      <c r="H599" s="320">
        <v>0.0</v>
      </c>
      <c r="I599" s="329"/>
      <c r="J599" s="320">
        <v>75.97</v>
      </c>
      <c r="K599" s="320">
        <v>37.91</v>
      </c>
      <c r="L599" s="320">
        <v>25.81</v>
      </c>
      <c r="M599" s="320">
        <v>0.6807</v>
      </c>
      <c r="N599" s="320">
        <v>0.5151</v>
      </c>
      <c r="O599" s="320">
        <v>0.3617</v>
      </c>
      <c r="P599" s="320">
        <v>1.4691</v>
      </c>
      <c r="Q599" s="320">
        <v>180.03</v>
      </c>
      <c r="R599" s="320">
        <v>135.26</v>
      </c>
      <c r="S599" s="320">
        <v>44.77</v>
      </c>
      <c r="T599" s="320">
        <v>0.0</v>
      </c>
      <c r="U599" s="320">
        <v>180.03</v>
      </c>
      <c r="V599" s="320">
        <v>163.35</v>
      </c>
      <c r="W599" s="320">
        <v>4.3083</v>
      </c>
      <c r="X599" s="320">
        <v>0.0</v>
      </c>
      <c r="Y599" s="320">
        <v>168.0</v>
      </c>
      <c r="Z599" s="320">
        <v>1046.0</v>
      </c>
      <c r="AA599" s="320">
        <v>6428.0</v>
      </c>
      <c r="AB599" s="320">
        <v>55.7663</v>
      </c>
      <c r="AC599" s="320">
        <v>0.7359</v>
      </c>
      <c r="AD599" s="320">
        <v>17.83</v>
      </c>
      <c r="AE599" s="320">
        <v>7.0</v>
      </c>
      <c r="AF599" s="320">
        <v>14.0</v>
      </c>
      <c r="AG599" s="320">
        <v>24.0</v>
      </c>
      <c r="AH599" s="320">
        <v>38.0</v>
      </c>
      <c r="AI599" s="320">
        <v>59.53</v>
      </c>
      <c r="AJ599" s="320">
        <v>23.64</v>
      </c>
      <c r="AK599" s="320">
        <v>7.66</v>
      </c>
      <c r="AL599" s="320">
        <v>0.187</v>
      </c>
      <c r="AM599" s="320">
        <v>20.14</v>
      </c>
      <c r="AN599" s="320">
        <v>115.12</v>
      </c>
      <c r="AO599" s="320">
        <v>77.99</v>
      </c>
      <c r="AP599" s="320">
        <v>15.71</v>
      </c>
    </row>
    <row r="600">
      <c r="A600" s="319" t="s">
        <v>256</v>
      </c>
      <c r="B600" s="328">
        <v>46149.0</v>
      </c>
      <c r="C600" s="319" t="s">
        <v>217</v>
      </c>
      <c r="D600" s="320">
        <v>5738.0</v>
      </c>
      <c r="E600" s="320">
        <v>5.71</v>
      </c>
      <c r="F600" s="320">
        <v>0.0</v>
      </c>
      <c r="G600" s="320">
        <v>0.0</v>
      </c>
      <c r="H600" s="320">
        <v>0.0</v>
      </c>
      <c r="I600" s="329"/>
      <c r="J600" s="320">
        <v>126.29</v>
      </c>
      <c r="K600" s="320">
        <v>68.19</v>
      </c>
      <c r="L600" s="320">
        <v>55.37</v>
      </c>
      <c r="M600" s="320">
        <v>0.812</v>
      </c>
      <c r="N600" s="320">
        <v>0.3706</v>
      </c>
      <c r="O600" s="320">
        <v>0.2703</v>
      </c>
      <c r="P600" s="320">
        <v>1.2315</v>
      </c>
      <c r="Q600" s="320">
        <v>397.56</v>
      </c>
      <c r="R600" s="320">
        <v>300.14</v>
      </c>
      <c r="S600" s="320">
        <v>97.41</v>
      </c>
      <c r="T600" s="320">
        <v>0.0</v>
      </c>
      <c r="U600" s="320">
        <v>397.56</v>
      </c>
      <c r="V600" s="320">
        <v>317.16</v>
      </c>
      <c r="W600" s="320">
        <v>4.651</v>
      </c>
      <c r="X600" s="320">
        <v>0.0</v>
      </c>
      <c r="Y600" s="320">
        <v>367.0</v>
      </c>
      <c r="Z600" s="320">
        <v>2350.0</v>
      </c>
      <c r="AA600" s="320">
        <v>9501.0</v>
      </c>
      <c r="AB600" s="320">
        <v>59.5992</v>
      </c>
      <c r="AC600" s="320">
        <v>0.8265</v>
      </c>
      <c r="AD600" s="320">
        <v>39.54</v>
      </c>
      <c r="AE600" s="320">
        <v>15.0</v>
      </c>
      <c r="AF600" s="320">
        <v>32.0</v>
      </c>
      <c r="AG600" s="320">
        <v>54.0</v>
      </c>
      <c r="AH600" s="320">
        <v>82.0</v>
      </c>
      <c r="AI600" s="320">
        <v>55.98</v>
      </c>
      <c r="AJ600" s="320">
        <v>20.69</v>
      </c>
      <c r="AK600" s="320">
        <v>5.44</v>
      </c>
      <c r="AL600" s="320">
        <v>0.1342</v>
      </c>
      <c r="AM600" s="320">
        <v>21.35</v>
      </c>
      <c r="AN600" s="320">
        <v>278.79</v>
      </c>
      <c r="AO600" s="320">
        <v>82.87</v>
      </c>
      <c r="AP600" s="320">
        <v>17.69</v>
      </c>
    </row>
    <row r="601">
      <c r="A601" s="319" t="s">
        <v>256</v>
      </c>
      <c r="B601" s="328">
        <v>46149.0</v>
      </c>
      <c r="C601" s="319" t="s">
        <v>218</v>
      </c>
      <c r="D601" s="320">
        <v>595.0</v>
      </c>
      <c r="E601" s="320">
        <v>0.59</v>
      </c>
      <c r="F601" s="320">
        <v>0.0</v>
      </c>
      <c r="G601" s="320">
        <v>0.0</v>
      </c>
      <c r="H601" s="320">
        <v>0.0</v>
      </c>
      <c r="I601" s="329"/>
      <c r="J601" s="320">
        <v>253.45</v>
      </c>
      <c r="K601" s="320">
        <v>148.18</v>
      </c>
      <c r="L601" s="320">
        <v>131.76</v>
      </c>
      <c r="M601" s="320">
        <v>0.8892</v>
      </c>
      <c r="N601" s="320">
        <v>0.2633</v>
      </c>
      <c r="O601" s="320">
        <v>0.2024</v>
      </c>
      <c r="P601" s="320">
        <v>1.1246</v>
      </c>
      <c r="Q601" s="320">
        <v>804.69</v>
      </c>
      <c r="R601" s="320">
        <v>571.69</v>
      </c>
      <c r="S601" s="320">
        <v>233.0</v>
      </c>
      <c r="T601" s="320">
        <v>0.0</v>
      </c>
      <c r="U601" s="320">
        <v>804.69</v>
      </c>
      <c r="V601" s="320">
        <v>662.77</v>
      </c>
      <c r="W601" s="320">
        <v>4.4727</v>
      </c>
      <c r="X601" s="320">
        <v>0.0</v>
      </c>
      <c r="Y601" s="320">
        <v>870.0</v>
      </c>
      <c r="Z601" s="320">
        <v>3969.0</v>
      </c>
      <c r="AA601" s="320">
        <v>13286.0</v>
      </c>
      <c r="AB601" s="320">
        <v>62.9259</v>
      </c>
      <c r="AC601" s="320">
        <v>0.8842</v>
      </c>
      <c r="AD601" s="320">
        <v>96.88</v>
      </c>
      <c r="AE601" s="320">
        <v>44.0</v>
      </c>
      <c r="AF601" s="320">
        <v>88.0</v>
      </c>
      <c r="AG601" s="320">
        <v>132.0</v>
      </c>
      <c r="AH601" s="320">
        <v>184.0</v>
      </c>
      <c r="AI601" s="320">
        <v>54.29</v>
      </c>
      <c r="AJ601" s="320">
        <v>11.43</v>
      </c>
      <c r="AK601" s="320">
        <v>1.68</v>
      </c>
      <c r="AL601" s="320">
        <v>0.0756</v>
      </c>
      <c r="AM601" s="320">
        <v>24.76</v>
      </c>
      <c r="AN601" s="320">
        <v>546.94</v>
      </c>
      <c r="AO601" s="320">
        <v>86.63</v>
      </c>
      <c r="AP601" s="320">
        <v>21.45</v>
      </c>
    </row>
    <row r="602">
      <c r="A602" s="319" t="s">
        <v>256</v>
      </c>
      <c r="B602" s="328">
        <v>46150.0</v>
      </c>
      <c r="C602" s="319" t="s">
        <v>257</v>
      </c>
      <c r="D602" s="320">
        <v>18959.0</v>
      </c>
      <c r="E602" s="320">
        <v>19.28</v>
      </c>
      <c r="F602" s="320">
        <v>0.0</v>
      </c>
      <c r="G602" s="320">
        <v>0.0</v>
      </c>
      <c r="H602" s="320">
        <v>0.0</v>
      </c>
      <c r="I602" s="329"/>
      <c r="J602" s="320">
        <v>5.77</v>
      </c>
      <c r="K602" s="320">
        <v>2.27</v>
      </c>
      <c r="L602" s="320">
        <v>0.03</v>
      </c>
      <c r="M602" s="320">
        <v>0.0141</v>
      </c>
      <c r="N602" s="320">
        <v>0.9895</v>
      </c>
      <c r="O602" s="320">
        <v>0.8751</v>
      </c>
      <c r="P602" s="320">
        <v>70.8995</v>
      </c>
      <c r="Q602" s="320">
        <v>27.13</v>
      </c>
      <c r="R602" s="320">
        <v>27.03</v>
      </c>
      <c r="S602" s="320">
        <v>0.1</v>
      </c>
      <c r="T602" s="320">
        <v>0.0</v>
      </c>
      <c r="U602" s="320">
        <v>27.13</v>
      </c>
      <c r="V602" s="320">
        <v>1.99</v>
      </c>
      <c r="W602" s="320">
        <v>0.8783</v>
      </c>
      <c r="X602" s="320">
        <v>0.0</v>
      </c>
      <c r="Y602" s="320">
        <v>363.0</v>
      </c>
      <c r="Z602" s="320">
        <v>4244.0</v>
      </c>
      <c r="AA602" s="320">
        <v>15809.0</v>
      </c>
      <c r="AB602" s="320">
        <v>49.3516</v>
      </c>
      <c r="AC602" s="320">
        <v>0.5509</v>
      </c>
      <c r="AD602" s="329"/>
      <c r="AE602" s="329"/>
      <c r="AF602" s="329"/>
      <c r="AG602" s="329"/>
      <c r="AH602" s="329"/>
      <c r="AI602" s="320">
        <v>0.0</v>
      </c>
      <c r="AJ602" s="320">
        <v>0.0</v>
      </c>
      <c r="AK602" s="320">
        <v>0.0</v>
      </c>
      <c r="AL602" s="320">
        <v>0.2978</v>
      </c>
      <c r="AM602" s="320">
        <v>18.03</v>
      </c>
      <c r="AN602" s="320">
        <v>9.0</v>
      </c>
      <c r="AO602" s="329"/>
      <c r="AP602" s="329"/>
    </row>
    <row r="603">
      <c r="A603" s="319" t="s">
        <v>256</v>
      </c>
      <c r="B603" s="328">
        <v>46150.0</v>
      </c>
      <c r="C603" s="319" t="s">
        <v>214</v>
      </c>
      <c r="D603" s="320">
        <v>36049.0</v>
      </c>
      <c r="E603" s="320">
        <v>36.65</v>
      </c>
      <c r="F603" s="320">
        <v>0.0</v>
      </c>
      <c r="G603" s="320">
        <v>0.0</v>
      </c>
      <c r="H603" s="320">
        <v>0.0</v>
      </c>
      <c r="I603" s="329"/>
      <c r="J603" s="320">
        <v>30.91</v>
      </c>
      <c r="K603" s="320">
        <v>13.86</v>
      </c>
      <c r="L603" s="320">
        <v>5.77</v>
      </c>
      <c r="M603" s="320">
        <v>0.4165</v>
      </c>
      <c r="N603" s="320">
        <v>0.7544</v>
      </c>
      <c r="O603" s="320">
        <v>0.555</v>
      </c>
      <c r="P603" s="320">
        <v>2.4012</v>
      </c>
      <c r="Q603" s="320">
        <v>57.64</v>
      </c>
      <c r="R603" s="320">
        <v>47.7</v>
      </c>
      <c r="S603" s="320">
        <v>9.94</v>
      </c>
      <c r="T603" s="320">
        <v>0.0</v>
      </c>
      <c r="U603" s="320">
        <v>57.64</v>
      </c>
      <c r="V603" s="320">
        <v>52.82</v>
      </c>
      <c r="W603" s="320">
        <v>3.8114</v>
      </c>
      <c r="X603" s="320">
        <v>0.0</v>
      </c>
      <c r="Y603" s="320">
        <v>143.0</v>
      </c>
      <c r="Z603" s="320">
        <v>887.0</v>
      </c>
      <c r="AA603" s="320">
        <v>6147.0</v>
      </c>
      <c r="AB603" s="320">
        <v>48.8189</v>
      </c>
      <c r="AC603" s="320">
        <v>0.5382</v>
      </c>
      <c r="AD603" s="320">
        <v>4.04</v>
      </c>
      <c r="AE603" s="320">
        <v>1.0</v>
      </c>
      <c r="AF603" s="320">
        <v>3.0</v>
      </c>
      <c r="AG603" s="320">
        <v>5.0</v>
      </c>
      <c r="AH603" s="320">
        <v>9.0</v>
      </c>
      <c r="AI603" s="320">
        <v>73.03</v>
      </c>
      <c r="AJ603" s="320">
        <v>30.92</v>
      </c>
      <c r="AK603" s="320">
        <v>8.68</v>
      </c>
      <c r="AL603" s="320">
        <v>0.2648</v>
      </c>
      <c r="AM603" s="320">
        <v>20.36</v>
      </c>
      <c r="AN603" s="320">
        <v>27.33</v>
      </c>
      <c r="AO603" s="320">
        <v>66.26</v>
      </c>
      <c r="AP603" s="320">
        <v>13.49</v>
      </c>
    </row>
    <row r="604">
      <c r="A604" s="319" t="s">
        <v>256</v>
      </c>
      <c r="B604" s="328">
        <v>46150.0</v>
      </c>
      <c r="C604" s="319" t="s">
        <v>215</v>
      </c>
      <c r="D604" s="320">
        <v>23829.0</v>
      </c>
      <c r="E604" s="320">
        <v>24.23</v>
      </c>
      <c r="F604" s="320">
        <v>0.0</v>
      </c>
      <c r="G604" s="320">
        <v>0.0</v>
      </c>
      <c r="H604" s="320">
        <v>0.0</v>
      </c>
      <c r="I604" s="329"/>
      <c r="J604" s="320">
        <v>57.46</v>
      </c>
      <c r="K604" s="320">
        <v>27.19</v>
      </c>
      <c r="L604" s="320">
        <v>14.24</v>
      </c>
      <c r="M604" s="320">
        <v>0.5238</v>
      </c>
      <c r="N604" s="320">
        <v>0.6635</v>
      </c>
      <c r="O604" s="320">
        <v>0.4608</v>
      </c>
      <c r="P604" s="320">
        <v>1.9091</v>
      </c>
      <c r="Q604" s="320">
        <v>102.33</v>
      </c>
      <c r="R604" s="320">
        <v>77.69</v>
      </c>
      <c r="S604" s="320">
        <v>24.64</v>
      </c>
      <c r="T604" s="320">
        <v>0.0</v>
      </c>
      <c r="U604" s="320">
        <v>102.33</v>
      </c>
      <c r="V604" s="320">
        <v>98.31</v>
      </c>
      <c r="W604" s="320">
        <v>3.6162</v>
      </c>
      <c r="X604" s="320">
        <v>0.0</v>
      </c>
      <c r="Y604" s="320">
        <v>129.0</v>
      </c>
      <c r="Z604" s="320">
        <v>677.0</v>
      </c>
      <c r="AA604" s="320">
        <v>5033.0</v>
      </c>
      <c r="AB604" s="320">
        <v>52.1536</v>
      </c>
      <c r="AC604" s="320">
        <v>0.6256</v>
      </c>
      <c r="AD604" s="320">
        <v>9.47</v>
      </c>
      <c r="AE604" s="320">
        <v>4.0</v>
      </c>
      <c r="AF604" s="320">
        <v>7.0</v>
      </c>
      <c r="AG604" s="320">
        <v>13.0</v>
      </c>
      <c r="AH604" s="320">
        <v>20.0</v>
      </c>
      <c r="AI604" s="320">
        <v>60.13</v>
      </c>
      <c r="AJ604" s="320">
        <v>26.21</v>
      </c>
      <c r="AK604" s="320">
        <v>5.07</v>
      </c>
      <c r="AL604" s="320">
        <v>0.2166</v>
      </c>
      <c r="AM604" s="320">
        <v>21.22</v>
      </c>
      <c r="AN604" s="320">
        <v>56.47</v>
      </c>
      <c r="AO604" s="320">
        <v>75.01</v>
      </c>
      <c r="AP604" s="320">
        <v>15.92</v>
      </c>
    </row>
    <row r="605">
      <c r="A605" s="319" t="s">
        <v>256</v>
      </c>
      <c r="B605" s="328">
        <v>46150.0</v>
      </c>
      <c r="C605" s="319" t="s">
        <v>216</v>
      </c>
      <c r="D605" s="320">
        <v>13284.0</v>
      </c>
      <c r="E605" s="320">
        <v>13.51</v>
      </c>
      <c r="F605" s="320">
        <v>0.0</v>
      </c>
      <c r="G605" s="320">
        <v>0.0</v>
      </c>
      <c r="H605" s="320">
        <v>0.0</v>
      </c>
      <c r="I605" s="329"/>
      <c r="J605" s="320">
        <v>83.33</v>
      </c>
      <c r="K605" s="320">
        <v>41.56</v>
      </c>
      <c r="L605" s="320">
        <v>27.15</v>
      </c>
      <c r="M605" s="320">
        <v>0.6534</v>
      </c>
      <c r="N605" s="320">
        <v>0.5336</v>
      </c>
      <c r="O605" s="320">
        <v>0.3658</v>
      </c>
      <c r="P605" s="320">
        <v>1.5305</v>
      </c>
      <c r="Q605" s="320">
        <v>166.37</v>
      </c>
      <c r="R605" s="320">
        <v>118.77</v>
      </c>
      <c r="S605" s="320">
        <v>47.6</v>
      </c>
      <c r="T605" s="320">
        <v>0.0</v>
      </c>
      <c r="U605" s="320">
        <v>166.37</v>
      </c>
      <c r="V605" s="320">
        <v>164.78</v>
      </c>
      <c r="W605" s="320">
        <v>3.9649</v>
      </c>
      <c r="X605" s="320">
        <v>0.0</v>
      </c>
      <c r="Y605" s="320">
        <v>160.0</v>
      </c>
      <c r="Z605" s="320">
        <v>987.0</v>
      </c>
      <c r="AA605" s="320">
        <v>5887.0</v>
      </c>
      <c r="AB605" s="320">
        <v>55.8045</v>
      </c>
      <c r="AC605" s="320">
        <v>0.7382</v>
      </c>
      <c r="AD605" s="320">
        <v>18.32</v>
      </c>
      <c r="AE605" s="320">
        <v>7.0</v>
      </c>
      <c r="AF605" s="320">
        <v>14.0</v>
      </c>
      <c r="AG605" s="320">
        <v>25.0</v>
      </c>
      <c r="AH605" s="320">
        <v>38.0</v>
      </c>
      <c r="AI605" s="320">
        <v>61.16</v>
      </c>
      <c r="AJ605" s="320">
        <v>24.74</v>
      </c>
      <c r="AK605" s="320">
        <v>7.8</v>
      </c>
      <c r="AL605" s="320">
        <v>0.2038</v>
      </c>
      <c r="AM605" s="320">
        <v>21.17</v>
      </c>
      <c r="AN605" s="320">
        <v>97.6</v>
      </c>
      <c r="AO605" s="320">
        <v>78.39</v>
      </c>
      <c r="AP605" s="320">
        <v>16.6</v>
      </c>
    </row>
    <row r="606">
      <c r="A606" s="319" t="s">
        <v>256</v>
      </c>
      <c r="B606" s="328">
        <v>46150.0</v>
      </c>
      <c r="C606" s="319" t="s">
        <v>217</v>
      </c>
      <c r="D606" s="320">
        <v>5627.0</v>
      </c>
      <c r="E606" s="320">
        <v>5.72</v>
      </c>
      <c r="F606" s="320">
        <v>0.0</v>
      </c>
      <c r="G606" s="320">
        <v>0.0</v>
      </c>
      <c r="H606" s="320">
        <v>0.0</v>
      </c>
      <c r="I606" s="329"/>
      <c r="J606" s="320">
        <v>129.78</v>
      </c>
      <c r="K606" s="320">
        <v>69.38</v>
      </c>
      <c r="L606" s="320">
        <v>54.89</v>
      </c>
      <c r="M606" s="320">
        <v>0.7912</v>
      </c>
      <c r="N606" s="320">
        <v>0.3868</v>
      </c>
      <c r="O606" s="320">
        <v>0.2753</v>
      </c>
      <c r="P606" s="320">
        <v>1.264</v>
      </c>
      <c r="Q606" s="320">
        <v>278.48</v>
      </c>
      <c r="R606" s="320">
        <v>182.7</v>
      </c>
      <c r="S606" s="320">
        <v>95.78</v>
      </c>
      <c r="T606" s="320">
        <v>0.0</v>
      </c>
      <c r="U606" s="320">
        <v>278.48</v>
      </c>
      <c r="V606" s="320">
        <v>310.39</v>
      </c>
      <c r="W606" s="320">
        <v>4.4737</v>
      </c>
      <c r="X606" s="320">
        <v>0.0</v>
      </c>
      <c r="Y606" s="320">
        <v>326.0</v>
      </c>
      <c r="Z606" s="320">
        <v>2406.0</v>
      </c>
      <c r="AA606" s="320">
        <v>9538.0</v>
      </c>
      <c r="AB606" s="320">
        <v>59.4956</v>
      </c>
      <c r="AC606" s="320">
        <v>0.8419</v>
      </c>
      <c r="AD606" s="320">
        <v>38.55</v>
      </c>
      <c r="AE606" s="320">
        <v>16.0</v>
      </c>
      <c r="AF606" s="320">
        <v>31.0</v>
      </c>
      <c r="AG606" s="320">
        <v>53.0</v>
      </c>
      <c r="AH606" s="320">
        <v>80.0</v>
      </c>
      <c r="AI606" s="320">
        <v>55.34</v>
      </c>
      <c r="AJ606" s="320">
        <v>20.28</v>
      </c>
      <c r="AK606" s="320">
        <v>4.99</v>
      </c>
      <c r="AL606" s="320">
        <v>0.1527</v>
      </c>
      <c r="AM606" s="320">
        <v>22.9</v>
      </c>
      <c r="AN606" s="320">
        <v>159.8</v>
      </c>
      <c r="AO606" s="320">
        <v>83.04</v>
      </c>
      <c r="AP606" s="320">
        <v>19.02</v>
      </c>
    </row>
    <row r="607">
      <c r="A607" s="319" t="s">
        <v>256</v>
      </c>
      <c r="B607" s="328">
        <v>46150.0</v>
      </c>
      <c r="C607" s="319" t="s">
        <v>218</v>
      </c>
      <c r="D607" s="320">
        <v>610.0</v>
      </c>
      <c r="E607" s="320">
        <v>0.62</v>
      </c>
      <c r="F607" s="320">
        <v>0.0</v>
      </c>
      <c r="G607" s="320">
        <v>0.0</v>
      </c>
      <c r="H607" s="320">
        <v>0.0</v>
      </c>
      <c r="I607" s="329"/>
      <c r="J607" s="320">
        <v>253.16</v>
      </c>
      <c r="K607" s="320">
        <v>145.2</v>
      </c>
      <c r="L607" s="320">
        <v>128.24</v>
      </c>
      <c r="M607" s="320">
        <v>0.8832</v>
      </c>
      <c r="N607" s="320">
        <v>0.2671</v>
      </c>
      <c r="O607" s="320">
        <v>0.2022</v>
      </c>
      <c r="P607" s="320">
        <v>1.1323</v>
      </c>
      <c r="Q607" s="320">
        <v>574.78</v>
      </c>
      <c r="R607" s="320">
        <v>348.45</v>
      </c>
      <c r="S607" s="320">
        <v>226.33</v>
      </c>
      <c r="T607" s="320">
        <v>0.0</v>
      </c>
      <c r="U607" s="320">
        <v>574.78</v>
      </c>
      <c r="V607" s="320">
        <v>664.59</v>
      </c>
      <c r="W607" s="320">
        <v>4.577</v>
      </c>
      <c r="X607" s="320">
        <v>0.0</v>
      </c>
      <c r="Y607" s="320">
        <v>956.0</v>
      </c>
      <c r="Z607" s="320">
        <v>3996.0</v>
      </c>
      <c r="AA607" s="320">
        <v>12551.0</v>
      </c>
      <c r="AB607" s="320">
        <v>63.3041</v>
      </c>
      <c r="AC607" s="320">
        <v>0.9109</v>
      </c>
      <c r="AD607" s="320">
        <v>94.2</v>
      </c>
      <c r="AE607" s="320">
        <v>40.0</v>
      </c>
      <c r="AF607" s="320">
        <v>83.0</v>
      </c>
      <c r="AG607" s="320">
        <v>136.0</v>
      </c>
      <c r="AH607" s="320">
        <v>187.0</v>
      </c>
      <c r="AI607" s="320">
        <v>51.8</v>
      </c>
      <c r="AJ607" s="320">
        <v>11.97</v>
      </c>
      <c r="AK607" s="320">
        <v>1.64</v>
      </c>
      <c r="AL607" s="320">
        <v>0.1098</v>
      </c>
      <c r="AM607" s="320">
        <v>24.73</v>
      </c>
      <c r="AN607" s="320">
        <v>323.72</v>
      </c>
      <c r="AO607" s="320">
        <v>84.17</v>
      </c>
      <c r="AP607" s="320">
        <v>20.82</v>
      </c>
    </row>
    <row r="608">
      <c r="A608" s="319" t="s">
        <v>256</v>
      </c>
      <c r="B608" s="328">
        <v>46151.0</v>
      </c>
      <c r="C608" s="319" t="s">
        <v>257</v>
      </c>
      <c r="D608" s="320">
        <v>19139.0</v>
      </c>
      <c r="E608" s="320">
        <v>19.77</v>
      </c>
      <c r="F608" s="320">
        <v>0.0</v>
      </c>
      <c r="G608" s="320">
        <v>0.0</v>
      </c>
      <c r="H608" s="320">
        <v>0.0</v>
      </c>
      <c r="I608" s="329"/>
      <c r="J608" s="320">
        <v>6.01</v>
      </c>
      <c r="K608" s="320">
        <v>2.46</v>
      </c>
      <c r="L608" s="320">
        <v>0.03</v>
      </c>
      <c r="M608" s="320">
        <v>0.0133</v>
      </c>
      <c r="N608" s="320">
        <v>0.9906</v>
      </c>
      <c r="O608" s="320">
        <v>0.8835</v>
      </c>
      <c r="P608" s="320">
        <v>75.248</v>
      </c>
      <c r="Q608" s="320">
        <v>25.46</v>
      </c>
      <c r="R608" s="320">
        <v>25.34</v>
      </c>
      <c r="S608" s="320">
        <v>0.11</v>
      </c>
      <c r="T608" s="320">
        <v>0.0</v>
      </c>
      <c r="U608" s="320">
        <v>25.46</v>
      </c>
      <c r="V608" s="320">
        <v>2.33</v>
      </c>
      <c r="W608" s="320">
        <v>0.9494</v>
      </c>
      <c r="X608" s="320">
        <v>0.0</v>
      </c>
      <c r="Y608" s="320">
        <v>336.0</v>
      </c>
      <c r="Z608" s="320">
        <v>3948.0</v>
      </c>
      <c r="AA608" s="320">
        <v>14831.0</v>
      </c>
      <c r="AB608" s="320">
        <v>49.0661</v>
      </c>
      <c r="AC608" s="320">
        <v>0.5417</v>
      </c>
      <c r="AD608" s="329"/>
      <c r="AE608" s="329"/>
      <c r="AF608" s="329"/>
      <c r="AG608" s="329"/>
      <c r="AH608" s="329"/>
      <c r="AI608" s="320">
        <v>0.0</v>
      </c>
      <c r="AJ608" s="320">
        <v>0.0</v>
      </c>
      <c r="AK608" s="320">
        <v>0.0</v>
      </c>
      <c r="AL608" s="320">
        <v>0.2887</v>
      </c>
      <c r="AM608" s="320">
        <v>18.85</v>
      </c>
      <c r="AN608" s="320">
        <v>6.5</v>
      </c>
      <c r="AO608" s="329"/>
      <c r="AP608" s="329"/>
    </row>
    <row r="609">
      <c r="A609" s="319" t="s">
        <v>256</v>
      </c>
      <c r="B609" s="328">
        <v>46151.0</v>
      </c>
      <c r="C609" s="319" t="s">
        <v>214</v>
      </c>
      <c r="D609" s="320">
        <v>35301.0</v>
      </c>
      <c r="E609" s="320">
        <v>36.46</v>
      </c>
      <c r="F609" s="320">
        <v>0.0</v>
      </c>
      <c r="G609" s="320">
        <v>0.0</v>
      </c>
      <c r="H609" s="320">
        <v>0.0</v>
      </c>
      <c r="I609" s="329"/>
      <c r="J609" s="320">
        <v>29.14</v>
      </c>
      <c r="K609" s="320">
        <v>13.17</v>
      </c>
      <c r="L609" s="320">
        <v>5.71</v>
      </c>
      <c r="M609" s="320">
        <v>0.4333</v>
      </c>
      <c r="N609" s="320">
        <v>0.7442</v>
      </c>
      <c r="O609" s="320">
        <v>0.5492</v>
      </c>
      <c r="P609" s="320">
        <v>2.3079</v>
      </c>
      <c r="Q609" s="320">
        <v>52.78</v>
      </c>
      <c r="R609" s="320">
        <v>43.0</v>
      </c>
      <c r="S609" s="320">
        <v>9.78</v>
      </c>
      <c r="T609" s="320">
        <v>0.0</v>
      </c>
      <c r="U609" s="320">
        <v>52.78</v>
      </c>
      <c r="V609" s="320">
        <v>53.46</v>
      </c>
      <c r="W609" s="320">
        <v>4.0594</v>
      </c>
      <c r="X609" s="320">
        <v>0.0</v>
      </c>
      <c r="Y609" s="320">
        <v>151.0</v>
      </c>
      <c r="Z609" s="320">
        <v>934.0</v>
      </c>
      <c r="AA609" s="320">
        <v>6314.0</v>
      </c>
      <c r="AB609" s="320">
        <v>48.871</v>
      </c>
      <c r="AC609" s="320">
        <v>0.5444</v>
      </c>
      <c r="AD609" s="320">
        <v>4.05</v>
      </c>
      <c r="AE609" s="320">
        <v>1.0</v>
      </c>
      <c r="AF609" s="320">
        <v>3.0</v>
      </c>
      <c r="AG609" s="320">
        <v>5.0</v>
      </c>
      <c r="AH609" s="320">
        <v>9.0</v>
      </c>
      <c r="AI609" s="320">
        <v>72.65</v>
      </c>
      <c r="AJ609" s="320">
        <v>31.09</v>
      </c>
      <c r="AK609" s="320">
        <v>9.16</v>
      </c>
      <c r="AL609" s="320">
        <v>0.2529</v>
      </c>
      <c r="AM609" s="320">
        <v>22.4</v>
      </c>
      <c r="AN609" s="320">
        <v>20.61</v>
      </c>
      <c r="AO609" s="320">
        <v>66.05</v>
      </c>
      <c r="AP609" s="320">
        <v>14.8</v>
      </c>
    </row>
    <row r="610">
      <c r="A610" s="319" t="s">
        <v>256</v>
      </c>
      <c r="B610" s="328">
        <v>46151.0</v>
      </c>
      <c r="C610" s="319" t="s">
        <v>215</v>
      </c>
      <c r="D610" s="320">
        <v>23069.0</v>
      </c>
      <c r="E610" s="320">
        <v>23.83</v>
      </c>
      <c r="F610" s="320">
        <v>0.0</v>
      </c>
      <c r="G610" s="320">
        <v>0.0</v>
      </c>
      <c r="H610" s="320">
        <v>0.0</v>
      </c>
      <c r="I610" s="329"/>
      <c r="J610" s="320">
        <v>53.47</v>
      </c>
      <c r="K610" s="320">
        <v>25.31</v>
      </c>
      <c r="L610" s="320">
        <v>13.97</v>
      </c>
      <c r="M610" s="320">
        <v>0.552</v>
      </c>
      <c r="N610" s="320">
        <v>0.6426</v>
      </c>
      <c r="O610" s="320">
        <v>0.4508</v>
      </c>
      <c r="P610" s="320">
        <v>1.8115</v>
      </c>
      <c r="Q610" s="320">
        <v>98.6</v>
      </c>
      <c r="R610" s="320">
        <v>74.42</v>
      </c>
      <c r="S610" s="320">
        <v>24.18</v>
      </c>
      <c r="T610" s="320">
        <v>0.0</v>
      </c>
      <c r="U610" s="320">
        <v>98.6</v>
      </c>
      <c r="V610" s="320">
        <v>98.08</v>
      </c>
      <c r="W610" s="320">
        <v>3.875</v>
      </c>
      <c r="X610" s="320">
        <v>0.0</v>
      </c>
      <c r="Y610" s="320">
        <v>135.0</v>
      </c>
      <c r="Z610" s="320">
        <v>753.0</v>
      </c>
      <c r="AA610" s="320">
        <v>5610.0</v>
      </c>
      <c r="AB610" s="320">
        <v>52.3174</v>
      </c>
      <c r="AC610" s="320">
        <v>0.6381</v>
      </c>
      <c r="AD610" s="320">
        <v>9.62</v>
      </c>
      <c r="AE610" s="320">
        <v>3.0</v>
      </c>
      <c r="AF610" s="320">
        <v>8.0</v>
      </c>
      <c r="AG610" s="320">
        <v>13.0</v>
      </c>
      <c r="AH610" s="320">
        <v>20.0</v>
      </c>
      <c r="AI610" s="320">
        <v>60.39</v>
      </c>
      <c r="AJ610" s="320">
        <v>27.15</v>
      </c>
      <c r="AK610" s="320">
        <v>5.22</v>
      </c>
      <c r="AL610" s="320">
        <v>0.2108</v>
      </c>
      <c r="AM610" s="320">
        <v>23.16</v>
      </c>
      <c r="AN610" s="320">
        <v>51.26</v>
      </c>
      <c r="AO610" s="320">
        <v>74.57</v>
      </c>
      <c r="AP610" s="320">
        <v>17.27</v>
      </c>
    </row>
    <row r="611">
      <c r="A611" s="319" t="s">
        <v>256</v>
      </c>
      <c r="B611" s="328">
        <v>46151.0</v>
      </c>
      <c r="C611" s="319" t="s">
        <v>216</v>
      </c>
      <c r="D611" s="320">
        <v>13155.0</v>
      </c>
      <c r="E611" s="320">
        <v>13.59</v>
      </c>
      <c r="F611" s="320">
        <v>0.0</v>
      </c>
      <c r="G611" s="320">
        <v>0.0</v>
      </c>
      <c r="H611" s="320">
        <v>0.0</v>
      </c>
      <c r="I611" s="329"/>
      <c r="J611" s="320">
        <v>81.11</v>
      </c>
      <c r="K611" s="320">
        <v>40.64</v>
      </c>
      <c r="L611" s="320">
        <v>27.26</v>
      </c>
      <c r="M611" s="320">
        <v>0.6708</v>
      </c>
      <c r="N611" s="320">
        <v>0.5219</v>
      </c>
      <c r="O611" s="320">
        <v>0.3625</v>
      </c>
      <c r="P611" s="320">
        <v>1.4907</v>
      </c>
      <c r="Q611" s="320">
        <v>170.29</v>
      </c>
      <c r="R611" s="320">
        <v>122.67</v>
      </c>
      <c r="S611" s="320">
        <v>47.62</v>
      </c>
      <c r="T611" s="320">
        <v>0.01</v>
      </c>
      <c r="U611" s="320">
        <v>170.28</v>
      </c>
      <c r="V611" s="320">
        <v>170.24</v>
      </c>
      <c r="W611" s="320">
        <v>4.1887</v>
      </c>
      <c r="X611" s="320">
        <v>0.01</v>
      </c>
      <c r="Y611" s="320">
        <v>165.0</v>
      </c>
      <c r="Z611" s="320">
        <v>968.0</v>
      </c>
      <c r="AA611" s="320">
        <v>6063.0</v>
      </c>
      <c r="AB611" s="320">
        <v>55.6328</v>
      </c>
      <c r="AC611" s="320">
        <v>0.7389</v>
      </c>
      <c r="AD611" s="320">
        <v>18.6</v>
      </c>
      <c r="AE611" s="320">
        <v>7.0</v>
      </c>
      <c r="AF611" s="320">
        <v>14.0</v>
      </c>
      <c r="AG611" s="320">
        <v>25.0</v>
      </c>
      <c r="AH611" s="320">
        <v>39.0</v>
      </c>
      <c r="AI611" s="320">
        <v>61.22</v>
      </c>
      <c r="AJ611" s="320">
        <v>24.91</v>
      </c>
      <c r="AK611" s="320">
        <v>8.54</v>
      </c>
      <c r="AL611" s="320">
        <v>0.1912</v>
      </c>
      <c r="AM611" s="320">
        <v>23.03</v>
      </c>
      <c r="AN611" s="320">
        <v>99.64</v>
      </c>
      <c r="AO611" s="320">
        <v>77.73</v>
      </c>
      <c r="AP611" s="320">
        <v>17.9</v>
      </c>
    </row>
    <row r="612">
      <c r="A612" s="319" t="s">
        <v>256</v>
      </c>
      <c r="B612" s="328">
        <v>46151.0</v>
      </c>
      <c r="C612" s="319" t="s">
        <v>217</v>
      </c>
      <c r="D612" s="320">
        <v>5535.0</v>
      </c>
      <c r="E612" s="320">
        <v>5.72</v>
      </c>
      <c r="F612" s="320">
        <v>0.0</v>
      </c>
      <c r="G612" s="320">
        <v>0.0</v>
      </c>
      <c r="H612" s="320">
        <v>0.0</v>
      </c>
      <c r="I612" s="329"/>
      <c r="J612" s="320">
        <v>127.1</v>
      </c>
      <c r="K612" s="320">
        <v>68.44</v>
      </c>
      <c r="L612" s="320">
        <v>55.26</v>
      </c>
      <c r="M612" s="320">
        <v>0.8074</v>
      </c>
      <c r="N612" s="320">
        <v>0.3746</v>
      </c>
      <c r="O612" s="320">
        <v>0.2719</v>
      </c>
      <c r="P612" s="320">
        <v>1.2385</v>
      </c>
      <c r="Q612" s="320">
        <v>318.98</v>
      </c>
      <c r="R612" s="320">
        <v>222.24</v>
      </c>
      <c r="S612" s="320">
        <v>96.74</v>
      </c>
      <c r="T612" s="320">
        <v>0.0</v>
      </c>
      <c r="U612" s="320">
        <v>318.98</v>
      </c>
      <c r="V612" s="320">
        <v>323.96</v>
      </c>
      <c r="W612" s="320">
        <v>4.7334</v>
      </c>
      <c r="X612" s="320">
        <v>0.0</v>
      </c>
      <c r="Y612" s="320">
        <v>338.0</v>
      </c>
      <c r="Z612" s="320">
        <v>2426.0</v>
      </c>
      <c r="AA612" s="320">
        <v>9415.0</v>
      </c>
      <c r="AB612" s="320">
        <v>59.4716</v>
      </c>
      <c r="AC612" s="320">
        <v>0.8432</v>
      </c>
      <c r="AD612" s="320">
        <v>39.49</v>
      </c>
      <c r="AE612" s="320">
        <v>15.0</v>
      </c>
      <c r="AF612" s="320">
        <v>31.0</v>
      </c>
      <c r="AG612" s="320">
        <v>55.0</v>
      </c>
      <c r="AH612" s="320">
        <v>81.0</v>
      </c>
      <c r="AI612" s="320">
        <v>55.01</v>
      </c>
      <c r="AJ612" s="320">
        <v>22.13</v>
      </c>
      <c r="AK612" s="320">
        <v>5.19</v>
      </c>
      <c r="AL612" s="320">
        <v>0.1462</v>
      </c>
      <c r="AM612" s="320">
        <v>23.01</v>
      </c>
      <c r="AN612" s="320">
        <v>199.23</v>
      </c>
      <c r="AO612" s="320">
        <v>82.41</v>
      </c>
      <c r="AP612" s="320">
        <v>18.96</v>
      </c>
    </row>
    <row r="613">
      <c r="A613" s="319" t="s">
        <v>256</v>
      </c>
      <c r="B613" s="328">
        <v>46151.0</v>
      </c>
      <c r="C613" s="319" t="s">
        <v>218</v>
      </c>
      <c r="D613" s="320">
        <v>618.0</v>
      </c>
      <c r="E613" s="320">
        <v>0.64</v>
      </c>
      <c r="F613" s="320">
        <v>0.0</v>
      </c>
      <c r="G613" s="320">
        <v>0.0</v>
      </c>
      <c r="H613" s="320">
        <v>0.0</v>
      </c>
      <c r="I613" s="329"/>
      <c r="J613" s="320">
        <v>232.44</v>
      </c>
      <c r="K613" s="320">
        <v>134.85</v>
      </c>
      <c r="L613" s="320">
        <v>120.33</v>
      </c>
      <c r="M613" s="320">
        <v>0.8923</v>
      </c>
      <c r="N613" s="320">
        <v>0.2618</v>
      </c>
      <c r="O613" s="320">
        <v>0.2036</v>
      </c>
      <c r="P613" s="320">
        <v>1.1207</v>
      </c>
      <c r="Q613" s="320">
        <v>617.35</v>
      </c>
      <c r="R613" s="320">
        <v>403.69</v>
      </c>
      <c r="S613" s="320">
        <v>213.66</v>
      </c>
      <c r="T613" s="320">
        <v>0.0</v>
      </c>
      <c r="U613" s="320">
        <v>617.35</v>
      </c>
      <c r="V613" s="320">
        <v>583.58</v>
      </c>
      <c r="W613" s="320">
        <v>4.3275</v>
      </c>
      <c r="X613" s="320">
        <v>0.0</v>
      </c>
      <c r="Y613" s="320">
        <v>1002.0</v>
      </c>
      <c r="Z613" s="320">
        <v>4747.0</v>
      </c>
      <c r="AA613" s="320">
        <v>13791.0</v>
      </c>
      <c r="AB613" s="320">
        <v>62.7955</v>
      </c>
      <c r="AC613" s="320">
        <v>0.8986</v>
      </c>
      <c r="AD613" s="320">
        <v>87.2</v>
      </c>
      <c r="AE613" s="320">
        <v>33.0</v>
      </c>
      <c r="AF613" s="320">
        <v>72.0</v>
      </c>
      <c r="AG613" s="320">
        <v>125.0</v>
      </c>
      <c r="AH613" s="320">
        <v>172.0</v>
      </c>
      <c r="AI613" s="320">
        <v>45.63</v>
      </c>
      <c r="AJ613" s="320">
        <v>9.55</v>
      </c>
      <c r="AK613" s="320">
        <v>1.62</v>
      </c>
      <c r="AL613" s="320">
        <v>0.0906</v>
      </c>
      <c r="AM613" s="320">
        <v>24.64</v>
      </c>
      <c r="AN613" s="320">
        <v>379.06</v>
      </c>
      <c r="AO613" s="320">
        <v>84.63</v>
      </c>
      <c r="AP613" s="320">
        <v>20.85</v>
      </c>
    </row>
    <row r="614">
      <c r="A614" s="319" t="s">
        <v>256</v>
      </c>
      <c r="B614" s="328">
        <v>46152.0</v>
      </c>
      <c r="C614" s="319" t="s">
        <v>257</v>
      </c>
      <c r="D614" s="320">
        <v>19345.0</v>
      </c>
      <c r="E614" s="320">
        <v>19.7</v>
      </c>
      <c r="F614" s="320">
        <v>0.0</v>
      </c>
      <c r="G614" s="320">
        <v>0.0</v>
      </c>
      <c r="H614" s="320">
        <v>0.0</v>
      </c>
      <c r="I614" s="329"/>
      <c r="J614" s="320">
        <v>6.1</v>
      </c>
      <c r="K614" s="320">
        <v>2.5</v>
      </c>
      <c r="L614" s="320">
        <v>0.03</v>
      </c>
      <c r="M614" s="320">
        <v>0.0124</v>
      </c>
      <c r="N614" s="320">
        <v>0.9907</v>
      </c>
      <c r="O614" s="320">
        <v>0.8772</v>
      </c>
      <c r="P614" s="320">
        <v>80.5275</v>
      </c>
      <c r="Q614" s="320">
        <v>22.91</v>
      </c>
      <c r="R614" s="320">
        <v>22.8</v>
      </c>
      <c r="S614" s="320">
        <v>0.11</v>
      </c>
      <c r="T614" s="320">
        <v>0.0</v>
      </c>
      <c r="U614" s="320">
        <v>22.91</v>
      </c>
      <c r="V614" s="320">
        <v>2.13</v>
      </c>
      <c r="W614" s="320">
        <v>0.8534</v>
      </c>
      <c r="X614" s="320">
        <v>0.0</v>
      </c>
      <c r="Y614" s="320">
        <v>328.0</v>
      </c>
      <c r="Z614" s="320">
        <v>4033.0</v>
      </c>
      <c r="AA614" s="320">
        <v>15309.0</v>
      </c>
      <c r="AB614" s="320">
        <v>49.1949</v>
      </c>
      <c r="AC614" s="320">
        <v>0.5489</v>
      </c>
      <c r="AD614" s="329"/>
      <c r="AE614" s="329"/>
      <c r="AF614" s="329"/>
      <c r="AG614" s="329"/>
      <c r="AH614" s="329"/>
      <c r="AI614" s="320">
        <v>0.0</v>
      </c>
      <c r="AJ614" s="320">
        <v>0.0</v>
      </c>
      <c r="AK614" s="320">
        <v>0.0</v>
      </c>
      <c r="AL614" s="320">
        <v>0.2933</v>
      </c>
      <c r="AM614" s="320">
        <v>18.66</v>
      </c>
      <c r="AN614" s="320">
        <v>4.14</v>
      </c>
      <c r="AO614" s="329"/>
      <c r="AP614" s="329"/>
    </row>
    <row r="615">
      <c r="A615" s="319" t="s">
        <v>256</v>
      </c>
      <c r="B615" s="328">
        <v>46152.0</v>
      </c>
      <c r="C615" s="319" t="s">
        <v>214</v>
      </c>
      <c r="D615" s="320">
        <v>35761.0</v>
      </c>
      <c r="E615" s="320">
        <v>36.41</v>
      </c>
      <c r="F615" s="320">
        <v>0.0</v>
      </c>
      <c r="G615" s="320">
        <v>0.0</v>
      </c>
      <c r="H615" s="320">
        <v>0.0</v>
      </c>
      <c r="I615" s="329"/>
      <c r="J615" s="320">
        <v>32.45</v>
      </c>
      <c r="K615" s="320">
        <v>14.98</v>
      </c>
      <c r="L615" s="320">
        <v>5.85</v>
      </c>
      <c r="M615" s="320">
        <v>0.3907</v>
      </c>
      <c r="N615" s="320">
        <v>0.7712</v>
      </c>
      <c r="O615" s="320">
        <v>0.5636</v>
      </c>
      <c r="P615" s="320">
        <v>2.5592</v>
      </c>
      <c r="Q615" s="320">
        <v>47.47</v>
      </c>
      <c r="R615" s="320">
        <v>37.3</v>
      </c>
      <c r="S615" s="320">
        <v>10.16</v>
      </c>
      <c r="T615" s="320">
        <v>0.01</v>
      </c>
      <c r="U615" s="320">
        <v>47.46</v>
      </c>
      <c r="V615" s="320">
        <v>51.87</v>
      </c>
      <c r="W615" s="320">
        <v>3.4629</v>
      </c>
      <c r="X615" s="320">
        <v>0.01</v>
      </c>
      <c r="Y615" s="320">
        <v>139.0</v>
      </c>
      <c r="Z615" s="320">
        <v>901.0</v>
      </c>
      <c r="AA615" s="320">
        <v>6180.0</v>
      </c>
      <c r="AB615" s="320">
        <v>48.8911</v>
      </c>
      <c r="AC615" s="320">
        <v>0.5442</v>
      </c>
      <c r="AD615" s="320">
        <v>4.05</v>
      </c>
      <c r="AE615" s="320">
        <v>1.0</v>
      </c>
      <c r="AF615" s="320">
        <v>3.0</v>
      </c>
      <c r="AG615" s="320">
        <v>5.0</v>
      </c>
      <c r="AH615" s="320">
        <v>9.0</v>
      </c>
      <c r="AI615" s="320">
        <v>73.31</v>
      </c>
      <c r="AJ615" s="320">
        <v>31.03</v>
      </c>
      <c r="AK615" s="320">
        <v>8.86</v>
      </c>
      <c r="AL615" s="320">
        <v>0.2589</v>
      </c>
      <c r="AM615" s="320">
        <v>20.95</v>
      </c>
      <c r="AN615" s="320">
        <v>16.36</v>
      </c>
      <c r="AO615" s="320">
        <v>65.62</v>
      </c>
      <c r="AP615" s="320">
        <v>13.75</v>
      </c>
    </row>
    <row r="616">
      <c r="A616" s="319" t="s">
        <v>256</v>
      </c>
      <c r="B616" s="328">
        <v>46152.0</v>
      </c>
      <c r="C616" s="319" t="s">
        <v>215</v>
      </c>
      <c r="D616" s="320">
        <v>23413.0</v>
      </c>
      <c r="E616" s="320">
        <v>23.84</v>
      </c>
      <c r="F616" s="320">
        <v>0.0</v>
      </c>
      <c r="G616" s="320">
        <v>0.0</v>
      </c>
      <c r="H616" s="320">
        <v>0.0</v>
      </c>
      <c r="I616" s="329"/>
      <c r="J616" s="320">
        <v>60.52</v>
      </c>
      <c r="K616" s="320">
        <v>29.1</v>
      </c>
      <c r="L616" s="320">
        <v>14.69</v>
      </c>
      <c r="M616" s="320">
        <v>0.5048</v>
      </c>
      <c r="N616" s="320">
        <v>0.6754</v>
      </c>
      <c r="O616" s="320">
        <v>0.4646</v>
      </c>
      <c r="P616" s="320">
        <v>1.9811</v>
      </c>
      <c r="Q616" s="320">
        <v>84.85</v>
      </c>
      <c r="R616" s="320">
        <v>59.21</v>
      </c>
      <c r="S616" s="320">
        <v>25.64</v>
      </c>
      <c r="T616" s="320">
        <v>0.0</v>
      </c>
      <c r="U616" s="320">
        <v>84.84</v>
      </c>
      <c r="V616" s="320">
        <v>94.94</v>
      </c>
      <c r="W616" s="320">
        <v>3.2629</v>
      </c>
      <c r="X616" s="320">
        <v>0.0</v>
      </c>
      <c r="Y616" s="320">
        <v>118.0</v>
      </c>
      <c r="Z616" s="320">
        <v>702.0</v>
      </c>
      <c r="AA616" s="320">
        <v>5118.0</v>
      </c>
      <c r="AB616" s="320">
        <v>52.2376</v>
      </c>
      <c r="AC616" s="320">
        <v>0.6371</v>
      </c>
      <c r="AD616" s="320">
        <v>9.68</v>
      </c>
      <c r="AE616" s="320">
        <v>4.0</v>
      </c>
      <c r="AF616" s="320">
        <v>7.0</v>
      </c>
      <c r="AG616" s="320">
        <v>13.0</v>
      </c>
      <c r="AH616" s="320">
        <v>20.0</v>
      </c>
      <c r="AI616" s="320">
        <v>60.92</v>
      </c>
      <c r="AJ616" s="320">
        <v>27.12</v>
      </c>
      <c r="AK616" s="320">
        <v>5.44</v>
      </c>
      <c r="AL616" s="320">
        <v>0.2158</v>
      </c>
      <c r="AM616" s="320">
        <v>21.82</v>
      </c>
      <c r="AN616" s="320">
        <v>37.39</v>
      </c>
      <c r="AO616" s="320">
        <v>74.19</v>
      </c>
      <c r="AP616" s="320">
        <v>16.19</v>
      </c>
    </row>
    <row r="617">
      <c r="A617" s="319" t="s">
        <v>256</v>
      </c>
      <c r="B617" s="328">
        <v>46152.0</v>
      </c>
      <c r="C617" s="319" t="s">
        <v>216</v>
      </c>
      <c r="D617" s="320">
        <v>13448.0</v>
      </c>
      <c r="E617" s="320">
        <v>13.69</v>
      </c>
      <c r="F617" s="320">
        <v>0.0</v>
      </c>
      <c r="G617" s="320">
        <v>0.0</v>
      </c>
      <c r="H617" s="320">
        <v>0.0</v>
      </c>
      <c r="I617" s="329"/>
      <c r="J617" s="320">
        <v>88.38</v>
      </c>
      <c r="K617" s="320">
        <v>44.85</v>
      </c>
      <c r="L617" s="320">
        <v>28.7</v>
      </c>
      <c r="M617" s="320">
        <v>0.6398</v>
      </c>
      <c r="N617" s="320">
        <v>0.544</v>
      </c>
      <c r="O617" s="320">
        <v>0.3683</v>
      </c>
      <c r="P617" s="320">
        <v>1.5629</v>
      </c>
      <c r="Q617" s="320">
        <v>143.18</v>
      </c>
      <c r="R617" s="320">
        <v>93.07</v>
      </c>
      <c r="S617" s="320">
        <v>50.11</v>
      </c>
      <c r="T617" s="320">
        <v>0.0</v>
      </c>
      <c r="U617" s="320">
        <v>143.18</v>
      </c>
      <c r="V617" s="320">
        <v>169.33</v>
      </c>
      <c r="W617" s="320">
        <v>3.7753</v>
      </c>
      <c r="X617" s="320">
        <v>0.0</v>
      </c>
      <c r="Y617" s="320">
        <v>143.0</v>
      </c>
      <c r="Z617" s="320">
        <v>938.0</v>
      </c>
      <c r="AA617" s="320">
        <v>5985.0</v>
      </c>
      <c r="AB617" s="320">
        <v>55.607</v>
      </c>
      <c r="AC617" s="320">
        <v>0.7438</v>
      </c>
      <c r="AD617" s="320">
        <v>19.08</v>
      </c>
      <c r="AE617" s="320">
        <v>8.0</v>
      </c>
      <c r="AF617" s="320">
        <v>15.0</v>
      </c>
      <c r="AG617" s="320">
        <v>26.0</v>
      </c>
      <c r="AH617" s="320">
        <v>40.0</v>
      </c>
      <c r="AI617" s="320">
        <v>62.4</v>
      </c>
      <c r="AJ617" s="320">
        <v>26.19</v>
      </c>
      <c r="AK617" s="320">
        <v>9.17</v>
      </c>
      <c r="AL617" s="320">
        <v>0.1991</v>
      </c>
      <c r="AM617" s="320">
        <v>21.88</v>
      </c>
      <c r="AN617" s="320">
        <v>71.19</v>
      </c>
      <c r="AO617" s="320">
        <v>76.91</v>
      </c>
      <c r="AP617" s="320">
        <v>16.83</v>
      </c>
    </row>
    <row r="618">
      <c r="A618" s="319" t="s">
        <v>256</v>
      </c>
      <c r="B618" s="328">
        <v>46152.0</v>
      </c>
      <c r="C618" s="319" t="s">
        <v>217</v>
      </c>
      <c r="D618" s="320">
        <v>5631.0</v>
      </c>
      <c r="E618" s="320">
        <v>5.73</v>
      </c>
      <c r="F618" s="320">
        <v>0.0</v>
      </c>
      <c r="G618" s="320">
        <v>0.0</v>
      </c>
      <c r="H618" s="320">
        <v>0.0</v>
      </c>
      <c r="I618" s="329"/>
      <c r="J618" s="320">
        <v>132.87</v>
      </c>
      <c r="K618" s="320">
        <v>72.47</v>
      </c>
      <c r="L618" s="320">
        <v>56.77</v>
      </c>
      <c r="M618" s="320">
        <v>0.7834</v>
      </c>
      <c r="N618" s="320">
        <v>0.3915</v>
      </c>
      <c r="O618" s="320">
        <v>0.2754</v>
      </c>
      <c r="P618" s="320">
        <v>1.2764</v>
      </c>
      <c r="Q618" s="320">
        <v>242.55</v>
      </c>
      <c r="R618" s="320">
        <v>143.29</v>
      </c>
      <c r="S618" s="320">
        <v>99.26</v>
      </c>
      <c r="T618" s="320">
        <v>0.0</v>
      </c>
      <c r="U618" s="320">
        <v>242.55</v>
      </c>
      <c r="V618" s="320">
        <v>305.35</v>
      </c>
      <c r="W618" s="320">
        <v>4.2136</v>
      </c>
      <c r="X618" s="320">
        <v>0.0</v>
      </c>
      <c r="Y618" s="320">
        <v>292.0</v>
      </c>
      <c r="Z618" s="320">
        <v>2232.0</v>
      </c>
      <c r="AA618" s="320">
        <v>9177.0</v>
      </c>
      <c r="AB618" s="320">
        <v>59.5033</v>
      </c>
      <c r="AC618" s="320">
        <v>0.8454</v>
      </c>
      <c r="AD618" s="320">
        <v>39.31</v>
      </c>
      <c r="AE618" s="320">
        <v>15.0</v>
      </c>
      <c r="AF618" s="320">
        <v>30.0</v>
      </c>
      <c r="AG618" s="320">
        <v>55.0</v>
      </c>
      <c r="AH618" s="320">
        <v>83.0</v>
      </c>
      <c r="AI618" s="320">
        <v>53.81</v>
      </c>
      <c r="AJ618" s="320">
        <v>21.51</v>
      </c>
      <c r="AK618" s="320">
        <v>5.91</v>
      </c>
      <c r="AL618" s="320">
        <v>0.1552</v>
      </c>
      <c r="AM618" s="320">
        <v>22.02</v>
      </c>
      <c r="AN618" s="320">
        <v>121.27</v>
      </c>
      <c r="AO618" s="320">
        <v>81.08</v>
      </c>
      <c r="AP618" s="320">
        <v>17.85</v>
      </c>
    </row>
    <row r="619">
      <c r="A619" s="319" t="s">
        <v>256</v>
      </c>
      <c r="B619" s="328">
        <v>46152.0</v>
      </c>
      <c r="C619" s="319" t="s">
        <v>218</v>
      </c>
      <c r="D619" s="320">
        <v>618.0</v>
      </c>
      <c r="E619" s="320">
        <v>0.63</v>
      </c>
      <c r="F619" s="320">
        <v>0.0</v>
      </c>
      <c r="G619" s="320">
        <v>0.0</v>
      </c>
      <c r="H619" s="320">
        <v>0.0</v>
      </c>
      <c r="I619" s="329"/>
      <c r="J619" s="320">
        <v>235.12</v>
      </c>
      <c r="K619" s="320">
        <v>139.03</v>
      </c>
      <c r="L619" s="320">
        <v>122.47</v>
      </c>
      <c r="M619" s="320">
        <v>0.8808</v>
      </c>
      <c r="N619" s="320">
        <v>0.2704</v>
      </c>
      <c r="O619" s="320">
        <v>0.2041</v>
      </c>
      <c r="P619" s="320">
        <v>1.1353</v>
      </c>
      <c r="Q619" s="320">
        <v>469.4</v>
      </c>
      <c r="R619" s="320">
        <v>254.67</v>
      </c>
      <c r="S619" s="320">
        <v>214.72</v>
      </c>
      <c r="T619" s="320">
        <v>0.0</v>
      </c>
      <c r="U619" s="320">
        <v>469.4</v>
      </c>
      <c r="V619" s="320">
        <v>546.93</v>
      </c>
      <c r="W619" s="320">
        <v>3.9338</v>
      </c>
      <c r="X619" s="320">
        <v>0.0</v>
      </c>
      <c r="Y619" s="320">
        <v>836.0</v>
      </c>
      <c r="Z619" s="320">
        <v>4274.0</v>
      </c>
      <c r="AA619" s="320">
        <v>13761.0</v>
      </c>
      <c r="AB619" s="320">
        <v>62.765</v>
      </c>
      <c r="AC619" s="320">
        <v>0.9084</v>
      </c>
      <c r="AD619" s="320">
        <v>86.97</v>
      </c>
      <c r="AE619" s="320">
        <v>39.0</v>
      </c>
      <c r="AF619" s="320">
        <v>74.0</v>
      </c>
      <c r="AG619" s="320">
        <v>122.0</v>
      </c>
      <c r="AH619" s="320">
        <v>178.0</v>
      </c>
      <c r="AI619" s="320">
        <v>47.25</v>
      </c>
      <c r="AJ619" s="320">
        <v>9.71</v>
      </c>
      <c r="AK619" s="320">
        <v>0.32</v>
      </c>
      <c r="AL619" s="320">
        <v>0.1262</v>
      </c>
      <c r="AM619" s="320">
        <v>23.07</v>
      </c>
      <c r="AN619" s="320">
        <v>231.61</v>
      </c>
      <c r="AO619" s="320">
        <v>82.55</v>
      </c>
      <c r="AP619" s="320">
        <v>19.04</v>
      </c>
    </row>
    <row r="620">
      <c r="A620" s="319" t="s">
        <v>256</v>
      </c>
      <c r="B620" s="328">
        <v>46153.0</v>
      </c>
      <c r="C620" s="319" t="s">
        <v>257</v>
      </c>
      <c r="D620" s="320">
        <v>18532.0</v>
      </c>
      <c r="E620" s="320">
        <v>17.74</v>
      </c>
      <c r="F620" s="320">
        <v>0.0</v>
      </c>
      <c r="G620" s="320">
        <v>0.0</v>
      </c>
      <c r="H620" s="320">
        <v>0.0</v>
      </c>
      <c r="I620" s="329"/>
      <c r="J620" s="320">
        <v>5.78</v>
      </c>
      <c r="K620" s="320">
        <v>2.3</v>
      </c>
      <c r="L620" s="320">
        <v>0.07</v>
      </c>
      <c r="M620" s="320">
        <v>0.0301</v>
      </c>
      <c r="N620" s="320">
        <v>0.9759</v>
      </c>
      <c r="O620" s="320">
        <v>0.7622</v>
      </c>
      <c r="P620" s="320">
        <v>33.2237</v>
      </c>
      <c r="Q620" s="320">
        <v>33.2</v>
      </c>
      <c r="R620" s="320">
        <v>33.07</v>
      </c>
      <c r="S620" s="320">
        <v>0.13</v>
      </c>
      <c r="T620" s="320">
        <v>0.0</v>
      </c>
      <c r="U620" s="320">
        <v>33.2</v>
      </c>
      <c r="V620" s="320">
        <v>1.97</v>
      </c>
      <c r="W620" s="320">
        <v>0.8551</v>
      </c>
      <c r="X620" s="320">
        <v>0.0</v>
      </c>
      <c r="Y620" s="320">
        <v>463.0</v>
      </c>
      <c r="Z620" s="320">
        <v>4819.0</v>
      </c>
      <c r="AA620" s="320">
        <v>16604.0</v>
      </c>
      <c r="AB620" s="320">
        <v>49.6082</v>
      </c>
      <c r="AC620" s="320">
        <v>0.5563</v>
      </c>
      <c r="AD620" s="329"/>
      <c r="AE620" s="329"/>
      <c r="AF620" s="329"/>
      <c r="AG620" s="329"/>
      <c r="AH620" s="329"/>
      <c r="AI620" s="320">
        <v>0.0</v>
      </c>
      <c r="AJ620" s="320">
        <v>0.0</v>
      </c>
      <c r="AK620" s="320">
        <v>0.0</v>
      </c>
      <c r="AL620" s="320">
        <v>0.2715</v>
      </c>
      <c r="AM620" s="320">
        <v>16.89</v>
      </c>
      <c r="AN620" s="320">
        <v>16.18</v>
      </c>
      <c r="AO620" s="329"/>
      <c r="AP620" s="329"/>
    </row>
    <row r="621">
      <c r="A621" s="319" t="s">
        <v>256</v>
      </c>
      <c r="B621" s="328">
        <v>46153.0</v>
      </c>
      <c r="C621" s="319" t="s">
        <v>214</v>
      </c>
      <c r="D621" s="320">
        <v>37682.0</v>
      </c>
      <c r="E621" s="320">
        <v>36.08</v>
      </c>
      <c r="F621" s="320">
        <v>0.0</v>
      </c>
      <c r="G621" s="320">
        <v>0.0</v>
      </c>
      <c r="H621" s="320">
        <v>0.0</v>
      </c>
      <c r="I621" s="329"/>
      <c r="J621" s="320">
        <v>33.09</v>
      </c>
      <c r="K621" s="320">
        <v>15.1</v>
      </c>
      <c r="L621" s="320">
        <v>5.87</v>
      </c>
      <c r="M621" s="320">
        <v>0.3889</v>
      </c>
      <c r="N621" s="320">
        <v>0.7774</v>
      </c>
      <c r="O621" s="320">
        <v>0.5754</v>
      </c>
      <c r="P621" s="320">
        <v>2.5715</v>
      </c>
      <c r="Q621" s="320">
        <v>71.88</v>
      </c>
      <c r="R621" s="320">
        <v>62.11</v>
      </c>
      <c r="S621" s="320">
        <v>9.77</v>
      </c>
      <c r="T621" s="320">
        <v>0.01</v>
      </c>
      <c r="U621" s="320">
        <v>71.87</v>
      </c>
      <c r="V621" s="320">
        <v>59.05</v>
      </c>
      <c r="W621" s="320">
        <v>3.9091</v>
      </c>
      <c r="X621" s="320">
        <v>0.02</v>
      </c>
      <c r="Y621" s="320">
        <v>150.0</v>
      </c>
      <c r="Z621" s="320">
        <v>868.0</v>
      </c>
      <c r="AA621" s="320">
        <v>6177.0</v>
      </c>
      <c r="AB621" s="320">
        <v>48.6768</v>
      </c>
      <c r="AC621" s="320">
        <v>0.5246</v>
      </c>
      <c r="AD621" s="320">
        <v>4.02</v>
      </c>
      <c r="AE621" s="320">
        <v>1.0</v>
      </c>
      <c r="AF621" s="320">
        <v>3.0</v>
      </c>
      <c r="AG621" s="320">
        <v>5.0</v>
      </c>
      <c r="AH621" s="320">
        <v>9.0</v>
      </c>
      <c r="AI621" s="320">
        <v>73.35</v>
      </c>
      <c r="AJ621" s="320">
        <v>30.48</v>
      </c>
      <c r="AK621" s="320">
        <v>8.48</v>
      </c>
      <c r="AL621" s="320">
        <v>0.2268</v>
      </c>
      <c r="AM621" s="320">
        <v>18.6</v>
      </c>
      <c r="AN621" s="320">
        <v>43.51</v>
      </c>
      <c r="AO621" s="320">
        <v>65.5</v>
      </c>
      <c r="AP621" s="320">
        <v>12.18</v>
      </c>
    </row>
    <row r="622">
      <c r="A622" s="319" t="s">
        <v>256</v>
      </c>
      <c r="B622" s="328">
        <v>46153.0</v>
      </c>
      <c r="C622" s="319" t="s">
        <v>215</v>
      </c>
      <c r="D622" s="320">
        <v>26123.0</v>
      </c>
      <c r="E622" s="320">
        <v>25.01</v>
      </c>
      <c r="F622" s="320">
        <v>0.0</v>
      </c>
      <c r="G622" s="320">
        <v>0.0</v>
      </c>
      <c r="H622" s="320">
        <v>0.0</v>
      </c>
      <c r="I622" s="329"/>
      <c r="J622" s="320">
        <v>63.55</v>
      </c>
      <c r="K622" s="320">
        <v>29.99</v>
      </c>
      <c r="L622" s="320">
        <v>15.61</v>
      </c>
      <c r="M622" s="320">
        <v>0.5204</v>
      </c>
      <c r="N622" s="320">
        <v>0.6727</v>
      </c>
      <c r="O622" s="320">
        <v>0.4693</v>
      </c>
      <c r="P622" s="320">
        <v>1.9215</v>
      </c>
      <c r="Q622" s="320">
        <v>132.91</v>
      </c>
      <c r="R622" s="320">
        <v>107.84</v>
      </c>
      <c r="S622" s="320">
        <v>25.07</v>
      </c>
      <c r="T622" s="320">
        <v>0.03</v>
      </c>
      <c r="U622" s="320">
        <v>132.88</v>
      </c>
      <c r="V622" s="320">
        <v>116.47</v>
      </c>
      <c r="W622" s="320">
        <v>3.8836</v>
      </c>
      <c r="X622" s="320">
        <v>0.02</v>
      </c>
      <c r="Y622" s="320">
        <v>142.0</v>
      </c>
      <c r="Z622" s="320">
        <v>755.0</v>
      </c>
      <c r="AA622" s="320">
        <v>5728.0</v>
      </c>
      <c r="AB622" s="320">
        <v>51.999</v>
      </c>
      <c r="AC622" s="320">
        <v>0.5846</v>
      </c>
      <c r="AD622" s="320">
        <v>10.06</v>
      </c>
      <c r="AE622" s="320">
        <v>4.0</v>
      </c>
      <c r="AF622" s="320">
        <v>8.0</v>
      </c>
      <c r="AG622" s="320">
        <v>14.0</v>
      </c>
      <c r="AH622" s="320">
        <v>21.0</v>
      </c>
      <c r="AI622" s="320">
        <v>62.83</v>
      </c>
      <c r="AJ622" s="320">
        <v>28.88</v>
      </c>
      <c r="AK622" s="320">
        <v>6.13</v>
      </c>
      <c r="AL622" s="320">
        <v>0.1699</v>
      </c>
      <c r="AM622" s="320">
        <v>19.1</v>
      </c>
      <c r="AN622" s="320">
        <v>88.73</v>
      </c>
      <c r="AO622" s="320">
        <v>71.88</v>
      </c>
      <c r="AP622" s="320">
        <v>13.73</v>
      </c>
    </row>
    <row r="623">
      <c r="A623" s="319" t="s">
        <v>256</v>
      </c>
      <c r="B623" s="328">
        <v>46153.0</v>
      </c>
      <c r="C623" s="319" t="s">
        <v>216</v>
      </c>
      <c r="D623" s="320">
        <v>15188.0</v>
      </c>
      <c r="E623" s="320">
        <v>14.54</v>
      </c>
      <c r="F623" s="320">
        <v>0.0</v>
      </c>
      <c r="G623" s="320">
        <v>0.0</v>
      </c>
      <c r="H623" s="320">
        <v>0.0</v>
      </c>
      <c r="I623" s="329"/>
      <c r="J623" s="320">
        <v>91.94</v>
      </c>
      <c r="K623" s="320">
        <v>45.77</v>
      </c>
      <c r="L623" s="320">
        <v>30.68</v>
      </c>
      <c r="M623" s="320">
        <v>0.6703</v>
      </c>
      <c r="N623" s="320">
        <v>0.5282</v>
      </c>
      <c r="O623" s="320">
        <v>0.3658</v>
      </c>
      <c r="P623" s="320">
        <v>1.4919</v>
      </c>
      <c r="Q623" s="320">
        <v>224.34</v>
      </c>
      <c r="R623" s="320">
        <v>175.09</v>
      </c>
      <c r="S623" s="320">
        <v>49.25</v>
      </c>
      <c r="T623" s="320">
        <v>0.0</v>
      </c>
      <c r="U623" s="320">
        <v>224.34</v>
      </c>
      <c r="V623" s="320">
        <v>201.17</v>
      </c>
      <c r="W623" s="320">
        <v>4.3952</v>
      </c>
      <c r="X623" s="320">
        <v>0.0</v>
      </c>
      <c r="Y623" s="320">
        <v>181.0</v>
      </c>
      <c r="Z623" s="320">
        <v>1092.0</v>
      </c>
      <c r="AA623" s="320">
        <v>7601.0</v>
      </c>
      <c r="AB623" s="320">
        <v>55.275</v>
      </c>
      <c r="AC623" s="320">
        <v>0.6643</v>
      </c>
      <c r="AD623" s="320">
        <v>19.85</v>
      </c>
      <c r="AE623" s="320">
        <v>8.0</v>
      </c>
      <c r="AF623" s="320">
        <v>16.0</v>
      </c>
      <c r="AG623" s="320">
        <v>28.0</v>
      </c>
      <c r="AH623" s="320">
        <v>40.0</v>
      </c>
      <c r="AI623" s="320">
        <v>65.92</v>
      </c>
      <c r="AJ623" s="320">
        <v>29.1</v>
      </c>
      <c r="AK623" s="320">
        <v>7.8</v>
      </c>
      <c r="AL623" s="320">
        <v>0.1524</v>
      </c>
      <c r="AM623" s="320">
        <v>19.67</v>
      </c>
      <c r="AN623" s="320">
        <v>155.42</v>
      </c>
      <c r="AO623" s="320">
        <v>72.69</v>
      </c>
      <c r="AP623" s="320">
        <v>14.3</v>
      </c>
    </row>
    <row r="624">
      <c r="A624" s="319" t="s">
        <v>256</v>
      </c>
      <c r="B624" s="328">
        <v>46153.0</v>
      </c>
      <c r="C624" s="319" t="s">
        <v>217</v>
      </c>
      <c r="D624" s="320">
        <v>6318.0</v>
      </c>
      <c r="E624" s="320">
        <v>6.05</v>
      </c>
      <c r="F624" s="320">
        <v>0.0</v>
      </c>
      <c r="G624" s="320">
        <v>0.0</v>
      </c>
      <c r="H624" s="320">
        <v>0.0</v>
      </c>
      <c r="I624" s="329"/>
      <c r="J624" s="320">
        <v>143.21</v>
      </c>
      <c r="K624" s="320">
        <v>77.16</v>
      </c>
      <c r="L624" s="320">
        <v>62.41</v>
      </c>
      <c r="M624" s="320">
        <v>0.8089</v>
      </c>
      <c r="N624" s="320">
        <v>0.3786</v>
      </c>
      <c r="O624" s="320">
        <v>0.2754</v>
      </c>
      <c r="P624" s="320">
        <v>1.2363</v>
      </c>
      <c r="Q624" s="320">
        <v>393.7</v>
      </c>
      <c r="R624" s="320">
        <v>293.68</v>
      </c>
      <c r="S624" s="320">
        <v>100.02</v>
      </c>
      <c r="T624" s="320">
        <v>0.0</v>
      </c>
      <c r="U624" s="320">
        <v>393.7</v>
      </c>
      <c r="V624" s="320">
        <v>388.35</v>
      </c>
      <c r="W624" s="320">
        <v>5.033</v>
      </c>
      <c r="X624" s="320">
        <v>0.0</v>
      </c>
      <c r="Y624" s="320">
        <v>381.0</v>
      </c>
      <c r="Z624" s="320">
        <v>2560.0</v>
      </c>
      <c r="AA624" s="320">
        <v>11192.0</v>
      </c>
      <c r="AB624" s="320">
        <v>58.9138</v>
      </c>
      <c r="AC624" s="320">
        <v>0.7549</v>
      </c>
      <c r="AD624" s="320">
        <v>40.65</v>
      </c>
      <c r="AE624" s="320">
        <v>18.0</v>
      </c>
      <c r="AF624" s="320">
        <v>35.0</v>
      </c>
      <c r="AG624" s="320">
        <v>54.0</v>
      </c>
      <c r="AH624" s="320">
        <v>81.0</v>
      </c>
      <c r="AI624" s="320">
        <v>60.03</v>
      </c>
      <c r="AJ624" s="320">
        <v>21.35</v>
      </c>
      <c r="AK624" s="320">
        <v>4.97</v>
      </c>
      <c r="AL624" s="320">
        <v>0.1121</v>
      </c>
      <c r="AM624" s="320">
        <v>20.59</v>
      </c>
      <c r="AN624" s="320">
        <v>273.09</v>
      </c>
      <c r="AO624" s="320">
        <v>75.07</v>
      </c>
      <c r="AP624" s="320">
        <v>15.46</v>
      </c>
    </row>
    <row r="625">
      <c r="A625" s="319" t="s">
        <v>256</v>
      </c>
      <c r="B625" s="328">
        <v>46153.0</v>
      </c>
      <c r="C625" s="319" t="s">
        <v>218</v>
      </c>
      <c r="D625" s="320">
        <v>609.0</v>
      </c>
      <c r="E625" s="320">
        <v>0.58</v>
      </c>
      <c r="F625" s="320">
        <v>0.0</v>
      </c>
      <c r="G625" s="320">
        <v>0.0</v>
      </c>
      <c r="H625" s="320">
        <v>0.0</v>
      </c>
      <c r="I625" s="329"/>
      <c r="J625" s="320">
        <v>254.02</v>
      </c>
      <c r="K625" s="320">
        <v>149.22</v>
      </c>
      <c r="L625" s="320">
        <v>133.32</v>
      </c>
      <c r="M625" s="320">
        <v>0.8934</v>
      </c>
      <c r="N625" s="320">
        <v>0.2578</v>
      </c>
      <c r="O625" s="320">
        <v>0.1977</v>
      </c>
      <c r="P625" s="320">
        <v>1.1193</v>
      </c>
      <c r="Q625" s="320">
        <v>737.79</v>
      </c>
      <c r="R625" s="320">
        <v>503.67</v>
      </c>
      <c r="S625" s="320">
        <v>234.11</v>
      </c>
      <c r="T625" s="320">
        <v>0.0</v>
      </c>
      <c r="U625" s="320">
        <v>737.79</v>
      </c>
      <c r="V625" s="320">
        <v>640.72</v>
      </c>
      <c r="W625" s="320">
        <v>4.2938</v>
      </c>
      <c r="X625" s="320">
        <v>0.0</v>
      </c>
      <c r="Y625" s="320">
        <v>876.0</v>
      </c>
      <c r="Z625" s="320">
        <v>4189.0</v>
      </c>
      <c r="AA625" s="320">
        <v>13377.0</v>
      </c>
      <c r="AB625" s="320">
        <v>63.0669</v>
      </c>
      <c r="AC625" s="320">
        <v>0.8973</v>
      </c>
      <c r="AD625" s="320">
        <v>99.19</v>
      </c>
      <c r="AE625" s="320">
        <v>43.0</v>
      </c>
      <c r="AF625" s="320">
        <v>91.0</v>
      </c>
      <c r="AG625" s="320">
        <v>136.0</v>
      </c>
      <c r="AH625" s="320">
        <v>190.0</v>
      </c>
      <c r="AI625" s="320">
        <v>55.67</v>
      </c>
      <c r="AJ625" s="320">
        <v>13.79</v>
      </c>
      <c r="AK625" s="320">
        <v>1.81</v>
      </c>
      <c r="AL625" s="320">
        <v>0.087</v>
      </c>
      <c r="AM625" s="320">
        <v>23.13</v>
      </c>
      <c r="AN625" s="320">
        <v>480.55</v>
      </c>
      <c r="AO625" s="320">
        <v>84.99</v>
      </c>
      <c r="AP625" s="320">
        <v>19.66</v>
      </c>
    </row>
    <row r="626">
      <c r="A626" s="319" t="s">
        <v>256</v>
      </c>
      <c r="B626" s="328">
        <v>46154.0</v>
      </c>
      <c r="C626" s="319" t="s">
        <v>257</v>
      </c>
      <c r="D626" s="320">
        <v>19721.0</v>
      </c>
      <c r="E626" s="320">
        <v>18.79</v>
      </c>
      <c r="F626" s="320">
        <v>0.0</v>
      </c>
      <c r="G626" s="320">
        <v>0.0</v>
      </c>
      <c r="H626" s="320">
        <v>0.0</v>
      </c>
      <c r="I626" s="329"/>
      <c r="J626" s="320">
        <v>6.12</v>
      </c>
      <c r="K626" s="320">
        <v>2.57</v>
      </c>
      <c r="L626" s="320">
        <v>0.08</v>
      </c>
      <c r="M626" s="320">
        <v>0.0301</v>
      </c>
      <c r="N626" s="320">
        <v>0.9758</v>
      </c>
      <c r="O626" s="320">
        <v>0.7371</v>
      </c>
      <c r="P626" s="320">
        <v>33.259</v>
      </c>
      <c r="Q626" s="320">
        <v>25.0</v>
      </c>
      <c r="R626" s="320">
        <v>24.89</v>
      </c>
      <c r="S626" s="320">
        <v>0.12</v>
      </c>
      <c r="T626" s="320">
        <v>0.0</v>
      </c>
      <c r="U626" s="320">
        <v>25.0</v>
      </c>
      <c r="V626" s="320">
        <v>2.11</v>
      </c>
      <c r="W626" s="320">
        <v>0.8212</v>
      </c>
      <c r="X626" s="320">
        <v>0.0</v>
      </c>
      <c r="Y626" s="320">
        <v>355.0</v>
      </c>
      <c r="Z626" s="320">
        <v>4224.0</v>
      </c>
      <c r="AA626" s="320">
        <v>15683.0</v>
      </c>
      <c r="AB626" s="320">
        <v>49.049</v>
      </c>
      <c r="AC626" s="320">
        <v>0.5376</v>
      </c>
      <c r="AD626" s="329"/>
      <c r="AE626" s="329"/>
      <c r="AF626" s="329"/>
      <c r="AG626" s="329"/>
      <c r="AH626" s="329"/>
      <c r="AI626" s="320">
        <v>0.0</v>
      </c>
      <c r="AJ626" s="320">
        <v>0.0</v>
      </c>
      <c r="AK626" s="320">
        <v>0.0</v>
      </c>
      <c r="AL626" s="320">
        <v>0.2752</v>
      </c>
      <c r="AM626" s="320">
        <v>15.84</v>
      </c>
      <c r="AN626" s="320">
        <v>9.05</v>
      </c>
      <c r="AO626" s="329"/>
      <c r="AP626" s="329"/>
    </row>
    <row r="627">
      <c r="A627" s="319" t="s">
        <v>256</v>
      </c>
      <c r="B627" s="328">
        <v>46154.0</v>
      </c>
      <c r="C627" s="319" t="s">
        <v>214</v>
      </c>
      <c r="D627" s="320">
        <v>37569.0</v>
      </c>
      <c r="E627" s="320">
        <v>35.79</v>
      </c>
      <c r="F627" s="320">
        <v>0.0</v>
      </c>
      <c r="G627" s="320">
        <v>0.0</v>
      </c>
      <c r="H627" s="320">
        <v>0.0</v>
      </c>
      <c r="I627" s="329"/>
      <c r="J627" s="320">
        <v>28.82</v>
      </c>
      <c r="K627" s="320">
        <v>12.97</v>
      </c>
      <c r="L627" s="320">
        <v>5.41</v>
      </c>
      <c r="M627" s="320">
        <v>0.4168</v>
      </c>
      <c r="N627" s="320">
        <v>0.7579</v>
      </c>
      <c r="O627" s="320">
        <v>0.5656</v>
      </c>
      <c r="P627" s="320">
        <v>2.3991</v>
      </c>
      <c r="Q627" s="320">
        <v>51.43</v>
      </c>
      <c r="R627" s="320">
        <v>42.03</v>
      </c>
      <c r="S627" s="320">
        <v>9.39</v>
      </c>
      <c r="T627" s="320">
        <v>0.17</v>
      </c>
      <c r="U627" s="320">
        <v>51.25</v>
      </c>
      <c r="V627" s="320">
        <v>51.52</v>
      </c>
      <c r="W627" s="320">
        <v>3.9711</v>
      </c>
      <c r="X627" s="320">
        <v>0.34</v>
      </c>
      <c r="Y627" s="320">
        <v>151.0</v>
      </c>
      <c r="Z627" s="320">
        <v>933.0</v>
      </c>
      <c r="AA627" s="320">
        <v>5995.0</v>
      </c>
      <c r="AB627" s="320">
        <v>48.7051</v>
      </c>
      <c r="AC627" s="320">
        <v>0.5279</v>
      </c>
      <c r="AD627" s="320">
        <v>3.94</v>
      </c>
      <c r="AE627" s="320">
        <v>1.0</v>
      </c>
      <c r="AF627" s="320">
        <v>3.0</v>
      </c>
      <c r="AG627" s="320">
        <v>5.0</v>
      </c>
      <c r="AH627" s="320">
        <v>9.0</v>
      </c>
      <c r="AI627" s="320">
        <v>71.28</v>
      </c>
      <c r="AJ627" s="320">
        <v>29.6</v>
      </c>
      <c r="AK627" s="320">
        <v>8.65</v>
      </c>
      <c r="AL627" s="320">
        <v>0.2393</v>
      </c>
      <c r="AM627" s="320">
        <v>17.96</v>
      </c>
      <c r="AN627" s="320">
        <v>24.08</v>
      </c>
      <c r="AO627" s="320">
        <v>65.2</v>
      </c>
      <c r="AP627" s="320">
        <v>11.71</v>
      </c>
    </row>
    <row r="628">
      <c r="A628" s="319" t="s">
        <v>256</v>
      </c>
      <c r="B628" s="328">
        <v>46154.0</v>
      </c>
      <c r="C628" s="319" t="s">
        <v>215</v>
      </c>
      <c r="D628" s="320">
        <v>26158.0</v>
      </c>
      <c r="E628" s="320">
        <v>24.92</v>
      </c>
      <c r="F628" s="320">
        <v>0.0</v>
      </c>
      <c r="G628" s="320">
        <v>0.0</v>
      </c>
      <c r="H628" s="320">
        <v>0.0</v>
      </c>
      <c r="I628" s="329"/>
      <c r="J628" s="320">
        <v>55.17</v>
      </c>
      <c r="K628" s="320">
        <v>25.89</v>
      </c>
      <c r="L628" s="320">
        <v>14.39</v>
      </c>
      <c r="M628" s="320">
        <v>0.556</v>
      </c>
      <c r="N628" s="320">
        <v>0.6447</v>
      </c>
      <c r="O628" s="320">
        <v>0.45</v>
      </c>
      <c r="P628" s="320">
        <v>1.7986</v>
      </c>
      <c r="Q628" s="320">
        <v>103.52</v>
      </c>
      <c r="R628" s="320">
        <v>79.17</v>
      </c>
      <c r="S628" s="320">
        <v>24.36</v>
      </c>
      <c r="T628" s="320">
        <v>0.34</v>
      </c>
      <c r="U628" s="320">
        <v>103.18</v>
      </c>
      <c r="V628" s="320">
        <v>103.3</v>
      </c>
      <c r="W628" s="320">
        <v>3.9904</v>
      </c>
      <c r="X628" s="320">
        <v>0.33</v>
      </c>
      <c r="Y628" s="320">
        <v>140.0</v>
      </c>
      <c r="Z628" s="320">
        <v>788.0</v>
      </c>
      <c r="AA628" s="320">
        <v>6255.0</v>
      </c>
      <c r="AB628" s="320">
        <v>52.1893</v>
      </c>
      <c r="AC628" s="320">
        <v>0.5967</v>
      </c>
      <c r="AD628" s="320">
        <v>9.8</v>
      </c>
      <c r="AE628" s="320">
        <v>4.0</v>
      </c>
      <c r="AF628" s="320">
        <v>8.0</v>
      </c>
      <c r="AG628" s="320">
        <v>13.0</v>
      </c>
      <c r="AH628" s="320">
        <v>21.0</v>
      </c>
      <c r="AI628" s="320">
        <v>61.01</v>
      </c>
      <c r="AJ628" s="320">
        <v>27.82</v>
      </c>
      <c r="AK628" s="320">
        <v>5.65</v>
      </c>
      <c r="AL628" s="320">
        <v>0.1806</v>
      </c>
      <c r="AM628" s="320">
        <v>18.34</v>
      </c>
      <c r="AN628" s="320">
        <v>60.83</v>
      </c>
      <c r="AO628" s="320">
        <v>71.86</v>
      </c>
      <c r="AP628" s="320">
        <v>13.18</v>
      </c>
    </row>
    <row r="629">
      <c r="A629" s="319" t="s">
        <v>256</v>
      </c>
      <c r="B629" s="328">
        <v>46154.0</v>
      </c>
      <c r="C629" s="319" t="s">
        <v>216</v>
      </c>
      <c r="D629" s="320">
        <v>15122.0</v>
      </c>
      <c r="E629" s="320">
        <v>14.41</v>
      </c>
      <c r="F629" s="320">
        <v>0.0</v>
      </c>
      <c r="G629" s="320">
        <v>0.0</v>
      </c>
      <c r="H629" s="320">
        <v>0.0</v>
      </c>
      <c r="I629" s="329"/>
      <c r="J629" s="320">
        <v>83.38</v>
      </c>
      <c r="K629" s="320">
        <v>41.96</v>
      </c>
      <c r="L629" s="320">
        <v>29.35</v>
      </c>
      <c r="M629" s="320">
        <v>0.6994</v>
      </c>
      <c r="N629" s="320">
        <v>0.499</v>
      </c>
      <c r="O629" s="320">
        <v>0.3466</v>
      </c>
      <c r="P629" s="320">
        <v>1.4299</v>
      </c>
      <c r="Q629" s="320">
        <v>188.42</v>
      </c>
      <c r="R629" s="320">
        <v>142.27</v>
      </c>
      <c r="S629" s="320">
        <v>46.15</v>
      </c>
      <c r="T629" s="320">
        <v>0.0</v>
      </c>
      <c r="U629" s="320">
        <v>188.42</v>
      </c>
      <c r="V629" s="320">
        <v>178.56</v>
      </c>
      <c r="W629" s="320">
        <v>4.2556</v>
      </c>
      <c r="X629" s="320">
        <v>0.0</v>
      </c>
      <c r="Y629" s="320">
        <v>188.0</v>
      </c>
      <c r="Z629" s="320">
        <v>1145.0</v>
      </c>
      <c r="AA629" s="320">
        <v>7240.0</v>
      </c>
      <c r="AB629" s="320">
        <v>55.4197</v>
      </c>
      <c r="AC629" s="320">
        <v>0.6929</v>
      </c>
      <c r="AD629" s="320">
        <v>18.35</v>
      </c>
      <c r="AE629" s="320">
        <v>7.0</v>
      </c>
      <c r="AF629" s="320">
        <v>14.0</v>
      </c>
      <c r="AG629" s="320">
        <v>25.0</v>
      </c>
      <c r="AH629" s="320">
        <v>39.0</v>
      </c>
      <c r="AI629" s="320">
        <v>61.31</v>
      </c>
      <c r="AJ629" s="320">
        <v>25.21</v>
      </c>
      <c r="AK629" s="320">
        <v>8.01</v>
      </c>
      <c r="AL629" s="320">
        <v>0.1592</v>
      </c>
      <c r="AM629" s="320">
        <v>19.25</v>
      </c>
      <c r="AN629" s="320">
        <v>123.02</v>
      </c>
      <c r="AO629" s="320">
        <v>74.05</v>
      </c>
      <c r="AP629" s="320">
        <v>14.25</v>
      </c>
    </row>
    <row r="630">
      <c r="A630" s="319" t="s">
        <v>256</v>
      </c>
      <c r="B630" s="328">
        <v>46154.0</v>
      </c>
      <c r="C630" s="319" t="s">
        <v>217</v>
      </c>
      <c r="D630" s="320">
        <v>5761.0</v>
      </c>
      <c r="E630" s="320">
        <v>5.49</v>
      </c>
      <c r="F630" s="320">
        <v>0.0</v>
      </c>
      <c r="G630" s="320">
        <v>0.0</v>
      </c>
      <c r="H630" s="320">
        <v>0.0</v>
      </c>
      <c r="I630" s="329"/>
      <c r="J630" s="320">
        <v>127.58</v>
      </c>
      <c r="K630" s="320">
        <v>70.13</v>
      </c>
      <c r="L630" s="320">
        <v>56.9</v>
      </c>
      <c r="M630" s="320">
        <v>0.8114</v>
      </c>
      <c r="N630" s="320">
        <v>0.37</v>
      </c>
      <c r="O630" s="320">
        <v>0.2679</v>
      </c>
      <c r="P630" s="320">
        <v>1.2325</v>
      </c>
      <c r="Q630" s="320">
        <v>350.56</v>
      </c>
      <c r="R630" s="320">
        <v>252.23</v>
      </c>
      <c r="S630" s="320">
        <v>98.32</v>
      </c>
      <c r="T630" s="320">
        <v>0.0</v>
      </c>
      <c r="U630" s="320">
        <v>350.56</v>
      </c>
      <c r="V630" s="320">
        <v>324.3</v>
      </c>
      <c r="W630" s="320">
        <v>4.6243</v>
      </c>
      <c r="X630" s="320">
        <v>0.0</v>
      </c>
      <c r="Y630" s="320">
        <v>394.0</v>
      </c>
      <c r="Z630" s="320">
        <v>2465.0</v>
      </c>
      <c r="AA630" s="320">
        <v>9588.0</v>
      </c>
      <c r="AB630" s="320">
        <v>59.4346</v>
      </c>
      <c r="AC630" s="320">
        <v>0.8446</v>
      </c>
      <c r="AD630" s="320">
        <v>41.02</v>
      </c>
      <c r="AE630" s="320">
        <v>17.0</v>
      </c>
      <c r="AF630" s="320">
        <v>33.0</v>
      </c>
      <c r="AG630" s="320">
        <v>56.0</v>
      </c>
      <c r="AH630" s="320">
        <v>83.0</v>
      </c>
      <c r="AI630" s="320">
        <v>58.53</v>
      </c>
      <c r="AJ630" s="320">
        <v>22.36</v>
      </c>
      <c r="AK630" s="320">
        <v>5.52</v>
      </c>
      <c r="AL630" s="320">
        <v>0.1373</v>
      </c>
      <c r="AM630" s="320">
        <v>20.17</v>
      </c>
      <c r="AN630" s="320">
        <v>232.06</v>
      </c>
      <c r="AO630" s="320">
        <v>81.55</v>
      </c>
      <c r="AP630" s="320">
        <v>16.45</v>
      </c>
    </row>
    <row r="631">
      <c r="A631" s="319" t="s">
        <v>256</v>
      </c>
      <c r="B631" s="328">
        <v>46154.0</v>
      </c>
      <c r="C631" s="319" t="s">
        <v>218</v>
      </c>
      <c r="D631" s="320">
        <v>640.0</v>
      </c>
      <c r="E631" s="320">
        <v>0.61</v>
      </c>
      <c r="F631" s="320">
        <v>0.0</v>
      </c>
      <c r="G631" s="320">
        <v>0.0</v>
      </c>
      <c r="H631" s="320">
        <v>0.0</v>
      </c>
      <c r="I631" s="329"/>
      <c r="J631" s="320">
        <v>246.92</v>
      </c>
      <c r="K631" s="320">
        <v>146.68</v>
      </c>
      <c r="L631" s="320">
        <v>133.05</v>
      </c>
      <c r="M631" s="320">
        <v>0.9071</v>
      </c>
      <c r="N631" s="320">
        <v>0.2397</v>
      </c>
      <c r="O631" s="320">
        <v>0.1889</v>
      </c>
      <c r="P631" s="320">
        <v>1.1025</v>
      </c>
      <c r="Q631" s="320">
        <v>721.95</v>
      </c>
      <c r="R631" s="320">
        <v>485.19</v>
      </c>
      <c r="S631" s="320">
        <v>236.76</v>
      </c>
      <c r="T631" s="320">
        <v>0.0</v>
      </c>
      <c r="U631" s="320">
        <v>721.95</v>
      </c>
      <c r="V631" s="320">
        <v>596.25</v>
      </c>
      <c r="W631" s="320">
        <v>4.065</v>
      </c>
      <c r="X631" s="320">
        <v>0.0</v>
      </c>
      <c r="Y631" s="320">
        <v>1094.0</v>
      </c>
      <c r="Z631" s="320">
        <v>4179.0</v>
      </c>
      <c r="AA631" s="320">
        <v>13805.0</v>
      </c>
      <c r="AB631" s="320">
        <v>62.9356</v>
      </c>
      <c r="AC631" s="320">
        <v>0.9185</v>
      </c>
      <c r="AD631" s="320">
        <v>102.47</v>
      </c>
      <c r="AE631" s="320">
        <v>47.0</v>
      </c>
      <c r="AF631" s="320">
        <v>92.0</v>
      </c>
      <c r="AG631" s="320">
        <v>139.0</v>
      </c>
      <c r="AH631" s="320">
        <v>193.0</v>
      </c>
      <c r="AI631" s="320">
        <v>56.41</v>
      </c>
      <c r="AJ631" s="320">
        <v>13.28</v>
      </c>
      <c r="AK631" s="320">
        <v>2.66</v>
      </c>
      <c r="AL631" s="320">
        <v>0.0766</v>
      </c>
      <c r="AM631" s="320">
        <v>23.11</v>
      </c>
      <c r="AN631" s="320">
        <v>462.08</v>
      </c>
      <c r="AO631" s="320">
        <v>84.51</v>
      </c>
      <c r="AP631" s="320">
        <v>19.53</v>
      </c>
    </row>
    <row r="632">
      <c r="A632" s="319" t="s">
        <v>256</v>
      </c>
      <c r="B632" s="328">
        <v>46155.0</v>
      </c>
      <c r="C632" s="319" t="s">
        <v>257</v>
      </c>
      <c r="D632" s="320">
        <v>20296.0</v>
      </c>
      <c r="E632" s="320">
        <v>19.89</v>
      </c>
      <c r="F632" s="320">
        <v>0.0</v>
      </c>
      <c r="G632" s="320">
        <v>0.0</v>
      </c>
      <c r="H632" s="320">
        <v>0.0</v>
      </c>
      <c r="I632" s="329"/>
      <c r="J632" s="320">
        <v>6.79</v>
      </c>
      <c r="K632" s="320">
        <v>2.82</v>
      </c>
      <c r="L632" s="320">
        <v>0.08</v>
      </c>
      <c r="M632" s="320">
        <v>0.027</v>
      </c>
      <c r="N632" s="320">
        <v>0.9793</v>
      </c>
      <c r="O632" s="320">
        <v>0.7563</v>
      </c>
      <c r="P632" s="320">
        <v>37.0278</v>
      </c>
      <c r="Q632" s="320">
        <v>21.29</v>
      </c>
      <c r="R632" s="320">
        <v>21.17</v>
      </c>
      <c r="S632" s="320">
        <v>0.12</v>
      </c>
      <c r="T632" s="320">
        <v>0.0</v>
      </c>
      <c r="U632" s="320">
        <v>21.29</v>
      </c>
      <c r="V632" s="320">
        <v>1.82</v>
      </c>
      <c r="W632" s="320">
        <v>0.6442</v>
      </c>
      <c r="X632" s="320">
        <v>0.0</v>
      </c>
      <c r="Y632" s="320">
        <v>326.0</v>
      </c>
      <c r="Z632" s="320">
        <v>3929.0</v>
      </c>
      <c r="AA632" s="320">
        <v>15405.0</v>
      </c>
      <c r="AB632" s="320">
        <v>49.076</v>
      </c>
      <c r="AC632" s="320">
        <v>0.5427</v>
      </c>
      <c r="AD632" s="329"/>
      <c r="AE632" s="329"/>
      <c r="AF632" s="329"/>
      <c r="AG632" s="329"/>
      <c r="AH632" s="329"/>
      <c r="AI632" s="320">
        <v>0.0</v>
      </c>
      <c r="AJ632" s="320">
        <v>0.0</v>
      </c>
      <c r="AK632" s="320">
        <v>0.0</v>
      </c>
      <c r="AL632" s="320">
        <v>0.2616</v>
      </c>
      <c r="AM632" s="320">
        <v>16.09</v>
      </c>
      <c r="AN632" s="320">
        <v>5.08</v>
      </c>
      <c r="AO632" s="329"/>
      <c r="AP632" s="329"/>
    </row>
    <row r="633">
      <c r="A633" s="319" t="s">
        <v>256</v>
      </c>
      <c r="B633" s="328">
        <v>46155.0</v>
      </c>
      <c r="C633" s="319" t="s">
        <v>214</v>
      </c>
      <c r="D633" s="320">
        <v>36680.0</v>
      </c>
      <c r="E633" s="320">
        <v>35.95</v>
      </c>
      <c r="F633" s="320">
        <v>0.0</v>
      </c>
      <c r="G633" s="320">
        <v>0.0</v>
      </c>
      <c r="H633" s="320">
        <v>0.0</v>
      </c>
      <c r="I633" s="329"/>
      <c r="J633" s="320">
        <v>30.62</v>
      </c>
      <c r="K633" s="320">
        <v>14.09</v>
      </c>
      <c r="L633" s="320">
        <v>5.43</v>
      </c>
      <c r="M633" s="320">
        <v>0.3854</v>
      </c>
      <c r="N633" s="320">
        <v>0.7778</v>
      </c>
      <c r="O633" s="320">
        <v>0.5739</v>
      </c>
      <c r="P633" s="320">
        <v>2.595</v>
      </c>
      <c r="Q633" s="320">
        <v>44.64</v>
      </c>
      <c r="R633" s="320">
        <v>35.15</v>
      </c>
      <c r="S633" s="320">
        <v>9.49</v>
      </c>
      <c r="T633" s="320">
        <v>0.01</v>
      </c>
      <c r="U633" s="320">
        <v>44.64</v>
      </c>
      <c r="V633" s="320">
        <v>49.16</v>
      </c>
      <c r="W633" s="320">
        <v>3.4901</v>
      </c>
      <c r="X633" s="320">
        <v>0.01</v>
      </c>
      <c r="Y633" s="320">
        <v>144.0</v>
      </c>
      <c r="Z633" s="320">
        <v>897.0</v>
      </c>
      <c r="AA633" s="320">
        <v>6076.0</v>
      </c>
      <c r="AB633" s="320">
        <v>48.6356</v>
      </c>
      <c r="AC633" s="320">
        <v>0.5276</v>
      </c>
      <c r="AD633" s="320">
        <v>3.86</v>
      </c>
      <c r="AE633" s="320">
        <v>1.0</v>
      </c>
      <c r="AF633" s="320">
        <v>2.0</v>
      </c>
      <c r="AG633" s="320">
        <v>5.0</v>
      </c>
      <c r="AH633" s="320">
        <v>9.0</v>
      </c>
      <c r="AI633" s="320">
        <v>71.01</v>
      </c>
      <c r="AJ633" s="320">
        <v>29.14</v>
      </c>
      <c r="AK633" s="320">
        <v>8.02</v>
      </c>
      <c r="AL633" s="320">
        <v>0.2414</v>
      </c>
      <c r="AM633" s="320">
        <v>18.26</v>
      </c>
      <c r="AN633" s="320">
        <v>16.89</v>
      </c>
      <c r="AO633" s="320">
        <v>65.51</v>
      </c>
      <c r="AP633" s="320">
        <v>11.96</v>
      </c>
    </row>
    <row r="634">
      <c r="A634" s="319" t="s">
        <v>256</v>
      </c>
      <c r="B634" s="328">
        <v>46155.0</v>
      </c>
      <c r="C634" s="319" t="s">
        <v>215</v>
      </c>
      <c r="D634" s="320">
        <v>25144.0</v>
      </c>
      <c r="E634" s="320">
        <v>24.65</v>
      </c>
      <c r="F634" s="320">
        <v>0.0</v>
      </c>
      <c r="G634" s="320">
        <v>0.0</v>
      </c>
      <c r="H634" s="320">
        <v>0.0</v>
      </c>
      <c r="I634" s="329"/>
      <c r="J634" s="320">
        <v>58.06</v>
      </c>
      <c r="K634" s="320">
        <v>27.66</v>
      </c>
      <c r="L634" s="320">
        <v>14.48</v>
      </c>
      <c r="M634" s="320">
        <v>0.5235</v>
      </c>
      <c r="N634" s="320">
        <v>0.6632</v>
      </c>
      <c r="O634" s="320">
        <v>0.4516</v>
      </c>
      <c r="P634" s="320">
        <v>1.9102</v>
      </c>
      <c r="Q634" s="320">
        <v>82.36</v>
      </c>
      <c r="R634" s="320">
        <v>58.96</v>
      </c>
      <c r="S634" s="320">
        <v>23.4</v>
      </c>
      <c r="T634" s="320">
        <v>0.0</v>
      </c>
      <c r="U634" s="320">
        <v>82.36</v>
      </c>
      <c r="V634" s="320">
        <v>92.21</v>
      </c>
      <c r="W634" s="320">
        <v>3.3343</v>
      </c>
      <c r="X634" s="320">
        <v>0.0</v>
      </c>
      <c r="Y634" s="320">
        <v>127.0</v>
      </c>
      <c r="Z634" s="320">
        <v>758.0</v>
      </c>
      <c r="AA634" s="320">
        <v>5890.0</v>
      </c>
      <c r="AB634" s="320">
        <v>52.0401</v>
      </c>
      <c r="AC634" s="320">
        <v>0.6077</v>
      </c>
      <c r="AD634" s="320">
        <v>8.98</v>
      </c>
      <c r="AE634" s="320">
        <v>3.0</v>
      </c>
      <c r="AF634" s="320">
        <v>7.0</v>
      </c>
      <c r="AG634" s="320">
        <v>12.0</v>
      </c>
      <c r="AH634" s="320">
        <v>19.0</v>
      </c>
      <c r="AI634" s="320">
        <v>57.59</v>
      </c>
      <c r="AJ634" s="320">
        <v>24.53</v>
      </c>
      <c r="AK634" s="320">
        <v>4.23</v>
      </c>
      <c r="AL634" s="320">
        <v>0.182</v>
      </c>
      <c r="AM634" s="320">
        <v>18.98</v>
      </c>
      <c r="AN634" s="320">
        <v>39.99</v>
      </c>
      <c r="AO634" s="320">
        <v>73.13</v>
      </c>
      <c r="AP634" s="320">
        <v>13.88</v>
      </c>
    </row>
    <row r="635">
      <c r="A635" s="319" t="s">
        <v>256</v>
      </c>
      <c r="B635" s="328">
        <v>46155.0</v>
      </c>
      <c r="C635" s="319" t="s">
        <v>216</v>
      </c>
      <c r="D635" s="320">
        <v>13624.0</v>
      </c>
      <c r="E635" s="320">
        <v>13.35</v>
      </c>
      <c r="F635" s="320">
        <v>0.0</v>
      </c>
      <c r="G635" s="320">
        <v>0.0</v>
      </c>
      <c r="H635" s="320">
        <v>0.0</v>
      </c>
      <c r="I635" s="329"/>
      <c r="J635" s="320">
        <v>79.51</v>
      </c>
      <c r="K635" s="320">
        <v>40.31</v>
      </c>
      <c r="L635" s="320">
        <v>26.21</v>
      </c>
      <c r="M635" s="320">
        <v>0.6503</v>
      </c>
      <c r="N635" s="320">
        <v>0.5356</v>
      </c>
      <c r="O635" s="320">
        <v>0.3633</v>
      </c>
      <c r="P635" s="320">
        <v>1.5378</v>
      </c>
      <c r="Q635" s="320">
        <v>129.98</v>
      </c>
      <c r="R635" s="320">
        <v>84.59</v>
      </c>
      <c r="S635" s="320">
        <v>45.39</v>
      </c>
      <c r="T635" s="320">
        <v>0.0</v>
      </c>
      <c r="U635" s="320">
        <v>129.98</v>
      </c>
      <c r="V635" s="320">
        <v>150.96</v>
      </c>
      <c r="W635" s="320">
        <v>3.7453</v>
      </c>
      <c r="X635" s="320">
        <v>0.0</v>
      </c>
      <c r="Y635" s="320">
        <v>152.0</v>
      </c>
      <c r="Z635" s="320">
        <v>1001.0</v>
      </c>
      <c r="AA635" s="320">
        <v>6210.0</v>
      </c>
      <c r="AB635" s="320">
        <v>55.6099</v>
      </c>
      <c r="AC635" s="320">
        <v>0.7481</v>
      </c>
      <c r="AD635" s="320">
        <v>17.81</v>
      </c>
      <c r="AE635" s="320">
        <v>7.0</v>
      </c>
      <c r="AF635" s="320">
        <v>14.0</v>
      </c>
      <c r="AG635" s="320">
        <v>25.0</v>
      </c>
      <c r="AH635" s="320">
        <v>37.0</v>
      </c>
      <c r="AI635" s="320">
        <v>60.06</v>
      </c>
      <c r="AJ635" s="320">
        <v>23.99</v>
      </c>
      <c r="AK635" s="320">
        <v>7.26</v>
      </c>
      <c r="AL635" s="320">
        <v>0.1736</v>
      </c>
      <c r="AM635" s="320">
        <v>19.23</v>
      </c>
      <c r="AN635" s="320">
        <v>65.36</v>
      </c>
      <c r="AO635" s="320">
        <v>78.05</v>
      </c>
      <c r="AP635" s="320">
        <v>15.01</v>
      </c>
    </row>
    <row r="636">
      <c r="A636" s="319" t="s">
        <v>256</v>
      </c>
      <c r="B636" s="328">
        <v>46155.0</v>
      </c>
      <c r="C636" s="319" t="s">
        <v>217</v>
      </c>
      <c r="D636" s="320">
        <v>5648.0</v>
      </c>
      <c r="E636" s="320">
        <v>5.54</v>
      </c>
      <c r="F636" s="320">
        <v>0.0</v>
      </c>
      <c r="G636" s="320">
        <v>0.0</v>
      </c>
      <c r="H636" s="320">
        <v>0.0</v>
      </c>
      <c r="I636" s="329"/>
      <c r="J636" s="320">
        <v>126.26</v>
      </c>
      <c r="K636" s="320">
        <v>68.23</v>
      </c>
      <c r="L636" s="320">
        <v>54.15</v>
      </c>
      <c r="M636" s="320">
        <v>0.7937</v>
      </c>
      <c r="N636" s="320">
        <v>0.3841</v>
      </c>
      <c r="O636" s="320">
        <v>0.2724</v>
      </c>
      <c r="P636" s="320">
        <v>1.2599</v>
      </c>
      <c r="Q636" s="320">
        <v>236.19</v>
      </c>
      <c r="R636" s="320">
        <v>140.71</v>
      </c>
      <c r="S636" s="320">
        <v>95.48</v>
      </c>
      <c r="T636" s="320">
        <v>0.0</v>
      </c>
      <c r="U636" s="320">
        <v>236.19</v>
      </c>
      <c r="V636" s="320">
        <v>301.55</v>
      </c>
      <c r="W636" s="320">
        <v>4.4197</v>
      </c>
      <c r="X636" s="320">
        <v>0.0</v>
      </c>
      <c r="Y636" s="320">
        <v>345.0</v>
      </c>
      <c r="Z636" s="320">
        <v>2427.0</v>
      </c>
      <c r="AA636" s="320">
        <v>9628.0</v>
      </c>
      <c r="AB636" s="320">
        <v>59.4891</v>
      </c>
      <c r="AC636" s="320">
        <v>0.8534</v>
      </c>
      <c r="AD636" s="320">
        <v>38.61</v>
      </c>
      <c r="AE636" s="320">
        <v>15.0</v>
      </c>
      <c r="AF636" s="320">
        <v>30.0</v>
      </c>
      <c r="AG636" s="320">
        <v>54.0</v>
      </c>
      <c r="AH636" s="320">
        <v>80.0</v>
      </c>
      <c r="AI636" s="320">
        <v>53.61</v>
      </c>
      <c r="AJ636" s="320">
        <v>21.05</v>
      </c>
      <c r="AK636" s="320">
        <v>4.9</v>
      </c>
      <c r="AL636" s="320">
        <v>0.134</v>
      </c>
      <c r="AM636" s="320">
        <v>19.28</v>
      </c>
      <c r="AN636" s="320">
        <v>121.44</v>
      </c>
      <c r="AO636" s="320">
        <v>82.98</v>
      </c>
      <c r="AP636" s="320">
        <v>16.0</v>
      </c>
    </row>
    <row r="637">
      <c r="A637" s="319" t="s">
        <v>256</v>
      </c>
      <c r="B637" s="328">
        <v>46155.0</v>
      </c>
      <c r="C637" s="319" t="s">
        <v>218</v>
      </c>
      <c r="D637" s="320">
        <v>630.0</v>
      </c>
      <c r="E637" s="320">
        <v>0.62</v>
      </c>
      <c r="F637" s="320">
        <v>0.0</v>
      </c>
      <c r="G637" s="320">
        <v>0.0</v>
      </c>
      <c r="H637" s="320">
        <v>0.0</v>
      </c>
      <c r="I637" s="329"/>
      <c r="J637" s="320">
        <v>246.06</v>
      </c>
      <c r="K637" s="320">
        <v>146.24</v>
      </c>
      <c r="L637" s="320">
        <v>130.59</v>
      </c>
      <c r="M637" s="320">
        <v>0.893</v>
      </c>
      <c r="N637" s="320">
        <v>0.2575</v>
      </c>
      <c r="O637" s="320">
        <v>0.1982</v>
      </c>
      <c r="P637" s="320">
        <v>1.1199</v>
      </c>
      <c r="Q637" s="320">
        <v>505.82</v>
      </c>
      <c r="R637" s="320">
        <v>273.07</v>
      </c>
      <c r="S637" s="320">
        <v>232.75</v>
      </c>
      <c r="T637" s="320">
        <v>0.0</v>
      </c>
      <c r="U637" s="320">
        <v>505.82</v>
      </c>
      <c r="V637" s="320">
        <v>610.56</v>
      </c>
      <c r="W637" s="320">
        <v>4.175</v>
      </c>
      <c r="X637" s="320">
        <v>0.0</v>
      </c>
      <c r="Y637" s="320">
        <v>1002.0</v>
      </c>
      <c r="Z637" s="320">
        <v>4256.0</v>
      </c>
      <c r="AA637" s="320">
        <v>12848.0</v>
      </c>
      <c r="AB637" s="320">
        <v>63.1047</v>
      </c>
      <c r="AC637" s="320">
        <v>0.9191</v>
      </c>
      <c r="AD637" s="320">
        <v>96.3</v>
      </c>
      <c r="AE637" s="320">
        <v>43.0</v>
      </c>
      <c r="AF637" s="320">
        <v>84.0</v>
      </c>
      <c r="AG637" s="320">
        <v>131.0</v>
      </c>
      <c r="AH637" s="320">
        <v>193.0</v>
      </c>
      <c r="AI637" s="320">
        <v>52.54</v>
      </c>
      <c r="AJ637" s="320">
        <v>12.38</v>
      </c>
      <c r="AK637" s="320">
        <v>1.75</v>
      </c>
      <c r="AL637" s="320">
        <v>0.1032</v>
      </c>
      <c r="AM637" s="320">
        <v>22.07</v>
      </c>
      <c r="AN637" s="320">
        <v>251.0</v>
      </c>
      <c r="AO637" s="320">
        <v>84.44</v>
      </c>
      <c r="AP637" s="320">
        <v>18.64</v>
      </c>
    </row>
    <row r="638">
      <c r="A638" s="319" t="s">
        <v>256</v>
      </c>
      <c r="B638" s="328">
        <v>46156.0</v>
      </c>
      <c r="C638" s="319" t="s">
        <v>257</v>
      </c>
      <c r="D638" s="320">
        <v>20854.0</v>
      </c>
      <c r="E638" s="320">
        <v>20.69</v>
      </c>
      <c r="F638" s="320">
        <v>0.0</v>
      </c>
      <c r="G638" s="320">
        <v>0.0</v>
      </c>
      <c r="H638" s="320">
        <v>0.0</v>
      </c>
      <c r="I638" s="329"/>
      <c r="J638" s="320">
        <v>6.77</v>
      </c>
      <c r="K638" s="320">
        <v>2.8</v>
      </c>
      <c r="L638" s="320">
        <v>0.05</v>
      </c>
      <c r="M638" s="320">
        <v>0.0163</v>
      </c>
      <c r="N638" s="320">
        <v>0.9881</v>
      </c>
      <c r="O638" s="320">
        <v>0.8341</v>
      </c>
      <c r="P638" s="320">
        <v>61.5063</v>
      </c>
      <c r="Q638" s="320">
        <v>21.13</v>
      </c>
      <c r="R638" s="320">
        <v>21.0</v>
      </c>
      <c r="S638" s="320">
        <v>0.13</v>
      </c>
      <c r="T638" s="320">
        <v>0.0</v>
      </c>
      <c r="U638" s="320">
        <v>21.13</v>
      </c>
      <c r="V638" s="320">
        <v>2.16</v>
      </c>
      <c r="W638" s="320">
        <v>0.7701</v>
      </c>
      <c r="X638" s="320">
        <v>0.0</v>
      </c>
      <c r="Y638" s="320">
        <v>268.0</v>
      </c>
      <c r="Z638" s="320">
        <v>3440.0</v>
      </c>
      <c r="AA638" s="320">
        <v>14377.0</v>
      </c>
      <c r="AB638" s="320">
        <v>48.7181</v>
      </c>
      <c r="AC638" s="320">
        <v>0.5327</v>
      </c>
      <c r="AD638" s="329"/>
      <c r="AE638" s="329"/>
      <c r="AF638" s="329"/>
      <c r="AG638" s="329"/>
      <c r="AH638" s="329"/>
      <c r="AI638" s="320">
        <v>0.0</v>
      </c>
      <c r="AJ638" s="320">
        <v>0.0</v>
      </c>
      <c r="AK638" s="320">
        <v>0.0</v>
      </c>
      <c r="AL638" s="320">
        <v>0.2845</v>
      </c>
      <c r="AM638" s="320">
        <v>16.34</v>
      </c>
      <c r="AN638" s="320">
        <v>4.65</v>
      </c>
      <c r="AO638" s="329"/>
      <c r="AP638" s="329"/>
    </row>
    <row r="639">
      <c r="A639" s="319" t="s">
        <v>256</v>
      </c>
      <c r="B639" s="328">
        <v>46156.0</v>
      </c>
      <c r="C639" s="319" t="s">
        <v>214</v>
      </c>
      <c r="D639" s="320">
        <v>36348.0</v>
      </c>
      <c r="E639" s="320">
        <v>36.07</v>
      </c>
      <c r="F639" s="320">
        <v>0.0</v>
      </c>
      <c r="G639" s="320">
        <v>0.0</v>
      </c>
      <c r="H639" s="320">
        <v>0.0</v>
      </c>
      <c r="I639" s="329"/>
      <c r="J639" s="320">
        <v>28.64</v>
      </c>
      <c r="K639" s="320">
        <v>12.89</v>
      </c>
      <c r="L639" s="320">
        <v>5.32</v>
      </c>
      <c r="M639" s="320">
        <v>0.4129</v>
      </c>
      <c r="N639" s="320">
        <v>0.7588</v>
      </c>
      <c r="O639" s="320">
        <v>0.5587</v>
      </c>
      <c r="P639" s="320">
        <v>2.4221</v>
      </c>
      <c r="Q639" s="320">
        <v>44.31</v>
      </c>
      <c r="R639" s="320">
        <v>35.09</v>
      </c>
      <c r="S639" s="320">
        <v>9.22</v>
      </c>
      <c r="T639" s="320">
        <v>0.0</v>
      </c>
      <c r="U639" s="320">
        <v>44.31</v>
      </c>
      <c r="V639" s="320">
        <v>48.73</v>
      </c>
      <c r="W639" s="320">
        <v>3.7797</v>
      </c>
      <c r="X639" s="320">
        <v>0.0</v>
      </c>
      <c r="Y639" s="320">
        <v>138.0</v>
      </c>
      <c r="Z639" s="320">
        <v>911.0</v>
      </c>
      <c r="AA639" s="320">
        <v>6059.0</v>
      </c>
      <c r="AB639" s="320">
        <v>48.6443</v>
      </c>
      <c r="AC639" s="320">
        <v>0.5323</v>
      </c>
      <c r="AD639" s="320">
        <v>3.86</v>
      </c>
      <c r="AE639" s="320">
        <v>1.0</v>
      </c>
      <c r="AF639" s="320">
        <v>2.0</v>
      </c>
      <c r="AG639" s="320">
        <v>5.0</v>
      </c>
      <c r="AH639" s="320">
        <v>9.0</v>
      </c>
      <c r="AI639" s="320">
        <v>70.47</v>
      </c>
      <c r="AJ639" s="320">
        <v>28.74</v>
      </c>
      <c r="AK639" s="320">
        <v>8.15</v>
      </c>
      <c r="AL639" s="320">
        <v>0.2532</v>
      </c>
      <c r="AM639" s="320">
        <v>19.33</v>
      </c>
      <c r="AN639" s="320">
        <v>15.76</v>
      </c>
      <c r="AO639" s="320">
        <v>65.46</v>
      </c>
      <c r="AP639" s="320">
        <v>12.65</v>
      </c>
    </row>
    <row r="640">
      <c r="A640" s="319" t="s">
        <v>256</v>
      </c>
      <c r="B640" s="328">
        <v>46156.0</v>
      </c>
      <c r="C640" s="319" t="s">
        <v>215</v>
      </c>
      <c r="D640" s="320">
        <v>23928.0</v>
      </c>
      <c r="E640" s="320">
        <v>23.75</v>
      </c>
      <c r="F640" s="320">
        <v>0.0</v>
      </c>
      <c r="G640" s="320">
        <v>0.0</v>
      </c>
      <c r="H640" s="320">
        <v>0.0</v>
      </c>
      <c r="I640" s="329"/>
      <c r="J640" s="320">
        <v>52.73</v>
      </c>
      <c r="K640" s="320">
        <v>24.99</v>
      </c>
      <c r="L640" s="320">
        <v>13.73</v>
      </c>
      <c r="M640" s="320">
        <v>0.5492</v>
      </c>
      <c r="N640" s="320">
        <v>0.644</v>
      </c>
      <c r="O640" s="320">
        <v>0.4448</v>
      </c>
      <c r="P640" s="320">
        <v>1.8208</v>
      </c>
      <c r="Q640" s="320">
        <v>90.32</v>
      </c>
      <c r="R640" s="320">
        <v>67.4</v>
      </c>
      <c r="S640" s="320">
        <v>22.92</v>
      </c>
      <c r="T640" s="320">
        <v>0.0</v>
      </c>
      <c r="U640" s="320">
        <v>90.32</v>
      </c>
      <c r="V640" s="320">
        <v>92.65</v>
      </c>
      <c r="W640" s="320">
        <v>3.7072</v>
      </c>
      <c r="X640" s="320">
        <v>0.0</v>
      </c>
      <c r="Y640" s="320">
        <v>132.0</v>
      </c>
      <c r="Z640" s="320">
        <v>760.0</v>
      </c>
      <c r="AA640" s="320">
        <v>5800.0</v>
      </c>
      <c r="AB640" s="320">
        <v>52.1525</v>
      </c>
      <c r="AC640" s="320">
        <v>0.6272</v>
      </c>
      <c r="AD640" s="320">
        <v>9.05</v>
      </c>
      <c r="AE640" s="320">
        <v>3.0</v>
      </c>
      <c r="AF640" s="320">
        <v>7.0</v>
      </c>
      <c r="AG640" s="320">
        <v>12.0</v>
      </c>
      <c r="AH640" s="320">
        <v>19.0</v>
      </c>
      <c r="AI640" s="320">
        <v>57.91</v>
      </c>
      <c r="AJ640" s="320">
        <v>24.86</v>
      </c>
      <c r="AK640" s="320">
        <v>4.39</v>
      </c>
      <c r="AL640" s="320">
        <v>0.1986</v>
      </c>
      <c r="AM640" s="320">
        <v>20.01</v>
      </c>
      <c r="AN640" s="320">
        <v>47.38</v>
      </c>
      <c r="AO640" s="320">
        <v>74.34</v>
      </c>
      <c r="AP640" s="320">
        <v>14.88</v>
      </c>
    </row>
    <row r="641">
      <c r="A641" s="319" t="s">
        <v>256</v>
      </c>
      <c r="B641" s="328">
        <v>46156.0</v>
      </c>
      <c r="C641" s="319" t="s">
        <v>216</v>
      </c>
      <c r="D641" s="320">
        <v>13462.0</v>
      </c>
      <c r="E641" s="320">
        <v>13.36</v>
      </c>
      <c r="F641" s="320">
        <v>0.0</v>
      </c>
      <c r="G641" s="320">
        <v>0.0</v>
      </c>
      <c r="H641" s="320">
        <v>0.0</v>
      </c>
      <c r="I641" s="329"/>
      <c r="J641" s="320">
        <v>75.35</v>
      </c>
      <c r="K641" s="320">
        <v>37.75</v>
      </c>
      <c r="L641" s="320">
        <v>25.38</v>
      </c>
      <c r="M641" s="320">
        <v>0.6723</v>
      </c>
      <c r="N641" s="320">
        <v>0.5211</v>
      </c>
      <c r="O641" s="320">
        <v>0.3599</v>
      </c>
      <c r="P641" s="320">
        <v>1.4875</v>
      </c>
      <c r="Q641" s="320">
        <v>158.06</v>
      </c>
      <c r="R641" s="320">
        <v>113.75</v>
      </c>
      <c r="S641" s="320">
        <v>44.31</v>
      </c>
      <c r="T641" s="320">
        <v>0.0</v>
      </c>
      <c r="U641" s="320">
        <v>158.06</v>
      </c>
      <c r="V641" s="320">
        <v>156.73</v>
      </c>
      <c r="W641" s="320">
        <v>4.1513</v>
      </c>
      <c r="X641" s="320">
        <v>0.0</v>
      </c>
      <c r="Y641" s="320">
        <v>162.0</v>
      </c>
      <c r="Z641" s="320">
        <v>994.0</v>
      </c>
      <c r="AA641" s="320">
        <v>5979.0</v>
      </c>
      <c r="AB641" s="320">
        <v>55.4959</v>
      </c>
      <c r="AC641" s="320">
        <v>0.7481</v>
      </c>
      <c r="AD641" s="320">
        <v>17.64</v>
      </c>
      <c r="AE641" s="320">
        <v>7.0</v>
      </c>
      <c r="AF641" s="320">
        <v>14.0</v>
      </c>
      <c r="AG641" s="320">
        <v>25.0</v>
      </c>
      <c r="AH641" s="320">
        <v>37.0</v>
      </c>
      <c r="AI641" s="320">
        <v>59.91</v>
      </c>
      <c r="AJ641" s="320">
        <v>23.54</v>
      </c>
      <c r="AK641" s="320">
        <v>7.02</v>
      </c>
      <c r="AL641" s="320">
        <v>0.183</v>
      </c>
      <c r="AM641" s="320">
        <v>20.06</v>
      </c>
      <c r="AN641" s="320">
        <v>93.68</v>
      </c>
      <c r="AO641" s="320">
        <v>78.24</v>
      </c>
      <c r="AP641" s="320">
        <v>15.69</v>
      </c>
    </row>
    <row r="642">
      <c r="A642" s="319" t="s">
        <v>256</v>
      </c>
      <c r="B642" s="328">
        <v>46156.0</v>
      </c>
      <c r="C642" s="319" t="s">
        <v>217</v>
      </c>
      <c r="D642" s="320">
        <v>5554.0</v>
      </c>
      <c r="E642" s="320">
        <v>5.51</v>
      </c>
      <c r="F642" s="320">
        <v>0.0</v>
      </c>
      <c r="G642" s="320">
        <v>0.0</v>
      </c>
      <c r="H642" s="320">
        <v>0.0</v>
      </c>
      <c r="I642" s="329"/>
      <c r="J642" s="320">
        <v>123.8</v>
      </c>
      <c r="K642" s="320">
        <v>66.9</v>
      </c>
      <c r="L642" s="320">
        <v>54.58</v>
      </c>
      <c r="M642" s="320">
        <v>0.8159</v>
      </c>
      <c r="N642" s="320">
        <v>0.3678</v>
      </c>
      <c r="O642" s="320">
        <v>0.2685</v>
      </c>
      <c r="P642" s="320">
        <v>1.2256</v>
      </c>
      <c r="Q642" s="320">
        <v>312.87</v>
      </c>
      <c r="R642" s="320">
        <v>217.19</v>
      </c>
      <c r="S642" s="320">
        <v>95.68</v>
      </c>
      <c r="T642" s="320">
        <v>0.0</v>
      </c>
      <c r="U642" s="320">
        <v>312.87</v>
      </c>
      <c r="V642" s="320">
        <v>324.29</v>
      </c>
      <c r="W642" s="320">
        <v>4.8476</v>
      </c>
      <c r="X642" s="320">
        <v>0.0</v>
      </c>
      <c r="Y642" s="320">
        <v>340.0</v>
      </c>
      <c r="Z642" s="320">
        <v>2347.0</v>
      </c>
      <c r="AA642" s="320">
        <v>9554.0</v>
      </c>
      <c r="AB642" s="320">
        <v>59.5069</v>
      </c>
      <c r="AC642" s="320">
        <v>0.8476</v>
      </c>
      <c r="AD642" s="320">
        <v>39.3</v>
      </c>
      <c r="AE642" s="320">
        <v>16.0</v>
      </c>
      <c r="AF642" s="320">
        <v>31.0</v>
      </c>
      <c r="AG642" s="320">
        <v>54.0</v>
      </c>
      <c r="AH642" s="320">
        <v>80.0</v>
      </c>
      <c r="AI642" s="320">
        <v>56.54</v>
      </c>
      <c r="AJ642" s="320">
        <v>20.69</v>
      </c>
      <c r="AK642" s="320">
        <v>5.2</v>
      </c>
      <c r="AL642" s="320">
        <v>0.1374</v>
      </c>
      <c r="AM642" s="320">
        <v>21.37</v>
      </c>
      <c r="AN642" s="320">
        <v>195.82</v>
      </c>
      <c r="AO642" s="320">
        <v>82.82</v>
      </c>
      <c r="AP642" s="320">
        <v>17.7</v>
      </c>
    </row>
    <row r="643">
      <c r="A643" s="319" t="s">
        <v>256</v>
      </c>
      <c r="B643" s="328">
        <v>46156.0</v>
      </c>
      <c r="C643" s="319" t="s">
        <v>218</v>
      </c>
      <c r="D643" s="320">
        <v>624.0</v>
      </c>
      <c r="E643" s="320">
        <v>0.62</v>
      </c>
      <c r="F643" s="320">
        <v>0.0</v>
      </c>
      <c r="G643" s="320">
        <v>0.0</v>
      </c>
      <c r="H643" s="320">
        <v>0.0</v>
      </c>
      <c r="I643" s="329"/>
      <c r="J643" s="320">
        <v>235.53</v>
      </c>
      <c r="K643" s="320">
        <v>138.72</v>
      </c>
      <c r="L643" s="320">
        <v>123.78</v>
      </c>
      <c r="M643" s="320">
        <v>0.8923</v>
      </c>
      <c r="N643" s="320">
        <v>0.2622</v>
      </c>
      <c r="O643" s="320">
        <v>0.2031</v>
      </c>
      <c r="P643" s="320">
        <v>1.1207</v>
      </c>
      <c r="Q643" s="320">
        <v>568.28</v>
      </c>
      <c r="R643" s="320">
        <v>348.01</v>
      </c>
      <c r="S643" s="320">
        <v>220.27</v>
      </c>
      <c r="T643" s="320">
        <v>0.0</v>
      </c>
      <c r="U643" s="320">
        <v>568.28</v>
      </c>
      <c r="V643" s="320">
        <v>625.24</v>
      </c>
      <c r="W643" s="320">
        <v>4.5072</v>
      </c>
      <c r="X643" s="320">
        <v>0.0</v>
      </c>
      <c r="Y643" s="320">
        <v>972.0</v>
      </c>
      <c r="Z643" s="320">
        <v>4546.0</v>
      </c>
      <c r="AA643" s="320">
        <v>14463.0</v>
      </c>
      <c r="AB643" s="320">
        <v>63.317</v>
      </c>
      <c r="AC643" s="320">
        <v>0.9161</v>
      </c>
      <c r="AD643" s="320">
        <v>90.77</v>
      </c>
      <c r="AE643" s="320">
        <v>37.0</v>
      </c>
      <c r="AF643" s="320">
        <v>78.0</v>
      </c>
      <c r="AG643" s="320">
        <v>124.0</v>
      </c>
      <c r="AH643" s="320">
        <v>175.0</v>
      </c>
      <c r="AI643" s="320">
        <v>49.36</v>
      </c>
      <c r="AJ643" s="320">
        <v>10.74</v>
      </c>
      <c r="AK643" s="320">
        <v>1.76</v>
      </c>
      <c r="AL643" s="320">
        <v>0.0801</v>
      </c>
      <c r="AM643" s="320">
        <v>24.13</v>
      </c>
      <c r="AN643" s="320">
        <v>323.88</v>
      </c>
      <c r="AO643" s="320">
        <v>85.14</v>
      </c>
      <c r="AP643" s="320">
        <v>20.54</v>
      </c>
    </row>
    <row r="644">
      <c r="A644" s="319" t="s">
        <v>256</v>
      </c>
      <c r="B644" s="328">
        <v>46157.0</v>
      </c>
      <c r="C644" s="319" t="s">
        <v>257</v>
      </c>
      <c r="D644" s="320">
        <v>18599.0</v>
      </c>
      <c r="E644" s="320">
        <v>18.92</v>
      </c>
      <c r="F644" s="320">
        <v>0.0</v>
      </c>
      <c r="G644" s="320">
        <v>0.0</v>
      </c>
      <c r="H644" s="320">
        <v>0.0</v>
      </c>
      <c r="I644" s="329"/>
      <c r="J644" s="320">
        <v>6.07</v>
      </c>
      <c r="K644" s="320">
        <v>2.45</v>
      </c>
      <c r="L644" s="320">
        <v>0.06</v>
      </c>
      <c r="M644" s="320">
        <v>0.0264</v>
      </c>
      <c r="N644" s="320">
        <v>0.9811</v>
      </c>
      <c r="O644" s="320">
        <v>0.7936</v>
      </c>
      <c r="P644" s="320">
        <v>37.8398</v>
      </c>
      <c r="Q644" s="320">
        <v>26.48</v>
      </c>
      <c r="R644" s="320">
        <v>26.37</v>
      </c>
      <c r="S644" s="320">
        <v>0.11</v>
      </c>
      <c r="T644" s="320">
        <v>0.0</v>
      </c>
      <c r="U644" s="320">
        <v>26.48</v>
      </c>
      <c r="V644" s="320">
        <v>1.91</v>
      </c>
      <c r="W644" s="320">
        <v>0.7797</v>
      </c>
      <c r="X644" s="320">
        <v>0.0</v>
      </c>
      <c r="Y644" s="320">
        <v>380.0</v>
      </c>
      <c r="Z644" s="320">
        <v>4357.0</v>
      </c>
      <c r="AA644" s="320">
        <v>15912.0</v>
      </c>
      <c r="AB644" s="320">
        <v>48.9542</v>
      </c>
      <c r="AC644" s="320">
        <v>0.5426</v>
      </c>
      <c r="AD644" s="329"/>
      <c r="AE644" s="329"/>
      <c r="AF644" s="329"/>
      <c r="AG644" s="329"/>
      <c r="AH644" s="329"/>
      <c r="AI644" s="320">
        <v>0.0</v>
      </c>
      <c r="AJ644" s="320">
        <v>0.0</v>
      </c>
      <c r="AK644" s="320">
        <v>0.0</v>
      </c>
      <c r="AL644" s="320">
        <v>0.3072</v>
      </c>
      <c r="AM644" s="320">
        <v>17.51</v>
      </c>
      <c r="AN644" s="320">
        <v>8.86</v>
      </c>
      <c r="AO644" s="329"/>
      <c r="AP644" s="329"/>
    </row>
    <row r="645">
      <c r="A645" s="319" t="s">
        <v>256</v>
      </c>
      <c r="B645" s="328">
        <v>46157.0</v>
      </c>
      <c r="C645" s="319" t="s">
        <v>214</v>
      </c>
      <c r="D645" s="320">
        <v>36301.0</v>
      </c>
      <c r="E645" s="320">
        <v>36.93</v>
      </c>
      <c r="F645" s="320">
        <v>0.0</v>
      </c>
      <c r="G645" s="320">
        <v>0.0</v>
      </c>
      <c r="H645" s="320">
        <v>0.0</v>
      </c>
      <c r="I645" s="329"/>
      <c r="J645" s="320">
        <v>31.71</v>
      </c>
      <c r="K645" s="320">
        <v>14.43</v>
      </c>
      <c r="L645" s="320">
        <v>5.9</v>
      </c>
      <c r="M645" s="320">
        <v>0.409</v>
      </c>
      <c r="N645" s="320">
        <v>0.7567</v>
      </c>
      <c r="O645" s="320">
        <v>0.55</v>
      </c>
      <c r="P645" s="320">
        <v>2.4447</v>
      </c>
      <c r="Q645" s="320">
        <v>57.32</v>
      </c>
      <c r="R645" s="320">
        <v>47.22</v>
      </c>
      <c r="S645" s="320">
        <v>10.1</v>
      </c>
      <c r="T645" s="320">
        <v>0.06</v>
      </c>
      <c r="U645" s="320">
        <v>57.26</v>
      </c>
      <c r="V645" s="320">
        <v>53.32</v>
      </c>
      <c r="W645" s="320">
        <v>3.6961</v>
      </c>
      <c r="X645" s="320">
        <v>0.1</v>
      </c>
      <c r="Y645" s="320">
        <v>138.0</v>
      </c>
      <c r="Z645" s="320">
        <v>881.0</v>
      </c>
      <c r="AA645" s="320">
        <v>6024.0</v>
      </c>
      <c r="AB645" s="320">
        <v>48.4688</v>
      </c>
      <c r="AC645" s="320">
        <v>0.5291</v>
      </c>
      <c r="AD645" s="320">
        <v>4.06</v>
      </c>
      <c r="AE645" s="320">
        <v>1.0</v>
      </c>
      <c r="AF645" s="320">
        <v>3.0</v>
      </c>
      <c r="AG645" s="320">
        <v>5.0</v>
      </c>
      <c r="AH645" s="320">
        <v>9.0</v>
      </c>
      <c r="AI645" s="320">
        <v>73.6</v>
      </c>
      <c r="AJ645" s="320">
        <v>31.59</v>
      </c>
      <c r="AK645" s="320">
        <v>8.64</v>
      </c>
      <c r="AL645" s="320">
        <v>0.2648</v>
      </c>
      <c r="AM645" s="320">
        <v>20.46</v>
      </c>
      <c r="AN645" s="320">
        <v>26.75</v>
      </c>
      <c r="AO645" s="320">
        <v>65.88</v>
      </c>
      <c r="AP645" s="320">
        <v>13.48</v>
      </c>
    </row>
    <row r="646">
      <c r="A646" s="319" t="s">
        <v>256</v>
      </c>
      <c r="B646" s="328">
        <v>46157.0</v>
      </c>
      <c r="C646" s="319" t="s">
        <v>215</v>
      </c>
      <c r="D646" s="320">
        <v>23751.0</v>
      </c>
      <c r="E646" s="320">
        <v>24.16</v>
      </c>
      <c r="F646" s="320">
        <v>0.0</v>
      </c>
      <c r="G646" s="320">
        <v>0.0</v>
      </c>
      <c r="H646" s="320">
        <v>0.0</v>
      </c>
      <c r="I646" s="329"/>
      <c r="J646" s="320">
        <v>57.92</v>
      </c>
      <c r="K646" s="320">
        <v>27.6</v>
      </c>
      <c r="L646" s="320">
        <v>14.36</v>
      </c>
      <c r="M646" s="320">
        <v>0.5204</v>
      </c>
      <c r="N646" s="320">
        <v>0.6637</v>
      </c>
      <c r="O646" s="320">
        <v>0.4567</v>
      </c>
      <c r="P646" s="320">
        <v>1.9216</v>
      </c>
      <c r="Q646" s="320">
        <v>103.89</v>
      </c>
      <c r="R646" s="320">
        <v>79.0</v>
      </c>
      <c r="S646" s="320">
        <v>24.9</v>
      </c>
      <c r="T646" s="320">
        <v>0.0</v>
      </c>
      <c r="U646" s="320">
        <v>103.89</v>
      </c>
      <c r="V646" s="320">
        <v>99.57</v>
      </c>
      <c r="W646" s="320">
        <v>3.6076</v>
      </c>
      <c r="X646" s="320">
        <v>0.0</v>
      </c>
      <c r="Y646" s="320">
        <v>131.0</v>
      </c>
      <c r="Z646" s="320">
        <v>745.0</v>
      </c>
      <c r="AA646" s="320">
        <v>5146.0</v>
      </c>
      <c r="AB646" s="320">
        <v>52.0138</v>
      </c>
      <c r="AC646" s="320">
        <v>0.6294</v>
      </c>
      <c r="AD646" s="320">
        <v>9.49</v>
      </c>
      <c r="AE646" s="320">
        <v>4.0</v>
      </c>
      <c r="AF646" s="320">
        <v>7.0</v>
      </c>
      <c r="AG646" s="320">
        <v>13.0</v>
      </c>
      <c r="AH646" s="320">
        <v>20.0</v>
      </c>
      <c r="AI646" s="320">
        <v>62.1</v>
      </c>
      <c r="AJ646" s="320">
        <v>26.33</v>
      </c>
      <c r="AK646" s="320">
        <v>4.41</v>
      </c>
      <c r="AL646" s="320">
        <v>0.2132</v>
      </c>
      <c r="AM646" s="320">
        <v>21.53</v>
      </c>
      <c r="AN646" s="320">
        <v>57.46</v>
      </c>
      <c r="AO646" s="320">
        <v>75.23</v>
      </c>
      <c r="AP646" s="320">
        <v>16.2</v>
      </c>
    </row>
    <row r="647">
      <c r="A647" s="319" t="s">
        <v>256</v>
      </c>
      <c r="B647" s="328">
        <v>46157.0</v>
      </c>
      <c r="C647" s="319" t="s">
        <v>216</v>
      </c>
      <c r="D647" s="320">
        <v>13427.0</v>
      </c>
      <c r="E647" s="320">
        <v>13.66</v>
      </c>
      <c r="F647" s="320">
        <v>0.0</v>
      </c>
      <c r="G647" s="320">
        <v>0.0</v>
      </c>
      <c r="H647" s="320">
        <v>0.0</v>
      </c>
      <c r="I647" s="329"/>
      <c r="J647" s="320">
        <v>82.2</v>
      </c>
      <c r="K647" s="320">
        <v>41.24</v>
      </c>
      <c r="L647" s="320">
        <v>26.64</v>
      </c>
      <c r="M647" s="320">
        <v>0.6461</v>
      </c>
      <c r="N647" s="320">
        <v>0.5405</v>
      </c>
      <c r="O647" s="320">
        <v>0.369</v>
      </c>
      <c r="P647" s="320">
        <v>1.5477</v>
      </c>
      <c r="Q647" s="320">
        <v>158.17</v>
      </c>
      <c r="R647" s="320">
        <v>111.53</v>
      </c>
      <c r="S647" s="320">
        <v>46.65</v>
      </c>
      <c r="T647" s="320">
        <v>0.0</v>
      </c>
      <c r="U647" s="320">
        <v>158.17</v>
      </c>
      <c r="V647" s="320">
        <v>165.27</v>
      </c>
      <c r="W647" s="320">
        <v>4.0079</v>
      </c>
      <c r="X647" s="320">
        <v>0.0</v>
      </c>
      <c r="Y647" s="320">
        <v>157.0</v>
      </c>
      <c r="Z647" s="320">
        <v>970.0</v>
      </c>
      <c r="AA647" s="320">
        <v>6204.0</v>
      </c>
      <c r="AB647" s="320">
        <v>55.4202</v>
      </c>
      <c r="AC647" s="320">
        <v>0.7431</v>
      </c>
      <c r="AD647" s="320">
        <v>18.0</v>
      </c>
      <c r="AE647" s="320">
        <v>8.0</v>
      </c>
      <c r="AF647" s="320">
        <v>14.0</v>
      </c>
      <c r="AG647" s="320">
        <v>25.0</v>
      </c>
      <c r="AH647" s="320">
        <v>37.0</v>
      </c>
      <c r="AI647" s="320">
        <v>61.89</v>
      </c>
      <c r="AJ647" s="320">
        <v>23.57</v>
      </c>
      <c r="AK647" s="320">
        <v>6.87</v>
      </c>
      <c r="AL647" s="320">
        <v>0.2007</v>
      </c>
      <c r="AM647" s="320">
        <v>21.29</v>
      </c>
      <c r="AN647" s="320">
        <v>90.24</v>
      </c>
      <c r="AO647" s="320">
        <v>78.31</v>
      </c>
      <c r="AP647" s="320">
        <v>16.67</v>
      </c>
    </row>
    <row r="648">
      <c r="A648" s="319" t="s">
        <v>256</v>
      </c>
      <c r="B648" s="328">
        <v>46157.0</v>
      </c>
      <c r="C648" s="319" t="s">
        <v>217</v>
      </c>
      <c r="D648" s="320">
        <v>5572.0</v>
      </c>
      <c r="E648" s="320">
        <v>5.67</v>
      </c>
      <c r="F648" s="320">
        <v>0.0</v>
      </c>
      <c r="G648" s="320">
        <v>0.0</v>
      </c>
      <c r="H648" s="320">
        <v>0.0</v>
      </c>
      <c r="I648" s="329"/>
      <c r="J648" s="320">
        <v>130.81</v>
      </c>
      <c r="K648" s="320">
        <v>69.72</v>
      </c>
      <c r="L648" s="320">
        <v>54.31</v>
      </c>
      <c r="M648" s="320">
        <v>0.779</v>
      </c>
      <c r="N648" s="320">
        <v>0.4009</v>
      </c>
      <c r="O648" s="320">
        <v>0.2835</v>
      </c>
      <c r="P648" s="320">
        <v>1.2837</v>
      </c>
      <c r="Q648" s="320">
        <v>256.12</v>
      </c>
      <c r="R648" s="320">
        <v>161.17</v>
      </c>
      <c r="S648" s="320">
        <v>94.95</v>
      </c>
      <c r="T648" s="320">
        <v>0.0</v>
      </c>
      <c r="U648" s="320">
        <v>256.12</v>
      </c>
      <c r="V648" s="320">
        <v>311.22</v>
      </c>
      <c r="W648" s="320">
        <v>4.4637</v>
      </c>
      <c r="X648" s="320">
        <v>0.0</v>
      </c>
      <c r="Y648" s="320">
        <v>273.0</v>
      </c>
      <c r="Z648" s="320">
        <v>2245.0</v>
      </c>
      <c r="AA648" s="320">
        <v>9477.0</v>
      </c>
      <c r="AB648" s="320">
        <v>59.503</v>
      </c>
      <c r="AC648" s="320">
        <v>0.8457</v>
      </c>
      <c r="AD648" s="320">
        <v>37.74</v>
      </c>
      <c r="AE648" s="320">
        <v>15.0</v>
      </c>
      <c r="AF648" s="320">
        <v>30.0</v>
      </c>
      <c r="AG648" s="320">
        <v>52.0</v>
      </c>
      <c r="AH648" s="320">
        <v>78.0</v>
      </c>
      <c r="AI648" s="320">
        <v>52.49</v>
      </c>
      <c r="AJ648" s="320">
        <v>19.42</v>
      </c>
      <c r="AK648" s="320">
        <v>4.81</v>
      </c>
      <c r="AL648" s="320">
        <v>0.1436</v>
      </c>
      <c r="AM648" s="320">
        <v>22.37</v>
      </c>
      <c r="AN648" s="320">
        <v>138.8</v>
      </c>
      <c r="AO648" s="320">
        <v>83.17</v>
      </c>
      <c r="AP648" s="320">
        <v>18.61</v>
      </c>
    </row>
    <row r="649">
      <c r="A649" s="319" t="s">
        <v>256</v>
      </c>
      <c r="B649" s="328">
        <v>46157.0</v>
      </c>
      <c r="C649" s="319" t="s">
        <v>218</v>
      </c>
      <c r="D649" s="320">
        <v>647.0</v>
      </c>
      <c r="E649" s="320">
        <v>0.66</v>
      </c>
      <c r="F649" s="320">
        <v>0.0</v>
      </c>
      <c r="G649" s="320">
        <v>0.0</v>
      </c>
      <c r="H649" s="320">
        <v>0.0</v>
      </c>
      <c r="I649" s="329"/>
      <c r="J649" s="320">
        <v>245.02</v>
      </c>
      <c r="K649" s="320">
        <v>139.36</v>
      </c>
      <c r="L649" s="320">
        <v>123.18</v>
      </c>
      <c r="M649" s="320">
        <v>0.8839</v>
      </c>
      <c r="N649" s="320">
        <v>0.2748</v>
      </c>
      <c r="O649" s="320">
        <v>0.2112</v>
      </c>
      <c r="P649" s="320">
        <v>1.1314</v>
      </c>
      <c r="Q649" s="320">
        <v>492.63</v>
      </c>
      <c r="R649" s="320">
        <v>273.76</v>
      </c>
      <c r="S649" s="320">
        <v>218.87</v>
      </c>
      <c r="T649" s="320">
        <v>0.0</v>
      </c>
      <c r="U649" s="320">
        <v>492.63</v>
      </c>
      <c r="V649" s="320">
        <v>709.51</v>
      </c>
      <c r="W649" s="320">
        <v>5.0911</v>
      </c>
      <c r="X649" s="320">
        <v>0.0</v>
      </c>
      <c r="Y649" s="320">
        <v>917.0</v>
      </c>
      <c r="Z649" s="320">
        <v>3896.0</v>
      </c>
      <c r="AA649" s="320">
        <v>12720.0</v>
      </c>
      <c r="AB649" s="320">
        <v>63.1338</v>
      </c>
      <c r="AC649" s="320">
        <v>0.919</v>
      </c>
      <c r="AD649" s="320">
        <v>89.88</v>
      </c>
      <c r="AE649" s="320">
        <v>39.0</v>
      </c>
      <c r="AF649" s="320">
        <v>78.0</v>
      </c>
      <c r="AG649" s="320">
        <v>126.0</v>
      </c>
      <c r="AH649" s="320">
        <v>179.0</v>
      </c>
      <c r="AI649" s="320">
        <v>49.15</v>
      </c>
      <c r="AJ649" s="320">
        <v>10.82</v>
      </c>
      <c r="AK649" s="320">
        <v>1.08</v>
      </c>
      <c r="AL649" s="320">
        <v>0.1144</v>
      </c>
      <c r="AM649" s="320">
        <v>22.28</v>
      </c>
      <c r="AN649" s="320">
        <v>251.48</v>
      </c>
      <c r="AO649" s="320">
        <v>84.68</v>
      </c>
      <c r="AP649" s="320">
        <v>18.87</v>
      </c>
    </row>
    <row r="650">
      <c r="A650" s="319" t="s">
        <v>256</v>
      </c>
      <c r="B650" s="328">
        <v>46158.0</v>
      </c>
      <c r="C650" s="319" t="s">
        <v>257</v>
      </c>
      <c r="D650" s="320">
        <v>19803.0</v>
      </c>
      <c r="E650" s="320">
        <v>20.53</v>
      </c>
      <c r="F650" s="320">
        <v>0.0</v>
      </c>
      <c r="G650" s="320">
        <v>0.0</v>
      </c>
      <c r="H650" s="320">
        <v>0.0</v>
      </c>
      <c r="I650" s="329"/>
      <c r="J650" s="320">
        <v>6.3</v>
      </c>
      <c r="K650" s="320">
        <v>2.71</v>
      </c>
      <c r="L650" s="320">
        <v>0.03</v>
      </c>
      <c r="M650" s="320">
        <v>0.0121</v>
      </c>
      <c r="N650" s="320">
        <v>0.9915</v>
      </c>
      <c r="O650" s="320">
        <v>0.885</v>
      </c>
      <c r="P650" s="320">
        <v>82.8702</v>
      </c>
      <c r="Q650" s="320">
        <v>24.68</v>
      </c>
      <c r="R650" s="320">
        <v>24.57</v>
      </c>
      <c r="S650" s="320">
        <v>0.1</v>
      </c>
      <c r="T650" s="320">
        <v>0.0</v>
      </c>
      <c r="U650" s="320">
        <v>24.68</v>
      </c>
      <c r="V650" s="320">
        <v>2.1</v>
      </c>
      <c r="W650" s="320">
        <v>0.7749</v>
      </c>
      <c r="X650" s="320">
        <v>0.0</v>
      </c>
      <c r="Y650" s="320">
        <v>298.0</v>
      </c>
      <c r="Z650" s="320">
        <v>3600.0</v>
      </c>
      <c r="AA650" s="320">
        <v>14944.0</v>
      </c>
      <c r="AB650" s="320">
        <v>48.6377</v>
      </c>
      <c r="AC650" s="320">
        <v>0.528</v>
      </c>
      <c r="AD650" s="329"/>
      <c r="AE650" s="329"/>
      <c r="AF650" s="329"/>
      <c r="AG650" s="329"/>
      <c r="AH650" s="329"/>
      <c r="AI650" s="320">
        <v>0.0</v>
      </c>
      <c r="AJ650" s="320">
        <v>0.0</v>
      </c>
      <c r="AK650" s="320">
        <v>0.0</v>
      </c>
      <c r="AL650" s="320">
        <v>0.2795</v>
      </c>
      <c r="AM650" s="320">
        <v>18.09</v>
      </c>
      <c r="AN650" s="320">
        <v>6.48</v>
      </c>
      <c r="AO650" s="329"/>
      <c r="AP650" s="329"/>
    </row>
    <row r="651">
      <c r="A651" s="319" t="s">
        <v>256</v>
      </c>
      <c r="B651" s="328">
        <v>46158.0</v>
      </c>
      <c r="C651" s="319" t="s">
        <v>214</v>
      </c>
      <c r="D651" s="320">
        <v>34910.0</v>
      </c>
      <c r="E651" s="320">
        <v>36.2</v>
      </c>
      <c r="F651" s="320">
        <v>0.0</v>
      </c>
      <c r="G651" s="320">
        <v>0.0</v>
      </c>
      <c r="H651" s="320">
        <v>0.0</v>
      </c>
      <c r="I651" s="329"/>
      <c r="J651" s="320">
        <v>29.7</v>
      </c>
      <c r="K651" s="320">
        <v>13.41</v>
      </c>
      <c r="L651" s="320">
        <v>5.65</v>
      </c>
      <c r="M651" s="320">
        <v>0.4212</v>
      </c>
      <c r="N651" s="320">
        <v>0.753</v>
      </c>
      <c r="O651" s="320">
        <v>0.5539</v>
      </c>
      <c r="P651" s="320">
        <v>2.3741</v>
      </c>
      <c r="Q651" s="320">
        <v>52.3</v>
      </c>
      <c r="R651" s="320">
        <v>42.66</v>
      </c>
      <c r="S651" s="320">
        <v>9.64</v>
      </c>
      <c r="T651" s="320">
        <v>0.0</v>
      </c>
      <c r="U651" s="320">
        <v>52.3</v>
      </c>
      <c r="V651" s="320">
        <v>55.08</v>
      </c>
      <c r="W651" s="320">
        <v>4.1072</v>
      </c>
      <c r="X651" s="320">
        <v>0.0</v>
      </c>
      <c r="Y651" s="320">
        <v>144.0</v>
      </c>
      <c r="Z651" s="320">
        <v>930.0</v>
      </c>
      <c r="AA651" s="320">
        <v>6160.0</v>
      </c>
      <c r="AB651" s="320">
        <v>48.5745</v>
      </c>
      <c r="AC651" s="320">
        <v>0.5391</v>
      </c>
      <c r="AD651" s="320">
        <v>3.99</v>
      </c>
      <c r="AE651" s="320">
        <v>1.0</v>
      </c>
      <c r="AF651" s="320">
        <v>3.0</v>
      </c>
      <c r="AG651" s="320">
        <v>5.0</v>
      </c>
      <c r="AH651" s="320">
        <v>9.0</v>
      </c>
      <c r="AI651" s="320">
        <v>72.38</v>
      </c>
      <c r="AJ651" s="320">
        <v>30.15</v>
      </c>
      <c r="AK651" s="320">
        <v>8.84</v>
      </c>
      <c r="AL651" s="320">
        <v>0.2542</v>
      </c>
      <c r="AM651" s="320">
        <v>22.55</v>
      </c>
      <c r="AN651" s="320">
        <v>20.11</v>
      </c>
      <c r="AO651" s="320">
        <v>65.44</v>
      </c>
      <c r="AP651" s="320">
        <v>14.76</v>
      </c>
    </row>
    <row r="652">
      <c r="A652" s="319" t="s">
        <v>256</v>
      </c>
      <c r="B652" s="328">
        <v>46158.0</v>
      </c>
      <c r="C652" s="319" t="s">
        <v>215</v>
      </c>
      <c r="D652" s="320">
        <v>22801.0</v>
      </c>
      <c r="E652" s="320">
        <v>23.64</v>
      </c>
      <c r="F652" s="320">
        <v>0.0</v>
      </c>
      <c r="G652" s="320">
        <v>0.0</v>
      </c>
      <c r="H652" s="320">
        <v>0.0</v>
      </c>
      <c r="I652" s="329"/>
      <c r="J652" s="320">
        <v>53.29</v>
      </c>
      <c r="K652" s="320">
        <v>25.15</v>
      </c>
      <c r="L652" s="320">
        <v>13.5</v>
      </c>
      <c r="M652" s="320">
        <v>0.5367</v>
      </c>
      <c r="N652" s="320">
        <v>0.6563</v>
      </c>
      <c r="O652" s="320">
        <v>0.4586</v>
      </c>
      <c r="P652" s="320">
        <v>1.8631</v>
      </c>
      <c r="Q652" s="320">
        <v>96.9</v>
      </c>
      <c r="R652" s="320">
        <v>73.27</v>
      </c>
      <c r="S652" s="320">
        <v>23.63</v>
      </c>
      <c r="T652" s="320">
        <v>0.0</v>
      </c>
      <c r="U652" s="320">
        <v>96.9</v>
      </c>
      <c r="V652" s="320">
        <v>98.8</v>
      </c>
      <c r="W652" s="320">
        <v>3.9281</v>
      </c>
      <c r="X652" s="320">
        <v>0.0</v>
      </c>
      <c r="Y652" s="320">
        <v>132.0</v>
      </c>
      <c r="Z652" s="320">
        <v>747.0</v>
      </c>
      <c r="AA652" s="320">
        <v>5718.0</v>
      </c>
      <c r="AB652" s="320">
        <v>52.3053</v>
      </c>
      <c r="AC652" s="320">
        <v>0.644</v>
      </c>
      <c r="AD652" s="320">
        <v>9.28</v>
      </c>
      <c r="AE652" s="320">
        <v>3.0</v>
      </c>
      <c r="AF652" s="320">
        <v>7.0</v>
      </c>
      <c r="AG652" s="320">
        <v>13.0</v>
      </c>
      <c r="AH652" s="320">
        <v>19.0</v>
      </c>
      <c r="AI652" s="320">
        <v>59.51</v>
      </c>
      <c r="AJ652" s="320">
        <v>25.49</v>
      </c>
      <c r="AK652" s="320">
        <v>4.71</v>
      </c>
      <c r="AL652" s="320">
        <v>0.2065</v>
      </c>
      <c r="AM652" s="320">
        <v>23.4</v>
      </c>
      <c r="AN652" s="320">
        <v>49.87</v>
      </c>
      <c r="AO652" s="320">
        <v>74.66</v>
      </c>
      <c r="AP652" s="320">
        <v>17.47</v>
      </c>
    </row>
    <row r="653">
      <c r="A653" s="319" t="s">
        <v>256</v>
      </c>
      <c r="B653" s="328">
        <v>46158.0</v>
      </c>
      <c r="C653" s="319" t="s">
        <v>216</v>
      </c>
      <c r="D653" s="320">
        <v>12944.0</v>
      </c>
      <c r="E653" s="320">
        <v>13.42</v>
      </c>
      <c r="F653" s="320">
        <v>0.0</v>
      </c>
      <c r="G653" s="320">
        <v>0.0</v>
      </c>
      <c r="H653" s="320">
        <v>0.0</v>
      </c>
      <c r="I653" s="329"/>
      <c r="J653" s="320">
        <v>78.03</v>
      </c>
      <c r="K653" s="320">
        <v>38.86</v>
      </c>
      <c r="L653" s="320">
        <v>25.56</v>
      </c>
      <c r="M653" s="320">
        <v>0.6577</v>
      </c>
      <c r="N653" s="320">
        <v>0.5391</v>
      </c>
      <c r="O653" s="320">
        <v>0.3735</v>
      </c>
      <c r="P653" s="320">
        <v>1.5204</v>
      </c>
      <c r="Q653" s="320">
        <v>159.88</v>
      </c>
      <c r="R653" s="320">
        <v>115.14</v>
      </c>
      <c r="S653" s="320">
        <v>44.73</v>
      </c>
      <c r="T653" s="320">
        <v>0.0</v>
      </c>
      <c r="U653" s="320">
        <v>159.88</v>
      </c>
      <c r="V653" s="320">
        <v>171.0</v>
      </c>
      <c r="W653" s="320">
        <v>4.4007</v>
      </c>
      <c r="X653" s="320">
        <v>0.0</v>
      </c>
      <c r="Y653" s="320">
        <v>160.0</v>
      </c>
      <c r="Z653" s="320">
        <v>1058.0</v>
      </c>
      <c r="AA653" s="320">
        <v>6739.0</v>
      </c>
      <c r="AB653" s="320">
        <v>55.576</v>
      </c>
      <c r="AC653" s="320">
        <v>0.7463</v>
      </c>
      <c r="AD653" s="320">
        <v>17.52</v>
      </c>
      <c r="AE653" s="320">
        <v>7.0</v>
      </c>
      <c r="AF653" s="320">
        <v>13.0</v>
      </c>
      <c r="AG653" s="320">
        <v>24.0</v>
      </c>
      <c r="AH653" s="320">
        <v>37.0</v>
      </c>
      <c r="AI653" s="320">
        <v>59.07</v>
      </c>
      <c r="AJ653" s="320">
        <v>22.74</v>
      </c>
      <c r="AK653" s="320">
        <v>7.12</v>
      </c>
      <c r="AL653" s="320">
        <v>0.1796</v>
      </c>
      <c r="AM653" s="320">
        <v>23.12</v>
      </c>
      <c r="AN653" s="320">
        <v>92.03</v>
      </c>
      <c r="AO653" s="320">
        <v>78.15</v>
      </c>
      <c r="AP653" s="320">
        <v>18.07</v>
      </c>
    </row>
    <row r="654">
      <c r="A654" s="319" t="s">
        <v>256</v>
      </c>
      <c r="B654" s="328">
        <v>46158.0</v>
      </c>
      <c r="C654" s="319" t="s">
        <v>217</v>
      </c>
      <c r="D654" s="320">
        <v>5396.0</v>
      </c>
      <c r="E654" s="320">
        <v>5.6</v>
      </c>
      <c r="F654" s="320">
        <v>0.0</v>
      </c>
      <c r="G654" s="320">
        <v>0.0</v>
      </c>
      <c r="H654" s="320">
        <v>0.0</v>
      </c>
      <c r="I654" s="329"/>
      <c r="J654" s="320">
        <v>124.28</v>
      </c>
      <c r="K654" s="320">
        <v>66.39</v>
      </c>
      <c r="L654" s="320">
        <v>52.31</v>
      </c>
      <c r="M654" s="320">
        <v>0.7879</v>
      </c>
      <c r="N654" s="320">
        <v>0.4012</v>
      </c>
      <c r="O654" s="320">
        <v>0.2893</v>
      </c>
      <c r="P654" s="320">
        <v>1.2692</v>
      </c>
      <c r="Q654" s="320">
        <v>298.0</v>
      </c>
      <c r="R654" s="320">
        <v>206.54</v>
      </c>
      <c r="S654" s="320">
        <v>91.46</v>
      </c>
      <c r="T654" s="320">
        <v>0.0</v>
      </c>
      <c r="U654" s="320">
        <v>298.0</v>
      </c>
      <c r="V654" s="320">
        <v>331.98</v>
      </c>
      <c r="W654" s="320">
        <v>5.0007</v>
      </c>
      <c r="X654" s="320">
        <v>0.0</v>
      </c>
      <c r="Y654" s="320">
        <v>286.0</v>
      </c>
      <c r="Z654" s="320">
        <v>2398.0</v>
      </c>
      <c r="AA654" s="320">
        <v>9952.0</v>
      </c>
      <c r="AB654" s="320">
        <v>59.6955</v>
      </c>
      <c r="AC654" s="320">
        <v>0.8432</v>
      </c>
      <c r="AD654" s="320">
        <v>36.76</v>
      </c>
      <c r="AE654" s="320">
        <v>14.0</v>
      </c>
      <c r="AF654" s="320">
        <v>28.0</v>
      </c>
      <c r="AG654" s="320">
        <v>51.0</v>
      </c>
      <c r="AH654" s="320">
        <v>77.0</v>
      </c>
      <c r="AI654" s="320">
        <v>50.72</v>
      </c>
      <c r="AJ654" s="320">
        <v>19.33</v>
      </c>
      <c r="AK654" s="320">
        <v>4.45</v>
      </c>
      <c r="AL654" s="320">
        <v>0.1347</v>
      </c>
      <c r="AM654" s="320">
        <v>23.94</v>
      </c>
      <c r="AN654" s="320">
        <v>182.6</v>
      </c>
      <c r="AO654" s="320">
        <v>83.02</v>
      </c>
      <c r="AP654" s="320">
        <v>19.87</v>
      </c>
    </row>
    <row r="655">
      <c r="A655" s="319" t="s">
        <v>256</v>
      </c>
      <c r="B655" s="328">
        <v>46158.0</v>
      </c>
      <c r="C655" s="319" t="s">
        <v>218</v>
      </c>
      <c r="D655" s="320">
        <v>582.0</v>
      </c>
      <c r="E655" s="320">
        <v>0.6</v>
      </c>
      <c r="F655" s="320">
        <v>0.0</v>
      </c>
      <c r="G655" s="320">
        <v>0.0</v>
      </c>
      <c r="H655" s="320">
        <v>0.0</v>
      </c>
      <c r="I655" s="329"/>
      <c r="J655" s="320">
        <v>221.79</v>
      </c>
      <c r="K655" s="320">
        <v>127.58</v>
      </c>
      <c r="L655" s="320">
        <v>114.98</v>
      </c>
      <c r="M655" s="320">
        <v>0.9013</v>
      </c>
      <c r="N655" s="320">
        <v>0.2665</v>
      </c>
      <c r="O655" s="320">
        <v>0.2122</v>
      </c>
      <c r="P655" s="320">
        <v>1.1096</v>
      </c>
      <c r="Q655" s="320">
        <v>540.99</v>
      </c>
      <c r="R655" s="320">
        <v>338.56</v>
      </c>
      <c r="S655" s="320">
        <v>202.43</v>
      </c>
      <c r="T655" s="320">
        <v>0.0</v>
      </c>
      <c r="U655" s="320">
        <v>540.99</v>
      </c>
      <c r="V655" s="320">
        <v>655.58</v>
      </c>
      <c r="W655" s="320">
        <v>5.1387</v>
      </c>
      <c r="X655" s="320">
        <v>0.0</v>
      </c>
      <c r="Y655" s="320">
        <v>842.0</v>
      </c>
      <c r="Z655" s="320">
        <v>4157.0</v>
      </c>
      <c r="AA655" s="320">
        <v>12559.0</v>
      </c>
      <c r="AB655" s="320">
        <v>63.1744</v>
      </c>
      <c r="AC655" s="320">
        <v>0.9063</v>
      </c>
      <c r="AD655" s="320">
        <v>85.29</v>
      </c>
      <c r="AE655" s="320">
        <v>38.0</v>
      </c>
      <c r="AF655" s="320">
        <v>74.0</v>
      </c>
      <c r="AG655" s="320">
        <v>110.0</v>
      </c>
      <c r="AH655" s="320">
        <v>163.0</v>
      </c>
      <c r="AI655" s="320">
        <v>46.22</v>
      </c>
      <c r="AJ655" s="320">
        <v>8.25</v>
      </c>
      <c r="AK655" s="320">
        <v>1.37</v>
      </c>
      <c r="AL655" s="320">
        <v>0.0825</v>
      </c>
      <c r="AM655" s="320">
        <v>24.42</v>
      </c>
      <c r="AN655" s="320">
        <v>314.13</v>
      </c>
      <c r="AO655" s="320">
        <v>86.28</v>
      </c>
      <c r="AP655" s="320">
        <v>21.07</v>
      </c>
    </row>
    <row r="656">
      <c r="A656" s="319" t="s">
        <v>256</v>
      </c>
      <c r="B656" s="328">
        <v>46159.0</v>
      </c>
      <c r="C656" s="319" t="s">
        <v>257</v>
      </c>
      <c r="D656" s="320">
        <v>19988.0</v>
      </c>
      <c r="E656" s="320">
        <v>20.38</v>
      </c>
      <c r="F656" s="320">
        <v>0.0</v>
      </c>
      <c r="G656" s="320">
        <v>0.0</v>
      </c>
      <c r="H656" s="320">
        <v>0.0</v>
      </c>
      <c r="I656" s="329"/>
      <c r="J656" s="320">
        <v>7.0</v>
      </c>
      <c r="K656" s="320">
        <v>2.98</v>
      </c>
      <c r="L656" s="320">
        <v>0.04</v>
      </c>
      <c r="M656" s="320">
        <v>0.0131</v>
      </c>
      <c r="N656" s="320">
        <v>0.9903</v>
      </c>
      <c r="O656" s="320">
        <v>0.8497</v>
      </c>
      <c r="P656" s="320">
        <v>76.1252</v>
      </c>
      <c r="Q656" s="320">
        <v>22.24</v>
      </c>
      <c r="R656" s="320">
        <v>22.12</v>
      </c>
      <c r="S656" s="320">
        <v>0.12</v>
      </c>
      <c r="T656" s="320">
        <v>0.0</v>
      </c>
      <c r="U656" s="320">
        <v>22.24</v>
      </c>
      <c r="V656" s="320">
        <v>2.16</v>
      </c>
      <c r="W656" s="320">
        <v>0.7248</v>
      </c>
      <c r="X656" s="320">
        <v>0.0</v>
      </c>
      <c r="Y656" s="320">
        <v>288.0</v>
      </c>
      <c r="Z656" s="320">
        <v>3591.0</v>
      </c>
      <c r="AA656" s="320">
        <v>15060.0</v>
      </c>
      <c r="AB656" s="320">
        <v>48.8193</v>
      </c>
      <c r="AC656" s="320">
        <v>0.5427</v>
      </c>
      <c r="AD656" s="329"/>
      <c r="AE656" s="329"/>
      <c r="AF656" s="329"/>
      <c r="AG656" s="329"/>
      <c r="AH656" s="329"/>
      <c r="AI656" s="320">
        <v>0.0</v>
      </c>
      <c r="AJ656" s="320">
        <v>0.0</v>
      </c>
      <c r="AK656" s="320">
        <v>0.0</v>
      </c>
      <c r="AL656" s="320">
        <v>0.2868</v>
      </c>
      <c r="AM656" s="320">
        <v>18.03</v>
      </c>
      <c r="AN656" s="320">
        <v>4.09</v>
      </c>
      <c r="AO656" s="329"/>
      <c r="AP656" s="329"/>
    </row>
    <row r="657">
      <c r="A657" s="319" t="s">
        <v>256</v>
      </c>
      <c r="B657" s="328">
        <v>46159.0</v>
      </c>
      <c r="C657" s="319" t="s">
        <v>214</v>
      </c>
      <c r="D657" s="320">
        <v>35779.0</v>
      </c>
      <c r="E657" s="320">
        <v>36.49</v>
      </c>
      <c r="F657" s="320">
        <v>0.0</v>
      </c>
      <c r="G657" s="320">
        <v>0.0</v>
      </c>
      <c r="H657" s="320">
        <v>0.0</v>
      </c>
      <c r="I657" s="329"/>
      <c r="J657" s="320">
        <v>32.23</v>
      </c>
      <c r="K657" s="320">
        <v>14.94</v>
      </c>
      <c r="L657" s="320">
        <v>5.76</v>
      </c>
      <c r="M657" s="320">
        <v>0.3857</v>
      </c>
      <c r="N657" s="320">
        <v>0.7754</v>
      </c>
      <c r="O657" s="320">
        <v>0.5658</v>
      </c>
      <c r="P657" s="320">
        <v>2.5928</v>
      </c>
      <c r="Q657" s="320">
        <v>47.47</v>
      </c>
      <c r="R657" s="320">
        <v>37.49</v>
      </c>
      <c r="S657" s="320">
        <v>9.99</v>
      </c>
      <c r="T657" s="320">
        <v>0.0</v>
      </c>
      <c r="U657" s="320">
        <v>47.47</v>
      </c>
      <c r="V657" s="320">
        <v>53.0</v>
      </c>
      <c r="W657" s="320">
        <v>3.5484</v>
      </c>
      <c r="X657" s="320">
        <v>0.0</v>
      </c>
      <c r="Y657" s="320">
        <v>136.0</v>
      </c>
      <c r="Z657" s="320">
        <v>902.0</v>
      </c>
      <c r="AA657" s="320">
        <v>6161.0</v>
      </c>
      <c r="AB657" s="320">
        <v>48.5559</v>
      </c>
      <c r="AC657" s="320">
        <v>0.5373</v>
      </c>
      <c r="AD657" s="320">
        <v>3.96</v>
      </c>
      <c r="AE657" s="320">
        <v>1.0</v>
      </c>
      <c r="AF657" s="320">
        <v>3.0</v>
      </c>
      <c r="AG657" s="320">
        <v>5.0</v>
      </c>
      <c r="AH657" s="320">
        <v>9.0</v>
      </c>
      <c r="AI657" s="320">
        <v>72.48</v>
      </c>
      <c r="AJ657" s="320">
        <v>30.23</v>
      </c>
      <c r="AK657" s="320">
        <v>8.35</v>
      </c>
      <c r="AL657" s="320">
        <v>0.2676</v>
      </c>
      <c r="AM657" s="320">
        <v>21.47</v>
      </c>
      <c r="AN657" s="320">
        <v>16.02</v>
      </c>
      <c r="AO657" s="320">
        <v>64.86</v>
      </c>
      <c r="AP657" s="320">
        <v>13.93</v>
      </c>
    </row>
    <row r="658">
      <c r="A658" s="319" t="s">
        <v>256</v>
      </c>
      <c r="B658" s="328">
        <v>46159.0</v>
      </c>
      <c r="C658" s="319" t="s">
        <v>215</v>
      </c>
      <c r="D658" s="320">
        <v>23137.0</v>
      </c>
      <c r="E658" s="320">
        <v>23.59</v>
      </c>
      <c r="F658" s="320">
        <v>0.0</v>
      </c>
      <c r="G658" s="320">
        <v>0.0</v>
      </c>
      <c r="H658" s="320">
        <v>0.0</v>
      </c>
      <c r="I658" s="329"/>
      <c r="J658" s="320">
        <v>59.09</v>
      </c>
      <c r="K658" s="320">
        <v>28.25</v>
      </c>
      <c r="L658" s="320">
        <v>14.05</v>
      </c>
      <c r="M658" s="320">
        <v>0.4971</v>
      </c>
      <c r="N658" s="320">
        <v>0.6857</v>
      </c>
      <c r="O658" s="320">
        <v>0.4738</v>
      </c>
      <c r="P658" s="320">
        <v>2.0115</v>
      </c>
      <c r="Q658" s="320">
        <v>81.97</v>
      </c>
      <c r="R658" s="320">
        <v>57.38</v>
      </c>
      <c r="S658" s="320">
        <v>24.59</v>
      </c>
      <c r="T658" s="320">
        <v>0.0</v>
      </c>
      <c r="U658" s="320">
        <v>81.97</v>
      </c>
      <c r="V658" s="320">
        <v>96.12</v>
      </c>
      <c r="W658" s="320">
        <v>3.4019</v>
      </c>
      <c r="X658" s="320">
        <v>0.0</v>
      </c>
      <c r="Y658" s="320">
        <v>122.0</v>
      </c>
      <c r="Z658" s="320">
        <v>707.0</v>
      </c>
      <c r="AA658" s="320">
        <v>5227.0</v>
      </c>
      <c r="AB658" s="320">
        <v>52.2012</v>
      </c>
      <c r="AC658" s="320">
        <v>0.6403</v>
      </c>
      <c r="AD658" s="320">
        <v>9.29</v>
      </c>
      <c r="AE658" s="320">
        <v>3.0</v>
      </c>
      <c r="AF658" s="320">
        <v>7.0</v>
      </c>
      <c r="AG658" s="320">
        <v>13.0</v>
      </c>
      <c r="AH658" s="320">
        <v>19.0</v>
      </c>
      <c r="AI658" s="320">
        <v>59.08</v>
      </c>
      <c r="AJ658" s="320">
        <v>25.23</v>
      </c>
      <c r="AK658" s="320">
        <v>4.79</v>
      </c>
      <c r="AL658" s="320">
        <v>0.2125</v>
      </c>
      <c r="AM658" s="320">
        <v>22.26</v>
      </c>
      <c r="AN658" s="320">
        <v>35.12</v>
      </c>
      <c r="AO658" s="320">
        <v>74.51</v>
      </c>
      <c r="AP658" s="320">
        <v>16.59</v>
      </c>
    </row>
    <row r="659">
      <c r="A659" s="319" t="s">
        <v>256</v>
      </c>
      <c r="B659" s="328">
        <v>46159.0</v>
      </c>
      <c r="C659" s="319" t="s">
        <v>216</v>
      </c>
      <c r="D659" s="320">
        <v>13120.0</v>
      </c>
      <c r="E659" s="320">
        <v>13.38</v>
      </c>
      <c r="F659" s="320">
        <v>0.0</v>
      </c>
      <c r="G659" s="320">
        <v>0.0</v>
      </c>
      <c r="H659" s="320">
        <v>0.0</v>
      </c>
      <c r="I659" s="329"/>
      <c r="J659" s="320">
        <v>84.17</v>
      </c>
      <c r="K659" s="320">
        <v>42.48</v>
      </c>
      <c r="L659" s="320">
        <v>27.04</v>
      </c>
      <c r="M659" s="320">
        <v>0.6363</v>
      </c>
      <c r="N659" s="320">
        <v>0.5507</v>
      </c>
      <c r="O659" s="320">
        <v>0.3736</v>
      </c>
      <c r="P659" s="320">
        <v>1.5715</v>
      </c>
      <c r="Q659" s="320">
        <v>130.17</v>
      </c>
      <c r="R659" s="320">
        <v>82.95</v>
      </c>
      <c r="S659" s="320">
        <v>47.23</v>
      </c>
      <c r="T659" s="320">
        <v>0.0</v>
      </c>
      <c r="U659" s="320">
        <v>130.17</v>
      </c>
      <c r="V659" s="320">
        <v>167.59</v>
      </c>
      <c r="W659" s="320">
        <v>3.9447</v>
      </c>
      <c r="X659" s="320">
        <v>0.0</v>
      </c>
      <c r="Y659" s="320">
        <v>140.0</v>
      </c>
      <c r="Z659" s="320">
        <v>999.0</v>
      </c>
      <c r="AA659" s="320">
        <v>6622.0</v>
      </c>
      <c r="AB659" s="320">
        <v>55.556</v>
      </c>
      <c r="AC659" s="320">
        <v>0.7437</v>
      </c>
      <c r="AD659" s="320">
        <v>18.11</v>
      </c>
      <c r="AE659" s="320">
        <v>7.0</v>
      </c>
      <c r="AF659" s="320">
        <v>14.0</v>
      </c>
      <c r="AG659" s="320">
        <v>25.0</v>
      </c>
      <c r="AH659" s="320">
        <v>38.0</v>
      </c>
      <c r="AI659" s="320">
        <v>60.39</v>
      </c>
      <c r="AJ659" s="320">
        <v>23.79</v>
      </c>
      <c r="AK659" s="320">
        <v>7.86</v>
      </c>
      <c r="AL659" s="320">
        <v>0.2059</v>
      </c>
      <c r="AM659" s="320">
        <v>21.9</v>
      </c>
      <c r="AN659" s="320">
        <v>61.04</v>
      </c>
      <c r="AO659" s="320">
        <v>77.06</v>
      </c>
      <c r="AP659" s="320">
        <v>16.88</v>
      </c>
    </row>
    <row r="660">
      <c r="A660" s="319" t="s">
        <v>256</v>
      </c>
      <c r="B660" s="328">
        <v>46159.0</v>
      </c>
      <c r="C660" s="319" t="s">
        <v>217</v>
      </c>
      <c r="D660" s="320">
        <v>5449.0</v>
      </c>
      <c r="E660" s="320">
        <v>5.56</v>
      </c>
      <c r="F660" s="320">
        <v>0.0</v>
      </c>
      <c r="G660" s="320">
        <v>0.0</v>
      </c>
      <c r="H660" s="320">
        <v>0.0</v>
      </c>
      <c r="I660" s="329"/>
      <c r="J660" s="320">
        <v>129.0</v>
      </c>
      <c r="K660" s="320">
        <v>69.19</v>
      </c>
      <c r="L660" s="320">
        <v>53.41</v>
      </c>
      <c r="M660" s="320">
        <v>0.772</v>
      </c>
      <c r="N660" s="320">
        <v>0.4086</v>
      </c>
      <c r="O660" s="320">
        <v>0.286</v>
      </c>
      <c r="P660" s="320">
        <v>1.2954</v>
      </c>
      <c r="Q660" s="320">
        <v>212.6</v>
      </c>
      <c r="R660" s="320">
        <v>119.42</v>
      </c>
      <c r="S660" s="320">
        <v>93.18</v>
      </c>
      <c r="T660" s="320">
        <v>0.0</v>
      </c>
      <c r="U660" s="320">
        <v>212.6</v>
      </c>
      <c r="V660" s="320">
        <v>303.96</v>
      </c>
      <c r="W660" s="320">
        <v>4.3933</v>
      </c>
      <c r="X660" s="320">
        <v>0.0</v>
      </c>
      <c r="Y660" s="320">
        <v>223.0</v>
      </c>
      <c r="Z660" s="320">
        <v>2265.0</v>
      </c>
      <c r="AA660" s="320">
        <v>10053.0</v>
      </c>
      <c r="AB660" s="320">
        <v>59.6984</v>
      </c>
      <c r="AC660" s="320">
        <v>0.8404</v>
      </c>
      <c r="AD660" s="320">
        <v>36.95</v>
      </c>
      <c r="AE660" s="320">
        <v>14.0</v>
      </c>
      <c r="AF660" s="320">
        <v>28.0</v>
      </c>
      <c r="AG660" s="320">
        <v>51.0</v>
      </c>
      <c r="AH660" s="320">
        <v>78.0</v>
      </c>
      <c r="AI660" s="320">
        <v>51.11</v>
      </c>
      <c r="AJ660" s="320">
        <v>19.05</v>
      </c>
      <c r="AK660" s="320">
        <v>4.55</v>
      </c>
      <c r="AL660" s="320">
        <v>0.1527</v>
      </c>
      <c r="AM660" s="320">
        <v>22.7</v>
      </c>
      <c r="AN660" s="320">
        <v>96.72</v>
      </c>
      <c r="AO660" s="320">
        <v>81.63</v>
      </c>
      <c r="AP660" s="320">
        <v>18.53</v>
      </c>
    </row>
    <row r="661">
      <c r="A661" s="319" t="s">
        <v>256</v>
      </c>
      <c r="B661" s="328">
        <v>46159.0</v>
      </c>
      <c r="C661" s="319" t="s">
        <v>218</v>
      </c>
      <c r="D661" s="320">
        <v>587.0</v>
      </c>
      <c r="E661" s="320">
        <v>0.6</v>
      </c>
      <c r="F661" s="320">
        <v>0.0</v>
      </c>
      <c r="G661" s="320">
        <v>0.0</v>
      </c>
      <c r="H661" s="320">
        <v>0.0</v>
      </c>
      <c r="I661" s="329"/>
      <c r="J661" s="320">
        <v>229.21</v>
      </c>
      <c r="K661" s="320">
        <v>132.99</v>
      </c>
      <c r="L661" s="320">
        <v>115.35</v>
      </c>
      <c r="M661" s="320">
        <v>0.8674</v>
      </c>
      <c r="N661" s="320">
        <v>0.2924</v>
      </c>
      <c r="O661" s="320">
        <v>0.2179</v>
      </c>
      <c r="P661" s="320">
        <v>1.1529</v>
      </c>
      <c r="Q661" s="320">
        <v>377.24</v>
      </c>
      <c r="R661" s="320">
        <v>172.4</v>
      </c>
      <c r="S661" s="320">
        <v>204.84</v>
      </c>
      <c r="T661" s="320">
        <v>0.0</v>
      </c>
      <c r="U661" s="320">
        <v>377.24</v>
      </c>
      <c r="V661" s="320">
        <v>623.59</v>
      </c>
      <c r="W661" s="320">
        <v>4.689</v>
      </c>
      <c r="X661" s="320">
        <v>0.0</v>
      </c>
      <c r="Y661" s="320">
        <v>744.0</v>
      </c>
      <c r="Z661" s="320">
        <v>3960.0</v>
      </c>
      <c r="AA661" s="320">
        <v>13311.0</v>
      </c>
      <c r="AB661" s="320">
        <v>63.4288</v>
      </c>
      <c r="AC661" s="320">
        <v>0.9074</v>
      </c>
      <c r="AD661" s="320">
        <v>81.75</v>
      </c>
      <c r="AE661" s="320">
        <v>33.0</v>
      </c>
      <c r="AF661" s="320">
        <v>65.0</v>
      </c>
      <c r="AG661" s="320">
        <v>117.0</v>
      </c>
      <c r="AH661" s="320">
        <v>167.0</v>
      </c>
      <c r="AI661" s="320">
        <v>42.08</v>
      </c>
      <c r="AJ661" s="320">
        <v>8.52</v>
      </c>
      <c r="AK661" s="320">
        <v>1.19</v>
      </c>
      <c r="AL661" s="320">
        <v>0.1175</v>
      </c>
      <c r="AM661" s="320">
        <v>25.02</v>
      </c>
      <c r="AN661" s="320">
        <v>147.38</v>
      </c>
      <c r="AO661" s="320">
        <v>83.3</v>
      </c>
      <c r="AP661" s="320">
        <v>20.84</v>
      </c>
    </row>
    <row r="662">
      <c r="A662" s="319" t="s">
        <v>256</v>
      </c>
      <c r="B662" s="328">
        <v>46160.0</v>
      </c>
      <c r="C662" s="319" t="s">
        <v>257</v>
      </c>
      <c r="D662" s="320">
        <v>19805.0</v>
      </c>
      <c r="E662" s="320">
        <v>19.13</v>
      </c>
      <c r="F662" s="320">
        <v>0.0</v>
      </c>
      <c r="G662" s="320">
        <v>0.0</v>
      </c>
      <c r="H662" s="320">
        <v>0.0</v>
      </c>
      <c r="I662" s="329"/>
      <c r="J662" s="320">
        <v>6.25</v>
      </c>
      <c r="K662" s="320">
        <v>2.66</v>
      </c>
      <c r="L662" s="320">
        <v>0.08</v>
      </c>
      <c r="M662" s="320">
        <v>0.0288</v>
      </c>
      <c r="N662" s="320">
        <v>0.977</v>
      </c>
      <c r="O662" s="320">
        <v>0.7323</v>
      </c>
      <c r="P662" s="320">
        <v>34.7258</v>
      </c>
      <c r="Q662" s="320">
        <v>32.3</v>
      </c>
      <c r="R662" s="320">
        <v>32.18</v>
      </c>
      <c r="S662" s="320">
        <v>0.12</v>
      </c>
      <c r="T662" s="320">
        <v>0.0</v>
      </c>
      <c r="U662" s="320">
        <v>32.3</v>
      </c>
      <c r="V662" s="320">
        <v>2.11</v>
      </c>
      <c r="W662" s="320">
        <v>0.7916</v>
      </c>
      <c r="X662" s="320">
        <v>0.0</v>
      </c>
      <c r="Y662" s="320">
        <v>369.0</v>
      </c>
      <c r="Z662" s="320">
        <v>4392.0</v>
      </c>
      <c r="AA662" s="320">
        <v>16112.0</v>
      </c>
      <c r="AB662" s="320">
        <v>49.0286</v>
      </c>
      <c r="AC662" s="320">
        <v>0.5458</v>
      </c>
      <c r="AD662" s="329"/>
      <c r="AE662" s="329"/>
      <c r="AF662" s="329"/>
      <c r="AG662" s="329"/>
      <c r="AH662" s="329"/>
      <c r="AI662" s="320">
        <v>0.0</v>
      </c>
      <c r="AJ662" s="320">
        <v>0.0</v>
      </c>
      <c r="AK662" s="320">
        <v>0.0</v>
      </c>
      <c r="AL662" s="320">
        <v>0.2704</v>
      </c>
      <c r="AM662" s="320">
        <v>16.5</v>
      </c>
      <c r="AN662" s="320">
        <v>15.68</v>
      </c>
      <c r="AO662" s="329"/>
      <c r="AP662" s="329"/>
    </row>
    <row r="663">
      <c r="A663" s="319" t="s">
        <v>256</v>
      </c>
      <c r="B663" s="328">
        <v>46160.0</v>
      </c>
      <c r="C663" s="319" t="s">
        <v>214</v>
      </c>
      <c r="D663" s="320">
        <v>37209.0</v>
      </c>
      <c r="E663" s="320">
        <v>35.94</v>
      </c>
      <c r="F663" s="320">
        <v>0.0</v>
      </c>
      <c r="G663" s="320">
        <v>0.0</v>
      </c>
      <c r="H663" s="320">
        <v>0.0</v>
      </c>
      <c r="I663" s="329"/>
      <c r="J663" s="320">
        <v>32.97</v>
      </c>
      <c r="K663" s="320">
        <v>15.0</v>
      </c>
      <c r="L663" s="320">
        <v>5.78</v>
      </c>
      <c r="M663" s="320">
        <v>0.3856</v>
      </c>
      <c r="N663" s="320">
        <v>0.7814</v>
      </c>
      <c r="O663" s="320">
        <v>0.5807</v>
      </c>
      <c r="P663" s="320">
        <v>2.5934</v>
      </c>
      <c r="Q663" s="320">
        <v>72.49</v>
      </c>
      <c r="R663" s="320">
        <v>62.07</v>
      </c>
      <c r="S663" s="320">
        <v>10.43</v>
      </c>
      <c r="T663" s="320">
        <v>0.0</v>
      </c>
      <c r="U663" s="320">
        <v>72.49</v>
      </c>
      <c r="V663" s="320">
        <v>60.47</v>
      </c>
      <c r="W663" s="320">
        <v>4.0322</v>
      </c>
      <c r="X663" s="320">
        <v>0.0</v>
      </c>
      <c r="Y663" s="320">
        <v>153.0</v>
      </c>
      <c r="Z663" s="320">
        <v>904.0</v>
      </c>
      <c r="AA663" s="320">
        <v>5971.0</v>
      </c>
      <c r="AB663" s="320">
        <v>48.4269</v>
      </c>
      <c r="AC663" s="320">
        <v>0.5204</v>
      </c>
      <c r="AD663" s="320">
        <v>3.91</v>
      </c>
      <c r="AE663" s="320">
        <v>1.0</v>
      </c>
      <c r="AF663" s="320">
        <v>3.0</v>
      </c>
      <c r="AG663" s="320">
        <v>5.0</v>
      </c>
      <c r="AH663" s="320">
        <v>9.0</v>
      </c>
      <c r="AI663" s="320">
        <v>73.05</v>
      </c>
      <c r="AJ663" s="320">
        <v>29.33</v>
      </c>
      <c r="AK663" s="320">
        <v>7.7</v>
      </c>
      <c r="AL663" s="320">
        <v>0.2371</v>
      </c>
      <c r="AM663" s="320">
        <v>18.37</v>
      </c>
      <c r="AN663" s="320">
        <v>43.7</v>
      </c>
      <c r="AO663" s="320">
        <v>65.26</v>
      </c>
      <c r="AP663" s="320">
        <v>11.99</v>
      </c>
    </row>
    <row r="664">
      <c r="A664" s="319" t="s">
        <v>256</v>
      </c>
      <c r="B664" s="328">
        <v>46160.0</v>
      </c>
      <c r="C664" s="319" t="s">
        <v>215</v>
      </c>
      <c r="D664" s="320">
        <v>25601.0</v>
      </c>
      <c r="E664" s="320">
        <v>24.73</v>
      </c>
      <c r="F664" s="320">
        <v>0.0</v>
      </c>
      <c r="G664" s="320">
        <v>0.0</v>
      </c>
      <c r="H664" s="320">
        <v>0.0</v>
      </c>
      <c r="I664" s="329"/>
      <c r="J664" s="320">
        <v>62.42</v>
      </c>
      <c r="K664" s="320">
        <v>29.41</v>
      </c>
      <c r="L664" s="320">
        <v>15.21</v>
      </c>
      <c r="M664" s="320">
        <v>0.5171</v>
      </c>
      <c r="N664" s="320">
        <v>0.6791</v>
      </c>
      <c r="O664" s="320">
        <v>0.4776</v>
      </c>
      <c r="P664" s="320">
        <v>1.934</v>
      </c>
      <c r="Q664" s="320">
        <v>132.41</v>
      </c>
      <c r="R664" s="320">
        <v>105.58</v>
      </c>
      <c r="S664" s="320">
        <v>26.84</v>
      </c>
      <c r="T664" s="320">
        <v>0.0</v>
      </c>
      <c r="U664" s="320">
        <v>132.41</v>
      </c>
      <c r="V664" s="320">
        <v>117.86</v>
      </c>
      <c r="W664" s="320">
        <v>4.0077</v>
      </c>
      <c r="X664" s="320">
        <v>0.0</v>
      </c>
      <c r="Y664" s="320">
        <v>140.0</v>
      </c>
      <c r="Z664" s="320">
        <v>767.0</v>
      </c>
      <c r="AA664" s="320">
        <v>5872.0</v>
      </c>
      <c r="AB664" s="320">
        <v>51.9022</v>
      </c>
      <c r="AC664" s="320">
        <v>0.5795</v>
      </c>
      <c r="AD664" s="320">
        <v>9.71</v>
      </c>
      <c r="AE664" s="320">
        <v>4.0</v>
      </c>
      <c r="AF664" s="320">
        <v>8.0</v>
      </c>
      <c r="AG664" s="320">
        <v>13.0</v>
      </c>
      <c r="AH664" s="320">
        <v>21.0</v>
      </c>
      <c r="AI664" s="320">
        <v>61.04</v>
      </c>
      <c r="AJ664" s="320">
        <v>28.01</v>
      </c>
      <c r="AK664" s="320">
        <v>5.21</v>
      </c>
      <c r="AL664" s="320">
        <v>0.1697</v>
      </c>
      <c r="AM664" s="320">
        <v>19.29</v>
      </c>
      <c r="AN664" s="320">
        <v>86.29</v>
      </c>
      <c r="AO664" s="320">
        <v>72.58</v>
      </c>
      <c r="AP664" s="320">
        <v>14.0</v>
      </c>
    </row>
    <row r="665">
      <c r="A665" s="319" t="s">
        <v>256</v>
      </c>
      <c r="B665" s="328">
        <v>46160.0</v>
      </c>
      <c r="C665" s="319" t="s">
        <v>216</v>
      </c>
      <c r="D665" s="320">
        <v>14369.0</v>
      </c>
      <c r="E665" s="320">
        <v>13.88</v>
      </c>
      <c r="F665" s="320">
        <v>0.0</v>
      </c>
      <c r="G665" s="320">
        <v>0.0</v>
      </c>
      <c r="H665" s="320">
        <v>0.0</v>
      </c>
      <c r="I665" s="329"/>
      <c r="J665" s="320">
        <v>89.95</v>
      </c>
      <c r="K665" s="320">
        <v>44.72</v>
      </c>
      <c r="L665" s="320">
        <v>29.75</v>
      </c>
      <c r="M665" s="320">
        <v>0.6652</v>
      </c>
      <c r="N665" s="320">
        <v>0.5369</v>
      </c>
      <c r="O665" s="320">
        <v>0.3741</v>
      </c>
      <c r="P665" s="320">
        <v>1.5034</v>
      </c>
      <c r="Q665" s="320">
        <v>217.28</v>
      </c>
      <c r="R665" s="320">
        <v>164.87</v>
      </c>
      <c r="S665" s="320">
        <v>52.41</v>
      </c>
      <c r="T665" s="320">
        <v>0.0</v>
      </c>
      <c r="U665" s="320">
        <v>217.28</v>
      </c>
      <c r="V665" s="320">
        <v>206.86</v>
      </c>
      <c r="W665" s="320">
        <v>4.6257</v>
      </c>
      <c r="X665" s="320">
        <v>0.0</v>
      </c>
      <c r="Y665" s="320">
        <v>174.0</v>
      </c>
      <c r="Z665" s="320">
        <v>1172.0</v>
      </c>
      <c r="AA665" s="320">
        <v>8031.0</v>
      </c>
      <c r="AB665" s="320">
        <v>55.2369</v>
      </c>
      <c r="AC665" s="320">
        <v>0.6615</v>
      </c>
      <c r="AD665" s="320">
        <v>19.12</v>
      </c>
      <c r="AE665" s="320">
        <v>8.0</v>
      </c>
      <c r="AF665" s="320">
        <v>16.0</v>
      </c>
      <c r="AG665" s="320">
        <v>27.0</v>
      </c>
      <c r="AH665" s="320">
        <v>38.0</v>
      </c>
      <c r="AI665" s="320">
        <v>64.48</v>
      </c>
      <c r="AJ665" s="320">
        <v>28.18</v>
      </c>
      <c r="AK665" s="320">
        <v>6.69</v>
      </c>
      <c r="AL665" s="320">
        <v>0.1513</v>
      </c>
      <c r="AM665" s="320">
        <v>20.31</v>
      </c>
      <c r="AN665" s="320">
        <v>144.56</v>
      </c>
      <c r="AO665" s="320">
        <v>72.85</v>
      </c>
      <c r="AP665" s="320">
        <v>14.8</v>
      </c>
    </row>
    <row r="666">
      <c r="A666" s="319" t="s">
        <v>256</v>
      </c>
      <c r="B666" s="328">
        <v>46160.0</v>
      </c>
      <c r="C666" s="319" t="s">
        <v>217</v>
      </c>
      <c r="D666" s="320">
        <v>5955.0</v>
      </c>
      <c r="E666" s="320">
        <v>5.75</v>
      </c>
      <c r="F666" s="320">
        <v>0.0</v>
      </c>
      <c r="G666" s="320">
        <v>0.0</v>
      </c>
      <c r="H666" s="320">
        <v>0.0</v>
      </c>
      <c r="I666" s="329"/>
      <c r="J666" s="320">
        <v>140.96</v>
      </c>
      <c r="K666" s="320">
        <v>74.82</v>
      </c>
      <c r="L666" s="320">
        <v>60.0</v>
      </c>
      <c r="M666" s="320">
        <v>0.8019</v>
      </c>
      <c r="N666" s="320">
        <v>0.3902</v>
      </c>
      <c r="O666" s="320">
        <v>0.2837</v>
      </c>
      <c r="P666" s="320">
        <v>1.247</v>
      </c>
      <c r="Q666" s="320">
        <v>368.09</v>
      </c>
      <c r="R666" s="320">
        <v>262.42</v>
      </c>
      <c r="S666" s="320">
        <v>105.67</v>
      </c>
      <c r="T666" s="320">
        <v>0.0</v>
      </c>
      <c r="U666" s="320">
        <v>368.09</v>
      </c>
      <c r="V666" s="320">
        <v>383.16</v>
      </c>
      <c r="W666" s="320">
        <v>5.121</v>
      </c>
      <c r="X666" s="320">
        <v>0.0</v>
      </c>
      <c r="Y666" s="320">
        <v>320.0</v>
      </c>
      <c r="Z666" s="320">
        <v>2982.0</v>
      </c>
      <c r="AA666" s="320">
        <v>12808.0</v>
      </c>
      <c r="AB666" s="320">
        <v>59.1975</v>
      </c>
      <c r="AC666" s="320">
        <v>0.7524</v>
      </c>
      <c r="AD666" s="320">
        <v>39.57</v>
      </c>
      <c r="AE666" s="320">
        <v>18.0</v>
      </c>
      <c r="AF666" s="320">
        <v>34.0</v>
      </c>
      <c r="AG666" s="320">
        <v>53.0</v>
      </c>
      <c r="AH666" s="320">
        <v>78.0</v>
      </c>
      <c r="AI666" s="320">
        <v>58.49</v>
      </c>
      <c r="AJ666" s="320">
        <v>20.72</v>
      </c>
      <c r="AK666" s="320">
        <v>5.02</v>
      </c>
      <c r="AL666" s="320">
        <v>0.1152</v>
      </c>
      <c r="AM666" s="320">
        <v>21.08</v>
      </c>
      <c r="AN666" s="320">
        <v>241.34</v>
      </c>
      <c r="AO666" s="320">
        <v>76.08</v>
      </c>
      <c r="AP666" s="320">
        <v>16.04</v>
      </c>
    </row>
    <row r="667">
      <c r="A667" s="319" t="s">
        <v>256</v>
      </c>
      <c r="B667" s="328">
        <v>46160.0</v>
      </c>
      <c r="C667" s="319" t="s">
        <v>218</v>
      </c>
      <c r="D667" s="320">
        <v>592.0</v>
      </c>
      <c r="E667" s="320">
        <v>0.57</v>
      </c>
      <c r="F667" s="320">
        <v>0.0</v>
      </c>
      <c r="G667" s="320">
        <v>0.0</v>
      </c>
      <c r="H667" s="320">
        <v>0.0</v>
      </c>
      <c r="I667" s="329"/>
      <c r="J667" s="320">
        <v>251.84</v>
      </c>
      <c r="K667" s="320">
        <v>144.0</v>
      </c>
      <c r="L667" s="320">
        <v>128.35</v>
      </c>
      <c r="M667" s="320">
        <v>0.8913</v>
      </c>
      <c r="N667" s="320">
        <v>0.27</v>
      </c>
      <c r="O667" s="320">
        <v>0.2068</v>
      </c>
      <c r="P667" s="320">
        <v>1.1219</v>
      </c>
      <c r="Q667" s="320">
        <v>650.67</v>
      </c>
      <c r="R667" s="320">
        <v>401.34</v>
      </c>
      <c r="S667" s="320">
        <v>249.33</v>
      </c>
      <c r="T667" s="320">
        <v>0.0</v>
      </c>
      <c r="U667" s="320">
        <v>650.67</v>
      </c>
      <c r="V667" s="320">
        <v>701.86</v>
      </c>
      <c r="W667" s="320">
        <v>4.874</v>
      </c>
      <c r="X667" s="320">
        <v>0.0</v>
      </c>
      <c r="Y667" s="320">
        <v>830.0</v>
      </c>
      <c r="Z667" s="320">
        <v>3889.0</v>
      </c>
      <c r="AA667" s="320">
        <v>12821.0</v>
      </c>
      <c r="AB667" s="320">
        <v>63.1717</v>
      </c>
      <c r="AC667" s="320">
        <v>0.8977</v>
      </c>
      <c r="AD667" s="320">
        <v>95.79</v>
      </c>
      <c r="AE667" s="320">
        <v>44.0</v>
      </c>
      <c r="AF667" s="320">
        <v>86.0</v>
      </c>
      <c r="AG667" s="320">
        <v>133.0</v>
      </c>
      <c r="AH667" s="320">
        <v>182.0</v>
      </c>
      <c r="AI667" s="320">
        <v>52.87</v>
      </c>
      <c r="AJ667" s="320">
        <v>12.16</v>
      </c>
      <c r="AK667" s="320">
        <v>1.69</v>
      </c>
      <c r="AL667" s="320">
        <v>0.0811</v>
      </c>
      <c r="AM667" s="320">
        <v>22.14</v>
      </c>
      <c r="AN667" s="320">
        <v>379.2</v>
      </c>
      <c r="AO667" s="320">
        <v>82.5</v>
      </c>
      <c r="AP667" s="320">
        <v>18.27</v>
      </c>
    </row>
    <row r="668">
      <c r="A668" s="319" t="s">
        <v>256</v>
      </c>
      <c r="B668" s="328">
        <v>46161.0</v>
      </c>
      <c r="C668" s="319" t="s">
        <v>257</v>
      </c>
      <c r="D668" s="320">
        <v>20624.0</v>
      </c>
      <c r="E668" s="320">
        <v>20.03</v>
      </c>
      <c r="F668" s="320">
        <v>0.0</v>
      </c>
      <c r="G668" s="320">
        <v>0.0</v>
      </c>
      <c r="H668" s="320">
        <v>0.0</v>
      </c>
      <c r="I668" s="329"/>
      <c r="J668" s="320">
        <v>6.65</v>
      </c>
      <c r="K668" s="320">
        <v>2.85</v>
      </c>
      <c r="L668" s="320">
        <v>0.07</v>
      </c>
      <c r="M668" s="320">
        <v>0.0236</v>
      </c>
      <c r="N668" s="320">
        <v>0.9814</v>
      </c>
      <c r="O668" s="320">
        <v>0.7577</v>
      </c>
      <c r="P668" s="320">
        <v>42.3314</v>
      </c>
      <c r="Q668" s="320">
        <v>24.2</v>
      </c>
      <c r="R668" s="320">
        <v>24.1</v>
      </c>
      <c r="S668" s="320">
        <v>0.1</v>
      </c>
      <c r="T668" s="320">
        <v>0.0</v>
      </c>
      <c r="U668" s="320">
        <v>24.2</v>
      </c>
      <c r="V668" s="320">
        <v>2.47</v>
      </c>
      <c r="W668" s="320">
        <v>0.8663</v>
      </c>
      <c r="X668" s="320">
        <v>0.01</v>
      </c>
      <c r="Y668" s="320">
        <v>301.0</v>
      </c>
      <c r="Z668" s="320">
        <v>3663.0</v>
      </c>
      <c r="AA668" s="320">
        <v>15262.0</v>
      </c>
      <c r="AB668" s="320">
        <v>48.4496</v>
      </c>
      <c r="AC668" s="320">
        <v>0.5283</v>
      </c>
      <c r="AD668" s="329"/>
      <c r="AE668" s="329"/>
      <c r="AF668" s="329"/>
      <c r="AG668" s="329"/>
      <c r="AH668" s="329"/>
      <c r="AI668" s="320">
        <v>0.0</v>
      </c>
      <c r="AJ668" s="320">
        <v>0.0</v>
      </c>
      <c r="AK668" s="320">
        <v>0.0</v>
      </c>
      <c r="AL668" s="320">
        <v>0.2647</v>
      </c>
      <c r="AM668" s="320">
        <v>15.07</v>
      </c>
      <c r="AN668" s="320">
        <v>9.03</v>
      </c>
      <c r="AO668" s="329"/>
      <c r="AP668" s="329"/>
    </row>
    <row r="669">
      <c r="A669" s="319" t="s">
        <v>256</v>
      </c>
      <c r="B669" s="328">
        <v>46161.0</v>
      </c>
      <c r="C669" s="319" t="s">
        <v>214</v>
      </c>
      <c r="D669" s="320">
        <v>36963.0</v>
      </c>
      <c r="E669" s="320">
        <v>35.89</v>
      </c>
      <c r="F669" s="320">
        <v>0.0</v>
      </c>
      <c r="G669" s="320">
        <v>0.0</v>
      </c>
      <c r="H669" s="320">
        <v>0.0</v>
      </c>
      <c r="I669" s="329"/>
      <c r="J669" s="320">
        <v>28.82</v>
      </c>
      <c r="K669" s="320">
        <v>13.01</v>
      </c>
      <c r="L669" s="320">
        <v>5.38</v>
      </c>
      <c r="M669" s="320">
        <v>0.4137</v>
      </c>
      <c r="N669" s="320">
        <v>0.7651</v>
      </c>
      <c r="O669" s="320">
        <v>0.5761</v>
      </c>
      <c r="P669" s="320">
        <v>2.4174</v>
      </c>
      <c r="Q669" s="320">
        <v>52.01</v>
      </c>
      <c r="R669" s="320">
        <v>41.31</v>
      </c>
      <c r="S669" s="320">
        <v>10.7</v>
      </c>
      <c r="T669" s="320">
        <v>0.0</v>
      </c>
      <c r="U669" s="320">
        <v>52.01</v>
      </c>
      <c r="V669" s="320">
        <v>54.5</v>
      </c>
      <c r="W669" s="320">
        <v>4.1878</v>
      </c>
      <c r="X669" s="320">
        <v>0.0</v>
      </c>
      <c r="Y669" s="320">
        <v>145.0</v>
      </c>
      <c r="Z669" s="320">
        <v>903.0</v>
      </c>
      <c r="AA669" s="320">
        <v>6027.0</v>
      </c>
      <c r="AB669" s="320">
        <v>48.4952</v>
      </c>
      <c r="AC669" s="320">
        <v>0.5232</v>
      </c>
      <c r="AD669" s="320">
        <v>3.9</v>
      </c>
      <c r="AE669" s="320">
        <v>1.0</v>
      </c>
      <c r="AF669" s="320">
        <v>2.0</v>
      </c>
      <c r="AG669" s="320">
        <v>5.0</v>
      </c>
      <c r="AH669" s="320">
        <v>9.0</v>
      </c>
      <c r="AI669" s="320">
        <v>71.53</v>
      </c>
      <c r="AJ669" s="320">
        <v>28.9</v>
      </c>
      <c r="AK669" s="320">
        <v>8.4</v>
      </c>
      <c r="AL669" s="320">
        <v>0.2386</v>
      </c>
      <c r="AM669" s="320">
        <v>18.04</v>
      </c>
      <c r="AN669" s="320">
        <v>23.27</v>
      </c>
      <c r="AO669" s="320">
        <v>65.17</v>
      </c>
      <c r="AP669" s="320">
        <v>11.76</v>
      </c>
    </row>
    <row r="670">
      <c r="A670" s="319" t="s">
        <v>256</v>
      </c>
      <c r="B670" s="328">
        <v>46161.0</v>
      </c>
      <c r="C670" s="319" t="s">
        <v>215</v>
      </c>
      <c r="D670" s="320">
        <v>25489.0</v>
      </c>
      <c r="E670" s="320">
        <v>24.75</v>
      </c>
      <c r="F670" s="320">
        <v>0.0</v>
      </c>
      <c r="G670" s="320">
        <v>0.0</v>
      </c>
      <c r="H670" s="320">
        <v>0.0</v>
      </c>
      <c r="I670" s="329"/>
      <c r="J670" s="320">
        <v>54.53</v>
      </c>
      <c r="K670" s="320">
        <v>25.67</v>
      </c>
      <c r="L670" s="320">
        <v>14.25</v>
      </c>
      <c r="M670" s="320">
        <v>0.5552</v>
      </c>
      <c r="N670" s="320">
        <v>0.648</v>
      </c>
      <c r="O670" s="320">
        <v>0.4556</v>
      </c>
      <c r="P670" s="320">
        <v>1.8011</v>
      </c>
      <c r="Q670" s="320">
        <v>102.4</v>
      </c>
      <c r="R670" s="320">
        <v>75.15</v>
      </c>
      <c r="S670" s="320">
        <v>27.25</v>
      </c>
      <c r="T670" s="320">
        <v>0.02</v>
      </c>
      <c r="U670" s="320">
        <v>102.38</v>
      </c>
      <c r="V670" s="320">
        <v>105.55</v>
      </c>
      <c r="W670" s="320">
        <v>4.1115</v>
      </c>
      <c r="X670" s="320">
        <v>0.02</v>
      </c>
      <c r="Y670" s="320">
        <v>136.0</v>
      </c>
      <c r="Z670" s="320">
        <v>810.0</v>
      </c>
      <c r="AA670" s="320">
        <v>6321.0</v>
      </c>
      <c r="AB670" s="320">
        <v>52.117</v>
      </c>
      <c r="AC670" s="320">
        <v>0.5936</v>
      </c>
      <c r="AD670" s="320">
        <v>9.47</v>
      </c>
      <c r="AE670" s="320">
        <v>3.0</v>
      </c>
      <c r="AF670" s="320">
        <v>7.0</v>
      </c>
      <c r="AG670" s="320">
        <v>13.0</v>
      </c>
      <c r="AH670" s="320">
        <v>20.0</v>
      </c>
      <c r="AI670" s="320">
        <v>60.23</v>
      </c>
      <c r="AJ670" s="320">
        <v>26.95</v>
      </c>
      <c r="AK670" s="320">
        <v>4.57</v>
      </c>
      <c r="AL670" s="320">
        <v>0.1722</v>
      </c>
      <c r="AM670" s="320">
        <v>18.91</v>
      </c>
      <c r="AN670" s="320">
        <v>56.24</v>
      </c>
      <c r="AO670" s="320">
        <v>72.53</v>
      </c>
      <c r="AP670" s="320">
        <v>13.72</v>
      </c>
    </row>
    <row r="671">
      <c r="A671" s="319" t="s">
        <v>256</v>
      </c>
      <c r="B671" s="328">
        <v>46161.0</v>
      </c>
      <c r="C671" s="319" t="s">
        <v>216</v>
      </c>
      <c r="D671" s="320">
        <v>14083.0</v>
      </c>
      <c r="E671" s="320">
        <v>13.67</v>
      </c>
      <c r="F671" s="320">
        <v>0.0</v>
      </c>
      <c r="G671" s="320">
        <v>0.0</v>
      </c>
      <c r="H671" s="320">
        <v>0.0</v>
      </c>
      <c r="I671" s="329"/>
      <c r="J671" s="320">
        <v>80.78</v>
      </c>
      <c r="K671" s="320">
        <v>40.71</v>
      </c>
      <c r="L671" s="320">
        <v>28.29</v>
      </c>
      <c r="M671" s="320">
        <v>0.6951</v>
      </c>
      <c r="N671" s="320">
        <v>0.5067</v>
      </c>
      <c r="O671" s="320">
        <v>0.3547</v>
      </c>
      <c r="P671" s="320">
        <v>1.4386</v>
      </c>
      <c r="Q671" s="320">
        <v>179.44</v>
      </c>
      <c r="R671" s="320">
        <v>127.77</v>
      </c>
      <c r="S671" s="320">
        <v>51.68</v>
      </c>
      <c r="T671" s="320">
        <v>0.0</v>
      </c>
      <c r="U671" s="320">
        <v>179.44</v>
      </c>
      <c r="V671" s="320">
        <v>184.47</v>
      </c>
      <c r="W671" s="320">
        <v>4.5318</v>
      </c>
      <c r="X671" s="320">
        <v>0.0</v>
      </c>
      <c r="Y671" s="320">
        <v>168.0</v>
      </c>
      <c r="Z671" s="320">
        <v>1087.0</v>
      </c>
      <c r="AA671" s="320">
        <v>7459.0</v>
      </c>
      <c r="AB671" s="320">
        <v>55.5233</v>
      </c>
      <c r="AC671" s="320">
        <v>0.688</v>
      </c>
      <c r="AD671" s="320">
        <v>17.79</v>
      </c>
      <c r="AE671" s="320">
        <v>7.0</v>
      </c>
      <c r="AF671" s="320">
        <v>14.0</v>
      </c>
      <c r="AG671" s="320">
        <v>25.0</v>
      </c>
      <c r="AH671" s="320">
        <v>37.0</v>
      </c>
      <c r="AI671" s="320">
        <v>60.59</v>
      </c>
      <c r="AJ671" s="320">
        <v>24.16</v>
      </c>
      <c r="AK671" s="320">
        <v>6.8</v>
      </c>
      <c r="AL671" s="320">
        <v>0.1568</v>
      </c>
      <c r="AM671" s="320">
        <v>19.15</v>
      </c>
      <c r="AN671" s="320">
        <v>108.62</v>
      </c>
      <c r="AO671" s="320">
        <v>73.55</v>
      </c>
      <c r="AP671" s="320">
        <v>14.08</v>
      </c>
    </row>
    <row r="672">
      <c r="A672" s="319" t="s">
        <v>256</v>
      </c>
      <c r="B672" s="328">
        <v>46161.0</v>
      </c>
      <c r="C672" s="319" t="s">
        <v>217</v>
      </c>
      <c r="D672" s="320">
        <v>5238.0</v>
      </c>
      <c r="E672" s="320">
        <v>5.09</v>
      </c>
      <c r="F672" s="320">
        <v>0.0</v>
      </c>
      <c r="G672" s="320">
        <v>0.0</v>
      </c>
      <c r="H672" s="320">
        <v>0.0</v>
      </c>
      <c r="I672" s="329"/>
      <c r="J672" s="320">
        <v>124.83</v>
      </c>
      <c r="K672" s="320">
        <v>67.36</v>
      </c>
      <c r="L672" s="320">
        <v>54.54</v>
      </c>
      <c r="M672" s="320">
        <v>0.8096</v>
      </c>
      <c r="N672" s="320">
        <v>0.3802</v>
      </c>
      <c r="O672" s="320">
        <v>0.2783</v>
      </c>
      <c r="P672" s="320">
        <v>1.2351</v>
      </c>
      <c r="Q672" s="320">
        <v>324.48</v>
      </c>
      <c r="R672" s="320">
        <v>216.87</v>
      </c>
      <c r="S672" s="320">
        <v>107.61</v>
      </c>
      <c r="T672" s="320">
        <v>0.0</v>
      </c>
      <c r="U672" s="320">
        <v>324.48</v>
      </c>
      <c r="V672" s="320">
        <v>323.76</v>
      </c>
      <c r="W672" s="320">
        <v>4.8064</v>
      </c>
      <c r="X672" s="320">
        <v>0.0</v>
      </c>
      <c r="Y672" s="320">
        <v>319.0</v>
      </c>
      <c r="Z672" s="320">
        <v>2584.0</v>
      </c>
      <c r="AA672" s="320">
        <v>10604.0</v>
      </c>
      <c r="AB672" s="320">
        <v>60.0799</v>
      </c>
      <c r="AC672" s="320">
        <v>0.842</v>
      </c>
      <c r="AD672" s="320">
        <v>39.05</v>
      </c>
      <c r="AE672" s="320">
        <v>16.0</v>
      </c>
      <c r="AF672" s="320">
        <v>32.0</v>
      </c>
      <c r="AG672" s="320">
        <v>53.0</v>
      </c>
      <c r="AH672" s="320">
        <v>78.0</v>
      </c>
      <c r="AI672" s="320">
        <v>56.53</v>
      </c>
      <c r="AJ672" s="320">
        <v>20.47</v>
      </c>
      <c r="AK672" s="320">
        <v>5.17</v>
      </c>
      <c r="AL672" s="320">
        <v>0.1157</v>
      </c>
      <c r="AM672" s="320">
        <v>20.26</v>
      </c>
      <c r="AN672" s="320">
        <v>196.61</v>
      </c>
      <c r="AO672" s="320">
        <v>82.89</v>
      </c>
      <c r="AP672" s="320">
        <v>16.79</v>
      </c>
    </row>
    <row r="673">
      <c r="A673" s="319" t="s">
        <v>256</v>
      </c>
      <c r="B673" s="328">
        <v>46161.0</v>
      </c>
      <c r="C673" s="319" t="s">
        <v>218</v>
      </c>
      <c r="D673" s="320">
        <v>594.0</v>
      </c>
      <c r="E673" s="320">
        <v>0.58</v>
      </c>
      <c r="F673" s="320">
        <v>0.0</v>
      </c>
      <c r="G673" s="320">
        <v>0.0</v>
      </c>
      <c r="H673" s="320">
        <v>0.0</v>
      </c>
      <c r="I673" s="329"/>
      <c r="J673" s="320">
        <v>244.47</v>
      </c>
      <c r="K673" s="320">
        <v>140.06</v>
      </c>
      <c r="L673" s="320">
        <v>124.79</v>
      </c>
      <c r="M673" s="320">
        <v>0.8909</v>
      </c>
      <c r="N673" s="320">
        <v>0.2714</v>
      </c>
      <c r="O673" s="320">
        <v>0.209</v>
      </c>
      <c r="P673" s="320">
        <v>1.1224</v>
      </c>
      <c r="Q673" s="320">
        <v>629.0</v>
      </c>
      <c r="R673" s="320">
        <v>377.23</v>
      </c>
      <c r="S673" s="320">
        <v>251.77</v>
      </c>
      <c r="T673" s="320">
        <v>0.0</v>
      </c>
      <c r="U673" s="320">
        <v>629.0</v>
      </c>
      <c r="V673" s="320">
        <v>761.87</v>
      </c>
      <c r="W673" s="320">
        <v>5.4394</v>
      </c>
      <c r="X673" s="320">
        <v>0.0</v>
      </c>
      <c r="Y673" s="320">
        <v>779.0</v>
      </c>
      <c r="Z673" s="320">
        <v>4306.0</v>
      </c>
      <c r="AA673" s="320">
        <v>13011.0</v>
      </c>
      <c r="AB673" s="320">
        <v>63.4146</v>
      </c>
      <c r="AC673" s="320">
        <v>0.9179</v>
      </c>
      <c r="AD673" s="320">
        <v>95.87</v>
      </c>
      <c r="AE673" s="320">
        <v>47.0</v>
      </c>
      <c r="AF673" s="320">
        <v>85.0</v>
      </c>
      <c r="AG673" s="320">
        <v>133.0</v>
      </c>
      <c r="AH673" s="320">
        <v>180.0</v>
      </c>
      <c r="AI673" s="320">
        <v>53.7</v>
      </c>
      <c r="AJ673" s="320">
        <v>11.11</v>
      </c>
      <c r="AK673" s="320">
        <v>1.35</v>
      </c>
      <c r="AL673" s="320">
        <v>0.069</v>
      </c>
      <c r="AM673" s="320">
        <v>21.94</v>
      </c>
      <c r="AN673" s="320">
        <v>355.29</v>
      </c>
      <c r="AO673" s="320">
        <v>83.77</v>
      </c>
      <c r="AP673" s="320">
        <v>18.38</v>
      </c>
    </row>
    <row r="674">
      <c r="A674" s="319" t="s">
        <v>256</v>
      </c>
      <c r="B674" s="328">
        <v>46162.0</v>
      </c>
      <c r="C674" s="319" t="s">
        <v>257</v>
      </c>
      <c r="D674" s="320">
        <v>20542.0</v>
      </c>
      <c r="E674" s="320">
        <v>20.33</v>
      </c>
      <c r="F674" s="320">
        <v>0.0</v>
      </c>
      <c r="G674" s="320">
        <v>0.0</v>
      </c>
      <c r="H674" s="320">
        <v>0.0</v>
      </c>
      <c r="I674" s="329"/>
      <c r="J674" s="320">
        <v>6.95</v>
      </c>
      <c r="K674" s="320">
        <v>3.02</v>
      </c>
      <c r="L674" s="320">
        <v>0.07</v>
      </c>
      <c r="M674" s="320">
        <v>0.0243</v>
      </c>
      <c r="N674" s="320">
        <v>0.9817</v>
      </c>
      <c r="O674" s="320">
        <v>0.7574</v>
      </c>
      <c r="P674" s="320">
        <v>41.2161</v>
      </c>
      <c r="Q674" s="320">
        <v>20.31</v>
      </c>
      <c r="R674" s="320">
        <v>20.19</v>
      </c>
      <c r="S674" s="320">
        <v>0.12</v>
      </c>
      <c r="T674" s="320">
        <v>0.0</v>
      </c>
      <c r="U674" s="320">
        <v>20.31</v>
      </c>
      <c r="V674" s="320">
        <v>2.08</v>
      </c>
      <c r="W674" s="320">
        <v>0.688</v>
      </c>
      <c r="X674" s="320">
        <v>0.0</v>
      </c>
      <c r="Y674" s="320">
        <v>302.0</v>
      </c>
      <c r="Z674" s="320">
        <v>3766.0</v>
      </c>
      <c r="AA674" s="320">
        <v>15195.0</v>
      </c>
      <c r="AB674" s="320">
        <v>48.5998</v>
      </c>
      <c r="AC674" s="320">
        <v>0.5373</v>
      </c>
      <c r="AD674" s="329"/>
      <c r="AE674" s="329"/>
      <c r="AF674" s="329"/>
      <c r="AG674" s="329"/>
      <c r="AH674" s="329"/>
      <c r="AI674" s="320">
        <v>0.0</v>
      </c>
      <c r="AJ674" s="320">
        <v>0.0</v>
      </c>
      <c r="AK674" s="320">
        <v>0.0</v>
      </c>
      <c r="AL674" s="320">
        <v>0.2732</v>
      </c>
      <c r="AM674" s="320">
        <v>15.18</v>
      </c>
      <c r="AN674" s="320">
        <v>5.0</v>
      </c>
      <c r="AO674" s="329"/>
      <c r="AP674" s="329"/>
    </row>
    <row r="675">
      <c r="A675" s="319" t="s">
        <v>256</v>
      </c>
      <c r="B675" s="328">
        <v>46162.0</v>
      </c>
      <c r="C675" s="319" t="s">
        <v>214</v>
      </c>
      <c r="D675" s="320">
        <v>36910.0</v>
      </c>
      <c r="E675" s="320">
        <v>36.53</v>
      </c>
      <c r="F675" s="320">
        <v>0.0</v>
      </c>
      <c r="G675" s="320">
        <v>0.0</v>
      </c>
      <c r="H675" s="320">
        <v>0.0</v>
      </c>
      <c r="I675" s="329"/>
      <c r="J675" s="320">
        <v>31.32</v>
      </c>
      <c r="K675" s="320">
        <v>14.5</v>
      </c>
      <c r="L675" s="320">
        <v>5.51</v>
      </c>
      <c r="M675" s="320">
        <v>0.3801</v>
      </c>
      <c r="N675" s="320">
        <v>0.7825</v>
      </c>
      <c r="O675" s="320">
        <v>0.5803</v>
      </c>
      <c r="P675" s="320">
        <v>2.6307</v>
      </c>
      <c r="Q675" s="320">
        <v>44.42</v>
      </c>
      <c r="R675" s="320">
        <v>33.66</v>
      </c>
      <c r="S675" s="320">
        <v>10.76</v>
      </c>
      <c r="T675" s="320">
        <v>0.0</v>
      </c>
      <c r="U675" s="320">
        <v>44.42</v>
      </c>
      <c r="V675" s="320">
        <v>50.43</v>
      </c>
      <c r="W675" s="320">
        <v>3.4787</v>
      </c>
      <c r="X675" s="320">
        <v>0.0</v>
      </c>
      <c r="Y675" s="320">
        <v>134.0</v>
      </c>
      <c r="Z675" s="320">
        <v>901.0</v>
      </c>
      <c r="AA675" s="320">
        <v>6038.0</v>
      </c>
      <c r="AB675" s="320">
        <v>48.4277</v>
      </c>
      <c r="AC675" s="320">
        <v>0.5256</v>
      </c>
      <c r="AD675" s="320">
        <v>3.87</v>
      </c>
      <c r="AE675" s="320">
        <v>1.0</v>
      </c>
      <c r="AF675" s="320">
        <v>3.0</v>
      </c>
      <c r="AG675" s="320">
        <v>5.0</v>
      </c>
      <c r="AH675" s="320">
        <v>9.0</v>
      </c>
      <c r="AI675" s="320">
        <v>71.9</v>
      </c>
      <c r="AJ675" s="320">
        <v>28.67</v>
      </c>
      <c r="AK675" s="320">
        <v>8.06</v>
      </c>
      <c r="AL675" s="320">
        <v>0.2398</v>
      </c>
      <c r="AM675" s="320">
        <v>18.69</v>
      </c>
      <c r="AN675" s="320">
        <v>14.96</v>
      </c>
      <c r="AO675" s="320">
        <v>65.4</v>
      </c>
      <c r="AP675" s="320">
        <v>12.22</v>
      </c>
    </row>
    <row r="676">
      <c r="A676" s="319" t="s">
        <v>256</v>
      </c>
      <c r="B676" s="328">
        <v>46162.0</v>
      </c>
      <c r="C676" s="319" t="s">
        <v>215</v>
      </c>
      <c r="D676" s="320">
        <v>24998.0</v>
      </c>
      <c r="E676" s="320">
        <v>24.74</v>
      </c>
      <c r="F676" s="320">
        <v>0.0</v>
      </c>
      <c r="G676" s="320">
        <v>0.0</v>
      </c>
      <c r="H676" s="320">
        <v>0.0</v>
      </c>
      <c r="I676" s="329"/>
      <c r="J676" s="320">
        <v>57.71</v>
      </c>
      <c r="K676" s="320">
        <v>27.84</v>
      </c>
      <c r="L676" s="320">
        <v>14.4</v>
      </c>
      <c r="M676" s="320">
        <v>0.5172</v>
      </c>
      <c r="N676" s="320">
        <v>0.6694</v>
      </c>
      <c r="O676" s="320">
        <v>0.4583</v>
      </c>
      <c r="P676" s="320">
        <v>1.9336</v>
      </c>
      <c r="Q676" s="320">
        <v>76.76</v>
      </c>
      <c r="R676" s="320">
        <v>51.02</v>
      </c>
      <c r="S676" s="320">
        <v>25.74</v>
      </c>
      <c r="T676" s="320">
        <v>0.0</v>
      </c>
      <c r="U676" s="320">
        <v>76.76</v>
      </c>
      <c r="V676" s="320">
        <v>93.46</v>
      </c>
      <c r="W676" s="320">
        <v>3.3569</v>
      </c>
      <c r="X676" s="320">
        <v>0.0</v>
      </c>
      <c r="Y676" s="320">
        <v>124.0</v>
      </c>
      <c r="Z676" s="320">
        <v>764.0</v>
      </c>
      <c r="AA676" s="320">
        <v>5804.0</v>
      </c>
      <c r="AB676" s="320">
        <v>52.1814</v>
      </c>
      <c r="AC676" s="320">
        <v>0.6031</v>
      </c>
      <c r="AD676" s="320">
        <v>9.0</v>
      </c>
      <c r="AE676" s="320">
        <v>3.0</v>
      </c>
      <c r="AF676" s="320">
        <v>7.0</v>
      </c>
      <c r="AG676" s="320">
        <v>12.0</v>
      </c>
      <c r="AH676" s="320">
        <v>19.0</v>
      </c>
      <c r="AI676" s="320">
        <v>57.66</v>
      </c>
      <c r="AJ676" s="320">
        <v>24.62</v>
      </c>
      <c r="AK676" s="320">
        <v>4.17</v>
      </c>
      <c r="AL676" s="320">
        <v>0.1737</v>
      </c>
      <c r="AM676" s="320">
        <v>19.17</v>
      </c>
      <c r="AN676" s="320">
        <v>31.85</v>
      </c>
      <c r="AO676" s="320">
        <v>73.44</v>
      </c>
      <c r="AP676" s="320">
        <v>14.08</v>
      </c>
    </row>
    <row r="677">
      <c r="A677" s="319" t="s">
        <v>256</v>
      </c>
      <c r="B677" s="328">
        <v>46162.0</v>
      </c>
      <c r="C677" s="319" t="s">
        <v>216</v>
      </c>
      <c r="D677" s="320">
        <v>12869.0</v>
      </c>
      <c r="E677" s="320">
        <v>12.74</v>
      </c>
      <c r="F677" s="320">
        <v>0.0</v>
      </c>
      <c r="G677" s="320">
        <v>0.0</v>
      </c>
      <c r="H677" s="320">
        <v>0.0</v>
      </c>
      <c r="I677" s="329"/>
      <c r="J677" s="320">
        <v>78.96</v>
      </c>
      <c r="K677" s="320">
        <v>40.27</v>
      </c>
      <c r="L677" s="320">
        <v>26.06</v>
      </c>
      <c r="M677" s="320">
        <v>0.6473</v>
      </c>
      <c r="N677" s="320">
        <v>0.5437</v>
      </c>
      <c r="O677" s="320">
        <v>0.3726</v>
      </c>
      <c r="P677" s="320">
        <v>1.5449</v>
      </c>
      <c r="Q677" s="320">
        <v>116.95</v>
      </c>
      <c r="R677" s="320">
        <v>68.3</v>
      </c>
      <c r="S677" s="320">
        <v>48.66</v>
      </c>
      <c r="T677" s="320">
        <v>0.0</v>
      </c>
      <c r="U677" s="320">
        <v>116.95</v>
      </c>
      <c r="V677" s="320">
        <v>156.56</v>
      </c>
      <c r="W677" s="320">
        <v>3.8882</v>
      </c>
      <c r="X677" s="320">
        <v>0.0</v>
      </c>
      <c r="Y677" s="320">
        <v>142.0</v>
      </c>
      <c r="Z677" s="320">
        <v>1010.0</v>
      </c>
      <c r="AA677" s="320">
        <v>6822.0</v>
      </c>
      <c r="AB677" s="320">
        <v>56.0422</v>
      </c>
      <c r="AC677" s="320">
        <v>0.7427</v>
      </c>
      <c r="AD677" s="320">
        <v>17.49</v>
      </c>
      <c r="AE677" s="320">
        <v>7.0</v>
      </c>
      <c r="AF677" s="320">
        <v>13.0</v>
      </c>
      <c r="AG677" s="320">
        <v>24.0</v>
      </c>
      <c r="AH677" s="320">
        <v>37.0</v>
      </c>
      <c r="AI677" s="320">
        <v>58.8</v>
      </c>
      <c r="AJ677" s="320">
        <v>23.1</v>
      </c>
      <c r="AK677" s="320">
        <v>6.83</v>
      </c>
      <c r="AL677" s="320">
        <v>0.1692</v>
      </c>
      <c r="AM677" s="320">
        <v>19.24</v>
      </c>
      <c r="AN677" s="320">
        <v>49.06</v>
      </c>
      <c r="AO677" s="320">
        <v>77.76</v>
      </c>
      <c r="AP677" s="320">
        <v>14.96</v>
      </c>
    </row>
    <row r="678">
      <c r="A678" s="319" t="s">
        <v>256</v>
      </c>
      <c r="B678" s="328">
        <v>46162.0</v>
      </c>
      <c r="C678" s="319" t="s">
        <v>217</v>
      </c>
      <c r="D678" s="320">
        <v>5138.0</v>
      </c>
      <c r="E678" s="320">
        <v>5.09</v>
      </c>
      <c r="F678" s="320">
        <v>0.0</v>
      </c>
      <c r="G678" s="320">
        <v>0.0</v>
      </c>
      <c r="H678" s="320">
        <v>0.0</v>
      </c>
      <c r="I678" s="329"/>
      <c r="J678" s="320">
        <v>129.31</v>
      </c>
      <c r="K678" s="320">
        <v>69.61</v>
      </c>
      <c r="L678" s="320">
        <v>54.74</v>
      </c>
      <c r="M678" s="320">
        <v>0.7864</v>
      </c>
      <c r="N678" s="320">
        <v>0.3971</v>
      </c>
      <c r="O678" s="320">
        <v>0.2828</v>
      </c>
      <c r="P678" s="320">
        <v>1.2717</v>
      </c>
      <c r="Q678" s="320">
        <v>202.05</v>
      </c>
      <c r="R678" s="320">
        <v>99.51</v>
      </c>
      <c r="S678" s="320">
        <v>102.54</v>
      </c>
      <c r="T678" s="320">
        <v>0.0</v>
      </c>
      <c r="U678" s="320">
        <v>202.05</v>
      </c>
      <c r="V678" s="320">
        <v>299.67</v>
      </c>
      <c r="W678" s="320">
        <v>4.3049</v>
      </c>
      <c r="X678" s="320">
        <v>0.0</v>
      </c>
      <c r="Y678" s="320">
        <v>250.0</v>
      </c>
      <c r="Z678" s="320">
        <v>2788.0</v>
      </c>
      <c r="AA678" s="320">
        <v>10961.0</v>
      </c>
      <c r="AB678" s="320">
        <v>60.4318</v>
      </c>
      <c r="AC678" s="320">
        <v>0.8493</v>
      </c>
      <c r="AD678" s="320">
        <v>38.5</v>
      </c>
      <c r="AE678" s="320">
        <v>15.0</v>
      </c>
      <c r="AF678" s="320">
        <v>30.0</v>
      </c>
      <c r="AG678" s="320">
        <v>54.0</v>
      </c>
      <c r="AH678" s="320">
        <v>81.0</v>
      </c>
      <c r="AI678" s="320">
        <v>53.91</v>
      </c>
      <c r="AJ678" s="320">
        <v>20.84</v>
      </c>
      <c r="AK678" s="320">
        <v>4.79</v>
      </c>
      <c r="AL678" s="320">
        <v>0.1292</v>
      </c>
      <c r="AM678" s="320">
        <v>20.38</v>
      </c>
      <c r="AN678" s="320">
        <v>79.13</v>
      </c>
      <c r="AO678" s="320">
        <v>83.13</v>
      </c>
      <c r="AP678" s="320">
        <v>16.94</v>
      </c>
    </row>
    <row r="679">
      <c r="A679" s="319" t="s">
        <v>256</v>
      </c>
      <c r="B679" s="328">
        <v>46162.0</v>
      </c>
      <c r="C679" s="319" t="s">
        <v>218</v>
      </c>
      <c r="D679" s="320">
        <v>585.0</v>
      </c>
      <c r="E679" s="320">
        <v>0.58</v>
      </c>
      <c r="F679" s="320">
        <v>0.0</v>
      </c>
      <c r="G679" s="320">
        <v>0.0</v>
      </c>
      <c r="H679" s="320">
        <v>0.0</v>
      </c>
      <c r="I679" s="329"/>
      <c r="J679" s="320">
        <v>250.68</v>
      </c>
      <c r="K679" s="320">
        <v>144.86</v>
      </c>
      <c r="L679" s="320">
        <v>125.36</v>
      </c>
      <c r="M679" s="320">
        <v>0.8654</v>
      </c>
      <c r="N679" s="320">
        <v>0.2983</v>
      </c>
      <c r="O679" s="320">
        <v>0.2227</v>
      </c>
      <c r="P679" s="320">
        <v>1.1556</v>
      </c>
      <c r="Q679" s="320">
        <v>408.37</v>
      </c>
      <c r="R679" s="320">
        <v>171.39</v>
      </c>
      <c r="S679" s="320">
        <v>236.98</v>
      </c>
      <c r="T679" s="320">
        <v>0.0</v>
      </c>
      <c r="U679" s="320">
        <v>408.37</v>
      </c>
      <c r="V679" s="320">
        <v>807.61</v>
      </c>
      <c r="W679" s="320">
        <v>5.5751</v>
      </c>
      <c r="X679" s="320">
        <v>0.0</v>
      </c>
      <c r="Y679" s="320">
        <v>747.0</v>
      </c>
      <c r="Z679" s="320">
        <v>4633.0</v>
      </c>
      <c r="AA679" s="320">
        <v>15719.0</v>
      </c>
      <c r="AB679" s="320">
        <v>63.6374</v>
      </c>
      <c r="AC679" s="320">
        <v>0.9123</v>
      </c>
      <c r="AD679" s="320">
        <v>90.39</v>
      </c>
      <c r="AE679" s="320">
        <v>37.0</v>
      </c>
      <c r="AF679" s="320">
        <v>74.0</v>
      </c>
      <c r="AG679" s="320">
        <v>128.0</v>
      </c>
      <c r="AH679" s="320">
        <v>179.0</v>
      </c>
      <c r="AI679" s="320">
        <v>47.52</v>
      </c>
      <c r="AJ679" s="320">
        <v>11.45</v>
      </c>
      <c r="AK679" s="320">
        <v>1.37</v>
      </c>
      <c r="AL679" s="320">
        <v>0.0701</v>
      </c>
      <c r="AM679" s="320">
        <v>23.54</v>
      </c>
      <c r="AN679" s="320">
        <v>147.85</v>
      </c>
      <c r="AO679" s="320">
        <v>84.3</v>
      </c>
      <c r="AP679" s="320">
        <v>19.84</v>
      </c>
    </row>
    <row r="680">
      <c r="A680" s="319" t="s">
        <v>256</v>
      </c>
      <c r="B680" s="328">
        <v>46163.0</v>
      </c>
      <c r="C680" s="319" t="s">
        <v>257</v>
      </c>
      <c r="D680" s="320">
        <v>21605.0</v>
      </c>
      <c r="E680" s="320">
        <v>21.75</v>
      </c>
      <c r="F680" s="320">
        <v>0.0</v>
      </c>
      <c r="G680" s="320">
        <v>0.0</v>
      </c>
      <c r="H680" s="320">
        <v>0.0</v>
      </c>
      <c r="I680" s="329"/>
      <c r="J680" s="320">
        <v>6.58</v>
      </c>
      <c r="K680" s="320">
        <v>2.76</v>
      </c>
      <c r="L680" s="320">
        <v>0.04</v>
      </c>
      <c r="M680" s="320">
        <v>0.0142</v>
      </c>
      <c r="N680" s="320">
        <v>0.9893</v>
      </c>
      <c r="O680" s="320">
        <v>0.8418</v>
      </c>
      <c r="P680" s="320">
        <v>70.6327</v>
      </c>
      <c r="Q680" s="320">
        <v>21.24</v>
      </c>
      <c r="R680" s="320">
        <v>21.14</v>
      </c>
      <c r="S680" s="320">
        <v>0.1</v>
      </c>
      <c r="T680" s="320">
        <v>0.0</v>
      </c>
      <c r="U680" s="320">
        <v>21.24</v>
      </c>
      <c r="V680" s="320">
        <v>2.06</v>
      </c>
      <c r="W680" s="320">
        <v>0.7473</v>
      </c>
      <c r="X680" s="320">
        <v>0.0</v>
      </c>
      <c r="Y680" s="320">
        <v>255.0</v>
      </c>
      <c r="Z680" s="320">
        <v>3324.0</v>
      </c>
      <c r="AA680" s="320">
        <v>14632.0</v>
      </c>
      <c r="AB680" s="320">
        <v>48.4962</v>
      </c>
      <c r="AC680" s="320">
        <v>0.5284</v>
      </c>
      <c r="AD680" s="329"/>
      <c r="AE680" s="329"/>
      <c r="AF680" s="329"/>
      <c r="AG680" s="329"/>
      <c r="AH680" s="329"/>
      <c r="AI680" s="320">
        <v>0.0</v>
      </c>
      <c r="AJ680" s="320">
        <v>0.0</v>
      </c>
      <c r="AK680" s="320">
        <v>0.0</v>
      </c>
      <c r="AL680" s="320">
        <v>0.293</v>
      </c>
      <c r="AM680" s="320">
        <v>15.58</v>
      </c>
      <c r="AN680" s="320">
        <v>5.56</v>
      </c>
      <c r="AO680" s="329"/>
      <c r="AP680" s="329"/>
    </row>
    <row r="681">
      <c r="A681" s="319" t="s">
        <v>256</v>
      </c>
      <c r="B681" s="328">
        <v>46163.0</v>
      </c>
      <c r="C681" s="319" t="s">
        <v>214</v>
      </c>
      <c r="D681" s="320">
        <v>36143.0</v>
      </c>
      <c r="E681" s="320">
        <v>36.39</v>
      </c>
      <c r="F681" s="320">
        <v>0.0</v>
      </c>
      <c r="G681" s="320">
        <v>0.0</v>
      </c>
      <c r="H681" s="320">
        <v>0.0</v>
      </c>
      <c r="I681" s="329"/>
      <c r="J681" s="320">
        <v>28.77</v>
      </c>
      <c r="K681" s="320">
        <v>12.91</v>
      </c>
      <c r="L681" s="320">
        <v>5.39</v>
      </c>
      <c r="M681" s="320">
        <v>0.4177</v>
      </c>
      <c r="N681" s="320">
        <v>0.7579</v>
      </c>
      <c r="O681" s="320">
        <v>0.5626</v>
      </c>
      <c r="P681" s="320">
        <v>2.3938</v>
      </c>
      <c r="Q681" s="320">
        <v>47.99</v>
      </c>
      <c r="R681" s="320">
        <v>38.69</v>
      </c>
      <c r="S681" s="320">
        <v>9.3</v>
      </c>
      <c r="T681" s="320">
        <v>0.0</v>
      </c>
      <c r="U681" s="320">
        <v>47.99</v>
      </c>
      <c r="V681" s="320">
        <v>50.08</v>
      </c>
      <c r="W681" s="320">
        <v>3.8799</v>
      </c>
      <c r="X681" s="320">
        <v>0.0</v>
      </c>
      <c r="Y681" s="320">
        <v>138.0</v>
      </c>
      <c r="Z681" s="320">
        <v>895.0</v>
      </c>
      <c r="AA681" s="320">
        <v>6159.0</v>
      </c>
      <c r="AB681" s="320">
        <v>48.4243</v>
      </c>
      <c r="AC681" s="320">
        <v>0.5294</v>
      </c>
      <c r="AD681" s="320">
        <v>3.87</v>
      </c>
      <c r="AE681" s="320">
        <v>1.0</v>
      </c>
      <c r="AF681" s="320">
        <v>2.0</v>
      </c>
      <c r="AG681" s="320">
        <v>5.0</v>
      </c>
      <c r="AH681" s="320">
        <v>9.0</v>
      </c>
      <c r="AI681" s="320">
        <v>70.94</v>
      </c>
      <c r="AJ681" s="320">
        <v>28.84</v>
      </c>
      <c r="AK681" s="320">
        <v>8.45</v>
      </c>
      <c r="AL681" s="320">
        <v>0.2521</v>
      </c>
      <c r="AM681" s="320">
        <v>19.39</v>
      </c>
      <c r="AN681" s="320">
        <v>19.3</v>
      </c>
      <c r="AO681" s="320">
        <v>65.5</v>
      </c>
      <c r="AP681" s="320">
        <v>12.7</v>
      </c>
    </row>
    <row r="682">
      <c r="A682" s="319" t="s">
        <v>256</v>
      </c>
      <c r="B682" s="328">
        <v>46163.0</v>
      </c>
      <c r="C682" s="319" t="s">
        <v>215</v>
      </c>
      <c r="D682" s="320">
        <v>23516.0</v>
      </c>
      <c r="E682" s="320">
        <v>23.68</v>
      </c>
      <c r="F682" s="320">
        <v>0.0</v>
      </c>
      <c r="G682" s="320">
        <v>0.0</v>
      </c>
      <c r="H682" s="320">
        <v>0.0</v>
      </c>
      <c r="I682" s="329"/>
      <c r="J682" s="320">
        <v>52.89</v>
      </c>
      <c r="K682" s="320">
        <v>24.86</v>
      </c>
      <c r="L682" s="320">
        <v>14.06</v>
      </c>
      <c r="M682" s="320">
        <v>0.5655</v>
      </c>
      <c r="N682" s="320">
        <v>0.6329</v>
      </c>
      <c r="O682" s="320">
        <v>0.4401</v>
      </c>
      <c r="P682" s="320">
        <v>1.7683</v>
      </c>
      <c r="Q682" s="320">
        <v>102.03</v>
      </c>
      <c r="R682" s="320">
        <v>78.64</v>
      </c>
      <c r="S682" s="320">
        <v>23.39</v>
      </c>
      <c r="T682" s="320">
        <v>0.0</v>
      </c>
      <c r="U682" s="320">
        <v>102.03</v>
      </c>
      <c r="V682" s="320">
        <v>97.39</v>
      </c>
      <c r="W682" s="320">
        <v>3.918</v>
      </c>
      <c r="X682" s="320">
        <v>0.0</v>
      </c>
      <c r="Y682" s="320">
        <v>130.0</v>
      </c>
      <c r="Z682" s="320">
        <v>747.0</v>
      </c>
      <c r="AA682" s="320">
        <v>5861.0</v>
      </c>
      <c r="AB682" s="320">
        <v>52.3036</v>
      </c>
      <c r="AC682" s="320">
        <v>0.621</v>
      </c>
      <c r="AD682" s="320">
        <v>9.41</v>
      </c>
      <c r="AE682" s="320">
        <v>3.0</v>
      </c>
      <c r="AF682" s="320">
        <v>7.0</v>
      </c>
      <c r="AG682" s="320">
        <v>13.0</v>
      </c>
      <c r="AH682" s="320">
        <v>21.0</v>
      </c>
      <c r="AI682" s="320">
        <v>57.93</v>
      </c>
      <c r="AJ682" s="320">
        <v>26.36</v>
      </c>
      <c r="AK682" s="320">
        <v>5.27</v>
      </c>
      <c r="AL682" s="320">
        <v>0.1917</v>
      </c>
      <c r="AM682" s="320">
        <v>20.51</v>
      </c>
      <c r="AN682" s="320">
        <v>58.13</v>
      </c>
      <c r="AO682" s="320">
        <v>75.2</v>
      </c>
      <c r="AP682" s="320">
        <v>15.42</v>
      </c>
    </row>
    <row r="683">
      <c r="A683" s="319" t="s">
        <v>256</v>
      </c>
      <c r="B683" s="328">
        <v>46163.0</v>
      </c>
      <c r="C683" s="319" t="s">
        <v>216</v>
      </c>
      <c r="D683" s="320">
        <v>12381.0</v>
      </c>
      <c r="E683" s="320">
        <v>12.46</v>
      </c>
      <c r="F683" s="320">
        <v>0.0</v>
      </c>
      <c r="G683" s="320">
        <v>0.0</v>
      </c>
      <c r="H683" s="320">
        <v>0.0</v>
      </c>
      <c r="I683" s="329"/>
      <c r="J683" s="320">
        <v>75.55</v>
      </c>
      <c r="K683" s="320">
        <v>37.88</v>
      </c>
      <c r="L683" s="320">
        <v>26.03</v>
      </c>
      <c r="M683" s="320">
        <v>0.6871</v>
      </c>
      <c r="N683" s="320">
        <v>0.5111</v>
      </c>
      <c r="O683" s="320">
        <v>0.3559</v>
      </c>
      <c r="P683" s="320">
        <v>1.4554</v>
      </c>
      <c r="Q683" s="320">
        <v>187.72</v>
      </c>
      <c r="R683" s="320">
        <v>142.92</v>
      </c>
      <c r="S683" s="320">
        <v>44.8</v>
      </c>
      <c r="T683" s="320">
        <v>0.0</v>
      </c>
      <c r="U683" s="320">
        <v>187.72</v>
      </c>
      <c r="V683" s="320">
        <v>166.4</v>
      </c>
      <c r="W683" s="320">
        <v>4.3924</v>
      </c>
      <c r="X683" s="320">
        <v>0.0</v>
      </c>
      <c r="Y683" s="320">
        <v>169.0</v>
      </c>
      <c r="Z683" s="320">
        <v>1042.0</v>
      </c>
      <c r="AA683" s="320">
        <v>6856.0</v>
      </c>
      <c r="AB683" s="320">
        <v>56.0694</v>
      </c>
      <c r="AC683" s="320">
        <v>0.7398</v>
      </c>
      <c r="AD683" s="320">
        <v>18.37</v>
      </c>
      <c r="AE683" s="320">
        <v>7.0</v>
      </c>
      <c r="AF683" s="320">
        <v>14.0</v>
      </c>
      <c r="AG683" s="320">
        <v>26.0</v>
      </c>
      <c r="AH683" s="320">
        <v>39.0</v>
      </c>
      <c r="AI683" s="320">
        <v>59.93</v>
      </c>
      <c r="AJ683" s="320">
        <v>24.84</v>
      </c>
      <c r="AK683" s="320">
        <v>8.54</v>
      </c>
      <c r="AL683" s="320">
        <v>0.1851</v>
      </c>
      <c r="AM683" s="320">
        <v>20.41</v>
      </c>
      <c r="AN683" s="320">
        <v>122.51</v>
      </c>
      <c r="AO683" s="320">
        <v>78.42</v>
      </c>
      <c r="AP683" s="320">
        <v>16.01</v>
      </c>
    </row>
    <row r="684">
      <c r="A684" s="319" t="s">
        <v>256</v>
      </c>
      <c r="B684" s="328">
        <v>46163.0</v>
      </c>
      <c r="C684" s="319" t="s">
        <v>217</v>
      </c>
      <c r="D684" s="320">
        <v>5115.0</v>
      </c>
      <c r="E684" s="320">
        <v>5.15</v>
      </c>
      <c r="F684" s="320">
        <v>0.0</v>
      </c>
      <c r="G684" s="320">
        <v>0.0</v>
      </c>
      <c r="H684" s="320">
        <v>0.0</v>
      </c>
      <c r="I684" s="329"/>
      <c r="J684" s="320">
        <v>128.77</v>
      </c>
      <c r="K684" s="320">
        <v>69.59</v>
      </c>
      <c r="L684" s="320">
        <v>57.89</v>
      </c>
      <c r="M684" s="320">
        <v>0.8319</v>
      </c>
      <c r="N684" s="320">
        <v>0.3552</v>
      </c>
      <c r="O684" s="320">
        <v>0.2625</v>
      </c>
      <c r="P684" s="320">
        <v>1.2021</v>
      </c>
      <c r="Q684" s="320">
        <v>439.97</v>
      </c>
      <c r="R684" s="320">
        <v>339.67</v>
      </c>
      <c r="S684" s="320">
        <v>100.3</v>
      </c>
      <c r="T684" s="320">
        <v>0.0</v>
      </c>
      <c r="U684" s="320">
        <v>439.97</v>
      </c>
      <c r="V684" s="320">
        <v>334.51</v>
      </c>
      <c r="W684" s="320">
        <v>4.8069</v>
      </c>
      <c r="X684" s="320">
        <v>0.0</v>
      </c>
      <c r="Y684" s="320">
        <v>407.0</v>
      </c>
      <c r="Z684" s="320">
        <v>2738.0</v>
      </c>
      <c r="AA684" s="320">
        <v>10953.0</v>
      </c>
      <c r="AB684" s="320">
        <v>60.5183</v>
      </c>
      <c r="AC684" s="320">
        <v>0.8382</v>
      </c>
      <c r="AD684" s="320">
        <v>43.06</v>
      </c>
      <c r="AE684" s="320">
        <v>18.0</v>
      </c>
      <c r="AF684" s="320">
        <v>35.0</v>
      </c>
      <c r="AG684" s="320">
        <v>60.0</v>
      </c>
      <c r="AH684" s="320">
        <v>87.0</v>
      </c>
      <c r="AI684" s="320">
        <v>59.18</v>
      </c>
      <c r="AJ684" s="320">
        <v>25.34</v>
      </c>
      <c r="AK684" s="320">
        <v>6.9</v>
      </c>
      <c r="AL684" s="320">
        <v>0.1412</v>
      </c>
      <c r="AM684" s="320">
        <v>20.93</v>
      </c>
      <c r="AN684" s="320">
        <v>318.74</v>
      </c>
      <c r="AO684" s="320">
        <v>83.17</v>
      </c>
      <c r="AP684" s="320">
        <v>17.41</v>
      </c>
    </row>
    <row r="685">
      <c r="A685" s="319" t="s">
        <v>256</v>
      </c>
      <c r="B685" s="328">
        <v>46163.0</v>
      </c>
      <c r="C685" s="319" t="s">
        <v>218</v>
      </c>
      <c r="D685" s="320">
        <v>568.0</v>
      </c>
      <c r="E685" s="320">
        <v>0.57</v>
      </c>
      <c r="F685" s="320">
        <v>0.0</v>
      </c>
      <c r="G685" s="320">
        <v>0.0</v>
      </c>
      <c r="H685" s="320">
        <v>0.0</v>
      </c>
      <c r="I685" s="329"/>
      <c r="J685" s="320">
        <v>244.98</v>
      </c>
      <c r="K685" s="320">
        <v>140.51</v>
      </c>
      <c r="L685" s="320">
        <v>128.31</v>
      </c>
      <c r="M685" s="320">
        <v>0.9131</v>
      </c>
      <c r="N685" s="320">
        <v>0.2538</v>
      </c>
      <c r="O685" s="320">
        <v>0.2057</v>
      </c>
      <c r="P685" s="320">
        <v>1.0951</v>
      </c>
      <c r="Q685" s="320">
        <v>865.79</v>
      </c>
      <c r="R685" s="320">
        <v>644.79</v>
      </c>
      <c r="S685" s="320">
        <v>220.99</v>
      </c>
      <c r="T685" s="320">
        <v>0.0</v>
      </c>
      <c r="U685" s="320">
        <v>865.79</v>
      </c>
      <c r="V685" s="320">
        <v>646.21</v>
      </c>
      <c r="W685" s="320">
        <v>4.5989</v>
      </c>
      <c r="X685" s="320">
        <v>0.0</v>
      </c>
      <c r="Y685" s="320">
        <v>948.0</v>
      </c>
      <c r="Z685" s="320">
        <v>4176.0</v>
      </c>
      <c r="AA685" s="320">
        <v>12955.0</v>
      </c>
      <c r="AB685" s="320">
        <v>63.6204</v>
      </c>
      <c r="AC685" s="320">
        <v>0.894</v>
      </c>
      <c r="AD685" s="320">
        <v>99.27</v>
      </c>
      <c r="AE685" s="320">
        <v>45.0</v>
      </c>
      <c r="AF685" s="320">
        <v>87.0</v>
      </c>
      <c r="AG685" s="320">
        <v>137.0</v>
      </c>
      <c r="AH685" s="320">
        <v>198.0</v>
      </c>
      <c r="AI685" s="320">
        <v>55.11</v>
      </c>
      <c r="AJ685" s="320">
        <v>14.96</v>
      </c>
      <c r="AK685" s="320">
        <v>1.94</v>
      </c>
      <c r="AL685" s="320">
        <v>0.0792</v>
      </c>
      <c r="AM685" s="320">
        <v>23.08</v>
      </c>
      <c r="AN685" s="320">
        <v>621.71</v>
      </c>
      <c r="AO685" s="320">
        <v>84.66</v>
      </c>
      <c r="AP685" s="320">
        <v>19.54</v>
      </c>
    </row>
    <row r="686">
      <c r="A686" s="319" t="s">
        <v>256</v>
      </c>
      <c r="B686" s="328">
        <v>46164.0</v>
      </c>
      <c r="C686" s="319" t="s">
        <v>257</v>
      </c>
      <c r="D686" s="320">
        <v>19630.0</v>
      </c>
      <c r="E686" s="320">
        <v>20.28</v>
      </c>
      <c r="F686" s="320">
        <v>0.0</v>
      </c>
      <c r="G686" s="320">
        <v>0.0</v>
      </c>
      <c r="H686" s="320">
        <v>0.0</v>
      </c>
      <c r="I686" s="329"/>
      <c r="J686" s="320">
        <v>6.11</v>
      </c>
      <c r="K686" s="320">
        <v>2.47</v>
      </c>
      <c r="L686" s="320">
        <v>0.05</v>
      </c>
      <c r="M686" s="320">
        <v>0.0201</v>
      </c>
      <c r="N686" s="320">
        <v>0.986</v>
      </c>
      <c r="O686" s="320">
        <v>0.8258</v>
      </c>
      <c r="P686" s="320">
        <v>49.8261</v>
      </c>
      <c r="Q686" s="320">
        <v>25.28</v>
      </c>
      <c r="R686" s="320">
        <v>25.19</v>
      </c>
      <c r="S686" s="320">
        <v>0.09</v>
      </c>
      <c r="T686" s="320">
        <v>0.0</v>
      </c>
      <c r="U686" s="320">
        <v>25.28</v>
      </c>
      <c r="V686" s="320">
        <v>2.08</v>
      </c>
      <c r="W686" s="320">
        <v>0.8435</v>
      </c>
      <c r="X686" s="320">
        <v>0.0</v>
      </c>
      <c r="Y686" s="320">
        <v>329.0</v>
      </c>
      <c r="Z686" s="320">
        <v>3999.0</v>
      </c>
      <c r="AA686" s="320">
        <v>15504.0</v>
      </c>
      <c r="AB686" s="320">
        <v>48.764</v>
      </c>
      <c r="AC686" s="320">
        <v>0.5366</v>
      </c>
      <c r="AD686" s="329"/>
      <c r="AE686" s="329"/>
      <c r="AF686" s="329"/>
      <c r="AG686" s="329"/>
      <c r="AH686" s="329"/>
      <c r="AI686" s="320">
        <v>0.0</v>
      </c>
      <c r="AJ686" s="320">
        <v>0.0</v>
      </c>
      <c r="AK686" s="320">
        <v>0.0</v>
      </c>
      <c r="AL686" s="320">
        <v>0.3167</v>
      </c>
      <c r="AM686" s="320">
        <v>17.01</v>
      </c>
      <c r="AN686" s="320">
        <v>8.18</v>
      </c>
      <c r="AO686" s="329"/>
      <c r="AP686" s="329"/>
    </row>
    <row r="687">
      <c r="A687" s="319" t="s">
        <v>256</v>
      </c>
      <c r="B687" s="328">
        <v>46164.0</v>
      </c>
      <c r="C687" s="319" t="s">
        <v>214</v>
      </c>
      <c r="D687" s="320">
        <v>36116.0</v>
      </c>
      <c r="E687" s="320">
        <v>37.31</v>
      </c>
      <c r="F687" s="320">
        <v>0.0</v>
      </c>
      <c r="G687" s="320">
        <v>0.0</v>
      </c>
      <c r="H687" s="320">
        <v>0.0</v>
      </c>
      <c r="I687" s="329"/>
      <c r="J687" s="320">
        <v>32.16</v>
      </c>
      <c r="K687" s="320">
        <v>14.56</v>
      </c>
      <c r="L687" s="320">
        <v>5.94</v>
      </c>
      <c r="M687" s="320">
        <v>0.4079</v>
      </c>
      <c r="N687" s="320">
        <v>0.7599</v>
      </c>
      <c r="O687" s="320">
        <v>0.551</v>
      </c>
      <c r="P687" s="320">
        <v>2.4515</v>
      </c>
      <c r="Q687" s="320">
        <v>60.8</v>
      </c>
      <c r="R687" s="320">
        <v>50.65</v>
      </c>
      <c r="S687" s="320">
        <v>10.15</v>
      </c>
      <c r="T687" s="320">
        <v>0.0</v>
      </c>
      <c r="U687" s="320">
        <v>60.8</v>
      </c>
      <c r="V687" s="320">
        <v>55.4</v>
      </c>
      <c r="W687" s="320">
        <v>3.804</v>
      </c>
      <c r="X687" s="320">
        <v>0.0</v>
      </c>
      <c r="Y687" s="320">
        <v>139.0</v>
      </c>
      <c r="Z687" s="320">
        <v>838.0</v>
      </c>
      <c r="AA687" s="320">
        <v>5938.0</v>
      </c>
      <c r="AB687" s="320">
        <v>48.2513</v>
      </c>
      <c r="AC687" s="320">
        <v>0.5248</v>
      </c>
      <c r="AD687" s="320">
        <v>4.12</v>
      </c>
      <c r="AE687" s="320">
        <v>1.0</v>
      </c>
      <c r="AF687" s="320">
        <v>3.0</v>
      </c>
      <c r="AG687" s="320">
        <v>5.0</v>
      </c>
      <c r="AH687" s="320">
        <v>9.0</v>
      </c>
      <c r="AI687" s="320">
        <v>74.03</v>
      </c>
      <c r="AJ687" s="320">
        <v>31.99</v>
      </c>
      <c r="AK687" s="320">
        <v>9.27</v>
      </c>
      <c r="AL687" s="320">
        <v>0.2597</v>
      </c>
      <c r="AM687" s="320">
        <v>20.6</v>
      </c>
      <c r="AN687" s="320">
        <v>30.05</v>
      </c>
      <c r="AO687" s="320">
        <v>65.68</v>
      </c>
      <c r="AP687" s="320">
        <v>13.53</v>
      </c>
    </row>
    <row r="688">
      <c r="A688" s="319" t="s">
        <v>256</v>
      </c>
      <c r="B688" s="328">
        <v>46164.0</v>
      </c>
      <c r="C688" s="319" t="s">
        <v>215</v>
      </c>
      <c r="D688" s="320">
        <v>23038.0</v>
      </c>
      <c r="E688" s="320">
        <v>23.8</v>
      </c>
      <c r="F688" s="320">
        <v>0.0</v>
      </c>
      <c r="G688" s="320">
        <v>0.0</v>
      </c>
      <c r="H688" s="320">
        <v>0.0</v>
      </c>
      <c r="I688" s="329"/>
      <c r="J688" s="320">
        <v>57.64</v>
      </c>
      <c r="K688" s="320">
        <v>27.45</v>
      </c>
      <c r="L688" s="320">
        <v>14.67</v>
      </c>
      <c r="M688" s="320">
        <v>0.5344</v>
      </c>
      <c r="N688" s="320">
        <v>0.6523</v>
      </c>
      <c r="O688" s="320">
        <v>0.447</v>
      </c>
      <c r="P688" s="320">
        <v>1.8711</v>
      </c>
      <c r="Q688" s="320">
        <v>108.63</v>
      </c>
      <c r="R688" s="320">
        <v>83.58</v>
      </c>
      <c r="S688" s="320">
        <v>25.05</v>
      </c>
      <c r="T688" s="320">
        <v>0.0</v>
      </c>
      <c r="U688" s="320">
        <v>108.63</v>
      </c>
      <c r="V688" s="320">
        <v>103.31</v>
      </c>
      <c r="W688" s="320">
        <v>3.7636</v>
      </c>
      <c r="X688" s="320">
        <v>0.0</v>
      </c>
      <c r="Y688" s="320">
        <v>130.0</v>
      </c>
      <c r="Z688" s="320">
        <v>704.0</v>
      </c>
      <c r="AA688" s="320">
        <v>5231.0</v>
      </c>
      <c r="AB688" s="320">
        <v>52.2662</v>
      </c>
      <c r="AC688" s="320">
        <v>0.6286</v>
      </c>
      <c r="AD688" s="320">
        <v>9.9</v>
      </c>
      <c r="AE688" s="320">
        <v>4.0</v>
      </c>
      <c r="AF688" s="320">
        <v>8.0</v>
      </c>
      <c r="AG688" s="320">
        <v>13.0</v>
      </c>
      <c r="AH688" s="320">
        <v>21.0</v>
      </c>
      <c r="AI688" s="320">
        <v>62.65</v>
      </c>
      <c r="AJ688" s="320">
        <v>27.85</v>
      </c>
      <c r="AK688" s="320">
        <v>5.59</v>
      </c>
      <c r="AL688" s="320">
        <v>0.2158</v>
      </c>
      <c r="AM688" s="320">
        <v>21.77</v>
      </c>
      <c r="AN688" s="320">
        <v>61.81</v>
      </c>
      <c r="AO688" s="320">
        <v>75.32</v>
      </c>
      <c r="AP688" s="320">
        <v>16.4</v>
      </c>
    </row>
    <row r="689">
      <c r="A689" s="319" t="s">
        <v>256</v>
      </c>
      <c r="B689" s="328">
        <v>46164.0</v>
      </c>
      <c r="C689" s="319" t="s">
        <v>216</v>
      </c>
      <c r="D689" s="320">
        <v>12430.0</v>
      </c>
      <c r="E689" s="320">
        <v>12.84</v>
      </c>
      <c r="F689" s="320">
        <v>0.0</v>
      </c>
      <c r="G689" s="320">
        <v>0.0</v>
      </c>
      <c r="H689" s="320">
        <v>0.0</v>
      </c>
      <c r="I689" s="329"/>
      <c r="J689" s="320">
        <v>83.67</v>
      </c>
      <c r="K689" s="320">
        <v>42.03</v>
      </c>
      <c r="L689" s="320">
        <v>27.88</v>
      </c>
      <c r="M689" s="320">
        <v>0.6634</v>
      </c>
      <c r="N689" s="320">
        <v>0.526</v>
      </c>
      <c r="O689" s="320">
        <v>0.3575</v>
      </c>
      <c r="P689" s="320">
        <v>1.5074</v>
      </c>
      <c r="Q689" s="320">
        <v>173.39</v>
      </c>
      <c r="R689" s="320">
        <v>125.28</v>
      </c>
      <c r="S689" s="320">
        <v>48.1</v>
      </c>
      <c r="T689" s="320">
        <v>0.63</v>
      </c>
      <c r="U689" s="320">
        <v>172.76</v>
      </c>
      <c r="V689" s="320">
        <v>171.98</v>
      </c>
      <c r="W689" s="320">
        <v>4.0915</v>
      </c>
      <c r="X689" s="320">
        <v>0.36</v>
      </c>
      <c r="Y689" s="320">
        <v>163.0</v>
      </c>
      <c r="Z689" s="320">
        <v>1100.0</v>
      </c>
      <c r="AA689" s="320">
        <v>6954.0</v>
      </c>
      <c r="AB689" s="320">
        <v>56.1477</v>
      </c>
      <c r="AC689" s="320">
        <v>0.7452</v>
      </c>
      <c r="AD689" s="320">
        <v>19.02</v>
      </c>
      <c r="AE689" s="320">
        <v>8.0</v>
      </c>
      <c r="AF689" s="320">
        <v>15.0</v>
      </c>
      <c r="AG689" s="320">
        <v>26.0</v>
      </c>
      <c r="AH689" s="320">
        <v>39.0</v>
      </c>
      <c r="AI689" s="320">
        <v>63.54</v>
      </c>
      <c r="AJ689" s="320">
        <v>25.9</v>
      </c>
      <c r="AK689" s="320">
        <v>8.41</v>
      </c>
      <c r="AL689" s="320">
        <v>0.2042</v>
      </c>
      <c r="AM689" s="320">
        <v>21.3</v>
      </c>
      <c r="AN689" s="320">
        <v>103.98</v>
      </c>
      <c r="AO689" s="320">
        <v>78.11</v>
      </c>
      <c r="AP689" s="320">
        <v>16.64</v>
      </c>
    </row>
    <row r="690">
      <c r="A690" s="319" t="s">
        <v>256</v>
      </c>
      <c r="B690" s="328">
        <v>46164.0</v>
      </c>
      <c r="C690" s="319" t="s">
        <v>217</v>
      </c>
      <c r="D690" s="320">
        <v>5018.0</v>
      </c>
      <c r="E690" s="320">
        <v>5.18</v>
      </c>
      <c r="F690" s="320">
        <v>0.0</v>
      </c>
      <c r="G690" s="320">
        <v>0.0</v>
      </c>
      <c r="H690" s="320">
        <v>0.0</v>
      </c>
      <c r="I690" s="329"/>
      <c r="J690" s="320">
        <v>134.59</v>
      </c>
      <c r="K690" s="320">
        <v>71.18</v>
      </c>
      <c r="L690" s="320">
        <v>57.34</v>
      </c>
      <c r="M690" s="320">
        <v>0.8056</v>
      </c>
      <c r="N690" s="320">
        <v>0.3766</v>
      </c>
      <c r="O690" s="320">
        <v>0.2703</v>
      </c>
      <c r="P690" s="320">
        <v>1.2413</v>
      </c>
      <c r="Q690" s="320">
        <v>313.41</v>
      </c>
      <c r="R690" s="320">
        <v>215.63</v>
      </c>
      <c r="S690" s="320">
        <v>97.78</v>
      </c>
      <c r="T690" s="320">
        <v>0.0</v>
      </c>
      <c r="U690" s="320">
        <v>313.41</v>
      </c>
      <c r="V690" s="320">
        <v>316.98</v>
      </c>
      <c r="W690" s="320">
        <v>4.4531</v>
      </c>
      <c r="X690" s="320">
        <v>0.0</v>
      </c>
      <c r="Y690" s="320">
        <v>371.0</v>
      </c>
      <c r="Z690" s="320">
        <v>2754.0</v>
      </c>
      <c r="AA690" s="320">
        <v>10602.0</v>
      </c>
      <c r="AB690" s="320">
        <v>60.5697</v>
      </c>
      <c r="AC690" s="320">
        <v>0.8539</v>
      </c>
      <c r="AD690" s="320">
        <v>40.84</v>
      </c>
      <c r="AE690" s="320">
        <v>16.0</v>
      </c>
      <c r="AF690" s="320">
        <v>32.0</v>
      </c>
      <c r="AG690" s="320">
        <v>56.0</v>
      </c>
      <c r="AH690" s="320">
        <v>85.0</v>
      </c>
      <c r="AI690" s="320">
        <v>57.21</v>
      </c>
      <c r="AJ690" s="320">
        <v>22.7</v>
      </c>
      <c r="AK690" s="320">
        <v>5.98</v>
      </c>
      <c r="AL690" s="320">
        <v>0.156</v>
      </c>
      <c r="AM690" s="320">
        <v>21.98</v>
      </c>
      <c r="AN690" s="320">
        <v>193.65</v>
      </c>
      <c r="AO690" s="320">
        <v>82.93</v>
      </c>
      <c r="AP690" s="320">
        <v>18.23</v>
      </c>
    </row>
    <row r="691">
      <c r="A691" s="319" t="s">
        <v>256</v>
      </c>
      <c r="B691" s="328">
        <v>46164.0</v>
      </c>
      <c r="C691" s="319" t="s">
        <v>218</v>
      </c>
      <c r="D691" s="320">
        <v>563.0</v>
      </c>
      <c r="E691" s="320">
        <v>0.58</v>
      </c>
      <c r="F691" s="320">
        <v>0.0</v>
      </c>
      <c r="G691" s="320">
        <v>0.0</v>
      </c>
      <c r="H691" s="320">
        <v>0.0</v>
      </c>
      <c r="I691" s="329"/>
      <c r="J691" s="320">
        <v>249.7</v>
      </c>
      <c r="K691" s="320">
        <v>141.18</v>
      </c>
      <c r="L691" s="320">
        <v>126.17</v>
      </c>
      <c r="M691" s="320">
        <v>0.8937</v>
      </c>
      <c r="N691" s="320">
        <v>0.2693</v>
      </c>
      <c r="O691" s="320">
        <v>0.2098</v>
      </c>
      <c r="P691" s="320">
        <v>1.119</v>
      </c>
      <c r="Q691" s="320">
        <v>634.8</v>
      </c>
      <c r="R691" s="320">
        <v>412.38</v>
      </c>
      <c r="S691" s="320">
        <v>222.42</v>
      </c>
      <c r="T691" s="320">
        <v>0.0</v>
      </c>
      <c r="U691" s="320">
        <v>634.8</v>
      </c>
      <c r="V691" s="320">
        <v>698.22</v>
      </c>
      <c r="W691" s="320">
        <v>4.9455</v>
      </c>
      <c r="X691" s="320">
        <v>0.0</v>
      </c>
      <c r="Y691" s="320">
        <v>1064.0</v>
      </c>
      <c r="Z691" s="320">
        <v>4481.0</v>
      </c>
      <c r="AA691" s="320">
        <v>13719.0</v>
      </c>
      <c r="AB691" s="320">
        <v>63.6729</v>
      </c>
      <c r="AC691" s="320">
        <v>0.9159</v>
      </c>
      <c r="AD691" s="320">
        <v>93.47</v>
      </c>
      <c r="AE691" s="320">
        <v>41.0</v>
      </c>
      <c r="AF691" s="320">
        <v>81.0</v>
      </c>
      <c r="AG691" s="320">
        <v>129.0</v>
      </c>
      <c r="AH691" s="320">
        <v>180.0</v>
      </c>
      <c r="AI691" s="320">
        <v>50.98</v>
      </c>
      <c r="AJ691" s="320">
        <v>11.01</v>
      </c>
      <c r="AK691" s="320">
        <v>1.78</v>
      </c>
      <c r="AL691" s="320">
        <v>0.1297</v>
      </c>
      <c r="AM691" s="320">
        <v>23.5</v>
      </c>
      <c r="AN691" s="320">
        <v>388.88</v>
      </c>
      <c r="AO691" s="320">
        <v>85.03</v>
      </c>
      <c r="AP691" s="320">
        <v>19.98</v>
      </c>
    </row>
    <row r="692">
      <c r="A692" s="319" t="s">
        <v>256</v>
      </c>
      <c r="B692" s="328">
        <v>46165.0</v>
      </c>
      <c r="C692" s="319" t="s">
        <v>257</v>
      </c>
      <c r="D692" s="320">
        <v>19819.0</v>
      </c>
      <c r="E692" s="320">
        <v>20.93</v>
      </c>
      <c r="F692" s="320">
        <v>0.0</v>
      </c>
      <c r="G692" s="320">
        <v>0.0</v>
      </c>
      <c r="H692" s="320">
        <v>0.0</v>
      </c>
      <c r="I692" s="329"/>
      <c r="J692" s="320">
        <v>5.87</v>
      </c>
      <c r="K692" s="320">
        <v>2.39</v>
      </c>
      <c r="L692" s="320">
        <v>0.04</v>
      </c>
      <c r="M692" s="320">
        <v>0.0158</v>
      </c>
      <c r="N692" s="320">
        <v>0.9881</v>
      </c>
      <c r="O692" s="320">
        <v>0.8549</v>
      </c>
      <c r="P692" s="320">
        <v>63.2848</v>
      </c>
      <c r="Q692" s="320">
        <v>24.38</v>
      </c>
      <c r="R692" s="320">
        <v>24.25</v>
      </c>
      <c r="S692" s="320">
        <v>0.12</v>
      </c>
      <c r="T692" s="320">
        <v>0.0</v>
      </c>
      <c r="U692" s="320">
        <v>24.38</v>
      </c>
      <c r="V692" s="320">
        <v>2.47</v>
      </c>
      <c r="W692" s="320">
        <v>1.033</v>
      </c>
      <c r="X692" s="320">
        <v>0.0</v>
      </c>
      <c r="Y692" s="320">
        <v>272.0</v>
      </c>
      <c r="Z692" s="320">
        <v>3471.0</v>
      </c>
      <c r="AA692" s="320">
        <v>14551.0</v>
      </c>
      <c r="AB692" s="320">
        <v>48.6051</v>
      </c>
      <c r="AC692" s="320">
        <v>0.5313</v>
      </c>
      <c r="AD692" s="329"/>
      <c r="AE692" s="329"/>
      <c r="AF692" s="329"/>
      <c r="AG692" s="329"/>
      <c r="AH692" s="329"/>
      <c r="AI692" s="320">
        <v>0.0</v>
      </c>
      <c r="AJ692" s="320">
        <v>0.0</v>
      </c>
      <c r="AK692" s="320">
        <v>0.0</v>
      </c>
      <c r="AL692" s="320">
        <v>0.3022</v>
      </c>
      <c r="AM692" s="320">
        <v>17.88</v>
      </c>
      <c r="AN692" s="320">
        <v>6.38</v>
      </c>
      <c r="AO692" s="329"/>
      <c r="AP692" s="329"/>
    </row>
    <row r="693">
      <c r="A693" s="319" t="s">
        <v>256</v>
      </c>
      <c r="B693" s="328">
        <v>46165.0</v>
      </c>
      <c r="C693" s="319" t="s">
        <v>214</v>
      </c>
      <c r="D693" s="320">
        <v>34775.0</v>
      </c>
      <c r="E693" s="320">
        <v>36.72</v>
      </c>
      <c r="F693" s="320">
        <v>0.0</v>
      </c>
      <c r="G693" s="320">
        <v>0.0</v>
      </c>
      <c r="H693" s="320">
        <v>0.0</v>
      </c>
      <c r="I693" s="329"/>
      <c r="J693" s="320">
        <v>30.18</v>
      </c>
      <c r="K693" s="320">
        <v>13.62</v>
      </c>
      <c r="L693" s="320">
        <v>5.77</v>
      </c>
      <c r="M693" s="320">
        <v>0.4237</v>
      </c>
      <c r="N693" s="320">
        <v>0.75</v>
      </c>
      <c r="O693" s="320">
        <v>0.5484</v>
      </c>
      <c r="P693" s="320">
        <v>2.3603</v>
      </c>
      <c r="Q693" s="320">
        <v>54.8</v>
      </c>
      <c r="R693" s="320">
        <v>45.01</v>
      </c>
      <c r="S693" s="320">
        <v>9.79</v>
      </c>
      <c r="T693" s="320">
        <v>0.0</v>
      </c>
      <c r="U693" s="320">
        <v>54.8</v>
      </c>
      <c r="V693" s="320">
        <v>55.09</v>
      </c>
      <c r="W693" s="320">
        <v>4.0438</v>
      </c>
      <c r="X693" s="320">
        <v>0.0</v>
      </c>
      <c r="Y693" s="320">
        <v>142.0</v>
      </c>
      <c r="Z693" s="320">
        <v>885.0</v>
      </c>
      <c r="AA693" s="320">
        <v>6056.0</v>
      </c>
      <c r="AB693" s="320">
        <v>48.3075</v>
      </c>
      <c r="AC693" s="320">
        <v>0.5276</v>
      </c>
      <c r="AD693" s="320">
        <v>4.07</v>
      </c>
      <c r="AE693" s="320">
        <v>1.0</v>
      </c>
      <c r="AF693" s="320">
        <v>3.0</v>
      </c>
      <c r="AG693" s="320">
        <v>5.0</v>
      </c>
      <c r="AH693" s="320">
        <v>9.0</v>
      </c>
      <c r="AI693" s="320">
        <v>72.59</v>
      </c>
      <c r="AJ693" s="320">
        <v>31.04</v>
      </c>
      <c r="AK693" s="320">
        <v>9.48</v>
      </c>
      <c r="AL693" s="320">
        <v>0.2509</v>
      </c>
      <c r="AM693" s="320">
        <v>22.51</v>
      </c>
      <c r="AN693" s="320">
        <v>22.5</v>
      </c>
      <c r="AO693" s="320">
        <v>65.17</v>
      </c>
      <c r="AP693" s="320">
        <v>14.67</v>
      </c>
    </row>
    <row r="694">
      <c r="A694" s="319" t="s">
        <v>256</v>
      </c>
      <c r="B694" s="328">
        <v>46165.0</v>
      </c>
      <c r="C694" s="319" t="s">
        <v>215</v>
      </c>
      <c r="D694" s="320">
        <v>22341.0</v>
      </c>
      <c r="E694" s="320">
        <v>23.59</v>
      </c>
      <c r="F694" s="320">
        <v>0.0</v>
      </c>
      <c r="G694" s="320">
        <v>0.0</v>
      </c>
      <c r="H694" s="320">
        <v>0.0</v>
      </c>
      <c r="I694" s="329"/>
      <c r="J694" s="320">
        <v>54.78</v>
      </c>
      <c r="K694" s="320">
        <v>25.73</v>
      </c>
      <c r="L694" s="320">
        <v>14.29</v>
      </c>
      <c r="M694" s="320">
        <v>0.5554</v>
      </c>
      <c r="N694" s="320">
        <v>0.6402</v>
      </c>
      <c r="O694" s="320">
        <v>0.4448</v>
      </c>
      <c r="P694" s="320">
        <v>1.8006</v>
      </c>
      <c r="Q694" s="320">
        <v>104.62</v>
      </c>
      <c r="R694" s="320">
        <v>80.3</v>
      </c>
      <c r="S694" s="320">
        <v>24.32</v>
      </c>
      <c r="T694" s="320">
        <v>0.0</v>
      </c>
      <c r="U694" s="320">
        <v>104.62</v>
      </c>
      <c r="V694" s="320">
        <v>102.48</v>
      </c>
      <c r="W694" s="320">
        <v>3.9826</v>
      </c>
      <c r="X694" s="320">
        <v>0.0</v>
      </c>
      <c r="Y694" s="320">
        <v>137.0</v>
      </c>
      <c r="Z694" s="320">
        <v>781.0</v>
      </c>
      <c r="AA694" s="320">
        <v>5585.0</v>
      </c>
      <c r="AB694" s="320">
        <v>52.434</v>
      </c>
      <c r="AC694" s="320">
        <v>0.6389</v>
      </c>
      <c r="AD694" s="320">
        <v>9.93</v>
      </c>
      <c r="AE694" s="320">
        <v>4.0</v>
      </c>
      <c r="AF694" s="320">
        <v>8.0</v>
      </c>
      <c r="AG694" s="320">
        <v>14.0</v>
      </c>
      <c r="AH694" s="320">
        <v>21.0</v>
      </c>
      <c r="AI694" s="320">
        <v>62.7</v>
      </c>
      <c r="AJ694" s="320">
        <v>27.95</v>
      </c>
      <c r="AK694" s="320">
        <v>5.7</v>
      </c>
      <c r="AL694" s="320">
        <v>0.2042</v>
      </c>
      <c r="AM694" s="320">
        <v>23.81</v>
      </c>
      <c r="AN694" s="320">
        <v>56.5</v>
      </c>
      <c r="AO694" s="320">
        <v>75.01</v>
      </c>
      <c r="AP694" s="320">
        <v>17.86</v>
      </c>
    </row>
    <row r="695">
      <c r="A695" s="319" t="s">
        <v>256</v>
      </c>
      <c r="B695" s="328">
        <v>46165.0</v>
      </c>
      <c r="C695" s="319" t="s">
        <v>216</v>
      </c>
      <c r="D695" s="320">
        <v>12144.0</v>
      </c>
      <c r="E695" s="320">
        <v>12.82</v>
      </c>
      <c r="F695" s="320">
        <v>0.0</v>
      </c>
      <c r="G695" s="320">
        <v>0.0</v>
      </c>
      <c r="H695" s="320">
        <v>0.0</v>
      </c>
      <c r="I695" s="329"/>
      <c r="J695" s="320">
        <v>79.68</v>
      </c>
      <c r="K695" s="320">
        <v>39.76</v>
      </c>
      <c r="L695" s="320">
        <v>27.4</v>
      </c>
      <c r="M695" s="320">
        <v>0.689</v>
      </c>
      <c r="N695" s="320">
        <v>0.5076</v>
      </c>
      <c r="O695" s="320">
        <v>0.3526</v>
      </c>
      <c r="P695" s="320">
        <v>1.4514</v>
      </c>
      <c r="Q695" s="320">
        <v>178.19</v>
      </c>
      <c r="R695" s="320">
        <v>131.46</v>
      </c>
      <c r="S695" s="320">
        <v>46.73</v>
      </c>
      <c r="T695" s="320">
        <v>0.0</v>
      </c>
      <c r="U695" s="320">
        <v>178.19</v>
      </c>
      <c r="V695" s="320">
        <v>172.34</v>
      </c>
      <c r="W695" s="320">
        <v>4.3341</v>
      </c>
      <c r="X695" s="320">
        <v>0.0</v>
      </c>
      <c r="Y695" s="320">
        <v>172.0</v>
      </c>
      <c r="Z695" s="320">
        <v>1135.0</v>
      </c>
      <c r="AA695" s="320">
        <v>7072.0</v>
      </c>
      <c r="AB695" s="320">
        <v>56.2198</v>
      </c>
      <c r="AC695" s="320">
        <v>0.7527</v>
      </c>
      <c r="AD695" s="320">
        <v>19.17</v>
      </c>
      <c r="AE695" s="320">
        <v>7.0</v>
      </c>
      <c r="AF695" s="320">
        <v>15.0</v>
      </c>
      <c r="AG695" s="320">
        <v>26.0</v>
      </c>
      <c r="AH695" s="320">
        <v>40.0</v>
      </c>
      <c r="AI695" s="320">
        <v>62.9</v>
      </c>
      <c r="AJ695" s="320">
        <v>25.96</v>
      </c>
      <c r="AK695" s="320">
        <v>9.1</v>
      </c>
      <c r="AL695" s="320">
        <v>0.1921</v>
      </c>
      <c r="AM695" s="320">
        <v>23.46</v>
      </c>
      <c r="AN695" s="320">
        <v>108.0</v>
      </c>
      <c r="AO695" s="320">
        <v>77.5</v>
      </c>
      <c r="AP695" s="320">
        <v>18.18</v>
      </c>
    </row>
    <row r="696">
      <c r="A696" s="319" t="s">
        <v>256</v>
      </c>
      <c r="B696" s="328">
        <v>46165.0</v>
      </c>
      <c r="C696" s="319" t="s">
        <v>217</v>
      </c>
      <c r="D696" s="320">
        <v>5073.0</v>
      </c>
      <c r="E696" s="320">
        <v>5.36</v>
      </c>
      <c r="F696" s="320">
        <v>0.0</v>
      </c>
      <c r="G696" s="320">
        <v>0.0</v>
      </c>
      <c r="H696" s="320">
        <v>0.0</v>
      </c>
      <c r="I696" s="329"/>
      <c r="J696" s="320">
        <v>127.49</v>
      </c>
      <c r="K696" s="320">
        <v>68.01</v>
      </c>
      <c r="L696" s="320">
        <v>56.22</v>
      </c>
      <c r="M696" s="320">
        <v>0.8266</v>
      </c>
      <c r="N696" s="320">
        <v>0.3605</v>
      </c>
      <c r="O696" s="320">
        <v>0.2665</v>
      </c>
      <c r="P696" s="320">
        <v>1.2098</v>
      </c>
      <c r="Q696" s="320">
        <v>359.75</v>
      </c>
      <c r="R696" s="320">
        <v>263.12</v>
      </c>
      <c r="S696" s="320">
        <v>96.62</v>
      </c>
      <c r="T696" s="320">
        <v>0.0</v>
      </c>
      <c r="U696" s="320">
        <v>359.75</v>
      </c>
      <c r="V696" s="320">
        <v>321.57</v>
      </c>
      <c r="W696" s="320">
        <v>4.7282</v>
      </c>
      <c r="X696" s="320">
        <v>0.0</v>
      </c>
      <c r="Y696" s="320">
        <v>399.0</v>
      </c>
      <c r="Z696" s="320">
        <v>2893.0</v>
      </c>
      <c r="AA696" s="320">
        <v>11444.0</v>
      </c>
      <c r="AB696" s="320">
        <v>60.6678</v>
      </c>
      <c r="AC696" s="320">
        <v>0.8575</v>
      </c>
      <c r="AD696" s="320">
        <v>40.83</v>
      </c>
      <c r="AE696" s="320">
        <v>16.0</v>
      </c>
      <c r="AF696" s="320">
        <v>33.0</v>
      </c>
      <c r="AG696" s="320">
        <v>57.0</v>
      </c>
      <c r="AH696" s="320">
        <v>85.0</v>
      </c>
      <c r="AI696" s="320">
        <v>56.38</v>
      </c>
      <c r="AJ696" s="320">
        <v>23.34</v>
      </c>
      <c r="AK696" s="320">
        <v>5.91</v>
      </c>
      <c r="AL696" s="320">
        <v>0.1469</v>
      </c>
      <c r="AM696" s="320">
        <v>23.77</v>
      </c>
      <c r="AN696" s="320">
        <v>239.35</v>
      </c>
      <c r="AO696" s="320">
        <v>81.76</v>
      </c>
      <c r="AP696" s="320">
        <v>19.43</v>
      </c>
    </row>
    <row r="697">
      <c r="A697" s="319" t="s">
        <v>256</v>
      </c>
      <c r="B697" s="328">
        <v>46165.0</v>
      </c>
      <c r="C697" s="319" t="s">
        <v>218</v>
      </c>
      <c r="D697" s="320">
        <v>553.0</v>
      </c>
      <c r="E697" s="320">
        <v>0.58</v>
      </c>
      <c r="F697" s="320">
        <v>0.0</v>
      </c>
      <c r="G697" s="320">
        <v>0.0</v>
      </c>
      <c r="H697" s="320">
        <v>0.0</v>
      </c>
      <c r="I697" s="329"/>
      <c r="J697" s="320">
        <v>235.25</v>
      </c>
      <c r="K697" s="320">
        <v>135.76</v>
      </c>
      <c r="L697" s="320">
        <v>122.81</v>
      </c>
      <c r="M697" s="320">
        <v>0.9046</v>
      </c>
      <c r="N697" s="320">
        <v>0.2582</v>
      </c>
      <c r="O697" s="320">
        <v>0.2056</v>
      </c>
      <c r="P697" s="320">
        <v>1.1055</v>
      </c>
      <c r="Q697" s="320">
        <v>719.76</v>
      </c>
      <c r="R697" s="320">
        <v>508.75</v>
      </c>
      <c r="S697" s="320">
        <v>211.0</v>
      </c>
      <c r="T697" s="320">
        <v>0.0</v>
      </c>
      <c r="U697" s="320">
        <v>719.76</v>
      </c>
      <c r="V697" s="320">
        <v>626.58</v>
      </c>
      <c r="W697" s="320">
        <v>4.6153</v>
      </c>
      <c r="X697" s="320">
        <v>0.0</v>
      </c>
      <c r="Y697" s="320">
        <v>1243.0</v>
      </c>
      <c r="Z697" s="320">
        <v>4496.0</v>
      </c>
      <c r="AA697" s="320">
        <v>15006.0</v>
      </c>
      <c r="AB697" s="320">
        <v>64.1126</v>
      </c>
      <c r="AC697" s="320">
        <v>0.9308</v>
      </c>
      <c r="AD697" s="320">
        <v>91.31</v>
      </c>
      <c r="AE697" s="320">
        <v>42.0</v>
      </c>
      <c r="AF697" s="320">
        <v>81.0</v>
      </c>
      <c r="AG697" s="320">
        <v>128.0</v>
      </c>
      <c r="AH697" s="320">
        <v>183.0</v>
      </c>
      <c r="AI697" s="320">
        <v>50.27</v>
      </c>
      <c r="AJ697" s="320">
        <v>11.21</v>
      </c>
      <c r="AK697" s="320">
        <v>0.54</v>
      </c>
      <c r="AL697" s="320">
        <v>0.0669</v>
      </c>
      <c r="AM697" s="320">
        <v>25.32</v>
      </c>
      <c r="AN697" s="320">
        <v>483.44</v>
      </c>
      <c r="AO697" s="320">
        <v>86.05</v>
      </c>
      <c r="AP697" s="320">
        <v>21.79</v>
      </c>
    </row>
    <row r="698">
      <c r="A698" s="319" t="s">
        <v>256</v>
      </c>
      <c r="B698" s="328">
        <v>46166.0</v>
      </c>
      <c r="C698" s="319" t="s">
        <v>257</v>
      </c>
      <c r="D698" s="320">
        <v>19438.0</v>
      </c>
      <c r="E698" s="320">
        <v>20.37</v>
      </c>
      <c r="F698" s="320">
        <v>0.0</v>
      </c>
      <c r="G698" s="320">
        <v>0.0</v>
      </c>
      <c r="H698" s="320">
        <v>0.0</v>
      </c>
      <c r="I698" s="329"/>
      <c r="J698" s="320">
        <v>6.39</v>
      </c>
      <c r="K698" s="320">
        <v>2.64</v>
      </c>
      <c r="L698" s="320">
        <v>0.04</v>
      </c>
      <c r="M698" s="320">
        <v>0.0134</v>
      </c>
      <c r="N698" s="320">
        <v>0.9904</v>
      </c>
      <c r="O698" s="320">
        <v>0.8641</v>
      </c>
      <c r="P698" s="320">
        <v>74.6376</v>
      </c>
      <c r="Q698" s="320">
        <v>22.26</v>
      </c>
      <c r="R698" s="320">
        <v>22.13</v>
      </c>
      <c r="S698" s="320">
        <v>0.13</v>
      </c>
      <c r="T698" s="320">
        <v>0.0</v>
      </c>
      <c r="U698" s="320">
        <v>22.26</v>
      </c>
      <c r="V698" s="320">
        <v>1.88</v>
      </c>
      <c r="W698" s="320">
        <v>0.7128</v>
      </c>
      <c r="X698" s="320">
        <v>0.0</v>
      </c>
      <c r="Y698" s="320">
        <v>317.0</v>
      </c>
      <c r="Z698" s="320">
        <v>3796.0</v>
      </c>
      <c r="AA698" s="320">
        <v>15389.0</v>
      </c>
      <c r="AB698" s="320">
        <v>48.8026</v>
      </c>
      <c r="AC698" s="320">
        <v>0.5402</v>
      </c>
      <c r="AD698" s="329"/>
      <c r="AE698" s="329"/>
      <c r="AF698" s="329"/>
      <c r="AG698" s="329"/>
      <c r="AH698" s="329"/>
      <c r="AI698" s="320">
        <v>0.0</v>
      </c>
      <c r="AJ698" s="320">
        <v>0.0</v>
      </c>
      <c r="AK698" s="320">
        <v>0.0</v>
      </c>
      <c r="AL698" s="320">
        <v>0.2889</v>
      </c>
      <c r="AM698" s="320">
        <v>17.87</v>
      </c>
      <c r="AN698" s="320">
        <v>4.26</v>
      </c>
      <c r="AO698" s="329"/>
      <c r="AP698" s="329"/>
    </row>
    <row r="699">
      <c r="A699" s="319" t="s">
        <v>256</v>
      </c>
      <c r="B699" s="328">
        <v>46166.0</v>
      </c>
      <c r="C699" s="319" t="s">
        <v>214</v>
      </c>
      <c r="D699" s="320">
        <v>34851.0</v>
      </c>
      <c r="E699" s="320">
        <v>36.53</v>
      </c>
      <c r="F699" s="320">
        <v>0.0</v>
      </c>
      <c r="G699" s="320">
        <v>0.0</v>
      </c>
      <c r="H699" s="320">
        <v>0.0</v>
      </c>
      <c r="I699" s="329"/>
      <c r="J699" s="320">
        <v>32.84</v>
      </c>
      <c r="K699" s="320">
        <v>15.12</v>
      </c>
      <c r="L699" s="320">
        <v>5.87</v>
      </c>
      <c r="M699" s="320">
        <v>0.3883</v>
      </c>
      <c r="N699" s="320">
        <v>0.7728</v>
      </c>
      <c r="O699" s="320">
        <v>0.5631</v>
      </c>
      <c r="P699" s="320">
        <v>2.5752</v>
      </c>
      <c r="Q699" s="320">
        <v>50.03</v>
      </c>
      <c r="R699" s="320">
        <v>39.97</v>
      </c>
      <c r="S699" s="320">
        <v>10.06</v>
      </c>
      <c r="T699" s="320">
        <v>0.0</v>
      </c>
      <c r="U699" s="320">
        <v>50.03</v>
      </c>
      <c r="V699" s="320">
        <v>53.15</v>
      </c>
      <c r="W699" s="320">
        <v>3.5145</v>
      </c>
      <c r="X699" s="320">
        <v>0.0</v>
      </c>
      <c r="Y699" s="320">
        <v>134.0</v>
      </c>
      <c r="Z699" s="320">
        <v>884.0</v>
      </c>
      <c r="AA699" s="320">
        <v>6079.0</v>
      </c>
      <c r="AB699" s="320">
        <v>48.2333</v>
      </c>
      <c r="AC699" s="320">
        <v>0.5269</v>
      </c>
      <c r="AD699" s="320">
        <v>4.04</v>
      </c>
      <c r="AE699" s="320">
        <v>1.0</v>
      </c>
      <c r="AF699" s="320">
        <v>3.0</v>
      </c>
      <c r="AG699" s="320">
        <v>5.0</v>
      </c>
      <c r="AH699" s="320">
        <v>9.0</v>
      </c>
      <c r="AI699" s="320">
        <v>73.63</v>
      </c>
      <c r="AJ699" s="320">
        <v>30.82</v>
      </c>
      <c r="AK699" s="320">
        <v>8.64</v>
      </c>
      <c r="AL699" s="320">
        <v>0.254</v>
      </c>
      <c r="AM699" s="320">
        <v>21.68</v>
      </c>
      <c r="AN699" s="320">
        <v>18.28</v>
      </c>
      <c r="AO699" s="320">
        <v>64.8</v>
      </c>
      <c r="AP699" s="320">
        <v>14.05</v>
      </c>
    </row>
    <row r="700">
      <c r="A700" s="319" t="s">
        <v>256</v>
      </c>
      <c r="B700" s="328">
        <v>46166.0</v>
      </c>
      <c r="C700" s="319" t="s">
        <v>215</v>
      </c>
      <c r="D700" s="320">
        <v>22793.0</v>
      </c>
      <c r="E700" s="320">
        <v>23.89</v>
      </c>
      <c r="F700" s="320">
        <v>0.0</v>
      </c>
      <c r="G700" s="320">
        <v>0.0</v>
      </c>
      <c r="H700" s="320">
        <v>0.0</v>
      </c>
      <c r="I700" s="329"/>
      <c r="J700" s="320">
        <v>60.26</v>
      </c>
      <c r="K700" s="320">
        <v>28.78</v>
      </c>
      <c r="L700" s="320">
        <v>14.74</v>
      </c>
      <c r="M700" s="320">
        <v>0.5121</v>
      </c>
      <c r="N700" s="320">
        <v>0.6709</v>
      </c>
      <c r="O700" s="320">
        <v>0.4599</v>
      </c>
      <c r="P700" s="320">
        <v>1.9526</v>
      </c>
      <c r="Q700" s="320">
        <v>89.04</v>
      </c>
      <c r="R700" s="320">
        <v>63.85</v>
      </c>
      <c r="S700" s="320">
        <v>25.19</v>
      </c>
      <c r="T700" s="320">
        <v>0.0</v>
      </c>
      <c r="U700" s="320">
        <v>89.04</v>
      </c>
      <c r="V700" s="320">
        <v>99.3</v>
      </c>
      <c r="W700" s="320">
        <v>3.4507</v>
      </c>
      <c r="X700" s="320">
        <v>0.0</v>
      </c>
      <c r="Y700" s="320">
        <v>116.0</v>
      </c>
      <c r="Z700" s="320">
        <v>690.0</v>
      </c>
      <c r="AA700" s="320">
        <v>5168.0</v>
      </c>
      <c r="AB700" s="320">
        <v>52.3824</v>
      </c>
      <c r="AC700" s="320">
        <v>0.6386</v>
      </c>
      <c r="AD700" s="320">
        <v>9.84</v>
      </c>
      <c r="AE700" s="320">
        <v>4.0</v>
      </c>
      <c r="AF700" s="320">
        <v>8.0</v>
      </c>
      <c r="AG700" s="320">
        <v>14.0</v>
      </c>
      <c r="AH700" s="320">
        <v>21.0</v>
      </c>
      <c r="AI700" s="320">
        <v>61.82</v>
      </c>
      <c r="AJ700" s="320">
        <v>28.09</v>
      </c>
      <c r="AK700" s="320">
        <v>5.52</v>
      </c>
      <c r="AL700" s="320">
        <v>0.2076</v>
      </c>
      <c r="AM700" s="320">
        <v>22.13</v>
      </c>
      <c r="AN700" s="320">
        <v>41.72</v>
      </c>
      <c r="AO700" s="320">
        <v>74.52</v>
      </c>
      <c r="AP700" s="320">
        <v>16.49</v>
      </c>
    </row>
    <row r="701">
      <c r="A701" s="319" t="s">
        <v>256</v>
      </c>
      <c r="B701" s="328">
        <v>46166.0</v>
      </c>
      <c r="C701" s="319" t="s">
        <v>216</v>
      </c>
      <c r="D701" s="320">
        <v>12559.0</v>
      </c>
      <c r="E701" s="320">
        <v>13.16</v>
      </c>
      <c r="F701" s="320">
        <v>0.0</v>
      </c>
      <c r="G701" s="320">
        <v>0.0</v>
      </c>
      <c r="H701" s="320">
        <v>0.0</v>
      </c>
      <c r="I701" s="329"/>
      <c r="J701" s="320">
        <v>84.52</v>
      </c>
      <c r="K701" s="320">
        <v>42.59</v>
      </c>
      <c r="L701" s="320">
        <v>28.14</v>
      </c>
      <c r="M701" s="320">
        <v>0.6606</v>
      </c>
      <c r="N701" s="320">
        <v>0.5285</v>
      </c>
      <c r="O701" s="320">
        <v>0.3591</v>
      </c>
      <c r="P701" s="320">
        <v>1.5137</v>
      </c>
      <c r="Q701" s="320">
        <v>146.89</v>
      </c>
      <c r="R701" s="320">
        <v>98.55</v>
      </c>
      <c r="S701" s="320">
        <v>48.34</v>
      </c>
      <c r="T701" s="320">
        <v>0.0</v>
      </c>
      <c r="U701" s="320">
        <v>146.89</v>
      </c>
      <c r="V701" s="320">
        <v>169.1</v>
      </c>
      <c r="W701" s="320">
        <v>3.9705</v>
      </c>
      <c r="X701" s="320">
        <v>0.0</v>
      </c>
      <c r="Y701" s="320">
        <v>153.0</v>
      </c>
      <c r="Z701" s="320">
        <v>1090.0</v>
      </c>
      <c r="AA701" s="320">
        <v>6592.0</v>
      </c>
      <c r="AB701" s="320">
        <v>56.2252</v>
      </c>
      <c r="AC701" s="320">
        <v>0.7545</v>
      </c>
      <c r="AD701" s="320">
        <v>19.22</v>
      </c>
      <c r="AE701" s="320">
        <v>7.0</v>
      </c>
      <c r="AF701" s="320">
        <v>15.0</v>
      </c>
      <c r="AG701" s="320">
        <v>27.0</v>
      </c>
      <c r="AH701" s="320">
        <v>40.0</v>
      </c>
      <c r="AI701" s="320">
        <v>62.35</v>
      </c>
      <c r="AJ701" s="320">
        <v>26.78</v>
      </c>
      <c r="AK701" s="320">
        <v>9.12</v>
      </c>
      <c r="AL701" s="320">
        <v>0.2016</v>
      </c>
      <c r="AM701" s="320">
        <v>22.01</v>
      </c>
      <c r="AN701" s="320">
        <v>76.55</v>
      </c>
      <c r="AO701" s="320">
        <v>76.31</v>
      </c>
      <c r="AP701" s="320">
        <v>16.8</v>
      </c>
    </row>
    <row r="702">
      <c r="A702" s="319" t="s">
        <v>256</v>
      </c>
      <c r="B702" s="328">
        <v>46166.0</v>
      </c>
      <c r="C702" s="319" t="s">
        <v>217</v>
      </c>
      <c r="D702" s="320">
        <v>5190.0</v>
      </c>
      <c r="E702" s="320">
        <v>5.44</v>
      </c>
      <c r="F702" s="320">
        <v>0.0</v>
      </c>
      <c r="G702" s="320">
        <v>0.0</v>
      </c>
      <c r="H702" s="320">
        <v>0.0</v>
      </c>
      <c r="I702" s="329"/>
      <c r="J702" s="320">
        <v>129.01</v>
      </c>
      <c r="K702" s="320">
        <v>69.69</v>
      </c>
      <c r="L702" s="320">
        <v>56.08</v>
      </c>
      <c r="M702" s="320">
        <v>0.8047</v>
      </c>
      <c r="N702" s="320">
        <v>0.3778</v>
      </c>
      <c r="O702" s="320">
        <v>0.2714</v>
      </c>
      <c r="P702" s="320">
        <v>1.2427</v>
      </c>
      <c r="Q702" s="320">
        <v>270.83</v>
      </c>
      <c r="R702" s="320">
        <v>174.83</v>
      </c>
      <c r="S702" s="320">
        <v>96.0</v>
      </c>
      <c r="T702" s="320">
        <v>0.0</v>
      </c>
      <c r="U702" s="320">
        <v>270.83</v>
      </c>
      <c r="V702" s="320">
        <v>303.98</v>
      </c>
      <c r="W702" s="320">
        <v>4.3616</v>
      </c>
      <c r="X702" s="320">
        <v>0.0</v>
      </c>
      <c r="Y702" s="320">
        <v>331.0</v>
      </c>
      <c r="Z702" s="320">
        <v>2743.0</v>
      </c>
      <c r="AA702" s="320">
        <v>10229.0</v>
      </c>
      <c r="AB702" s="320">
        <v>60.6879</v>
      </c>
      <c r="AC702" s="320">
        <v>0.8596</v>
      </c>
      <c r="AD702" s="320">
        <v>40.1</v>
      </c>
      <c r="AE702" s="320">
        <v>16.0</v>
      </c>
      <c r="AF702" s="320">
        <v>31.0</v>
      </c>
      <c r="AG702" s="320">
        <v>55.0</v>
      </c>
      <c r="AH702" s="320">
        <v>83.0</v>
      </c>
      <c r="AI702" s="320">
        <v>55.39</v>
      </c>
      <c r="AJ702" s="320">
        <v>22.12</v>
      </c>
      <c r="AK702" s="320">
        <v>5.74</v>
      </c>
      <c r="AL702" s="320">
        <v>0.1514</v>
      </c>
      <c r="AM702" s="320">
        <v>22.37</v>
      </c>
      <c r="AN702" s="320">
        <v>152.46</v>
      </c>
      <c r="AO702" s="320">
        <v>81.14</v>
      </c>
      <c r="AP702" s="320">
        <v>18.15</v>
      </c>
    </row>
    <row r="703">
      <c r="A703" s="319" t="s">
        <v>256</v>
      </c>
      <c r="B703" s="328">
        <v>46166.0</v>
      </c>
      <c r="C703" s="319" t="s">
        <v>218</v>
      </c>
      <c r="D703" s="320">
        <v>585.0</v>
      </c>
      <c r="E703" s="320">
        <v>0.61</v>
      </c>
      <c r="F703" s="320">
        <v>0.0</v>
      </c>
      <c r="G703" s="320">
        <v>0.0</v>
      </c>
      <c r="H703" s="320">
        <v>0.0</v>
      </c>
      <c r="I703" s="329"/>
      <c r="J703" s="320">
        <v>242.85</v>
      </c>
      <c r="K703" s="320">
        <v>142.29</v>
      </c>
      <c r="L703" s="320">
        <v>126.39</v>
      </c>
      <c r="M703" s="320">
        <v>0.8883</v>
      </c>
      <c r="N703" s="320">
        <v>0.2713</v>
      </c>
      <c r="O703" s="320">
        <v>0.2072</v>
      </c>
      <c r="P703" s="320">
        <v>1.1258</v>
      </c>
      <c r="Q703" s="320">
        <v>543.77</v>
      </c>
      <c r="R703" s="320">
        <v>322.77</v>
      </c>
      <c r="S703" s="320">
        <v>221.01</v>
      </c>
      <c r="T703" s="320">
        <v>0.0</v>
      </c>
      <c r="U703" s="320">
        <v>543.77</v>
      </c>
      <c r="V703" s="320">
        <v>621.62</v>
      </c>
      <c r="W703" s="320">
        <v>4.3689</v>
      </c>
      <c r="X703" s="320">
        <v>0.0</v>
      </c>
      <c r="Y703" s="320">
        <v>971.0</v>
      </c>
      <c r="Z703" s="320">
        <v>4303.0</v>
      </c>
      <c r="AA703" s="320">
        <v>14151.0</v>
      </c>
      <c r="AB703" s="320">
        <v>63.8456</v>
      </c>
      <c r="AC703" s="320">
        <v>0.9166</v>
      </c>
      <c r="AD703" s="320">
        <v>93.02</v>
      </c>
      <c r="AE703" s="320">
        <v>40.0</v>
      </c>
      <c r="AF703" s="320">
        <v>78.0</v>
      </c>
      <c r="AG703" s="320">
        <v>133.0</v>
      </c>
      <c r="AH703" s="320">
        <v>186.0</v>
      </c>
      <c r="AI703" s="320">
        <v>49.74</v>
      </c>
      <c r="AJ703" s="320">
        <v>12.14</v>
      </c>
      <c r="AK703" s="320">
        <v>2.05</v>
      </c>
      <c r="AL703" s="320">
        <v>0.0872</v>
      </c>
      <c r="AM703" s="320">
        <v>22.21</v>
      </c>
      <c r="AN703" s="320">
        <v>300.56</v>
      </c>
      <c r="AO703" s="320">
        <v>82.76</v>
      </c>
      <c r="AP703" s="320">
        <v>18.38</v>
      </c>
    </row>
    <row r="704">
      <c r="A704" s="319" t="s">
        <v>256</v>
      </c>
      <c r="B704" s="328">
        <v>46167.0</v>
      </c>
      <c r="C704" s="319" t="s">
        <v>257</v>
      </c>
      <c r="D704" s="320">
        <v>19043.0</v>
      </c>
      <c r="E704" s="320">
        <v>18.65</v>
      </c>
      <c r="F704" s="320">
        <v>0.0</v>
      </c>
      <c r="G704" s="320">
        <v>0.0</v>
      </c>
      <c r="H704" s="320">
        <v>0.0</v>
      </c>
      <c r="I704" s="329"/>
      <c r="J704" s="320">
        <v>5.95</v>
      </c>
      <c r="K704" s="320">
        <v>2.49</v>
      </c>
      <c r="L704" s="320">
        <v>0.09</v>
      </c>
      <c r="M704" s="320">
        <v>0.0356</v>
      </c>
      <c r="N704" s="320">
        <v>0.9711</v>
      </c>
      <c r="O704" s="320">
        <v>0.7034</v>
      </c>
      <c r="P704" s="320">
        <v>28.1045</v>
      </c>
      <c r="Q704" s="320">
        <v>32.63</v>
      </c>
      <c r="R704" s="320">
        <v>32.51</v>
      </c>
      <c r="S704" s="320">
        <v>0.12</v>
      </c>
      <c r="T704" s="320">
        <v>0.0</v>
      </c>
      <c r="U704" s="320">
        <v>32.63</v>
      </c>
      <c r="V704" s="320">
        <v>2.17</v>
      </c>
      <c r="W704" s="320">
        <v>0.8747</v>
      </c>
      <c r="X704" s="320">
        <v>0.0</v>
      </c>
      <c r="Y704" s="320">
        <v>404.0</v>
      </c>
      <c r="Z704" s="320">
        <v>4449.0</v>
      </c>
      <c r="AA704" s="320">
        <v>16442.0</v>
      </c>
      <c r="AB704" s="320">
        <v>49.2375</v>
      </c>
      <c r="AC704" s="320">
        <v>0.5453</v>
      </c>
      <c r="AD704" s="329"/>
      <c r="AE704" s="329"/>
      <c r="AF704" s="329"/>
      <c r="AG704" s="329"/>
      <c r="AH704" s="329"/>
      <c r="AI704" s="320">
        <v>0.0</v>
      </c>
      <c r="AJ704" s="320">
        <v>0.0</v>
      </c>
      <c r="AK704" s="320">
        <v>0.0</v>
      </c>
      <c r="AL704" s="320">
        <v>0.2919</v>
      </c>
      <c r="AM704" s="320">
        <v>16.51</v>
      </c>
      <c r="AN704" s="320">
        <v>16.0</v>
      </c>
      <c r="AO704" s="329"/>
      <c r="AP704" s="329"/>
    </row>
    <row r="705">
      <c r="A705" s="319" t="s">
        <v>256</v>
      </c>
      <c r="B705" s="328">
        <v>46167.0</v>
      </c>
      <c r="C705" s="319" t="s">
        <v>214</v>
      </c>
      <c r="D705" s="320">
        <v>36429.0</v>
      </c>
      <c r="E705" s="320">
        <v>35.68</v>
      </c>
      <c r="F705" s="320">
        <v>0.0</v>
      </c>
      <c r="G705" s="320">
        <v>0.0</v>
      </c>
      <c r="H705" s="320">
        <v>0.0</v>
      </c>
      <c r="I705" s="329"/>
      <c r="J705" s="320">
        <v>33.91</v>
      </c>
      <c r="K705" s="320">
        <v>15.46</v>
      </c>
      <c r="L705" s="320">
        <v>5.99</v>
      </c>
      <c r="M705" s="320">
        <v>0.3878</v>
      </c>
      <c r="N705" s="320">
        <v>0.7776</v>
      </c>
      <c r="O705" s="320">
        <v>0.5687</v>
      </c>
      <c r="P705" s="320">
        <v>2.5787</v>
      </c>
      <c r="Q705" s="320">
        <v>74.31</v>
      </c>
      <c r="R705" s="320">
        <v>64.45</v>
      </c>
      <c r="S705" s="320">
        <v>9.86</v>
      </c>
      <c r="T705" s="320">
        <v>0.0</v>
      </c>
      <c r="U705" s="320">
        <v>74.31</v>
      </c>
      <c r="V705" s="320">
        <v>61.92</v>
      </c>
      <c r="W705" s="320">
        <v>4.0056</v>
      </c>
      <c r="X705" s="320">
        <v>0.0</v>
      </c>
      <c r="Y705" s="320">
        <v>151.0</v>
      </c>
      <c r="Z705" s="320">
        <v>902.0</v>
      </c>
      <c r="AA705" s="320">
        <v>6119.0</v>
      </c>
      <c r="AB705" s="320">
        <v>48.1768</v>
      </c>
      <c r="AC705" s="320">
        <v>0.5116</v>
      </c>
      <c r="AD705" s="320">
        <v>4.09</v>
      </c>
      <c r="AE705" s="320">
        <v>1.0</v>
      </c>
      <c r="AF705" s="320">
        <v>3.0</v>
      </c>
      <c r="AG705" s="320">
        <v>5.0</v>
      </c>
      <c r="AH705" s="320">
        <v>9.0</v>
      </c>
      <c r="AI705" s="320">
        <v>74.02</v>
      </c>
      <c r="AJ705" s="320">
        <v>30.9</v>
      </c>
      <c r="AK705" s="320">
        <v>8.8</v>
      </c>
      <c r="AL705" s="320">
        <v>0.2407</v>
      </c>
      <c r="AM705" s="320">
        <v>18.66</v>
      </c>
      <c r="AN705" s="320">
        <v>45.79</v>
      </c>
      <c r="AO705" s="320">
        <v>64.77</v>
      </c>
      <c r="AP705" s="320">
        <v>12.09</v>
      </c>
    </row>
    <row r="706">
      <c r="A706" s="319" t="s">
        <v>256</v>
      </c>
      <c r="B706" s="328">
        <v>46167.0</v>
      </c>
      <c r="C706" s="319" t="s">
        <v>215</v>
      </c>
      <c r="D706" s="320">
        <v>25522.0</v>
      </c>
      <c r="E706" s="320">
        <v>25.0</v>
      </c>
      <c r="F706" s="320">
        <v>0.0</v>
      </c>
      <c r="G706" s="320">
        <v>0.0</v>
      </c>
      <c r="H706" s="320">
        <v>0.0</v>
      </c>
      <c r="I706" s="329"/>
      <c r="J706" s="320">
        <v>63.61</v>
      </c>
      <c r="K706" s="320">
        <v>30.02</v>
      </c>
      <c r="L706" s="320">
        <v>16.02</v>
      </c>
      <c r="M706" s="320">
        <v>0.5337</v>
      </c>
      <c r="N706" s="320">
        <v>0.662</v>
      </c>
      <c r="O706" s="320">
        <v>0.4597</v>
      </c>
      <c r="P706" s="320">
        <v>1.8738</v>
      </c>
      <c r="Q706" s="320">
        <v>138.21</v>
      </c>
      <c r="R706" s="320">
        <v>113.15</v>
      </c>
      <c r="S706" s="320">
        <v>25.06</v>
      </c>
      <c r="T706" s="320">
        <v>0.0</v>
      </c>
      <c r="U706" s="320">
        <v>138.21</v>
      </c>
      <c r="V706" s="320">
        <v>122.87</v>
      </c>
      <c r="W706" s="320">
        <v>4.0935</v>
      </c>
      <c r="X706" s="320">
        <v>0.0</v>
      </c>
      <c r="Y706" s="320">
        <v>142.0</v>
      </c>
      <c r="Z706" s="320">
        <v>750.0</v>
      </c>
      <c r="AA706" s="320">
        <v>5750.0</v>
      </c>
      <c r="AB706" s="320">
        <v>52.1896</v>
      </c>
      <c r="AC706" s="320">
        <v>0.5856</v>
      </c>
      <c r="AD706" s="320">
        <v>10.37</v>
      </c>
      <c r="AE706" s="320">
        <v>4.0</v>
      </c>
      <c r="AF706" s="320">
        <v>8.0</v>
      </c>
      <c r="AG706" s="320">
        <v>14.0</v>
      </c>
      <c r="AH706" s="320">
        <v>22.0</v>
      </c>
      <c r="AI706" s="320">
        <v>63.92</v>
      </c>
      <c r="AJ706" s="320">
        <v>30.04</v>
      </c>
      <c r="AK706" s="320">
        <v>6.75</v>
      </c>
      <c r="AL706" s="320">
        <v>0.1784</v>
      </c>
      <c r="AM706" s="320">
        <v>19.6</v>
      </c>
      <c r="AN706" s="320">
        <v>93.54</v>
      </c>
      <c r="AO706" s="320">
        <v>72.35</v>
      </c>
      <c r="AP706" s="320">
        <v>14.18</v>
      </c>
    </row>
    <row r="707">
      <c r="A707" s="319" t="s">
        <v>256</v>
      </c>
      <c r="B707" s="328">
        <v>46167.0</v>
      </c>
      <c r="C707" s="319" t="s">
        <v>216</v>
      </c>
      <c r="D707" s="320">
        <v>14595.0</v>
      </c>
      <c r="E707" s="320">
        <v>14.3</v>
      </c>
      <c r="F707" s="320">
        <v>0.0</v>
      </c>
      <c r="G707" s="320">
        <v>0.0</v>
      </c>
      <c r="H707" s="320">
        <v>0.0</v>
      </c>
      <c r="I707" s="329"/>
      <c r="J707" s="320">
        <v>93.83</v>
      </c>
      <c r="K707" s="320">
        <v>47.31</v>
      </c>
      <c r="L707" s="320">
        <v>32.99</v>
      </c>
      <c r="M707" s="320">
        <v>0.6973</v>
      </c>
      <c r="N707" s="320">
        <v>0.5003</v>
      </c>
      <c r="O707" s="320">
        <v>0.3544</v>
      </c>
      <c r="P707" s="320">
        <v>1.434</v>
      </c>
      <c r="Q707" s="320">
        <v>243.43</v>
      </c>
      <c r="R707" s="320">
        <v>193.74</v>
      </c>
      <c r="S707" s="320">
        <v>49.7</v>
      </c>
      <c r="T707" s="320">
        <v>0.0</v>
      </c>
      <c r="U707" s="320">
        <v>243.43</v>
      </c>
      <c r="V707" s="320">
        <v>218.16</v>
      </c>
      <c r="W707" s="320">
        <v>4.6113</v>
      </c>
      <c r="X707" s="320">
        <v>0.0</v>
      </c>
      <c r="Y707" s="320">
        <v>202.0</v>
      </c>
      <c r="Z707" s="320">
        <v>1212.0</v>
      </c>
      <c r="AA707" s="320">
        <v>8037.0</v>
      </c>
      <c r="AB707" s="320">
        <v>55.8209</v>
      </c>
      <c r="AC707" s="320">
        <v>0.672</v>
      </c>
      <c r="AD707" s="320">
        <v>20.61</v>
      </c>
      <c r="AE707" s="320">
        <v>9.0</v>
      </c>
      <c r="AF707" s="320">
        <v>17.0</v>
      </c>
      <c r="AG707" s="320">
        <v>29.0</v>
      </c>
      <c r="AH707" s="320">
        <v>40.0</v>
      </c>
      <c r="AI707" s="320">
        <v>67.93</v>
      </c>
      <c r="AJ707" s="320">
        <v>30.76</v>
      </c>
      <c r="AK707" s="320">
        <v>8.4</v>
      </c>
      <c r="AL707" s="320">
        <v>0.1662</v>
      </c>
      <c r="AM707" s="320">
        <v>19.96</v>
      </c>
      <c r="AN707" s="320">
        <v>173.78</v>
      </c>
      <c r="AO707" s="320">
        <v>71.49</v>
      </c>
      <c r="AP707" s="320">
        <v>14.27</v>
      </c>
    </row>
    <row r="708">
      <c r="A708" s="319" t="s">
        <v>256</v>
      </c>
      <c r="B708" s="328">
        <v>46167.0</v>
      </c>
      <c r="C708" s="319" t="s">
        <v>217</v>
      </c>
      <c r="D708" s="320">
        <v>5898.0</v>
      </c>
      <c r="E708" s="320">
        <v>5.78</v>
      </c>
      <c r="F708" s="320">
        <v>0.0</v>
      </c>
      <c r="G708" s="320">
        <v>0.0</v>
      </c>
      <c r="H708" s="320">
        <v>0.0</v>
      </c>
      <c r="I708" s="329"/>
      <c r="J708" s="320">
        <v>144.45</v>
      </c>
      <c r="K708" s="320">
        <v>78.92</v>
      </c>
      <c r="L708" s="320">
        <v>65.37</v>
      </c>
      <c r="M708" s="320">
        <v>0.8283</v>
      </c>
      <c r="N708" s="320">
        <v>0.3554</v>
      </c>
      <c r="O708" s="320">
        <v>0.2715</v>
      </c>
      <c r="P708" s="320">
        <v>1.2072</v>
      </c>
      <c r="Q708" s="320">
        <v>443.9</v>
      </c>
      <c r="R708" s="320">
        <v>345.0</v>
      </c>
      <c r="S708" s="320">
        <v>98.9</v>
      </c>
      <c r="T708" s="320">
        <v>0.0</v>
      </c>
      <c r="U708" s="320">
        <v>443.9</v>
      </c>
      <c r="V708" s="320">
        <v>377.41</v>
      </c>
      <c r="W708" s="320">
        <v>4.7824</v>
      </c>
      <c r="X708" s="320">
        <v>0.0</v>
      </c>
      <c r="Y708" s="320">
        <v>462.0</v>
      </c>
      <c r="Z708" s="320">
        <v>3222.0</v>
      </c>
      <c r="AA708" s="320">
        <v>13309.0</v>
      </c>
      <c r="AB708" s="320">
        <v>59.8564</v>
      </c>
      <c r="AC708" s="320">
        <v>0.7582</v>
      </c>
      <c r="AD708" s="320">
        <v>41.92</v>
      </c>
      <c r="AE708" s="320">
        <v>19.0</v>
      </c>
      <c r="AF708" s="320">
        <v>36.0</v>
      </c>
      <c r="AG708" s="320">
        <v>56.0</v>
      </c>
      <c r="AH708" s="320">
        <v>86.0</v>
      </c>
      <c r="AI708" s="320">
        <v>60.7</v>
      </c>
      <c r="AJ708" s="320">
        <v>22.86</v>
      </c>
      <c r="AK708" s="320">
        <v>6.27</v>
      </c>
      <c r="AL708" s="320">
        <v>0.1241</v>
      </c>
      <c r="AM708" s="320">
        <v>20.67</v>
      </c>
      <c r="AN708" s="320">
        <v>324.33</v>
      </c>
      <c r="AO708" s="320">
        <v>74.98</v>
      </c>
      <c r="AP708" s="320">
        <v>15.5</v>
      </c>
    </row>
    <row r="709">
      <c r="A709" s="319" t="s">
        <v>256</v>
      </c>
      <c r="B709" s="328">
        <v>46167.0</v>
      </c>
      <c r="C709" s="319" t="s">
        <v>218</v>
      </c>
      <c r="D709" s="320">
        <v>609.0</v>
      </c>
      <c r="E709" s="320">
        <v>0.6</v>
      </c>
      <c r="F709" s="320">
        <v>0.0</v>
      </c>
      <c r="G709" s="320">
        <v>0.0</v>
      </c>
      <c r="H709" s="320">
        <v>0.0</v>
      </c>
      <c r="I709" s="329"/>
      <c r="J709" s="320">
        <v>262.12</v>
      </c>
      <c r="K709" s="320">
        <v>151.5</v>
      </c>
      <c r="L709" s="320">
        <v>139.1</v>
      </c>
      <c r="M709" s="320">
        <v>0.9181</v>
      </c>
      <c r="N709" s="320">
        <v>0.2436</v>
      </c>
      <c r="O709" s="320">
        <v>0.1979</v>
      </c>
      <c r="P709" s="320">
        <v>1.0892</v>
      </c>
      <c r="Q709" s="320">
        <v>854.18</v>
      </c>
      <c r="R709" s="320">
        <v>610.86</v>
      </c>
      <c r="S709" s="320">
        <v>243.32</v>
      </c>
      <c r="T709" s="320">
        <v>0.0</v>
      </c>
      <c r="U709" s="320">
        <v>854.18</v>
      </c>
      <c r="V709" s="320">
        <v>750.99</v>
      </c>
      <c r="W709" s="320">
        <v>4.957</v>
      </c>
      <c r="X709" s="320">
        <v>0.0</v>
      </c>
      <c r="Y709" s="320">
        <v>1225.0</v>
      </c>
      <c r="Z709" s="320">
        <v>4748.0</v>
      </c>
      <c r="AA709" s="320">
        <v>14761.0</v>
      </c>
      <c r="AB709" s="320">
        <v>64.1213</v>
      </c>
      <c r="AC709" s="320">
        <v>0.9095</v>
      </c>
      <c r="AD709" s="320">
        <v>107.47</v>
      </c>
      <c r="AE709" s="320">
        <v>51.0</v>
      </c>
      <c r="AF709" s="320">
        <v>95.0</v>
      </c>
      <c r="AG709" s="320">
        <v>145.0</v>
      </c>
      <c r="AH709" s="320">
        <v>212.0</v>
      </c>
      <c r="AI709" s="320">
        <v>60.43</v>
      </c>
      <c r="AJ709" s="320">
        <v>17.08</v>
      </c>
      <c r="AK709" s="320">
        <v>2.3</v>
      </c>
      <c r="AL709" s="320">
        <v>0.0805</v>
      </c>
      <c r="AM709" s="320">
        <v>21.09</v>
      </c>
      <c r="AN709" s="320">
        <v>589.77</v>
      </c>
      <c r="AO709" s="320">
        <v>84.19</v>
      </c>
      <c r="AP709" s="320">
        <v>17.76</v>
      </c>
    </row>
    <row r="710">
      <c r="A710" s="319" t="s">
        <v>256</v>
      </c>
      <c r="B710" s="328">
        <v>46168.0</v>
      </c>
      <c r="C710" s="319" t="s">
        <v>257</v>
      </c>
      <c r="D710" s="320">
        <v>18197.0</v>
      </c>
      <c r="E710" s="320">
        <v>17.98</v>
      </c>
      <c r="F710" s="320">
        <v>0.0</v>
      </c>
      <c r="G710" s="320">
        <v>0.0</v>
      </c>
      <c r="H710" s="320">
        <v>0.0</v>
      </c>
      <c r="I710" s="329"/>
      <c r="J710" s="320">
        <v>6.4</v>
      </c>
      <c r="K710" s="320">
        <v>2.62</v>
      </c>
      <c r="L710" s="320">
        <v>0.13</v>
      </c>
      <c r="M710" s="320">
        <v>0.0491</v>
      </c>
      <c r="N710" s="320">
        <v>0.9597</v>
      </c>
      <c r="O710" s="320">
        <v>0.6254</v>
      </c>
      <c r="P710" s="320">
        <v>20.3477</v>
      </c>
      <c r="Q710" s="320">
        <v>36.48</v>
      </c>
      <c r="R710" s="320">
        <v>36.39</v>
      </c>
      <c r="S710" s="320">
        <v>0.09</v>
      </c>
      <c r="T710" s="320">
        <v>0.0</v>
      </c>
      <c r="U710" s="320">
        <v>36.48</v>
      </c>
      <c r="V710" s="320">
        <v>2.37</v>
      </c>
      <c r="W710" s="320">
        <v>0.9026</v>
      </c>
      <c r="X710" s="320">
        <v>0.0</v>
      </c>
      <c r="Y710" s="320">
        <v>314.0</v>
      </c>
      <c r="Z710" s="320">
        <v>3947.0</v>
      </c>
      <c r="AA710" s="320">
        <v>15392.0</v>
      </c>
      <c r="AB710" s="320">
        <v>48.7634</v>
      </c>
      <c r="AC710" s="320">
        <v>0.5278</v>
      </c>
      <c r="AD710" s="329"/>
      <c r="AE710" s="329"/>
      <c r="AF710" s="329"/>
      <c r="AG710" s="329"/>
      <c r="AH710" s="329"/>
      <c r="AI710" s="320">
        <v>0.0</v>
      </c>
      <c r="AJ710" s="320">
        <v>0.0</v>
      </c>
      <c r="AK710" s="320">
        <v>0.0</v>
      </c>
      <c r="AL710" s="320">
        <v>0.2845</v>
      </c>
      <c r="AM710" s="320">
        <v>22.12</v>
      </c>
      <c r="AN710" s="320">
        <v>14.27</v>
      </c>
      <c r="AO710" s="329"/>
      <c r="AP710" s="329"/>
    </row>
    <row r="711">
      <c r="A711" s="319" t="s">
        <v>256</v>
      </c>
      <c r="B711" s="328">
        <v>46168.0</v>
      </c>
      <c r="C711" s="319" t="s">
        <v>214</v>
      </c>
      <c r="D711" s="320">
        <v>35628.0</v>
      </c>
      <c r="E711" s="320">
        <v>35.21</v>
      </c>
      <c r="F711" s="320">
        <v>0.0</v>
      </c>
      <c r="G711" s="320">
        <v>0.0</v>
      </c>
      <c r="H711" s="320">
        <v>0.0</v>
      </c>
      <c r="I711" s="329"/>
      <c r="J711" s="320">
        <v>31.12</v>
      </c>
      <c r="K711" s="320">
        <v>14.2</v>
      </c>
      <c r="L711" s="320">
        <v>6.02</v>
      </c>
      <c r="M711" s="320">
        <v>0.4241</v>
      </c>
      <c r="N711" s="320">
        <v>0.745</v>
      </c>
      <c r="O711" s="320">
        <v>0.5331</v>
      </c>
      <c r="P711" s="320">
        <v>2.3581</v>
      </c>
      <c r="Q711" s="320">
        <v>74.44</v>
      </c>
      <c r="R711" s="320">
        <v>64.01</v>
      </c>
      <c r="S711" s="320">
        <v>10.44</v>
      </c>
      <c r="T711" s="320">
        <v>0.01</v>
      </c>
      <c r="U711" s="320">
        <v>74.43</v>
      </c>
      <c r="V711" s="320">
        <v>57.88</v>
      </c>
      <c r="W711" s="320">
        <v>4.0752</v>
      </c>
      <c r="X711" s="320">
        <v>0.01</v>
      </c>
      <c r="Y711" s="320">
        <v>155.0</v>
      </c>
      <c r="Z711" s="320">
        <v>922.0</v>
      </c>
      <c r="AA711" s="320">
        <v>6289.0</v>
      </c>
      <c r="AB711" s="320">
        <v>48.2074</v>
      </c>
      <c r="AC711" s="320">
        <v>0.5173</v>
      </c>
      <c r="AD711" s="320">
        <v>4.39</v>
      </c>
      <c r="AE711" s="320">
        <v>2.0</v>
      </c>
      <c r="AF711" s="320">
        <v>3.0</v>
      </c>
      <c r="AG711" s="320">
        <v>6.0</v>
      </c>
      <c r="AH711" s="320">
        <v>10.0</v>
      </c>
      <c r="AI711" s="320">
        <v>75.39</v>
      </c>
      <c r="AJ711" s="320">
        <v>34.15</v>
      </c>
      <c r="AK711" s="320">
        <v>10.74</v>
      </c>
      <c r="AL711" s="320">
        <v>0.2389</v>
      </c>
      <c r="AM711" s="320">
        <v>28.06</v>
      </c>
      <c r="AN711" s="320">
        <v>35.95</v>
      </c>
      <c r="AO711" s="320">
        <v>64.42</v>
      </c>
      <c r="AP711" s="320">
        <v>18.08</v>
      </c>
    </row>
    <row r="712">
      <c r="A712" s="319" t="s">
        <v>256</v>
      </c>
      <c r="B712" s="328">
        <v>46168.0</v>
      </c>
      <c r="C712" s="319" t="s">
        <v>215</v>
      </c>
      <c r="D712" s="320">
        <v>26342.0</v>
      </c>
      <c r="E712" s="320">
        <v>26.03</v>
      </c>
      <c r="F712" s="320">
        <v>0.0</v>
      </c>
      <c r="G712" s="320">
        <v>0.0</v>
      </c>
      <c r="H712" s="320">
        <v>0.0</v>
      </c>
      <c r="I712" s="329"/>
      <c r="J712" s="320">
        <v>60.15</v>
      </c>
      <c r="K712" s="320">
        <v>28.79</v>
      </c>
      <c r="L712" s="320">
        <v>16.51</v>
      </c>
      <c r="M712" s="320">
        <v>0.5734</v>
      </c>
      <c r="N712" s="320">
        <v>0.6203</v>
      </c>
      <c r="O712" s="320">
        <v>0.4192</v>
      </c>
      <c r="P712" s="320">
        <v>1.744</v>
      </c>
      <c r="Q712" s="320">
        <v>138.78</v>
      </c>
      <c r="R712" s="320">
        <v>112.52</v>
      </c>
      <c r="S712" s="320">
        <v>26.26</v>
      </c>
      <c r="T712" s="320">
        <v>0.0</v>
      </c>
      <c r="U712" s="320">
        <v>138.78</v>
      </c>
      <c r="V712" s="320">
        <v>116.36</v>
      </c>
      <c r="W712" s="320">
        <v>4.0424</v>
      </c>
      <c r="X712" s="320">
        <v>0.0</v>
      </c>
      <c r="Y712" s="320">
        <v>155.0</v>
      </c>
      <c r="Z712" s="320">
        <v>877.0</v>
      </c>
      <c r="AA712" s="320">
        <v>6574.0</v>
      </c>
      <c r="AB712" s="320">
        <v>52.2143</v>
      </c>
      <c r="AC712" s="320">
        <v>0.5951</v>
      </c>
      <c r="AD712" s="320">
        <v>10.71</v>
      </c>
      <c r="AE712" s="320">
        <v>4.0</v>
      </c>
      <c r="AF712" s="320">
        <v>9.0</v>
      </c>
      <c r="AG712" s="320">
        <v>15.0</v>
      </c>
      <c r="AH712" s="320">
        <v>22.0</v>
      </c>
      <c r="AI712" s="320">
        <v>66.06</v>
      </c>
      <c r="AJ712" s="320">
        <v>32.34</v>
      </c>
      <c r="AK712" s="320">
        <v>6.73</v>
      </c>
      <c r="AL712" s="320">
        <v>0.1763</v>
      </c>
      <c r="AM712" s="320">
        <v>28.42</v>
      </c>
      <c r="AN712" s="320">
        <v>84.1</v>
      </c>
      <c r="AO712" s="320">
        <v>71.93</v>
      </c>
      <c r="AP712" s="320">
        <v>20.44</v>
      </c>
    </row>
    <row r="713">
      <c r="A713" s="319" t="s">
        <v>256</v>
      </c>
      <c r="B713" s="328">
        <v>46168.0</v>
      </c>
      <c r="C713" s="319" t="s">
        <v>216</v>
      </c>
      <c r="D713" s="320">
        <v>14798.0</v>
      </c>
      <c r="E713" s="320">
        <v>14.62</v>
      </c>
      <c r="F713" s="320">
        <v>0.0</v>
      </c>
      <c r="G713" s="320">
        <v>0.0</v>
      </c>
      <c r="H713" s="320">
        <v>0.0</v>
      </c>
      <c r="I713" s="329"/>
      <c r="J713" s="320">
        <v>88.36</v>
      </c>
      <c r="K713" s="320">
        <v>45.51</v>
      </c>
      <c r="L713" s="320">
        <v>32.31</v>
      </c>
      <c r="M713" s="320">
        <v>0.7101</v>
      </c>
      <c r="N713" s="320">
        <v>0.4809</v>
      </c>
      <c r="O713" s="320">
        <v>0.3252</v>
      </c>
      <c r="P713" s="320">
        <v>1.4083</v>
      </c>
      <c r="Q713" s="320">
        <v>251.5</v>
      </c>
      <c r="R713" s="320">
        <v>201.96</v>
      </c>
      <c r="S713" s="320">
        <v>49.54</v>
      </c>
      <c r="T713" s="320">
        <v>0.3</v>
      </c>
      <c r="U713" s="320">
        <v>251.2</v>
      </c>
      <c r="V713" s="320">
        <v>206.46</v>
      </c>
      <c r="W713" s="320">
        <v>4.5368</v>
      </c>
      <c r="X713" s="320">
        <v>0.12</v>
      </c>
      <c r="Y713" s="320">
        <v>225.0</v>
      </c>
      <c r="Z713" s="320">
        <v>1276.0</v>
      </c>
      <c r="AA713" s="320">
        <v>7686.0</v>
      </c>
      <c r="AB713" s="320">
        <v>55.8701</v>
      </c>
      <c r="AC713" s="320">
        <v>0.6969</v>
      </c>
      <c r="AD713" s="320">
        <v>19.93</v>
      </c>
      <c r="AE713" s="320">
        <v>9.0</v>
      </c>
      <c r="AF713" s="320">
        <v>16.0</v>
      </c>
      <c r="AG713" s="320">
        <v>28.0</v>
      </c>
      <c r="AH713" s="320">
        <v>40.0</v>
      </c>
      <c r="AI713" s="320">
        <v>67.05</v>
      </c>
      <c r="AJ713" s="320">
        <v>28.63</v>
      </c>
      <c r="AK713" s="320">
        <v>8.84</v>
      </c>
      <c r="AL713" s="320">
        <v>0.1684</v>
      </c>
      <c r="AM713" s="320">
        <v>28.22</v>
      </c>
      <c r="AN713" s="320">
        <v>173.75</v>
      </c>
      <c r="AO713" s="320">
        <v>72.9</v>
      </c>
      <c r="AP713" s="320">
        <v>20.57</v>
      </c>
    </row>
    <row r="714">
      <c r="A714" s="319" t="s">
        <v>256</v>
      </c>
      <c r="B714" s="328">
        <v>46168.0</v>
      </c>
      <c r="C714" s="319" t="s">
        <v>217</v>
      </c>
      <c r="D714" s="320">
        <v>5595.0</v>
      </c>
      <c r="E714" s="320">
        <v>5.53</v>
      </c>
      <c r="F714" s="320">
        <v>0.0</v>
      </c>
      <c r="G714" s="320">
        <v>0.0</v>
      </c>
      <c r="H714" s="320">
        <v>0.0</v>
      </c>
      <c r="I714" s="329"/>
      <c r="J714" s="320">
        <v>132.57</v>
      </c>
      <c r="K714" s="320">
        <v>72.96</v>
      </c>
      <c r="L714" s="320">
        <v>60.09</v>
      </c>
      <c r="M714" s="320">
        <v>0.8235</v>
      </c>
      <c r="N714" s="320">
        <v>0.3593</v>
      </c>
      <c r="O714" s="320">
        <v>0.2605</v>
      </c>
      <c r="P714" s="320">
        <v>1.2143</v>
      </c>
      <c r="Q714" s="320">
        <v>503.79</v>
      </c>
      <c r="R714" s="320">
        <v>397.76</v>
      </c>
      <c r="S714" s="320">
        <v>106.03</v>
      </c>
      <c r="T714" s="320">
        <v>0.0</v>
      </c>
      <c r="U714" s="320">
        <v>503.79</v>
      </c>
      <c r="V714" s="320">
        <v>380.2</v>
      </c>
      <c r="W714" s="320">
        <v>5.2108</v>
      </c>
      <c r="X714" s="320">
        <v>0.0</v>
      </c>
      <c r="Y714" s="320">
        <v>511.0</v>
      </c>
      <c r="Z714" s="320">
        <v>2903.0</v>
      </c>
      <c r="AA714" s="320">
        <v>10907.0</v>
      </c>
      <c r="AB714" s="320">
        <v>60.5229</v>
      </c>
      <c r="AC714" s="320">
        <v>0.8456</v>
      </c>
      <c r="AD714" s="320">
        <v>43.71</v>
      </c>
      <c r="AE714" s="320">
        <v>19.0</v>
      </c>
      <c r="AF714" s="320">
        <v>37.0</v>
      </c>
      <c r="AG714" s="320">
        <v>59.0</v>
      </c>
      <c r="AH714" s="320">
        <v>86.0</v>
      </c>
      <c r="AI714" s="320">
        <v>62.5</v>
      </c>
      <c r="AJ714" s="320">
        <v>25.04</v>
      </c>
      <c r="AK714" s="320">
        <v>6.31</v>
      </c>
      <c r="AL714" s="320">
        <v>0.1353</v>
      </c>
      <c r="AM714" s="320">
        <v>28.8</v>
      </c>
      <c r="AN714" s="320">
        <v>368.96</v>
      </c>
      <c r="AO714" s="320">
        <v>80.73</v>
      </c>
      <c r="AP714" s="320">
        <v>23.25</v>
      </c>
    </row>
    <row r="715">
      <c r="A715" s="319" t="s">
        <v>256</v>
      </c>
      <c r="B715" s="328">
        <v>46168.0</v>
      </c>
      <c r="C715" s="319" t="s">
        <v>218</v>
      </c>
      <c r="D715" s="320">
        <v>640.0</v>
      </c>
      <c r="E715" s="320">
        <v>0.63</v>
      </c>
      <c r="F715" s="320">
        <v>0.0</v>
      </c>
      <c r="G715" s="320">
        <v>0.0</v>
      </c>
      <c r="H715" s="320">
        <v>0.0</v>
      </c>
      <c r="I715" s="329"/>
      <c r="J715" s="320">
        <v>243.24</v>
      </c>
      <c r="K715" s="320">
        <v>142.68</v>
      </c>
      <c r="L715" s="320">
        <v>129.95</v>
      </c>
      <c r="M715" s="320">
        <v>0.9108</v>
      </c>
      <c r="N715" s="320">
        <v>0.2488</v>
      </c>
      <c r="O715" s="320">
        <v>0.1984</v>
      </c>
      <c r="P715" s="320">
        <v>1.0979</v>
      </c>
      <c r="Q715" s="320">
        <v>1055.09</v>
      </c>
      <c r="R715" s="320">
        <v>819.7</v>
      </c>
      <c r="S715" s="320">
        <v>235.39</v>
      </c>
      <c r="T715" s="320">
        <v>0.0</v>
      </c>
      <c r="U715" s="320">
        <v>1055.09</v>
      </c>
      <c r="V715" s="320">
        <v>807.58</v>
      </c>
      <c r="W715" s="320">
        <v>5.6603</v>
      </c>
      <c r="X715" s="320">
        <v>0.0</v>
      </c>
      <c r="Y715" s="320">
        <v>1336.0</v>
      </c>
      <c r="Z715" s="320">
        <v>4647.0</v>
      </c>
      <c r="AA715" s="320">
        <v>12356.0</v>
      </c>
      <c r="AB715" s="320">
        <v>64.1626</v>
      </c>
      <c r="AC715" s="320">
        <v>0.9223</v>
      </c>
      <c r="AD715" s="320">
        <v>100.25</v>
      </c>
      <c r="AE715" s="320">
        <v>49.0</v>
      </c>
      <c r="AF715" s="320">
        <v>92.0</v>
      </c>
      <c r="AG715" s="320">
        <v>136.0</v>
      </c>
      <c r="AH715" s="320">
        <v>185.0</v>
      </c>
      <c r="AI715" s="320">
        <v>57.5</v>
      </c>
      <c r="AJ715" s="320">
        <v>11.72</v>
      </c>
      <c r="AK715" s="320">
        <v>1.56</v>
      </c>
      <c r="AL715" s="320">
        <v>0.1</v>
      </c>
      <c r="AM715" s="320">
        <v>26.77</v>
      </c>
      <c r="AN715" s="320">
        <v>792.93</v>
      </c>
      <c r="AO715" s="320">
        <v>83.79</v>
      </c>
      <c r="AP715" s="320">
        <v>22.43</v>
      </c>
    </row>
    <row r="716">
      <c r="A716" s="319" t="s">
        <v>256</v>
      </c>
      <c r="B716" s="328">
        <v>46169.0</v>
      </c>
      <c r="C716" s="319" t="s">
        <v>257</v>
      </c>
      <c r="D716" s="320">
        <v>18638.0</v>
      </c>
      <c r="E716" s="320">
        <v>18.78</v>
      </c>
      <c r="F716" s="320">
        <v>0.0</v>
      </c>
      <c r="G716" s="320">
        <v>0.0</v>
      </c>
      <c r="H716" s="320">
        <v>0.0</v>
      </c>
      <c r="I716" s="329"/>
      <c r="J716" s="320">
        <v>6.73</v>
      </c>
      <c r="K716" s="320">
        <v>2.83</v>
      </c>
      <c r="L716" s="320">
        <v>0.05</v>
      </c>
      <c r="M716" s="320">
        <v>0.0175</v>
      </c>
      <c r="N716" s="320">
        <v>0.9863</v>
      </c>
      <c r="O716" s="320">
        <v>0.8096</v>
      </c>
      <c r="P716" s="320">
        <v>57.2405</v>
      </c>
      <c r="Q716" s="320">
        <v>25.42</v>
      </c>
      <c r="R716" s="320">
        <v>25.31</v>
      </c>
      <c r="S716" s="320">
        <v>0.12</v>
      </c>
      <c r="T716" s="320">
        <v>0.0</v>
      </c>
      <c r="U716" s="320">
        <v>25.42</v>
      </c>
      <c r="V716" s="320">
        <v>1.96</v>
      </c>
      <c r="W716" s="320">
        <v>0.6899</v>
      </c>
      <c r="X716" s="320">
        <v>0.0</v>
      </c>
      <c r="Y716" s="320">
        <v>292.0</v>
      </c>
      <c r="Z716" s="320">
        <v>3896.0</v>
      </c>
      <c r="AA716" s="320">
        <v>15412.0</v>
      </c>
      <c r="AB716" s="320">
        <v>48.8229</v>
      </c>
      <c r="AC716" s="320">
        <v>0.5303</v>
      </c>
      <c r="AD716" s="329"/>
      <c r="AE716" s="329"/>
      <c r="AF716" s="329"/>
      <c r="AG716" s="329"/>
      <c r="AH716" s="329"/>
      <c r="AI716" s="320">
        <v>0.0</v>
      </c>
      <c r="AJ716" s="320">
        <v>0.0</v>
      </c>
      <c r="AK716" s="320">
        <v>0.0</v>
      </c>
      <c r="AL716" s="329"/>
      <c r="AM716" s="320">
        <v>18.23</v>
      </c>
      <c r="AN716" s="320">
        <v>7.07</v>
      </c>
      <c r="AO716" s="329"/>
      <c r="AP716" s="329"/>
    </row>
    <row r="717">
      <c r="A717" s="319" t="s">
        <v>256</v>
      </c>
      <c r="B717" s="328">
        <v>46169.0</v>
      </c>
      <c r="C717" s="319" t="s">
        <v>214</v>
      </c>
      <c r="D717" s="320">
        <v>34783.0</v>
      </c>
      <c r="E717" s="320">
        <v>35.05</v>
      </c>
      <c r="F717" s="320">
        <v>0.0</v>
      </c>
      <c r="G717" s="320">
        <v>0.0</v>
      </c>
      <c r="H717" s="320">
        <v>0.0</v>
      </c>
      <c r="I717" s="329"/>
      <c r="J717" s="320">
        <v>32.52</v>
      </c>
      <c r="K717" s="320">
        <v>15.07</v>
      </c>
      <c r="L717" s="320">
        <v>5.96</v>
      </c>
      <c r="M717" s="320">
        <v>0.3954</v>
      </c>
      <c r="N717" s="320">
        <v>0.7624</v>
      </c>
      <c r="O717" s="320">
        <v>0.5428</v>
      </c>
      <c r="P717" s="320">
        <v>2.5291</v>
      </c>
      <c r="Q717" s="320">
        <v>55.13</v>
      </c>
      <c r="R717" s="320">
        <v>44.75</v>
      </c>
      <c r="S717" s="320">
        <v>10.37</v>
      </c>
      <c r="T717" s="320">
        <v>0.0</v>
      </c>
      <c r="U717" s="320">
        <v>55.13</v>
      </c>
      <c r="V717" s="320">
        <v>53.16</v>
      </c>
      <c r="W717" s="320">
        <v>3.5276</v>
      </c>
      <c r="X717" s="320">
        <v>0.0</v>
      </c>
      <c r="Y717" s="320">
        <v>146.0</v>
      </c>
      <c r="Z717" s="320">
        <v>958.0</v>
      </c>
      <c r="AA717" s="320">
        <v>6614.0</v>
      </c>
      <c r="AB717" s="320">
        <v>48.327</v>
      </c>
      <c r="AC717" s="320">
        <v>0.5247</v>
      </c>
      <c r="AD717" s="320">
        <v>4.24</v>
      </c>
      <c r="AE717" s="320">
        <v>1.0</v>
      </c>
      <c r="AF717" s="320">
        <v>3.0</v>
      </c>
      <c r="AG717" s="320">
        <v>6.0</v>
      </c>
      <c r="AH717" s="320">
        <v>9.0</v>
      </c>
      <c r="AI717" s="320">
        <v>74.57</v>
      </c>
      <c r="AJ717" s="320">
        <v>32.64</v>
      </c>
      <c r="AK717" s="320">
        <v>9.84</v>
      </c>
      <c r="AL717" s="329"/>
      <c r="AM717" s="320">
        <v>23.09</v>
      </c>
      <c r="AN717" s="320">
        <v>21.67</v>
      </c>
      <c r="AO717" s="320">
        <v>64.25</v>
      </c>
      <c r="AP717" s="320">
        <v>14.84</v>
      </c>
    </row>
    <row r="718">
      <c r="A718" s="319" t="s">
        <v>256</v>
      </c>
      <c r="B718" s="328">
        <v>46169.0</v>
      </c>
      <c r="C718" s="319" t="s">
        <v>215</v>
      </c>
      <c r="D718" s="320">
        <v>25622.0</v>
      </c>
      <c r="E718" s="320">
        <v>25.82</v>
      </c>
      <c r="F718" s="320">
        <v>0.0</v>
      </c>
      <c r="G718" s="320">
        <v>0.0</v>
      </c>
      <c r="H718" s="320">
        <v>0.0</v>
      </c>
      <c r="I718" s="329"/>
      <c r="J718" s="320">
        <v>60.56</v>
      </c>
      <c r="K718" s="320">
        <v>29.55</v>
      </c>
      <c r="L718" s="320">
        <v>15.65</v>
      </c>
      <c r="M718" s="320">
        <v>0.5297</v>
      </c>
      <c r="N718" s="320">
        <v>0.6488</v>
      </c>
      <c r="O718" s="320">
        <v>0.4262</v>
      </c>
      <c r="P718" s="320">
        <v>1.8878</v>
      </c>
      <c r="Q718" s="320">
        <v>93.0</v>
      </c>
      <c r="R718" s="320">
        <v>67.35</v>
      </c>
      <c r="S718" s="320">
        <v>25.65</v>
      </c>
      <c r="T718" s="320">
        <v>0.0</v>
      </c>
      <c r="U718" s="320">
        <v>93.0</v>
      </c>
      <c r="V718" s="320">
        <v>99.34</v>
      </c>
      <c r="W718" s="320">
        <v>3.3616</v>
      </c>
      <c r="X718" s="320">
        <v>0.0</v>
      </c>
      <c r="Y718" s="320">
        <v>125.0</v>
      </c>
      <c r="Z718" s="320">
        <v>789.0</v>
      </c>
      <c r="AA718" s="320">
        <v>6042.0</v>
      </c>
      <c r="AB718" s="320">
        <v>52.2181</v>
      </c>
      <c r="AC718" s="320">
        <v>0.6107</v>
      </c>
      <c r="AD718" s="320">
        <v>9.67</v>
      </c>
      <c r="AE718" s="320">
        <v>4.0</v>
      </c>
      <c r="AF718" s="320">
        <v>8.0</v>
      </c>
      <c r="AG718" s="320">
        <v>13.0</v>
      </c>
      <c r="AH718" s="320">
        <v>20.0</v>
      </c>
      <c r="AI718" s="320">
        <v>61.28</v>
      </c>
      <c r="AJ718" s="320">
        <v>27.5</v>
      </c>
      <c r="AK718" s="320">
        <v>5.16</v>
      </c>
      <c r="AL718" s="329"/>
      <c r="AM718" s="320">
        <v>22.87</v>
      </c>
      <c r="AN718" s="320">
        <v>44.48</v>
      </c>
      <c r="AO718" s="320">
        <v>72.99</v>
      </c>
      <c r="AP718" s="320">
        <v>16.69</v>
      </c>
    </row>
    <row r="719">
      <c r="A719" s="319" t="s">
        <v>256</v>
      </c>
      <c r="B719" s="328">
        <v>46169.0</v>
      </c>
      <c r="C719" s="319" t="s">
        <v>216</v>
      </c>
      <c r="D719" s="320">
        <v>13974.0</v>
      </c>
      <c r="E719" s="320">
        <v>14.08</v>
      </c>
      <c r="F719" s="320">
        <v>0.0</v>
      </c>
      <c r="G719" s="320">
        <v>0.0</v>
      </c>
      <c r="H719" s="320">
        <v>0.0</v>
      </c>
      <c r="I719" s="329"/>
      <c r="J719" s="320">
        <v>82.14</v>
      </c>
      <c r="K719" s="320">
        <v>42.18</v>
      </c>
      <c r="L719" s="320">
        <v>27.57</v>
      </c>
      <c r="M719" s="320">
        <v>0.6537</v>
      </c>
      <c r="N719" s="320">
        <v>0.53</v>
      </c>
      <c r="O719" s="320">
        <v>0.3523</v>
      </c>
      <c r="P719" s="320">
        <v>1.5299</v>
      </c>
      <c r="Q719" s="320">
        <v>143.85</v>
      </c>
      <c r="R719" s="320">
        <v>96.04</v>
      </c>
      <c r="S719" s="320">
        <v>47.82</v>
      </c>
      <c r="T719" s="320">
        <v>0.0</v>
      </c>
      <c r="U719" s="320">
        <v>143.85</v>
      </c>
      <c r="V719" s="320">
        <v>168.71</v>
      </c>
      <c r="W719" s="320">
        <v>3.9993</v>
      </c>
      <c r="X719" s="320">
        <v>0.0</v>
      </c>
      <c r="Y719" s="320">
        <v>157.0</v>
      </c>
      <c r="Z719" s="320">
        <v>1035.0</v>
      </c>
      <c r="AA719" s="320">
        <v>6743.0</v>
      </c>
      <c r="AB719" s="320">
        <v>56.242</v>
      </c>
      <c r="AC719" s="320">
        <v>0.7523</v>
      </c>
      <c r="AD719" s="320">
        <v>18.69</v>
      </c>
      <c r="AE719" s="320">
        <v>8.0</v>
      </c>
      <c r="AF719" s="320">
        <v>15.0</v>
      </c>
      <c r="AG719" s="320">
        <v>26.0</v>
      </c>
      <c r="AH719" s="320">
        <v>39.0</v>
      </c>
      <c r="AI719" s="320">
        <v>62.17</v>
      </c>
      <c r="AJ719" s="320">
        <v>25.73</v>
      </c>
      <c r="AK719" s="320">
        <v>8.02</v>
      </c>
      <c r="AL719" s="329"/>
      <c r="AM719" s="320">
        <v>22.29</v>
      </c>
      <c r="AN719" s="320">
        <v>73.75</v>
      </c>
      <c r="AO719" s="320">
        <v>76.35</v>
      </c>
      <c r="AP719" s="320">
        <v>17.02</v>
      </c>
    </row>
    <row r="720">
      <c r="A720" s="319" t="s">
        <v>256</v>
      </c>
      <c r="B720" s="328">
        <v>46169.0</v>
      </c>
      <c r="C720" s="319" t="s">
        <v>217</v>
      </c>
      <c r="D720" s="320">
        <v>5588.0</v>
      </c>
      <c r="E720" s="320">
        <v>5.63</v>
      </c>
      <c r="F720" s="320">
        <v>0.0</v>
      </c>
      <c r="G720" s="320">
        <v>0.0</v>
      </c>
      <c r="H720" s="320">
        <v>0.0</v>
      </c>
      <c r="I720" s="329"/>
      <c r="J720" s="320">
        <v>128.94</v>
      </c>
      <c r="K720" s="320">
        <v>70.55</v>
      </c>
      <c r="L720" s="320">
        <v>56.04</v>
      </c>
      <c r="M720" s="320">
        <v>0.7944</v>
      </c>
      <c r="N720" s="320">
        <v>0.384</v>
      </c>
      <c r="O720" s="320">
        <v>0.2693</v>
      </c>
      <c r="P720" s="320">
        <v>1.2588</v>
      </c>
      <c r="Q720" s="320">
        <v>263.42</v>
      </c>
      <c r="R720" s="320">
        <v>164.49</v>
      </c>
      <c r="S720" s="320">
        <v>98.93</v>
      </c>
      <c r="T720" s="320">
        <v>0.0</v>
      </c>
      <c r="U720" s="320">
        <v>263.42</v>
      </c>
      <c r="V720" s="320">
        <v>321.13</v>
      </c>
      <c r="W720" s="320">
        <v>4.5521</v>
      </c>
      <c r="X720" s="320">
        <v>0.0</v>
      </c>
      <c r="Y720" s="320">
        <v>397.0</v>
      </c>
      <c r="Z720" s="320">
        <v>2545.0</v>
      </c>
      <c r="AA720" s="320">
        <v>10395.0</v>
      </c>
      <c r="AB720" s="320">
        <v>60.5631</v>
      </c>
      <c r="AC720" s="320">
        <v>0.864</v>
      </c>
      <c r="AD720" s="320">
        <v>40.31</v>
      </c>
      <c r="AE720" s="320">
        <v>16.0</v>
      </c>
      <c r="AF720" s="320">
        <v>33.0</v>
      </c>
      <c r="AG720" s="320">
        <v>56.0</v>
      </c>
      <c r="AH720" s="320">
        <v>82.0</v>
      </c>
      <c r="AI720" s="320">
        <v>56.64</v>
      </c>
      <c r="AJ720" s="320">
        <v>22.3</v>
      </c>
      <c r="AK720" s="320">
        <v>5.15</v>
      </c>
      <c r="AL720" s="329"/>
      <c r="AM720" s="320">
        <v>22.51</v>
      </c>
      <c r="AN720" s="320">
        <v>141.98</v>
      </c>
      <c r="AO720" s="320">
        <v>81.87</v>
      </c>
      <c r="AP720" s="320">
        <v>18.43</v>
      </c>
    </row>
    <row r="721">
      <c r="A721" s="319" t="s">
        <v>256</v>
      </c>
      <c r="B721" s="328">
        <v>46169.0</v>
      </c>
      <c r="C721" s="319" t="s">
        <v>218</v>
      </c>
      <c r="D721" s="320">
        <v>646.0</v>
      </c>
      <c r="E721" s="320">
        <v>0.65</v>
      </c>
      <c r="F721" s="320">
        <v>0.0</v>
      </c>
      <c r="G721" s="320">
        <v>0.0</v>
      </c>
      <c r="H721" s="320">
        <v>0.0</v>
      </c>
      <c r="I721" s="329"/>
      <c r="J721" s="320">
        <v>240.98</v>
      </c>
      <c r="K721" s="320">
        <v>140.28</v>
      </c>
      <c r="L721" s="320">
        <v>125.89</v>
      </c>
      <c r="M721" s="320">
        <v>0.8974</v>
      </c>
      <c r="N721" s="320">
        <v>0.2645</v>
      </c>
      <c r="O721" s="320">
        <v>0.2061</v>
      </c>
      <c r="P721" s="320">
        <v>1.1143</v>
      </c>
      <c r="Q721" s="320">
        <v>547.57</v>
      </c>
      <c r="R721" s="320">
        <v>320.43</v>
      </c>
      <c r="S721" s="320">
        <v>227.14</v>
      </c>
      <c r="T721" s="320">
        <v>0.0</v>
      </c>
      <c r="U721" s="320">
        <v>547.57</v>
      </c>
      <c r="V721" s="320">
        <v>724.3</v>
      </c>
      <c r="W721" s="320">
        <v>5.1632</v>
      </c>
      <c r="X721" s="320">
        <v>0.0</v>
      </c>
      <c r="Y721" s="320">
        <v>1103.0</v>
      </c>
      <c r="Z721" s="320">
        <v>4393.0</v>
      </c>
      <c r="AA721" s="320">
        <v>12177.0</v>
      </c>
      <c r="AB721" s="320">
        <v>64.5192</v>
      </c>
      <c r="AC721" s="320">
        <v>0.9269</v>
      </c>
      <c r="AD721" s="320">
        <v>93.79</v>
      </c>
      <c r="AE721" s="320">
        <v>36.0</v>
      </c>
      <c r="AF721" s="320">
        <v>78.0</v>
      </c>
      <c r="AG721" s="320">
        <v>130.0</v>
      </c>
      <c r="AH721" s="320">
        <v>191.0</v>
      </c>
      <c r="AI721" s="320">
        <v>48.76</v>
      </c>
      <c r="AJ721" s="320">
        <v>13.31</v>
      </c>
      <c r="AK721" s="320">
        <v>1.86</v>
      </c>
      <c r="AL721" s="329"/>
      <c r="AM721" s="320">
        <v>25.34</v>
      </c>
      <c r="AN721" s="320">
        <v>295.09</v>
      </c>
      <c r="AO721" s="320">
        <v>85.71</v>
      </c>
      <c r="AP721" s="320">
        <v>21.72</v>
      </c>
    </row>
    <row r="722">
      <c r="A722" s="319" t="s">
        <v>258</v>
      </c>
      <c r="B722" s="328">
        <v>46050.0</v>
      </c>
      <c r="C722" s="319" t="s">
        <v>257</v>
      </c>
      <c r="D722" s="320">
        <v>17888.0</v>
      </c>
      <c r="E722" s="320">
        <v>21.08</v>
      </c>
      <c r="F722" s="320">
        <v>251.18</v>
      </c>
      <c r="G722" s="320">
        <v>0.014</v>
      </c>
      <c r="H722" s="320">
        <v>0.15</v>
      </c>
      <c r="I722" s="320">
        <v>9.303</v>
      </c>
      <c r="J722" s="320">
        <v>6.59</v>
      </c>
      <c r="K722" s="320">
        <v>3.12</v>
      </c>
      <c r="L722" s="320">
        <v>0.03</v>
      </c>
      <c r="M722" s="320">
        <v>0.0086</v>
      </c>
      <c r="N722" s="320">
        <v>0.992</v>
      </c>
      <c r="O722" s="320">
        <v>0.8792</v>
      </c>
      <c r="P722" s="320">
        <v>116.9455</v>
      </c>
      <c r="Q722" s="320">
        <v>23.46</v>
      </c>
      <c r="R722" s="320">
        <v>23.41</v>
      </c>
      <c r="S722" s="320">
        <v>0.06</v>
      </c>
      <c r="T722" s="320">
        <v>1.08</v>
      </c>
      <c r="U722" s="320">
        <v>22.38</v>
      </c>
      <c r="V722" s="320">
        <v>2.31</v>
      </c>
      <c r="W722" s="320">
        <v>0.7413</v>
      </c>
      <c r="X722" s="320">
        <v>4.59</v>
      </c>
      <c r="Y722" s="320">
        <v>136.0</v>
      </c>
      <c r="Z722" s="320">
        <v>874.0</v>
      </c>
      <c r="AA722" s="320">
        <v>6410.0</v>
      </c>
      <c r="AB722" s="320">
        <v>49.5847</v>
      </c>
      <c r="AC722" s="320">
        <v>0.5199</v>
      </c>
      <c r="AD722" s="329"/>
      <c r="AE722" s="329"/>
      <c r="AF722" s="329"/>
      <c r="AG722" s="329"/>
      <c r="AH722" s="329"/>
      <c r="AI722" s="320">
        <v>0.0</v>
      </c>
      <c r="AJ722" s="320">
        <v>0.0</v>
      </c>
      <c r="AK722" s="320">
        <v>0.0</v>
      </c>
      <c r="AL722" s="320">
        <v>0.2806</v>
      </c>
      <c r="AM722" s="320">
        <v>15.32</v>
      </c>
      <c r="AN722" s="320">
        <v>8.08</v>
      </c>
      <c r="AO722" s="329"/>
      <c r="AP722" s="329"/>
    </row>
    <row r="723">
      <c r="A723" s="319" t="s">
        <v>258</v>
      </c>
      <c r="B723" s="328">
        <v>46050.0</v>
      </c>
      <c r="C723" s="319" t="s">
        <v>214</v>
      </c>
      <c r="D723" s="320">
        <v>39036.0</v>
      </c>
      <c r="E723" s="320">
        <v>46.0</v>
      </c>
      <c r="F723" s="320">
        <v>6773.09</v>
      </c>
      <c r="G723" s="320">
        <v>0.1735</v>
      </c>
      <c r="H723" s="320">
        <v>4.58</v>
      </c>
      <c r="I723" s="320">
        <v>3.786</v>
      </c>
      <c r="J723" s="320">
        <v>29.33</v>
      </c>
      <c r="K723" s="320">
        <v>15.83</v>
      </c>
      <c r="L723" s="320">
        <v>4.14</v>
      </c>
      <c r="M723" s="320">
        <v>0.2619</v>
      </c>
      <c r="N723" s="320">
        <v>0.8003</v>
      </c>
      <c r="O723" s="320">
        <v>0.5733</v>
      </c>
      <c r="P723" s="320">
        <v>3.818</v>
      </c>
      <c r="Q723" s="320">
        <v>54.8</v>
      </c>
      <c r="R723" s="320">
        <v>46.48</v>
      </c>
      <c r="S723" s="320">
        <v>8.32</v>
      </c>
      <c r="T723" s="320">
        <v>12.22</v>
      </c>
      <c r="U723" s="320">
        <v>42.58</v>
      </c>
      <c r="V723" s="320">
        <v>59.61</v>
      </c>
      <c r="W723" s="320">
        <v>3.767</v>
      </c>
      <c r="X723" s="320">
        <v>22.31</v>
      </c>
      <c r="Y723" s="320">
        <v>85.0</v>
      </c>
      <c r="Z723" s="320">
        <v>199.0</v>
      </c>
      <c r="AA723" s="320">
        <v>778.0</v>
      </c>
      <c r="AB723" s="320">
        <v>50.15</v>
      </c>
      <c r="AC723" s="320">
        <v>0.4828</v>
      </c>
      <c r="AD723" s="320">
        <v>2.66</v>
      </c>
      <c r="AE723" s="320">
        <v>1.0</v>
      </c>
      <c r="AF723" s="320">
        <v>2.0</v>
      </c>
      <c r="AG723" s="320">
        <v>4.0</v>
      </c>
      <c r="AH723" s="320">
        <v>6.0</v>
      </c>
      <c r="AI723" s="320">
        <v>63.22</v>
      </c>
      <c r="AJ723" s="320">
        <v>17.12</v>
      </c>
      <c r="AK723" s="320">
        <v>0.0</v>
      </c>
      <c r="AL723" s="320">
        <v>0.2265</v>
      </c>
      <c r="AM723" s="320">
        <v>17.98</v>
      </c>
      <c r="AN723" s="320">
        <v>28.5</v>
      </c>
      <c r="AO723" s="320">
        <v>14.29</v>
      </c>
      <c r="AP723" s="320">
        <v>2.57</v>
      </c>
    </row>
    <row r="724">
      <c r="A724" s="319" t="s">
        <v>258</v>
      </c>
      <c r="B724" s="328">
        <v>46050.0</v>
      </c>
      <c r="C724" s="319" t="s">
        <v>215</v>
      </c>
      <c r="D724" s="320">
        <v>14221.0</v>
      </c>
      <c r="E724" s="320">
        <v>16.76</v>
      </c>
      <c r="F724" s="320">
        <v>13958.11</v>
      </c>
      <c r="G724" s="320">
        <v>0.9815</v>
      </c>
      <c r="H724" s="320">
        <v>22.08</v>
      </c>
      <c r="I724" s="320">
        <v>4.4453</v>
      </c>
      <c r="J724" s="320">
        <v>62.89</v>
      </c>
      <c r="K724" s="320">
        <v>36.14</v>
      </c>
      <c r="L724" s="320">
        <v>13.84</v>
      </c>
      <c r="M724" s="320">
        <v>0.3829</v>
      </c>
      <c r="N724" s="320">
        <v>0.6748</v>
      </c>
      <c r="O724" s="320">
        <v>0.4007</v>
      </c>
      <c r="P724" s="320">
        <v>2.6118</v>
      </c>
      <c r="Q724" s="320">
        <v>149.82</v>
      </c>
      <c r="R724" s="320">
        <v>121.38</v>
      </c>
      <c r="S724" s="320">
        <v>28.44</v>
      </c>
      <c r="T724" s="320">
        <v>66.54</v>
      </c>
      <c r="U724" s="320">
        <v>83.29</v>
      </c>
      <c r="V724" s="320">
        <v>169.63</v>
      </c>
      <c r="W724" s="320">
        <v>4.6936</v>
      </c>
      <c r="X724" s="320">
        <v>44.41</v>
      </c>
      <c r="Y724" s="320">
        <v>85.0</v>
      </c>
      <c r="Z724" s="320">
        <v>205.0</v>
      </c>
      <c r="AA724" s="320">
        <v>789.0</v>
      </c>
      <c r="AB724" s="320">
        <v>52.03</v>
      </c>
      <c r="AC724" s="320">
        <v>0.5195</v>
      </c>
      <c r="AD724" s="320">
        <v>8.54</v>
      </c>
      <c r="AE724" s="320">
        <v>5.0</v>
      </c>
      <c r="AF724" s="320">
        <v>8.0</v>
      </c>
      <c r="AG724" s="320">
        <v>12.0</v>
      </c>
      <c r="AH724" s="320">
        <v>15.0</v>
      </c>
      <c r="AI724" s="320">
        <v>66.87</v>
      </c>
      <c r="AJ724" s="320">
        <v>21.6</v>
      </c>
      <c r="AK724" s="320">
        <v>0.0</v>
      </c>
      <c r="AL724" s="320">
        <v>0.1982</v>
      </c>
      <c r="AM724" s="320">
        <v>21.69</v>
      </c>
      <c r="AN724" s="320">
        <v>99.69</v>
      </c>
      <c r="AO724" s="320">
        <v>14.29</v>
      </c>
      <c r="AP724" s="320">
        <v>3.1</v>
      </c>
    </row>
    <row r="725">
      <c r="A725" s="319" t="s">
        <v>258</v>
      </c>
      <c r="B725" s="328">
        <v>46050.0</v>
      </c>
      <c r="C725" s="319" t="s">
        <v>216</v>
      </c>
      <c r="D725" s="320">
        <v>9083.0</v>
      </c>
      <c r="E725" s="320">
        <v>10.7</v>
      </c>
      <c r="F725" s="320">
        <v>21312.93</v>
      </c>
      <c r="G725" s="320">
        <v>2.3465</v>
      </c>
      <c r="H725" s="320">
        <v>37.88</v>
      </c>
      <c r="I725" s="320">
        <v>6.1938</v>
      </c>
      <c r="J725" s="320">
        <v>89.79</v>
      </c>
      <c r="K725" s="320">
        <v>53.59</v>
      </c>
      <c r="L725" s="320">
        <v>27.23</v>
      </c>
      <c r="M725" s="320">
        <v>0.5081</v>
      </c>
      <c r="N725" s="320">
        <v>0.5579</v>
      </c>
      <c r="O725" s="320">
        <v>0.3124</v>
      </c>
      <c r="P725" s="320">
        <v>1.968</v>
      </c>
      <c r="Q725" s="320">
        <v>289.41</v>
      </c>
      <c r="R725" s="320">
        <v>232.45</v>
      </c>
      <c r="S725" s="320">
        <v>56.95</v>
      </c>
      <c r="T725" s="320">
        <v>155.52</v>
      </c>
      <c r="U725" s="320">
        <v>133.88</v>
      </c>
      <c r="V725" s="320">
        <v>328.06</v>
      </c>
      <c r="W725" s="320">
        <v>6.1215</v>
      </c>
      <c r="X725" s="320">
        <v>53.74</v>
      </c>
      <c r="Y725" s="320">
        <v>84.0</v>
      </c>
      <c r="Z725" s="320">
        <v>198.0</v>
      </c>
      <c r="AA725" s="320">
        <v>677.0</v>
      </c>
      <c r="AB725" s="320">
        <v>53.4531</v>
      </c>
      <c r="AC725" s="320">
        <v>0.583</v>
      </c>
      <c r="AD725" s="320">
        <v>17.28</v>
      </c>
      <c r="AE725" s="320">
        <v>9.0</v>
      </c>
      <c r="AF725" s="320">
        <v>17.0</v>
      </c>
      <c r="AG725" s="320">
        <v>24.0</v>
      </c>
      <c r="AH725" s="320">
        <v>31.0</v>
      </c>
      <c r="AI725" s="320">
        <v>67.76</v>
      </c>
      <c r="AJ725" s="320">
        <v>21.07</v>
      </c>
      <c r="AK725" s="320">
        <v>0.0</v>
      </c>
      <c r="AL725" s="320">
        <v>0.1788</v>
      </c>
      <c r="AM725" s="320">
        <v>23.42</v>
      </c>
      <c r="AN725" s="320">
        <v>209.04</v>
      </c>
      <c r="AO725" s="320">
        <v>14.29</v>
      </c>
      <c r="AP725" s="320">
        <v>3.35</v>
      </c>
    </row>
    <row r="726">
      <c r="A726" s="319" t="s">
        <v>258</v>
      </c>
      <c r="B726" s="328">
        <v>46050.0</v>
      </c>
      <c r="C726" s="319" t="s">
        <v>217</v>
      </c>
      <c r="D726" s="320">
        <v>3955.0</v>
      </c>
      <c r="E726" s="320">
        <v>4.66</v>
      </c>
      <c r="F726" s="320">
        <v>26498.23</v>
      </c>
      <c r="G726" s="320">
        <v>6.6999</v>
      </c>
      <c r="H726" s="320">
        <v>51.83</v>
      </c>
      <c r="I726" s="320">
        <v>12.926</v>
      </c>
      <c r="J726" s="320">
        <v>146.39</v>
      </c>
      <c r="K726" s="320">
        <v>90.37</v>
      </c>
      <c r="L726" s="320">
        <v>57.23</v>
      </c>
      <c r="M726" s="320">
        <v>0.6332</v>
      </c>
      <c r="N726" s="320">
        <v>0.4466</v>
      </c>
      <c r="O726" s="320">
        <v>0.2517</v>
      </c>
      <c r="P726" s="320">
        <v>1.5793</v>
      </c>
      <c r="Q726" s="320">
        <v>656.03</v>
      </c>
      <c r="R726" s="320">
        <v>535.52</v>
      </c>
      <c r="S726" s="320">
        <v>120.51</v>
      </c>
      <c r="T726" s="320">
        <v>421.53</v>
      </c>
      <c r="U726" s="320">
        <v>234.5</v>
      </c>
      <c r="V726" s="320">
        <v>713.83</v>
      </c>
      <c r="W726" s="320">
        <v>7.8987</v>
      </c>
      <c r="X726" s="320">
        <v>64.25</v>
      </c>
      <c r="Y726" s="320">
        <v>91.0</v>
      </c>
      <c r="Z726" s="320">
        <v>265.0</v>
      </c>
      <c r="AA726" s="320">
        <v>891.0</v>
      </c>
      <c r="AB726" s="320">
        <v>55.9011</v>
      </c>
      <c r="AC726" s="320">
        <v>0.691</v>
      </c>
      <c r="AD726" s="320">
        <v>36.35</v>
      </c>
      <c r="AE726" s="320">
        <v>17.0</v>
      </c>
      <c r="AF726" s="320">
        <v>35.0</v>
      </c>
      <c r="AG726" s="320">
        <v>50.0</v>
      </c>
      <c r="AH726" s="320">
        <v>67.0</v>
      </c>
      <c r="AI726" s="320">
        <v>58.89</v>
      </c>
      <c r="AJ726" s="320">
        <v>14.87</v>
      </c>
      <c r="AK726" s="320">
        <v>0.0</v>
      </c>
      <c r="AL726" s="320">
        <v>0.1697</v>
      </c>
      <c r="AM726" s="320">
        <v>23.28</v>
      </c>
      <c r="AN726" s="320">
        <v>512.24</v>
      </c>
      <c r="AO726" s="320">
        <v>14.29</v>
      </c>
      <c r="AP726" s="320">
        <v>3.33</v>
      </c>
    </row>
    <row r="727">
      <c r="A727" s="319" t="s">
        <v>258</v>
      </c>
      <c r="B727" s="328">
        <v>46050.0</v>
      </c>
      <c r="C727" s="319" t="s">
        <v>218</v>
      </c>
      <c r="D727" s="320">
        <v>671.0</v>
      </c>
      <c r="E727" s="320">
        <v>0.79</v>
      </c>
      <c r="F727" s="320">
        <v>11149.1</v>
      </c>
      <c r="G727" s="320">
        <v>16.6156</v>
      </c>
      <c r="H727" s="320">
        <v>57.53</v>
      </c>
      <c r="I727" s="320">
        <v>28.8837</v>
      </c>
      <c r="J727" s="320">
        <v>277.53</v>
      </c>
      <c r="K727" s="320">
        <v>176.25</v>
      </c>
      <c r="L727" s="320">
        <v>142.94</v>
      </c>
      <c r="M727" s="320">
        <v>0.811</v>
      </c>
      <c r="N727" s="320">
        <v>0.2817</v>
      </c>
      <c r="O727" s="320">
        <v>0.1803</v>
      </c>
      <c r="P727" s="320">
        <v>1.2331</v>
      </c>
      <c r="Q727" s="320">
        <v>1504.73</v>
      </c>
      <c r="R727" s="320">
        <v>1202.94</v>
      </c>
      <c r="S727" s="320">
        <v>301.79</v>
      </c>
      <c r="T727" s="320">
        <v>1002.82</v>
      </c>
      <c r="U727" s="320">
        <v>501.91</v>
      </c>
      <c r="V727" s="320">
        <v>1615.42</v>
      </c>
      <c r="W727" s="320">
        <v>9.1654</v>
      </c>
      <c r="X727" s="320">
        <v>66.64</v>
      </c>
      <c r="Y727" s="320">
        <v>135.0</v>
      </c>
      <c r="Z727" s="320">
        <v>450.0</v>
      </c>
      <c r="AA727" s="320">
        <v>2069.0</v>
      </c>
      <c r="AB727" s="320">
        <v>58.9396</v>
      </c>
      <c r="AC727" s="320">
        <v>0.8098</v>
      </c>
      <c r="AD727" s="320">
        <v>92.46</v>
      </c>
      <c r="AE727" s="320">
        <v>44.0</v>
      </c>
      <c r="AF727" s="320">
        <v>97.0</v>
      </c>
      <c r="AG727" s="320">
        <v>125.0</v>
      </c>
      <c r="AH727" s="320">
        <v>161.0</v>
      </c>
      <c r="AI727" s="320">
        <v>58.27</v>
      </c>
      <c r="AJ727" s="320">
        <v>7.3</v>
      </c>
      <c r="AK727" s="320">
        <v>1.04</v>
      </c>
      <c r="AL727" s="320">
        <v>0.1237</v>
      </c>
      <c r="AM727" s="320">
        <v>21.39</v>
      </c>
      <c r="AN727" s="320">
        <v>1181.55</v>
      </c>
      <c r="AO727" s="320">
        <v>14.29</v>
      </c>
      <c r="AP727" s="320">
        <v>3.06</v>
      </c>
    </row>
    <row r="728">
      <c r="A728" s="319" t="s">
        <v>258</v>
      </c>
      <c r="B728" s="328">
        <v>46051.0</v>
      </c>
      <c r="C728" s="319" t="s">
        <v>257</v>
      </c>
      <c r="D728" s="320">
        <v>18485.0</v>
      </c>
      <c r="E728" s="320">
        <v>22.2</v>
      </c>
      <c r="F728" s="320">
        <v>97.78</v>
      </c>
      <c r="G728" s="320">
        <v>0.0053</v>
      </c>
      <c r="H728" s="320">
        <v>0.15</v>
      </c>
      <c r="I728" s="320">
        <v>3.6215</v>
      </c>
      <c r="J728" s="320">
        <v>6.32</v>
      </c>
      <c r="K728" s="320">
        <v>3.02</v>
      </c>
      <c r="L728" s="320">
        <v>0.05</v>
      </c>
      <c r="M728" s="320">
        <v>0.0153</v>
      </c>
      <c r="N728" s="320">
        <v>0.9854</v>
      </c>
      <c r="O728" s="320">
        <v>0.784</v>
      </c>
      <c r="P728" s="320">
        <v>65.4614</v>
      </c>
      <c r="Q728" s="320">
        <v>23.63</v>
      </c>
      <c r="R728" s="320">
        <v>23.57</v>
      </c>
      <c r="S728" s="320">
        <v>0.06</v>
      </c>
      <c r="T728" s="320">
        <v>0.51</v>
      </c>
      <c r="U728" s="320">
        <v>23.13</v>
      </c>
      <c r="V728" s="320">
        <v>2.27</v>
      </c>
      <c r="W728" s="320">
        <v>0.7504</v>
      </c>
      <c r="X728" s="320">
        <v>2.14</v>
      </c>
      <c r="Y728" s="320">
        <v>124.0</v>
      </c>
      <c r="Z728" s="320">
        <v>803.0</v>
      </c>
      <c r="AA728" s="320">
        <v>6185.0</v>
      </c>
      <c r="AB728" s="320">
        <v>49.3397</v>
      </c>
      <c r="AC728" s="320">
        <v>0.507</v>
      </c>
      <c r="AD728" s="329"/>
      <c r="AE728" s="329"/>
      <c r="AF728" s="329"/>
      <c r="AG728" s="329"/>
      <c r="AH728" s="329"/>
      <c r="AI728" s="320">
        <v>0.0</v>
      </c>
      <c r="AJ728" s="320">
        <v>0.0</v>
      </c>
      <c r="AK728" s="320">
        <v>0.0</v>
      </c>
      <c r="AL728" s="320">
        <v>0.2899</v>
      </c>
      <c r="AM728" s="320">
        <v>15.77</v>
      </c>
      <c r="AN728" s="320">
        <v>7.8</v>
      </c>
      <c r="AO728" s="329"/>
      <c r="AP728" s="329"/>
    </row>
    <row r="729">
      <c r="A729" s="319" t="s">
        <v>258</v>
      </c>
      <c r="B729" s="328">
        <v>46051.0</v>
      </c>
      <c r="C729" s="319" t="s">
        <v>214</v>
      </c>
      <c r="D729" s="320">
        <v>37144.0</v>
      </c>
      <c r="E729" s="320">
        <v>44.61</v>
      </c>
      <c r="F729" s="320">
        <v>7740.79</v>
      </c>
      <c r="G729" s="320">
        <v>0.2084</v>
      </c>
      <c r="H729" s="320">
        <v>5.6</v>
      </c>
      <c r="I729" s="320">
        <v>3.7233</v>
      </c>
      <c r="J729" s="320">
        <v>27.59</v>
      </c>
      <c r="K729" s="320">
        <v>14.77</v>
      </c>
      <c r="L729" s="320">
        <v>4.43</v>
      </c>
      <c r="M729" s="320">
        <v>0.3002</v>
      </c>
      <c r="N729" s="320">
        <v>0.7701</v>
      </c>
      <c r="O729" s="320">
        <v>0.5462</v>
      </c>
      <c r="P729" s="320">
        <v>3.3315</v>
      </c>
      <c r="Q729" s="320">
        <v>60.82</v>
      </c>
      <c r="R729" s="320">
        <v>51.81</v>
      </c>
      <c r="S729" s="320">
        <v>9.01</v>
      </c>
      <c r="T729" s="320">
        <v>15.11</v>
      </c>
      <c r="U729" s="320">
        <v>45.71</v>
      </c>
      <c r="V729" s="320">
        <v>63.22</v>
      </c>
      <c r="W729" s="320">
        <v>4.2803</v>
      </c>
      <c r="X729" s="320">
        <v>24.84</v>
      </c>
      <c r="Y729" s="320">
        <v>86.0</v>
      </c>
      <c r="Z729" s="320">
        <v>198.0</v>
      </c>
      <c r="AA729" s="320">
        <v>773.0</v>
      </c>
      <c r="AB729" s="320">
        <v>49.9568</v>
      </c>
      <c r="AC729" s="320">
        <v>0.4683</v>
      </c>
      <c r="AD729" s="320">
        <v>2.92</v>
      </c>
      <c r="AE729" s="320">
        <v>1.0</v>
      </c>
      <c r="AF729" s="320">
        <v>2.0</v>
      </c>
      <c r="AG729" s="320">
        <v>4.0</v>
      </c>
      <c r="AH729" s="320">
        <v>6.0</v>
      </c>
      <c r="AI729" s="320">
        <v>62.71</v>
      </c>
      <c r="AJ729" s="320">
        <v>19.94</v>
      </c>
      <c r="AK729" s="320">
        <v>2.89</v>
      </c>
      <c r="AL729" s="320">
        <v>0.2393</v>
      </c>
      <c r="AM729" s="320">
        <v>19.49</v>
      </c>
      <c r="AN729" s="320">
        <v>32.32</v>
      </c>
      <c r="AO729" s="320">
        <v>23.6</v>
      </c>
      <c r="AP729" s="320">
        <v>4.6</v>
      </c>
    </row>
    <row r="730">
      <c r="A730" s="319" t="s">
        <v>258</v>
      </c>
      <c r="B730" s="328">
        <v>46051.0</v>
      </c>
      <c r="C730" s="319" t="s">
        <v>215</v>
      </c>
      <c r="D730" s="320">
        <v>15137.0</v>
      </c>
      <c r="E730" s="320">
        <v>18.18</v>
      </c>
      <c r="F730" s="320">
        <v>15464.93</v>
      </c>
      <c r="G730" s="320">
        <v>1.0217</v>
      </c>
      <c r="H730" s="320">
        <v>21.31</v>
      </c>
      <c r="I730" s="320">
        <v>4.7938</v>
      </c>
      <c r="J730" s="320">
        <v>54.55</v>
      </c>
      <c r="K730" s="320">
        <v>30.82</v>
      </c>
      <c r="L730" s="320">
        <v>13.49</v>
      </c>
      <c r="M730" s="320">
        <v>0.4377</v>
      </c>
      <c r="N730" s="320">
        <v>0.6292</v>
      </c>
      <c r="O730" s="320">
        <v>0.3715</v>
      </c>
      <c r="P730" s="320">
        <v>2.2849</v>
      </c>
      <c r="Q730" s="320">
        <v>169.18</v>
      </c>
      <c r="R730" s="320">
        <v>141.53</v>
      </c>
      <c r="S730" s="320">
        <v>27.65</v>
      </c>
      <c r="T730" s="320">
        <v>68.63</v>
      </c>
      <c r="U730" s="320">
        <v>100.55</v>
      </c>
      <c r="V730" s="320">
        <v>173.53</v>
      </c>
      <c r="W730" s="320">
        <v>5.6306</v>
      </c>
      <c r="X730" s="320">
        <v>40.57</v>
      </c>
      <c r="Y730" s="320">
        <v>88.0</v>
      </c>
      <c r="Z730" s="320">
        <v>213.0</v>
      </c>
      <c r="AA730" s="320">
        <v>781.0</v>
      </c>
      <c r="AB730" s="320">
        <v>52.3347</v>
      </c>
      <c r="AC730" s="320">
        <v>0.5374</v>
      </c>
      <c r="AD730" s="320">
        <v>8.74</v>
      </c>
      <c r="AE730" s="320">
        <v>3.0</v>
      </c>
      <c r="AF730" s="320">
        <v>7.0</v>
      </c>
      <c r="AG730" s="320">
        <v>13.0</v>
      </c>
      <c r="AH730" s="320">
        <v>18.0</v>
      </c>
      <c r="AI730" s="320">
        <v>60.62</v>
      </c>
      <c r="AJ730" s="320">
        <v>24.59</v>
      </c>
      <c r="AK730" s="320">
        <v>2.0</v>
      </c>
      <c r="AL730" s="320">
        <v>0.1947</v>
      </c>
      <c r="AM730" s="320">
        <v>21.61</v>
      </c>
      <c r="AN730" s="320">
        <v>119.92</v>
      </c>
      <c r="AO730" s="320">
        <v>25.09</v>
      </c>
      <c r="AP730" s="320">
        <v>5.42</v>
      </c>
    </row>
    <row r="731">
      <c r="A731" s="319" t="s">
        <v>258</v>
      </c>
      <c r="B731" s="328">
        <v>46051.0</v>
      </c>
      <c r="C731" s="319" t="s">
        <v>216</v>
      </c>
      <c r="D731" s="320">
        <v>8454.0</v>
      </c>
      <c r="E731" s="320">
        <v>10.15</v>
      </c>
      <c r="F731" s="320">
        <v>20397.89</v>
      </c>
      <c r="G731" s="320">
        <v>2.4128</v>
      </c>
      <c r="H731" s="320">
        <v>34.21</v>
      </c>
      <c r="I731" s="320">
        <v>7.0532</v>
      </c>
      <c r="J731" s="320">
        <v>81.0</v>
      </c>
      <c r="K731" s="320">
        <v>47.64</v>
      </c>
      <c r="L731" s="320">
        <v>26.5</v>
      </c>
      <c r="M731" s="320">
        <v>0.5562</v>
      </c>
      <c r="N731" s="320">
        <v>0.5201</v>
      </c>
      <c r="O731" s="320">
        <v>0.293</v>
      </c>
      <c r="P731" s="320">
        <v>1.7979</v>
      </c>
      <c r="Q731" s="320">
        <v>345.88</v>
      </c>
      <c r="R731" s="320">
        <v>290.34</v>
      </c>
      <c r="S731" s="320">
        <v>55.54</v>
      </c>
      <c r="T731" s="320">
        <v>158.17</v>
      </c>
      <c r="U731" s="320">
        <v>187.71</v>
      </c>
      <c r="V731" s="320">
        <v>351.02</v>
      </c>
      <c r="W731" s="320">
        <v>7.3682</v>
      </c>
      <c r="X731" s="320">
        <v>45.73</v>
      </c>
      <c r="Y731" s="320">
        <v>92.0</v>
      </c>
      <c r="Z731" s="320">
        <v>238.0</v>
      </c>
      <c r="AA731" s="320">
        <v>753.0</v>
      </c>
      <c r="AB731" s="320">
        <v>54.3342</v>
      </c>
      <c r="AC731" s="320">
        <v>0.6283</v>
      </c>
      <c r="AD731" s="320">
        <v>17.84</v>
      </c>
      <c r="AE731" s="320">
        <v>7.0</v>
      </c>
      <c r="AF731" s="320">
        <v>15.0</v>
      </c>
      <c r="AG731" s="320">
        <v>25.0</v>
      </c>
      <c r="AH731" s="320">
        <v>36.0</v>
      </c>
      <c r="AI731" s="320">
        <v>63.24</v>
      </c>
      <c r="AJ731" s="320">
        <v>24.95</v>
      </c>
      <c r="AK731" s="320">
        <v>4.57</v>
      </c>
      <c r="AL731" s="320">
        <v>0.1922</v>
      </c>
      <c r="AM731" s="320">
        <v>22.71</v>
      </c>
      <c r="AN731" s="320">
        <v>267.64</v>
      </c>
      <c r="AO731" s="320">
        <v>24.97</v>
      </c>
      <c r="AP731" s="320">
        <v>5.67</v>
      </c>
    </row>
    <row r="732">
      <c r="A732" s="319" t="s">
        <v>258</v>
      </c>
      <c r="B732" s="328">
        <v>46051.0</v>
      </c>
      <c r="C732" s="319" t="s">
        <v>217</v>
      </c>
      <c r="D732" s="320">
        <v>3567.0</v>
      </c>
      <c r="E732" s="320">
        <v>4.28</v>
      </c>
      <c r="F732" s="320">
        <v>20455.52</v>
      </c>
      <c r="G732" s="320">
        <v>5.7347</v>
      </c>
      <c r="H732" s="320">
        <v>43.37</v>
      </c>
      <c r="I732" s="320">
        <v>13.2227</v>
      </c>
      <c r="J732" s="320">
        <v>131.37</v>
      </c>
      <c r="K732" s="320">
        <v>82.03</v>
      </c>
      <c r="L732" s="320">
        <v>57.52</v>
      </c>
      <c r="M732" s="320">
        <v>0.7012</v>
      </c>
      <c r="N732" s="320">
        <v>0.3905</v>
      </c>
      <c r="O732" s="320">
        <v>0.2273</v>
      </c>
      <c r="P732" s="320">
        <v>1.4262</v>
      </c>
      <c r="Q732" s="320">
        <v>753.88</v>
      </c>
      <c r="R732" s="320">
        <v>632.78</v>
      </c>
      <c r="S732" s="320">
        <v>121.1</v>
      </c>
      <c r="T732" s="320">
        <v>357.15</v>
      </c>
      <c r="U732" s="320">
        <v>396.73</v>
      </c>
      <c r="V732" s="320">
        <v>754.49</v>
      </c>
      <c r="W732" s="320">
        <v>9.1977</v>
      </c>
      <c r="X732" s="320">
        <v>47.38</v>
      </c>
      <c r="Y732" s="320">
        <v>109.0</v>
      </c>
      <c r="Z732" s="320">
        <v>370.0</v>
      </c>
      <c r="AA732" s="320">
        <v>1050.0</v>
      </c>
      <c r="AB732" s="320">
        <v>57.1059</v>
      </c>
      <c r="AC732" s="320">
        <v>0.7406</v>
      </c>
      <c r="AD732" s="320">
        <v>39.36</v>
      </c>
      <c r="AE732" s="320">
        <v>17.0</v>
      </c>
      <c r="AF732" s="320">
        <v>36.0</v>
      </c>
      <c r="AG732" s="320">
        <v>55.0</v>
      </c>
      <c r="AH732" s="320">
        <v>75.0</v>
      </c>
      <c r="AI732" s="320">
        <v>60.19</v>
      </c>
      <c r="AJ732" s="320">
        <v>20.63</v>
      </c>
      <c r="AK732" s="320">
        <v>2.94</v>
      </c>
      <c r="AL732" s="320">
        <v>0.1856</v>
      </c>
      <c r="AM732" s="320">
        <v>20.59</v>
      </c>
      <c r="AN732" s="320">
        <v>612.18</v>
      </c>
      <c r="AO732" s="320">
        <v>25.26</v>
      </c>
      <c r="AP732" s="320">
        <v>5.2</v>
      </c>
    </row>
    <row r="733">
      <c r="A733" s="319" t="s">
        <v>258</v>
      </c>
      <c r="B733" s="328">
        <v>46051.0</v>
      </c>
      <c r="C733" s="319" t="s">
        <v>218</v>
      </c>
      <c r="D733" s="320">
        <v>477.0</v>
      </c>
      <c r="E733" s="320">
        <v>0.57</v>
      </c>
      <c r="F733" s="320">
        <v>5312.45</v>
      </c>
      <c r="G733" s="320">
        <v>11.1372</v>
      </c>
      <c r="H733" s="320">
        <v>45.07</v>
      </c>
      <c r="I733" s="320">
        <v>24.7091</v>
      </c>
      <c r="J733" s="320">
        <v>244.28</v>
      </c>
      <c r="K733" s="320">
        <v>162.02</v>
      </c>
      <c r="L733" s="320">
        <v>133.92</v>
      </c>
      <c r="M733" s="320">
        <v>0.8266</v>
      </c>
      <c r="N733" s="320">
        <v>0.2667</v>
      </c>
      <c r="O733" s="320">
        <v>0.1683</v>
      </c>
      <c r="P733" s="320">
        <v>1.2098</v>
      </c>
      <c r="Q733" s="320">
        <v>1484.61</v>
      </c>
      <c r="R733" s="320">
        <v>1203.09</v>
      </c>
      <c r="S733" s="320">
        <v>281.52</v>
      </c>
      <c r="T733" s="320">
        <v>680.86</v>
      </c>
      <c r="U733" s="320">
        <v>803.75</v>
      </c>
      <c r="V733" s="320">
        <v>1485.95</v>
      </c>
      <c r="W733" s="320">
        <v>9.1714</v>
      </c>
      <c r="X733" s="320">
        <v>45.86</v>
      </c>
      <c r="Y733" s="320">
        <v>171.0</v>
      </c>
      <c r="Z733" s="320">
        <v>661.0</v>
      </c>
      <c r="AA733" s="320">
        <v>2455.0</v>
      </c>
      <c r="AB733" s="320">
        <v>60.7389</v>
      </c>
      <c r="AC733" s="320">
        <v>0.8254</v>
      </c>
      <c r="AD733" s="320">
        <v>93.21</v>
      </c>
      <c r="AE733" s="320">
        <v>41.0</v>
      </c>
      <c r="AF733" s="320">
        <v>83.0</v>
      </c>
      <c r="AG733" s="320">
        <v>129.0</v>
      </c>
      <c r="AH733" s="320">
        <v>177.0</v>
      </c>
      <c r="AI733" s="320">
        <v>53.67</v>
      </c>
      <c r="AJ733" s="320">
        <v>10.48</v>
      </c>
      <c r="AK733" s="320">
        <v>1.47</v>
      </c>
      <c r="AL733" s="320">
        <v>0.1384</v>
      </c>
      <c r="AM733" s="320">
        <v>18.63</v>
      </c>
      <c r="AN733" s="320">
        <v>1184.46</v>
      </c>
      <c r="AO733" s="320">
        <v>25.7</v>
      </c>
      <c r="AP733" s="320">
        <v>4.79</v>
      </c>
    </row>
    <row r="734">
      <c r="A734" s="319" t="s">
        <v>258</v>
      </c>
      <c r="B734" s="328">
        <v>46052.0</v>
      </c>
      <c r="C734" s="319" t="s">
        <v>257</v>
      </c>
      <c r="D734" s="320">
        <v>16316.0</v>
      </c>
      <c r="E734" s="320">
        <v>20.06</v>
      </c>
      <c r="F734" s="320">
        <v>249.96</v>
      </c>
      <c r="G734" s="320">
        <v>0.0153</v>
      </c>
      <c r="H734" s="320">
        <v>0.37</v>
      </c>
      <c r="I734" s="320">
        <v>4.0977</v>
      </c>
      <c r="J734" s="320">
        <v>6.0</v>
      </c>
      <c r="K734" s="320">
        <v>2.69</v>
      </c>
      <c r="L734" s="320">
        <v>0.08</v>
      </c>
      <c r="M734" s="320">
        <v>0.0284</v>
      </c>
      <c r="N734" s="320">
        <v>0.9733</v>
      </c>
      <c r="O734" s="320">
        <v>0.6991</v>
      </c>
      <c r="P734" s="320">
        <v>35.2241</v>
      </c>
      <c r="Q734" s="320">
        <v>30.15</v>
      </c>
      <c r="R734" s="320">
        <v>30.08</v>
      </c>
      <c r="S734" s="320">
        <v>0.07</v>
      </c>
      <c r="T734" s="320">
        <v>1.2</v>
      </c>
      <c r="U734" s="320">
        <v>28.95</v>
      </c>
      <c r="V734" s="320">
        <v>2.41</v>
      </c>
      <c r="W734" s="320">
        <v>0.8973</v>
      </c>
      <c r="X734" s="320">
        <v>3.99</v>
      </c>
      <c r="Y734" s="320">
        <v>157.0</v>
      </c>
      <c r="Z734" s="320">
        <v>1042.0</v>
      </c>
      <c r="AA734" s="320">
        <v>6701.0</v>
      </c>
      <c r="AB734" s="320">
        <v>49.55</v>
      </c>
      <c r="AC734" s="320">
        <v>0.5204</v>
      </c>
      <c r="AD734" s="329"/>
      <c r="AE734" s="329"/>
      <c r="AF734" s="329"/>
      <c r="AG734" s="329"/>
      <c r="AH734" s="329"/>
      <c r="AI734" s="320">
        <v>0.0</v>
      </c>
      <c r="AJ734" s="320">
        <v>0.0</v>
      </c>
      <c r="AK734" s="320">
        <v>0.0</v>
      </c>
      <c r="AL734" s="320">
        <v>0.3073</v>
      </c>
      <c r="AM734" s="320">
        <v>16.62</v>
      </c>
      <c r="AN734" s="320">
        <v>13.46</v>
      </c>
      <c r="AO734" s="329"/>
      <c r="AP734" s="329"/>
    </row>
    <row r="735">
      <c r="A735" s="319" t="s">
        <v>258</v>
      </c>
      <c r="B735" s="328">
        <v>46052.0</v>
      </c>
      <c r="C735" s="319" t="s">
        <v>214</v>
      </c>
      <c r="D735" s="320">
        <v>36001.0</v>
      </c>
      <c r="E735" s="320">
        <v>44.26</v>
      </c>
      <c r="F735" s="320">
        <v>9303.97</v>
      </c>
      <c r="G735" s="320">
        <v>0.2584</v>
      </c>
      <c r="H735" s="320">
        <v>6.63</v>
      </c>
      <c r="I735" s="320">
        <v>3.8994</v>
      </c>
      <c r="J735" s="320">
        <v>31.38</v>
      </c>
      <c r="K735" s="320">
        <v>16.83</v>
      </c>
      <c r="L735" s="320">
        <v>5.06</v>
      </c>
      <c r="M735" s="320">
        <v>0.3005</v>
      </c>
      <c r="N735" s="320">
        <v>0.7696</v>
      </c>
      <c r="O735" s="320">
        <v>0.5326</v>
      </c>
      <c r="P735" s="320">
        <v>3.3278</v>
      </c>
      <c r="Q735" s="320">
        <v>85.92</v>
      </c>
      <c r="R735" s="320">
        <v>75.47</v>
      </c>
      <c r="S735" s="320">
        <v>10.45</v>
      </c>
      <c r="T735" s="320">
        <v>17.44</v>
      </c>
      <c r="U735" s="320">
        <v>68.48</v>
      </c>
      <c r="V735" s="320">
        <v>78.44</v>
      </c>
      <c r="W735" s="320">
        <v>4.662</v>
      </c>
      <c r="X735" s="320">
        <v>20.3</v>
      </c>
      <c r="Y735" s="320">
        <v>90.0</v>
      </c>
      <c r="Z735" s="320">
        <v>217.0</v>
      </c>
      <c r="AA735" s="320">
        <v>823.0</v>
      </c>
      <c r="AB735" s="320">
        <v>49.6773</v>
      </c>
      <c r="AC735" s="320">
        <v>0.4618</v>
      </c>
      <c r="AD735" s="320">
        <v>3.29</v>
      </c>
      <c r="AE735" s="320">
        <v>1.0</v>
      </c>
      <c r="AF735" s="320">
        <v>2.0</v>
      </c>
      <c r="AG735" s="320">
        <v>4.0</v>
      </c>
      <c r="AH735" s="320">
        <v>7.0</v>
      </c>
      <c r="AI735" s="320">
        <v>67.54</v>
      </c>
      <c r="AJ735" s="320">
        <v>23.84</v>
      </c>
      <c r="AK735" s="320">
        <v>4.66</v>
      </c>
      <c r="AL735" s="320">
        <v>0.2435</v>
      </c>
      <c r="AM735" s="320">
        <v>20.48</v>
      </c>
      <c r="AN735" s="320">
        <v>54.98</v>
      </c>
      <c r="AO735" s="320">
        <v>32.51</v>
      </c>
      <c r="AP735" s="320">
        <v>6.66</v>
      </c>
    </row>
    <row r="736">
      <c r="A736" s="319" t="s">
        <v>258</v>
      </c>
      <c r="B736" s="328">
        <v>46052.0</v>
      </c>
      <c r="C736" s="319" t="s">
        <v>215</v>
      </c>
      <c r="D736" s="320">
        <v>16246.0</v>
      </c>
      <c r="E736" s="320">
        <v>19.97</v>
      </c>
      <c r="F736" s="320">
        <v>17800.97</v>
      </c>
      <c r="G736" s="320">
        <v>1.0957</v>
      </c>
      <c r="H736" s="320">
        <v>21.96</v>
      </c>
      <c r="I736" s="320">
        <v>4.9891</v>
      </c>
      <c r="J736" s="320">
        <v>62.12</v>
      </c>
      <c r="K736" s="320">
        <v>35.38</v>
      </c>
      <c r="L736" s="320">
        <v>14.46</v>
      </c>
      <c r="M736" s="320">
        <v>0.4088</v>
      </c>
      <c r="N736" s="320">
        <v>0.6557</v>
      </c>
      <c r="O736" s="320">
        <v>0.3839</v>
      </c>
      <c r="P736" s="320">
        <v>2.4465</v>
      </c>
      <c r="Q736" s="320">
        <v>196.21</v>
      </c>
      <c r="R736" s="320">
        <v>165.86</v>
      </c>
      <c r="S736" s="320">
        <v>30.36</v>
      </c>
      <c r="T736" s="320">
        <v>74.88</v>
      </c>
      <c r="U736" s="320">
        <v>121.33</v>
      </c>
      <c r="V736" s="320">
        <v>195.54</v>
      </c>
      <c r="W736" s="320">
        <v>5.5272</v>
      </c>
      <c r="X736" s="320">
        <v>38.16</v>
      </c>
      <c r="Y736" s="320">
        <v>86.0</v>
      </c>
      <c r="Z736" s="320">
        <v>208.0</v>
      </c>
      <c r="AA736" s="320">
        <v>663.0</v>
      </c>
      <c r="AB736" s="320">
        <v>52.2394</v>
      </c>
      <c r="AC736" s="320">
        <v>0.5275</v>
      </c>
      <c r="AD736" s="320">
        <v>9.16</v>
      </c>
      <c r="AE736" s="320">
        <v>4.0</v>
      </c>
      <c r="AF736" s="320">
        <v>7.0</v>
      </c>
      <c r="AG736" s="320">
        <v>13.0</v>
      </c>
      <c r="AH736" s="320">
        <v>19.0</v>
      </c>
      <c r="AI736" s="320">
        <v>60.78</v>
      </c>
      <c r="AJ736" s="320">
        <v>26.22</v>
      </c>
      <c r="AK736" s="320">
        <v>3.38</v>
      </c>
      <c r="AL736" s="320">
        <v>0.2039</v>
      </c>
      <c r="AM736" s="320">
        <v>22.21</v>
      </c>
      <c r="AN736" s="320">
        <v>143.64</v>
      </c>
      <c r="AO736" s="320">
        <v>35.22</v>
      </c>
      <c r="AP736" s="320">
        <v>7.82</v>
      </c>
    </row>
    <row r="737">
      <c r="A737" s="319" t="s">
        <v>258</v>
      </c>
      <c r="B737" s="328">
        <v>46052.0</v>
      </c>
      <c r="C737" s="319" t="s">
        <v>216</v>
      </c>
      <c r="D737" s="320">
        <v>8877.0</v>
      </c>
      <c r="E737" s="320">
        <v>10.91</v>
      </c>
      <c r="F737" s="320">
        <v>23358.34</v>
      </c>
      <c r="G737" s="320">
        <v>2.6313</v>
      </c>
      <c r="H737" s="320">
        <v>34.79</v>
      </c>
      <c r="I737" s="320">
        <v>7.5642</v>
      </c>
      <c r="J737" s="320">
        <v>91.84</v>
      </c>
      <c r="K737" s="320">
        <v>53.81</v>
      </c>
      <c r="L737" s="320">
        <v>27.91</v>
      </c>
      <c r="M737" s="320">
        <v>0.5186</v>
      </c>
      <c r="N737" s="320">
        <v>0.5518</v>
      </c>
      <c r="O737" s="320">
        <v>0.3072</v>
      </c>
      <c r="P737" s="320">
        <v>1.9284</v>
      </c>
      <c r="Q737" s="320">
        <v>352.99</v>
      </c>
      <c r="R737" s="320">
        <v>294.07</v>
      </c>
      <c r="S737" s="320">
        <v>58.93</v>
      </c>
      <c r="T737" s="320">
        <v>171.79</v>
      </c>
      <c r="U737" s="320">
        <v>181.2</v>
      </c>
      <c r="V737" s="320">
        <v>358.86</v>
      </c>
      <c r="W737" s="320">
        <v>6.6688</v>
      </c>
      <c r="X737" s="320">
        <v>48.67</v>
      </c>
      <c r="Y737" s="320">
        <v>91.0</v>
      </c>
      <c r="Z737" s="320">
        <v>234.0</v>
      </c>
      <c r="AA737" s="320">
        <v>761.0</v>
      </c>
      <c r="AB737" s="320">
        <v>54.1685</v>
      </c>
      <c r="AC737" s="320">
        <v>0.635</v>
      </c>
      <c r="AD737" s="320">
        <v>17.73</v>
      </c>
      <c r="AE737" s="320">
        <v>7.0</v>
      </c>
      <c r="AF737" s="320">
        <v>14.0</v>
      </c>
      <c r="AG737" s="320">
        <v>25.0</v>
      </c>
      <c r="AH737" s="320">
        <v>36.0</v>
      </c>
      <c r="AI737" s="320">
        <v>60.44</v>
      </c>
      <c r="AJ737" s="320">
        <v>24.45</v>
      </c>
      <c r="AK737" s="320">
        <v>6.12</v>
      </c>
      <c r="AL737" s="320">
        <v>0.2069</v>
      </c>
      <c r="AM737" s="320">
        <v>22.51</v>
      </c>
      <c r="AN737" s="320">
        <v>271.55</v>
      </c>
      <c r="AO737" s="320">
        <v>35.36</v>
      </c>
      <c r="AP737" s="320">
        <v>7.96</v>
      </c>
    </row>
    <row r="738">
      <c r="A738" s="319" t="s">
        <v>258</v>
      </c>
      <c r="B738" s="328">
        <v>46052.0</v>
      </c>
      <c r="C738" s="319" t="s">
        <v>217</v>
      </c>
      <c r="D738" s="320">
        <v>3502.0</v>
      </c>
      <c r="E738" s="320">
        <v>4.31</v>
      </c>
      <c r="F738" s="320">
        <v>22079.9</v>
      </c>
      <c r="G738" s="320">
        <v>6.3049</v>
      </c>
      <c r="H738" s="320">
        <v>45.95</v>
      </c>
      <c r="I738" s="320">
        <v>13.7227</v>
      </c>
      <c r="J738" s="320">
        <v>138.19</v>
      </c>
      <c r="K738" s="320">
        <v>84.08</v>
      </c>
      <c r="L738" s="320">
        <v>56.02</v>
      </c>
      <c r="M738" s="320">
        <v>0.6663</v>
      </c>
      <c r="N738" s="320">
        <v>0.421</v>
      </c>
      <c r="O738" s="320">
        <v>0.2415</v>
      </c>
      <c r="P738" s="320">
        <v>1.5009</v>
      </c>
      <c r="Q738" s="320">
        <v>707.32</v>
      </c>
      <c r="R738" s="320">
        <v>588.91</v>
      </c>
      <c r="S738" s="320">
        <v>118.41</v>
      </c>
      <c r="T738" s="320">
        <v>410.4</v>
      </c>
      <c r="U738" s="320">
        <v>296.92</v>
      </c>
      <c r="V738" s="320">
        <v>730.14</v>
      </c>
      <c r="W738" s="320">
        <v>8.6834</v>
      </c>
      <c r="X738" s="320">
        <v>58.02</v>
      </c>
      <c r="Y738" s="320">
        <v>104.0</v>
      </c>
      <c r="Z738" s="320">
        <v>321.0</v>
      </c>
      <c r="AA738" s="320">
        <v>1075.0</v>
      </c>
      <c r="AB738" s="320">
        <v>57.3905</v>
      </c>
      <c r="AC738" s="320">
        <v>0.7606</v>
      </c>
      <c r="AD738" s="320">
        <v>36.58</v>
      </c>
      <c r="AE738" s="320">
        <v>14.0</v>
      </c>
      <c r="AF738" s="320">
        <v>30.0</v>
      </c>
      <c r="AG738" s="320">
        <v>51.0</v>
      </c>
      <c r="AH738" s="320">
        <v>76.0</v>
      </c>
      <c r="AI738" s="320">
        <v>52.77</v>
      </c>
      <c r="AJ738" s="320">
        <v>18.73</v>
      </c>
      <c r="AK738" s="320">
        <v>3.66</v>
      </c>
      <c r="AL738" s="320">
        <v>0.2027</v>
      </c>
      <c r="AM738" s="320">
        <v>21.08</v>
      </c>
      <c r="AN738" s="320">
        <v>567.83</v>
      </c>
      <c r="AO738" s="320">
        <v>35.69</v>
      </c>
      <c r="AP738" s="320">
        <v>7.52</v>
      </c>
    </row>
    <row r="739">
      <c r="A739" s="319" t="s">
        <v>258</v>
      </c>
      <c r="B739" s="328">
        <v>46052.0</v>
      </c>
      <c r="C739" s="319" t="s">
        <v>218</v>
      </c>
      <c r="D739" s="320">
        <v>403.0</v>
      </c>
      <c r="E739" s="320">
        <v>0.5</v>
      </c>
      <c r="F739" s="320">
        <v>5011.96</v>
      </c>
      <c r="G739" s="320">
        <v>12.4366</v>
      </c>
      <c r="H739" s="320">
        <v>46.15</v>
      </c>
      <c r="I739" s="320">
        <v>26.946</v>
      </c>
      <c r="J739" s="320">
        <v>260.15</v>
      </c>
      <c r="K739" s="320">
        <v>168.37</v>
      </c>
      <c r="L739" s="320">
        <v>136.51</v>
      </c>
      <c r="M739" s="320">
        <v>0.8107</v>
      </c>
      <c r="N739" s="320">
        <v>0.2829</v>
      </c>
      <c r="O739" s="320">
        <v>0.1803</v>
      </c>
      <c r="P739" s="320">
        <v>1.2335</v>
      </c>
      <c r="Q739" s="320">
        <v>1402.15</v>
      </c>
      <c r="R739" s="320">
        <v>1115.91</v>
      </c>
      <c r="S739" s="320">
        <v>286.24</v>
      </c>
      <c r="T739" s="320">
        <v>771.55</v>
      </c>
      <c r="U739" s="320">
        <v>630.6</v>
      </c>
      <c r="V739" s="320">
        <v>1500.37</v>
      </c>
      <c r="W739" s="320">
        <v>8.9109</v>
      </c>
      <c r="X739" s="320">
        <v>55.03</v>
      </c>
      <c r="Y739" s="320">
        <v>146.0</v>
      </c>
      <c r="Z739" s="320">
        <v>570.0</v>
      </c>
      <c r="AA739" s="320">
        <v>2463.0</v>
      </c>
      <c r="AB739" s="320">
        <v>61.6161</v>
      </c>
      <c r="AC739" s="320">
        <v>0.8362</v>
      </c>
      <c r="AD739" s="320">
        <v>89.04</v>
      </c>
      <c r="AE739" s="320">
        <v>32.0</v>
      </c>
      <c r="AF739" s="320">
        <v>75.0</v>
      </c>
      <c r="AG739" s="320">
        <v>126.0</v>
      </c>
      <c r="AH739" s="320">
        <v>183.0</v>
      </c>
      <c r="AI739" s="320">
        <v>46.9</v>
      </c>
      <c r="AJ739" s="320">
        <v>12.16</v>
      </c>
      <c r="AK739" s="320">
        <v>1.74</v>
      </c>
      <c r="AL739" s="320">
        <v>0.1315</v>
      </c>
      <c r="AM739" s="320">
        <v>20.45</v>
      </c>
      <c r="AN739" s="320">
        <v>1095.47</v>
      </c>
      <c r="AO739" s="320">
        <v>35.81</v>
      </c>
      <c r="AP739" s="320">
        <v>7.32</v>
      </c>
    </row>
    <row r="740">
      <c r="A740" s="319" t="s">
        <v>258</v>
      </c>
      <c r="B740" s="328">
        <v>46053.0</v>
      </c>
      <c r="C740" s="319" t="s">
        <v>257</v>
      </c>
      <c r="D740" s="320">
        <v>16854.0</v>
      </c>
      <c r="E740" s="320">
        <v>20.85</v>
      </c>
      <c r="F740" s="320">
        <v>164.08</v>
      </c>
      <c r="G740" s="320">
        <v>0.0097</v>
      </c>
      <c r="H740" s="320">
        <v>0.2</v>
      </c>
      <c r="I740" s="320">
        <v>4.8259</v>
      </c>
      <c r="J740" s="320">
        <v>6.15</v>
      </c>
      <c r="K740" s="320">
        <v>2.83</v>
      </c>
      <c r="L740" s="320">
        <v>0.09</v>
      </c>
      <c r="M740" s="320">
        <v>0.0335</v>
      </c>
      <c r="N740" s="320">
        <v>0.9682</v>
      </c>
      <c r="O740" s="320">
        <v>0.6471</v>
      </c>
      <c r="P740" s="320">
        <v>29.8562</v>
      </c>
      <c r="Q740" s="320">
        <v>26.28</v>
      </c>
      <c r="R740" s="320">
        <v>26.21</v>
      </c>
      <c r="S740" s="320">
        <v>0.08</v>
      </c>
      <c r="T740" s="320">
        <v>0.76</v>
      </c>
      <c r="U740" s="320">
        <v>25.52</v>
      </c>
      <c r="V740" s="320">
        <v>2.62</v>
      </c>
      <c r="W740" s="320">
        <v>0.9238</v>
      </c>
      <c r="X740" s="320">
        <v>2.89</v>
      </c>
      <c r="Y740" s="320">
        <v>136.0</v>
      </c>
      <c r="Z740" s="320">
        <v>889.0</v>
      </c>
      <c r="AA740" s="320">
        <v>6246.0</v>
      </c>
      <c r="AB740" s="320">
        <v>49.3724</v>
      </c>
      <c r="AC740" s="320">
        <v>0.5039</v>
      </c>
      <c r="AD740" s="329"/>
      <c r="AE740" s="329"/>
      <c r="AF740" s="329"/>
      <c r="AG740" s="329"/>
      <c r="AH740" s="329"/>
      <c r="AI740" s="320">
        <v>0.0</v>
      </c>
      <c r="AJ740" s="320">
        <v>0.0</v>
      </c>
      <c r="AK740" s="320">
        <v>0.0</v>
      </c>
      <c r="AL740" s="320">
        <v>0.2862</v>
      </c>
      <c r="AM740" s="320">
        <v>16.96</v>
      </c>
      <c r="AN740" s="320">
        <v>9.24</v>
      </c>
      <c r="AO740" s="329"/>
      <c r="AP740" s="329"/>
    </row>
    <row r="741">
      <c r="A741" s="319" t="s">
        <v>258</v>
      </c>
      <c r="B741" s="328">
        <v>46053.0</v>
      </c>
      <c r="C741" s="319" t="s">
        <v>214</v>
      </c>
      <c r="D741" s="320">
        <v>34565.0</v>
      </c>
      <c r="E741" s="320">
        <v>42.75</v>
      </c>
      <c r="F741" s="320">
        <v>8600.32</v>
      </c>
      <c r="G741" s="320">
        <v>0.2488</v>
      </c>
      <c r="H741" s="320">
        <v>6.71</v>
      </c>
      <c r="I741" s="320">
        <v>3.7086</v>
      </c>
      <c r="J741" s="320">
        <v>30.42</v>
      </c>
      <c r="K741" s="320">
        <v>16.38</v>
      </c>
      <c r="L741" s="320">
        <v>5.18</v>
      </c>
      <c r="M741" s="320">
        <v>0.3162</v>
      </c>
      <c r="N741" s="320">
        <v>0.7558</v>
      </c>
      <c r="O741" s="320">
        <v>0.5164</v>
      </c>
      <c r="P741" s="320">
        <v>3.1624</v>
      </c>
      <c r="Q741" s="320">
        <v>74.15</v>
      </c>
      <c r="R741" s="320">
        <v>63.59</v>
      </c>
      <c r="S741" s="320">
        <v>10.56</v>
      </c>
      <c r="T741" s="320">
        <v>18.19</v>
      </c>
      <c r="U741" s="320">
        <v>55.95</v>
      </c>
      <c r="V741" s="320">
        <v>77.08</v>
      </c>
      <c r="W741" s="320">
        <v>4.7062</v>
      </c>
      <c r="X741" s="320">
        <v>24.54</v>
      </c>
      <c r="Y741" s="320">
        <v>87.0</v>
      </c>
      <c r="Z741" s="320">
        <v>207.0</v>
      </c>
      <c r="AA741" s="320">
        <v>823.0</v>
      </c>
      <c r="AB741" s="320">
        <v>49.5163</v>
      </c>
      <c r="AC741" s="320">
        <v>0.4594</v>
      </c>
      <c r="AD741" s="320">
        <v>3.41</v>
      </c>
      <c r="AE741" s="320">
        <v>1.0</v>
      </c>
      <c r="AF741" s="320">
        <v>2.0</v>
      </c>
      <c r="AG741" s="320">
        <v>4.0</v>
      </c>
      <c r="AH741" s="320">
        <v>8.0</v>
      </c>
      <c r="AI741" s="320">
        <v>66.52</v>
      </c>
      <c r="AJ741" s="320">
        <v>24.54</v>
      </c>
      <c r="AK741" s="320">
        <v>5.91</v>
      </c>
      <c r="AL741" s="320">
        <v>0.2362</v>
      </c>
      <c r="AM741" s="320">
        <v>22.12</v>
      </c>
      <c r="AN741" s="320">
        <v>41.47</v>
      </c>
      <c r="AO741" s="320">
        <v>40.92</v>
      </c>
      <c r="AP741" s="320">
        <v>9.05</v>
      </c>
    </row>
    <row r="742">
      <c r="A742" s="319" t="s">
        <v>258</v>
      </c>
      <c r="B742" s="328">
        <v>46053.0</v>
      </c>
      <c r="C742" s="319" t="s">
        <v>215</v>
      </c>
      <c r="D742" s="320">
        <v>16594.0</v>
      </c>
      <c r="E742" s="320">
        <v>20.52</v>
      </c>
      <c r="F742" s="320">
        <v>17731.1</v>
      </c>
      <c r="G742" s="320">
        <v>1.0685</v>
      </c>
      <c r="H742" s="320">
        <v>21.42</v>
      </c>
      <c r="I742" s="320">
        <v>4.9891</v>
      </c>
      <c r="J742" s="320">
        <v>57.85</v>
      </c>
      <c r="K742" s="320">
        <v>32.77</v>
      </c>
      <c r="L742" s="320">
        <v>14.08</v>
      </c>
      <c r="M742" s="320">
        <v>0.4298</v>
      </c>
      <c r="N742" s="320">
        <v>0.6374</v>
      </c>
      <c r="O742" s="320">
        <v>0.374</v>
      </c>
      <c r="P742" s="320">
        <v>2.3267</v>
      </c>
      <c r="Q742" s="320">
        <v>178.28</v>
      </c>
      <c r="R742" s="320">
        <v>148.9</v>
      </c>
      <c r="S742" s="320">
        <v>29.38</v>
      </c>
      <c r="T742" s="320">
        <v>72.02</v>
      </c>
      <c r="U742" s="320">
        <v>106.26</v>
      </c>
      <c r="V742" s="320">
        <v>189.84</v>
      </c>
      <c r="W742" s="320">
        <v>5.794</v>
      </c>
      <c r="X742" s="320">
        <v>40.4</v>
      </c>
      <c r="Y742" s="320">
        <v>84.0</v>
      </c>
      <c r="Z742" s="320">
        <v>202.0</v>
      </c>
      <c r="AA742" s="320">
        <v>710.0</v>
      </c>
      <c r="AB742" s="320">
        <v>52.1974</v>
      </c>
      <c r="AC742" s="320">
        <v>0.5419</v>
      </c>
      <c r="AD742" s="320">
        <v>9.18</v>
      </c>
      <c r="AE742" s="320">
        <v>3.0</v>
      </c>
      <c r="AF742" s="320">
        <v>7.0</v>
      </c>
      <c r="AG742" s="320">
        <v>13.0</v>
      </c>
      <c r="AH742" s="320">
        <v>20.0</v>
      </c>
      <c r="AI742" s="320">
        <v>58.48</v>
      </c>
      <c r="AJ742" s="320">
        <v>25.99</v>
      </c>
      <c r="AK742" s="320">
        <v>4.45</v>
      </c>
      <c r="AL742" s="320">
        <v>0.201</v>
      </c>
      <c r="AM742" s="320">
        <v>23.64</v>
      </c>
      <c r="AN742" s="320">
        <v>125.26</v>
      </c>
      <c r="AO742" s="320">
        <v>44.83</v>
      </c>
      <c r="AP742" s="320">
        <v>10.6</v>
      </c>
    </row>
    <row r="743">
      <c r="A743" s="319" t="s">
        <v>258</v>
      </c>
      <c r="B743" s="328">
        <v>46053.0</v>
      </c>
      <c r="C743" s="319" t="s">
        <v>216</v>
      </c>
      <c r="D743" s="320">
        <v>8897.0</v>
      </c>
      <c r="E743" s="320">
        <v>11.0</v>
      </c>
      <c r="F743" s="320">
        <v>24260.92</v>
      </c>
      <c r="G743" s="320">
        <v>2.7269</v>
      </c>
      <c r="H743" s="320">
        <v>33.94</v>
      </c>
      <c r="I743" s="320">
        <v>8.0334</v>
      </c>
      <c r="J743" s="320">
        <v>85.89</v>
      </c>
      <c r="K743" s="320">
        <v>50.34</v>
      </c>
      <c r="L743" s="320">
        <v>27.2</v>
      </c>
      <c r="M743" s="320">
        <v>0.5403</v>
      </c>
      <c r="N743" s="320">
        <v>0.5344</v>
      </c>
      <c r="O743" s="320">
        <v>0.3022</v>
      </c>
      <c r="P743" s="320">
        <v>1.8509</v>
      </c>
      <c r="Q743" s="320">
        <v>353.36</v>
      </c>
      <c r="R743" s="320">
        <v>296.26</v>
      </c>
      <c r="S743" s="320">
        <v>57.11</v>
      </c>
      <c r="T743" s="320">
        <v>175.54</v>
      </c>
      <c r="U743" s="320">
        <v>177.82</v>
      </c>
      <c r="V743" s="320">
        <v>365.49</v>
      </c>
      <c r="W743" s="320">
        <v>7.2603</v>
      </c>
      <c r="X743" s="320">
        <v>49.68</v>
      </c>
      <c r="Y743" s="320">
        <v>90.0</v>
      </c>
      <c r="Z743" s="320">
        <v>235.0</v>
      </c>
      <c r="AA743" s="320">
        <v>765.0</v>
      </c>
      <c r="AB743" s="320">
        <v>54.1706</v>
      </c>
      <c r="AC743" s="320">
        <v>0.6507</v>
      </c>
      <c r="AD743" s="320">
        <v>17.68</v>
      </c>
      <c r="AE743" s="320">
        <v>6.0</v>
      </c>
      <c r="AF743" s="320">
        <v>14.0</v>
      </c>
      <c r="AG743" s="320">
        <v>25.0</v>
      </c>
      <c r="AH743" s="320">
        <v>37.0</v>
      </c>
      <c r="AI743" s="320">
        <v>58.55</v>
      </c>
      <c r="AJ743" s="320">
        <v>24.15</v>
      </c>
      <c r="AK743" s="320">
        <v>6.7</v>
      </c>
      <c r="AL743" s="320">
        <v>0.2093</v>
      </c>
      <c r="AM743" s="320">
        <v>22.48</v>
      </c>
      <c r="AN743" s="320">
        <v>273.78</v>
      </c>
      <c r="AO743" s="320">
        <v>44.41</v>
      </c>
      <c r="AP743" s="320">
        <v>9.98</v>
      </c>
    </row>
    <row r="744">
      <c r="A744" s="319" t="s">
        <v>258</v>
      </c>
      <c r="B744" s="328">
        <v>46053.0</v>
      </c>
      <c r="C744" s="319" t="s">
        <v>217</v>
      </c>
      <c r="D744" s="320">
        <v>3537.0</v>
      </c>
      <c r="E744" s="320">
        <v>4.37</v>
      </c>
      <c r="F744" s="320">
        <v>21574.1</v>
      </c>
      <c r="G744" s="320">
        <v>6.0995</v>
      </c>
      <c r="H744" s="320">
        <v>44.25</v>
      </c>
      <c r="I744" s="320">
        <v>13.7854</v>
      </c>
      <c r="J744" s="320">
        <v>132.25</v>
      </c>
      <c r="K744" s="320">
        <v>81.45</v>
      </c>
      <c r="L744" s="320">
        <v>56.48</v>
      </c>
      <c r="M744" s="320">
        <v>0.6934</v>
      </c>
      <c r="N744" s="320">
        <v>0.3976</v>
      </c>
      <c r="O744" s="320">
        <v>0.2314</v>
      </c>
      <c r="P744" s="320">
        <v>1.4421</v>
      </c>
      <c r="Q744" s="320">
        <v>719.09</v>
      </c>
      <c r="R744" s="320">
        <v>599.97</v>
      </c>
      <c r="S744" s="320">
        <v>119.12</v>
      </c>
      <c r="T744" s="320">
        <v>380.86</v>
      </c>
      <c r="U744" s="320">
        <v>338.23</v>
      </c>
      <c r="V744" s="320">
        <v>744.67</v>
      </c>
      <c r="W744" s="320">
        <v>9.1426</v>
      </c>
      <c r="X744" s="320">
        <v>52.96</v>
      </c>
      <c r="Y744" s="320">
        <v>108.0</v>
      </c>
      <c r="Z744" s="320">
        <v>365.0</v>
      </c>
      <c r="AA744" s="320">
        <v>1111.0</v>
      </c>
      <c r="AB744" s="320">
        <v>57.2982</v>
      </c>
      <c r="AC744" s="320">
        <v>0.7521</v>
      </c>
      <c r="AD744" s="320">
        <v>37.84</v>
      </c>
      <c r="AE744" s="320">
        <v>13.0</v>
      </c>
      <c r="AF744" s="320">
        <v>30.0</v>
      </c>
      <c r="AG744" s="320">
        <v>53.0</v>
      </c>
      <c r="AH744" s="320">
        <v>79.0</v>
      </c>
      <c r="AI744" s="320">
        <v>54.11</v>
      </c>
      <c r="AJ744" s="320">
        <v>20.02</v>
      </c>
      <c r="AK744" s="320">
        <v>4.69</v>
      </c>
      <c r="AL744" s="320">
        <v>0.1889</v>
      </c>
      <c r="AM744" s="320">
        <v>22.63</v>
      </c>
      <c r="AN744" s="320">
        <v>577.34</v>
      </c>
      <c r="AO744" s="320">
        <v>44.34</v>
      </c>
      <c r="AP744" s="320">
        <v>10.03</v>
      </c>
    </row>
    <row r="745">
      <c r="A745" s="319" t="s">
        <v>258</v>
      </c>
      <c r="B745" s="328">
        <v>46053.0</v>
      </c>
      <c r="C745" s="319" t="s">
        <v>218</v>
      </c>
      <c r="D745" s="320">
        <v>405.0</v>
      </c>
      <c r="E745" s="320">
        <v>0.5</v>
      </c>
      <c r="F745" s="320">
        <v>5354.15</v>
      </c>
      <c r="G745" s="320">
        <v>13.2201</v>
      </c>
      <c r="H745" s="320">
        <v>43.46</v>
      </c>
      <c r="I745" s="320">
        <v>30.4213</v>
      </c>
      <c r="J745" s="320">
        <v>263.53</v>
      </c>
      <c r="K745" s="320">
        <v>172.32</v>
      </c>
      <c r="L745" s="320">
        <v>142.42</v>
      </c>
      <c r="M745" s="320">
        <v>0.8265</v>
      </c>
      <c r="N745" s="320">
        <v>0.2637</v>
      </c>
      <c r="O745" s="320">
        <v>0.1701</v>
      </c>
      <c r="P745" s="320">
        <v>1.2099</v>
      </c>
      <c r="Q745" s="320">
        <v>1565.42</v>
      </c>
      <c r="R745" s="320">
        <v>1265.32</v>
      </c>
      <c r="S745" s="320">
        <v>300.1</v>
      </c>
      <c r="T745" s="320">
        <v>848.46</v>
      </c>
      <c r="U745" s="320">
        <v>716.96</v>
      </c>
      <c r="V745" s="320">
        <v>1598.27</v>
      </c>
      <c r="W745" s="320">
        <v>9.2752</v>
      </c>
      <c r="X745" s="320">
        <v>54.2</v>
      </c>
      <c r="Y745" s="320">
        <v>192.0</v>
      </c>
      <c r="Z745" s="320">
        <v>720.0</v>
      </c>
      <c r="AA745" s="320">
        <v>2174.0</v>
      </c>
      <c r="AB745" s="320">
        <v>61.2481</v>
      </c>
      <c r="AC745" s="320">
        <v>0.8417</v>
      </c>
      <c r="AD745" s="320">
        <v>91.64</v>
      </c>
      <c r="AE745" s="320">
        <v>30.0</v>
      </c>
      <c r="AF745" s="320">
        <v>74.0</v>
      </c>
      <c r="AG745" s="320">
        <v>125.0</v>
      </c>
      <c r="AH745" s="320">
        <v>183.0</v>
      </c>
      <c r="AI745" s="320">
        <v>47.9</v>
      </c>
      <c r="AJ745" s="320">
        <v>12.1</v>
      </c>
      <c r="AK745" s="320">
        <v>3.95</v>
      </c>
      <c r="AL745" s="320">
        <v>0.1531</v>
      </c>
      <c r="AM745" s="320">
        <v>22.26</v>
      </c>
      <c r="AN745" s="320">
        <v>1243.06</v>
      </c>
      <c r="AO745" s="320">
        <v>42.86</v>
      </c>
      <c r="AP745" s="320">
        <v>9.54</v>
      </c>
    </row>
    <row r="746">
      <c r="A746" s="319" t="s">
        <v>258</v>
      </c>
      <c r="B746" s="328">
        <v>46054.0</v>
      </c>
      <c r="C746" s="319" t="s">
        <v>257</v>
      </c>
      <c r="D746" s="320">
        <v>17004.0</v>
      </c>
      <c r="E746" s="320">
        <v>20.78</v>
      </c>
      <c r="F746" s="320">
        <v>141.0</v>
      </c>
      <c r="G746" s="320">
        <v>0.0083</v>
      </c>
      <c r="H746" s="320">
        <v>0.2</v>
      </c>
      <c r="I746" s="320">
        <v>4.1471</v>
      </c>
      <c r="J746" s="320">
        <v>6.53</v>
      </c>
      <c r="K746" s="320">
        <v>3.01</v>
      </c>
      <c r="L746" s="320">
        <v>0.07</v>
      </c>
      <c r="M746" s="320">
        <v>0.0219</v>
      </c>
      <c r="N746" s="320">
        <v>0.9804</v>
      </c>
      <c r="O746" s="320">
        <v>0.7523</v>
      </c>
      <c r="P746" s="320">
        <v>45.5824</v>
      </c>
      <c r="Q746" s="320">
        <v>23.67</v>
      </c>
      <c r="R746" s="320">
        <v>23.6</v>
      </c>
      <c r="S746" s="320">
        <v>0.07</v>
      </c>
      <c r="T746" s="320">
        <v>0.73</v>
      </c>
      <c r="U746" s="320">
        <v>22.94</v>
      </c>
      <c r="V746" s="320">
        <v>2.4</v>
      </c>
      <c r="W746" s="320">
        <v>0.7961</v>
      </c>
      <c r="X746" s="320">
        <v>3.09</v>
      </c>
      <c r="Y746" s="320">
        <v>133.0</v>
      </c>
      <c r="Z746" s="320">
        <v>922.0</v>
      </c>
      <c r="AA746" s="320">
        <v>6354.0</v>
      </c>
      <c r="AB746" s="320">
        <v>49.623</v>
      </c>
      <c r="AC746" s="320">
        <v>0.5286</v>
      </c>
      <c r="AD746" s="329"/>
      <c r="AE746" s="329"/>
      <c r="AF746" s="329"/>
      <c r="AG746" s="329"/>
      <c r="AH746" s="329"/>
      <c r="AI746" s="320">
        <v>0.0</v>
      </c>
      <c r="AJ746" s="320">
        <v>0.0</v>
      </c>
      <c r="AK746" s="320">
        <v>0.0</v>
      </c>
      <c r="AL746" s="320">
        <v>0.2965</v>
      </c>
      <c r="AM746" s="320">
        <v>16.97</v>
      </c>
      <c r="AN746" s="320">
        <v>6.63</v>
      </c>
      <c r="AO746" s="329"/>
      <c r="AP746" s="329"/>
    </row>
    <row r="747">
      <c r="A747" s="319" t="s">
        <v>258</v>
      </c>
      <c r="B747" s="328">
        <v>46054.0</v>
      </c>
      <c r="C747" s="319" t="s">
        <v>214</v>
      </c>
      <c r="D747" s="320">
        <v>34431.0</v>
      </c>
      <c r="E747" s="320">
        <v>42.08</v>
      </c>
      <c r="F747" s="320">
        <v>8407.32</v>
      </c>
      <c r="G747" s="320">
        <v>0.2442</v>
      </c>
      <c r="H747" s="320">
        <v>6.97</v>
      </c>
      <c r="I747" s="320">
        <v>3.5045</v>
      </c>
      <c r="J747" s="320">
        <v>33.97</v>
      </c>
      <c r="K747" s="320">
        <v>18.68</v>
      </c>
      <c r="L747" s="320">
        <v>5.29</v>
      </c>
      <c r="M747" s="320">
        <v>0.2834</v>
      </c>
      <c r="N747" s="320">
        <v>0.7795</v>
      </c>
      <c r="O747" s="320">
        <v>0.5312</v>
      </c>
      <c r="P747" s="320">
        <v>3.528</v>
      </c>
      <c r="Q747" s="320">
        <v>66.02</v>
      </c>
      <c r="R747" s="320">
        <v>55.14</v>
      </c>
      <c r="S747" s="320">
        <v>10.88</v>
      </c>
      <c r="T747" s="320">
        <v>17.89</v>
      </c>
      <c r="U747" s="320">
        <v>48.12</v>
      </c>
      <c r="V747" s="320">
        <v>74.84</v>
      </c>
      <c r="W747" s="320">
        <v>4.0069</v>
      </c>
      <c r="X747" s="320">
        <v>27.1</v>
      </c>
      <c r="Y747" s="320">
        <v>85.0</v>
      </c>
      <c r="Z747" s="320">
        <v>198.0</v>
      </c>
      <c r="AA747" s="320">
        <v>807.0</v>
      </c>
      <c r="AB747" s="320">
        <v>49.3728</v>
      </c>
      <c r="AC747" s="320">
        <v>0.4497</v>
      </c>
      <c r="AD747" s="320">
        <v>3.4</v>
      </c>
      <c r="AE747" s="320">
        <v>1.0</v>
      </c>
      <c r="AF747" s="320">
        <v>2.0</v>
      </c>
      <c r="AG747" s="320">
        <v>4.0</v>
      </c>
      <c r="AH747" s="320">
        <v>8.0</v>
      </c>
      <c r="AI747" s="320">
        <v>66.57</v>
      </c>
      <c r="AJ747" s="320">
        <v>23.74</v>
      </c>
      <c r="AK747" s="320">
        <v>5.79</v>
      </c>
      <c r="AL747" s="320">
        <v>0.2492</v>
      </c>
      <c r="AM747" s="320">
        <v>20.64</v>
      </c>
      <c r="AN747" s="320">
        <v>34.5</v>
      </c>
      <c r="AO747" s="320">
        <v>49.45</v>
      </c>
      <c r="AP747" s="320">
        <v>10.21</v>
      </c>
    </row>
    <row r="748">
      <c r="A748" s="319" t="s">
        <v>258</v>
      </c>
      <c r="B748" s="328">
        <v>46054.0</v>
      </c>
      <c r="C748" s="319" t="s">
        <v>215</v>
      </c>
      <c r="D748" s="320">
        <v>17013.0</v>
      </c>
      <c r="E748" s="320">
        <v>20.79</v>
      </c>
      <c r="F748" s="320">
        <v>18685.11</v>
      </c>
      <c r="G748" s="320">
        <v>1.0983</v>
      </c>
      <c r="H748" s="320">
        <v>21.75</v>
      </c>
      <c r="I748" s="320">
        <v>5.05</v>
      </c>
      <c r="J748" s="320">
        <v>63.9</v>
      </c>
      <c r="K748" s="320">
        <v>36.71</v>
      </c>
      <c r="L748" s="320">
        <v>14.16</v>
      </c>
      <c r="M748" s="320">
        <v>0.3858</v>
      </c>
      <c r="N748" s="320">
        <v>0.6719</v>
      </c>
      <c r="O748" s="320">
        <v>0.3946</v>
      </c>
      <c r="P748" s="320">
        <v>2.5918</v>
      </c>
      <c r="Q748" s="320">
        <v>159.46</v>
      </c>
      <c r="R748" s="320">
        <v>129.91</v>
      </c>
      <c r="S748" s="320">
        <v>29.55</v>
      </c>
      <c r="T748" s="320">
        <v>74.73</v>
      </c>
      <c r="U748" s="320">
        <v>84.74</v>
      </c>
      <c r="V748" s="320">
        <v>177.98</v>
      </c>
      <c r="W748" s="320">
        <v>4.8485</v>
      </c>
      <c r="X748" s="320">
        <v>46.86</v>
      </c>
      <c r="Y748" s="320">
        <v>81.0</v>
      </c>
      <c r="Z748" s="320">
        <v>176.0</v>
      </c>
      <c r="AA748" s="320">
        <v>649.0</v>
      </c>
      <c r="AB748" s="320">
        <v>52.1684</v>
      </c>
      <c r="AC748" s="320">
        <v>0.543</v>
      </c>
      <c r="AD748" s="320">
        <v>8.78</v>
      </c>
      <c r="AE748" s="320">
        <v>3.0</v>
      </c>
      <c r="AF748" s="320">
        <v>6.0</v>
      </c>
      <c r="AG748" s="320">
        <v>12.0</v>
      </c>
      <c r="AH748" s="320">
        <v>19.0</v>
      </c>
      <c r="AI748" s="320">
        <v>55.39</v>
      </c>
      <c r="AJ748" s="320">
        <v>23.91</v>
      </c>
      <c r="AK748" s="320">
        <v>4.23</v>
      </c>
      <c r="AL748" s="320">
        <v>0.2132</v>
      </c>
      <c r="AM748" s="320">
        <v>21.33</v>
      </c>
      <c r="AN748" s="320">
        <v>108.58</v>
      </c>
      <c r="AO748" s="320">
        <v>54.4</v>
      </c>
      <c r="AP748" s="320">
        <v>11.6</v>
      </c>
    </row>
    <row r="749">
      <c r="A749" s="319" t="s">
        <v>258</v>
      </c>
      <c r="B749" s="328">
        <v>46054.0</v>
      </c>
      <c r="C749" s="319" t="s">
        <v>216</v>
      </c>
      <c r="D749" s="320">
        <v>9223.0</v>
      </c>
      <c r="E749" s="320">
        <v>11.27</v>
      </c>
      <c r="F749" s="320">
        <v>26085.53</v>
      </c>
      <c r="G749" s="320">
        <v>2.8283</v>
      </c>
      <c r="H749" s="320">
        <v>34.53</v>
      </c>
      <c r="I749" s="320">
        <v>8.1901</v>
      </c>
      <c r="J749" s="320">
        <v>92.86</v>
      </c>
      <c r="K749" s="320">
        <v>55.15</v>
      </c>
      <c r="L749" s="320">
        <v>27.79</v>
      </c>
      <c r="M749" s="320">
        <v>0.5038</v>
      </c>
      <c r="N749" s="320">
        <v>0.5628</v>
      </c>
      <c r="O749" s="320">
        <v>0.3122</v>
      </c>
      <c r="P749" s="320">
        <v>1.9849</v>
      </c>
      <c r="Q749" s="320">
        <v>319.98</v>
      </c>
      <c r="R749" s="320">
        <v>261.71</v>
      </c>
      <c r="S749" s="320">
        <v>58.27</v>
      </c>
      <c r="T749" s="320">
        <v>181.64</v>
      </c>
      <c r="U749" s="320">
        <v>138.34</v>
      </c>
      <c r="V749" s="320">
        <v>350.73</v>
      </c>
      <c r="W749" s="320">
        <v>6.359</v>
      </c>
      <c r="X749" s="320">
        <v>56.77</v>
      </c>
      <c r="Y749" s="320">
        <v>85.0</v>
      </c>
      <c r="Z749" s="320">
        <v>210.0</v>
      </c>
      <c r="AA749" s="320">
        <v>759.0</v>
      </c>
      <c r="AB749" s="320">
        <v>54.2145</v>
      </c>
      <c r="AC749" s="320">
        <v>0.6527</v>
      </c>
      <c r="AD749" s="320">
        <v>17.35</v>
      </c>
      <c r="AE749" s="320">
        <v>6.0</v>
      </c>
      <c r="AF749" s="320">
        <v>13.0</v>
      </c>
      <c r="AG749" s="320">
        <v>24.0</v>
      </c>
      <c r="AH749" s="320">
        <v>37.0</v>
      </c>
      <c r="AI749" s="320">
        <v>55.51</v>
      </c>
      <c r="AJ749" s="320">
        <v>23.43</v>
      </c>
      <c r="AK749" s="320">
        <v>7.36</v>
      </c>
      <c r="AL749" s="320">
        <v>0.2217</v>
      </c>
      <c r="AM749" s="320">
        <v>20.99</v>
      </c>
      <c r="AN749" s="320">
        <v>240.72</v>
      </c>
      <c r="AO749" s="320">
        <v>54.08</v>
      </c>
      <c r="AP749" s="320">
        <v>11.35</v>
      </c>
    </row>
    <row r="750">
      <c r="A750" s="319" t="s">
        <v>258</v>
      </c>
      <c r="B750" s="328">
        <v>46054.0</v>
      </c>
      <c r="C750" s="319" t="s">
        <v>217</v>
      </c>
      <c r="D750" s="320">
        <v>3686.0</v>
      </c>
      <c r="E750" s="320">
        <v>4.5</v>
      </c>
      <c r="F750" s="320">
        <v>24652.26</v>
      </c>
      <c r="G750" s="320">
        <v>6.6881</v>
      </c>
      <c r="H750" s="320">
        <v>45.17</v>
      </c>
      <c r="I750" s="320">
        <v>14.8062</v>
      </c>
      <c r="J750" s="320">
        <v>135.5</v>
      </c>
      <c r="K750" s="320">
        <v>84.03</v>
      </c>
      <c r="L750" s="320">
        <v>56.21</v>
      </c>
      <c r="M750" s="320">
        <v>0.669</v>
      </c>
      <c r="N750" s="320">
        <v>0.417</v>
      </c>
      <c r="O750" s="320">
        <v>0.2358</v>
      </c>
      <c r="P750" s="320">
        <v>1.4949</v>
      </c>
      <c r="Q750" s="320">
        <v>667.14</v>
      </c>
      <c r="R750" s="320">
        <v>549.04</v>
      </c>
      <c r="S750" s="320">
        <v>118.1</v>
      </c>
      <c r="T750" s="320">
        <v>409.58</v>
      </c>
      <c r="U750" s="320">
        <v>257.56</v>
      </c>
      <c r="V750" s="320">
        <v>731.84</v>
      </c>
      <c r="W750" s="320">
        <v>8.7094</v>
      </c>
      <c r="X750" s="320">
        <v>61.39</v>
      </c>
      <c r="Y750" s="320">
        <v>98.0</v>
      </c>
      <c r="Z750" s="320">
        <v>327.0</v>
      </c>
      <c r="AA750" s="320">
        <v>1129.0</v>
      </c>
      <c r="AB750" s="320">
        <v>57.4474</v>
      </c>
      <c r="AC750" s="320">
        <v>0.7711</v>
      </c>
      <c r="AD750" s="320">
        <v>36.95</v>
      </c>
      <c r="AE750" s="320">
        <v>12.0</v>
      </c>
      <c r="AF750" s="320">
        <v>28.0</v>
      </c>
      <c r="AG750" s="320">
        <v>52.0</v>
      </c>
      <c r="AH750" s="320">
        <v>78.0</v>
      </c>
      <c r="AI750" s="320">
        <v>51.87</v>
      </c>
      <c r="AJ750" s="320">
        <v>19.83</v>
      </c>
      <c r="AK750" s="320">
        <v>4.83</v>
      </c>
      <c r="AL750" s="320">
        <v>0.2238</v>
      </c>
      <c r="AM750" s="320">
        <v>21.6</v>
      </c>
      <c r="AN750" s="320">
        <v>527.44</v>
      </c>
      <c r="AO750" s="320">
        <v>53.16</v>
      </c>
      <c r="AP750" s="320">
        <v>11.48</v>
      </c>
    </row>
    <row r="751">
      <c r="A751" s="319" t="s">
        <v>258</v>
      </c>
      <c r="B751" s="328">
        <v>46054.0</v>
      </c>
      <c r="C751" s="319" t="s">
        <v>218</v>
      </c>
      <c r="D751" s="320">
        <v>472.0</v>
      </c>
      <c r="E751" s="320">
        <v>0.58</v>
      </c>
      <c r="F751" s="320">
        <v>5112.26</v>
      </c>
      <c r="G751" s="320">
        <v>10.8311</v>
      </c>
      <c r="H751" s="320">
        <v>44.92</v>
      </c>
      <c r="I751" s="320">
        <v>24.1144</v>
      </c>
      <c r="J751" s="320">
        <v>267.93</v>
      </c>
      <c r="K751" s="320">
        <v>179.23</v>
      </c>
      <c r="L751" s="320">
        <v>144.9</v>
      </c>
      <c r="M751" s="320">
        <v>0.8085</v>
      </c>
      <c r="N751" s="320">
        <v>0.2666</v>
      </c>
      <c r="O751" s="320">
        <v>0.1596</v>
      </c>
      <c r="P751" s="320">
        <v>1.2369</v>
      </c>
      <c r="Q751" s="320">
        <v>1295.45</v>
      </c>
      <c r="R751" s="320">
        <v>990.63</v>
      </c>
      <c r="S751" s="320">
        <v>304.82</v>
      </c>
      <c r="T751" s="320">
        <v>696.82</v>
      </c>
      <c r="U751" s="320">
        <v>598.63</v>
      </c>
      <c r="V751" s="320">
        <v>1361.44</v>
      </c>
      <c r="W751" s="320">
        <v>7.5961</v>
      </c>
      <c r="X751" s="320">
        <v>53.79</v>
      </c>
      <c r="Y751" s="320">
        <v>129.0</v>
      </c>
      <c r="Z751" s="320">
        <v>539.0</v>
      </c>
      <c r="AA751" s="320">
        <v>1958.0</v>
      </c>
      <c r="AB751" s="320">
        <v>61.3922</v>
      </c>
      <c r="AC751" s="320">
        <v>0.8263</v>
      </c>
      <c r="AD751" s="320">
        <v>91.75</v>
      </c>
      <c r="AE751" s="320">
        <v>29.0</v>
      </c>
      <c r="AF751" s="320">
        <v>78.0</v>
      </c>
      <c r="AG751" s="320">
        <v>129.0</v>
      </c>
      <c r="AH751" s="320">
        <v>173.0</v>
      </c>
      <c r="AI751" s="320">
        <v>48.73</v>
      </c>
      <c r="AJ751" s="320">
        <v>9.32</v>
      </c>
      <c r="AK751" s="320">
        <v>2.97</v>
      </c>
      <c r="AL751" s="320">
        <v>0.1992</v>
      </c>
      <c r="AM751" s="320">
        <v>20.16</v>
      </c>
      <c r="AN751" s="320">
        <v>970.47</v>
      </c>
      <c r="AO751" s="320">
        <v>47.49</v>
      </c>
      <c r="AP751" s="320">
        <v>9.57</v>
      </c>
    </row>
    <row r="752">
      <c r="A752" s="319" t="s">
        <v>258</v>
      </c>
      <c r="B752" s="328">
        <v>46055.0</v>
      </c>
      <c r="C752" s="319" t="s">
        <v>257</v>
      </c>
      <c r="D752" s="320">
        <v>16645.0</v>
      </c>
      <c r="E752" s="320">
        <v>19.9</v>
      </c>
      <c r="F752" s="320">
        <v>216.91</v>
      </c>
      <c r="G752" s="320">
        <v>0.013</v>
      </c>
      <c r="H752" s="320">
        <v>0.28</v>
      </c>
      <c r="I752" s="320">
        <v>4.7154</v>
      </c>
      <c r="J752" s="320">
        <v>5.61</v>
      </c>
      <c r="K752" s="320">
        <v>2.51</v>
      </c>
      <c r="L752" s="320">
        <v>0.09</v>
      </c>
      <c r="M752" s="320">
        <v>0.0346</v>
      </c>
      <c r="N752" s="320">
        <v>0.9688</v>
      </c>
      <c r="O752" s="320">
        <v>0.6906</v>
      </c>
      <c r="P752" s="320">
        <v>28.8846</v>
      </c>
      <c r="Q752" s="320">
        <v>36.49</v>
      </c>
      <c r="R752" s="320">
        <v>36.41</v>
      </c>
      <c r="S752" s="320">
        <v>0.09</v>
      </c>
      <c r="T752" s="320">
        <v>1.01</v>
      </c>
      <c r="U752" s="320">
        <v>35.48</v>
      </c>
      <c r="V752" s="320">
        <v>2.9</v>
      </c>
      <c r="W752" s="320">
        <v>1.1532</v>
      </c>
      <c r="X752" s="320">
        <v>2.77</v>
      </c>
      <c r="Y752" s="320">
        <v>179.0</v>
      </c>
      <c r="Z752" s="320">
        <v>1092.0</v>
      </c>
      <c r="AA752" s="320">
        <v>7189.0</v>
      </c>
      <c r="AB752" s="320">
        <v>49.5913</v>
      </c>
      <c r="AC752" s="320">
        <v>0.5307</v>
      </c>
      <c r="AD752" s="329"/>
      <c r="AE752" s="329"/>
      <c r="AF752" s="329"/>
      <c r="AG752" s="329"/>
      <c r="AH752" s="329"/>
      <c r="AI752" s="320">
        <v>0.0</v>
      </c>
      <c r="AJ752" s="320">
        <v>0.0</v>
      </c>
      <c r="AK752" s="320">
        <v>0.0</v>
      </c>
      <c r="AL752" s="320">
        <v>0.2894</v>
      </c>
      <c r="AM752" s="320">
        <v>15.61</v>
      </c>
      <c r="AN752" s="320">
        <v>20.79</v>
      </c>
      <c r="AO752" s="329"/>
      <c r="AP752" s="329"/>
    </row>
    <row r="753">
      <c r="A753" s="319" t="s">
        <v>258</v>
      </c>
      <c r="B753" s="328">
        <v>46055.0</v>
      </c>
      <c r="C753" s="319" t="s">
        <v>214</v>
      </c>
      <c r="D753" s="320">
        <v>35026.0</v>
      </c>
      <c r="E753" s="320">
        <v>41.88</v>
      </c>
      <c r="F753" s="320">
        <v>7629.53</v>
      </c>
      <c r="G753" s="320">
        <v>0.2178</v>
      </c>
      <c r="H753" s="320">
        <v>6.27</v>
      </c>
      <c r="I753" s="320">
        <v>3.4759</v>
      </c>
      <c r="J753" s="320">
        <v>34.57</v>
      </c>
      <c r="K753" s="320">
        <v>18.61</v>
      </c>
      <c r="L753" s="320">
        <v>5.45</v>
      </c>
      <c r="M753" s="320">
        <v>0.2931</v>
      </c>
      <c r="N753" s="320">
        <v>0.7771</v>
      </c>
      <c r="O753" s="320">
        <v>0.5333</v>
      </c>
      <c r="P753" s="320">
        <v>3.4114</v>
      </c>
      <c r="Q753" s="320">
        <v>99.65</v>
      </c>
      <c r="R753" s="320">
        <v>88.77</v>
      </c>
      <c r="S753" s="320">
        <v>10.88</v>
      </c>
      <c r="T753" s="320">
        <v>16.6</v>
      </c>
      <c r="U753" s="320">
        <v>83.05</v>
      </c>
      <c r="V753" s="320">
        <v>89.95</v>
      </c>
      <c r="W753" s="320">
        <v>4.8339</v>
      </c>
      <c r="X753" s="320">
        <v>16.66</v>
      </c>
      <c r="Y753" s="320">
        <v>95.0</v>
      </c>
      <c r="Z753" s="320">
        <v>217.0</v>
      </c>
      <c r="AA753" s="320">
        <v>828.0</v>
      </c>
      <c r="AB753" s="320">
        <v>49.2719</v>
      </c>
      <c r="AC753" s="320">
        <v>0.4376</v>
      </c>
      <c r="AD753" s="320">
        <v>3.48</v>
      </c>
      <c r="AE753" s="320">
        <v>1.0</v>
      </c>
      <c r="AF753" s="320">
        <v>2.0</v>
      </c>
      <c r="AG753" s="320">
        <v>4.0</v>
      </c>
      <c r="AH753" s="320">
        <v>8.0</v>
      </c>
      <c r="AI753" s="320">
        <v>67.4</v>
      </c>
      <c r="AJ753" s="320">
        <v>24.12</v>
      </c>
      <c r="AK753" s="320">
        <v>6.36</v>
      </c>
      <c r="AL753" s="320">
        <v>0.2211</v>
      </c>
      <c r="AM753" s="320">
        <v>18.7</v>
      </c>
      <c r="AN753" s="320">
        <v>70.07</v>
      </c>
      <c r="AO753" s="320">
        <v>58.22</v>
      </c>
      <c r="AP753" s="320">
        <v>10.89</v>
      </c>
    </row>
    <row r="754">
      <c r="A754" s="319" t="s">
        <v>258</v>
      </c>
      <c r="B754" s="328">
        <v>46055.0</v>
      </c>
      <c r="C754" s="319" t="s">
        <v>215</v>
      </c>
      <c r="D754" s="320">
        <v>18075.0</v>
      </c>
      <c r="E754" s="320">
        <v>21.61</v>
      </c>
      <c r="F754" s="320">
        <v>17210.25</v>
      </c>
      <c r="G754" s="320">
        <v>0.9522</v>
      </c>
      <c r="H754" s="320">
        <v>18.84</v>
      </c>
      <c r="I754" s="320">
        <v>5.0544</v>
      </c>
      <c r="J754" s="320">
        <v>62.64</v>
      </c>
      <c r="K754" s="320">
        <v>35.4</v>
      </c>
      <c r="L754" s="320">
        <v>14.3</v>
      </c>
      <c r="M754" s="320">
        <v>0.404</v>
      </c>
      <c r="N754" s="320">
        <v>0.662</v>
      </c>
      <c r="O754" s="320">
        <v>0.3913</v>
      </c>
      <c r="P754" s="320">
        <v>2.475</v>
      </c>
      <c r="Q754" s="320">
        <v>203.6</v>
      </c>
      <c r="R754" s="320">
        <v>174.81</v>
      </c>
      <c r="S754" s="320">
        <v>28.8</v>
      </c>
      <c r="T754" s="320">
        <v>63.97</v>
      </c>
      <c r="U754" s="320">
        <v>139.63</v>
      </c>
      <c r="V754" s="320">
        <v>199.95</v>
      </c>
      <c r="W754" s="320">
        <v>5.6487</v>
      </c>
      <c r="X754" s="320">
        <v>31.42</v>
      </c>
      <c r="Y754" s="320">
        <v>88.0</v>
      </c>
      <c r="Z754" s="320">
        <v>200.0</v>
      </c>
      <c r="AA754" s="320">
        <v>646.0</v>
      </c>
      <c r="AB754" s="320">
        <v>52.1698</v>
      </c>
      <c r="AC754" s="320">
        <v>0.5185</v>
      </c>
      <c r="AD754" s="320">
        <v>8.85</v>
      </c>
      <c r="AE754" s="320">
        <v>3.0</v>
      </c>
      <c r="AF754" s="320">
        <v>6.0</v>
      </c>
      <c r="AG754" s="320">
        <v>12.0</v>
      </c>
      <c r="AH754" s="320">
        <v>19.0</v>
      </c>
      <c r="AI754" s="320">
        <v>54.15</v>
      </c>
      <c r="AJ754" s="320">
        <v>24.4</v>
      </c>
      <c r="AK754" s="320">
        <v>4.72</v>
      </c>
      <c r="AL754" s="320">
        <v>0.1763</v>
      </c>
      <c r="AM754" s="320">
        <v>19.12</v>
      </c>
      <c r="AN754" s="320">
        <v>155.69</v>
      </c>
      <c r="AO754" s="320">
        <v>63.79</v>
      </c>
      <c r="AP754" s="320">
        <v>12.2</v>
      </c>
    </row>
    <row r="755">
      <c r="A755" s="319" t="s">
        <v>258</v>
      </c>
      <c r="B755" s="328">
        <v>46055.0</v>
      </c>
      <c r="C755" s="319" t="s">
        <v>216</v>
      </c>
      <c r="D755" s="320">
        <v>9488.0</v>
      </c>
      <c r="E755" s="320">
        <v>11.34</v>
      </c>
      <c r="F755" s="320">
        <v>23461.22</v>
      </c>
      <c r="G755" s="320">
        <v>2.4727</v>
      </c>
      <c r="H755" s="320">
        <v>30.55</v>
      </c>
      <c r="I755" s="320">
        <v>8.0929</v>
      </c>
      <c r="J755" s="320">
        <v>89.52</v>
      </c>
      <c r="K755" s="320">
        <v>52.75</v>
      </c>
      <c r="L755" s="320">
        <v>28.37</v>
      </c>
      <c r="M755" s="320">
        <v>0.5378</v>
      </c>
      <c r="N755" s="320">
        <v>0.5395</v>
      </c>
      <c r="O755" s="320">
        <v>0.3041</v>
      </c>
      <c r="P755" s="320">
        <v>1.8593</v>
      </c>
      <c r="Q755" s="320">
        <v>387.03</v>
      </c>
      <c r="R755" s="320">
        <v>329.79</v>
      </c>
      <c r="S755" s="320">
        <v>57.24</v>
      </c>
      <c r="T755" s="320">
        <v>160.98</v>
      </c>
      <c r="U755" s="320">
        <v>226.06</v>
      </c>
      <c r="V755" s="320">
        <v>394.19</v>
      </c>
      <c r="W755" s="320">
        <v>7.4732</v>
      </c>
      <c r="X755" s="320">
        <v>41.59</v>
      </c>
      <c r="Y755" s="320">
        <v>94.0</v>
      </c>
      <c r="Z755" s="320">
        <v>259.0</v>
      </c>
      <c r="AA755" s="320">
        <v>854.0</v>
      </c>
      <c r="AB755" s="320">
        <v>54.1675</v>
      </c>
      <c r="AC755" s="320">
        <v>0.6151</v>
      </c>
      <c r="AD755" s="320">
        <v>17.53</v>
      </c>
      <c r="AE755" s="320">
        <v>6.0</v>
      </c>
      <c r="AF755" s="320">
        <v>13.0</v>
      </c>
      <c r="AG755" s="320">
        <v>25.0</v>
      </c>
      <c r="AH755" s="320">
        <v>37.0</v>
      </c>
      <c r="AI755" s="320">
        <v>57.2</v>
      </c>
      <c r="AJ755" s="320">
        <v>24.72</v>
      </c>
      <c r="AK755" s="320">
        <v>6.39</v>
      </c>
      <c r="AL755" s="320">
        <v>0.1819</v>
      </c>
      <c r="AM755" s="320">
        <v>18.9</v>
      </c>
      <c r="AN755" s="320">
        <v>310.89</v>
      </c>
      <c r="AO755" s="320">
        <v>63.07</v>
      </c>
      <c r="AP755" s="320">
        <v>11.92</v>
      </c>
    </row>
    <row r="756">
      <c r="A756" s="319" t="s">
        <v>258</v>
      </c>
      <c r="B756" s="328">
        <v>46055.0</v>
      </c>
      <c r="C756" s="319" t="s">
        <v>217</v>
      </c>
      <c r="D756" s="320">
        <v>3984.0</v>
      </c>
      <c r="E756" s="320">
        <v>4.76</v>
      </c>
      <c r="F756" s="320">
        <v>24418.38</v>
      </c>
      <c r="G756" s="320">
        <v>6.1291</v>
      </c>
      <c r="H756" s="320">
        <v>42.12</v>
      </c>
      <c r="I756" s="320">
        <v>14.5521</v>
      </c>
      <c r="J756" s="320">
        <v>143.28</v>
      </c>
      <c r="K756" s="320">
        <v>87.96</v>
      </c>
      <c r="L756" s="320">
        <v>60.76</v>
      </c>
      <c r="M756" s="320">
        <v>0.6908</v>
      </c>
      <c r="N756" s="320">
        <v>0.4023</v>
      </c>
      <c r="O756" s="320">
        <v>0.2303</v>
      </c>
      <c r="P756" s="320">
        <v>1.4475</v>
      </c>
      <c r="Q756" s="320">
        <v>799.48</v>
      </c>
      <c r="R756" s="320">
        <v>686.61</v>
      </c>
      <c r="S756" s="320">
        <v>112.87</v>
      </c>
      <c r="T756" s="320">
        <v>394.46</v>
      </c>
      <c r="U756" s="320">
        <v>405.02</v>
      </c>
      <c r="V756" s="320">
        <v>810.47</v>
      </c>
      <c r="W756" s="320">
        <v>9.2142</v>
      </c>
      <c r="X756" s="320">
        <v>49.34</v>
      </c>
      <c r="Y756" s="320">
        <v>124.0</v>
      </c>
      <c r="Z756" s="320">
        <v>432.0</v>
      </c>
      <c r="AA756" s="320">
        <v>1404.0</v>
      </c>
      <c r="AB756" s="320">
        <v>57.3162</v>
      </c>
      <c r="AC756" s="320">
        <v>0.664</v>
      </c>
      <c r="AD756" s="320">
        <v>35.7</v>
      </c>
      <c r="AE756" s="320">
        <v>13.0</v>
      </c>
      <c r="AF756" s="320">
        <v>30.0</v>
      </c>
      <c r="AG756" s="320">
        <v>47.0</v>
      </c>
      <c r="AH756" s="320">
        <v>75.0</v>
      </c>
      <c r="AI756" s="320">
        <v>52.31</v>
      </c>
      <c r="AJ756" s="320">
        <v>17.49</v>
      </c>
      <c r="AK756" s="320">
        <v>4.32</v>
      </c>
      <c r="AL756" s="320">
        <v>0.1604</v>
      </c>
      <c r="AM756" s="320">
        <v>19.09</v>
      </c>
      <c r="AN756" s="320">
        <v>667.52</v>
      </c>
      <c r="AO756" s="320">
        <v>59.15</v>
      </c>
      <c r="AP756" s="320">
        <v>11.29</v>
      </c>
    </row>
    <row r="757">
      <c r="A757" s="319" t="s">
        <v>258</v>
      </c>
      <c r="B757" s="328">
        <v>46055.0</v>
      </c>
      <c r="C757" s="319" t="s">
        <v>218</v>
      </c>
      <c r="D757" s="320">
        <v>424.0</v>
      </c>
      <c r="E757" s="320">
        <v>0.51</v>
      </c>
      <c r="F757" s="320">
        <v>3336.32</v>
      </c>
      <c r="G757" s="320">
        <v>7.8687</v>
      </c>
      <c r="H757" s="320">
        <v>37.26</v>
      </c>
      <c r="I757" s="320">
        <v>21.1159</v>
      </c>
      <c r="J757" s="320">
        <v>253.26</v>
      </c>
      <c r="K757" s="320">
        <v>166.32</v>
      </c>
      <c r="L757" s="320">
        <v>137.23</v>
      </c>
      <c r="M757" s="320">
        <v>0.8251</v>
      </c>
      <c r="N757" s="320">
        <v>0.2541</v>
      </c>
      <c r="O757" s="320">
        <v>0.1564</v>
      </c>
      <c r="P757" s="320">
        <v>1.2119</v>
      </c>
      <c r="Q757" s="320">
        <v>1307.25</v>
      </c>
      <c r="R757" s="320">
        <v>1021.29</v>
      </c>
      <c r="S757" s="320">
        <v>285.96</v>
      </c>
      <c r="T757" s="320">
        <v>506.62</v>
      </c>
      <c r="U757" s="320">
        <v>800.63</v>
      </c>
      <c r="V757" s="320">
        <v>1284.43</v>
      </c>
      <c r="W757" s="320">
        <v>7.7229</v>
      </c>
      <c r="X757" s="320">
        <v>38.75</v>
      </c>
      <c r="Y757" s="320">
        <v>196.0</v>
      </c>
      <c r="Z757" s="320">
        <v>657.0</v>
      </c>
      <c r="AA757" s="320">
        <v>2164.0</v>
      </c>
      <c r="AB757" s="320">
        <v>62.6051</v>
      </c>
      <c r="AC757" s="320">
        <v>0.8327</v>
      </c>
      <c r="AD757" s="320">
        <v>92.5</v>
      </c>
      <c r="AE757" s="320">
        <v>29.0</v>
      </c>
      <c r="AF757" s="320">
        <v>70.0</v>
      </c>
      <c r="AG757" s="320">
        <v>138.0</v>
      </c>
      <c r="AH757" s="320">
        <v>209.0</v>
      </c>
      <c r="AI757" s="320">
        <v>45.05</v>
      </c>
      <c r="AJ757" s="320">
        <v>16.27</v>
      </c>
      <c r="AK757" s="320">
        <v>3.07</v>
      </c>
      <c r="AL757" s="320">
        <v>0.1415</v>
      </c>
      <c r="AM757" s="320">
        <v>19.83</v>
      </c>
      <c r="AN757" s="320">
        <v>1001.46</v>
      </c>
      <c r="AO757" s="320">
        <v>60.34</v>
      </c>
      <c r="AP757" s="320">
        <v>11.97</v>
      </c>
    </row>
    <row r="758">
      <c r="A758" s="319" t="s">
        <v>258</v>
      </c>
      <c r="B758" s="328">
        <v>46056.0</v>
      </c>
      <c r="C758" s="319" t="s">
        <v>257</v>
      </c>
      <c r="D758" s="320">
        <v>15767.0</v>
      </c>
      <c r="E758" s="320">
        <v>18.87</v>
      </c>
      <c r="F758" s="320">
        <v>513.85</v>
      </c>
      <c r="G758" s="320">
        <v>0.0326</v>
      </c>
      <c r="H758" s="320">
        <v>1.09</v>
      </c>
      <c r="I758" s="320">
        <v>2.9875</v>
      </c>
      <c r="J758" s="320">
        <v>5.89</v>
      </c>
      <c r="K758" s="320">
        <v>2.66</v>
      </c>
      <c r="L758" s="320">
        <v>0.06</v>
      </c>
      <c r="M758" s="320">
        <v>0.0242</v>
      </c>
      <c r="N758" s="320">
        <v>0.9766</v>
      </c>
      <c r="O758" s="320">
        <v>0.7226</v>
      </c>
      <c r="P758" s="320">
        <v>41.3176</v>
      </c>
      <c r="Q758" s="320">
        <v>35.27</v>
      </c>
      <c r="R758" s="320">
        <v>35.21</v>
      </c>
      <c r="S758" s="320">
        <v>0.05</v>
      </c>
      <c r="T758" s="320">
        <v>1.07</v>
      </c>
      <c r="U758" s="320">
        <v>34.2</v>
      </c>
      <c r="V758" s="320">
        <v>2.31</v>
      </c>
      <c r="W758" s="320">
        <v>0.87</v>
      </c>
      <c r="X758" s="320">
        <v>3.03</v>
      </c>
      <c r="Y758" s="320">
        <v>163.0</v>
      </c>
      <c r="Z758" s="320">
        <v>948.0</v>
      </c>
      <c r="AA758" s="320">
        <v>6707.0</v>
      </c>
      <c r="AB758" s="320">
        <v>49.3604</v>
      </c>
      <c r="AC758" s="320">
        <v>0.5055</v>
      </c>
      <c r="AD758" s="329"/>
      <c r="AE758" s="329"/>
      <c r="AF758" s="329"/>
      <c r="AG758" s="329"/>
      <c r="AH758" s="329"/>
      <c r="AI758" s="320">
        <v>0.0</v>
      </c>
      <c r="AJ758" s="320">
        <v>0.0</v>
      </c>
      <c r="AK758" s="320">
        <v>0.0</v>
      </c>
      <c r="AL758" s="320">
        <v>0.2887</v>
      </c>
      <c r="AM758" s="320">
        <v>17.94</v>
      </c>
      <c r="AN758" s="320">
        <v>17.27</v>
      </c>
      <c r="AO758" s="329"/>
      <c r="AP758" s="329"/>
    </row>
    <row r="759">
      <c r="A759" s="319" t="s">
        <v>258</v>
      </c>
      <c r="B759" s="328">
        <v>46056.0</v>
      </c>
      <c r="C759" s="319" t="s">
        <v>214</v>
      </c>
      <c r="D759" s="320">
        <v>34491.0</v>
      </c>
      <c r="E759" s="320">
        <v>41.28</v>
      </c>
      <c r="F759" s="320">
        <v>11588.64</v>
      </c>
      <c r="G759" s="320">
        <v>0.336</v>
      </c>
      <c r="H759" s="320">
        <v>9.29</v>
      </c>
      <c r="I759" s="320">
        <v>3.6169</v>
      </c>
      <c r="J759" s="320">
        <v>32.39</v>
      </c>
      <c r="K759" s="320">
        <v>17.27</v>
      </c>
      <c r="L759" s="320">
        <v>5.82</v>
      </c>
      <c r="M759" s="320">
        <v>0.3367</v>
      </c>
      <c r="N759" s="320">
        <v>0.7384</v>
      </c>
      <c r="O759" s="320">
        <v>0.4856</v>
      </c>
      <c r="P759" s="320">
        <v>2.9699</v>
      </c>
      <c r="Q759" s="320">
        <v>95.9</v>
      </c>
      <c r="R759" s="320">
        <v>83.8</v>
      </c>
      <c r="S759" s="320">
        <v>12.09</v>
      </c>
      <c r="T759" s="320">
        <v>19.3</v>
      </c>
      <c r="U759" s="320">
        <v>76.6</v>
      </c>
      <c r="V759" s="320">
        <v>87.12</v>
      </c>
      <c r="W759" s="320">
        <v>5.0438</v>
      </c>
      <c r="X759" s="320">
        <v>20.12</v>
      </c>
      <c r="Y759" s="320">
        <v>93.0</v>
      </c>
      <c r="Z759" s="320">
        <v>232.0</v>
      </c>
      <c r="AA759" s="320">
        <v>915.0</v>
      </c>
      <c r="AB759" s="320">
        <v>49.1099</v>
      </c>
      <c r="AC759" s="320">
        <v>0.4424</v>
      </c>
      <c r="AD759" s="320">
        <v>4.03</v>
      </c>
      <c r="AE759" s="320">
        <v>1.0</v>
      </c>
      <c r="AF759" s="320">
        <v>2.0</v>
      </c>
      <c r="AG759" s="320">
        <v>5.0</v>
      </c>
      <c r="AH759" s="320">
        <v>9.0</v>
      </c>
      <c r="AI759" s="320">
        <v>70.39</v>
      </c>
      <c r="AJ759" s="320">
        <v>29.89</v>
      </c>
      <c r="AK759" s="320">
        <v>9.44</v>
      </c>
      <c r="AL759" s="320">
        <v>0.2252</v>
      </c>
      <c r="AM759" s="320">
        <v>21.51</v>
      </c>
      <c r="AN759" s="320">
        <v>62.29</v>
      </c>
      <c r="AO759" s="320">
        <v>66.8</v>
      </c>
      <c r="AP759" s="320">
        <v>14.37</v>
      </c>
    </row>
    <row r="760">
      <c r="A760" s="319" t="s">
        <v>258</v>
      </c>
      <c r="B760" s="328">
        <v>46056.0</v>
      </c>
      <c r="C760" s="319" t="s">
        <v>215</v>
      </c>
      <c r="D760" s="320">
        <v>19135.0</v>
      </c>
      <c r="E760" s="320">
        <v>22.9</v>
      </c>
      <c r="F760" s="320">
        <v>25211.18</v>
      </c>
      <c r="G760" s="320">
        <v>1.3175</v>
      </c>
      <c r="H760" s="320">
        <v>25.92</v>
      </c>
      <c r="I760" s="320">
        <v>5.0829</v>
      </c>
      <c r="J760" s="320">
        <v>61.6</v>
      </c>
      <c r="K760" s="320">
        <v>34.97</v>
      </c>
      <c r="L760" s="320">
        <v>16.15</v>
      </c>
      <c r="M760" s="320">
        <v>0.4618</v>
      </c>
      <c r="N760" s="320">
        <v>0.6073</v>
      </c>
      <c r="O760" s="320">
        <v>0.3399</v>
      </c>
      <c r="P760" s="320">
        <v>2.1652</v>
      </c>
      <c r="Q760" s="320">
        <v>220.79</v>
      </c>
      <c r="R760" s="320">
        <v>188.05</v>
      </c>
      <c r="S760" s="320">
        <v>32.75</v>
      </c>
      <c r="T760" s="320">
        <v>75.69</v>
      </c>
      <c r="U760" s="320">
        <v>145.11</v>
      </c>
      <c r="V760" s="320">
        <v>203.45</v>
      </c>
      <c r="W760" s="320">
        <v>5.8182</v>
      </c>
      <c r="X760" s="320">
        <v>34.28</v>
      </c>
      <c r="Y760" s="320">
        <v>91.0</v>
      </c>
      <c r="Z760" s="320">
        <v>233.0</v>
      </c>
      <c r="AA760" s="320">
        <v>777.0</v>
      </c>
      <c r="AB760" s="320">
        <v>52.1464</v>
      </c>
      <c r="AC760" s="320">
        <v>0.5264</v>
      </c>
      <c r="AD760" s="320">
        <v>10.29</v>
      </c>
      <c r="AE760" s="320">
        <v>3.0</v>
      </c>
      <c r="AF760" s="320">
        <v>8.0</v>
      </c>
      <c r="AG760" s="320">
        <v>14.0</v>
      </c>
      <c r="AH760" s="320">
        <v>22.0</v>
      </c>
      <c r="AI760" s="320">
        <v>61.56</v>
      </c>
      <c r="AJ760" s="320">
        <v>30.31</v>
      </c>
      <c r="AK760" s="320">
        <v>6.98</v>
      </c>
      <c r="AL760" s="320">
        <v>0.1819</v>
      </c>
      <c r="AM760" s="320">
        <v>24.27</v>
      </c>
      <c r="AN760" s="320">
        <v>163.78</v>
      </c>
      <c r="AO760" s="320">
        <v>73.2</v>
      </c>
      <c r="AP760" s="320">
        <v>17.77</v>
      </c>
    </row>
    <row r="761">
      <c r="A761" s="319" t="s">
        <v>258</v>
      </c>
      <c r="B761" s="328">
        <v>46056.0</v>
      </c>
      <c r="C761" s="319" t="s">
        <v>216</v>
      </c>
      <c r="D761" s="320">
        <v>10094.0</v>
      </c>
      <c r="E761" s="320">
        <v>12.08</v>
      </c>
      <c r="F761" s="320">
        <v>27264.96</v>
      </c>
      <c r="G761" s="320">
        <v>2.7011</v>
      </c>
      <c r="H761" s="320">
        <v>37.13</v>
      </c>
      <c r="I761" s="320">
        <v>7.2745</v>
      </c>
      <c r="J761" s="320">
        <v>91.97</v>
      </c>
      <c r="K761" s="320">
        <v>54.42</v>
      </c>
      <c r="L761" s="320">
        <v>31.27</v>
      </c>
      <c r="M761" s="320">
        <v>0.5746</v>
      </c>
      <c r="N761" s="320">
        <v>0.5019</v>
      </c>
      <c r="O761" s="320">
        <v>0.2722</v>
      </c>
      <c r="P761" s="320">
        <v>1.7403</v>
      </c>
      <c r="Q761" s="320">
        <v>420.89</v>
      </c>
      <c r="R761" s="320">
        <v>359.51</v>
      </c>
      <c r="S761" s="320">
        <v>61.38</v>
      </c>
      <c r="T761" s="320">
        <v>158.69</v>
      </c>
      <c r="U761" s="320">
        <v>262.2</v>
      </c>
      <c r="V761" s="320">
        <v>387.91</v>
      </c>
      <c r="W761" s="320">
        <v>7.1281</v>
      </c>
      <c r="X761" s="320">
        <v>37.7</v>
      </c>
      <c r="Y761" s="320">
        <v>99.0</v>
      </c>
      <c r="Z761" s="320">
        <v>291.0</v>
      </c>
      <c r="AA761" s="320">
        <v>884.0</v>
      </c>
      <c r="AB761" s="320">
        <v>54.3574</v>
      </c>
      <c r="AC761" s="320">
        <v>0.6167</v>
      </c>
      <c r="AD761" s="320">
        <v>19.07</v>
      </c>
      <c r="AE761" s="320">
        <v>7.0</v>
      </c>
      <c r="AF761" s="320">
        <v>15.0</v>
      </c>
      <c r="AG761" s="320">
        <v>27.0</v>
      </c>
      <c r="AH761" s="320">
        <v>40.0</v>
      </c>
      <c r="AI761" s="320">
        <v>61.04</v>
      </c>
      <c r="AJ761" s="320">
        <v>27.14</v>
      </c>
      <c r="AK761" s="320">
        <v>9.04</v>
      </c>
      <c r="AL761" s="320">
        <v>0.1798</v>
      </c>
      <c r="AM761" s="320">
        <v>25.06</v>
      </c>
      <c r="AN761" s="320">
        <v>334.45</v>
      </c>
      <c r="AO761" s="320">
        <v>72.51</v>
      </c>
      <c r="AP761" s="320">
        <v>18.17</v>
      </c>
    </row>
    <row r="762">
      <c r="A762" s="319" t="s">
        <v>258</v>
      </c>
      <c r="B762" s="328">
        <v>46056.0</v>
      </c>
      <c r="C762" s="319" t="s">
        <v>217</v>
      </c>
      <c r="D762" s="320">
        <v>3644.0</v>
      </c>
      <c r="E762" s="320">
        <v>4.36</v>
      </c>
      <c r="F762" s="320">
        <v>18600.64</v>
      </c>
      <c r="G762" s="320">
        <v>5.1045</v>
      </c>
      <c r="H762" s="320">
        <v>43.19</v>
      </c>
      <c r="I762" s="320">
        <v>11.8174</v>
      </c>
      <c r="J762" s="320">
        <v>137.59</v>
      </c>
      <c r="K762" s="320">
        <v>85.44</v>
      </c>
      <c r="L762" s="320">
        <v>59.44</v>
      </c>
      <c r="M762" s="320">
        <v>0.6957</v>
      </c>
      <c r="N762" s="320">
        <v>0.3953</v>
      </c>
      <c r="O762" s="320">
        <v>0.2248</v>
      </c>
      <c r="P762" s="320">
        <v>1.4374</v>
      </c>
      <c r="Q762" s="320">
        <v>817.01</v>
      </c>
      <c r="R762" s="320">
        <v>693.41</v>
      </c>
      <c r="S762" s="320">
        <v>123.59</v>
      </c>
      <c r="T762" s="320">
        <v>310.0</v>
      </c>
      <c r="U762" s="320">
        <v>507.01</v>
      </c>
      <c r="V762" s="320">
        <v>757.66</v>
      </c>
      <c r="W762" s="320">
        <v>8.868</v>
      </c>
      <c r="X762" s="320">
        <v>37.94</v>
      </c>
      <c r="Y762" s="320">
        <v>137.0</v>
      </c>
      <c r="Z762" s="320">
        <v>488.0</v>
      </c>
      <c r="AA762" s="320">
        <v>1296.0</v>
      </c>
      <c r="AB762" s="320">
        <v>57.6256</v>
      </c>
      <c r="AC762" s="320">
        <v>0.7439</v>
      </c>
      <c r="AD762" s="320">
        <v>39.34</v>
      </c>
      <c r="AE762" s="320">
        <v>15.0</v>
      </c>
      <c r="AF762" s="320">
        <v>31.0</v>
      </c>
      <c r="AG762" s="320">
        <v>54.0</v>
      </c>
      <c r="AH762" s="320">
        <v>82.0</v>
      </c>
      <c r="AI762" s="320">
        <v>54.64</v>
      </c>
      <c r="AJ762" s="320">
        <v>21.62</v>
      </c>
      <c r="AK762" s="320">
        <v>5.6</v>
      </c>
      <c r="AL762" s="320">
        <v>0.1608</v>
      </c>
      <c r="AM762" s="320">
        <v>25.64</v>
      </c>
      <c r="AN762" s="320">
        <v>667.77</v>
      </c>
      <c r="AO762" s="320">
        <v>74.15</v>
      </c>
      <c r="AP762" s="320">
        <v>19.01</v>
      </c>
    </row>
    <row r="763">
      <c r="A763" s="319" t="s">
        <v>258</v>
      </c>
      <c r="B763" s="328">
        <v>46056.0</v>
      </c>
      <c r="C763" s="319" t="s">
        <v>218</v>
      </c>
      <c r="D763" s="320">
        <v>428.0</v>
      </c>
      <c r="E763" s="320">
        <v>0.51</v>
      </c>
      <c r="F763" s="320">
        <v>3389.22</v>
      </c>
      <c r="G763" s="320">
        <v>7.9187</v>
      </c>
      <c r="H763" s="320">
        <v>46.03</v>
      </c>
      <c r="I763" s="320">
        <v>17.2042</v>
      </c>
      <c r="J763" s="320">
        <v>251.45</v>
      </c>
      <c r="K763" s="320">
        <v>164.29</v>
      </c>
      <c r="L763" s="320">
        <v>138.11</v>
      </c>
      <c r="M763" s="320">
        <v>0.8407</v>
      </c>
      <c r="N763" s="320">
        <v>0.2513</v>
      </c>
      <c r="O763" s="320">
        <v>0.1609</v>
      </c>
      <c r="P763" s="320">
        <v>1.1895</v>
      </c>
      <c r="Q763" s="320">
        <v>1536.69</v>
      </c>
      <c r="R763" s="320">
        <v>1244.68</v>
      </c>
      <c r="S763" s="320">
        <v>292.01</v>
      </c>
      <c r="T763" s="320">
        <v>457.27</v>
      </c>
      <c r="U763" s="320">
        <v>1079.43</v>
      </c>
      <c r="V763" s="320">
        <v>1414.37</v>
      </c>
      <c r="W763" s="320">
        <v>8.6089</v>
      </c>
      <c r="X763" s="320">
        <v>29.76</v>
      </c>
      <c r="Y763" s="320">
        <v>212.0</v>
      </c>
      <c r="Z763" s="320">
        <v>844.0</v>
      </c>
      <c r="AA763" s="320">
        <v>2716.0</v>
      </c>
      <c r="AB763" s="320">
        <v>62.4363</v>
      </c>
      <c r="AC763" s="320">
        <v>0.8302</v>
      </c>
      <c r="AD763" s="320">
        <v>95.31</v>
      </c>
      <c r="AE763" s="320">
        <v>41.0</v>
      </c>
      <c r="AF763" s="320">
        <v>88.0</v>
      </c>
      <c r="AG763" s="320">
        <v>129.0</v>
      </c>
      <c r="AH763" s="320">
        <v>177.0</v>
      </c>
      <c r="AI763" s="320">
        <v>55.14</v>
      </c>
      <c r="AJ763" s="320">
        <v>10.51</v>
      </c>
      <c r="AK763" s="320">
        <v>2.34</v>
      </c>
      <c r="AL763" s="320">
        <v>0.1542</v>
      </c>
      <c r="AM763" s="320">
        <v>24.98</v>
      </c>
      <c r="AN763" s="320">
        <v>1219.71</v>
      </c>
      <c r="AO763" s="320">
        <v>71.6</v>
      </c>
      <c r="AP763" s="320">
        <v>17.89</v>
      </c>
    </row>
    <row r="764">
      <c r="A764" s="319" t="s">
        <v>258</v>
      </c>
      <c r="B764" s="328">
        <v>46057.0</v>
      </c>
      <c r="C764" s="319" t="s">
        <v>257</v>
      </c>
      <c r="D764" s="320">
        <v>16342.0</v>
      </c>
      <c r="E764" s="320">
        <v>19.92</v>
      </c>
      <c r="F764" s="320">
        <v>277.85</v>
      </c>
      <c r="G764" s="320">
        <v>0.017</v>
      </c>
      <c r="H764" s="320">
        <v>0.59</v>
      </c>
      <c r="I764" s="320">
        <v>2.8644</v>
      </c>
      <c r="J764" s="320">
        <v>6.46</v>
      </c>
      <c r="K764" s="320">
        <v>2.97</v>
      </c>
      <c r="L764" s="320">
        <v>0.05</v>
      </c>
      <c r="M764" s="320">
        <v>0.0178</v>
      </c>
      <c r="N764" s="320">
        <v>0.9831</v>
      </c>
      <c r="O764" s="320">
        <v>0.7746</v>
      </c>
      <c r="P764" s="320">
        <v>56.2046</v>
      </c>
      <c r="Q764" s="320">
        <v>25.44</v>
      </c>
      <c r="R764" s="320">
        <v>25.35</v>
      </c>
      <c r="S764" s="320">
        <v>0.09</v>
      </c>
      <c r="T764" s="320">
        <v>1.01</v>
      </c>
      <c r="U764" s="320">
        <v>24.43</v>
      </c>
      <c r="V764" s="320">
        <v>2.42</v>
      </c>
      <c r="W764" s="320">
        <v>0.8135</v>
      </c>
      <c r="X764" s="320">
        <v>3.97</v>
      </c>
      <c r="Y764" s="320">
        <v>147.0</v>
      </c>
      <c r="Z764" s="320">
        <v>973.0</v>
      </c>
      <c r="AA764" s="320">
        <v>6965.0</v>
      </c>
      <c r="AB764" s="320">
        <v>49.6008</v>
      </c>
      <c r="AC764" s="320">
        <v>0.5177</v>
      </c>
      <c r="AD764" s="329"/>
      <c r="AE764" s="329"/>
      <c r="AF764" s="329"/>
      <c r="AG764" s="329"/>
      <c r="AH764" s="329"/>
      <c r="AI764" s="320">
        <v>0.0</v>
      </c>
      <c r="AJ764" s="320">
        <v>0.0</v>
      </c>
      <c r="AK764" s="320">
        <v>0.0</v>
      </c>
      <c r="AL764" s="320">
        <v>0.2777</v>
      </c>
      <c r="AM764" s="320">
        <v>15.28</v>
      </c>
      <c r="AN764" s="320">
        <v>10.07</v>
      </c>
      <c r="AO764" s="329"/>
      <c r="AP764" s="329"/>
    </row>
    <row r="765">
      <c r="A765" s="319" t="s">
        <v>258</v>
      </c>
      <c r="B765" s="328">
        <v>46057.0</v>
      </c>
      <c r="C765" s="319" t="s">
        <v>214</v>
      </c>
      <c r="D765" s="320">
        <v>33380.0</v>
      </c>
      <c r="E765" s="320">
        <v>40.69</v>
      </c>
      <c r="F765" s="320">
        <v>9495.16</v>
      </c>
      <c r="G765" s="320">
        <v>0.2845</v>
      </c>
      <c r="H765" s="320">
        <v>7.7</v>
      </c>
      <c r="I765" s="320">
        <v>3.6961</v>
      </c>
      <c r="J765" s="320">
        <v>33.43</v>
      </c>
      <c r="K765" s="320">
        <v>18.2</v>
      </c>
      <c r="L765" s="320">
        <v>5.5</v>
      </c>
      <c r="M765" s="320">
        <v>0.3024</v>
      </c>
      <c r="N765" s="320">
        <v>0.7644</v>
      </c>
      <c r="O765" s="320">
        <v>0.5046</v>
      </c>
      <c r="P765" s="320">
        <v>3.3064</v>
      </c>
      <c r="Q765" s="320">
        <v>74.09</v>
      </c>
      <c r="R765" s="320">
        <v>62.59</v>
      </c>
      <c r="S765" s="320">
        <v>11.5</v>
      </c>
      <c r="T765" s="320">
        <v>17.24</v>
      </c>
      <c r="U765" s="320">
        <v>56.85</v>
      </c>
      <c r="V765" s="320">
        <v>76.86</v>
      </c>
      <c r="W765" s="320">
        <v>4.224</v>
      </c>
      <c r="X765" s="320">
        <v>23.26</v>
      </c>
      <c r="Y765" s="320">
        <v>89.0</v>
      </c>
      <c r="Z765" s="320">
        <v>218.0</v>
      </c>
      <c r="AA765" s="320">
        <v>872.0</v>
      </c>
      <c r="AB765" s="320">
        <v>49.1452</v>
      </c>
      <c r="AC765" s="320">
        <v>0.4436</v>
      </c>
      <c r="AD765" s="320">
        <v>3.72</v>
      </c>
      <c r="AE765" s="320">
        <v>1.0</v>
      </c>
      <c r="AF765" s="320">
        <v>2.0</v>
      </c>
      <c r="AG765" s="320">
        <v>5.0</v>
      </c>
      <c r="AH765" s="320">
        <v>8.0</v>
      </c>
      <c r="AI765" s="320">
        <v>67.94</v>
      </c>
      <c r="AJ765" s="320">
        <v>26.81</v>
      </c>
      <c r="AK765" s="320">
        <v>7.91</v>
      </c>
      <c r="AL765" s="320">
        <v>0.2215</v>
      </c>
      <c r="AM765" s="320">
        <v>19.97</v>
      </c>
      <c r="AN765" s="320">
        <v>42.61</v>
      </c>
      <c r="AO765" s="320">
        <v>67.38</v>
      </c>
      <c r="AP765" s="320">
        <v>13.46</v>
      </c>
    </row>
    <row r="766">
      <c r="A766" s="319" t="s">
        <v>258</v>
      </c>
      <c r="B766" s="328">
        <v>46057.0</v>
      </c>
      <c r="C766" s="319" t="s">
        <v>215</v>
      </c>
      <c r="D766" s="320">
        <v>18541.0</v>
      </c>
      <c r="E766" s="320">
        <v>22.6</v>
      </c>
      <c r="F766" s="320">
        <v>20832.22</v>
      </c>
      <c r="G766" s="320">
        <v>1.1236</v>
      </c>
      <c r="H766" s="320">
        <v>22.23</v>
      </c>
      <c r="I766" s="320">
        <v>5.0551</v>
      </c>
      <c r="J766" s="320">
        <v>62.7</v>
      </c>
      <c r="K766" s="320">
        <v>36.27</v>
      </c>
      <c r="L766" s="320">
        <v>15.09</v>
      </c>
      <c r="M766" s="320">
        <v>0.4161</v>
      </c>
      <c r="N766" s="320">
        <v>0.6429</v>
      </c>
      <c r="O766" s="320">
        <v>0.3556</v>
      </c>
      <c r="P766" s="320">
        <v>2.4033</v>
      </c>
      <c r="Q766" s="320">
        <v>166.28</v>
      </c>
      <c r="R766" s="320">
        <v>136.37</v>
      </c>
      <c r="S766" s="320">
        <v>29.9</v>
      </c>
      <c r="T766" s="320">
        <v>67.16</v>
      </c>
      <c r="U766" s="320">
        <v>99.11</v>
      </c>
      <c r="V766" s="320">
        <v>174.36</v>
      </c>
      <c r="W766" s="320">
        <v>4.8065</v>
      </c>
      <c r="X766" s="320">
        <v>40.39</v>
      </c>
      <c r="Y766" s="320">
        <v>86.0</v>
      </c>
      <c r="Z766" s="320">
        <v>204.0</v>
      </c>
      <c r="AA766" s="320">
        <v>718.0</v>
      </c>
      <c r="AB766" s="320">
        <v>52.2589</v>
      </c>
      <c r="AC766" s="320">
        <v>0.5362</v>
      </c>
      <c r="AD766" s="320">
        <v>9.13</v>
      </c>
      <c r="AE766" s="320">
        <v>3.0</v>
      </c>
      <c r="AF766" s="320">
        <v>6.0</v>
      </c>
      <c r="AG766" s="320">
        <v>13.0</v>
      </c>
      <c r="AH766" s="320">
        <v>20.0</v>
      </c>
      <c r="AI766" s="320">
        <v>55.61</v>
      </c>
      <c r="AJ766" s="320">
        <v>25.33</v>
      </c>
      <c r="AK766" s="320">
        <v>5.52</v>
      </c>
      <c r="AL766" s="320">
        <v>0.1824</v>
      </c>
      <c r="AM766" s="320">
        <v>21.09</v>
      </c>
      <c r="AN766" s="320">
        <v>115.29</v>
      </c>
      <c r="AO766" s="320">
        <v>74.13</v>
      </c>
      <c r="AP766" s="320">
        <v>15.63</v>
      </c>
    </row>
    <row r="767">
      <c r="A767" s="319" t="s">
        <v>258</v>
      </c>
      <c r="B767" s="328">
        <v>46057.0</v>
      </c>
      <c r="C767" s="319" t="s">
        <v>216</v>
      </c>
      <c r="D767" s="320">
        <v>9611.0</v>
      </c>
      <c r="E767" s="320">
        <v>11.72</v>
      </c>
      <c r="F767" s="320">
        <v>23046.03</v>
      </c>
      <c r="G767" s="320">
        <v>2.3979</v>
      </c>
      <c r="H767" s="320">
        <v>31.92</v>
      </c>
      <c r="I767" s="320">
        <v>7.5117</v>
      </c>
      <c r="J767" s="320">
        <v>85.88</v>
      </c>
      <c r="K767" s="320">
        <v>51.13</v>
      </c>
      <c r="L767" s="320">
        <v>26.8</v>
      </c>
      <c r="M767" s="320">
        <v>0.5241</v>
      </c>
      <c r="N767" s="320">
        <v>0.5447</v>
      </c>
      <c r="O767" s="320">
        <v>0.2956</v>
      </c>
      <c r="P767" s="320">
        <v>1.908</v>
      </c>
      <c r="Q767" s="320">
        <v>297.71</v>
      </c>
      <c r="R767" s="320">
        <v>241.83</v>
      </c>
      <c r="S767" s="320">
        <v>55.88</v>
      </c>
      <c r="T767" s="320">
        <v>144.19</v>
      </c>
      <c r="U767" s="320">
        <v>153.52</v>
      </c>
      <c r="V767" s="320">
        <v>320.51</v>
      </c>
      <c r="W767" s="320">
        <v>6.2685</v>
      </c>
      <c r="X767" s="320">
        <v>48.43</v>
      </c>
      <c r="Y767" s="320">
        <v>89.0</v>
      </c>
      <c r="Z767" s="320">
        <v>229.0</v>
      </c>
      <c r="AA767" s="320">
        <v>793.0</v>
      </c>
      <c r="AB767" s="320">
        <v>54.3484</v>
      </c>
      <c r="AC767" s="320">
        <v>0.6608</v>
      </c>
      <c r="AD767" s="320">
        <v>17.28</v>
      </c>
      <c r="AE767" s="320">
        <v>6.0</v>
      </c>
      <c r="AF767" s="320">
        <v>12.0</v>
      </c>
      <c r="AG767" s="320">
        <v>24.0</v>
      </c>
      <c r="AH767" s="320">
        <v>38.0</v>
      </c>
      <c r="AI767" s="320">
        <v>54.84</v>
      </c>
      <c r="AJ767" s="320">
        <v>23.43</v>
      </c>
      <c r="AK767" s="320">
        <v>7.62</v>
      </c>
      <c r="AL767" s="320">
        <v>0.1871</v>
      </c>
      <c r="AM767" s="320">
        <v>21.52</v>
      </c>
      <c r="AN767" s="320">
        <v>220.31</v>
      </c>
      <c r="AO767" s="320">
        <v>74.9</v>
      </c>
      <c r="AP767" s="320">
        <v>16.12</v>
      </c>
    </row>
    <row r="768">
      <c r="A768" s="319" t="s">
        <v>258</v>
      </c>
      <c r="B768" s="328">
        <v>46057.0</v>
      </c>
      <c r="C768" s="319" t="s">
        <v>217</v>
      </c>
      <c r="D768" s="320">
        <v>3739.0</v>
      </c>
      <c r="E768" s="320">
        <v>4.56</v>
      </c>
      <c r="F768" s="320">
        <v>20090.0</v>
      </c>
      <c r="G768" s="320">
        <v>5.3731</v>
      </c>
      <c r="H768" s="320">
        <v>42.12</v>
      </c>
      <c r="I768" s="320">
        <v>12.7556</v>
      </c>
      <c r="J768" s="320">
        <v>132.48</v>
      </c>
      <c r="K768" s="320">
        <v>82.36</v>
      </c>
      <c r="L768" s="320">
        <v>54.9</v>
      </c>
      <c r="M768" s="320">
        <v>0.6666</v>
      </c>
      <c r="N768" s="320">
        <v>0.4174</v>
      </c>
      <c r="O768" s="320">
        <v>0.2318</v>
      </c>
      <c r="P768" s="320">
        <v>1.5001</v>
      </c>
      <c r="Q768" s="320">
        <v>609.04</v>
      </c>
      <c r="R768" s="320">
        <v>494.1</v>
      </c>
      <c r="S768" s="320">
        <v>114.94</v>
      </c>
      <c r="T768" s="320">
        <v>326.51</v>
      </c>
      <c r="U768" s="320">
        <v>282.52</v>
      </c>
      <c r="V768" s="320">
        <v>661.14</v>
      </c>
      <c r="W768" s="320">
        <v>8.0278</v>
      </c>
      <c r="X768" s="320">
        <v>53.61</v>
      </c>
      <c r="Y768" s="320">
        <v>106.0</v>
      </c>
      <c r="Z768" s="320">
        <v>379.0</v>
      </c>
      <c r="AA768" s="320">
        <v>1134.0</v>
      </c>
      <c r="AB768" s="320">
        <v>57.6417</v>
      </c>
      <c r="AC768" s="320">
        <v>0.7756</v>
      </c>
      <c r="AD768" s="320">
        <v>36.95</v>
      </c>
      <c r="AE768" s="320">
        <v>12.0</v>
      </c>
      <c r="AF768" s="320">
        <v>28.0</v>
      </c>
      <c r="AG768" s="320">
        <v>52.0</v>
      </c>
      <c r="AH768" s="320">
        <v>82.0</v>
      </c>
      <c r="AI768" s="320">
        <v>50.41</v>
      </c>
      <c r="AJ768" s="320">
        <v>19.68</v>
      </c>
      <c r="AK768" s="320">
        <v>5.7</v>
      </c>
      <c r="AL768" s="320">
        <v>0.1765</v>
      </c>
      <c r="AM768" s="320">
        <v>20.53</v>
      </c>
      <c r="AN768" s="320">
        <v>473.57</v>
      </c>
      <c r="AO768" s="320">
        <v>74.89</v>
      </c>
      <c r="AP768" s="320">
        <v>15.37</v>
      </c>
    </row>
    <row r="769">
      <c r="A769" s="319" t="s">
        <v>258</v>
      </c>
      <c r="B769" s="328">
        <v>46057.0</v>
      </c>
      <c r="C769" s="319" t="s">
        <v>218</v>
      </c>
      <c r="D769" s="320">
        <v>427.0</v>
      </c>
      <c r="E769" s="320">
        <v>0.52</v>
      </c>
      <c r="F769" s="320">
        <v>3656.28</v>
      </c>
      <c r="G769" s="320">
        <v>8.5627</v>
      </c>
      <c r="H769" s="320">
        <v>47.54</v>
      </c>
      <c r="I769" s="320">
        <v>18.0112</v>
      </c>
      <c r="J769" s="320">
        <v>252.99</v>
      </c>
      <c r="K769" s="320">
        <v>164.22</v>
      </c>
      <c r="L769" s="320">
        <v>132.32</v>
      </c>
      <c r="M769" s="320">
        <v>0.8057</v>
      </c>
      <c r="N769" s="320">
        <v>0.2795</v>
      </c>
      <c r="O769" s="320">
        <v>0.1727</v>
      </c>
      <c r="P769" s="320">
        <v>1.2411</v>
      </c>
      <c r="Q769" s="320">
        <v>1143.08</v>
      </c>
      <c r="R769" s="320">
        <v>864.78</v>
      </c>
      <c r="S769" s="320">
        <v>278.3</v>
      </c>
      <c r="T769" s="320">
        <v>543.33</v>
      </c>
      <c r="U769" s="320">
        <v>599.75</v>
      </c>
      <c r="V769" s="320">
        <v>1288.17</v>
      </c>
      <c r="W769" s="320">
        <v>7.844</v>
      </c>
      <c r="X769" s="320">
        <v>47.53</v>
      </c>
      <c r="Y769" s="320">
        <v>145.0</v>
      </c>
      <c r="Z769" s="320">
        <v>653.0</v>
      </c>
      <c r="AA769" s="320">
        <v>2525.0</v>
      </c>
      <c r="AB769" s="320">
        <v>62.5966</v>
      </c>
      <c r="AC769" s="320">
        <v>0.8611</v>
      </c>
      <c r="AD769" s="320">
        <v>83.65</v>
      </c>
      <c r="AE769" s="320">
        <v>32.0</v>
      </c>
      <c r="AF769" s="320">
        <v>70.0</v>
      </c>
      <c r="AG769" s="320">
        <v>120.0</v>
      </c>
      <c r="AH769" s="320">
        <v>167.0</v>
      </c>
      <c r="AI769" s="320">
        <v>42.86</v>
      </c>
      <c r="AJ769" s="320">
        <v>9.37</v>
      </c>
      <c r="AK769" s="320">
        <v>0.7</v>
      </c>
      <c r="AL769" s="320">
        <v>0.0984</v>
      </c>
      <c r="AM769" s="320">
        <v>22.72</v>
      </c>
      <c r="AN769" s="320">
        <v>842.06</v>
      </c>
      <c r="AO769" s="320">
        <v>71.09</v>
      </c>
      <c r="AP769" s="320">
        <v>16.15</v>
      </c>
    </row>
    <row r="770">
      <c r="A770" s="319" t="s">
        <v>258</v>
      </c>
      <c r="B770" s="328">
        <v>46058.0</v>
      </c>
      <c r="C770" s="319" t="s">
        <v>257</v>
      </c>
      <c r="D770" s="320">
        <v>17547.0</v>
      </c>
      <c r="E770" s="320">
        <v>21.54</v>
      </c>
      <c r="F770" s="320">
        <v>275.81</v>
      </c>
      <c r="G770" s="320">
        <v>0.0157</v>
      </c>
      <c r="H770" s="320">
        <v>0.31</v>
      </c>
      <c r="I770" s="320">
        <v>5.1076</v>
      </c>
      <c r="J770" s="320">
        <v>6.78</v>
      </c>
      <c r="K770" s="320">
        <v>3.09</v>
      </c>
      <c r="L770" s="320">
        <v>0.08</v>
      </c>
      <c r="M770" s="320">
        <v>0.0274</v>
      </c>
      <c r="N770" s="320">
        <v>0.9749</v>
      </c>
      <c r="O770" s="320">
        <v>0.703</v>
      </c>
      <c r="P770" s="320">
        <v>36.4718</v>
      </c>
      <c r="Q770" s="320">
        <v>23.67</v>
      </c>
      <c r="R770" s="320">
        <v>23.6</v>
      </c>
      <c r="S770" s="320">
        <v>0.07</v>
      </c>
      <c r="T770" s="320">
        <v>1.05</v>
      </c>
      <c r="U770" s="320">
        <v>22.62</v>
      </c>
      <c r="V770" s="320">
        <v>2.57</v>
      </c>
      <c r="W770" s="320">
        <v>0.8301</v>
      </c>
      <c r="X770" s="320">
        <v>4.42</v>
      </c>
      <c r="Y770" s="320">
        <v>133.0</v>
      </c>
      <c r="Z770" s="320">
        <v>863.0</v>
      </c>
      <c r="AA770" s="320">
        <v>6405.0</v>
      </c>
      <c r="AB770" s="320">
        <v>49.486</v>
      </c>
      <c r="AC770" s="320">
        <v>0.509</v>
      </c>
      <c r="AD770" s="329"/>
      <c r="AE770" s="329"/>
      <c r="AF770" s="329"/>
      <c r="AG770" s="329"/>
      <c r="AH770" s="329"/>
      <c r="AI770" s="320">
        <v>0.0</v>
      </c>
      <c r="AJ770" s="320">
        <v>0.0</v>
      </c>
      <c r="AK770" s="320">
        <v>0.0</v>
      </c>
      <c r="AL770" s="320">
        <v>0.2823</v>
      </c>
      <c r="AM770" s="320">
        <v>15.59</v>
      </c>
      <c r="AN770" s="320">
        <v>8.01</v>
      </c>
      <c r="AO770" s="329"/>
      <c r="AP770" s="329"/>
    </row>
    <row r="771">
      <c r="A771" s="319" t="s">
        <v>258</v>
      </c>
      <c r="B771" s="328">
        <v>46058.0</v>
      </c>
      <c r="C771" s="319" t="s">
        <v>214</v>
      </c>
      <c r="D771" s="320">
        <v>32279.0</v>
      </c>
      <c r="E771" s="320">
        <v>39.63</v>
      </c>
      <c r="F771" s="320">
        <v>8326.82</v>
      </c>
      <c r="G771" s="320">
        <v>0.258</v>
      </c>
      <c r="H771" s="320">
        <v>7.47</v>
      </c>
      <c r="I771" s="320">
        <v>3.4551</v>
      </c>
      <c r="J771" s="320">
        <v>29.75</v>
      </c>
      <c r="K771" s="320">
        <v>15.98</v>
      </c>
      <c r="L771" s="320">
        <v>5.18</v>
      </c>
      <c r="M771" s="320">
        <v>0.3239</v>
      </c>
      <c r="N771" s="320">
        <v>0.7487</v>
      </c>
      <c r="O771" s="320">
        <v>0.4997</v>
      </c>
      <c r="P771" s="320">
        <v>3.0876</v>
      </c>
      <c r="Q771" s="320">
        <v>67.66</v>
      </c>
      <c r="R771" s="320">
        <v>56.75</v>
      </c>
      <c r="S771" s="320">
        <v>10.92</v>
      </c>
      <c r="T771" s="320">
        <v>16.06</v>
      </c>
      <c r="U771" s="320">
        <v>51.6</v>
      </c>
      <c r="V771" s="320">
        <v>71.39</v>
      </c>
      <c r="W771" s="320">
        <v>4.4663</v>
      </c>
      <c r="X771" s="320">
        <v>23.74</v>
      </c>
      <c r="Y771" s="320">
        <v>86.0</v>
      </c>
      <c r="Z771" s="320">
        <v>206.0</v>
      </c>
      <c r="AA771" s="320">
        <v>863.0</v>
      </c>
      <c r="AB771" s="320">
        <v>49.2713</v>
      </c>
      <c r="AC771" s="320">
        <v>0.4482</v>
      </c>
      <c r="AD771" s="320">
        <v>3.56</v>
      </c>
      <c r="AE771" s="320">
        <v>1.0</v>
      </c>
      <c r="AF771" s="320">
        <v>2.0</v>
      </c>
      <c r="AG771" s="320">
        <v>5.0</v>
      </c>
      <c r="AH771" s="320">
        <v>8.0</v>
      </c>
      <c r="AI771" s="320">
        <v>66.06</v>
      </c>
      <c r="AJ771" s="320">
        <v>25.27</v>
      </c>
      <c r="AK771" s="320">
        <v>7.3</v>
      </c>
      <c r="AL771" s="320">
        <v>0.2379</v>
      </c>
      <c r="AM771" s="320">
        <v>20.4</v>
      </c>
      <c r="AN771" s="320">
        <v>36.34</v>
      </c>
      <c r="AO771" s="320">
        <v>67.82</v>
      </c>
      <c r="AP771" s="320">
        <v>13.84</v>
      </c>
    </row>
    <row r="772">
      <c r="A772" s="319" t="s">
        <v>258</v>
      </c>
      <c r="B772" s="328">
        <v>46058.0</v>
      </c>
      <c r="C772" s="319" t="s">
        <v>215</v>
      </c>
      <c r="D772" s="320">
        <v>17952.0</v>
      </c>
      <c r="E772" s="320">
        <v>22.04</v>
      </c>
      <c r="F772" s="320">
        <v>17359.63</v>
      </c>
      <c r="G772" s="320">
        <v>0.967</v>
      </c>
      <c r="H772" s="320">
        <v>20.39</v>
      </c>
      <c r="I772" s="320">
        <v>4.7418</v>
      </c>
      <c r="J772" s="320">
        <v>54.85</v>
      </c>
      <c r="K772" s="320">
        <v>31.18</v>
      </c>
      <c r="L772" s="320">
        <v>13.5</v>
      </c>
      <c r="M772" s="320">
        <v>0.433</v>
      </c>
      <c r="N772" s="320">
        <v>0.6314</v>
      </c>
      <c r="O772" s="320">
        <v>0.359</v>
      </c>
      <c r="P772" s="320">
        <v>2.3097</v>
      </c>
      <c r="Q772" s="320">
        <v>155.72</v>
      </c>
      <c r="R772" s="320">
        <v>127.97</v>
      </c>
      <c r="S772" s="320">
        <v>27.75</v>
      </c>
      <c r="T772" s="320">
        <v>59.68</v>
      </c>
      <c r="U772" s="320">
        <v>96.04</v>
      </c>
      <c r="V772" s="320">
        <v>160.75</v>
      </c>
      <c r="W772" s="320">
        <v>5.1548</v>
      </c>
      <c r="X772" s="320">
        <v>38.32</v>
      </c>
      <c r="Y772" s="320">
        <v>84.0</v>
      </c>
      <c r="Z772" s="320">
        <v>195.0</v>
      </c>
      <c r="AA772" s="320">
        <v>705.0</v>
      </c>
      <c r="AB772" s="320">
        <v>52.2774</v>
      </c>
      <c r="AC772" s="320">
        <v>0.5468</v>
      </c>
      <c r="AD772" s="320">
        <v>8.63</v>
      </c>
      <c r="AE772" s="320">
        <v>3.0</v>
      </c>
      <c r="AF772" s="320">
        <v>6.0</v>
      </c>
      <c r="AG772" s="320">
        <v>12.0</v>
      </c>
      <c r="AH772" s="320">
        <v>19.0</v>
      </c>
      <c r="AI772" s="320">
        <v>53.55</v>
      </c>
      <c r="AJ772" s="320">
        <v>23.46</v>
      </c>
      <c r="AK772" s="320">
        <v>4.37</v>
      </c>
      <c r="AL772" s="320">
        <v>0.195</v>
      </c>
      <c r="AM772" s="320">
        <v>21.12</v>
      </c>
      <c r="AN772" s="320">
        <v>106.86</v>
      </c>
      <c r="AO772" s="320">
        <v>74.54</v>
      </c>
      <c r="AP772" s="320">
        <v>15.74</v>
      </c>
    </row>
    <row r="773">
      <c r="A773" s="319" t="s">
        <v>258</v>
      </c>
      <c r="B773" s="328">
        <v>46058.0</v>
      </c>
      <c r="C773" s="319" t="s">
        <v>216</v>
      </c>
      <c r="D773" s="320">
        <v>9510.0</v>
      </c>
      <c r="E773" s="320">
        <v>11.68</v>
      </c>
      <c r="F773" s="320">
        <v>22702.26</v>
      </c>
      <c r="G773" s="320">
        <v>2.3872</v>
      </c>
      <c r="H773" s="320">
        <v>31.35</v>
      </c>
      <c r="I773" s="320">
        <v>7.6157</v>
      </c>
      <c r="J773" s="320">
        <v>81.11</v>
      </c>
      <c r="K773" s="320">
        <v>47.94</v>
      </c>
      <c r="L773" s="320">
        <v>25.37</v>
      </c>
      <c r="M773" s="320">
        <v>0.5292</v>
      </c>
      <c r="N773" s="320">
        <v>0.5425</v>
      </c>
      <c r="O773" s="320">
        <v>0.3006</v>
      </c>
      <c r="P773" s="320">
        <v>1.8896</v>
      </c>
      <c r="Q773" s="320">
        <v>310.65</v>
      </c>
      <c r="R773" s="320">
        <v>257.2</v>
      </c>
      <c r="S773" s="320">
        <v>53.45</v>
      </c>
      <c r="T773" s="320">
        <v>145.26</v>
      </c>
      <c r="U773" s="320">
        <v>165.39</v>
      </c>
      <c r="V773" s="320">
        <v>317.28</v>
      </c>
      <c r="W773" s="320">
        <v>6.618</v>
      </c>
      <c r="X773" s="320">
        <v>46.76</v>
      </c>
      <c r="Y773" s="320">
        <v>87.0</v>
      </c>
      <c r="Z773" s="320">
        <v>232.0</v>
      </c>
      <c r="AA773" s="320">
        <v>766.0</v>
      </c>
      <c r="AB773" s="320">
        <v>54.3488</v>
      </c>
      <c r="AC773" s="320">
        <v>0.6555</v>
      </c>
      <c r="AD773" s="320">
        <v>16.5</v>
      </c>
      <c r="AE773" s="320">
        <v>5.0</v>
      </c>
      <c r="AF773" s="320">
        <v>12.0</v>
      </c>
      <c r="AG773" s="320">
        <v>23.0</v>
      </c>
      <c r="AH773" s="320">
        <v>36.0</v>
      </c>
      <c r="AI773" s="320">
        <v>53.49</v>
      </c>
      <c r="AJ773" s="320">
        <v>21.61</v>
      </c>
      <c r="AK773" s="320">
        <v>6.62</v>
      </c>
      <c r="AL773" s="320">
        <v>0.2007</v>
      </c>
      <c r="AM773" s="320">
        <v>20.58</v>
      </c>
      <c r="AN773" s="320">
        <v>236.61</v>
      </c>
      <c r="AO773" s="320">
        <v>75.09</v>
      </c>
      <c r="AP773" s="320">
        <v>15.45</v>
      </c>
    </row>
    <row r="774">
      <c r="A774" s="319" t="s">
        <v>258</v>
      </c>
      <c r="B774" s="328">
        <v>46058.0</v>
      </c>
      <c r="C774" s="319" t="s">
        <v>217</v>
      </c>
      <c r="D774" s="320">
        <v>3725.0</v>
      </c>
      <c r="E774" s="320">
        <v>4.57</v>
      </c>
      <c r="F774" s="320">
        <v>19896.93</v>
      </c>
      <c r="G774" s="320">
        <v>5.3415</v>
      </c>
      <c r="H774" s="320">
        <v>40.11</v>
      </c>
      <c r="I774" s="320">
        <v>13.3179</v>
      </c>
      <c r="J774" s="320">
        <v>127.5</v>
      </c>
      <c r="K774" s="320">
        <v>78.96</v>
      </c>
      <c r="L774" s="320">
        <v>53.34</v>
      </c>
      <c r="M774" s="320">
        <v>0.6756</v>
      </c>
      <c r="N774" s="320">
        <v>0.4119</v>
      </c>
      <c r="O774" s="320">
        <v>0.2366</v>
      </c>
      <c r="P774" s="320">
        <v>1.4803</v>
      </c>
      <c r="Q774" s="320">
        <v>647.06</v>
      </c>
      <c r="R774" s="320">
        <v>534.26</v>
      </c>
      <c r="S774" s="320">
        <v>112.8</v>
      </c>
      <c r="T774" s="320">
        <v>327.03</v>
      </c>
      <c r="U774" s="320">
        <v>320.03</v>
      </c>
      <c r="V774" s="320">
        <v>666.19</v>
      </c>
      <c r="W774" s="320">
        <v>8.4366</v>
      </c>
      <c r="X774" s="320">
        <v>50.54</v>
      </c>
      <c r="Y774" s="320">
        <v>104.0</v>
      </c>
      <c r="Z774" s="320">
        <v>337.0</v>
      </c>
      <c r="AA774" s="320">
        <v>1146.0</v>
      </c>
      <c r="AB774" s="320">
        <v>57.7772</v>
      </c>
      <c r="AC774" s="320">
        <v>0.7554</v>
      </c>
      <c r="AD774" s="320">
        <v>35.03</v>
      </c>
      <c r="AE774" s="320">
        <v>12.0</v>
      </c>
      <c r="AF774" s="320">
        <v>26.0</v>
      </c>
      <c r="AG774" s="320">
        <v>49.0</v>
      </c>
      <c r="AH774" s="320">
        <v>77.0</v>
      </c>
      <c r="AI774" s="320">
        <v>48.32</v>
      </c>
      <c r="AJ774" s="320">
        <v>17.77</v>
      </c>
      <c r="AK774" s="320">
        <v>4.97</v>
      </c>
      <c r="AL774" s="320">
        <v>0.1699</v>
      </c>
      <c r="AM774" s="320">
        <v>20.04</v>
      </c>
      <c r="AN774" s="320">
        <v>514.22</v>
      </c>
      <c r="AO774" s="320">
        <v>75.92</v>
      </c>
      <c r="AP774" s="320">
        <v>15.21</v>
      </c>
    </row>
    <row r="775">
      <c r="A775" s="319" t="s">
        <v>258</v>
      </c>
      <c r="B775" s="328">
        <v>46058.0</v>
      </c>
      <c r="C775" s="319" t="s">
        <v>218</v>
      </c>
      <c r="D775" s="320">
        <v>441.0</v>
      </c>
      <c r="E775" s="320">
        <v>0.54</v>
      </c>
      <c r="F775" s="320">
        <v>3792.9</v>
      </c>
      <c r="G775" s="320">
        <v>8.6007</v>
      </c>
      <c r="H775" s="320">
        <v>42.18</v>
      </c>
      <c r="I775" s="320">
        <v>20.3919</v>
      </c>
      <c r="J775" s="320">
        <v>235.89</v>
      </c>
      <c r="K775" s="320">
        <v>153.53</v>
      </c>
      <c r="L775" s="320">
        <v>123.89</v>
      </c>
      <c r="M775" s="320">
        <v>0.807</v>
      </c>
      <c r="N775" s="320">
        <v>0.2779</v>
      </c>
      <c r="O775" s="320">
        <v>0.1718</v>
      </c>
      <c r="P775" s="320">
        <v>1.2392</v>
      </c>
      <c r="Q775" s="320">
        <v>1186.01</v>
      </c>
      <c r="R775" s="320">
        <v>923.63</v>
      </c>
      <c r="S775" s="320">
        <v>262.38</v>
      </c>
      <c r="T775" s="320">
        <v>557.18</v>
      </c>
      <c r="U775" s="320">
        <v>628.83</v>
      </c>
      <c r="V775" s="320">
        <v>1212.02</v>
      </c>
      <c r="W775" s="320">
        <v>7.8942</v>
      </c>
      <c r="X775" s="320">
        <v>46.98</v>
      </c>
      <c r="Y775" s="320">
        <v>173.0</v>
      </c>
      <c r="Z775" s="320">
        <v>664.0</v>
      </c>
      <c r="AA775" s="320">
        <v>3046.0</v>
      </c>
      <c r="AB775" s="320">
        <v>62.5964</v>
      </c>
      <c r="AC775" s="320">
        <v>0.84</v>
      </c>
      <c r="AD775" s="320">
        <v>79.67</v>
      </c>
      <c r="AE775" s="320">
        <v>26.0</v>
      </c>
      <c r="AF775" s="320">
        <v>59.0</v>
      </c>
      <c r="AG775" s="320">
        <v>110.0</v>
      </c>
      <c r="AH775" s="320">
        <v>171.0</v>
      </c>
      <c r="AI775" s="320">
        <v>37.41</v>
      </c>
      <c r="AJ775" s="320">
        <v>9.3</v>
      </c>
      <c r="AK775" s="320">
        <v>2.27</v>
      </c>
      <c r="AL775" s="320">
        <v>0.1156</v>
      </c>
      <c r="AM775" s="320">
        <v>22.11</v>
      </c>
      <c r="AN775" s="320">
        <v>901.52</v>
      </c>
      <c r="AO775" s="320">
        <v>72.72</v>
      </c>
      <c r="AP775" s="320">
        <v>16.08</v>
      </c>
    </row>
    <row r="776">
      <c r="A776" s="319" t="s">
        <v>258</v>
      </c>
      <c r="B776" s="328">
        <v>46059.0</v>
      </c>
      <c r="C776" s="319" t="s">
        <v>257</v>
      </c>
      <c r="D776" s="320">
        <v>15353.0</v>
      </c>
      <c r="E776" s="320">
        <v>19.2</v>
      </c>
      <c r="F776" s="320">
        <v>308.59</v>
      </c>
      <c r="G776" s="320">
        <v>0.0201</v>
      </c>
      <c r="H776" s="320">
        <v>0.44</v>
      </c>
      <c r="I776" s="320">
        <v>4.6058</v>
      </c>
      <c r="J776" s="320">
        <v>5.55</v>
      </c>
      <c r="K776" s="320">
        <v>2.42</v>
      </c>
      <c r="L776" s="320">
        <v>0.06</v>
      </c>
      <c r="M776" s="320">
        <v>0.0247</v>
      </c>
      <c r="N776" s="320">
        <v>0.9778</v>
      </c>
      <c r="O776" s="320">
        <v>0.7594</v>
      </c>
      <c r="P776" s="320">
        <v>40.4457</v>
      </c>
      <c r="Q776" s="320">
        <v>31.76</v>
      </c>
      <c r="R776" s="320">
        <v>31.68</v>
      </c>
      <c r="S776" s="320">
        <v>0.08</v>
      </c>
      <c r="T776" s="320">
        <v>1.35</v>
      </c>
      <c r="U776" s="320">
        <v>30.42</v>
      </c>
      <c r="V776" s="320">
        <v>2.31</v>
      </c>
      <c r="W776" s="320">
        <v>0.9514</v>
      </c>
      <c r="X776" s="320">
        <v>4.23</v>
      </c>
      <c r="Y776" s="320">
        <v>177.0</v>
      </c>
      <c r="Z776" s="320">
        <v>1150.0</v>
      </c>
      <c r="AA776" s="320">
        <v>7347.0</v>
      </c>
      <c r="AB776" s="320">
        <v>49.687</v>
      </c>
      <c r="AC776" s="320">
        <v>0.5226</v>
      </c>
      <c r="AD776" s="329"/>
      <c r="AE776" s="329"/>
      <c r="AF776" s="329"/>
      <c r="AG776" s="329"/>
      <c r="AH776" s="329"/>
      <c r="AI776" s="320">
        <v>0.0</v>
      </c>
      <c r="AJ776" s="320">
        <v>0.0</v>
      </c>
      <c r="AK776" s="320">
        <v>0.0</v>
      </c>
      <c r="AL776" s="320">
        <v>0.3044</v>
      </c>
      <c r="AM776" s="320">
        <v>16.7</v>
      </c>
      <c r="AN776" s="320">
        <v>14.98</v>
      </c>
      <c r="AO776" s="329"/>
      <c r="AP776" s="329"/>
    </row>
    <row r="777">
      <c r="A777" s="319" t="s">
        <v>258</v>
      </c>
      <c r="B777" s="328">
        <v>46059.0</v>
      </c>
      <c r="C777" s="319" t="s">
        <v>214</v>
      </c>
      <c r="D777" s="320">
        <v>32580.0</v>
      </c>
      <c r="E777" s="320">
        <v>40.75</v>
      </c>
      <c r="F777" s="320">
        <v>8843.54</v>
      </c>
      <c r="G777" s="320">
        <v>0.2714</v>
      </c>
      <c r="H777" s="320">
        <v>7.51</v>
      </c>
      <c r="I777" s="320">
        <v>3.614</v>
      </c>
      <c r="J777" s="320">
        <v>33.41</v>
      </c>
      <c r="K777" s="320">
        <v>17.95</v>
      </c>
      <c r="L777" s="320">
        <v>5.83</v>
      </c>
      <c r="M777" s="320">
        <v>0.3247</v>
      </c>
      <c r="N777" s="320">
        <v>0.7463</v>
      </c>
      <c r="O777" s="320">
        <v>0.4941</v>
      </c>
      <c r="P777" s="320">
        <v>3.0796</v>
      </c>
      <c r="Q777" s="320">
        <v>91.63</v>
      </c>
      <c r="R777" s="320">
        <v>79.49</v>
      </c>
      <c r="S777" s="320">
        <v>12.14</v>
      </c>
      <c r="T777" s="320">
        <v>17.7</v>
      </c>
      <c r="U777" s="320">
        <v>73.93</v>
      </c>
      <c r="V777" s="320">
        <v>84.84</v>
      </c>
      <c r="W777" s="320">
        <v>4.7269</v>
      </c>
      <c r="X777" s="320">
        <v>19.31</v>
      </c>
      <c r="Y777" s="320">
        <v>91.0</v>
      </c>
      <c r="Z777" s="320">
        <v>219.0</v>
      </c>
      <c r="AA777" s="320">
        <v>852.0</v>
      </c>
      <c r="AB777" s="320">
        <v>49.2615</v>
      </c>
      <c r="AC777" s="320">
        <v>0.4442</v>
      </c>
      <c r="AD777" s="320">
        <v>3.83</v>
      </c>
      <c r="AE777" s="320">
        <v>1.0</v>
      </c>
      <c r="AF777" s="320">
        <v>2.0</v>
      </c>
      <c r="AG777" s="320">
        <v>5.0</v>
      </c>
      <c r="AH777" s="320">
        <v>9.0</v>
      </c>
      <c r="AI777" s="320">
        <v>70.22</v>
      </c>
      <c r="AJ777" s="320">
        <v>28.34</v>
      </c>
      <c r="AK777" s="320">
        <v>8.08</v>
      </c>
      <c r="AL777" s="320">
        <v>0.2404</v>
      </c>
      <c r="AM777" s="320">
        <v>21.19</v>
      </c>
      <c r="AN777" s="320">
        <v>58.29</v>
      </c>
      <c r="AO777" s="320">
        <v>67.93</v>
      </c>
      <c r="AP777" s="320">
        <v>14.39</v>
      </c>
    </row>
    <row r="778">
      <c r="A778" s="319" t="s">
        <v>258</v>
      </c>
      <c r="B778" s="328">
        <v>46059.0</v>
      </c>
      <c r="C778" s="319" t="s">
        <v>215</v>
      </c>
      <c r="D778" s="320">
        <v>18193.0</v>
      </c>
      <c r="E778" s="320">
        <v>22.76</v>
      </c>
      <c r="F778" s="320">
        <v>18475.63</v>
      </c>
      <c r="G778" s="320">
        <v>1.0155</v>
      </c>
      <c r="H778" s="320">
        <v>20.65</v>
      </c>
      <c r="I778" s="320">
        <v>4.9177</v>
      </c>
      <c r="J778" s="320">
        <v>60.36</v>
      </c>
      <c r="K778" s="320">
        <v>34.24</v>
      </c>
      <c r="L778" s="320">
        <v>14.21</v>
      </c>
      <c r="M778" s="320">
        <v>0.4151</v>
      </c>
      <c r="N778" s="320">
        <v>0.6487</v>
      </c>
      <c r="O778" s="320">
        <v>0.3776</v>
      </c>
      <c r="P778" s="320">
        <v>2.4089</v>
      </c>
      <c r="Q778" s="320">
        <v>181.86</v>
      </c>
      <c r="R778" s="320">
        <v>152.01</v>
      </c>
      <c r="S778" s="320">
        <v>29.85</v>
      </c>
      <c r="T778" s="320">
        <v>63.51</v>
      </c>
      <c r="U778" s="320">
        <v>118.34</v>
      </c>
      <c r="V778" s="320">
        <v>179.81</v>
      </c>
      <c r="W778" s="320">
        <v>5.2516</v>
      </c>
      <c r="X778" s="320">
        <v>34.93</v>
      </c>
      <c r="Y778" s="320">
        <v>87.0</v>
      </c>
      <c r="Z778" s="320">
        <v>206.0</v>
      </c>
      <c r="AA778" s="320">
        <v>686.0</v>
      </c>
      <c r="AB778" s="320">
        <v>52.2036</v>
      </c>
      <c r="AC778" s="320">
        <v>0.5508</v>
      </c>
      <c r="AD778" s="320">
        <v>9.01</v>
      </c>
      <c r="AE778" s="320">
        <v>3.0</v>
      </c>
      <c r="AF778" s="320">
        <v>7.0</v>
      </c>
      <c r="AG778" s="320">
        <v>13.0</v>
      </c>
      <c r="AH778" s="320">
        <v>19.0</v>
      </c>
      <c r="AI778" s="320">
        <v>57.21</v>
      </c>
      <c r="AJ778" s="320">
        <v>25.14</v>
      </c>
      <c r="AK778" s="320">
        <v>4.36</v>
      </c>
      <c r="AL778" s="320">
        <v>0.2015</v>
      </c>
      <c r="AM778" s="320">
        <v>21.25</v>
      </c>
      <c r="AN778" s="320">
        <v>130.76</v>
      </c>
      <c r="AO778" s="320">
        <v>74.67</v>
      </c>
      <c r="AP778" s="320">
        <v>15.87</v>
      </c>
    </row>
    <row r="779">
      <c r="A779" s="319" t="s">
        <v>258</v>
      </c>
      <c r="B779" s="328">
        <v>46059.0</v>
      </c>
      <c r="C779" s="319" t="s">
        <v>216</v>
      </c>
      <c r="D779" s="320">
        <v>9634.0</v>
      </c>
      <c r="E779" s="320">
        <v>12.05</v>
      </c>
      <c r="F779" s="320">
        <v>23343.13</v>
      </c>
      <c r="G779" s="320">
        <v>2.423</v>
      </c>
      <c r="H779" s="320">
        <v>31.88</v>
      </c>
      <c r="I779" s="320">
        <v>7.6011</v>
      </c>
      <c r="J779" s="320">
        <v>88.32</v>
      </c>
      <c r="K779" s="320">
        <v>51.72</v>
      </c>
      <c r="L779" s="320">
        <v>26.62</v>
      </c>
      <c r="M779" s="320">
        <v>0.5147</v>
      </c>
      <c r="N779" s="320">
        <v>0.555</v>
      </c>
      <c r="O779" s="320">
        <v>0.3119</v>
      </c>
      <c r="P779" s="320">
        <v>1.9428</v>
      </c>
      <c r="Q779" s="320">
        <v>324.57</v>
      </c>
      <c r="R779" s="320">
        <v>268.49</v>
      </c>
      <c r="S779" s="320">
        <v>56.08</v>
      </c>
      <c r="T779" s="320">
        <v>150.35</v>
      </c>
      <c r="U779" s="320">
        <v>174.22</v>
      </c>
      <c r="V779" s="320">
        <v>329.98</v>
      </c>
      <c r="W779" s="320">
        <v>6.3803</v>
      </c>
      <c r="X779" s="320">
        <v>46.32</v>
      </c>
      <c r="Y779" s="320">
        <v>89.0</v>
      </c>
      <c r="Z779" s="320">
        <v>215.0</v>
      </c>
      <c r="AA779" s="320">
        <v>707.0</v>
      </c>
      <c r="AB779" s="320">
        <v>54.4788</v>
      </c>
      <c r="AC779" s="320">
        <v>0.6498</v>
      </c>
      <c r="AD779" s="320">
        <v>16.49</v>
      </c>
      <c r="AE779" s="320">
        <v>6.0</v>
      </c>
      <c r="AF779" s="320">
        <v>12.0</v>
      </c>
      <c r="AG779" s="320">
        <v>23.0</v>
      </c>
      <c r="AH779" s="320">
        <v>35.0</v>
      </c>
      <c r="AI779" s="320">
        <v>54.84</v>
      </c>
      <c r="AJ779" s="320">
        <v>20.94</v>
      </c>
      <c r="AK779" s="320">
        <v>5.81</v>
      </c>
      <c r="AL779" s="320">
        <v>0.2056</v>
      </c>
      <c r="AM779" s="320">
        <v>21.65</v>
      </c>
      <c r="AN779" s="320">
        <v>246.83</v>
      </c>
      <c r="AO779" s="320">
        <v>75.49</v>
      </c>
      <c r="AP779" s="320">
        <v>16.34</v>
      </c>
    </row>
    <row r="780">
      <c r="A780" s="319" t="s">
        <v>258</v>
      </c>
      <c r="B780" s="328">
        <v>46059.0</v>
      </c>
      <c r="C780" s="319" t="s">
        <v>217</v>
      </c>
      <c r="D780" s="320">
        <v>3747.0</v>
      </c>
      <c r="E780" s="320">
        <v>4.69</v>
      </c>
      <c r="F780" s="320">
        <v>20768.28</v>
      </c>
      <c r="G780" s="320">
        <v>5.5426</v>
      </c>
      <c r="H780" s="320">
        <v>41.9</v>
      </c>
      <c r="I780" s="320">
        <v>13.2282</v>
      </c>
      <c r="J780" s="320">
        <v>135.65</v>
      </c>
      <c r="K780" s="320">
        <v>82.04</v>
      </c>
      <c r="L780" s="320">
        <v>54.38</v>
      </c>
      <c r="M780" s="320">
        <v>0.6628</v>
      </c>
      <c r="N780" s="320">
        <v>0.423</v>
      </c>
      <c r="O780" s="320">
        <v>0.2403</v>
      </c>
      <c r="P780" s="320">
        <v>1.5087</v>
      </c>
      <c r="Q780" s="320">
        <v>641.37</v>
      </c>
      <c r="R780" s="320">
        <v>526.78</v>
      </c>
      <c r="S780" s="320">
        <v>114.59</v>
      </c>
      <c r="T780" s="320">
        <v>354.76</v>
      </c>
      <c r="U780" s="320">
        <v>286.61</v>
      </c>
      <c r="V780" s="320">
        <v>677.61</v>
      </c>
      <c r="W780" s="320">
        <v>8.2598</v>
      </c>
      <c r="X780" s="320">
        <v>55.31</v>
      </c>
      <c r="Y780" s="320">
        <v>103.0</v>
      </c>
      <c r="Z780" s="320">
        <v>356.0</v>
      </c>
      <c r="AA780" s="320">
        <v>1149.0</v>
      </c>
      <c r="AB780" s="320">
        <v>57.631</v>
      </c>
      <c r="AC780" s="320">
        <v>0.7588</v>
      </c>
      <c r="AD780" s="320">
        <v>35.33</v>
      </c>
      <c r="AE780" s="320">
        <v>12.0</v>
      </c>
      <c r="AF780" s="320">
        <v>26.0</v>
      </c>
      <c r="AG780" s="320">
        <v>49.0</v>
      </c>
      <c r="AH780" s="320">
        <v>77.0</v>
      </c>
      <c r="AI780" s="320">
        <v>48.17</v>
      </c>
      <c r="AJ780" s="320">
        <v>17.43</v>
      </c>
      <c r="AK780" s="320">
        <v>4.67</v>
      </c>
      <c r="AL780" s="320">
        <v>0.19</v>
      </c>
      <c r="AM780" s="320">
        <v>21.29</v>
      </c>
      <c r="AN780" s="320">
        <v>505.49</v>
      </c>
      <c r="AO780" s="320">
        <v>76.24</v>
      </c>
      <c r="AP780" s="320">
        <v>16.23</v>
      </c>
    </row>
    <row r="781">
      <c r="A781" s="319" t="s">
        <v>258</v>
      </c>
      <c r="B781" s="328">
        <v>46059.0</v>
      </c>
      <c r="C781" s="319" t="s">
        <v>218</v>
      </c>
      <c r="D781" s="320">
        <v>436.0</v>
      </c>
      <c r="E781" s="320">
        <v>0.55</v>
      </c>
      <c r="F781" s="320">
        <v>4530.79</v>
      </c>
      <c r="G781" s="320">
        <v>10.3917</v>
      </c>
      <c r="H781" s="320">
        <v>49.31</v>
      </c>
      <c r="I781" s="320">
        <v>21.0734</v>
      </c>
      <c r="J781" s="320">
        <v>239.56</v>
      </c>
      <c r="K781" s="320">
        <v>152.81</v>
      </c>
      <c r="L781" s="320">
        <v>120.11</v>
      </c>
      <c r="M781" s="320">
        <v>0.786</v>
      </c>
      <c r="N781" s="320">
        <v>0.2991</v>
      </c>
      <c r="O781" s="320">
        <v>0.1767</v>
      </c>
      <c r="P781" s="320">
        <v>1.2723</v>
      </c>
      <c r="Q781" s="320">
        <v>1183.25</v>
      </c>
      <c r="R781" s="320">
        <v>930.83</v>
      </c>
      <c r="S781" s="320">
        <v>252.42</v>
      </c>
      <c r="T781" s="320">
        <v>649.87</v>
      </c>
      <c r="U781" s="320">
        <v>533.37</v>
      </c>
      <c r="V781" s="320">
        <v>1244.95</v>
      </c>
      <c r="W781" s="320">
        <v>8.1468</v>
      </c>
      <c r="X781" s="320">
        <v>54.92</v>
      </c>
      <c r="Y781" s="320">
        <v>137.0</v>
      </c>
      <c r="Z781" s="320">
        <v>628.0</v>
      </c>
      <c r="AA781" s="320">
        <v>2672.0</v>
      </c>
      <c r="AB781" s="320">
        <v>62.364</v>
      </c>
      <c r="AC781" s="320">
        <v>0.8278</v>
      </c>
      <c r="AD781" s="320">
        <v>79.75</v>
      </c>
      <c r="AE781" s="320">
        <v>27.0</v>
      </c>
      <c r="AF781" s="320">
        <v>62.0</v>
      </c>
      <c r="AG781" s="320">
        <v>114.0</v>
      </c>
      <c r="AH781" s="320">
        <v>175.0</v>
      </c>
      <c r="AI781" s="320">
        <v>40.6</v>
      </c>
      <c r="AJ781" s="320">
        <v>9.86</v>
      </c>
      <c r="AK781" s="320">
        <v>0.92</v>
      </c>
      <c r="AL781" s="320">
        <v>0.1537</v>
      </c>
      <c r="AM781" s="320">
        <v>21.74</v>
      </c>
      <c r="AN781" s="320">
        <v>909.08</v>
      </c>
      <c r="AO781" s="320">
        <v>73.56</v>
      </c>
      <c r="AP781" s="320">
        <v>15.99</v>
      </c>
    </row>
    <row r="782">
      <c r="A782" s="319" t="s">
        <v>258</v>
      </c>
      <c r="B782" s="328">
        <v>46060.0</v>
      </c>
      <c r="C782" s="319" t="s">
        <v>257</v>
      </c>
      <c r="D782" s="320">
        <v>16166.0</v>
      </c>
      <c r="E782" s="320">
        <v>20.36</v>
      </c>
      <c r="F782" s="320">
        <v>174.6</v>
      </c>
      <c r="G782" s="320">
        <v>0.0108</v>
      </c>
      <c r="H782" s="320">
        <v>0.33</v>
      </c>
      <c r="I782" s="320">
        <v>3.2943</v>
      </c>
      <c r="J782" s="320">
        <v>6.15</v>
      </c>
      <c r="K782" s="320">
        <v>2.81</v>
      </c>
      <c r="L782" s="320">
        <v>0.03</v>
      </c>
      <c r="M782" s="320">
        <v>0.0123</v>
      </c>
      <c r="N782" s="320">
        <v>0.9885</v>
      </c>
      <c r="O782" s="320">
        <v>0.8414</v>
      </c>
      <c r="P782" s="320">
        <v>81.0143</v>
      </c>
      <c r="Q782" s="320">
        <v>27.59</v>
      </c>
      <c r="R782" s="320">
        <v>27.51</v>
      </c>
      <c r="S782" s="320">
        <v>0.08</v>
      </c>
      <c r="T782" s="320">
        <v>0.81</v>
      </c>
      <c r="U782" s="320">
        <v>26.78</v>
      </c>
      <c r="V782" s="320">
        <v>2.42</v>
      </c>
      <c r="W782" s="320">
        <v>0.864</v>
      </c>
      <c r="X782" s="320">
        <v>2.92</v>
      </c>
      <c r="Y782" s="320">
        <v>145.0</v>
      </c>
      <c r="Z782" s="320">
        <v>923.0</v>
      </c>
      <c r="AA782" s="320">
        <v>6640.0</v>
      </c>
      <c r="AB782" s="320">
        <v>49.5416</v>
      </c>
      <c r="AC782" s="320">
        <v>0.5106</v>
      </c>
      <c r="AD782" s="329"/>
      <c r="AE782" s="329"/>
      <c r="AF782" s="329"/>
      <c r="AG782" s="329"/>
      <c r="AH782" s="329"/>
      <c r="AI782" s="320">
        <v>0.0</v>
      </c>
      <c r="AJ782" s="320">
        <v>0.0</v>
      </c>
      <c r="AK782" s="320">
        <v>0.0</v>
      </c>
      <c r="AL782" s="320">
        <v>0.2844</v>
      </c>
      <c r="AM782" s="320">
        <v>17.41</v>
      </c>
      <c r="AN782" s="320">
        <v>10.1</v>
      </c>
      <c r="AO782" s="329"/>
      <c r="AP782" s="329"/>
    </row>
    <row r="783">
      <c r="A783" s="319" t="s">
        <v>258</v>
      </c>
      <c r="B783" s="328">
        <v>46060.0</v>
      </c>
      <c r="C783" s="319" t="s">
        <v>214</v>
      </c>
      <c r="D783" s="320">
        <v>31639.0</v>
      </c>
      <c r="E783" s="320">
        <v>39.84</v>
      </c>
      <c r="F783" s="320">
        <v>8384.98</v>
      </c>
      <c r="G783" s="320">
        <v>0.265</v>
      </c>
      <c r="H783" s="320">
        <v>7.41</v>
      </c>
      <c r="I783" s="320">
        <v>3.5772</v>
      </c>
      <c r="J783" s="320">
        <v>31.99</v>
      </c>
      <c r="K783" s="320">
        <v>17.18</v>
      </c>
      <c r="L783" s="320">
        <v>5.55</v>
      </c>
      <c r="M783" s="320">
        <v>0.3231</v>
      </c>
      <c r="N783" s="320">
        <v>0.7487</v>
      </c>
      <c r="O783" s="320">
        <v>0.5014</v>
      </c>
      <c r="P783" s="320">
        <v>3.0955</v>
      </c>
      <c r="Q783" s="320">
        <v>76.34</v>
      </c>
      <c r="R783" s="320">
        <v>64.89</v>
      </c>
      <c r="S783" s="320">
        <v>11.46</v>
      </c>
      <c r="T783" s="320">
        <v>17.82</v>
      </c>
      <c r="U783" s="320">
        <v>58.53</v>
      </c>
      <c r="V783" s="320">
        <v>80.48</v>
      </c>
      <c r="W783" s="320">
        <v>4.6854</v>
      </c>
      <c r="X783" s="320">
        <v>23.34</v>
      </c>
      <c r="Y783" s="320">
        <v>88.0</v>
      </c>
      <c r="Z783" s="320">
        <v>221.0</v>
      </c>
      <c r="AA783" s="320">
        <v>902.0</v>
      </c>
      <c r="AB783" s="320">
        <v>49.3195</v>
      </c>
      <c r="AC783" s="320">
        <v>0.4509</v>
      </c>
      <c r="AD783" s="320">
        <v>3.7</v>
      </c>
      <c r="AE783" s="320">
        <v>1.0</v>
      </c>
      <c r="AF783" s="320">
        <v>2.0</v>
      </c>
      <c r="AG783" s="320">
        <v>5.0</v>
      </c>
      <c r="AH783" s="320">
        <v>8.0</v>
      </c>
      <c r="AI783" s="320">
        <v>67.67</v>
      </c>
      <c r="AJ783" s="320">
        <v>26.63</v>
      </c>
      <c r="AK783" s="320">
        <v>7.83</v>
      </c>
      <c r="AL783" s="320">
        <v>0.2303</v>
      </c>
      <c r="AM783" s="320">
        <v>22.17</v>
      </c>
      <c r="AN783" s="320">
        <v>42.72</v>
      </c>
      <c r="AO783" s="320">
        <v>67.72</v>
      </c>
      <c r="AP783" s="320">
        <v>15.01</v>
      </c>
    </row>
    <row r="784">
      <c r="A784" s="319" t="s">
        <v>258</v>
      </c>
      <c r="B784" s="328">
        <v>46060.0</v>
      </c>
      <c r="C784" s="319" t="s">
        <v>215</v>
      </c>
      <c r="D784" s="320">
        <v>17798.0</v>
      </c>
      <c r="E784" s="320">
        <v>22.41</v>
      </c>
      <c r="F784" s="320">
        <v>17255.7</v>
      </c>
      <c r="G784" s="320">
        <v>0.9695</v>
      </c>
      <c r="H784" s="320">
        <v>20.37</v>
      </c>
      <c r="I784" s="320">
        <v>4.7589</v>
      </c>
      <c r="J784" s="320">
        <v>57.21</v>
      </c>
      <c r="K784" s="320">
        <v>32.3</v>
      </c>
      <c r="L784" s="320">
        <v>13.65</v>
      </c>
      <c r="M784" s="320">
        <v>0.4224</v>
      </c>
      <c r="N784" s="320">
        <v>0.6424</v>
      </c>
      <c r="O784" s="320">
        <v>0.3751</v>
      </c>
      <c r="P784" s="320">
        <v>2.3672</v>
      </c>
      <c r="Q784" s="320">
        <v>165.76</v>
      </c>
      <c r="R784" s="320">
        <v>137.38</v>
      </c>
      <c r="S784" s="320">
        <v>28.38</v>
      </c>
      <c r="T784" s="320">
        <v>62.78</v>
      </c>
      <c r="U784" s="320">
        <v>102.98</v>
      </c>
      <c r="V784" s="320">
        <v>173.84</v>
      </c>
      <c r="W784" s="320">
        <v>5.3817</v>
      </c>
      <c r="X784" s="320">
        <v>37.87</v>
      </c>
      <c r="Y784" s="320">
        <v>87.0</v>
      </c>
      <c r="Z784" s="320">
        <v>208.0</v>
      </c>
      <c r="AA784" s="320">
        <v>726.0</v>
      </c>
      <c r="AB784" s="320">
        <v>52.3657</v>
      </c>
      <c r="AC784" s="320">
        <v>0.5569</v>
      </c>
      <c r="AD784" s="320">
        <v>8.82</v>
      </c>
      <c r="AE784" s="320">
        <v>3.0</v>
      </c>
      <c r="AF784" s="320">
        <v>6.0</v>
      </c>
      <c r="AG784" s="320">
        <v>12.0</v>
      </c>
      <c r="AH784" s="320">
        <v>19.0</v>
      </c>
      <c r="AI784" s="320">
        <v>55.23</v>
      </c>
      <c r="AJ784" s="320">
        <v>24.43</v>
      </c>
      <c r="AK784" s="320">
        <v>4.27</v>
      </c>
      <c r="AL784" s="320">
        <v>0.1972</v>
      </c>
      <c r="AM784" s="320">
        <v>23.18</v>
      </c>
      <c r="AN784" s="320">
        <v>114.2</v>
      </c>
      <c r="AO784" s="320">
        <v>74.06</v>
      </c>
      <c r="AP784" s="320">
        <v>17.17</v>
      </c>
    </row>
    <row r="785">
      <c r="A785" s="319" t="s">
        <v>258</v>
      </c>
      <c r="B785" s="328">
        <v>46060.0</v>
      </c>
      <c r="C785" s="319" t="s">
        <v>216</v>
      </c>
      <c r="D785" s="320">
        <v>9557.0</v>
      </c>
      <c r="E785" s="320">
        <v>12.04</v>
      </c>
      <c r="F785" s="320">
        <v>23427.17</v>
      </c>
      <c r="G785" s="320">
        <v>2.4513</v>
      </c>
      <c r="H785" s="320">
        <v>32.04</v>
      </c>
      <c r="I785" s="320">
        <v>7.6509</v>
      </c>
      <c r="J785" s="320">
        <v>85.56</v>
      </c>
      <c r="K785" s="320">
        <v>50.07</v>
      </c>
      <c r="L785" s="320">
        <v>26.6</v>
      </c>
      <c r="M785" s="320">
        <v>0.5313</v>
      </c>
      <c r="N785" s="320">
        <v>0.5412</v>
      </c>
      <c r="O785" s="320">
        <v>0.305</v>
      </c>
      <c r="P785" s="320">
        <v>1.8822</v>
      </c>
      <c r="Q785" s="320">
        <v>327.44</v>
      </c>
      <c r="R785" s="320">
        <v>271.16</v>
      </c>
      <c r="S785" s="320">
        <v>56.28</v>
      </c>
      <c r="T785" s="320">
        <v>154.52</v>
      </c>
      <c r="U785" s="320">
        <v>172.92</v>
      </c>
      <c r="V785" s="320">
        <v>339.05</v>
      </c>
      <c r="W785" s="320">
        <v>6.7716</v>
      </c>
      <c r="X785" s="320">
        <v>47.19</v>
      </c>
      <c r="Y785" s="320">
        <v>88.0</v>
      </c>
      <c r="Z785" s="320">
        <v>230.0</v>
      </c>
      <c r="AA785" s="320">
        <v>726.0</v>
      </c>
      <c r="AB785" s="320">
        <v>54.3933</v>
      </c>
      <c r="AC785" s="320">
        <v>0.6513</v>
      </c>
      <c r="AD785" s="320">
        <v>17.05</v>
      </c>
      <c r="AE785" s="320">
        <v>6.0</v>
      </c>
      <c r="AF785" s="320">
        <v>12.0</v>
      </c>
      <c r="AG785" s="320">
        <v>24.0</v>
      </c>
      <c r="AH785" s="320">
        <v>37.0</v>
      </c>
      <c r="AI785" s="320">
        <v>54.85</v>
      </c>
      <c r="AJ785" s="320">
        <v>22.32</v>
      </c>
      <c r="AK785" s="320">
        <v>7.24</v>
      </c>
      <c r="AL785" s="320">
        <v>0.1984</v>
      </c>
      <c r="AM785" s="320">
        <v>22.31</v>
      </c>
      <c r="AN785" s="320">
        <v>248.85</v>
      </c>
      <c r="AO785" s="320">
        <v>74.58</v>
      </c>
      <c r="AP785" s="320">
        <v>16.64</v>
      </c>
    </row>
    <row r="786">
      <c r="A786" s="319" t="s">
        <v>258</v>
      </c>
      <c r="B786" s="328">
        <v>46060.0</v>
      </c>
      <c r="C786" s="319" t="s">
        <v>217</v>
      </c>
      <c r="D786" s="320">
        <v>3796.0</v>
      </c>
      <c r="E786" s="320">
        <v>4.78</v>
      </c>
      <c r="F786" s="320">
        <v>20745.68</v>
      </c>
      <c r="G786" s="320">
        <v>5.4651</v>
      </c>
      <c r="H786" s="320">
        <v>40.99</v>
      </c>
      <c r="I786" s="320">
        <v>13.3327</v>
      </c>
      <c r="J786" s="320">
        <v>132.46</v>
      </c>
      <c r="K786" s="320">
        <v>81.89</v>
      </c>
      <c r="L786" s="320">
        <v>55.0</v>
      </c>
      <c r="M786" s="320">
        <v>0.6716</v>
      </c>
      <c r="N786" s="320">
        <v>0.4141</v>
      </c>
      <c r="O786" s="320">
        <v>0.2351</v>
      </c>
      <c r="P786" s="320">
        <v>1.4889</v>
      </c>
      <c r="Q786" s="320">
        <v>667.63</v>
      </c>
      <c r="R786" s="320">
        <v>551.67</v>
      </c>
      <c r="S786" s="320">
        <v>115.96</v>
      </c>
      <c r="T786" s="320">
        <v>347.98</v>
      </c>
      <c r="U786" s="320">
        <v>319.65</v>
      </c>
      <c r="V786" s="320">
        <v>685.46</v>
      </c>
      <c r="W786" s="320">
        <v>8.3704</v>
      </c>
      <c r="X786" s="320">
        <v>52.12</v>
      </c>
      <c r="Y786" s="320">
        <v>103.0</v>
      </c>
      <c r="Z786" s="320">
        <v>350.0</v>
      </c>
      <c r="AA786" s="320">
        <v>1079.0</v>
      </c>
      <c r="AB786" s="320">
        <v>57.4901</v>
      </c>
      <c r="AC786" s="320">
        <v>0.7546</v>
      </c>
      <c r="AD786" s="320">
        <v>36.11</v>
      </c>
      <c r="AE786" s="320">
        <v>12.0</v>
      </c>
      <c r="AF786" s="320">
        <v>27.0</v>
      </c>
      <c r="AG786" s="320">
        <v>50.0</v>
      </c>
      <c r="AH786" s="320">
        <v>79.0</v>
      </c>
      <c r="AI786" s="320">
        <v>48.79</v>
      </c>
      <c r="AJ786" s="320">
        <v>18.91</v>
      </c>
      <c r="AK786" s="320">
        <v>5.27</v>
      </c>
      <c r="AL786" s="320">
        <v>0.1897</v>
      </c>
      <c r="AM786" s="320">
        <v>22.42</v>
      </c>
      <c r="AN786" s="320">
        <v>529.25</v>
      </c>
      <c r="AO786" s="320">
        <v>74.99</v>
      </c>
      <c r="AP786" s="320">
        <v>16.81</v>
      </c>
    </row>
    <row r="787">
      <c r="A787" s="319" t="s">
        <v>258</v>
      </c>
      <c r="B787" s="328">
        <v>46060.0</v>
      </c>
      <c r="C787" s="319" t="s">
        <v>218</v>
      </c>
      <c r="D787" s="320">
        <v>450.0</v>
      </c>
      <c r="E787" s="320">
        <v>0.57</v>
      </c>
      <c r="F787" s="320">
        <v>4733.42</v>
      </c>
      <c r="G787" s="320">
        <v>10.5187</v>
      </c>
      <c r="H787" s="320">
        <v>47.56</v>
      </c>
      <c r="I787" s="320">
        <v>22.1188</v>
      </c>
      <c r="J787" s="320">
        <v>237.32</v>
      </c>
      <c r="K787" s="320">
        <v>152.11</v>
      </c>
      <c r="L787" s="320">
        <v>122.9</v>
      </c>
      <c r="M787" s="320">
        <v>0.808</v>
      </c>
      <c r="N787" s="320">
        <v>0.2812</v>
      </c>
      <c r="O787" s="320">
        <v>0.1769</v>
      </c>
      <c r="P787" s="320">
        <v>1.2376</v>
      </c>
      <c r="Q787" s="320">
        <v>1265.64</v>
      </c>
      <c r="R787" s="320">
        <v>1006.28</v>
      </c>
      <c r="S787" s="320">
        <v>259.36</v>
      </c>
      <c r="T787" s="320">
        <v>676.5</v>
      </c>
      <c r="U787" s="320">
        <v>589.14</v>
      </c>
      <c r="V787" s="320">
        <v>1345.56</v>
      </c>
      <c r="W787" s="320">
        <v>8.8461</v>
      </c>
      <c r="X787" s="320">
        <v>53.45</v>
      </c>
      <c r="Y787" s="320">
        <v>141.0</v>
      </c>
      <c r="Z787" s="320">
        <v>632.0</v>
      </c>
      <c r="AA787" s="320">
        <v>2492.0</v>
      </c>
      <c r="AB787" s="320">
        <v>61.2817</v>
      </c>
      <c r="AC787" s="320">
        <v>0.8415</v>
      </c>
      <c r="AD787" s="320">
        <v>79.53</v>
      </c>
      <c r="AE787" s="320">
        <v>28.0</v>
      </c>
      <c r="AF787" s="320">
        <v>61.0</v>
      </c>
      <c r="AG787" s="320">
        <v>114.0</v>
      </c>
      <c r="AH787" s="320">
        <v>169.0</v>
      </c>
      <c r="AI787" s="320">
        <v>40.67</v>
      </c>
      <c r="AJ787" s="320">
        <v>10.0</v>
      </c>
      <c r="AK787" s="320">
        <v>1.33</v>
      </c>
      <c r="AL787" s="320">
        <v>0.1556</v>
      </c>
      <c r="AM787" s="320">
        <v>23.32</v>
      </c>
      <c r="AN787" s="320">
        <v>982.96</v>
      </c>
      <c r="AO787" s="320">
        <v>72.22</v>
      </c>
      <c r="AP787" s="320">
        <v>16.84</v>
      </c>
    </row>
    <row r="788">
      <c r="A788" s="319" t="s">
        <v>258</v>
      </c>
      <c r="B788" s="328">
        <v>46061.0</v>
      </c>
      <c r="C788" s="319" t="s">
        <v>257</v>
      </c>
      <c r="D788" s="320">
        <v>16304.0</v>
      </c>
      <c r="E788" s="320">
        <v>20.38</v>
      </c>
      <c r="F788" s="320">
        <v>172.59</v>
      </c>
      <c r="G788" s="320">
        <v>0.0106</v>
      </c>
      <c r="H788" s="320">
        <v>0.17</v>
      </c>
      <c r="I788" s="320">
        <v>6.3922</v>
      </c>
      <c r="J788" s="320">
        <v>6.54</v>
      </c>
      <c r="K788" s="320">
        <v>3.05</v>
      </c>
      <c r="L788" s="320">
        <v>0.03</v>
      </c>
      <c r="M788" s="320">
        <v>0.0108</v>
      </c>
      <c r="N788" s="320">
        <v>0.99</v>
      </c>
      <c r="O788" s="320">
        <v>0.8457</v>
      </c>
      <c r="P788" s="320">
        <v>92.3525</v>
      </c>
      <c r="Q788" s="320">
        <v>24.51</v>
      </c>
      <c r="R788" s="320">
        <v>24.44</v>
      </c>
      <c r="S788" s="320">
        <v>0.07</v>
      </c>
      <c r="T788" s="320">
        <v>0.9</v>
      </c>
      <c r="U788" s="320">
        <v>23.61</v>
      </c>
      <c r="V788" s="320">
        <v>1.99</v>
      </c>
      <c r="W788" s="320">
        <v>0.6509</v>
      </c>
      <c r="X788" s="320">
        <v>3.68</v>
      </c>
      <c r="Y788" s="320">
        <v>135.0</v>
      </c>
      <c r="Z788" s="320">
        <v>1018.0</v>
      </c>
      <c r="AA788" s="320">
        <v>6931.0</v>
      </c>
      <c r="AB788" s="320">
        <v>49.7106</v>
      </c>
      <c r="AC788" s="320">
        <v>0.5185</v>
      </c>
      <c r="AD788" s="329"/>
      <c r="AE788" s="329"/>
      <c r="AF788" s="329"/>
      <c r="AG788" s="329"/>
      <c r="AH788" s="329"/>
      <c r="AI788" s="320">
        <v>0.0</v>
      </c>
      <c r="AJ788" s="320">
        <v>0.0</v>
      </c>
      <c r="AK788" s="320">
        <v>0.0</v>
      </c>
      <c r="AL788" s="320">
        <v>0.2839</v>
      </c>
      <c r="AM788" s="320">
        <v>17.37</v>
      </c>
      <c r="AN788" s="320">
        <v>7.07</v>
      </c>
      <c r="AO788" s="329"/>
      <c r="AP788" s="329"/>
    </row>
    <row r="789">
      <c r="A789" s="319" t="s">
        <v>258</v>
      </c>
      <c r="B789" s="328">
        <v>46061.0</v>
      </c>
      <c r="C789" s="319" t="s">
        <v>214</v>
      </c>
      <c r="D789" s="320">
        <v>31991.0</v>
      </c>
      <c r="E789" s="320">
        <v>39.99</v>
      </c>
      <c r="F789" s="320">
        <v>8288.03</v>
      </c>
      <c r="G789" s="320">
        <v>0.2591</v>
      </c>
      <c r="H789" s="320">
        <v>7.34</v>
      </c>
      <c r="I789" s="320">
        <v>3.5313</v>
      </c>
      <c r="J789" s="320">
        <v>34.86</v>
      </c>
      <c r="K789" s="320">
        <v>19.12</v>
      </c>
      <c r="L789" s="320">
        <v>5.51</v>
      </c>
      <c r="M789" s="320">
        <v>0.2881</v>
      </c>
      <c r="N789" s="320">
        <v>0.7744</v>
      </c>
      <c r="O789" s="320">
        <v>0.5187</v>
      </c>
      <c r="P789" s="320">
        <v>3.471</v>
      </c>
      <c r="Q789" s="320">
        <v>65.96</v>
      </c>
      <c r="R789" s="320">
        <v>54.54</v>
      </c>
      <c r="S789" s="320">
        <v>11.42</v>
      </c>
      <c r="T789" s="320">
        <v>16.36</v>
      </c>
      <c r="U789" s="320">
        <v>49.6</v>
      </c>
      <c r="V789" s="320">
        <v>75.36</v>
      </c>
      <c r="W789" s="320">
        <v>3.9407</v>
      </c>
      <c r="X789" s="320">
        <v>24.81</v>
      </c>
      <c r="Y789" s="320">
        <v>85.0</v>
      </c>
      <c r="Z789" s="320">
        <v>201.0</v>
      </c>
      <c r="AA789" s="320">
        <v>884.0</v>
      </c>
      <c r="AB789" s="320">
        <v>49.3574</v>
      </c>
      <c r="AC789" s="320">
        <v>0.4526</v>
      </c>
      <c r="AD789" s="320">
        <v>3.56</v>
      </c>
      <c r="AE789" s="320">
        <v>1.0</v>
      </c>
      <c r="AF789" s="320">
        <v>2.0</v>
      </c>
      <c r="AG789" s="320">
        <v>5.0</v>
      </c>
      <c r="AH789" s="320">
        <v>8.0</v>
      </c>
      <c r="AI789" s="320">
        <v>67.45</v>
      </c>
      <c r="AJ789" s="320">
        <v>25.54</v>
      </c>
      <c r="AK789" s="320">
        <v>6.89</v>
      </c>
      <c r="AL789" s="320">
        <v>0.247</v>
      </c>
      <c r="AM789" s="320">
        <v>21.0</v>
      </c>
      <c r="AN789" s="320">
        <v>33.55</v>
      </c>
      <c r="AO789" s="320">
        <v>67.55</v>
      </c>
      <c r="AP789" s="320">
        <v>14.19</v>
      </c>
    </row>
    <row r="790">
      <c r="A790" s="319" t="s">
        <v>258</v>
      </c>
      <c r="B790" s="328">
        <v>46061.0</v>
      </c>
      <c r="C790" s="319" t="s">
        <v>215</v>
      </c>
      <c r="D790" s="320">
        <v>17777.0</v>
      </c>
      <c r="E790" s="320">
        <v>22.22</v>
      </c>
      <c r="F790" s="320">
        <v>17647.38</v>
      </c>
      <c r="G790" s="320">
        <v>0.9927</v>
      </c>
      <c r="H790" s="320">
        <v>19.91</v>
      </c>
      <c r="I790" s="320">
        <v>4.9851</v>
      </c>
      <c r="J790" s="320">
        <v>61.87</v>
      </c>
      <c r="K790" s="320">
        <v>35.65</v>
      </c>
      <c r="L790" s="320">
        <v>13.6</v>
      </c>
      <c r="M790" s="320">
        <v>0.3815</v>
      </c>
      <c r="N790" s="320">
        <v>0.6752</v>
      </c>
      <c r="O790" s="320">
        <v>0.3958</v>
      </c>
      <c r="P790" s="320">
        <v>2.6213</v>
      </c>
      <c r="Q790" s="320">
        <v>143.61</v>
      </c>
      <c r="R790" s="320">
        <v>115.16</v>
      </c>
      <c r="S790" s="320">
        <v>28.45</v>
      </c>
      <c r="T790" s="320">
        <v>62.38</v>
      </c>
      <c r="U790" s="320">
        <v>81.22</v>
      </c>
      <c r="V790" s="320">
        <v>161.46</v>
      </c>
      <c r="W790" s="320">
        <v>4.5287</v>
      </c>
      <c r="X790" s="320">
        <v>43.44</v>
      </c>
      <c r="Y790" s="320">
        <v>80.0</v>
      </c>
      <c r="Z790" s="320">
        <v>176.0</v>
      </c>
      <c r="AA790" s="320">
        <v>628.0</v>
      </c>
      <c r="AB790" s="320">
        <v>52.3099</v>
      </c>
      <c r="AC790" s="320">
        <v>0.5515</v>
      </c>
      <c r="AD790" s="320">
        <v>8.4</v>
      </c>
      <c r="AE790" s="320">
        <v>3.0</v>
      </c>
      <c r="AF790" s="320">
        <v>6.0</v>
      </c>
      <c r="AG790" s="320">
        <v>11.0</v>
      </c>
      <c r="AH790" s="320">
        <v>19.0</v>
      </c>
      <c r="AI790" s="320">
        <v>52.26</v>
      </c>
      <c r="AJ790" s="320">
        <v>22.04</v>
      </c>
      <c r="AK790" s="320">
        <v>4.08</v>
      </c>
      <c r="AL790" s="320">
        <v>0.2169</v>
      </c>
      <c r="AM790" s="320">
        <v>21.5</v>
      </c>
      <c r="AN790" s="320">
        <v>93.66</v>
      </c>
      <c r="AO790" s="320">
        <v>73.68</v>
      </c>
      <c r="AP790" s="320">
        <v>15.84</v>
      </c>
    </row>
    <row r="791">
      <c r="A791" s="319" t="s">
        <v>258</v>
      </c>
      <c r="B791" s="328">
        <v>46061.0</v>
      </c>
      <c r="C791" s="319" t="s">
        <v>216</v>
      </c>
      <c r="D791" s="320">
        <v>9570.0</v>
      </c>
      <c r="E791" s="320">
        <v>11.96</v>
      </c>
      <c r="F791" s="320">
        <v>24157.2</v>
      </c>
      <c r="G791" s="320">
        <v>2.5243</v>
      </c>
      <c r="H791" s="320">
        <v>32.33</v>
      </c>
      <c r="I791" s="320">
        <v>7.8078</v>
      </c>
      <c r="J791" s="320">
        <v>91.67</v>
      </c>
      <c r="K791" s="320">
        <v>54.16</v>
      </c>
      <c r="L791" s="320">
        <v>27.07</v>
      </c>
      <c r="M791" s="320">
        <v>0.4998</v>
      </c>
      <c r="N791" s="320">
        <v>0.5651</v>
      </c>
      <c r="O791" s="320">
        <v>0.3133</v>
      </c>
      <c r="P791" s="320">
        <v>2.0007</v>
      </c>
      <c r="Q791" s="320">
        <v>294.44</v>
      </c>
      <c r="R791" s="320">
        <v>237.62</v>
      </c>
      <c r="S791" s="320">
        <v>56.82</v>
      </c>
      <c r="T791" s="320">
        <v>159.59</v>
      </c>
      <c r="U791" s="320">
        <v>134.85</v>
      </c>
      <c r="V791" s="320">
        <v>323.52</v>
      </c>
      <c r="W791" s="320">
        <v>5.9738</v>
      </c>
      <c r="X791" s="320">
        <v>54.2</v>
      </c>
      <c r="Y791" s="320">
        <v>84.0</v>
      </c>
      <c r="Z791" s="320">
        <v>187.0</v>
      </c>
      <c r="AA791" s="320">
        <v>653.0</v>
      </c>
      <c r="AB791" s="320">
        <v>54.4403</v>
      </c>
      <c r="AC791" s="320">
        <v>0.6548</v>
      </c>
      <c r="AD791" s="320">
        <v>16.76</v>
      </c>
      <c r="AE791" s="320">
        <v>5.0</v>
      </c>
      <c r="AF791" s="320">
        <v>12.0</v>
      </c>
      <c r="AG791" s="320">
        <v>24.0</v>
      </c>
      <c r="AH791" s="320">
        <v>37.0</v>
      </c>
      <c r="AI791" s="320">
        <v>52.66</v>
      </c>
      <c r="AJ791" s="320">
        <v>21.81</v>
      </c>
      <c r="AK791" s="320">
        <v>7.16</v>
      </c>
      <c r="AL791" s="320">
        <v>0.2145</v>
      </c>
      <c r="AM791" s="320">
        <v>21.43</v>
      </c>
      <c r="AN791" s="320">
        <v>216.19</v>
      </c>
      <c r="AO791" s="320">
        <v>73.97</v>
      </c>
      <c r="AP791" s="320">
        <v>15.85</v>
      </c>
    </row>
    <row r="792">
      <c r="A792" s="319" t="s">
        <v>258</v>
      </c>
      <c r="B792" s="328">
        <v>46061.0</v>
      </c>
      <c r="C792" s="319" t="s">
        <v>217</v>
      </c>
      <c r="D792" s="320">
        <v>3900.0</v>
      </c>
      <c r="E792" s="320">
        <v>4.88</v>
      </c>
      <c r="F792" s="320">
        <v>22702.71</v>
      </c>
      <c r="G792" s="320">
        <v>5.8212</v>
      </c>
      <c r="H792" s="320">
        <v>42.82</v>
      </c>
      <c r="I792" s="320">
        <v>13.5944</v>
      </c>
      <c r="J792" s="320">
        <v>136.53</v>
      </c>
      <c r="K792" s="320">
        <v>84.67</v>
      </c>
      <c r="L792" s="320">
        <v>54.56</v>
      </c>
      <c r="M792" s="320">
        <v>0.6444</v>
      </c>
      <c r="N792" s="320">
        <v>0.436</v>
      </c>
      <c r="O792" s="320">
        <v>0.2414</v>
      </c>
      <c r="P792" s="320">
        <v>1.5518</v>
      </c>
      <c r="Q792" s="320">
        <v>597.67</v>
      </c>
      <c r="R792" s="320">
        <v>482.77</v>
      </c>
      <c r="S792" s="320">
        <v>114.89</v>
      </c>
      <c r="T792" s="320">
        <v>363.61</v>
      </c>
      <c r="U792" s="320">
        <v>234.06</v>
      </c>
      <c r="V792" s="320">
        <v>653.36</v>
      </c>
      <c r="W792" s="320">
        <v>7.7166</v>
      </c>
      <c r="X792" s="320">
        <v>60.84</v>
      </c>
      <c r="Y792" s="320">
        <v>96.0</v>
      </c>
      <c r="Z792" s="320">
        <v>299.0</v>
      </c>
      <c r="AA792" s="320">
        <v>1054.0</v>
      </c>
      <c r="AB792" s="320">
        <v>57.3061</v>
      </c>
      <c r="AC792" s="320">
        <v>0.7571</v>
      </c>
      <c r="AD792" s="320">
        <v>34.97</v>
      </c>
      <c r="AE792" s="320">
        <v>11.0</v>
      </c>
      <c r="AF792" s="320">
        <v>26.0</v>
      </c>
      <c r="AG792" s="320">
        <v>50.0</v>
      </c>
      <c r="AH792" s="320">
        <v>76.0</v>
      </c>
      <c r="AI792" s="320">
        <v>47.79</v>
      </c>
      <c r="AJ792" s="320">
        <v>17.72</v>
      </c>
      <c r="AK792" s="320">
        <v>4.74</v>
      </c>
      <c r="AL792" s="320">
        <v>0.2046</v>
      </c>
      <c r="AM792" s="320">
        <v>21.73</v>
      </c>
      <c r="AN792" s="320">
        <v>461.04</v>
      </c>
      <c r="AO792" s="320">
        <v>74.36</v>
      </c>
      <c r="AP792" s="320">
        <v>16.16</v>
      </c>
    </row>
    <row r="793">
      <c r="A793" s="319" t="s">
        <v>258</v>
      </c>
      <c r="B793" s="328">
        <v>46061.0</v>
      </c>
      <c r="C793" s="319" t="s">
        <v>218</v>
      </c>
      <c r="D793" s="320">
        <v>455.0</v>
      </c>
      <c r="E793" s="320">
        <v>0.57</v>
      </c>
      <c r="F793" s="320">
        <v>5281.39</v>
      </c>
      <c r="G793" s="320">
        <v>11.6075</v>
      </c>
      <c r="H793" s="320">
        <v>49.67</v>
      </c>
      <c r="I793" s="320">
        <v>23.369</v>
      </c>
      <c r="J793" s="320">
        <v>246.26</v>
      </c>
      <c r="K793" s="320">
        <v>160.91</v>
      </c>
      <c r="L793" s="320">
        <v>124.07</v>
      </c>
      <c r="M793" s="320">
        <v>0.7711</v>
      </c>
      <c r="N793" s="320">
        <v>0.3121</v>
      </c>
      <c r="O793" s="320">
        <v>0.1843</v>
      </c>
      <c r="P793" s="320">
        <v>1.2969</v>
      </c>
      <c r="Q793" s="320">
        <v>1166.91</v>
      </c>
      <c r="R793" s="320">
        <v>906.59</v>
      </c>
      <c r="S793" s="320">
        <v>260.32</v>
      </c>
      <c r="T793" s="320">
        <v>728.4</v>
      </c>
      <c r="U793" s="320">
        <v>438.52</v>
      </c>
      <c r="V793" s="320">
        <v>1287.8</v>
      </c>
      <c r="W793" s="320">
        <v>8.0035</v>
      </c>
      <c r="X793" s="320">
        <v>62.42</v>
      </c>
      <c r="Y793" s="320">
        <v>114.0</v>
      </c>
      <c r="Z793" s="320">
        <v>459.0</v>
      </c>
      <c r="AA793" s="320">
        <v>1968.0</v>
      </c>
      <c r="AB793" s="320">
        <v>61.163</v>
      </c>
      <c r="AC793" s="320">
        <v>0.8162</v>
      </c>
      <c r="AD793" s="320">
        <v>77.06</v>
      </c>
      <c r="AE793" s="320">
        <v>23.0</v>
      </c>
      <c r="AF793" s="320">
        <v>55.0</v>
      </c>
      <c r="AG793" s="320">
        <v>115.0</v>
      </c>
      <c r="AH793" s="320">
        <v>175.0</v>
      </c>
      <c r="AI793" s="320">
        <v>36.92</v>
      </c>
      <c r="AJ793" s="320">
        <v>10.11</v>
      </c>
      <c r="AK793" s="320">
        <v>1.54</v>
      </c>
      <c r="AL793" s="320">
        <v>0.1692</v>
      </c>
      <c r="AM793" s="320">
        <v>20.2</v>
      </c>
      <c r="AN793" s="320">
        <v>886.4</v>
      </c>
      <c r="AO793" s="320">
        <v>70.86</v>
      </c>
      <c r="AP793" s="320">
        <v>14.31</v>
      </c>
    </row>
    <row r="794">
      <c r="A794" s="319" t="s">
        <v>258</v>
      </c>
      <c r="B794" s="328">
        <v>46062.0</v>
      </c>
      <c r="C794" s="319" t="s">
        <v>257</v>
      </c>
      <c r="D794" s="320">
        <v>15983.0</v>
      </c>
      <c r="E794" s="320">
        <v>19.6</v>
      </c>
      <c r="F794" s="320">
        <v>228.73</v>
      </c>
      <c r="G794" s="320">
        <v>0.0143</v>
      </c>
      <c r="H794" s="320">
        <v>0.27</v>
      </c>
      <c r="I794" s="320">
        <v>5.3193</v>
      </c>
      <c r="J794" s="320">
        <v>5.55</v>
      </c>
      <c r="K794" s="320">
        <v>2.44</v>
      </c>
      <c r="L794" s="320">
        <v>0.09</v>
      </c>
      <c r="M794" s="320">
        <v>0.0351</v>
      </c>
      <c r="N794" s="320">
        <v>0.9686</v>
      </c>
      <c r="O794" s="320">
        <v>0.6858</v>
      </c>
      <c r="P794" s="320">
        <v>28.4627</v>
      </c>
      <c r="Q794" s="320">
        <v>37.74</v>
      </c>
      <c r="R794" s="320">
        <v>37.69</v>
      </c>
      <c r="S794" s="320">
        <v>0.06</v>
      </c>
      <c r="T794" s="320">
        <v>1.44</v>
      </c>
      <c r="U794" s="320">
        <v>36.3</v>
      </c>
      <c r="V794" s="320">
        <v>2.82</v>
      </c>
      <c r="W794" s="320">
        <v>1.1583</v>
      </c>
      <c r="X794" s="320">
        <v>3.82</v>
      </c>
      <c r="Y794" s="320">
        <v>192.0</v>
      </c>
      <c r="Z794" s="320">
        <v>1237.0</v>
      </c>
      <c r="AA794" s="320">
        <v>7429.0</v>
      </c>
      <c r="AB794" s="320">
        <v>49.9476</v>
      </c>
      <c r="AC794" s="320">
        <v>0.5306</v>
      </c>
      <c r="AD794" s="329"/>
      <c r="AE794" s="329"/>
      <c r="AF794" s="329"/>
      <c r="AG794" s="329"/>
      <c r="AH794" s="329"/>
      <c r="AI794" s="320">
        <v>0.0</v>
      </c>
      <c r="AJ794" s="320">
        <v>0.0</v>
      </c>
      <c r="AK794" s="320">
        <v>0.0</v>
      </c>
      <c r="AL794" s="320">
        <v>0.285</v>
      </c>
      <c r="AM794" s="320">
        <v>16.0</v>
      </c>
      <c r="AN794" s="320">
        <v>21.68</v>
      </c>
      <c r="AO794" s="329"/>
      <c r="AP794" s="329"/>
    </row>
    <row r="795">
      <c r="A795" s="319" t="s">
        <v>258</v>
      </c>
      <c r="B795" s="328">
        <v>46062.0</v>
      </c>
      <c r="C795" s="319" t="s">
        <v>214</v>
      </c>
      <c r="D795" s="320">
        <v>32355.0</v>
      </c>
      <c r="E795" s="320">
        <v>39.68</v>
      </c>
      <c r="F795" s="320">
        <v>6687.04</v>
      </c>
      <c r="G795" s="320">
        <v>0.2067</v>
      </c>
      <c r="H795" s="320">
        <v>5.89</v>
      </c>
      <c r="I795" s="320">
        <v>3.5084</v>
      </c>
      <c r="J795" s="320">
        <v>33.67</v>
      </c>
      <c r="K795" s="320">
        <v>18.1</v>
      </c>
      <c r="L795" s="320">
        <v>5.41</v>
      </c>
      <c r="M795" s="320">
        <v>0.299</v>
      </c>
      <c r="N795" s="320">
        <v>0.7723</v>
      </c>
      <c r="O795" s="320">
        <v>0.534</v>
      </c>
      <c r="P795" s="320">
        <v>3.3448</v>
      </c>
      <c r="Q795" s="320">
        <v>96.78</v>
      </c>
      <c r="R795" s="320">
        <v>85.66</v>
      </c>
      <c r="S795" s="320">
        <v>11.13</v>
      </c>
      <c r="T795" s="320">
        <v>13.91</v>
      </c>
      <c r="U795" s="320">
        <v>82.88</v>
      </c>
      <c r="V795" s="320">
        <v>87.72</v>
      </c>
      <c r="W795" s="320">
        <v>4.8473</v>
      </c>
      <c r="X795" s="320">
        <v>14.37</v>
      </c>
      <c r="Y795" s="320">
        <v>92.0</v>
      </c>
      <c r="Z795" s="320">
        <v>218.0</v>
      </c>
      <c r="AA795" s="320">
        <v>835.0</v>
      </c>
      <c r="AB795" s="320">
        <v>49.3891</v>
      </c>
      <c r="AC795" s="320">
        <v>0.443</v>
      </c>
      <c r="AD795" s="320">
        <v>3.48</v>
      </c>
      <c r="AE795" s="320">
        <v>1.0</v>
      </c>
      <c r="AF795" s="320">
        <v>2.0</v>
      </c>
      <c r="AG795" s="320">
        <v>4.0</v>
      </c>
      <c r="AH795" s="320">
        <v>8.0</v>
      </c>
      <c r="AI795" s="320">
        <v>67.57</v>
      </c>
      <c r="AJ795" s="320">
        <v>24.78</v>
      </c>
      <c r="AK795" s="320">
        <v>6.4</v>
      </c>
      <c r="AL795" s="320">
        <v>0.2143</v>
      </c>
      <c r="AM795" s="320">
        <v>18.68</v>
      </c>
      <c r="AN795" s="320">
        <v>66.98</v>
      </c>
      <c r="AO795" s="320">
        <v>68.35</v>
      </c>
      <c r="AP795" s="320">
        <v>12.77</v>
      </c>
    </row>
    <row r="796">
      <c r="A796" s="319" t="s">
        <v>258</v>
      </c>
      <c r="B796" s="328">
        <v>46062.0</v>
      </c>
      <c r="C796" s="319" t="s">
        <v>215</v>
      </c>
      <c r="D796" s="320">
        <v>18654.0</v>
      </c>
      <c r="E796" s="320">
        <v>22.88</v>
      </c>
      <c r="F796" s="320">
        <v>15496.9</v>
      </c>
      <c r="G796" s="320">
        <v>0.8308</v>
      </c>
      <c r="H796" s="320">
        <v>17.54</v>
      </c>
      <c r="I796" s="320">
        <v>4.7377</v>
      </c>
      <c r="J796" s="320">
        <v>60.9</v>
      </c>
      <c r="K796" s="320">
        <v>34.15</v>
      </c>
      <c r="L796" s="320">
        <v>13.57</v>
      </c>
      <c r="M796" s="320">
        <v>0.3972</v>
      </c>
      <c r="N796" s="320">
        <v>0.6681</v>
      </c>
      <c r="O796" s="320">
        <v>0.4059</v>
      </c>
      <c r="P796" s="320">
        <v>2.5176</v>
      </c>
      <c r="Q796" s="320">
        <v>190.45</v>
      </c>
      <c r="R796" s="320">
        <v>163.62</v>
      </c>
      <c r="S796" s="320">
        <v>26.83</v>
      </c>
      <c r="T796" s="320">
        <v>53.76</v>
      </c>
      <c r="U796" s="320">
        <v>136.7</v>
      </c>
      <c r="V796" s="320">
        <v>186.14</v>
      </c>
      <c r="W796" s="320">
        <v>5.4502</v>
      </c>
      <c r="X796" s="320">
        <v>28.23</v>
      </c>
      <c r="Y796" s="320">
        <v>88.0</v>
      </c>
      <c r="Z796" s="320">
        <v>200.0</v>
      </c>
      <c r="AA796" s="320">
        <v>676.0</v>
      </c>
      <c r="AB796" s="320">
        <v>52.3226</v>
      </c>
      <c r="AC796" s="320">
        <v>0.5178</v>
      </c>
      <c r="AD796" s="320">
        <v>8.14</v>
      </c>
      <c r="AE796" s="320">
        <v>3.0</v>
      </c>
      <c r="AF796" s="320">
        <v>6.0</v>
      </c>
      <c r="AG796" s="320">
        <v>11.0</v>
      </c>
      <c r="AH796" s="320">
        <v>18.0</v>
      </c>
      <c r="AI796" s="320">
        <v>51.97</v>
      </c>
      <c r="AJ796" s="320">
        <v>21.29</v>
      </c>
      <c r="AK796" s="320">
        <v>3.32</v>
      </c>
      <c r="AL796" s="320">
        <v>0.1807</v>
      </c>
      <c r="AM796" s="320">
        <v>19.28</v>
      </c>
      <c r="AN796" s="320">
        <v>144.34</v>
      </c>
      <c r="AO796" s="320">
        <v>73.38</v>
      </c>
      <c r="AP796" s="320">
        <v>14.15</v>
      </c>
    </row>
    <row r="797">
      <c r="A797" s="319" t="s">
        <v>258</v>
      </c>
      <c r="B797" s="328">
        <v>46062.0</v>
      </c>
      <c r="C797" s="319" t="s">
        <v>216</v>
      </c>
      <c r="D797" s="320">
        <v>10032.0</v>
      </c>
      <c r="E797" s="320">
        <v>12.3</v>
      </c>
      <c r="F797" s="320">
        <v>22788.88</v>
      </c>
      <c r="G797" s="320">
        <v>2.2716</v>
      </c>
      <c r="H797" s="320">
        <v>29.98</v>
      </c>
      <c r="I797" s="320">
        <v>7.5761</v>
      </c>
      <c r="J797" s="320">
        <v>91.05</v>
      </c>
      <c r="K797" s="320">
        <v>52.75</v>
      </c>
      <c r="L797" s="320">
        <v>27.64</v>
      </c>
      <c r="M797" s="320">
        <v>0.5241</v>
      </c>
      <c r="N797" s="320">
        <v>0.5507</v>
      </c>
      <c r="O797" s="320">
        <v>0.3158</v>
      </c>
      <c r="P797" s="320">
        <v>1.9082</v>
      </c>
      <c r="Q797" s="320">
        <v>369.1</v>
      </c>
      <c r="R797" s="320">
        <v>315.68</v>
      </c>
      <c r="S797" s="320">
        <v>53.42</v>
      </c>
      <c r="T797" s="320">
        <v>148.11</v>
      </c>
      <c r="U797" s="320">
        <v>220.99</v>
      </c>
      <c r="V797" s="320">
        <v>369.18</v>
      </c>
      <c r="W797" s="320">
        <v>6.9986</v>
      </c>
      <c r="X797" s="320">
        <v>40.13</v>
      </c>
      <c r="Y797" s="320">
        <v>89.0</v>
      </c>
      <c r="Z797" s="320">
        <v>235.0</v>
      </c>
      <c r="AA797" s="320">
        <v>716.0</v>
      </c>
      <c r="AB797" s="320">
        <v>54.1887</v>
      </c>
      <c r="AC797" s="320">
        <v>0.5935</v>
      </c>
      <c r="AD797" s="320">
        <v>16.32</v>
      </c>
      <c r="AE797" s="320">
        <v>6.0</v>
      </c>
      <c r="AF797" s="320">
        <v>12.0</v>
      </c>
      <c r="AG797" s="320">
        <v>23.0</v>
      </c>
      <c r="AH797" s="320">
        <v>36.0</v>
      </c>
      <c r="AI797" s="320">
        <v>54.12</v>
      </c>
      <c r="AJ797" s="320">
        <v>21.37</v>
      </c>
      <c r="AK797" s="320">
        <v>5.22</v>
      </c>
      <c r="AL797" s="320">
        <v>0.1725</v>
      </c>
      <c r="AM797" s="320">
        <v>18.98</v>
      </c>
      <c r="AN797" s="320">
        <v>296.7</v>
      </c>
      <c r="AO797" s="320">
        <v>72.59</v>
      </c>
      <c r="AP797" s="320">
        <v>13.78</v>
      </c>
    </row>
    <row r="798">
      <c r="A798" s="319" t="s">
        <v>258</v>
      </c>
      <c r="B798" s="328">
        <v>46062.0</v>
      </c>
      <c r="C798" s="319" t="s">
        <v>217</v>
      </c>
      <c r="D798" s="320">
        <v>4100.0</v>
      </c>
      <c r="E798" s="320">
        <v>5.03</v>
      </c>
      <c r="F798" s="320">
        <v>22733.34</v>
      </c>
      <c r="G798" s="320">
        <v>5.5447</v>
      </c>
      <c r="H798" s="320">
        <v>39.83</v>
      </c>
      <c r="I798" s="320">
        <v>13.9212</v>
      </c>
      <c r="J798" s="320">
        <v>138.78</v>
      </c>
      <c r="K798" s="320">
        <v>83.85</v>
      </c>
      <c r="L798" s="320">
        <v>55.6</v>
      </c>
      <c r="M798" s="320">
        <v>0.663</v>
      </c>
      <c r="N798" s="320">
        <v>0.428</v>
      </c>
      <c r="O798" s="320">
        <v>0.2499</v>
      </c>
      <c r="P798" s="320">
        <v>1.5082</v>
      </c>
      <c r="Q798" s="320">
        <v>724.0</v>
      </c>
      <c r="R798" s="320">
        <v>617.17</v>
      </c>
      <c r="S798" s="320">
        <v>106.84</v>
      </c>
      <c r="T798" s="320">
        <v>356.88</v>
      </c>
      <c r="U798" s="320">
        <v>367.12</v>
      </c>
      <c r="V798" s="320">
        <v>738.2</v>
      </c>
      <c r="W798" s="320">
        <v>8.8033</v>
      </c>
      <c r="X798" s="320">
        <v>49.29</v>
      </c>
      <c r="Y798" s="320">
        <v>101.0</v>
      </c>
      <c r="Z798" s="320">
        <v>334.0</v>
      </c>
      <c r="AA798" s="320">
        <v>1181.0</v>
      </c>
      <c r="AB798" s="320">
        <v>57.1228</v>
      </c>
      <c r="AC798" s="320">
        <v>0.6727</v>
      </c>
      <c r="AD798" s="320">
        <v>32.93</v>
      </c>
      <c r="AE798" s="320">
        <v>11.0</v>
      </c>
      <c r="AF798" s="320">
        <v>25.0</v>
      </c>
      <c r="AG798" s="320">
        <v>44.0</v>
      </c>
      <c r="AH798" s="320">
        <v>71.0</v>
      </c>
      <c r="AI798" s="320">
        <v>46.66</v>
      </c>
      <c r="AJ798" s="320">
        <v>14.56</v>
      </c>
      <c r="AK798" s="320">
        <v>4.07</v>
      </c>
      <c r="AL798" s="320">
        <v>0.1454</v>
      </c>
      <c r="AM798" s="320">
        <v>20.55</v>
      </c>
      <c r="AN798" s="320">
        <v>596.62</v>
      </c>
      <c r="AO798" s="320">
        <v>72.95</v>
      </c>
      <c r="AP798" s="320">
        <v>14.99</v>
      </c>
    </row>
    <row r="799">
      <c r="A799" s="319" t="s">
        <v>258</v>
      </c>
      <c r="B799" s="328">
        <v>46062.0</v>
      </c>
      <c r="C799" s="319" t="s">
        <v>218</v>
      </c>
      <c r="D799" s="320">
        <v>410.0</v>
      </c>
      <c r="E799" s="320">
        <v>0.5</v>
      </c>
      <c r="F799" s="320">
        <v>3642.9</v>
      </c>
      <c r="G799" s="320">
        <v>8.8851</v>
      </c>
      <c r="H799" s="320">
        <v>47.32</v>
      </c>
      <c r="I799" s="320">
        <v>18.7778</v>
      </c>
      <c r="J799" s="320">
        <v>243.72</v>
      </c>
      <c r="K799" s="320">
        <v>156.63</v>
      </c>
      <c r="L799" s="320">
        <v>124.85</v>
      </c>
      <c r="M799" s="320">
        <v>0.7971</v>
      </c>
      <c r="N799" s="320">
        <v>0.2877</v>
      </c>
      <c r="O799" s="320">
        <v>0.1723</v>
      </c>
      <c r="P799" s="320">
        <v>1.2546</v>
      </c>
      <c r="Q799" s="320">
        <v>1212.56</v>
      </c>
      <c r="R799" s="320">
        <v>950.06</v>
      </c>
      <c r="S799" s="320">
        <v>262.5</v>
      </c>
      <c r="T799" s="320">
        <v>566.51</v>
      </c>
      <c r="U799" s="320">
        <v>646.05</v>
      </c>
      <c r="V799" s="320">
        <v>1241.1</v>
      </c>
      <c r="W799" s="320">
        <v>7.9238</v>
      </c>
      <c r="X799" s="320">
        <v>46.72</v>
      </c>
      <c r="Y799" s="320">
        <v>124.0</v>
      </c>
      <c r="Z799" s="320">
        <v>593.0</v>
      </c>
      <c r="AA799" s="320">
        <v>2112.0</v>
      </c>
      <c r="AB799" s="320">
        <v>61.4713</v>
      </c>
      <c r="AC799" s="320">
        <v>0.8131</v>
      </c>
      <c r="AD799" s="320">
        <v>81.62</v>
      </c>
      <c r="AE799" s="320">
        <v>24.0</v>
      </c>
      <c r="AF799" s="320">
        <v>61.0</v>
      </c>
      <c r="AG799" s="320">
        <v>122.0</v>
      </c>
      <c r="AH799" s="320">
        <v>186.0</v>
      </c>
      <c r="AI799" s="320">
        <v>40.0</v>
      </c>
      <c r="AJ799" s="320">
        <v>13.17</v>
      </c>
      <c r="AK799" s="320">
        <v>1.46</v>
      </c>
      <c r="AL799" s="320">
        <v>0.1244</v>
      </c>
      <c r="AM799" s="320">
        <v>21.0</v>
      </c>
      <c r="AN799" s="320">
        <v>929.06</v>
      </c>
      <c r="AO799" s="320">
        <v>72.86</v>
      </c>
      <c r="AP799" s="320">
        <v>15.3</v>
      </c>
    </row>
    <row r="800">
      <c r="A800" s="319" t="s">
        <v>258</v>
      </c>
      <c r="B800" s="328">
        <v>46063.0</v>
      </c>
      <c r="C800" s="319" t="s">
        <v>257</v>
      </c>
      <c r="D800" s="320">
        <v>16696.0</v>
      </c>
      <c r="E800" s="320">
        <v>20.48</v>
      </c>
      <c r="F800" s="320">
        <v>-26.37</v>
      </c>
      <c r="G800" s="320">
        <v>-0.0016</v>
      </c>
      <c r="H800" s="320">
        <v>0.17</v>
      </c>
      <c r="I800" s="320">
        <v>-0.9093</v>
      </c>
      <c r="J800" s="320">
        <v>5.78</v>
      </c>
      <c r="K800" s="320">
        <v>2.62</v>
      </c>
      <c r="L800" s="320">
        <v>0.01</v>
      </c>
      <c r="M800" s="320">
        <v>0.0034</v>
      </c>
      <c r="N800" s="320">
        <v>0.9968</v>
      </c>
      <c r="O800" s="320">
        <v>0.9543</v>
      </c>
      <c r="P800" s="320">
        <v>289.8874</v>
      </c>
      <c r="Q800" s="320">
        <v>26.83</v>
      </c>
      <c r="R800" s="320">
        <v>26.78</v>
      </c>
      <c r="S800" s="320">
        <v>0.05</v>
      </c>
      <c r="T800" s="320">
        <v>0.58</v>
      </c>
      <c r="U800" s="320">
        <v>26.25</v>
      </c>
      <c r="V800" s="320">
        <v>2.43</v>
      </c>
      <c r="W800" s="320">
        <v>0.9287</v>
      </c>
      <c r="X800" s="320">
        <v>2.18</v>
      </c>
      <c r="Y800" s="320">
        <v>154.0</v>
      </c>
      <c r="Z800" s="320">
        <v>1012.0</v>
      </c>
      <c r="AA800" s="320">
        <v>6898.0</v>
      </c>
      <c r="AB800" s="320">
        <v>49.6188</v>
      </c>
      <c r="AC800" s="320">
        <v>0.5149</v>
      </c>
      <c r="AD800" s="329"/>
      <c r="AE800" s="329"/>
      <c r="AF800" s="329"/>
      <c r="AG800" s="329"/>
      <c r="AH800" s="329"/>
      <c r="AI800" s="320">
        <v>0.0</v>
      </c>
      <c r="AJ800" s="320">
        <v>0.0</v>
      </c>
      <c r="AK800" s="320">
        <v>0.0</v>
      </c>
      <c r="AL800" s="320">
        <v>0.2661</v>
      </c>
      <c r="AM800" s="320">
        <v>14.89</v>
      </c>
      <c r="AN800" s="320">
        <v>11.89</v>
      </c>
      <c r="AO800" s="329"/>
      <c r="AP800" s="329"/>
    </row>
    <row r="801">
      <c r="A801" s="319" t="s">
        <v>258</v>
      </c>
      <c r="B801" s="328">
        <v>46063.0</v>
      </c>
      <c r="C801" s="319" t="s">
        <v>214</v>
      </c>
      <c r="D801" s="320">
        <v>33018.0</v>
      </c>
      <c r="E801" s="320">
        <v>40.5</v>
      </c>
      <c r="F801" s="320">
        <v>7077.09</v>
      </c>
      <c r="G801" s="320">
        <v>0.2143</v>
      </c>
      <c r="H801" s="320">
        <v>6.19</v>
      </c>
      <c r="I801" s="320">
        <v>3.4607</v>
      </c>
      <c r="J801" s="320">
        <v>29.35</v>
      </c>
      <c r="K801" s="320">
        <v>15.52</v>
      </c>
      <c r="L801" s="320">
        <v>4.98</v>
      </c>
      <c r="M801" s="320">
        <v>0.321</v>
      </c>
      <c r="N801" s="320">
        <v>0.7553</v>
      </c>
      <c r="O801" s="320">
        <v>0.5268</v>
      </c>
      <c r="P801" s="320">
        <v>3.1156</v>
      </c>
      <c r="Q801" s="320">
        <v>70.35</v>
      </c>
      <c r="R801" s="320">
        <v>60.05</v>
      </c>
      <c r="S801" s="320">
        <v>10.31</v>
      </c>
      <c r="T801" s="320">
        <v>14.18</v>
      </c>
      <c r="U801" s="320">
        <v>56.18</v>
      </c>
      <c r="V801" s="320">
        <v>75.58</v>
      </c>
      <c r="W801" s="320">
        <v>4.871</v>
      </c>
      <c r="X801" s="320">
        <v>20.15</v>
      </c>
      <c r="Y801" s="320">
        <v>90.0</v>
      </c>
      <c r="Z801" s="320">
        <v>218.0</v>
      </c>
      <c r="AA801" s="320">
        <v>849.0</v>
      </c>
      <c r="AB801" s="320">
        <v>49.6139</v>
      </c>
      <c r="AC801" s="320">
        <v>0.4462</v>
      </c>
      <c r="AD801" s="320">
        <v>3.43</v>
      </c>
      <c r="AE801" s="320">
        <v>1.0</v>
      </c>
      <c r="AF801" s="320">
        <v>2.0</v>
      </c>
      <c r="AG801" s="320">
        <v>4.0</v>
      </c>
      <c r="AH801" s="320">
        <v>8.0</v>
      </c>
      <c r="AI801" s="320">
        <v>65.52</v>
      </c>
      <c r="AJ801" s="320">
        <v>23.77</v>
      </c>
      <c r="AK801" s="320">
        <v>6.55</v>
      </c>
      <c r="AL801" s="320">
        <v>0.2145</v>
      </c>
      <c r="AM801" s="320">
        <v>18.34</v>
      </c>
      <c r="AN801" s="320">
        <v>41.7</v>
      </c>
      <c r="AO801" s="320">
        <v>68.39</v>
      </c>
      <c r="AP801" s="320">
        <v>12.54</v>
      </c>
    </row>
    <row r="802">
      <c r="A802" s="319" t="s">
        <v>258</v>
      </c>
      <c r="B802" s="328">
        <v>46063.0</v>
      </c>
      <c r="C802" s="319" t="s">
        <v>215</v>
      </c>
      <c r="D802" s="320">
        <v>18173.0</v>
      </c>
      <c r="E802" s="320">
        <v>22.29</v>
      </c>
      <c r="F802" s="320">
        <v>16366.49</v>
      </c>
      <c r="G802" s="320">
        <v>0.9006</v>
      </c>
      <c r="H802" s="320">
        <v>19.41</v>
      </c>
      <c r="I802" s="320">
        <v>4.6403</v>
      </c>
      <c r="J802" s="320">
        <v>54.31</v>
      </c>
      <c r="K802" s="320">
        <v>30.46</v>
      </c>
      <c r="L802" s="320">
        <v>13.17</v>
      </c>
      <c r="M802" s="320">
        <v>0.4325</v>
      </c>
      <c r="N802" s="320">
        <v>0.6352</v>
      </c>
      <c r="O802" s="320">
        <v>0.3776</v>
      </c>
      <c r="P802" s="320">
        <v>2.3122</v>
      </c>
      <c r="Q802" s="320">
        <v>159.34</v>
      </c>
      <c r="R802" s="320">
        <v>132.92</v>
      </c>
      <c r="S802" s="320">
        <v>26.42</v>
      </c>
      <c r="T802" s="320">
        <v>59.78</v>
      </c>
      <c r="U802" s="320">
        <v>99.56</v>
      </c>
      <c r="V802" s="320">
        <v>169.3</v>
      </c>
      <c r="W802" s="320">
        <v>5.5586</v>
      </c>
      <c r="X802" s="320">
        <v>37.52</v>
      </c>
      <c r="Y802" s="320">
        <v>86.0</v>
      </c>
      <c r="Z802" s="320">
        <v>203.0</v>
      </c>
      <c r="AA802" s="320">
        <v>714.0</v>
      </c>
      <c r="AB802" s="320">
        <v>52.3403</v>
      </c>
      <c r="AC802" s="320">
        <v>0.5225</v>
      </c>
      <c r="AD802" s="320">
        <v>8.42</v>
      </c>
      <c r="AE802" s="320">
        <v>2.0</v>
      </c>
      <c r="AF802" s="320">
        <v>6.0</v>
      </c>
      <c r="AG802" s="320">
        <v>12.0</v>
      </c>
      <c r="AH802" s="320">
        <v>19.0</v>
      </c>
      <c r="AI802" s="320">
        <v>52.47</v>
      </c>
      <c r="AJ802" s="320">
        <v>22.64</v>
      </c>
      <c r="AK802" s="320">
        <v>4.01</v>
      </c>
      <c r="AL802" s="320">
        <v>0.1858</v>
      </c>
      <c r="AM802" s="320">
        <v>18.87</v>
      </c>
      <c r="AN802" s="320">
        <v>114.04</v>
      </c>
      <c r="AO802" s="320">
        <v>73.22</v>
      </c>
      <c r="AP802" s="320">
        <v>13.82</v>
      </c>
    </row>
    <row r="803">
      <c r="A803" s="319" t="s">
        <v>258</v>
      </c>
      <c r="B803" s="328">
        <v>46063.0</v>
      </c>
      <c r="C803" s="319" t="s">
        <v>216</v>
      </c>
      <c r="D803" s="320">
        <v>9586.0</v>
      </c>
      <c r="E803" s="320">
        <v>11.76</v>
      </c>
      <c r="F803" s="320">
        <v>22126.3</v>
      </c>
      <c r="G803" s="320">
        <v>2.3082</v>
      </c>
      <c r="H803" s="320">
        <v>30.9</v>
      </c>
      <c r="I803" s="320">
        <v>7.4701</v>
      </c>
      <c r="J803" s="320">
        <v>81.75</v>
      </c>
      <c r="K803" s="320">
        <v>47.71</v>
      </c>
      <c r="L803" s="320">
        <v>26.26</v>
      </c>
      <c r="M803" s="320">
        <v>0.5504</v>
      </c>
      <c r="N803" s="320">
        <v>0.5266</v>
      </c>
      <c r="O803" s="320">
        <v>0.2993</v>
      </c>
      <c r="P803" s="320">
        <v>1.817</v>
      </c>
      <c r="Q803" s="320">
        <v>327.71</v>
      </c>
      <c r="R803" s="320">
        <v>276.69</v>
      </c>
      <c r="S803" s="320">
        <v>51.02</v>
      </c>
      <c r="T803" s="320">
        <v>152.29</v>
      </c>
      <c r="U803" s="320">
        <v>175.42</v>
      </c>
      <c r="V803" s="320">
        <v>340.7</v>
      </c>
      <c r="W803" s="320">
        <v>7.141</v>
      </c>
      <c r="X803" s="320">
        <v>46.47</v>
      </c>
      <c r="Y803" s="320">
        <v>90.0</v>
      </c>
      <c r="Z803" s="320">
        <v>242.0</v>
      </c>
      <c r="AA803" s="320">
        <v>775.0</v>
      </c>
      <c r="AB803" s="320">
        <v>54.3534</v>
      </c>
      <c r="AC803" s="320">
        <v>0.6096</v>
      </c>
      <c r="AD803" s="320">
        <v>15.71</v>
      </c>
      <c r="AE803" s="320">
        <v>5.0</v>
      </c>
      <c r="AF803" s="320">
        <v>11.0</v>
      </c>
      <c r="AG803" s="320">
        <v>22.0</v>
      </c>
      <c r="AH803" s="320">
        <v>34.0</v>
      </c>
      <c r="AI803" s="320">
        <v>52.6</v>
      </c>
      <c r="AJ803" s="320">
        <v>19.77</v>
      </c>
      <c r="AK803" s="320">
        <v>5.39</v>
      </c>
      <c r="AL803" s="320">
        <v>0.1733</v>
      </c>
      <c r="AM803" s="320">
        <v>18.97</v>
      </c>
      <c r="AN803" s="320">
        <v>257.72</v>
      </c>
      <c r="AO803" s="320">
        <v>72.63</v>
      </c>
      <c r="AP803" s="320">
        <v>13.78</v>
      </c>
    </row>
    <row r="804">
      <c r="A804" s="319" t="s">
        <v>258</v>
      </c>
      <c r="B804" s="328">
        <v>46063.0</v>
      </c>
      <c r="C804" s="319" t="s">
        <v>217</v>
      </c>
      <c r="D804" s="320">
        <v>3668.0</v>
      </c>
      <c r="E804" s="320">
        <v>4.5</v>
      </c>
      <c r="F804" s="320">
        <v>20079.59</v>
      </c>
      <c r="G804" s="320">
        <v>5.4743</v>
      </c>
      <c r="H804" s="320">
        <v>41.82</v>
      </c>
      <c r="I804" s="320">
        <v>13.0897</v>
      </c>
      <c r="J804" s="320">
        <v>125.58</v>
      </c>
      <c r="K804" s="320">
        <v>76.39</v>
      </c>
      <c r="L804" s="320">
        <v>50.76</v>
      </c>
      <c r="M804" s="320">
        <v>0.6645</v>
      </c>
      <c r="N804" s="320">
        <v>0.4246</v>
      </c>
      <c r="O804" s="320">
        <v>0.2437</v>
      </c>
      <c r="P804" s="320">
        <v>1.5049</v>
      </c>
      <c r="Q804" s="320">
        <v>653.58</v>
      </c>
      <c r="R804" s="320">
        <v>547.81</v>
      </c>
      <c r="S804" s="320">
        <v>105.77</v>
      </c>
      <c r="T804" s="320">
        <v>343.59</v>
      </c>
      <c r="U804" s="320">
        <v>309.99</v>
      </c>
      <c r="V804" s="320">
        <v>662.21</v>
      </c>
      <c r="W804" s="320">
        <v>8.6692</v>
      </c>
      <c r="X804" s="320">
        <v>52.57</v>
      </c>
      <c r="Y804" s="320">
        <v>99.0</v>
      </c>
      <c r="Z804" s="320">
        <v>318.0</v>
      </c>
      <c r="AA804" s="320">
        <v>1015.0</v>
      </c>
      <c r="AB804" s="320">
        <v>57.3916</v>
      </c>
      <c r="AC804" s="320">
        <v>0.7401</v>
      </c>
      <c r="AD804" s="320">
        <v>33.31</v>
      </c>
      <c r="AE804" s="320">
        <v>11.0</v>
      </c>
      <c r="AF804" s="320">
        <v>24.0</v>
      </c>
      <c r="AG804" s="320">
        <v>46.0</v>
      </c>
      <c r="AH804" s="320">
        <v>74.0</v>
      </c>
      <c r="AI804" s="320">
        <v>45.94</v>
      </c>
      <c r="AJ804" s="320">
        <v>15.92</v>
      </c>
      <c r="AK804" s="320">
        <v>3.98</v>
      </c>
      <c r="AL804" s="320">
        <v>0.1453</v>
      </c>
      <c r="AM804" s="320">
        <v>19.74</v>
      </c>
      <c r="AN804" s="320">
        <v>528.06</v>
      </c>
      <c r="AO804" s="320">
        <v>76.66</v>
      </c>
      <c r="AP804" s="320">
        <v>15.13</v>
      </c>
    </row>
    <row r="805">
      <c r="A805" s="319" t="s">
        <v>258</v>
      </c>
      <c r="B805" s="328">
        <v>46063.0</v>
      </c>
      <c r="C805" s="319" t="s">
        <v>218</v>
      </c>
      <c r="D805" s="320">
        <v>388.0</v>
      </c>
      <c r="E805" s="320">
        <v>0.48</v>
      </c>
      <c r="F805" s="320">
        <v>4315.37</v>
      </c>
      <c r="G805" s="320">
        <v>11.1221</v>
      </c>
      <c r="H805" s="320">
        <v>45.62</v>
      </c>
      <c r="I805" s="320">
        <v>24.3806</v>
      </c>
      <c r="J805" s="320">
        <v>243.75</v>
      </c>
      <c r="K805" s="320">
        <v>158.87</v>
      </c>
      <c r="L805" s="320">
        <v>126.62</v>
      </c>
      <c r="M805" s="320">
        <v>0.797</v>
      </c>
      <c r="N805" s="320">
        <v>0.2891</v>
      </c>
      <c r="O805" s="320">
        <v>0.1716</v>
      </c>
      <c r="P805" s="320">
        <v>1.2547</v>
      </c>
      <c r="Q805" s="320">
        <v>1298.68</v>
      </c>
      <c r="R805" s="320">
        <v>1031.28</v>
      </c>
      <c r="S805" s="320">
        <v>267.4</v>
      </c>
      <c r="T805" s="320">
        <v>669.29</v>
      </c>
      <c r="U805" s="320">
        <v>629.39</v>
      </c>
      <c r="V805" s="320">
        <v>1324.36</v>
      </c>
      <c r="W805" s="320">
        <v>8.336</v>
      </c>
      <c r="X805" s="320">
        <v>51.54</v>
      </c>
      <c r="Y805" s="320">
        <v>145.0</v>
      </c>
      <c r="Z805" s="320">
        <v>536.0</v>
      </c>
      <c r="AA805" s="320">
        <v>2819.0</v>
      </c>
      <c r="AB805" s="320">
        <v>61.6829</v>
      </c>
      <c r="AC805" s="320">
        <v>0.8341</v>
      </c>
      <c r="AD805" s="320">
        <v>84.23</v>
      </c>
      <c r="AE805" s="320">
        <v>31.0</v>
      </c>
      <c r="AF805" s="320">
        <v>64.0</v>
      </c>
      <c r="AG805" s="320">
        <v>116.0</v>
      </c>
      <c r="AH805" s="320">
        <v>185.0</v>
      </c>
      <c r="AI805" s="320">
        <v>43.56</v>
      </c>
      <c r="AJ805" s="320">
        <v>11.08</v>
      </c>
      <c r="AK805" s="320">
        <v>2.06</v>
      </c>
      <c r="AL805" s="320">
        <v>0.1031</v>
      </c>
      <c r="AM805" s="320">
        <v>21.88</v>
      </c>
      <c r="AN805" s="320">
        <v>1009.4</v>
      </c>
      <c r="AO805" s="320">
        <v>73.97</v>
      </c>
      <c r="AP805" s="320">
        <v>16.18</v>
      </c>
    </row>
    <row r="806">
      <c r="A806" s="319" t="s">
        <v>258</v>
      </c>
      <c r="B806" s="328">
        <v>46064.0</v>
      </c>
      <c r="C806" s="319" t="s">
        <v>257</v>
      </c>
      <c r="D806" s="320">
        <v>17109.0</v>
      </c>
      <c r="E806" s="320">
        <v>21.18</v>
      </c>
      <c r="F806" s="320">
        <v>178.85</v>
      </c>
      <c r="G806" s="320">
        <v>0.0105</v>
      </c>
      <c r="H806" s="320">
        <v>0.18</v>
      </c>
      <c r="I806" s="320">
        <v>5.9617</v>
      </c>
      <c r="J806" s="320">
        <v>6.24</v>
      </c>
      <c r="K806" s="320">
        <v>2.88</v>
      </c>
      <c r="L806" s="320">
        <v>0.03</v>
      </c>
      <c r="M806" s="320">
        <v>0.0105</v>
      </c>
      <c r="N806" s="320">
        <v>0.9901</v>
      </c>
      <c r="O806" s="320">
        <v>0.8526</v>
      </c>
      <c r="P806" s="320">
        <v>95.2703</v>
      </c>
      <c r="Q806" s="320">
        <v>23.32</v>
      </c>
      <c r="R806" s="320">
        <v>23.25</v>
      </c>
      <c r="S806" s="320">
        <v>0.06</v>
      </c>
      <c r="T806" s="320">
        <v>0.95</v>
      </c>
      <c r="U806" s="320">
        <v>22.37</v>
      </c>
      <c r="V806" s="320">
        <v>1.84</v>
      </c>
      <c r="W806" s="320">
        <v>0.6373</v>
      </c>
      <c r="X806" s="320">
        <v>4.08</v>
      </c>
      <c r="Y806" s="320">
        <v>150.0</v>
      </c>
      <c r="Z806" s="320">
        <v>1034.0</v>
      </c>
      <c r="AA806" s="320">
        <v>6783.0</v>
      </c>
      <c r="AB806" s="320">
        <v>49.7694</v>
      </c>
      <c r="AC806" s="320">
        <v>0.5194</v>
      </c>
      <c r="AD806" s="329"/>
      <c r="AE806" s="329"/>
      <c r="AF806" s="329"/>
      <c r="AG806" s="329"/>
      <c r="AH806" s="329"/>
      <c r="AI806" s="320">
        <v>0.0</v>
      </c>
      <c r="AJ806" s="320">
        <v>0.0</v>
      </c>
      <c r="AK806" s="320">
        <v>0.0</v>
      </c>
      <c r="AL806" s="320">
        <v>0.2767</v>
      </c>
      <c r="AM806" s="320">
        <v>15.23</v>
      </c>
      <c r="AN806" s="320">
        <v>8.03</v>
      </c>
      <c r="AO806" s="329"/>
      <c r="AP806" s="329"/>
    </row>
    <row r="807">
      <c r="A807" s="319" t="s">
        <v>258</v>
      </c>
      <c r="B807" s="328">
        <v>46064.0</v>
      </c>
      <c r="C807" s="319" t="s">
        <v>214</v>
      </c>
      <c r="D807" s="320">
        <v>33253.0</v>
      </c>
      <c r="E807" s="320">
        <v>41.17</v>
      </c>
      <c r="F807" s="320">
        <v>7454.03</v>
      </c>
      <c r="G807" s="320">
        <v>0.2242</v>
      </c>
      <c r="H807" s="320">
        <v>6.65</v>
      </c>
      <c r="I807" s="320">
        <v>3.3729</v>
      </c>
      <c r="J807" s="320">
        <v>31.75</v>
      </c>
      <c r="K807" s="320">
        <v>17.33</v>
      </c>
      <c r="L807" s="320">
        <v>5.09</v>
      </c>
      <c r="M807" s="320">
        <v>0.2936</v>
      </c>
      <c r="N807" s="320">
        <v>0.7728</v>
      </c>
      <c r="O807" s="320">
        <v>0.5329</v>
      </c>
      <c r="P807" s="320">
        <v>3.4057</v>
      </c>
      <c r="Q807" s="320">
        <v>62.64</v>
      </c>
      <c r="R807" s="320">
        <v>52.03</v>
      </c>
      <c r="S807" s="320">
        <v>10.6</v>
      </c>
      <c r="T807" s="320">
        <v>15.28</v>
      </c>
      <c r="U807" s="320">
        <v>47.36</v>
      </c>
      <c r="V807" s="320">
        <v>70.28</v>
      </c>
      <c r="W807" s="320">
        <v>4.0558</v>
      </c>
      <c r="X807" s="320">
        <v>24.39</v>
      </c>
      <c r="Y807" s="320">
        <v>86.0</v>
      </c>
      <c r="Z807" s="320">
        <v>208.0</v>
      </c>
      <c r="AA807" s="320">
        <v>851.0</v>
      </c>
      <c r="AB807" s="320">
        <v>49.6056</v>
      </c>
      <c r="AC807" s="320">
        <v>0.4514</v>
      </c>
      <c r="AD807" s="320">
        <v>3.39</v>
      </c>
      <c r="AE807" s="320">
        <v>1.0</v>
      </c>
      <c r="AF807" s="320">
        <v>2.0</v>
      </c>
      <c r="AG807" s="320">
        <v>4.0</v>
      </c>
      <c r="AH807" s="320">
        <v>8.0</v>
      </c>
      <c r="AI807" s="320">
        <v>65.46</v>
      </c>
      <c r="AJ807" s="320">
        <v>23.5</v>
      </c>
      <c r="AK807" s="320">
        <v>6.16</v>
      </c>
      <c r="AL807" s="320">
        <v>0.2183</v>
      </c>
      <c r="AM807" s="320">
        <v>19.19</v>
      </c>
      <c r="AN807" s="320">
        <v>32.84</v>
      </c>
      <c r="AO807" s="320">
        <v>68.42</v>
      </c>
      <c r="AP807" s="320">
        <v>13.13</v>
      </c>
    </row>
    <row r="808">
      <c r="A808" s="319" t="s">
        <v>258</v>
      </c>
      <c r="B808" s="328">
        <v>46064.0</v>
      </c>
      <c r="C808" s="319" t="s">
        <v>215</v>
      </c>
      <c r="D808" s="320">
        <v>17512.0</v>
      </c>
      <c r="E808" s="320">
        <v>21.68</v>
      </c>
      <c r="F808" s="320">
        <v>18324.07</v>
      </c>
      <c r="G808" s="320">
        <v>1.0464</v>
      </c>
      <c r="H808" s="320">
        <v>20.65</v>
      </c>
      <c r="I808" s="320">
        <v>5.0675</v>
      </c>
      <c r="J808" s="320">
        <v>60.19</v>
      </c>
      <c r="K808" s="320">
        <v>34.37</v>
      </c>
      <c r="L808" s="320">
        <v>13.71</v>
      </c>
      <c r="M808" s="320">
        <v>0.399</v>
      </c>
      <c r="N808" s="320">
        <v>0.6606</v>
      </c>
      <c r="O808" s="320">
        <v>0.3874</v>
      </c>
      <c r="P808" s="320">
        <v>2.5064</v>
      </c>
      <c r="Q808" s="320">
        <v>147.69</v>
      </c>
      <c r="R808" s="320">
        <v>120.74</v>
      </c>
      <c r="S808" s="320">
        <v>26.95</v>
      </c>
      <c r="T808" s="320">
        <v>67.97</v>
      </c>
      <c r="U808" s="320">
        <v>79.72</v>
      </c>
      <c r="V808" s="320">
        <v>164.89</v>
      </c>
      <c r="W808" s="320">
        <v>4.7973</v>
      </c>
      <c r="X808" s="320">
        <v>46.02</v>
      </c>
      <c r="Y808" s="320">
        <v>83.0</v>
      </c>
      <c r="Z808" s="320">
        <v>178.0</v>
      </c>
      <c r="AA808" s="320">
        <v>653.0</v>
      </c>
      <c r="AB808" s="320">
        <v>52.4284</v>
      </c>
      <c r="AC808" s="320">
        <v>0.5273</v>
      </c>
      <c r="AD808" s="320">
        <v>8.08</v>
      </c>
      <c r="AE808" s="320">
        <v>2.0</v>
      </c>
      <c r="AF808" s="320">
        <v>6.0</v>
      </c>
      <c r="AG808" s="320">
        <v>11.0</v>
      </c>
      <c r="AH808" s="320">
        <v>18.0</v>
      </c>
      <c r="AI808" s="320">
        <v>50.39</v>
      </c>
      <c r="AJ808" s="320">
        <v>21.59</v>
      </c>
      <c r="AK808" s="320">
        <v>3.57</v>
      </c>
      <c r="AL808" s="320">
        <v>0.1868</v>
      </c>
      <c r="AM808" s="320">
        <v>19.96</v>
      </c>
      <c r="AN808" s="320">
        <v>100.78</v>
      </c>
      <c r="AO808" s="320">
        <v>73.75</v>
      </c>
      <c r="AP808" s="320">
        <v>14.72</v>
      </c>
    </row>
    <row r="809">
      <c r="A809" s="319" t="s">
        <v>258</v>
      </c>
      <c r="B809" s="328">
        <v>46064.0</v>
      </c>
      <c r="C809" s="319" t="s">
        <v>216</v>
      </c>
      <c r="D809" s="320">
        <v>8910.0</v>
      </c>
      <c r="E809" s="320">
        <v>11.03</v>
      </c>
      <c r="F809" s="320">
        <v>22113.46</v>
      </c>
      <c r="G809" s="320">
        <v>2.4819</v>
      </c>
      <c r="H809" s="320">
        <v>30.94</v>
      </c>
      <c r="I809" s="320">
        <v>8.0208</v>
      </c>
      <c r="J809" s="320">
        <v>85.39</v>
      </c>
      <c r="K809" s="320">
        <v>50.31</v>
      </c>
      <c r="L809" s="320">
        <v>25.36</v>
      </c>
      <c r="M809" s="320">
        <v>0.5042</v>
      </c>
      <c r="N809" s="320">
        <v>0.5636</v>
      </c>
      <c r="O809" s="320">
        <v>0.3188</v>
      </c>
      <c r="P809" s="320">
        <v>1.9835</v>
      </c>
      <c r="Q809" s="320">
        <v>286.06</v>
      </c>
      <c r="R809" s="320">
        <v>233.68</v>
      </c>
      <c r="S809" s="320">
        <v>52.39</v>
      </c>
      <c r="T809" s="320">
        <v>160.84</v>
      </c>
      <c r="U809" s="320">
        <v>125.22</v>
      </c>
      <c r="V809" s="320">
        <v>313.68</v>
      </c>
      <c r="W809" s="320">
        <v>6.2349</v>
      </c>
      <c r="X809" s="320">
        <v>56.23</v>
      </c>
      <c r="Y809" s="320">
        <v>86.0</v>
      </c>
      <c r="Z809" s="320">
        <v>198.0</v>
      </c>
      <c r="AA809" s="320">
        <v>702.0</v>
      </c>
      <c r="AB809" s="320">
        <v>54.4399</v>
      </c>
      <c r="AC809" s="320">
        <v>0.6403</v>
      </c>
      <c r="AD809" s="320">
        <v>15.67</v>
      </c>
      <c r="AE809" s="320">
        <v>5.0</v>
      </c>
      <c r="AF809" s="320">
        <v>11.0</v>
      </c>
      <c r="AG809" s="320">
        <v>22.0</v>
      </c>
      <c r="AH809" s="320">
        <v>35.0</v>
      </c>
      <c r="AI809" s="320">
        <v>49.74</v>
      </c>
      <c r="AJ809" s="320">
        <v>20.01</v>
      </c>
      <c r="AK809" s="320">
        <v>5.81</v>
      </c>
      <c r="AL809" s="320">
        <v>0.1861</v>
      </c>
      <c r="AM809" s="320">
        <v>19.23</v>
      </c>
      <c r="AN809" s="320">
        <v>214.45</v>
      </c>
      <c r="AO809" s="320">
        <v>75.65</v>
      </c>
      <c r="AP809" s="320">
        <v>14.55</v>
      </c>
    </row>
    <row r="810">
      <c r="A810" s="319" t="s">
        <v>258</v>
      </c>
      <c r="B810" s="328">
        <v>46064.0</v>
      </c>
      <c r="C810" s="319" t="s">
        <v>217</v>
      </c>
      <c r="D810" s="320">
        <v>3604.0</v>
      </c>
      <c r="E810" s="320">
        <v>4.46</v>
      </c>
      <c r="F810" s="320">
        <v>20974.89</v>
      </c>
      <c r="G810" s="320">
        <v>5.8199</v>
      </c>
      <c r="H810" s="320">
        <v>42.92</v>
      </c>
      <c r="I810" s="320">
        <v>13.5584</v>
      </c>
      <c r="J810" s="320">
        <v>130.84</v>
      </c>
      <c r="K810" s="320">
        <v>79.88</v>
      </c>
      <c r="L810" s="320">
        <v>51.13</v>
      </c>
      <c r="M810" s="320">
        <v>0.6401</v>
      </c>
      <c r="N810" s="320">
        <v>0.4419</v>
      </c>
      <c r="O810" s="320">
        <v>0.2478</v>
      </c>
      <c r="P810" s="320">
        <v>1.5622</v>
      </c>
      <c r="Q810" s="320">
        <v>576.21</v>
      </c>
      <c r="R810" s="320">
        <v>468.65</v>
      </c>
      <c r="S810" s="320">
        <v>107.56</v>
      </c>
      <c r="T810" s="320">
        <v>362.64</v>
      </c>
      <c r="U810" s="320">
        <v>213.57</v>
      </c>
      <c r="V810" s="320">
        <v>629.7</v>
      </c>
      <c r="W810" s="320">
        <v>7.883</v>
      </c>
      <c r="X810" s="320">
        <v>62.94</v>
      </c>
      <c r="Y810" s="320">
        <v>91.0</v>
      </c>
      <c r="Z810" s="320">
        <v>266.0</v>
      </c>
      <c r="AA810" s="320">
        <v>975.0</v>
      </c>
      <c r="AB810" s="320">
        <v>57.6036</v>
      </c>
      <c r="AC810" s="320">
        <v>0.7454</v>
      </c>
      <c r="AD810" s="320">
        <v>33.37</v>
      </c>
      <c r="AE810" s="320">
        <v>10.0</v>
      </c>
      <c r="AF810" s="320">
        <v>24.0</v>
      </c>
      <c r="AG810" s="320">
        <v>48.0</v>
      </c>
      <c r="AH810" s="320">
        <v>76.0</v>
      </c>
      <c r="AI810" s="320">
        <v>44.87</v>
      </c>
      <c r="AJ810" s="320">
        <v>16.79</v>
      </c>
      <c r="AK810" s="320">
        <v>4.41</v>
      </c>
      <c r="AL810" s="320">
        <v>0.1651</v>
      </c>
      <c r="AM810" s="320">
        <v>19.38</v>
      </c>
      <c r="AN810" s="320">
        <v>449.27</v>
      </c>
      <c r="AO810" s="320">
        <v>76.99</v>
      </c>
      <c r="AP810" s="320">
        <v>14.92</v>
      </c>
    </row>
    <row r="811">
      <c r="A811" s="319" t="s">
        <v>258</v>
      </c>
      <c r="B811" s="328">
        <v>46064.0</v>
      </c>
      <c r="C811" s="319" t="s">
        <v>218</v>
      </c>
      <c r="D811" s="320">
        <v>388.0</v>
      </c>
      <c r="E811" s="320">
        <v>0.48</v>
      </c>
      <c r="F811" s="320">
        <v>4295.81</v>
      </c>
      <c r="G811" s="320">
        <v>11.0717</v>
      </c>
      <c r="H811" s="320">
        <v>45.62</v>
      </c>
      <c r="I811" s="320">
        <v>24.2701</v>
      </c>
      <c r="J811" s="320">
        <v>245.62</v>
      </c>
      <c r="K811" s="320">
        <v>159.07</v>
      </c>
      <c r="L811" s="320">
        <v>126.8</v>
      </c>
      <c r="M811" s="320">
        <v>0.7972</v>
      </c>
      <c r="N811" s="320">
        <v>0.2872</v>
      </c>
      <c r="O811" s="320">
        <v>0.1719</v>
      </c>
      <c r="P811" s="320">
        <v>1.2545</v>
      </c>
      <c r="Q811" s="320">
        <v>1160.95</v>
      </c>
      <c r="R811" s="320">
        <v>894.98</v>
      </c>
      <c r="S811" s="320">
        <v>265.97</v>
      </c>
      <c r="T811" s="320">
        <v>712.6</v>
      </c>
      <c r="U811" s="320">
        <v>448.35</v>
      </c>
      <c r="V811" s="320">
        <v>1290.21</v>
      </c>
      <c r="W811" s="320">
        <v>8.1111</v>
      </c>
      <c r="X811" s="320">
        <v>61.38</v>
      </c>
      <c r="Y811" s="320">
        <v>144.0</v>
      </c>
      <c r="Z811" s="320">
        <v>613.0</v>
      </c>
      <c r="AA811" s="320">
        <v>2691.0</v>
      </c>
      <c r="AB811" s="320">
        <v>61.5603</v>
      </c>
      <c r="AC811" s="320">
        <v>0.8046</v>
      </c>
      <c r="AD811" s="320">
        <v>84.46</v>
      </c>
      <c r="AE811" s="320">
        <v>29.0</v>
      </c>
      <c r="AF811" s="320">
        <v>63.0</v>
      </c>
      <c r="AG811" s="320">
        <v>122.0</v>
      </c>
      <c r="AH811" s="320">
        <v>185.0</v>
      </c>
      <c r="AI811" s="320">
        <v>44.85</v>
      </c>
      <c r="AJ811" s="320">
        <v>11.6</v>
      </c>
      <c r="AK811" s="320">
        <v>1.03</v>
      </c>
      <c r="AL811" s="320">
        <v>0.1005</v>
      </c>
      <c r="AM811" s="320">
        <v>22.68</v>
      </c>
      <c r="AN811" s="320">
        <v>872.3</v>
      </c>
      <c r="AO811" s="320">
        <v>71.76</v>
      </c>
      <c r="AP811" s="320">
        <v>16.28</v>
      </c>
    </row>
    <row r="812">
      <c r="A812" s="319" t="s">
        <v>258</v>
      </c>
      <c r="B812" s="328">
        <v>46065.0</v>
      </c>
      <c r="C812" s="319" t="s">
        <v>257</v>
      </c>
      <c r="D812" s="320">
        <v>17586.0</v>
      </c>
      <c r="E812" s="320">
        <v>22.15</v>
      </c>
      <c r="F812" s="320">
        <v>141.91</v>
      </c>
      <c r="G812" s="320">
        <v>0.0081</v>
      </c>
      <c r="H812" s="320">
        <v>0.18</v>
      </c>
      <c r="I812" s="320">
        <v>4.5777</v>
      </c>
      <c r="J812" s="320">
        <v>6.24</v>
      </c>
      <c r="K812" s="320">
        <v>2.9</v>
      </c>
      <c r="L812" s="320">
        <v>0.07</v>
      </c>
      <c r="M812" s="320">
        <v>0.0238</v>
      </c>
      <c r="N812" s="320">
        <v>0.9775</v>
      </c>
      <c r="O812" s="320">
        <v>0.7179</v>
      </c>
      <c r="P812" s="320">
        <v>42.0916</v>
      </c>
      <c r="Q812" s="320">
        <v>23.78</v>
      </c>
      <c r="R812" s="320">
        <v>23.71</v>
      </c>
      <c r="S812" s="320">
        <v>0.07</v>
      </c>
      <c r="T812" s="320">
        <v>0.53</v>
      </c>
      <c r="U812" s="320">
        <v>23.25</v>
      </c>
      <c r="V812" s="320">
        <v>2.06</v>
      </c>
      <c r="W812" s="320">
        <v>0.7086</v>
      </c>
      <c r="X812" s="320">
        <v>2.22</v>
      </c>
      <c r="Y812" s="320">
        <v>139.0</v>
      </c>
      <c r="Z812" s="320">
        <v>898.0</v>
      </c>
      <c r="AA812" s="320">
        <v>6471.0</v>
      </c>
      <c r="AB812" s="320">
        <v>49.5704</v>
      </c>
      <c r="AC812" s="320">
        <v>0.5082</v>
      </c>
      <c r="AD812" s="329"/>
      <c r="AE812" s="329"/>
      <c r="AF812" s="329"/>
      <c r="AG812" s="329"/>
      <c r="AH812" s="329"/>
      <c r="AI812" s="320">
        <v>0.0</v>
      </c>
      <c r="AJ812" s="320">
        <v>0.0</v>
      </c>
      <c r="AK812" s="320">
        <v>0.0</v>
      </c>
      <c r="AL812" s="320">
        <v>0.2782</v>
      </c>
      <c r="AM812" s="320">
        <v>15.72</v>
      </c>
      <c r="AN812" s="320">
        <v>7.99</v>
      </c>
      <c r="AO812" s="329"/>
      <c r="AP812" s="329"/>
    </row>
    <row r="813">
      <c r="A813" s="319" t="s">
        <v>258</v>
      </c>
      <c r="B813" s="328">
        <v>46065.0</v>
      </c>
      <c r="C813" s="319" t="s">
        <v>214</v>
      </c>
      <c r="D813" s="320">
        <v>32773.0</v>
      </c>
      <c r="E813" s="320">
        <v>41.27</v>
      </c>
      <c r="F813" s="320">
        <v>8127.79</v>
      </c>
      <c r="G813" s="320">
        <v>0.248</v>
      </c>
      <c r="H813" s="320">
        <v>6.89</v>
      </c>
      <c r="I813" s="320">
        <v>3.598</v>
      </c>
      <c r="J813" s="320">
        <v>28.64</v>
      </c>
      <c r="K813" s="320">
        <v>15.14</v>
      </c>
      <c r="L813" s="320">
        <v>4.91</v>
      </c>
      <c r="M813" s="320">
        <v>0.3243</v>
      </c>
      <c r="N813" s="320">
        <v>0.7507</v>
      </c>
      <c r="O813" s="320">
        <v>0.5234</v>
      </c>
      <c r="P813" s="320">
        <v>3.0832</v>
      </c>
      <c r="Q813" s="320">
        <v>64.59</v>
      </c>
      <c r="R813" s="320">
        <v>54.42</v>
      </c>
      <c r="S813" s="320">
        <v>10.17</v>
      </c>
      <c r="T813" s="320">
        <v>16.33</v>
      </c>
      <c r="U813" s="320">
        <v>48.26</v>
      </c>
      <c r="V813" s="320">
        <v>69.09</v>
      </c>
      <c r="W813" s="320">
        <v>4.5621</v>
      </c>
      <c r="X813" s="320">
        <v>25.28</v>
      </c>
      <c r="Y813" s="320">
        <v>84.0</v>
      </c>
      <c r="Z813" s="320">
        <v>200.0</v>
      </c>
      <c r="AA813" s="320">
        <v>831.0</v>
      </c>
      <c r="AB813" s="320">
        <v>49.7075</v>
      </c>
      <c r="AC813" s="320">
        <v>0.4511</v>
      </c>
      <c r="AD813" s="320">
        <v>3.36</v>
      </c>
      <c r="AE813" s="320">
        <v>1.0</v>
      </c>
      <c r="AF813" s="320">
        <v>2.0</v>
      </c>
      <c r="AG813" s="320">
        <v>4.0</v>
      </c>
      <c r="AH813" s="320">
        <v>8.0</v>
      </c>
      <c r="AI813" s="320">
        <v>63.89</v>
      </c>
      <c r="AJ813" s="320">
        <v>23.22</v>
      </c>
      <c r="AK813" s="320">
        <v>6.39</v>
      </c>
      <c r="AL813" s="320">
        <v>0.2312</v>
      </c>
      <c r="AM813" s="320">
        <v>20.42</v>
      </c>
      <c r="AN813" s="320">
        <v>34.0</v>
      </c>
      <c r="AO813" s="320">
        <v>68.67</v>
      </c>
      <c r="AP813" s="320">
        <v>14.02</v>
      </c>
    </row>
    <row r="814">
      <c r="A814" s="319" t="s">
        <v>258</v>
      </c>
      <c r="B814" s="328">
        <v>46065.0</v>
      </c>
      <c r="C814" s="319" t="s">
        <v>215</v>
      </c>
      <c r="D814" s="320">
        <v>16514.0</v>
      </c>
      <c r="E814" s="320">
        <v>20.8</v>
      </c>
      <c r="F814" s="320">
        <v>16501.99</v>
      </c>
      <c r="G814" s="320">
        <v>0.9993</v>
      </c>
      <c r="H814" s="320">
        <v>19.98</v>
      </c>
      <c r="I814" s="320">
        <v>5.0006</v>
      </c>
      <c r="J814" s="320">
        <v>52.09</v>
      </c>
      <c r="K814" s="320">
        <v>28.98</v>
      </c>
      <c r="L814" s="320">
        <v>12.78</v>
      </c>
      <c r="M814" s="320">
        <v>0.441</v>
      </c>
      <c r="N814" s="320">
        <v>0.6275</v>
      </c>
      <c r="O814" s="320">
        <v>0.3718</v>
      </c>
      <c r="P814" s="320">
        <v>2.2676</v>
      </c>
      <c r="Q814" s="320">
        <v>160.95</v>
      </c>
      <c r="R814" s="320">
        <v>135.03</v>
      </c>
      <c r="S814" s="320">
        <v>25.92</v>
      </c>
      <c r="T814" s="320">
        <v>66.51</v>
      </c>
      <c r="U814" s="320">
        <v>94.44</v>
      </c>
      <c r="V814" s="320">
        <v>162.0</v>
      </c>
      <c r="W814" s="320">
        <v>5.5909</v>
      </c>
      <c r="X814" s="320">
        <v>41.32</v>
      </c>
      <c r="Y814" s="320">
        <v>82.0</v>
      </c>
      <c r="Z814" s="320">
        <v>185.0</v>
      </c>
      <c r="AA814" s="320">
        <v>645.0</v>
      </c>
      <c r="AB814" s="320">
        <v>52.5589</v>
      </c>
      <c r="AC814" s="320">
        <v>0.5382</v>
      </c>
      <c r="AD814" s="320">
        <v>8.13</v>
      </c>
      <c r="AE814" s="320">
        <v>2.0</v>
      </c>
      <c r="AF814" s="320">
        <v>5.0</v>
      </c>
      <c r="AG814" s="320">
        <v>11.0</v>
      </c>
      <c r="AH814" s="320">
        <v>18.0</v>
      </c>
      <c r="AI814" s="320">
        <v>50.03</v>
      </c>
      <c r="AJ814" s="320">
        <v>21.2</v>
      </c>
      <c r="AK814" s="320">
        <v>3.94</v>
      </c>
      <c r="AL814" s="320">
        <v>0.1991</v>
      </c>
      <c r="AM814" s="320">
        <v>20.56</v>
      </c>
      <c r="AN814" s="320">
        <v>114.47</v>
      </c>
      <c r="AO814" s="320">
        <v>74.59</v>
      </c>
      <c r="AP814" s="320">
        <v>15.34</v>
      </c>
    </row>
    <row r="815">
      <c r="A815" s="319" t="s">
        <v>258</v>
      </c>
      <c r="B815" s="328">
        <v>46065.0</v>
      </c>
      <c r="C815" s="319" t="s">
        <v>216</v>
      </c>
      <c r="D815" s="320">
        <v>8659.0</v>
      </c>
      <c r="E815" s="320">
        <v>10.9</v>
      </c>
      <c r="F815" s="320">
        <v>20240.17</v>
      </c>
      <c r="G815" s="320">
        <v>2.3375</v>
      </c>
      <c r="H815" s="320">
        <v>30.43</v>
      </c>
      <c r="I815" s="320">
        <v>7.6813</v>
      </c>
      <c r="J815" s="320">
        <v>80.42</v>
      </c>
      <c r="K815" s="320">
        <v>46.7</v>
      </c>
      <c r="L815" s="320">
        <v>25.51</v>
      </c>
      <c r="M815" s="320">
        <v>0.5462</v>
      </c>
      <c r="N815" s="320">
        <v>0.5296</v>
      </c>
      <c r="O815" s="320">
        <v>0.2992</v>
      </c>
      <c r="P815" s="320">
        <v>1.8307</v>
      </c>
      <c r="Q815" s="320">
        <v>335.93</v>
      </c>
      <c r="R815" s="320">
        <v>282.37</v>
      </c>
      <c r="S815" s="320">
        <v>53.55</v>
      </c>
      <c r="T815" s="320">
        <v>151.9</v>
      </c>
      <c r="U815" s="320">
        <v>184.02</v>
      </c>
      <c r="V815" s="320">
        <v>331.38</v>
      </c>
      <c r="W815" s="320">
        <v>7.096</v>
      </c>
      <c r="X815" s="320">
        <v>45.22</v>
      </c>
      <c r="Y815" s="320">
        <v>88.0</v>
      </c>
      <c r="Z815" s="320">
        <v>233.0</v>
      </c>
      <c r="AA815" s="320">
        <v>739.0</v>
      </c>
      <c r="AB815" s="320">
        <v>54.4876</v>
      </c>
      <c r="AC815" s="320">
        <v>0.6403</v>
      </c>
      <c r="AD815" s="320">
        <v>16.9</v>
      </c>
      <c r="AE815" s="320">
        <v>5.0</v>
      </c>
      <c r="AF815" s="320">
        <v>12.0</v>
      </c>
      <c r="AG815" s="320">
        <v>24.0</v>
      </c>
      <c r="AH815" s="320">
        <v>38.0</v>
      </c>
      <c r="AI815" s="320">
        <v>53.2</v>
      </c>
      <c r="AJ815" s="320">
        <v>22.57</v>
      </c>
      <c r="AK815" s="320">
        <v>7.53</v>
      </c>
      <c r="AL815" s="320">
        <v>0.1907</v>
      </c>
      <c r="AM815" s="320">
        <v>20.26</v>
      </c>
      <c r="AN815" s="320">
        <v>262.11</v>
      </c>
      <c r="AO815" s="320">
        <v>76.32</v>
      </c>
      <c r="AP815" s="320">
        <v>15.46</v>
      </c>
    </row>
    <row r="816">
      <c r="A816" s="319" t="s">
        <v>258</v>
      </c>
      <c r="B816" s="328">
        <v>46065.0</v>
      </c>
      <c r="C816" s="319" t="s">
        <v>217</v>
      </c>
      <c r="D816" s="320">
        <v>3502.0</v>
      </c>
      <c r="E816" s="320">
        <v>4.41</v>
      </c>
      <c r="F816" s="320">
        <v>17188.24</v>
      </c>
      <c r="G816" s="320">
        <v>4.9081</v>
      </c>
      <c r="H816" s="320">
        <v>38.98</v>
      </c>
      <c r="I816" s="320">
        <v>12.5921</v>
      </c>
      <c r="J816" s="320">
        <v>125.13</v>
      </c>
      <c r="K816" s="320">
        <v>76.45</v>
      </c>
      <c r="L816" s="320">
        <v>52.19</v>
      </c>
      <c r="M816" s="320">
        <v>0.6827</v>
      </c>
      <c r="N816" s="320">
        <v>0.4062</v>
      </c>
      <c r="O816" s="320">
        <v>0.2352</v>
      </c>
      <c r="P816" s="320">
        <v>1.4647</v>
      </c>
      <c r="Q816" s="320">
        <v>688.29</v>
      </c>
      <c r="R816" s="320">
        <v>578.75</v>
      </c>
      <c r="S816" s="320">
        <v>109.55</v>
      </c>
      <c r="T816" s="320">
        <v>308.8</v>
      </c>
      <c r="U816" s="320">
        <v>379.49</v>
      </c>
      <c r="V816" s="320">
        <v>658.37</v>
      </c>
      <c r="W816" s="320">
        <v>8.6121</v>
      </c>
      <c r="X816" s="320">
        <v>44.87</v>
      </c>
      <c r="Y816" s="320">
        <v>101.0</v>
      </c>
      <c r="Z816" s="320">
        <v>365.0</v>
      </c>
      <c r="AA816" s="320">
        <v>1036.0</v>
      </c>
      <c r="AB816" s="320">
        <v>57.8287</v>
      </c>
      <c r="AC816" s="320">
        <v>0.736</v>
      </c>
      <c r="AD816" s="320">
        <v>34.97</v>
      </c>
      <c r="AE816" s="320">
        <v>11.0</v>
      </c>
      <c r="AF816" s="320">
        <v>26.0</v>
      </c>
      <c r="AG816" s="320">
        <v>51.0</v>
      </c>
      <c r="AH816" s="320">
        <v>76.0</v>
      </c>
      <c r="AI816" s="320">
        <v>48.43</v>
      </c>
      <c r="AJ816" s="320">
        <v>18.33</v>
      </c>
      <c r="AK816" s="320">
        <v>4.57</v>
      </c>
      <c r="AL816" s="320">
        <v>0.163</v>
      </c>
      <c r="AM816" s="320">
        <v>20.26</v>
      </c>
      <c r="AN816" s="320">
        <v>558.49</v>
      </c>
      <c r="AO816" s="320">
        <v>77.58</v>
      </c>
      <c r="AP816" s="320">
        <v>15.72</v>
      </c>
    </row>
    <row r="817">
      <c r="A817" s="319" t="s">
        <v>258</v>
      </c>
      <c r="B817" s="328">
        <v>46065.0</v>
      </c>
      <c r="C817" s="319" t="s">
        <v>218</v>
      </c>
      <c r="D817" s="320">
        <v>377.0</v>
      </c>
      <c r="E817" s="320">
        <v>0.47</v>
      </c>
      <c r="F817" s="320">
        <v>4430.69</v>
      </c>
      <c r="G817" s="320">
        <v>11.7525</v>
      </c>
      <c r="H817" s="320">
        <v>39.26</v>
      </c>
      <c r="I817" s="320">
        <v>29.9371</v>
      </c>
      <c r="J817" s="320">
        <v>228.24</v>
      </c>
      <c r="K817" s="320">
        <v>150.19</v>
      </c>
      <c r="L817" s="320">
        <v>123.69</v>
      </c>
      <c r="M817" s="320">
        <v>0.8236</v>
      </c>
      <c r="N817" s="320">
        <v>0.2698</v>
      </c>
      <c r="O817" s="320">
        <v>0.1725</v>
      </c>
      <c r="P817" s="320">
        <v>1.2143</v>
      </c>
      <c r="Q817" s="320">
        <v>1479.5</v>
      </c>
      <c r="R817" s="320">
        <v>1218.96</v>
      </c>
      <c r="S817" s="320">
        <v>260.54</v>
      </c>
      <c r="T817" s="320">
        <v>705.44</v>
      </c>
      <c r="U817" s="320">
        <v>774.07</v>
      </c>
      <c r="V817" s="320">
        <v>1407.96</v>
      </c>
      <c r="W817" s="320">
        <v>9.3743</v>
      </c>
      <c r="X817" s="320">
        <v>47.68</v>
      </c>
      <c r="Y817" s="320">
        <v>231.0</v>
      </c>
      <c r="Z817" s="320">
        <v>807.0</v>
      </c>
      <c r="AA817" s="320">
        <v>2873.0</v>
      </c>
      <c r="AB817" s="320">
        <v>61.7017</v>
      </c>
      <c r="AC817" s="320">
        <v>0.8277</v>
      </c>
      <c r="AD817" s="320">
        <v>85.22</v>
      </c>
      <c r="AE817" s="320">
        <v>30.0</v>
      </c>
      <c r="AF817" s="320">
        <v>71.0</v>
      </c>
      <c r="AG817" s="320">
        <v>121.0</v>
      </c>
      <c r="AH817" s="320">
        <v>175.0</v>
      </c>
      <c r="AI817" s="320">
        <v>46.15</v>
      </c>
      <c r="AJ817" s="320">
        <v>10.34</v>
      </c>
      <c r="AK817" s="320">
        <v>2.39</v>
      </c>
      <c r="AL817" s="320">
        <v>0.1485</v>
      </c>
      <c r="AM817" s="320">
        <v>18.41</v>
      </c>
      <c r="AN817" s="320">
        <v>1200.55</v>
      </c>
      <c r="AO817" s="320">
        <v>71.66</v>
      </c>
      <c r="AP817" s="320">
        <v>13.19</v>
      </c>
    </row>
    <row r="818">
      <c r="A818" s="319" t="s">
        <v>258</v>
      </c>
      <c r="B818" s="328">
        <v>46066.0</v>
      </c>
      <c r="C818" s="319" t="s">
        <v>257</v>
      </c>
      <c r="D818" s="320">
        <v>15728.0</v>
      </c>
      <c r="E818" s="320">
        <v>20.19</v>
      </c>
      <c r="F818" s="320">
        <v>280.58</v>
      </c>
      <c r="G818" s="320">
        <v>0.0178</v>
      </c>
      <c r="H818" s="320">
        <v>0.46</v>
      </c>
      <c r="I818" s="320">
        <v>3.8436</v>
      </c>
      <c r="J818" s="320">
        <v>5.62</v>
      </c>
      <c r="K818" s="320">
        <v>2.49</v>
      </c>
      <c r="L818" s="320">
        <v>0.09</v>
      </c>
      <c r="M818" s="320">
        <v>0.0349</v>
      </c>
      <c r="N818" s="320">
        <v>0.9676</v>
      </c>
      <c r="O818" s="320">
        <v>0.6628</v>
      </c>
      <c r="P818" s="320">
        <v>28.6433</v>
      </c>
      <c r="Q818" s="320">
        <v>31.11</v>
      </c>
      <c r="R818" s="320">
        <v>31.03</v>
      </c>
      <c r="S818" s="320">
        <v>0.08</v>
      </c>
      <c r="T818" s="320">
        <v>1.33</v>
      </c>
      <c r="U818" s="320">
        <v>29.78</v>
      </c>
      <c r="V818" s="320">
        <v>2.56</v>
      </c>
      <c r="W818" s="320">
        <v>1.0272</v>
      </c>
      <c r="X818" s="320">
        <v>4.28</v>
      </c>
      <c r="Y818" s="320">
        <v>176.0</v>
      </c>
      <c r="Z818" s="320">
        <v>1170.0</v>
      </c>
      <c r="AA818" s="320">
        <v>7218.0</v>
      </c>
      <c r="AB818" s="320">
        <v>49.928</v>
      </c>
      <c r="AC818" s="320">
        <v>0.5257</v>
      </c>
      <c r="AD818" s="329"/>
      <c r="AE818" s="329"/>
      <c r="AF818" s="329"/>
      <c r="AG818" s="329"/>
      <c r="AH818" s="329"/>
      <c r="AI818" s="320">
        <v>0.0</v>
      </c>
      <c r="AJ818" s="320">
        <v>0.0</v>
      </c>
      <c r="AK818" s="320">
        <v>0.0</v>
      </c>
      <c r="AL818" s="320">
        <v>0.2961</v>
      </c>
      <c r="AM818" s="320">
        <v>17.18</v>
      </c>
      <c r="AN818" s="320">
        <v>13.86</v>
      </c>
      <c r="AO818" s="329"/>
      <c r="AP818" s="329"/>
    </row>
    <row r="819">
      <c r="A819" s="319" t="s">
        <v>258</v>
      </c>
      <c r="B819" s="328">
        <v>46066.0</v>
      </c>
      <c r="C819" s="319" t="s">
        <v>214</v>
      </c>
      <c r="D819" s="320">
        <v>33654.0</v>
      </c>
      <c r="E819" s="320">
        <v>43.2</v>
      </c>
      <c r="F819" s="320">
        <v>9226.2</v>
      </c>
      <c r="G819" s="320">
        <v>0.2741</v>
      </c>
      <c r="H819" s="320">
        <v>7.51</v>
      </c>
      <c r="I819" s="320">
        <v>3.6525</v>
      </c>
      <c r="J819" s="320">
        <v>33.03</v>
      </c>
      <c r="K819" s="320">
        <v>17.55</v>
      </c>
      <c r="L819" s="320">
        <v>5.55</v>
      </c>
      <c r="M819" s="320">
        <v>0.3163</v>
      </c>
      <c r="N819" s="320">
        <v>0.7552</v>
      </c>
      <c r="O819" s="320">
        <v>0.5091</v>
      </c>
      <c r="P819" s="320">
        <v>3.1619</v>
      </c>
      <c r="Q819" s="320">
        <v>89.02</v>
      </c>
      <c r="R819" s="320">
        <v>77.51</v>
      </c>
      <c r="S819" s="320">
        <v>11.5</v>
      </c>
      <c r="T819" s="320">
        <v>18.41</v>
      </c>
      <c r="U819" s="320">
        <v>70.61</v>
      </c>
      <c r="V819" s="320">
        <v>82.73</v>
      </c>
      <c r="W819" s="320">
        <v>4.7127</v>
      </c>
      <c r="X819" s="320">
        <v>20.68</v>
      </c>
      <c r="Y819" s="320">
        <v>89.0</v>
      </c>
      <c r="Z819" s="320">
        <v>212.0</v>
      </c>
      <c r="AA819" s="320">
        <v>839.0</v>
      </c>
      <c r="AB819" s="320">
        <v>49.5809</v>
      </c>
      <c r="AC819" s="320">
        <v>0.4477</v>
      </c>
      <c r="AD819" s="320">
        <v>3.64</v>
      </c>
      <c r="AE819" s="320">
        <v>1.0</v>
      </c>
      <c r="AF819" s="320">
        <v>2.0</v>
      </c>
      <c r="AG819" s="320">
        <v>5.0</v>
      </c>
      <c r="AH819" s="320">
        <v>8.0</v>
      </c>
      <c r="AI819" s="320">
        <v>67.84</v>
      </c>
      <c r="AJ819" s="320">
        <v>26.22</v>
      </c>
      <c r="AK819" s="320">
        <v>7.32</v>
      </c>
      <c r="AL819" s="320">
        <v>0.241</v>
      </c>
      <c r="AM819" s="320">
        <v>21.25</v>
      </c>
      <c r="AN819" s="320">
        <v>56.26</v>
      </c>
      <c r="AO819" s="320">
        <v>68.59</v>
      </c>
      <c r="AP819" s="320">
        <v>14.58</v>
      </c>
    </row>
    <row r="820">
      <c r="A820" s="319" t="s">
        <v>258</v>
      </c>
      <c r="B820" s="328">
        <v>46066.0</v>
      </c>
      <c r="C820" s="319" t="s">
        <v>215</v>
      </c>
      <c r="D820" s="320">
        <v>16087.0</v>
      </c>
      <c r="E820" s="320">
        <v>20.65</v>
      </c>
      <c r="F820" s="320">
        <v>16080.75</v>
      </c>
      <c r="G820" s="320">
        <v>0.9996</v>
      </c>
      <c r="H820" s="320">
        <v>20.84</v>
      </c>
      <c r="I820" s="320">
        <v>4.7974</v>
      </c>
      <c r="J820" s="320">
        <v>61.79</v>
      </c>
      <c r="K820" s="320">
        <v>34.78</v>
      </c>
      <c r="L820" s="320">
        <v>14.3</v>
      </c>
      <c r="M820" s="320">
        <v>0.4112</v>
      </c>
      <c r="N820" s="320">
        <v>0.6519</v>
      </c>
      <c r="O820" s="320">
        <v>0.3811</v>
      </c>
      <c r="P820" s="320">
        <v>2.4317</v>
      </c>
      <c r="Q820" s="320">
        <v>183.93</v>
      </c>
      <c r="R820" s="320">
        <v>154.22</v>
      </c>
      <c r="S820" s="320">
        <v>29.71</v>
      </c>
      <c r="T820" s="320">
        <v>66.76</v>
      </c>
      <c r="U820" s="320">
        <v>117.17</v>
      </c>
      <c r="V820" s="320">
        <v>182.77</v>
      </c>
      <c r="W820" s="320">
        <v>5.2559</v>
      </c>
      <c r="X820" s="320">
        <v>36.3</v>
      </c>
      <c r="Y820" s="320">
        <v>87.0</v>
      </c>
      <c r="Z820" s="320">
        <v>200.0</v>
      </c>
      <c r="AA820" s="320">
        <v>621.0</v>
      </c>
      <c r="AB820" s="320">
        <v>52.3879</v>
      </c>
      <c r="AC820" s="320">
        <v>0.5361</v>
      </c>
      <c r="AD820" s="320">
        <v>8.95</v>
      </c>
      <c r="AE820" s="320">
        <v>3.0</v>
      </c>
      <c r="AF820" s="320">
        <v>6.0</v>
      </c>
      <c r="AG820" s="320">
        <v>12.0</v>
      </c>
      <c r="AH820" s="320">
        <v>20.0</v>
      </c>
      <c r="AI820" s="320">
        <v>55.36</v>
      </c>
      <c r="AJ820" s="320">
        <v>24.29</v>
      </c>
      <c r="AK820" s="320">
        <v>4.76</v>
      </c>
      <c r="AL820" s="320">
        <v>0.2091</v>
      </c>
      <c r="AM820" s="320">
        <v>21.77</v>
      </c>
      <c r="AN820" s="320">
        <v>132.45</v>
      </c>
      <c r="AO820" s="320">
        <v>74.97</v>
      </c>
      <c r="AP820" s="320">
        <v>16.32</v>
      </c>
    </row>
    <row r="821">
      <c r="A821" s="319" t="s">
        <v>258</v>
      </c>
      <c r="B821" s="328">
        <v>46066.0</v>
      </c>
      <c r="C821" s="319" t="s">
        <v>216</v>
      </c>
      <c r="D821" s="320">
        <v>8686.0</v>
      </c>
      <c r="E821" s="320">
        <v>11.15</v>
      </c>
      <c r="F821" s="320">
        <v>20871.64</v>
      </c>
      <c r="G821" s="320">
        <v>2.4029</v>
      </c>
      <c r="H821" s="320">
        <v>31.53</v>
      </c>
      <c r="I821" s="320">
        <v>7.6202</v>
      </c>
      <c r="J821" s="320">
        <v>88.19</v>
      </c>
      <c r="K821" s="320">
        <v>51.21</v>
      </c>
      <c r="L821" s="320">
        <v>26.91</v>
      </c>
      <c r="M821" s="320">
        <v>0.5255</v>
      </c>
      <c r="N821" s="320">
        <v>0.5471</v>
      </c>
      <c r="O821" s="320">
        <v>0.3068</v>
      </c>
      <c r="P821" s="320">
        <v>1.903</v>
      </c>
      <c r="Q821" s="320">
        <v>335.01</v>
      </c>
      <c r="R821" s="320">
        <v>278.32</v>
      </c>
      <c r="S821" s="320">
        <v>56.69</v>
      </c>
      <c r="T821" s="320">
        <v>156.42</v>
      </c>
      <c r="U821" s="320">
        <v>178.59</v>
      </c>
      <c r="V821" s="320">
        <v>345.91</v>
      </c>
      <c r="W821" s="320">
        <v>6.7548</v>
      </c>
      <c r="X821" s="320">
        <v>46.69</v>
      </c>
      <c r="Y821" s="320">
        <v>91.0</v>
      </c>
      <c r="Z821" s="320">
        <v>237.0</v>
      </c>
      <c r="AA821" s="320">
        <v>737.0</v>
      </c>
      <c r="AB821" s="320">
        <v>54.4368</v>
      </c>
      <c r="AC821" s="320">
        <v>0.6446</v>
      </c>
      <c r="AD821" s="320">
        <v>17.14</v>
      </c>
      <c r="AE821" s="320">
        <v>6.0</v>
      </c>
      <c r="AF821" s="320">
        <v>12.0</v>
      </c>
      <c r="AG821" s="320">
        <v>24.0</v>
      </c>
      <c r="AH821" s="320">
        <v>37.0</v>
      </c>
      <c r="AI821" s="320">
        <v>54.62</v>
      </c>
      <c r="AJ821" s="320">
        <v>23.03</v>
      </c>
      <c r="AK821" s="320">
        <v>7.3</v>
      </c>
      <c r="AL821" s="320">
        <v>0.214</v>
      </c>
      <c r="AM821" s="320">
        <v>21.51</v>
      </c>
      <c r="AN821" s="320">
        <v>256.81</v>
      </c>
      <c r="AO821" s="320">
        <v>76.06</v>
      </c>
      <c r="AP821" s="320">
        <v>16.36</v>
      </c>
    </row>
    <row r="822">
      <c r="A822" s="319" t="s">
        <v>258</v>
      </c>
      <c r="B822" s="328">
        <v>46066.0</v>
      </c>
      <c r="C822" s="319" t="s">
        <v>217</v>
      </c>
      <c r="D822" s="320">
        <v>3374.0</v>
      </c>
      <c r="E822" s="320">
        <v>4.33</v>
      </c>
      <c r="F822" s="320">
        <v>18896.92</v>
      </c>
      <c r="G822" s="320">
        <v>5.6007</v>
      </c>
      <c r="H822" s="320">
        <v>42.15</v>
      </c>
      <c r="I822" s="320">
        <v>13.289</v>
      </c>
      <c r="J822" s="320">
        <v>131.57</v>
      </c>
      <c r="K822" s="320">
        <v>79.96</v>
      </c>
      <c r="L822" s="320">
        <v>52.27</v>
      </c>
      <c r="M822" s="320">
        <v>0.6538</v>
      </c>
      <c r="N822" s="320">
        <v>0.431</v>
      </c>
      <c r="O822" s="320">
        <v>0.2434</v>
      </c>
      <c r="P822" s="320">
        <v>1.5296</v>
      </c>
      <c r="Q822" s="320">
        <v>639.6</v>
      </c>
      <c r="R822" s="320">
        <v>529.64</v>
      </c>
      <c r="S822" s="320">
        <v>109.97</v>
      </c>
      <c r="T822" s="320">
        <v>351.14</v>
      </c>
      <c r="U822" s="320">
        <v>288.47</v>
      </c>
      <c r="V822" s="320">
        <v>656.11</v>
      </c>
      <c r="W822" s="320">
        <v>8.2059</v>
      </c>
      <c r="X822" s="320">
        <v>54.9</v>
      </c>
      <c r="Y822" s="320">
        <v>104.0</v>
      </c>
      <c r="Z822" s="320">
        <v>344.0</v>
      </c>
      <c r="AA822" s="320">
        <v>1117.0</v>
      </c>
      <c r="AB822" s="320">
        <v>57.7351</v>
      </c>
      <c r="AC822" s="320">
        <v>0.7525</v>
      </c>
      <c r="AD822" s="320">
        <v>33.82</v>
      </c>
      <c r="AE822" s="320">
        <v>11.0</v>
      </c>
      <c r="AF822" s="320">
        <v>24.0</v>
      </c>
      <c r="AG822" s="320">
        <v>47.0</v>
      </c>
      <c r="AH822" s="320">
        <v>73.0</v>
      </c>
      <c r="AI822" s="320">
        <v>45.38</v>
      </c>
      <c r="AJ822" s="320">
        <v>16.8</v>
      </c>
      <c r="AK822" s="320">
        <v>4.62</v>
      </c>
      <c r="AL822" s="320">
        <v>0.1855</v>
      </c>
      <c r="AM822" s="320">
        <v>21.78</v>
      </c>
      <c r="AN822" s="320">
        <v>507.86</v>
      </c>
      <c r="AO822" s="320">
        <v>77.32</v>
      </c>
      <c r="AP822" s="320">
        <v>16.84</v>
      </c>
    </row>
    <row r="823">
      <c r="A823" s="319" t="s">
        <v>258</v>
      </c>
      <c r="B823" s="328">
        <v>46066.0</v>
      </c>
      <c r="C823" s="319" t="s">
        <v>218</v>
      </c>
      <c r="D823" s="320">
        <v>370.0</v>
      </c>
      <c r="E823" s="320">
        <v>0.47</v>
      </c>
      <c r="F823" s="320">
        <v>3893.37</v>
      </c>
      <c r="G823" s="320">
        <v>10.5226</v>
      </c>
      <c r="H823" s="320">
        <v>43.78</v>
      </c>
      <c r="I823" s="320">
        <v>24.0331</v>
      </c>
      <c r="J823" s="320">
        <v>246.7</v>
      </c>
      <c r="K823" s="320">
        <v>160.92</v>
      </c>
      <c r="L823" s="320">
        <v>130.0</v>
      </c>
      <c r="M823" s="320">
        <v>0.8078</v>
      </c>
      <c r="N823" s="320">
        <v>0.2823</v>
      </c>
      <c r="O823" s="320">
        <v>0.1765</v>
      </c>
      <c r="P823" s="320">
        <v>1.2379</v>
      </c>
      <c r="Q823" s="320">
        <v>1271.98</v>
      </c>
      <c r="R823" s="320">
        <v>997.98</v>
      </c>
      <c r="S823" s="320">
        <v>274.0</v>
      </c>
      <c r="T823" s="320">
        <v>653.07</v>
      </c>
      <c r="U823" s="320">
        <v>618.92</v>
      </c>
      <c r="V823" s="320">
        <v>1410.81</v>
      </c>
      <c r="W823" s="320">
        <v>8.7671</v>
      </c>
      <c r="X823" s="320">
        <v>51.34</v>
      </c>
      <c r="Y823" s="320">
        <v>159.0</v>
      </c>
      <c r="Z823" s="320">
        <v>538.0</v>
      </c>
      <c r="AA823" s="320">
        <v>2024.0</v>
      </c>
      <c r="AB823" s="320">
        <v>61.6626</v>
      </c>
      <c r="AC823" s="320">
        <v>0.8461</v>
      </c>
      <c r="AD823" s="320">
        <v>87.82</v>
      </c>
      <c r="AE823" s="320">
        <v>27.0</v>
      </c>
      <c r="AF823" s="320">
        <v>65.0</v>
      </c>
      <c r="AG823" s="320">
        <v>123.0</v>
      </c>
      <c r="AH823" s="320">
        <v>190.0</v>
      </c>
      <c r="AI823" s="320">
        <v>42.97</v>
      </c>
      <c r="AJ823" s="320">
        <v>13.78</v>
      </c>
      <c r="AK823" s="320">
        <v>2.16</v>
      </c>
      <c r="AL823" s="320">
        <v>0.1568</v>
      </c>
      <c r="AM823" s="320">
        <v>22.65</v>
      </c>
      <c r="AN823" s="320">
        <v>975.34</v>
      </c>
      <c r="AO823" s="320">
        <v>74.17</v>
      </c>
      <c r="AP823" s="320">
        <v>16.8</v>
      </c>
    </row>
    <row r="824">
      <c r="A824" s="319" t="s">
        <v>258</v>
      </c>
      <c r="B824" s="328">
        <v>46067.0</v>
      </c>
      <c r="C824" s="319" t="s">
        <v>257</v>
      </c>
      <c r="D824" s="320">
        <v>16225.0</v>
      </c>
      <c r="E824" s="320">
        <v>21.16</v>
      </c>
      <c r="F824" s="320">
        <v>191.21</v>
      </c>
      <c r="G824" s="320">
        <v>0.0118</v>
      </c>
      <c r="H824" s="320">
        <v>0.27</v>
      </c>
      <c r="I824" s="320">
        <v>4.4467</v>
      </c>
      <c r="J824" s="320">
        <v>6.13</v>
      </c>
      <c r="K824" s="320">
        <v>2.69</v>
      </c>
      <c r="L824" s="320">
        <v>0.04</v>
      </c>
      <c r="M824" s="320">
        <v>0.0155</v>
      </c>
      <c r="N824" s="320">
        <v>0.9855</v>
      </c>
      <c r="O824" s="320">
        <v>0.8151</v>
      </c>
      <c r="P824" s="320">
        <v>64.5414</v>
      </c>
      <c r="Q824" s="320">
        <v>26.76</v>
      </c>
      <c r="R824" s="320">
        <v>26.69</v>
      </c>
      <c r="S824" s="320">
        <v>0.07</v>
      </c>
      <c r="T824" s="320">
        <v>0.86</v>
      </c>
      <c r="U824" s="320">
        <v>25.9</v>
      </c>
      <c r="V824" s="320">
        <v>2.42</v>
      </c>
      <c r="W824" s="320">
        <v>0.8996</v>
      </c>
      <c r="X824" s="320">
        <v>3.23</v>
      </c>
      <c r="Y824" s="320">
        <v>148.0</v>
      </c>
      <c r="Z824" s="320">
        <v>938.0</v>
      </c>
      <c r="AA824" s="320">
        <v>6570.0</v>
      </c>
      <c r="AB824" s="320">
        <v>49.7142</v>
      </c>
      <c r="AC824" s="320">
        <v>0.5076</v>
      </c>
      <c r="AD824" s="329"/>
      <c r="AE824" s="329"/>
      <c r="AF824" s="329"/>
      <c r="AG824" s="329"/>
      <c r="AH824" s="329"/>
      <c r="AI824" s="320">
        <v>0.0</v>
      </c>
      <c r="AJ824" s="320">
        <v>0.0</v>
      </c>
      <c r="AK824" s="320">
        <v>0.0</v>
      </c>
      <c r="AL824" s="320">
        <v>0.2861</v>
      </c>
      <c r="AM824" s="320">
        <v>17.11</v>
      </c>
      <c r="AN824" s="320">
        <v>9.58</v>
      </c>
      <c r="AO824" s="329"/>
      <c r="AP824" s="329"/>
    </row>
    <row r="825">
      <c r="A825" s="319" t="s">
        <v>258</v>
      </c>
      <c r="B825" s="328">
        <v>46067.0</v>
      </c>
      <c r="C825" s="319" t="s">
        <v>214</v>
      </c>
      <c r="D825" s="320">
        <v>32712.0</v>
      </c>
      <c r="E825" s="320">
        <v>42.66</v>
      </c>
      <c r="F825" s="320">
        <v>8636.68</v>
      </c>
      <c r="G825" s="320">
        <v>0.264</v>
      </c>
      <c r="H825" s="320">
        <v>7.34</v>
      </c>
      <c r="I825" s="320">
        <v>3.5956</v>
      </c>
      <c r="J825" s="320">
        <v>31.2</v>
      </c>
      <c r="K825" s="320">
        <v>16.59</v>
      </c>
      <c r="L825" s="320">
        <v>5.48</v>
      </c>
      <c r="M825" s="320">
        <v>0.3302</v>
      </c>
      <c r="N825" s="320">
        <v>0.7439</v>
      </c>
      <c r="O825" s="320">
        <v>0.5013</v>
      </c>
      <c r="P825" s="320">
        <v>3.0286</v>
      </c>
      <c r="Q825" s="320">
        <v>75.6</v>
      </c>
      <c r="R825" s="320">
        <v>64.42</v>
      </c>
      <c r="S825" s="320">
        <v>11.18</v>
      </c>
      <c r="T825" s="320">
        <v>18.09</v>
      </c>
      <c r="U825" s="320">
        <v>57.51</v>
      </c>
      <c r="V825" s="320">
        <v>80.88</v>
      </c>
      <c r="W825" s="320">
        <v>4.8752</v>
      </c>
      <c r="X825" s="320">
        <v>23.93</v>
      </c>
      <c r="Y825" s="320">
        <v>89.0</v>
      </c>
      <c r="Z825" s="320">
        <v>214.0</v>
      </c>
      <c r="AA825" s="320">
        <v>852.0</v>
      </c>
      <c r="AB825" s="320">
        <v>49.6125</v>
      </c>
      <c r="AC825" s="320">
        <v>0.4537</v>
      </c>
      <c r="AD825" s="320">
        <v>3.67</v>
      </c>
      <c r="AE825" s="320">
        <v>1.0</v>
      </c>
      <c r="AF825" s="320">
        <v>2.0</v>
      </c>
      <c r="AG825" s="320">
        <v>5.0</v>
      </c>
      <c r="AH825" s="320">
        <v>8.0</v>
      </c>
      <c r="AI825" s="320">
        <v>66.94</v>
      </c>
      <c r="AJ825" s="320">
        <v>25.96</v>
      </c>
      <c r="AK825" s="320">
        <v>7.86</v>
      </c>
      <c r="AL825" s="320">
        <v>0.222</v>
      </c>
      <c r="AM825" s="320">
        <v>22.35</v>
      </c>
      <c r="AN825" s="320">
        <v>42.07</v>
      </c>
      <c r="AO825" s="320">
        <v>68.29</v>
      </c>
      <c r="AP825" s="320">
        <v>15.26</v>
      </c>
    </row>
    <row r="826">
      <c r="A826" s="319" t="s">
        <v>258</v>
      </c>
      <c r="B826" s="328">
        <v>46067.0</v>
      </c>
      <c r="C826" s="319" t="s">
        <v>215</v>
      </c>
      <c r="D826" s="320">
        <v>15583.0</v>
      </c>
      <c r="E826" s="320">
        <v>20.32</v>
      </c>
      <c r="F826" s="320">
        <v>16683.48</v>
      </c>
      <c r="G826" s="320">
        <v>1.0706</v>
      </c>
      <c r="H826" s="320">
        <v>21.88</v>
      </c>
      <c r="I826" s="320">
        <v>4.894</v>
      </c>
      <c r="J826" s="320">
        <v>58.74</v>
      </c>
      <c r="K826" s="320">
        <v>33.2</v>
      </c>
      <c r="L826" s="320">
        <v>14.31</v>
      </c>
      <c r="M826" s="320">
        <v>0.4311</v>
      </c>
      <c r="N826" s="320">
        <v>0.6356</v>
      </c>
      <c r="O826" s="320">
        <v>0.373</v>
      </c>
      <c r="P826" s="320">
        <v>2.3197</v>
      </c>
      <c r="Q826" s="320">
        <v>178.06</v>
      </c>
      <c r="R826" s="320">
        <v>148.11</v>
      </c>
      <c r="S826" s="320">
        <v>29.96</v>
      </c>
      <c r="T826" s="320">
        <v>71.12</v>
      </c>
      <c r="U826" s="320">
        <v>106.94</v>
      </c>
      <c r="V826" s="320">
        <v>185.67</v>
      </c>
      <c r="W826" s="320">
        <v>5.5933</v>
      </c>
      <c r="X826" s="320">
        <v>39.94</v>
      </c>
      <c r="Y826" s="320">
        <v>87.0</v>
      </c>
      <c r="Z826" s="320">
        <v>207.0</v>
      </c>
      <c r="AA826" s="320">
        <v>691.0</v>
      </c>
      <c r="AB826" s="320">
        <v>52.4276</v>
      </c>
      <c r="AC826" s="320">
        <v>0.5483</v>
      </c>
      <c r="AD826" s="320">
        <v>9.25</v>
      </c>
      <c r="AE826" s="320">
        <v>3.0</v>
      </c>
      <c r="AF826" s="320">
        <v>7.0</v>
      </c>
      <c r="AG826" s="320">
        <v>13.0</v>
      </c>
      <c r="AH826" s="320">
        <v>20.0</v>
      </c>
      <c r="AI826" s="320">
        <v>55.84</v>
      </c>
      <c r="AJ826" s="320">
        <v>25.69</v>
      </c>
      <c r="AK826" s="320">
        <v>5.45</v>
      </c>
      <c r="AL826" s="320">
        <v>0.1953</v>
      </c>
      <c r="AM826" s="320">
        <v>22.95</v>
      </c>
      <c r="AN826" s="320">
        <v>125.16</v>
      </c>
      <c r="AO826" s="320">
        <v>74.3</v>
      </c>
      <c r="AP826" s="320">
        <v>17.05</v>
      </c>
    </row>
    <row r="827">
      <c r="A827" s="319" t="s">
        <v>258</v>
      </c>
      <c r="B827" s="328">
        <v>46067.0</v>
      </c>
      <c r="C827" s="319" t="s">
        <v>216</v>
      </c>
      <c r="D827" s="320">
        <v>8465.0</v>
      </c>
      <c r="E827" s="320">
        <v>11.04</v>
      </c>
      <c r="F827" s="320">
        <v>21327.23</v>
      </c>
      <c r="G827" s="320">
        <v>2.5195</v>
      </c>
      <c r="H827" s="320">
        <v>32.06</v>
      </c>
      <c r="I827" s="320">
        <v>7.8582</v>
      </c>
      <c r="J827" s="320">
        <v>86.34</v>
      </c>
      <c r="K827" s="320">
        <v>50.05</v>
      </c>
      <c r="L827" s="320">
        <v>26.97</v>
      </c>
      <c r="M827" s="320">
        <v>0.5389</v>
      </c>
      <c r="N827" s="320">
        <v>0.5357</v>
      </c>
      <c r="O827" s="320">
        <v>0.3025</v>
      </c>
      <c r="P827" s="320">
        <v>1.8556</v>
      </c>
      <c r="Q827" s="320">
        <v>344.78</v>
      </c>
      <c r="R827" s="320">
        <v>288.06</v>
      </c>
      <c r="S827" s="320">
        <v>56.72</v>
      </c>
      <c r="T827" s="320">
        <v>163.78</v>
      </c>
      <c r="U827" s="320">
        <v>181.01</v>
      </c>
      <c r="V827" s="320">
        <v>351.88</v>
      </c>
      <c r="W827" s="320">
        <v>7.03</v>
      </c>
      <c r="X827" s="320">
        <v>47.5</v>
      </c>
      <c r="Y827" s="320">
        <v>92.0</v>
      </c>
      <c r="Z827" s="320">
        <v>240.0</v>
      </c>
      <c r="AA827" s="320">
        <v>783.0</v>
      </c>
      <c r="AB827" s="320">
        <v>54.5167</v>
      </c>
      <c r="AC827" s="320">
        <v>0.654</v>
      </c>
      <c r="AD827" s="320">
        <v>17.56</v>
      </c>
      <c r="AE827" s="320">
        <v>6.0</v>
      </c>
      <c r="AF827" s="320">
        <v>12.0</v>
      </c>
      <c r="AG827" s="320">
        <v>25.0</v>
      </c>
      <c r="AH827" s="320">
        <v>38.0</v>
      </c>
      <c r="AI827" s="320">
        <v>55.1</v>
      </c>
      <c r="AJ827" s="320">
        <v>24.02</v>
      </c>
      <c r="AK827" s="320">
        <v>8.12</v>
      </c>
      <c r="AL827" s="320">
        <v>0.1953</v>
      </c>
      <c r="AM827" s="320">
        <v>22.71</v>
      </c>
      <c r="AN827" s="320">
        <v>265.35</v>
      </c>
      <c r="AO827" s="320">
        <v>75.77</v>
      </c>
      <c r="AP827" s="320">
        <v>17.21</v>
      </c>
    </row>
    <row r="828">
      <c r="A828" s="319" t="s">
        <v>258</v>
      </c>
      <c r="B828" s="328">
        <v>46067.0</v>
      </c>
      <c r="C828" s="319" t="s">
        <v>217</v>
      </c>
      <c r="D828" s="320">
        <v>3319.0</v>
      </c>
      <c r="E828" s="320">
        <v>4.33</v>
      </c>
      <c r="F828" s="320">
        <v>18074.81</v>
      </c>
      <c r="G828" s="320">
        <v>5.4459</v>
      </c>
      <c r="H828" s="320">
        <v>41.58</v>
      </c>
      <c r="I828" s="320">
        <v>13.0977</v>
      </c>
      <c r="J828" s="320">
        <v>126.67</v>
      </c>
      <c r="K828" s="320">
        <v>77.77</v>
      </c>
      <c r="L828" s="320">
        <v>53.83</v>
      </c>
      <c r="M828" s="320">
        <v>0.6921</v>
      </c>
      <c r="N828" s="320">
        <v>0.3989</v>
      </c>
      <c r="O828" s="320">
        <v>0.231</v>
      </c>
      <c r="P828" s="320">
        <v>1.4448</v>
      </c>
      <c r="Q828" s="320">
        <v>661.71</v>
      </c>
      <c r="R828" s="320">
        <v>548.45</v>
      </c>
      <c r="S828" s="320">
        <v>113.26</v>
      </c>
      <c r="T828" s="320">
        <v>338.48</v>
      </c>
      <c r="U828" s="320">
        <v>323.23</v>
      </c>
      <c r="V828" s="320">
        <v>690.24</v>
      </c>
      <c r="W828" s="320">
        <v>8.8751</v>
      </c>
      <c r="X828" s="320">
        <v>51.15</v>
      </c>
      <c r="Y828" s="320">
        <v>107.0</v>
      </c>
      <c r="Z828" s="320">
        <v>358.0</v>
      </c>
      <c r="AA828" s="320">
        <v>1143.0</v>
      </c>
      <c r="AB828" s="320">
        <v>57.6362</v>
      </c>
      <c r="AC828" s="320">
        <v>0.7549</v>
      </c>
      <c r="AD828" s="320">
        <v>36.36</v>
      </c>
      <c r="AE828" s="320">
        <v>11.0</v>
      </c>
      <c r="AF828" s="320">
        <v>27.0</v>
      </c>
      <c r="AG828" s="320">
        <v>50.0</v>
      </c>
      <c r="AH828" s="320">
        <v>80.0</v>
      </c>
      <c r="AI828" s="320">
        <v>48.24</v>
      </c>
      <c r="AJ828" s="320">
        <v>18.47</v>
      </c>
      <c r="AK828" s="320">
        <v>5.54</v>
      </c>
      <c r="AL828" s="320">
        <v>0.1856</v>
      </c>
      <c r="AM828" s="320">
        <v>21.62</v>
      </c>
      <c r="AN828" s="320">
        <v>526.83</v>
      </c>
      <c r="AO828" s="320">
        <v>74.61</v>
      </c>
      <c r="AP828" s="320">
        <v>16.13</v>
      </c>
    </row>
    <row r="829">
      <c r="A829" s="319" t="s">
        <v>258</v>
      </c>
      <c r="B829" s="328">
        <v>46067.0</v>
      </c>
      <c r="C829" s="319" t="s">
        <v>218</v>
      </c>
      <c r="D829" s="320">
        <v>376.0</v>
      </c>
      <c r="E829" s="320">
        <v>0.49</v>
      </c>
      <c r="F829" s="320">
        <v>4420.16</v>
      </c>
      <c r="G829" s="320">
        <v>11.7557</v>
      </c>
      <c r="H829" s="320">
        <v>45.74</v>
      </c>
      <c r="I829" s="320">
        <v>25.6986</v>
      </c>
      <c r="J829" s="320">
        <v>233.52</v>
      </c>
      <c r="K829" s="320">
        <v>155.19</v>
      </c>
      <c r="L829" s="320">
        <v>126.17</v>
      </c>
      <c r="M829" s="320">
        <v>0.813</v>
      </c>
      <c r="N829" s="320">
        <v>0.2775</v>
      </c>
      <c r="O829" s="320">
        <v>0.1756</v>
      </c>
      <c r="P829" s="320">
        <v>1.23</v>
      </c>
      <c r="Q829" s="320">
        <v>1410.64</v>
      </c>
      <c r="R829" s="320">
        <v>1146.93</v>
      </c>
      <c r="S829" s="320">
        <v>263.71</v>
      </c>
      <c r="T829" s="320">
        <v>740.77</v>
      </c>
      <c r="U829" s="320">
        <v>669.87</v>
      </c>
      <c r="V829" s="320">
        <v>1375.53</v>
      </c>
      <c r="W829" s="320">
        <v>8.8636</v>
      </c>
      <c r="X829" s="320">
        <v>52.51</v>
      </c>
      <c r="Y829" s="320">
        <v>154.0</v>
      </c>
      <c r="Z829" s="320">
        <v>577.0</v>
      </c>
      <c r="AA829" s="320">
        <v>2100.0</v>
      </c>
      <c r="AB829" s="320">
        <v>61.6766</v>
      </c>
      <c r="AC829" s="320">
        <v>0.8351</v>
      </c>
      <c r="AD829" s="320">
        <v>85.52</v>
      </c>
      <c r="AE829" s="320">
        <v>29.0</v>
      </c>
      <c r="AF829" s="320">
        <v>63.0</v>
      </c>
      <c r="AG829" s="320">
        <v>123.0</v>
      </c>
      <c r="AH829" s="320">
        <v>189.0</v>
      </c>
      <c r="AI829" s="320">
        <v>44.41</v>
      </c>
      <c r="AJ829" s="320">
        <v>11.97</v>
      </c>
      <c r="AK829" s="320">
        <v>2.39</v>
      </c>
      <c r="AL829" s="320">
        <v>0.1569</v>
      </c>
      <c r="AM829" s="320">
        <v>20.72</v>
      </c>
      <c r="AN829" s="320">
        <v>1126.22</v>
      </c>
      <c r="AO829" s="320">
        <v>73.48</v>
      </c>
      <c r="AP829" s="320">
        <v>15.23</v>
      </c>
    </row>
    <row r="830">
      <c r="A830" s="319" t="s">
        <v>258</v>
      </c>
      <c r="B830" s="328">
        <v>46068.0</v>
      </c>
      <c r="C830" s="319" t="s">
        <v>257</v>
      </c>
      <c r="D830" s="320">
        <v>16302.0</v>
      </c>
      <c r="E830" s="320">
        <v>20.88</v>
      </c>
      <c r="F830" s="320">
        <v>285.84</v>
      </c>
      <c r="G830" s="320">
        <v>0.0175</v>
      </c>
      <c r="H830" s="320">
        <v>0.28</v>
      </c>
      <c r="I830" s="320">
        <v>6.2139</v>
      </c>
      <c r="J830" s="320">
        <v>6.45</v>
      </c>
      <c r="K830" s="320">
        <v>2.96</v>
      </c>
      <c r="L830" s="320">
        <v>0.07</v>
      </c>
      <c r="M830" s="320">
        <v>0.0243</v>
      </c>
      <c r="N830" s="320">
        <v>0.9779</v>
      </c>
      <c r="O830" s="320">
        <v>0.7199</v>
      </c>
      <c r="P830" s="320">
        <v>41.1268</v>
      </c>
      <c r="Q830" s="320">
        <v>24.4</v>
      </c>
      <c r="R830" s="320">
        <v>24.33</v>
      </c>
      <c r="S830" s="320">
        <v>0.08</v>
      </c>
      <c r="T830" s="320">
        <v>1.18</v>
      </c>
      <c r="U830" s="320">
        <v>23.23</v>
      </c>
      <c r="V830" s="320">
        <v>2.52</v>
      </c>
      <c r="W830" s="320">
        <v>0.8484</v>
      </c>
      <c r="X830" s="320">
        <v>4.83</v>
      </c>
      <c r="Y830" s="320">
        <v>142.0</v>
      </c>
      <c r="Z830" s="320">
        <v>1009.0</v>
      </c>
      <c r="AA830" s="320">
        <v>6737.0</v>
      </c>
      <c r="AB830" s="320">
        <v>49.8056</v>
      </c>
      <c r="AC830" s="320">
        <v>0.5221</v>
      </c>
      <c r="AD830" s="329"/>
      <c r="AE830" s="329"/>
      <c r="AF830" s="329"/>
      <c r="AG830" s="329"/>
      <c r="AH830" s="329"/>
      <c r="AI830" s="320">
        <v>0.0</v>
      </c>
      <c r="AJ830" s="320">
        <v>0.0</v>
      </c>
      <c r="AK830" s="320">
        <v>0.0</v>
      </c>
      <c r="AL830" s="320">
        <v>0.2927</v>
      </c>
      <c r="AM830" s="320">
        <v>17.27</v>
      </c>
      <c r="AN830" s="320">
        <v>7.05</v>
      </c>
      <c r="AO830" s="329"/>
      <c r="AP830" s="329"/>
    </row>
    <row r="831">
      <c r="A831" s="319" t="s">
        <v>258</v>
      </c>
      <c r="B831" s="328">
        <v>46068.0</v>
      </c>
      <c r="C831" s="319" t="s">
        <v>214</v>
      </c>
      <c r="D831" s="320">
        <v>33497.0</v>
      </c>
      <c r="E831" s="320">
        <v>42.9</v>
      </c>
      <c r="F831" s="320">
        <v>8227.74</v>
      </c>
      <c r="G831" s="320">
        <v>0.2456</v>
      </c>
      <c r="H831" s="320">
        <v>7.08</v>
      </c>
      <c r="I831" s="320">
        <v>3.4702</v>
      </c>
      <c r="J831" s="320">
        <v>35.11</v>
      </c>
      <c r="K831" s="320">
        <v>19.13</v>
      </c>
      <c r="L831" s="320">
        <v>5.6</v>
      </c>
      <c r="M831" s="320">
        <v>0.2925</v>
      </c>
      <c r="N831" s="320">
        <v>0.7703</v>
      </c>
      <c r="O831" s="320">
        <v>0.5184</v>
      </c>
      <c r="P831" s="320">
        <v>3.4185</v>
      </c>
      <c r="Q831" s="320">
        <v>66.76</v>
      </c>
      <c r="R831" s="320">
        <v>55.29</v>
      </c>
      <c r="S831" s="320">
        <v>11.48</v>
      </c>
      <c r="T831" s="320">
        <v>16.86</v>
      </c>
      <c r="U831" s="320">
        <v>49.9</v>
      </c>
      <c r="V831" s="320">
        <v>75.71</v>
      </c>
      <c r="W831" s="320">
        <v>3.9571</v>
      </c>
      <c r="X831" s="320">
        <v>25.25</v>
      </c>
      <c r="Y831" s="320">
        <v>85.0</v>
      </c>
      <c r="Z831" s="320">
        <v>206.0</v>
      </c>
      <c r="AA831" s="320">
        <v>837.0</v>
      </c>
      <c r="AB831" s="320">
        <v>49.6455</v>
      </c>
      <c r="AC831" s="320">
        <v>0.4534</v>
      </c>
      <c r="AD831" s="320">
        <v>3.6</v>
      </c>
      <c r="AE831" s="320">
        <v>1.0</v>
      </c>
      <c r="AF831" s="320">
        <v>2.0</v>
      </c>
      <c r="AG831" s="320">
        <v>5.0</v>
      </c>
      <c r="AH831" s="320">
        <v>8.0</v>
      </c>
      <c r="AI831" s="320">
        <v>67.37</v>
      </c>
      <c r="AJ831" s="320">
        <v>25.4</v>
      </c>
      <c r="AK831" s="320">
        <v>7.21</v>
      </c>
      <c r="AL831" s="320">
        <v>0.2322</v>
      </c>
      <c r="AM831" s="320">
        <v>21.35</v>
      </c>
      <c r="AN831" s="320">
        <v>33.94</v>
      </c>
      <c r="AO831" s="320">
        <v>67.58</v>
      </c>
      <c r="AP831" s="320">
        <v>14.43</v>
      </c>
    </row>
    <row r="832">
      <c r="A832" s="319" t="s">
        <v>258</v>
      </c>
      <c r="B832" s="328">
        <v>46068.0</v>
      </c>
      <c r="C832" s="319" t="s">
        <v>215</v>
      </c>
      <c r="D832" s="320">
        <v>15779.0</v>
      </c>
      <c r="E832" s="320">
        <v>20.21</v>
      </c>
      <c r="F832" s="320">
        <v>16775.48</v>
      </c>
      <c r="G832" s="320">
        <v>1.0632</v>
      </c>
      <c r="H832" s="320">
        <v>21.43</v>
      </c>
      <c r="I832" s="320">
        <v>4.9617</v>
      </c>
      <c r="J832" s="320">
        <v>65.21</v>
      </c>
      <c r="K832" s="320">
        <v>37.2</v>
      </c>
      <c r="L832" s="320">
        <v>14.69</v>
      </c>
      <c r="M832" s="320">
        <v>0.3948</v>
      </c>
      <c r="N832" s="320">
        <v>0.6622</v>
      </c>
      <c r="O832" s="320">
        <v>0.3852</v>
      </c>
      <c r="P832" s="320">
        <v>2.5328</v>
      </c>
      <c r="Q832" s="320">
        <v>156.66</v>
      </c>
      <c r="R832" s="320">
        <v>126.0</v>
      </c>
      <c r="S832" s="320">
        <v>30.66</v>
      </c>
      <c r="T832" s="320">
        <v>68.81</v>
      </c>
      <c r="U832" s="320">
        <v>87.85</v>
      </c>
      <c r="V832" s="320">
        <v>173.25</v>
      </c>
      <c r="W832" s="320">
        <v>4.6574</v>
      </c>
      <c r="X832" s="320">
        <v>43.92</v>
      </c>
      <c r="Y832" s="320">
        <v>82.0</v>
      </c>
      <c r="Z832" s="320">
        <v>177.0</v>
      </c>
      <c r="AA832" s="320">
        <v>609.0</v>
      </c>
      <c r="AB832" s="320">
        <v>52.3887</v>
      </c>
      <c r="AC832" s="320">
        <v>0.5513</v>
      </c>
      <c r="AD832" s="320">
        <v>9.05</v>
      </c>
      <c r="AE832" s="320">
        <v>3.0</v>
      </c>
      <c r="AF832" s="320">
        <v>6.0</v>
      </c>
      <c r="AG832" s="320">
        <v>12.0</v>
      </c>
      <c r="AH832" s="320">
        <v>20.0</v>
      </c>
      <c r="AI832" s="320">
        <v>55.62</v>
      </c>
      <c r="AJ832" s="320">
        <v>24.43</v>
      </c>
      <c r="AK832" s="320">
        <v>5.22</v>
      </c>
      <c r="AL832" s="320">
        <v>0.2064</v>
      </c>
      <c r="AM832" s="320">
        <v>21.62</v>
      </c>
      <c r="AN832" s="320">
        <v>104.38</v>
      </c>
      <c r="AO832" s="320">
        <v>73.89</v>
      </c>
      <c r="AP832" s="320">
        <v>15.98</v>
      </c>
    </row>
    <row r="833">
      <c r="A833" s="319" t="s">
        <v>258</v>
      </c>
      <c r="B833" s="328">
        <v>46068.0</v>
      </c>
      <c r="C833" s="319" t="s">
        <v>216</v>
      </c>
      <c r="D833" s="320">
        <v>8766.0</v>
      </c>
      <c r="E833" s="320">
        <v>11.23</v>
      </c>
      <c r="F833" s="320">
        <v>22590.16</v>
      </c>
      <c r="G833" s="320">
        <v>2.577</v>
      </c>
      <c r="H833" s="320">
        <v>33.24</v>
      </c>
      <c r="I833" s="320">
        <v>7.7523</v>
      </c>
      <c r="J833" s="320">
        <v>93.62</v>
      </c>
      <c r="K833" s="320">
        <v>55.39</v>
      </c>
      <c r="L833" s="320">
        <v>28.31</v>
      </c>
      <c r="M833" s="320">
        <v>0.5111</v>
      </c>
      <c r="N833" s="320">
        <v>0.5555</v>
      </c>
      <c r="O833" s="320">
        <v>0.306</v>
      </c>
      <c r="P833" s="320">
        <v>1.9564</v>
      </c>
      <c r="Q833" s="320">
        <v>313.95</v>
      </c>
      <c r="R833" s="320">
        <v>254.31</v>
      </c>
      <c r="S833" s="320">
        <v>59.64</v>
      </c>
      <c r="T833" s="320">
        <v>167.62</v>
      </c>
      <c r="U833" s="320">
        <v>146.33</v>
      </c>
      <c r="V833" s="320">
        <v>342.08</v>
      </c>
      <c r="W833" s="320">
        <v>6.176</v>
      </c>
      <c r="X833" s="320">
        <v>53.39</v>
      </c>
      <c r="Y833" s="320">
        <v>85.0</v>
      </c>
      <c r="Z833" s="320">
        <v>206.0</v>
      </c>
      <c r="AA833" s="320">
        <v>716.0</v>
      </c>
      <c r="AB833" s="320">
        <v>54.4411</v>
      </c>
      <c r="AC833" s="320">
        <v>0.6568</v>
      </c>
      <c r="AD833" s="320">
        <v>17.67</v>
      </c>
      <c r="AE833" s="320">
        <v>6.0</v>
      </c>
      <c r="AF833" s="320">
        <v>12.0</v>
      </c>
      <c r="AG833" s="320">
        <v>25.0</v>
      </c>
      <c r="AH833" s="320">
        <v>38.0</v>
      </c>
      <c r="AI833" s="320">
        <v>55.14</v>
      </c>
      <c r="AJ833" s="320">
        <v>24.17</v>
      </c>
      <c r="AK833" s="320">
        <v>7.96</v>
      </c>
      <c r="AL833" s="320">
        <v>0.2058</v>
      </c>
      <c r="AM833" s="320">
        <v>21.57</v>
      </c>
      <c r="AN833" s="320">
        <v>232.74</v>
      </c>
      <c r="AO833" s="320">
        <v>74.27</v>
      </c>
      <c r="AP833" s="320">
        <v>16.02</v>
      </c>
    </row>
    <row r="834">
      <c r="A834" s="319" t="s">
        <v>258</v>
      </c>
      <c r="B834" s="328">
        <v>46068.0</v>
      </c>
      <c r="C834" s="319" t="s">
        <v>217</v>
      </c>
      <c r="D834" s="320">
        <v>3328.0</v>
      </c>
      <c r="E834" s="320">
        <v>4.26</v>
      </c>
      <c r="F834" s="320">
        <v>20456.57</v>
      </c>
      <c r="G834" s="320">
        <v>6.1468</v>
      </c>
      <c r="H834" s="320">
        <v>42.43</v>
      </c>
      <c r="I834" s="320">
        <v>14.4877</v>
      </c>
      <c r="J834" s="320">
        <v>131.43</v>
      </c>
      <c r="K834" s="320">
        <v>81.44</v>
      </c>
      <c r="L834" s="320">
        <v>54.28</v>
      </c>
      <c r="M834" s="320">
        <v>0.6665</v>
      </c>
      <c r="N834" s="320">
        <v>0.4185</v>
      </c>
      <c r="O834" s="320">
        <v>0.2357</v>
      </c>
      <c r="P834" s="320">
        <v>1.5003</v>
      </c>
      <c r="Q834" s="320">
        <v>629.36</v>
      </c>
      <c r="R834" s="320">
        <v>514.56</v>
      </c>
      <c r="S834" s="320">
        <v>114.8</v>
      </c>
      <c r="T834" s="320">
        <v>382.61</v>
      </c>
      <c r="U834" s="320">
        <v>246.75</v>
      </c>
      <c r="V834" s="320">
        <v>666.83</v>
      </c>
      <c r="W834" s="320">
        <v>8.1879</v>
      </c>
      <c r="X834" s="320">
        <v>60.79</v>
      </c>
      <c r="Y834" s="320">
        <v>96.0</v>
      </c>
      <c r="Z834" s="320">
        <v>324.0</v>
      </c>
      <c r="AA834" s="320">
        <v>1089.0</v>
      </c>
      <c r="AB834" s="320">
        <v>57.3642</v>
      </c>
      <c r="AC834" s="320">
        <v>0.758</v>
      </c>
      <c r="AD834" s="320">
        <v>36.04</v>
      </c>
      <c r="AE834" s="320">
        <v>11.0</v>
      </c>
      <c r="AF834" s="320">
        <v>26.0</v>
      </c>
      <c r="AG834" s="320">
        <v>52.0</v>
      </c>
      <c r="AH834" s="320">
        <v>81.0</v>
      </c>
      <c r="AI834" s="320">
        <v>47.39</v>
      </c>
      <c r="AJ834" s="320">
        <v>19.77</v>
      </c>
      <c r="AK834" s="320">
        <v>5.05</v>
      </c>
      <c r="AL834" s="320">
        <v>0.2163</v>
      </c>
      <c r="AM834" s="320">
        <v>20.4</v>
      </c>
      <c r="AN834" s="320">
        <v>494.16</v>
      </c>
      <c r="AO834" s="320">
        <v>73.22</v>
      </c>
      <c r="AP834" s="320">
        <v>14.94</v>
      </c>
    </row>
    <row r="835">
      <c r="A835" s="319" t="s">
        <v>258</v>
      </c>
      <c r="B835" s="328">
        <v>46068.0</v>
      </c>
      <c r="C835" s="319" t="s">
        <v>218</v>
      </c>
      <c r="D835" s="320">
        <v>401.0</v>
      </c>
      <c r="E835" s="320">
        <v>0.51</v>
      </c>
      <c r="F835" s="320">
        <v>4551.89</v>
      </c>
      <c r="G835" s="320">
        <v>11.3513</v>
      </c>
      <c r="H835" s="320">
        <v>43.64</v>
      </c>
      <c r="I835" s="320">
        <v>26.0108</v>
      </c>
      <c r="J835" s="320">
        <v>241.19</v>
      </c>
      <c r="K835" s="320">
        <v>161.06</v>
      </c>
      <c r="L835" s="320">
        <v>128.14</v>
      </c>
      <c r="M835" s="320">
        <v>0.7956</v>
      </c>
      <c r="N835" s="320">
        <v>0.2892</v>
      </c>
      <c r="O835" s="320">
        <v>0.1731</v>
      </c>
      <c r="P835" s="320">
        <v>1.257</v>
      </c>
      <c r="Q835" s="320">
        <v>1248.08</v>
      </c>
      <c r="R835" s="320">
        <v>977.26</v>
      </c>
      <c r="S835" s="320">
        <v>270.82</v>
      </c>
      <c r="T835" s="320">
        <v>719.75</v>
      </c>
      <c r="U835" s="320">
        <v>528.33</v>
      </c>
      <c r="V835" s="320">
        <v>1316.46</v>
      </c>
      <c r="W835" s="320">
        <v>8.1735</v>
      </c>
      <c r="X835" s="320">
        <v>57.67</v>
      </c>
      <c r="Y835" s="320">
        <v>163.0</v>
      </c>
      <c r="Z835" s="320">
        <v>678.0</v>
      </c>
      <c r="AA835" s="320">
        <v>2114.0</v>
      </c>
      <c r="AB835" s="320">
        <v>61.158</v>
      </c>
      <c r="AC835" s="320">
        <v>0.8401</v>
      </c>
      <c r="AD835" s="320">
        <v>83.98</v>
      </c>
      <c r="AE835" s="320">
        <v>22.0</v>
      </c>
      <c r="AF835" s="320">
        <v>60.0</v>
      </c>
      <c r="AG835" s="320">
        <v>126.0</v>
      </c>
      <c r="AH835" s="320">
        <v>191.0</v>
      </c>
      <c r="AI835" s="320">
        <v>42.64</v>
      </c>
      <c r="AJ835" s="320">
        <v>12.72</v>
      </c>
      <c r="AK835" s="320">
        <v>2.49</v>
      </c>
      <c r="AL835" s="320">
        <v>0.187</v>
      </c>
      <c r="AM835" s="320">
        <v>23.15</v>
      </c>
      <c r="AN835" s="320">
        <v>954.1</v>
      </c>
      <c r="AO835" s="320">
        <v>66.98</v>
      </c>
      <c r="AP835" s="320">
        <v>15.51</v>
      </c>
    </row>
    <row r="836">
      <c r="A836" s="319" t="s">
        <v>258</v>
      </c>
      <c r="B836" s="328">
        <v>46069.0</v>
      </c>
      <c r="C836" s="319" t="s">
        <v>257</v>
      </c>
      <c r="D836" s="320">
        <v>15779.0</v>
      </c>
      <c r="E836" s="320">
        <v>19.52</v>
      </c>
      <c r="F836" s="320">
        <v>328.16</v>
      </c>
      <c r="G836" s="320">
        <v>0.0208</v>
      </c>
      <c r="H836" s="320">
        <v>0.17</v>
      </c>
      <c r="I836" s="320">
        <v>12.1541</v>
      </c>
      <c r="J836" s="320">
        <v>5.72</v>
      </c>
      <c r="K836" s="320">
        <v>2.43</v>
      </c>
      <c r="L836" s="320">
        <v>0.07</v>
      </c>
      <c r="M836" s="320">
        <v>0.0301</v>
      </c>
      <c r="N836" s="320">
        <v>0.9726</v>
      </c>
      <c r="O836" s="320">
        <v>0.7224</v>
      </c>
      <c r="P836" s="320">
        <v>33.2763</v>
      </c>
      <c r="Q836" s="320">
        <v>37.36</v>
      </c>
      <c r="R836" s="320">
        <v>37.29</v>
      </c>
      <c r="S836" s="320">
        <v>0.07</v>
      </c>
      <c r="T836" s="320">
        <v>1.45</v>
      </c>
      <c r="U836" s="320">
        <v>35.9</v>
      </c>
      <c r="V836" s="320">
        <v>2.6</v>
      </c>
      <c r="W836" s="320">
        <v>1.0731</v>
      </c>
      <c r="X836" s="320">
        <v>3.89</v>
      </c>
      <c r="Y836" s="320">
        <v>185.0</v>
      </c>
      <c r="Z836" s="320">
        <v>1203.0</v>
      </c>
      <c r="AA836" s="320">
        <v>7274.0</v>
      </c>
      <c r="AB836" s="320">
        <v>49.9759</v>
      </c>
      <c r="AC836" s="320">
        <v>0.5261</v>
      </c>
      <c r="AD836" s="329"/>
      <c r="AE836" s="329"/>
      <c r="AF836" s="329"/>
      <c r="AG836" s="329"/>
      <c r="AH836" s="329"/>
      <c r="AI836" s="320">
        <v>0.0</v>
      </c>
      <c r="AJ836" s="320">
        <v>0.0</v>
      </c>
      <c r="AK836" s="320">
        <v>0.0</v>
      </c>
      <c r="AL836" s="320">
        <v>0.2892</v>
      </c>
      <c r="AM836" s="320">
        <v>15.8</v>
      </c>
      <c r="AN836" s="320">
        <v>21.49</v>
      </c>
      <c r="AO836" s="329"/>
      <c r="AP836" s="329"/>
    </row>
    <row r="837">
      <c r="A837" s="319" t="s">
        <v>258</v>
      </c>
      <c r="B837" s="328">
        <v>46069.0</v>
      </c>
      <c r="C837" s="319" t="s">
        <v>214</v>
      </c>
      <c r="D837" s="320">
        <v>34259.0</v>
      </c>
      <c r="E837" s="320">
        <v>42.38</v>
      </c>
      <c r="F837" s="320">
        <v>6758.31</v>
      </c>
      <c r="G837" s="320">
        <v>0.1973</v>
      </c>
      <c r="H837" s="320">
        <v>5.96</v>
      </c>
      <c r="I837" s="320">
        <v>3.3113</v>
      </c>
      <c r="J837" s="320">
        <v>34.74</v>
      </c>
      <c r="K837" s="320">
        <v>18.72</v>
      </c>
      <c r="L837" s="320">
        <v>5.55</v>
      </c>
      <c r="M837" s="320">
        <v>0.2966</v>
      </c>
      <c r="N837" s="320">
        <v>0.7735</v>
      </c>
      <c r="O837" s="320">
        <v>0.5275</v>
      </c>
      <c r="P837" s="320">
        <v>3.3712</v>
      </c>
      <c r="Q837" s="320">
        <v>96.66</v>
      </c>
      <c r="R837" s="320">
        <v>85.33</v>
      </c>
      <c r="S837" s="320">
        <v>11.33</v>
      </c>
      <c r="T837" s="320">
        <v>14.02</v>
      </c>
      <c r="U837" s="320">
        <v>82.64</v>
      </c>
      <c r="V837" s="320">
        <v>89.97</v>
      </c>
      <c r="W837" s="320">
        <v>4.805</v>
      </c>
      <c r="X837" s="320">
        <v>14.51</v>
      </c>
      <c r="Y837" s="320">
        <v>92.0</v>
      </c>
      <c r="Z837" s="320">
        <v>215.0</v>
      </c>
      <c r="AA837" s="320">
        <v>829.0</v>
      </c>
      <c r="AB837" s="320">
        <v>49.5551</v>
      </c>
      <c r="AC837" s="320">
        <v>0.4441</v>
      </c>
      <c r="AD837" s="320">
        <v>3.57</v>
      </c>
      <c r="AE837" s="320">
        <v>1.0</v>
      </c>
      <c r="AF837" s="320">
        <v>2.0</v>
      </c>
      <c r="AG837" s="320">
        <v>5.0</v>
      </c>
      <c r="AH837" s="320">
        <v>8.0</v>
      </c>
      <c r="AI837" s="320">
        <v>67.93</v>
      </c>
      <c r="AJ837" s="320">
        <v>25.24</v>
      </c>
      <c r="AK837" s="320">
        <v>6.78</v>
      </c>
      <c r="AL837" s="320">
        <v>0.2173</v>
      </c>
      <c r="AM837" s="320">
        <v>18.76</v>
      </c>
      <c r="AN837" s="320">
        <v>66.57</v>
      </c>
      <c r="AO837" s="320">
        <v>67.86</v>
      </c>
      <c r="AP837" s="320">
        <v>12.73</v>
      </c>
    </row>
    <row r="838">
      <c r="A838" s="319" t="s">
        <v>258</v>
      </c>
      <c r="B838" s="328">
        <v>46069.0</v>
      </c>
      <c r="C838" s="319" t="s">
        <v>215</v>
      </c>
      <c r="D838" s="320">
        <v>16995.0</v>
      </c>
      <c r="E838" s="320">
        <v>21.02</v>
      </c>
      <c r="F838" s="320">
        <v>15600.95</v>
      </c>
      <c r="G838" s="320">
        <v>0.918</v>
      </c>
      <c r="H838" s="320">
        <v>19.43</v>
      </c>
      <c r="I838" s="320">
        <v>4.7247</v>
      </c>
      <c r="J838" s="320">
        <v>66.03</v>
      </c>
      <c r="K838" s="320">
        <v>37.34</v>
      </c>
      <c r="L838" s="320">
        <v>15.35</v>
      </c>
      <c r="M838" s="320">
        <v>0.411</v>
      </c>
      <c r="N838" s="320">
        <v>0.6537</v>
      </c>
      <c r="O838" s="320">
        <v>0.381</v>
      </c>
      <c r="P838" s="320">
        <v>2.4331</v>
      </c>
      <c r="Q838" s="320">
        <v>207.38</v>
      </c>
      <c r="R838" s="320">
        <v>176.86</v>
      </c>
      <c r="S838" s="320">
        <v>30.52</v>
      </c>
      <c r="T838" s="320">
        <v>60.77</v>
      </c>
      <c r="U838" s="320">
        <v>146.61</v>
      </c>
      <c r="V838" s="320">
        <v>206.02</v>
      </c>
      <c r="W838" s="320">
        <v>5.5169</v>
      </c>
      <c r="X838" s="320">
        <v>29.3</v>
      </c>
      <c r="Y838" s="320">
        <v>88.0</v>
      </c>
      <c r="Z838" s="320">
        <v>209.0</v>
      </c>
      <c r="AA838" s="320">
        <v>653.0</v>
      </c>
      <c r="AB838" s="320">
        <v>52.2972</v>
      </c>
      <c r="AC838" s="320">
        <v>0.5176</v>
      </c>
      <c r="AD838" s="320">
        <v>9.33</v>
      </c>
      <c r="AE838" s="320">
        <v>3.0</v>
      </c>
      <c r="AF838" s="320">
        <v>7.0</v>
      </c>
      <c r="AG838" s="320">
        <v>13.0</v>
      </c>
      <c r="AH838" s="320">
        <v>21.0</v>
      </c>
      <c r="AI838" s="320">
        <v>56.48</v>
      </c>
      <c r="AJ838" s="320">
        <v>26.08</v>
      </c>
      <c r="AK838" s="320">
        <v>5.82</v>
      </c>
      <c r="AL838" s="320">
        <v>0.1893</v>
      </c>
      <c r="AM838" s="320">
        <v>18.85</v>
      </c>
      <c r="AN838" s="320">
        <v>158.01</v>
      </c>
      <c r="AO838" s="320">
        <v>72.26</v>
      </c>
      <c r="AP838" s="320">
        <v>13.62</v>
      </c>
    </row>
    <row r="839">
      <c r="A839" s="319" t="s">
        <v>258</v>
      </c>
      <c r="B839" s="328">
        <v>46069.0</v>
      </c>
      <c r="C839" s="319" t="s">
        <v>216</v>
      </c>
      <c r="D839" s="320">
        <v>9678.0</v>
      </c>
      <c r="E839" s="320">
        <v>11.97</v>
      </c>
      <c r="F839" s="320">
        <v>24782.99</v>
      </c>
      <c r="G839" s="320">
        <v>2.5608</v>
      </c>
      <c r="H839" s="320">
        <v>30.78</v>
      </c>
      <c r="I839" s="320">
        <v>8.3192</v>
      </c>
      <c r="J839" s="320">
        <v>95.34</v>
      </c>
      <c r="K839" s="320">
        <v>56.12</v>
      </c>
      <c r="L839" s="320">
        <v>30.32</v>
      </c>
      <c r="M839" s="320">
        <v>0.5403</v>
      </c>
      <c r="N839" s="320">
        <v>0.5353</v>
      </c>
      <c r="O839" s="320">
        <v>0.2993</v>
      </c>
      <c r="P839" s="320">
        <v>1.851</v>
      </c>
      <c r="Q839" s="320">
        <v>405.31</v>
      </c>
      <c r="R839" s="320">
        <v>346.21</v>
      </c>
      <c r="S839" s="320">
        <v>59.1</v>
      </c>
      <c r="T839" s="320">
        <v>166.59</v>
      </c>
      <c r="U839" s="320">
        <v>238.72</v>
      </c>
      <c r="V839" s="320">
        <v>405.16</v>
      </c>
      <c r="W839" s="320">
        <v>7.219</v>
      </c>
      <c r="X839" s="320">
        <v>41.1</v>
      </c>
      <c r="Y839" s="320">
        <v>94.0</v>
      </c>
      <c r="Z839" s="320">
        <v>258.0</v>
      </c>
      <c r="AA839" s="320">
        <v>826.0</v>
      </c>
      <c r="AB839" s="320">
        <v>54.3012</v>
      </c>
      <c r="AC839" s="320">
        <v>0.6032</v>
      </c>
      <c r="AD839" s="320">
        <v>18.07</v>
      </c>
      <c r="AE839" s="320">
        <v>6.0</v>
      </c>
      <c r="AF839" s="320">
        <v>13.0</v>
      </c>
      <c r="AG839" s="320">
        <v>26.0</v>
      </c>
      <c r="AH839" s="320">
        <v>39.0</v>
      </c>
      <c r="AI839" s="320">
        <v>57.63</v>
      </c>
      <c r="AJ839" s="320">
        <v>25.9</v>
      </c>
      <c r="AK839" s="320">
        <v>7.03</v>
      </c>
      <c r="AL839" s="320">
        <v>0.1793</v>
      </c>
      <c r="AM839" s="320">
        <v>19.29</v>
      </c>
      <c r="AN839" s="320">
        <v>326.92</v>
      </c>
      <c r="AO839" s="320">
        <v>72.1</v>
      </c>
      <c r="AP839" s="320">
        <v>13.91</v>
      </c>
    </row>
    <row r="840">
      <c r="A840" s="319" t="s">
        <v>258</v>
      </c>
      <c r="B840" s="328">
        <v>46069.0</v>
      </c>
      <c r="C840" s="319" t="s">
        <v>217</v>
      </c>
      <c r="D840" s="320">
        <v>3741.0</v>
      </c>
      <c r="E840" s="320">
        <v>4.63</v>
      </c>
      <c r="F840" s="320">
        <v>21346.63</v>
      </c>
      <c r="G840" s="320">
        <v>5.7061</v>
      </c>
      <c r="H840" s="320">
        <v>40.26</v>
      </c>
      <c r="I840" s="320">
        <v>14.1744</v>
      </c>
      <c r="J840" s="320">
        <v>142.49</v>
      </c>
      <c r="K840" s="320">
        <v>88.06</v>
      </c>
      <c r="L840" s="320">
        <v>60.9</v>
      </c>
      <c r="M840" s="320">
        <v>0.6916</v>
      </c>
      <c r="N840" s="320">
        <v>0.401</v>
      </c>
      <c r="O840" s="320">
        <v>0.2304</v>
      </c>
      <c r="P840" s="320">
        <v>1.446</v>
      </c>
      <c r="Q840" s="320">
        <v>763.19</v>
      </c>
      <c r="R840" s="320">
        <v>648.49</v>
      </c>
      <c r="S840" s="320">
        <v>114.7</v>
      </c>
      <c r="T840" s="320">
        <v>363.61</v>
      </c>
      <c r="U840" s="320">
        <v>399.58</v>
      </c>
      <c r="V840" s="320">
        <v>790.04</v>
      </c>
      <c r="W840" s="320">
        <v>8.9712</v>
      </c>
      <c r="X840" s="320">
        <v>47.64</v>
      </c>
      <c r="Y840" s="320">
        <v>113.0</v>
      </c>
      <c r="Z840" s="320">
        <v>412.0</v>
      </c>
      <c r="AA840" s="320">
        <v>1294.0</v>
      </c>
      <c r="AB840" s="320">
        <v>57.2346</v>
      </c>
      <c r="AC840" s="320">
        <v>0.6856</v>
      </c>
      <c r="AD840" s="320">
        <v>36.47</v>
      </c>
      <c r="AE840" s="320">
        <v>13.0</v>
      </c>
      <c r="AF840" s="320">
        <v>30.0</v>
      </c>
      <c r="AG840" s="320">
        <v>50.0</v>
      </c>
      <c r="AH840" s="320">
        <v>77.0</v>
      </c>
      <c r="AI840" s="320">
        <v>52.63</v>
      </c>
      <c r="AJ840" s="320">
        <v>18.85</v>
      </c>
      <c r="AK840" s="320">
        <v>4.36</v>
      </c>
      <c r="AL840" s="320">
        <v>0.1735</v>
      </c>
      <c r="AM840" s="320">
        <v>19.48</v>
      </c>
      <c r="AN840" s="320">
        <v>629.0</v>
      </c>
      <c r="AO840" s="320">
        <v>67.97</v>
      </c>
      <c r="AP840" s="320">
        <v>13.24</v>
      </c>
    </row>
    <row r="841">
      <c r="A841" s="319" t="s">
        <v>258</v>
      </c>
      <c r="B841" s="328">
        <v>46069.0</v>
      </c>
      <c r="C841" s="319" t="s">
        <v>218</v>
      </c>
      <c r="D841" s="320">
        <v>393.0</v>
      </c>
      <c r="E841" s="320">
        <v>0.49</v>
      </c>
      <c r="F841" s="320">
        <v>3867.64</v>
      </c>
      <c r="G841" s="320">
        <v>9.8413</v>
      </c>
      <c r="H841" s="320">
        <v>41.73</v>
      </c>
      <c r="I841" s="320">
        <v>23.5832</v>
      </c>
      <c r="J841" s="320">
        <v>252.06</v>
      </c>
      <c r="K841" s="320">
        <v>164.19</v>
      </c>
      <c r="L841" s="320">
        <v>134.97</v>
      </c>
      <c r="M841" s="320">
        <v>0.822</v>
      </c>
      <c r="N841" s="320">
        <v>0.2655</v>
      </c>
      <c r="O841" s="320">
        <v>0.1676</v>
      </c>
      <c r="P841" s="320">
        <v>1.2165</v>
      </c>
      <c r="Q841" s="320">
        <v>1397.59</v>
      </c>
      <c r="R841" s="320">
        <v>1113.58</v>
      </c>
      <c r="S841" s="320">
        <v>284.01</v>
      </c>
      <c r="T841" s="320">
        <v>618.42</v>
      </c>
      <c r="U841" s="320">
        <v>779.17</v>
      </c>
      <c r="V841" s="320">
        <v>1398.73</v>
      </c>
      <c r="W841" s="320">
        <v>8.5188</v>
      </c>
      <c r="X841" s="320">
        <v>44.25</v>
      </c>
      <c r="Y841" s="320">
        <v>207.0</v>
      </c>
      <c r="Z841" s="320">
        <v>744.0</v>
      </c>
      <c r="AA841" s="320">
        <v>2299.0</v>
      </c>
      <c r="AB841" s="320">
        <v>61.6571</v>
      </c>
      <c r="AC841" s="320">
        <v>0.8182</v>
      </c>
      <c r="AD841" s="320">
        <v>89.15</v>
      </c>
      <c r="AE841" s="320">
        <v>31.0</v>
      </c>
      <c r="AF841" s="320">
        <v>73.0</v>
      </c>
      <c r="AG841" s="320">
        <v>122.0</v>
      </c>
      <c r="AH841" s="320">
        <v>189.0</v>
      </c>
      <c r="AI841" s="320">
        <v>48.09</v>
      </c>
      <c r="AJ841" s="320">
        <v>13.23</v>
      </c>
      <c r="AK841" s="320">
        <v>2.54</v>
      </c>
      <c r="AL841" s="320">
        <v>0.1272</v>
      </c>
      <c r="AM841" s="320">
        <v>19.78</v>
      </c>
      <c r="AN841" s="320">
        <v>1093.8</v>
      </c>
      <c r="AO841" s="320">
        <v>68.81</v>
      </c>
      <c r="AP841" s="320">
        <v>13.61</v>
      </c>
    </row>
    <row r="842">
      <c r="A842" s="319" t="s">
        <v>258</v>
      </c>
      <c r="B842" s="328">
        <v>46070.0</v>
      </c>
      <c r="C842" s="319" t="s">
        <v>257</v>
      </c>
      <c r="D842" s="320">
        <v>16779.0</v>
      </c>
      <c r="E842" s="320">
        <v>20.94</v>
      </c>
      <c r="F842" s="320">
        <v>187.63</v>
      </c>
      <c r="G842" s="320">
        <v>0.0112</v>
      </c>
      <c r="H842" s="320">
        <v>0.15</v>
      </c>
      <c r="I842" s="320">
        <v>7.2165</v>
      </c>
      <c r="J842" s="320">
        <v>6.2</v>
      </c>
      <c r="K842" s="320">
        <v>2.75</v>
      </c>
      <c r="L842" s="320">
        <v>0.03</v>
      </c>
      <c r="M842" s="320">
        <v>0.0095</v>
      </c>
      <c r="N842" s="320">
        <v>0.9909</v>
      </c>
      <c r="O842" s="320">
        <v>0.8668</v>
      </c>
      <c r="P842" s="320">
        <v>104.9591</v>
      </c>
      <c r="Q842" s="320">
        <v>26.77</v>
      </c>
      <c r="R842" s="320">
        <v>26.7</v>
      </c>
      <c r="S842" s="320">
        <v>0.07</v>
      </c>
      <c r="T842" s="320">
        <v>0.7</v>
      </c>
      <c r="U842" s="320">
        <v>26.07</v>
      </c>
      <c r="V842" s="320">
        <v>2.42</v>
      </c>
      <c r="W842" s="320">
        <v>0.8791</v>
      </c>
      <c r="X842" s="320">
        <v>2.62</v>
      </c>
      <c r="Y842" s="320">
        <v>154.0</v>
      </c>
      <c r="Z842" s="320">
        <v>942.0</v>
      </c>
      <c r="AA842" s="320">
        <v>6408.0</v>
      </c>
      <c r="AB842" s="320">
        <v>49.5673</v>
      </c>
      <c r="AC842" s="320">
        <v>0.5092</v>
      </c>
      <c r="AD842" s="329"/>
      <c r="AE842" s="329"/>
      <c r="AF842" s="329"/>
      <c r="AG842" s="329"/>
      <c r="AH842" s="329"/>
      <c r="AI842" s="320">
        <v>0.0</v>
      </c>
      <c r="AJ842" s="320">
        <v>0.0</v>
      </c>
      <c r="AK842" s="320">
        <v>0.0</v>
      </c>
      <c r="AL842" s="320">
        <v>0.2768</v>
      </c>
      <c r="AM842" s="320">
        <v>14.75</v>
      </c>
      <c r="AN842" s="320">
        <v>11.95</v>
      </c>
      <c r="AO842" s="329"/>
      <c r="AP842" s="329"/>
    </row>
    <row r="843">
      <c r="A843" s="319" t="s">
        <v>258</v>
      </c>
      <c r="B843" s="328">
        <v>46070.0</v>
      </c>
      <c r="C843" s="319" t="s">
        <v>214</v>
      </c>
      <c r="D843" s="320">
        <v>33365.0</v>
      </c>
      <c r="E843" s="320">
        <v>41.64</v>
      </c>
      <c r="F843" s="320">
        <v>6697.03</v>
      </c>
      <c r="G843" s="320">
        <v>0.2007</v>
      </c>
      <c r="H843" s="320">
        <v>5.92</v>
      </c>
      <c r="I843" s="320">
        <v>3.3926</v>
      </c>
      <c r="J843" s="320">
        <v>29.63</v>
      </c>
      <c r="K843" s="320">
        <v>15.7</v>
      </c>
      <c r="L843" s="320">
        <v>5.06</v>
      </c>
      <c r="M843" s="320">
        <v>0.3225</v>
      </c>
      <c r="N843" s="320">
        <v>0.7531</v>
      </c>
      <c r="O843" s="320">
        <v>0.5196</v>
      </c>
      <c r="P843" s="320">
        <v>3.1006</v>
      </c>
      <c r="Q843" s="320">
        <v>70.74</v>
      </c>
      <c r="R843" s="320">
        <v>60.1</v>
      </c>
      <c r="S843" s="320">
        <v>10.64</v>
      </c>
      <c r="T843" s="320">
        <v>14.15</v>
      </c>
      <c r="U843" s="320">
        <v>56.59</v>
      </c>
      <c r="V843" s="320">
        <v>76.02</v>
      </c>
      <c r="W843" s="320">
        <v>4.8409</v>
      </c>
      <c r="X843" s="320">
        <v>20.0</v>
      </c>
      <c r="Y843" s="320">
        <v>88.0</v>
      </c>
      <c r="Z843" s="320">
        <v>219.0</v>
      </c>
      <c r="AA843" s="320">
        <v>853.0</v>
      </c>
      <c r="AB843" s="320">
        <v>49.5129</v>
      </c>
      <c r="AC843" s="320">
        <v>0.445</v>
      </c>
      <c r="AD843" s="320">
        <v>3.49</v>
      </c>
      <c r="AE843" s="320">
        <v>1.0</v>
      </c>
      <c r="AF843" s="320">
        <v>2.0</v>
      </c>
      <c r="AG843" s="320">
        <v>4.0</v>
      </c>
      <c r="AH843" s="320">
        <v>8.0</v>
      </c>
      <c r="AI843" s="320">
        <v>65.33</v>
      </c>
      <c r="AJ843" s="320">
        <v>24.04</v>
      </c>
      <c r="AK843" s="320">
        <v>7.09</v>
      </c>
      <c r="AL843" s="320">
        <v>0.221</v>
      </c>
      <c r="AM843" s="320">
        <v>18.29</v>
      </c>
      <c r="AN843" s="320">
        <v>41.81</v>
      </c>
      <c r="AO843" s="320">
        <v>67.66</v>
      </c>
      <c r="AP843" s="320">
        <v>12.38</v>
      </c>
    </row>
    <row r="844">
      <c r="A844" s="319" t="s">
        <v>258</v>
      </c>
      <c r="B844" s="328">
        <v>46070.0</v>
      </c>
      <c r="C844" s="319" t="s">
        <v>215</v>
      </c>
      <c r="D844" s="320">
        <v>16732.0</v>
      </c>
      <c r="E844" s="320">
        <v>20.88</v>
      </c>
      <c r="F844" s="320">
        <v>16499.1</v>
      </c>
      <c r="G844" s="320">
        <v>0.9861</v>
      </c>
      <c r="H844" s="320">
        <v>19.81</v>
      </c>
      <c r="I844" s="320">
        <v>4.9786</v>
      </c>
      <c r="J844" s="320">
        <v>57.13</v>
      </c>
      <c r="K844" s="320">
        <v>32.15</v>
      </c>
      <c r="L844" s="320">
        <v>14.23</v>
      </c>
      <c r="M844" s="320">
        <v>0.4426</v>
      </c>
      <c r="N844" s="320">
        <v>0.626</v>
      </c>
      <c r="O844" s="320">
        <v>0.3607</v>
      </c>
      <c r="P844" s="320">
        <v>2.2594</v>
      </c>
      <c r="Q844" s="320">
        <v>176.53</v>
      </c>
      <c r="R844" s="320">
        <v>147.5</v>
      </c>
      <c r="S844" s="320">
        <v>29.03</v>
      </c>
      <c r="T844" s="320">
        <v>67.41</v>
      </c>
      <c r="U844" s="320">
        <v>109.12</v>
      </c>
      <c r="V844" s="320">
        <v>184.79</v>
      </c>
      <c r="W844" s="320">
        <v>5.748</v>
      </c>
      <c r="X844" s="320">
        <v>38.19</v>
      </c>
      <c r="Y844" s="320">
        <v>87.0</v>
      </c>
      <c r="Z844" s="320">
        <v>211.0</v>
      </c>
      <c r="AA844" s="320">
        <v>694.0</v>
      </c>
      <c r="AB844" s="320">
        <v>52.3578</v>
      </c>
      <c r="AC844" s="320">
        <v>0.5244</v>
      </c>
      <c r="AD844" s="320">
        <v>9.16</v>
      </c>
      <c r="AE844" s="320">
        <v>3.0</v>
      </c>
      <c r="AF844" s="320">
        <v>7.0</v>
      </c>
      <c r="AG844" s="320">
        <v>13.0</v>
      </c>
      <c r="AH844" s="320">
        <v>20.0</v>
      </c>
      <c r="AI844" s="320">
        <v>55.32</v>
      </c>
      <c r="AJ844" s="320">
        <v>25.84</v>
      </c>
      <c r="AK844" s="320">
        <v>5.57</v>
      </c>
      <c r="AL844" s="320">
        <v>0.1786</v>
      </c>
      <c r="AM844" s="320">
        <v>19.35</v>
      </c>
      <c r="AN844" s="320">
        <v>128.15</v>
      </c>
      <c r="AO844" s="320">
        <v>72.86</v>
      </c>
      <c r="AP844" s="320">
        <v>14.1</v>
      </c>
    </row>
    <row r="845">
      <c r="A845" s="319" t="s">
        <v>258</v>
      </c>
      <c r="B845" s="328">
        <v>46070.0</v>
      </c>
      <c r="C845" s="319" t="s">
        <v>216</v>
      </c>
      <c r="D845" s="320">
        <v>9473.0</v>
      </c>
      <c r="E845" s="320">
        <v>11.82</v>
      </c>
      <c r="F845" s="320">
        <v>22657.39</v>
      </c>
      <c r="G845" s="320">
        <v>2.3918</v>
      </c>
      <c r="H845" s="320">
        <v>30.95</v>
      </c>
      <c r="I845" s="320">
        <v>7.7276</v>
      </c>
      <c r="J845" s="320">
        <v>83.62</v>
      </c>
      <c r="K845" s="320">
        <v>49.25</v>
      </c>
      <c r="L845" s="320">
        <v>27.23</v>
      </c>
      <c r="M845" s="320">
        <v>0.5528</v>
      </c>
      <c r="N845" s="320">
        <v>0.523</v>
      </c>
      <c r="O845" s="320">
        <v>0.2894</v>
      </c>
      <c r="P845" s="320">
        <v>1.8088</v>
      </c>
      <c r="Q845" s="320">
        <v>342.07</v>
      </c>
      <c r="R845" s="320">
        <v>288.31</v>
      </c>
      <c r="S845" s="320">
        <v>53.77</v>
      </c>
      <c r="T845" s="320">
        <v>155.73</v>
      </c>
      <c r="U845" s="320">
        <v>186.34</v>
      </c>
      <c r="V845" s="320">
        <v>352.2</v>
      </c>
      <c r="W845" s="320">
        <v>7.1514</v>
      </c>
      <c r="X845" s="320">
        <v>45.53</v>
      </c>
      <c r="Y845" s="320">
        <v>93.0</v>
      </c>
      <c r="Z845" s="320">
        <v>262.0</v>
      </c>
      <c r="AA845" s="320">
        <v>858.0</v>
      </c>
      <c r="AB845" s="320">
        <v>54.3219</v>
      </c>
      <c r="AC845" s="320">
        <v>0.6179</v>
      </c>
      <c r="AD845" s="320">
        <v>16.55</v>
      </c>
      <c r="AE845" s="320">
        <v>5.0</v>
      </c>
      <c r="AF845" s="320">
        <v>12.0</v>
      </c>
      <c r="AG845" s="320">
        <v>24.0</v>
      </c>
      <c r="AH845" s="320">
        <v>36.0</v>
      </c>
      <c r="AI845" s="320">
        <v>53.46</v>
      </c>
      <c r="AJ845" s="320">
        <v>22.42</v>
      </c>
      <c r="AK845" s="320">
        <v>6.39</v>
      </c>
      <c r="AL845" s="320">
        <v>0.1773</v>
      </c>
      <c r="AM845" s="320">
        <v>18.63</v>
      </c>
      <c r="AN845" s="320">
        <v>269.68</v>
      </c>
      <c r="AO845" s="320">
        <v>73.29</v>
      </c>
      <c r="AP845" s="320">
        <v>13.65</v>
      </c>
    </row>
    <row r="846">
      <c r="A846" s="319" t="s">
        <v>258</v>
      </c>
      <c r="B846" s="328">
        <v>46070.0</v>
      </c>
      <c r="C846" s="319" t="s">
        <v>217</v>
      </c>
      <c r="D846" s="320">
        <v>3383.0</v>
      </c>
      <c r="E846" s="320">
        <v>4.22</v>
      </c>
      <c r="F846" s="320">
        <v>17578.4</v>
      </c>
      <c r="G846" s="320">
        <v>5.1961</v>
      </c>
      <c r="H846" s="320">
        <v>40.32</v>
      </c>
      <c r="I846" s="320">
        <v>12.8874</v>
      </c>
      <c r="J846" s="320">
        <v>125.46</v>
      </c>
      <c r="K846" s="320">
        <v>77.96</v>
      </c>
      <c r="L846" s="320">
        <v>53.65</v>
      </c>
      <c r="M846" s="320">
        <v>0.6881</v>
      </c>
      <c r="N846" s="320">
        <v>0.402</v>
      </c>
      <c r="O846" s="320">
        <v>0.229</v>
      </c>
      <c r="P846" s="320">
        <v>1.4532</v>
      </c>
      <c r="Q846" s="320">
        <v>670.56</v>
      </c>
      <c r="R846" s="320">
        <v>558.84</v>
      </c>
      <c r="S846" s="320">
        <v>111.73</v>
      </c>
      <c r="T846" s="320">
        <v>329.71</v>
      </c>
      <c r="U846" s="320">
        <v>340.85</v>
      </c>
      <c r="V846" s="320">
        <v>683.86</v>
      </c>
      <c r="W846" s="320">
        <v>8.7716</v>
      </c>
      <c r="X846" s="320">
        <v>49.17</v>
      </c>
      <c r="Y846" s="320">
        <v>105.0</v>
      </c>
      <c r="Z846" s="320">
        <v>363.0</v>
      </c>
      <c r="AA846" s="320">
        <v>1138.0</v>
      </c>
      <c r="AB846" s="320">
        <v>57.5051</v>
      </c>
      <c r="AC846" s="320">
        <v>0.7456</v>
      </c>
      <c r="AD846" s="320">
        <v>36.11</v>
      </c>
      <c r="AE846" s="320">
        <v>12.0</v>
      </c>
      <c r="AF846" s="320">
        <v>28.0</v>
      </c>
      <c r="AG846" s="320">
        <v>51.0</v>
      </c>
      <c r="AH846" s="320">
        <v>78.0</v>
      </c>
      <c r="AI846" s="320">
        <v>51.08</v>
      </c>
      <c r="AJ846" s="320">
        <v>18.56</v>
      </c>
      <c r="AK846" s="320">
        <v>4.37</v>
      </c>
      <c r="AL846" s="320">
        <v>0.1729</v>
      </c>
      <c r="AM846" s="320">
        <v>18.33</v>
      </c>
      <c r="AN846" s="320">
        <v>540.51</v>
      </c>
      <c r="AO846" s="320">
        <v>72.54</v>
      </c>
      <c r="AP846" s="320">
        <v>13.3</v>
      </c>
    </row>
    <row r="847">
      <c r="A847" s="319" t="s">
        <v>258</v>
      </c>
      <c r="B847" s="328">
        <v>46070.0</v>
      </c>
      <c r="C847" s="319" t="s">
        <v>218</v>
      </c>
      <c r="D847" s="320">
        <v>393.0</v>
      </c>
      <c r="E847" s="320">
        <v>0.49</v>
      </c>
      <c r="F847" s="320">
        <v>3921.61</v>
      </c>
      <c r="G847" s="320">
        <v>9.9787</v>
      </c>
      <c r="H847" s="320">
        <v>43.26</v>
      </c>
      <c r="I847" s="320">
        <v>23.0683</v>
      </c>
      <c r="J847" s="320">
        <v>234.77</v>
      </c>
      <c r="K847" s="320">
        <v>155.75</v>
      </c>
      <c r="L847" s="320">
        <v>130.47</v>
      </c>
      <c r="M847" s="320">
        <v>0.8377</v>
      </c>
      <c r="N847" s="320">
        <v>0.2534</v>
      </c>
      <c r="O847" s="320">
        <v>0.1608</v>
      </c>
      <c r="P847" s="320">
        <v>1.1937</v>
      </c>
      <c r="Q847" s="320">
        <v>1324.74</v>
      </c>
      <c r="R847" s="320">
        <v>1050.46</v>
      </c>
      <c r="S847" s="320">
        <v>274.29</v>
      </c>
      <c r="T847" s="320">
        <v>596.86</v>
      </c>
      <c r="U847" s="320">
        <v>727.89</v>
      </c>
      <c r="V847" s="320">
        <v>1391.73</v>
      </c>
      <c r="W847" s="320">
        <v>8.9359</v>
      </c>
      <c r="X847" s="320">
        <v>45.05</v>
      </c>
      <c r="Y847" s="320">
        <v>186.0</v>
      </c>
      <c r="Z847" s="320">
        <v>656.0</v>
      </c>
      <c r="AA847" s="320">
        <v>1869.0</v>
      </c>
      <c r="AB847" s="320">
        <v>61.7493</v>
      </c>
      <c r="AC847" s="320">
        <v>0.8466</v>
      </c>
      <c r="AD847" s="320">
        <v>92.8</v>
      </c>
      <c r="AE847" s="320">
        <v>34.0</v>
      </c>
      <c r="AF847" s="320">
        <v>73.0</v>
      </c>
      <c r="AG847" s="320">
        <v>129.0</v>
      </c>
      <c r="AH847" s="320">
        <v>190.0</v>
      </c>
      <c r="AI847" s="320">
        <v>47.84</v>
      </c>
      <c r="AJ847" s="320">
        <v>12.72</v>
      </c>
      <c r="AK847" s="320">
        <v>2.54</v>
      </c>
      <c r="AL847" s="320">
        <v>0.1679</v>
      </c>
      <c r="AM847" s="320">
        <v>22.63</v>
      </c>
      <c r="AN847" s="320">
        <v>1027.82</v>
      </c>
      <c r="AO847" s="320">
        <v>70.3</v>
      </c>
      <c r="AP847" s="320">
        <v>15.91</v>
      </c>
    </row>
    <row r="848">
      <c r="A848" s="319" t="s">
        <v>258</v>
      </c>
      <c r="B848" s="328">
        <v>46071.0</v>
      </c>
      <c r="C848" s="319" t="s">
        <v>257</v>
      </c>
      <c r="D848" s="320">
        <v>17183.0</v>
      </c>
      <c r="E848" s="320">
        <v>21.65</v>
      </c>
      <c r="F848" s="320">
        <v>289.78</v>
      </c>
      <c r="G848" s="320">
        <v>0.0169</v>
      </c>
      <c r="H848" s="320">
        <v>0.19</v>
      </c>
      <c r="I848" s="320">
        <v>9.0556</v>
      </c>
      <c r="J848" s="320">
        <v>6.51</v>
      </c>
      <c r="K848" s="320">
        <v>3.02</v>
      </c>
      <c r="L848" s="320">
        <v>0.04</v>
      </c>
      <c r="M848" s="320">
        <v>0.0124</v>
      </c>
      <c r="N848" s="320">
        <v>0.9886</v>
      </c>
      <c r="O848" s="320">
        <v>0.8222</v>
      </c>
      <c r="P848" s="320">
        <v>80.7216</v>
      </c>
      <c r="Q848" s="320">
        <v>23.09</v>
      </c>
      <c r="R848" s="320">
        <v>23.01</v>
      </c>
      <c r="S848" s="320">
        <v>0.08</v>
      </c>
      <c r="T848" s="320">
        <v>1.24</v>
      </c>
      <c r="U848" s="320">
        <v>21.84</v>
      </c>
      <c r="V848" s="320">
        <v>2.1</v>
      </c>
      <c r="W848" s="320">
        <v>0.6946</v>
      </c>
      <c r="X848" s="320">
        <v>5.38</v>
      </c>
      <c r="Y848" s="320">
        <v>147.0</v>
      </c>
      <c r="Z848" s="320">
        <v>1012.0</v>
      </c>
      <c r="AA848" s="320">
        <v>6994.0</v>
      </c>
      <c r="AB848" s="320">
        <v>49.6614</v>
      </c>
      <c r="AC848" s="320">
        <v>0.5174</v>
      </c>
      <c r="AD848" s="329"/>
      <c r="AE848" s="329"/>
      <c r="AF848" s="329"/>
      <c r="AG848" s="329"/>
      <c r="AH848" s="329"/>
      <c r="AI848" s="320">
        <v>0.0</v>
      </c>
      <c r="AJ848" s="320">
        <v>0.0</v>
      </c>
      <c r="AK848" s="320">
        <v>0.0</v>
      </c>
      <c r="AL848" s="320">
        <v>0.2782</v>
      </c>
      <c r="AM848" s="320">
        <v>15.19</v>
      </c>
      <c r="AN848" s="320">
        <v>7.82</v>
      </c>
      <c r="AO848" s="329"/>
      <c r="AP848" s="329"/>
    </row>
    <row r="849">
      <c r="A849" s="319" t="s">
        <v>258</v>
      </c>
      <c r="B849" s="328">
        <v>46071.0</v>
      </c>
      <c r="C849" s="319" t="s">
        <v>214</v>
      </c>
      <c r="D849" s="320">
        <v>33044.0</v>
      </c>
      <c r="E849" s="320">
        <v>41.63</v>
      </c>
      <c r="F849" s="320">
        <v>7324.92</v>
      </c>
      <c r="G849" s="320">
        <v>0.2217</v>
      </c>
      <c r="H849" s="320">
        <v>6.28</v>
      </c>
      <c r="I849" s="320">
        <v>3.5284</v>
      </c>
      <c r="J849" s="320">
        <v>32.41</v>
      </c>
      <c r="K849" s="320">
        <v>17.67</v>
      </c>
      <c r="L849" s="320">
        <v>5.1</v>
      </c>
      <c r="M849" s="320">
        <v>0.2889</v>
      </c>
      <c r="N849" s="320">
        <v>0.7762</v>
      </c>
      <c r="O849" s="320">
        <v>0.5273</v>
      </c>
      <c r="P849" s="320">
        <v>3.4617</v>
      </c>
      <c r="Q849" s="320">
        <v>62.65</v>
      </c>
      <c r="R849" s="320">
        <v>52.07</v>
      </c>
      <c r="S849" s="320">
        <v>10.58</v>
      </c>
      <c r="T849" s="320">
        <v>15.21</v>
      </c>
      <c r="U849" s="320">
        <v>47.44</v>
      </c>
      <c r="V849" s="320">
        <v>70.91</v>
      </c>
      <c r="W849" s="320">
        <v>4.0135</v>
      </c>
      <c r="X849" s="320">
        <v>24.27</v>
      </c>
      <c r="Y849" s="320">
        <v>87.0</v>
      </c>
      <c r="Z849" s="320">
        <v>199.0</v>
      </c>
      <c r="AA849" s="320">
        <v>785.0</v>
      </c>
      <c r="AB849" s="320">
        <v>49.4631</v>
      </c>
      <c r="AC849" s="320">
        <v>0.4422</v>
      </c>
      <c r="AD849" s="320">
        <v>3.42</v>
      </c>
      <c r="AE849" s="320">
        <v>1.0</v>
      </c>
      <c r="AF849" s="320">
        <v>2.0</v>
      </c>
      <c r="AG849" s="320">
        <v>4.0</v>
      </c>
      <c r="AH849" s="320">
        <v>8.0</v>
      </c>
      <c r="AI849" s="320">
        <v>64.94</v>
      </c>
      <c r="AJ849" s="320">
        <v>23.22</v>
      </c>
      <c r="AK849" s="320">
        <v>6.52</v>
      </c>
      <c r="AL849" s="320">
        <v>0.2193</v>
      </c>
      <c r="AM849" s="320">
        <v>18.99</v>
      </c>
      <c r="AN849" s="320">
        <v>33.08</v>
      </c>
      <c r="AO849" s="320">
        <v>67.86</v>
      </c>
      <c r="AP849" s="320">
        <v>12.89</v>
      </c>
    </row>
    <row r="850">
      <c r="A850" s="319" t="s">
        <v>258</v>
      </c>
      <c r="B850" s="328">
        <v>46071.0</v>
      </c>
      <c r="C850" s="319" t="s">
        <v>215</v>
      </c>
      <c r="D850" s="320">
        <v>16592.0</v>
      </c>
      <c r="E850" s="320">
        <v>20.91</v>
      </c>
      <c r="F850" s="320">
        <v>17529.36</v>
      </c>
      <c r="G850" s="320">
        <v>1.0565</v>
      </c>
      <c r="H850" s="320">
        <v>20.44</v>
      </c>
      <c r="I850" s="320">
        <v>5.1694</v>
      </c>
      <c r="J850" s="320">
        <v>60.62</v>
      </c>
      <c r="K850" s="320">
        <v>34.77</v>
      </c>
      <c r="L850" s="320">
        <v>13.82</v>
      </c>
      <c r="M850" s="320">
        <v>0.3976</v>
      </c>
      <c r="N850" s="320">
        <v>0.6622</v>
      </c>
      <c r="O850" s="320">
        <v>0.3742</v>
      </c>
      <c r="P850" s="320">
        <v>2.515</v>
      </c>
      <c r="Q850" s="320">
        <v>157.15</v>
      </c>
      <c r="R850" s="320">
        <v>129.33</v>
      </c>
      <c r="S850" s="320">
        <v>27.81</v>
      </c>
      <c r="T850" s="320">
        <v>71.97</v>
      </c>
      <c r="U850" s="320">
        <v>85.18</v>
      </c>
      <c r="V850" s="320">
        <v>170.17</v>
      </c>
      <c r="W850" s="320">
        <v>4.8944</v>
      </c>
      <c r="X850" s="320">
        <v>45.8</v>
      </c>
      <c r="Y850" s="320">
        <v>83.0</v>
      </c>
      <c r="Z850" s="320">
        <v>185.0</v>
      </c>
      <c r="AA850" s="320">
        <v>687.0</v>
      </c>
      <c r="AB850" s="320">
        <v>52.3852</v>
      </c>
      <c r="AC850" s="320">
        <v>0.5356</v>
      </c>
      <c r="AD850" s="320">
        <v>8.45</v>
      </c>
      <c r="AE850" s="320">
        <v>2.0</v>
      </c>
      <c r="AF850" s="320">
        <v>6.0</v>
      </c>
      <c r="AG850" s="320">
        <v>12.0</v>
      </c>
      <c r="AH850" s="320">
        <v>19.0</v>
      </c>
      <c r="AI850" s="320">
        <v>50.63</v>
      </c>
      <c r="AJ850" s="320">
        <v>23.02</v>
      </c>
      <c r="AK850" s="320">
        <v>4.73</v>
      </c>
      <c r="AL850" s="320">
        <v>0.1838</v>
      </c>
      <c r="AM850" s="320">
        <v>19.7</v>
      </c>
      <c r="AN850" s="320">
        <v>109.63</v>
      </c>
      <c r="AO850" s="320">
        <v>73.3</v>
      </c>
      <c r="AP850" s="320">
        <v>14.44</v>
      </c>
    </row>
    <row r="851">
      <c r="A851" s="319" t="s">
        <v>258</v>
      </c>
      <c r="B851" s="328">
        <v>46071.0</v>
      </c>
      <c r="C851" s="319" t="s">
        <v>216</v>
      </c>
      <c r="D851" s="320">
        <v>8917.0</v>
      </c>
      <c r="E851" s="320">
        <v>11.24</v>
      </c>
      <c r="F851" s="320">
        <v>22179.47</v>
      </c>
      <c r="G851" s="320">
        <v>2.4873</v>
      </c>
      <c r="H851" s="320">
        <v>31.25</v>
      </c>
      <c r="I851" s="320">
        <v>7.9582</v>
      </c>
      <c r="J851" s="320">
        <v>84.0</v>
      </c>
      <c r="K851" s="320">
        <v>50.41</v>
      </c>
      <c r="L851" s="320">
        <v>25.32</v>
      </c>
      <c r="M851" s="320">
        <v>0.5023</v>
      </c>
      <c r="N851" s="320">
        <v>0.5662</v>
      </c>
      <c r="O851" s="320">
        <v>0.3083</v>
      </c>
      <c r="P851" s="320">
        <v>1.9908</v>
      </c>
      <c r="Q851" s="320">
        <v>296.73</v>
      </c>
      <c r="R851" s="320">
        <v>244.51</v>
      </c>
      <c r="S851" s="320">
        <v>52.22</v>
      </c>
      <c r="T851" s="320">
        <v>163.24</v>
      </c>
      <c r="U851" s="320">
        <v>133.49</v>
      </c>
      <c r="V851" s="320">
        <v>320.53</v>
      </c>
      <c r="W851" s="320">
        <v>6.3578</v>
      </c>
      <c r="X851" s="320">
        <v>55.01</v>
      </c>
      <c r="Y851" s="320">
        <v>86.0</v>
      </c>
      <c r="Z851" s="320">
        <v>217.0</v>
      </c>
      <c r="AA851" s="320">
        <v>747.0</v>
      </c>
      <c r="AB851" s="320">
        <v>54.5223</v>
      </c>
      <c r="AC851" s="320">
        <v>0.6481</v>
      </c>
      <c r="AD851" s="320">
        <v>16.03</v>
      </c>
      <c r="AE851" s="320">
        <v>5.0</v>
      </c>
      <c r="AF851" s="320">
        <v>11.0</v>
      </c>
      <c r="AG851" s="320">
        <v>23.0</v>
      </c>
      <c r="AH851" s="320">
        <v>36.0</v>
      </c>
      <c r="AI851" s="320">
        <v>50.72</v>
      </c>
      <c r="AJ851" s="320">
        <v>21.2</v>
      </c>
      <c r="AK851" s="320">
        <v>6.55</v>
      </c>
      <c r="AL851" s="320">
        <v>0.1864</v>
      </c>
      <c r="AM851" s="320">
        <v>19.98</v>
      </c>
      <c r="AN851" s="320">
        <v>224.52</v>
      </c>
      <c r="AO851" s="320">
        <v>75.65</v>
      </c>
      <c r="AP851" s="320">
        <v>15.11</v>
      </c>
    </row>
    <row r="852">
      <c r="A852" s="319" t="s">
        <v>258</v>
      </c>
      <c r="B852" s="328">
        <v>46071.0</v>
      </c>
      <c r="C852" s="319" t="s">
        <v>217</v>
      </c>
      <c r="D852" s="320">
        <v>3267.0</v>
      </c>
      <c r="E852" s="320">
        <v>4.12</v>
      </c>
      <c r="F852" s="320">
        <v>16994.82</v>
      </c>
      <c r="G852" s="320">
        <v>5.202</v>
      </c>
      <c r="H852" s="320">
        <v>41.35</v>
      </c>
      <c r="I852" s="320">
        <v>12.5794</v>
      </c>
      <c r="J852" s="320">
        <v>124.42</v>
      </c>
      <c r="K852" s="320">
        <v>78.08</v>
      </c>
      <c r="L852" s="320">
        <v>51.0</v>
      </c>
      <c r="M852" s="320">
        <v>0.6531</v>
      </c>
      <c r="N852" s="320">
        <v>0.4281</v>
      </c>
      <c r="O852" s="320">
        <v>0.2343</v>
      </c>
      <c r="P852" s="320">
        <v>1.5312</v>
      </c>
      <c r="Q852" s="320">
        <v>561.35</v>
      </c>
      <c r="R852" s="320">
        <v>454.39</v>
      </c>
      <c r="S852" s="320">
        <v>106.96</v>
      </c>
      <c r="T852" s="320">
        <v>323.01</v>
      </c>
      <c r="U852" s="320">
        <v>238.34</v>
      </c>
      <c r="V852" s="320">
        <v>610.41</v>
      </c>
      <c r="W852" s="320">
        <v>7.8173</v>
      </c>
      <c r="X852" s="320">
        <v>57.54</v>
      </c>
      <c r="Y852" s="320">
        <v>93.0</v>
      </c>
      <c r="Z852" s="320">
        <v>288.0</v>
      </c>
      <c r="AA852" s="320">
        <v>1046.0</v>
      </c>
      <c r="AB852" s="320">
        <v>57.6132</v>
      </c>
      <c r="AC852" s="320">
        <v>0.7571</v>
      </c>
      <c r="AD852" s="320">
        <v>34.01</v>
      </c>
      <c r="AE852" s="320">
        <v>10.0</v>
      </c>
      <c r="AF852" s="320">
        <v>24.0</v>
      </c>
      <c r="AG852" s="320">
        <v>47.0</v>
      </c>
      <c r="AH852" s="320">
        <v>75.0</v>
      </c>
      <c r="AI852" s="320">
        <v>45.91</v>
      </c>
      <c r="AJ852" s="320">
        <v>16.5</v>
      </c>
      <c r="AK852" s="320">
        <v>4.41</v>
      </c>
      <c r="AL852" s="320">
        <v>0.1742</v>
      </c>
      <c r="AM852" s="320">
        <v>18.89</v>
      </c>
      <c r="AN852" s="320">
        <v>435.5</v>
      </c>
      <c r="AO852" s="320">
        <v>73.98</v>
      </c>
      <c r="AP852" s="320">
        <v>13.97</v>
      </c>
    </row>
    <row r="853">
      <c r="A853" s="319" t="s">
        <v>258</v>
      </c>
      <c r="B853" s="328">
        <v>46071.0</v>
      </c>
      <c r="C853" s="319" t="s">
        <v>218</v>
      </c>
      <c r="D853" s="320">
        <v>363.0</v>
      </c>
      <c r="E853" s="320">
        <v>0.46</v>
      </c>
      <c r="F853" s="320">
        <v>4798.24</v>
      </c>
      <c r="G853" s="320">
        <v>13.2183</v>
      </c>
      <c r="H853" s="320">
        <v>48.76</v>
      </c>
      <c r="I853" s="320">
        <v>27.1087</v>
      </c>
      <c r="J853" s="320">
        <v>230.38</v>
      </c>
      <c r="K853" s="320">
        <v>153.18</v>
      </c>
      <c r="L853" s="320">
        <v>123.28</v>
      </c>
      <c r="M853" s="320">
        <v>0.8048</v>
      </c>
      <c r="N853" s="320">
        <v>0.2872</v>
      </c>
      <c r="O853" s="320">
        <v>0.1754</v>
      </c>
      <c r="P853" s="320">
        <v>1.2426</v>
      </c>
      <c r="Q853" s="320">
        <v>1329.11</v>
      </c>
      <c r="R853" s="320">
        <v>1068.53</v>
      </c>
      <c r="S853" s="320">
        <v>260.58</v>
      </c>
      <c r="T853" s="320">
        <v>807.36</v>
      </c>
      <c r="U853" s="320">
        <v>521.76</v>
      </c>
      <c r="V853" s="320">
        <v>1435.26</v>
      </c>
      <c r="W853" s="320">
        <v>9.3698</v>
      </c>
      <c r="X853" s="320">
        <v>60.74</v>
      </c>
      <c r="Y853" s="320">
        <v>180.0</v>
      </c>
      <c r="Z853" s="320">
        <v>655.0</v>
      </c>
      <c r="AA853" s="320">
        <v>2334.0</v>
      </c>
      <c r="AB853" s="320">
        <v>62.1315</v>
      </c>
      <c r="AC853" s="320">
        <v>0.859</v>
      </c>
      <c r="AD853" s="320">
        <v>85.8</v>
      </c>
      <c r="AE853" s="320">
        <v>27.0</v>
      </c>
      <c r="AF853" s="320">
        <v>67.0</v>
      </c>
      <c r="AG853" s="320">
        <v>127.0</v>
      </c>
      <c r="AH853" s="320">
        <v>187.0</v>
      </c>
      <c r="AI853" s="320">
        <v>43.25</v>
      </c>
      <c r="AJ853" s="320">
        <v>11.29</v>
      </c>
      <c r="AK853" s="320">
        <v>2.2</v>
      </c>
      <c r="AL853" s="320">
        <v>0.1488</v>
      </c>
      <c r="AM853" s="320">
        <v>19.44</v>
      </c>
      <c r="AN853" s="320">
        <v>1049.1</v>
      </c>
      <c r="AO853" s="320">
        <v>71.23</v>
      </c>
      <c r="AP853" s="320">
        <v>13.85</v>
      </c>
    </row>
    <row r="854">
      <c r="A854" s="319" t="s">
        <v>258</v>
      </c>
      <c r="B854" s="328">
        <v>46072.0</v>
      </c>
      <c r="C854" s="319" t="s">
        <v>257</v>
      </c>
      <c r="D854" s="320">
        <v>18080.0</v>
      </c>
      <c r="E854" s="320">
        <v>23.03</v>
      </c>
      <c r="F854" s="320">
        <v>165.38</v>
      </c>
      <c r="G854" s="320">
        <v>0.0091</v>
      </c>
      <c r="H854" s="320">
        <v>0.17</v>
      </c>
      <c r="I854" s="320">
        <v>5.5127</v>
      </c>
      <c r="J854" s="320">
        <v>6.64</v>
      </c>
      <c r="K854" s="320">
        <v>3.11</v>
      </c>
      <c r="L854" s="320">
        <v>0.03</v>
      </c>
      <c r="M854" s="320">
        <v>0.0088</v>
      </c>
      <c r="N854" s="320">
        <v>0.9921</v>
      </c>
      <c r="O854" s="320">
        <v>0.877</v>
      </c>
      <c r="P854" s="320">
        <v>113.9757</v>
      </c>
      <c r="Q854" s="320">
        <v>22.44</v>
      </c>
      <c r="R854" s="320">
        <v>22.37</v>
      </c>
      <c r="S854" s="320">
        <v>0.07</v>
      </c>
      <c r="T854" s="320">
        <v>0.73</v>
      </c>
      <c r="U854" s="320">
        <v>21.72</v>
      </c>
      <c r="V854" s="320">
        <v>2.04</v>
      </c>
      <c r="W854" s="320">
        <v>0.6554</v>
      </c>
      <c r="X854" s="320">
        <v>3.24</v>
      </c>
      <c r="Y854" s="320">
        <v>130.0</v>
      </c>
      <c r="Z854" s="320">
        <v>854.0</v>
      </c>
      <c r="AA854" s="320">
        <v>6134.0</v>
      </c>
      <c r="AB854" s="320">
        <v>49.5928</v>
      </c>
      <c r="AC854" s="320">
        <v>0.5041</v>
      </c>
      <c r="AD854" s="329"/>
      <c r="AE854" s="329"/>
      <c r="AF854" s="329"/>
      <c r="AG854" s="329"/>
      <c r="AH854" s="329"/>
      <c r="AI854" s="320">
        <v>0.0</v>
      </c>
      <c r="AJ854" s="320">
        <v>0.0</v>
      </c>
      <c r="AK854" s="320">
        <v>0.0</v>
      </c>
      <c r="AL854" s="320">
        <v>0.2767</v>
      </c>
      <c r="AM854" s="320">
        <v>15.52</v>
      </c>
      <c r="AN854" s="320">
        <v>6.86</v>
      </c>
      <c r="AO854" s="329"/>
      <c r="AP854" s="329"/>
    </row>
    <row r="855">
      <c r="A855" s="319" t="s">
        <v>258</v>
      </c>
      <c r="B855" s="328">
        <v>46072.0</v>
      </c>
      <c r="C855" s="319" t="s">
        <v>214</v>
      </c>
      <c r="D855" s="320">
        <v>32474.0</v>
      </c>
      <c r="E855" s="320">
        <v>41.37</v>
      </c>
      <c r="F855" s="320">
        <v>7594.93</v>
      </c>
      <c r="G855" s="320">
        <v>0.2339</v>
      </c>
      <c r="H855" s="320">
        <v>6.56</v>
      </c>
      <c r="I855" s="320">
        <v>3.5657</v>
      </c>
      <c r="J855" s="320">
        <v>29.3</v>
      </c>
      <c r="K855" s="320">
        <v>15.62</v>
      </c>
      <c r="L855" s="320">
        <v>4.87</v>
      </c>
      <c r="M855" s="320">
        <v>0.3117</v>
      </c>
      <c r="N855" s="320">
        <v>0.7604</v>
      </c>
      <c r="O855" s="320">
        <v>0.5196</v>
      </c>
      <c r="P855" s="320">
        <v>3.2085</v>
      </c>
      <c r="Q855" s="320">
        <v>62.91</v>
      </c>
      <c r="R855" s="320">
        <v>52.72</v>
      </c>
      <c r="S855" s="320">
        <v>10.19</v>
      </c>
      <c r="T855" s="320">
        <v>16.42</v>
      </c>
      <c r="U855" s="320">
        <v>46.49</v>
      </c>
      <c r="V855" s="320">
        <v>68.87</v>
      </c>
      <c r="W855" s="320">
        <v>4.4084</v>
      </c>
      <c r="X855" s="320">
        <v>26.1</v>
      </c>
      <c r="Y855" s="320">
        <v>84.0</v>
      </c>
      <c r="Z855" s="320">
        <v>193.0</v>
      </c>
      <c r="AA855" s="320">
        <v>789.0</v>
      </c>
      <c r="AB855" s="320">
        <v>49.4685</v>
      </c>
      <c r="AC855" s="320">
        <v>0.4451</v>
      </c>
      <c r="AD855" s="320">
        <v>3.34</v>
      </c>
      <c r="AE855" s="320">
        <v>1.0</v>
      </c>
      <c r="AF855" s="320">
        <v>2.0</v>
      </c>
      <c r="AG855" s="320">
        <v>4.0</v>
      </c>
      <c r="AH855" s="320">
        <v>8.0</v>
      </c>
      <c r="AI855" s="320">
        <v>63.53</v>
      </c>
      <c r="AJ855" s="320">
        <v>22.77</v>
      </c>
      <c r="AK855" s="320">
        <v>6.25</v>
      </c>
      <c r="AL855" s="320">
        <v>0.2286</v>
      </c>
      <c r="AM855" s="320">
        <v>20.19</v>
      </c>
      <c r="AN855" s="320">
        <v>32.52</v>
      </c>
      <c r="AO855" s="320">
        <v>67.89</v>
      </c>
      <c r="AP855" s="320">
        <v>13.71</v>
      </c>
    </row>
    <row r="856">
      <c r="A856" s="319" t="s">
        <v>258</v>
      </c>
      <c r="B856" s="328">
        <v>46072.0</v>
      </c>
      <c r="C856" s="319" t="s">
        <v>215</v>
      </c>
      <c r="D856" s="320">
        <v>15944.0</v>
      </c>
      <c r="E856" s="320">
        <v>20.31</v>
      </c>
      <c r="F856" s="320">
        <v>16295.37</v>
      </c>
      <c r="G856" s="320">
        <v>1.022</v>
      </c>
      <c r="H856" s="320">
        <v>20.56</v>
      </c>
      <c r="I856" s="320">
        <v>4.9711</v>
      </c>
      <c r="J856" s="320">
        <v>54.53</v>
      </c>
      <c r="K856" s="320">
        <v>30.87</v>
      </c>
      <c r="L856" s="320">
        <v>12.72</v>
      </c>
      <c r="M856" s="320">
        <v>0.4119</v>
      </c>
      <c r="N856" s="320">
        <v>0.6547</v>
      </c>
      <c r="O856" s="320">
        <v>0.3709</v>
      </c>
      <c r="P856" s="320">
        <v>2.4278</v>
      </c>
      <c r="Q856" s="320">
        <v>162.55</v>
      </c>
      <c r="R856" s="320">
        <v>136.44</v>
      </c>
      <c r="S856" s="320">
        <v>26.11</v>
      </c>
      <c r="T856" s="320">
        <v>69.31</v>
      </c>
      <c r="U856" s="320">
        <v>93.24</v>
      </c>
      <c r="V856" s="320">
        <v>171.07</v>
      </c>
      <c r="W856" s="320">
        <v>5.5412</v>
      </c>
      <c r="X856" s="320">
        <v>42.64</v>
      </c>
      <c r="Y856" s="320">
        <v>85.0</v>
      </c>
      <c r="Z856" s="320">
        <v>192.0</v>
      </c>
      <c r="AA856" s="320">
        <v>702.0</v>
      </c>
      <c r="AB856" s="320">
        <v>52.4579</v>
      </c>
      <c r="AC856" s="320">
        <v>0.5466</v>
      </c>
      <c r="AD856" s="320">
        <v>8.2</v>
      </c>
      <c r="AE856" s="320">
        <v>2.0</v>
      </c>
      <c r="AF856" s="320">
        <v>6.0</v>
      </c>
      <c r="AG856" s="320">
        <v>12.0</v>
      </c>
      <c r="AH856" s="320">
        <v>18.0</v>
      </c>
      <c r="AI856" s="320">
        <v>50.06</v>
      </c>
      <c r="AJ856" s="320">
        <v>22.18</v>
      </c>
      <c r="AK856" s="320">
        <v>4.32</v>
      </c>
      <c r="AL856" s="320">
        <v>0.1902</v>
      </c>
      <c r="AM856" s="320">
        <v>20.82</v>
      </c>
      <c r="AN856" s="320">
        <v>115.62</v>
      </c>
      <c r="AO856" s="320">
        <v>74.14</v>
      </c>
      <c r="AP856" s="320">
        <v>15.44</v>
      </c>
    </row>
    <row r="857">
      <c r="A857" s="319" t="s">
        <v>258</v>
      </c>
      <c r="B857" s="328">
        <v>46072.0</v>
      </c>
      <c r="C857" s="319" t="s">
        <v>216</v>
      </c>
      <c r="D857" s="320">
        <v>8558.0</v>
      </c>
      <c r="E857" s="320">
        <v>10.9</v>
      </c>
      <c r="F857" s="320">
        <v>20224.3</v>
      </c>
      <c r="G857" s="320">
        <v>2.3632</v>
      </c>
      <c r="H857" s="320">
        <v>31.07</v>
      </c>
      <c r="I857" s="320">
        <v>7.606</v>
      </c>
      <c r="J857" s="320">
        <v>76.38</v>
      </c>
      <c r="K857" s="320">
        <v>45.57</v>
      </c>
      <c r="L857" s="320">
        <v>23.09</v>
      </c>
      <c r="M857" s="320">
        <v>0.5068</v>
      </c>
      <c r="N857" s="320">
        <v>0.5671</v>
      </c>
      <c r="O857" s="320">
        <v>0.3113</v>
      </c>
      <c r="P857" s="320">
        <v>1.973</v>
      </c>
      <c r="Q857" s="320">
        <v>304.96</v>
      </c>
      <c r="R857" s="320">
        <v>256.62</v>
      </c>
      <c r="S857" s="320">
        <v>48.34</v>
      </c>
      <c r="T857" s="320">
        <v>153.15</v>
      </c>
      <c r="U857" s="320">
        <v>151.81</v>
      </c>
      <c r="V857" s="320">
        <v>313.47</v>
      </c>
      <c r="W857" s="320">
        <v>6.8794</v>
      </c>
      <c r="X857" s="320">
        <v>50.22</v>
      </c>
      <c r="Y857" s="320">
        <v>86.0</v>
      </c>
      <c r="Z857" s="320">
        <v>207.0</v>
      </c>
      <c r="AA857" s="320">
        <v>693.0</v>
      </c>
      <c r="AB857" s="320">
        <v>54.4619</v>
      </c>
      <c r="AC857" s="320">
        <v>0.6391</v>
      </c>
      <c r="AD857" s="320">
        <v>15.17</v>
      </c>
      <c r="AE857" s="320">
        <v>4.0</v>
      </c>
      <c r="AF857" s="320">
        <v>11.0</v>
      </c>
      <c r="AG857" s="320">
        <v>21.0</v>
      </c>
      <c r="AH857" s="320">
        <v>34.0</v>
      </c>
      <c r="AI857" s="320">
        <v>49.44</v>
      </c>
      <c r="AJ857" s="320">
        <v>18.74</v>
      </c>
      <c r="AK857" s="320">
        <v>5.4</v>
      </c>
      <c r="AL857" s="320">
        <v>0.1886</v>
      </c>
      <c r="AM857" s="320">
        <v>19.69</v>
      </c>
      <c r="AN857" s="320">
        <v>236.93</v>
      </c>
      <c r="AO857" s="320">
        <v>75.48</v>
      </c>
      <c r="AP857" s="320">
        <v>14.86</v>
      </c>
    </row>
    <row r="858">
      <c r="A858" s="319" t="s">
        <v>258</v>
      </c>
      <c r="B858" s="328">
        <v>46072.0</v>
      </c>
      <c r="C858" s="319" t="s">
        <v>217</v>
      </c>
      <c r="D858" s="320">
        <v>3106.0</v>
      </c>
      <c r="E858" s="320">
        <v>3.96</v>
      </c>
      <c r="F858" s="320">
        <v>17152.54</v>
      </c>
      <c r="G858" s="320">
        <v>5.5224</v>
      </c>
      <c r="H858" s="320">
        <v>40.99</v>
      </c>
      <c r="I858" s="320">
        <v>13.4741</v>
      </c>
      <c r="J858" s="320">
        <v>116.23</v>
      </c>
      <c r="K858" s="320">
        <v>72.72</v>
      </c>
      <c r="L858" s="320">
        <v>48.4</v>
      </c>
      <c r="M858" s="320">
        <v>0.6655</v>
      </c>
      <c r="N858" s="320">
        <v>0.4247</v>
      </c>
      <c r="O858" s="320">
        <v>0.2395</v>
      </c>
      <c r="P858" s="320">
        <v>1.5025</v>
      </c>
      <c r="Q858" s="320">
        <v>630.46</v>
      </c>
      <c r="R858" s="320">
        <v>528.34</v>
      </c>
      <c r="S858" s="320">
        <v>102.12</v>
      </c>
      <c r="T858" s="320">
        <v>341.27</v>
      </c>
      <c r="U858" s="320">
        <v>289.19</v>
      </c>
      <c r="V858" s="320">
        <v>646.76</v>
      </c>
      <c r="W858" s="320">
        <v>8.8934</v>
      </c>
      <c r="X858" s="320">
        <v>54.13</v>
      </c>
      <c r="Y858" s="320">
        <v>101.0</v>
      </c>
      <c r="Z858" s="320">
        <v>365.0</v>
      </c>
      <c r="AA858" s="320">
        <v>1171.0</v>
      </c>
      <c r="AB858" s="320">
        <v>57.5963</v>
      </c>
      <c r="AC858" s="320">
        <v>0.7496</v>
      </c>
      <c r="AD858" s="320">
        <v>32.49</v>
      </c>
      <c r="AE858" s="320">
        <v>10.0</v>
      </c>
      <c r="AF858" s="320">
        <v>24.0</v>
      </c>
      <c r="AG858" s="320">
        <v>46.0</v>
      </c>
      <c r="AH858" s="320">
        <v>73.0</v>
      </c>
      <c r="AI858" s="320">
        <v>45.72</v>
      </c>
      <c r="AJ858" s="320">
        <v>15.78</v>
      </c>
      <c r="AK858" s="320">
        <v>3.64</v>
      </c>
      <c r="AL858" s="320">
        <v>0.1806</v>
      </c>
      <c r="AM858" s="320">
        <v>19.75</v>
      </c>
      <c r="AN858" s="320">
        <v>508.59</v>
      </c>
      <c r="AO858" s="320">
        <v>74.63</v>
      </c>
      <c r="AP858" s="320">
        <v>14.74</v>
      </c>
    </row>
    <row r="859">
      <c r="A859" s="319" t="s">
        <v>258</v>
      </c>
      <c r="B859" s="328">
        <v>46072.0</v>
      </c>
      <c r="C859" s="319" t="s">
        <v>218</v>
      </c>
      <c r="D859" s="320">
        <v>342.0</v>
      </c>
      <c r="E859" s="320">
        <v>0.44</v>
      </c>
      <c r="F859" s="320">
        <v>3929.67</v>
      </c>
      <c r="G859" s="320">
        <v>11.4903</v>
      </c>
      <c r="H859" s="320">
        <v>45.61</v>
      </c>
      <c r="I859" s="320">
        <v>25.1902</v>
      </c>
      <c r="J859" s="320">
        <v>209.18</v>
      </c>
      <c r="K859" s="320">
        <v>137.49</v>
      </c>
      <c r="L859" s="320">
        <v>113.32</v>
      </c>
      <c r="M859" s="320">
        <v>0.8242</v>
      </c>
      <c r="N859" s="320">
        <v>0.2791</v>
      </c>
      <c r="O859" s="320">
        <v>0.1792</v>
      </c>
      <c r="P859" s="320">
        <v>1.2132</v>
      </c>
      <c r="Q859" s="320">
        <v>1304.39</v>
      </c>
      <c r="R859" s="320">
        <v>1065.32</v>
      </c>
      <c r="S859" s="320">
        <v>239.06</v>
      </c>
      <c r="T859" s="320">
        <v>734.34</v>
      </c>
      <c r="U859" s="320">
        <v>570.05</v>
      </c>
      <c r="V859" s="320">
        <v>1373.1</v>
      </c>
      <c r="W859" s="320">
        <v>9.987</v>
      </c>
      <c r="X859" s="320">
        <v>56.3</v>
      </c>
      <c r="Y859" s="320">
        <v>125.0</v>
      </c>
      <c r="Z859" s="320">
        <v>584.0</v>
      </c>
      <c r="AA859" s="320">
        <v>2201.0</v>
      </c>
      <c r="AB859" s="320">
        <v>61.7641</v>
      </c>
      <c r="AC859" s="320">
        <v>0.8542</v>
      </c>
      <c r="AD859" s="320">
        <v>77.97</v>
      </c>
      <c r="AE859" s="320">
        <v>30.0</v>
      </c>
      <c r="AF859" s="320">
        <v>62.0</v>
      </c>
      <c r="AG859" s="320">
        <v>111.0</v>
      </c>
      <c r="AH859" s="320">
        <v>165.0</v>
      </c>
      <c r="AI859" s="320">
        <v>38.01</v>
      </c>
      <c r="AJ859" s="320">
        <v>8.48</v>
      </c>
      <c r="AK859" s="320">
        <v>0.88</v>
      </c>
      <c r="AL859" s="320">
        <v>0.1462</v>
      </c>
      <c r="AM859" s="320">
        <v>21.54</v>
      </c>
      <c r="AN859" s="320">
        <v>1043.79</v>
      </c>
      <c r="AO859" s="320">
        <v>72.68</v>
      </c>
      <c r="AP859" s="320">
        <v>15.66</v>
      </c>
    </row>
    <row r="860">
      <c r="A860" s="319" t="s">
        <v>258</v>
      </c>
      <c r="B860" s="328">
        <v>46073.0</v>
      </c>
      <c r="C860" s="319" t="s">
        <v>257</v>
      </c>
      <c r="D860" s="320">
        <v>15497.0</v>
      </c>
      <c r="E860" s="320">
        <v>20.03</v>
      </c>
      <c r="F860" s="320">
        <v>214.74</v>
      </c>
      <c r="G860" s="320">
        <v>0.0139</v>
      </c>
      <c r="H860" s="320">
        <v>0.37</v>
      </c>
      <c r="I860" s="320">
        <v>3.7024</v>
      </c>
      <c r="J860" s="320">
        <v>5.84</v>
      </c>
      <c r="K860" s="320">
        <v>2.58</v>
      </c>
      <c r="L860" s="320">
        <v>0.04</v>
      </c>
      <c r="M860" s="320">
        <v>0.0159</v>
      </c>
      <c r="N860" s="320">
        <v>0.9846</v>
      </c>
      <c r="O860" s="320">
        <v>0.7934</v>
      </c>
      <c r="P860" s="320">
        <v>63.0536</v>
      </c>
      <c r="Q860" s="320">
        <v>29.6</v>
      </c>
      <c r="R860" s="320">
        <v>29.51</v>
      </c>
      <c r="S860" s="320">
        <v>0.09</v>
      </c>
      <c r="T860" s="320">
        <v>1.02</v>
      </c>
      <c r="U860" s="320">
        <v>28.58</v>
      </c>
      <c r="V860" s="320">
        <v>1.89</v>
      </c>
      <c r="W860" s="320">
        <v>0.7342</v>
      </c>
      <c r="X860" s="320">
        <v>3.45</v>
      </c>
      <c r="Y860" s="320">
        <v>170.0</v>
      </c>
      <c r="Z860" s="320">
        <v>1167.0</v>
      </c>
      <c r="AA860" s="320">
        <v>7430.0</v>
      </c>
      <c r="AB860" s="320">
        <v>49.6573</v>
      </c>
      <c r="AC860" s="320">
        <v>0.5207</v>
      </c>
      <c r="AD860" s="329"/>
      <c r="AE860" s="329"/>
      <c r="AF860" s="329"/>
      <c r="AG860" s="329"/>
      <c r="AH860" s="329"/>
      <c r="AI860" s="320">
        <v>0.0</v>
      </c>
      <c r="AJ860" s="320">
        <v>0.0</v>
      </c>
      <c r="AK860" s="320">
        <v>0.0</v>
      </c>
      <c r="AL860" s="320">
        <v>0.303</v>
      </c>
      <c r="AM860" s="320">
        <v>16.74</v>
      </c>
      <c r="AN860" s="320">
        <v>12.77</v>
      </c>
      <c r="AO860" s="329"/>
      <c r="AP860" s="329"/>
    </row>
    <row r="861">
      <c r="A861" s="319" t="s">
        <v>258</v>
      </c>
      <c r="B861" s="328">
        <v>46073.0</v>
      </c>
      <c r="C861" s="319" t="s">
        <v>214</v>
      </c>
      <c r="D861" s="320">
        <v>33600.0</v>
      </c>
      <c r="E861" s="320">
        <v>43.44</v>
      </c>
      <c r="F861" s="320">
        <v>8440.77</v>
      </c>
      <c r="G861" s="320">
        <v>0.2512</v>
      </c>
      <c r="H861" s="320">
        <v>7.05</v>
      </c>
      <c r="I861" s="320">
        <v>3.5615</v>
      </c>
      <c r="J861" s="320">
        <v>33.4</v>
      </c>
      <c r="K861" s="320">
        <v>18.07</v>
      </c>
      <c r="L861" s="320">
        <v>5.54</v>
      </c>
      <c r="M861" s="320">
        <v>0.3066</v>
      </c>
      <c r="N861" s="320">
        <v>0.763</v>
      </c>
      <c r="O861" s="320">
        <v>0.5156</v>
      </c>
      <c r="P861" s="320">
        <v>3.2613</v>
      </c>
      <c r="Q861" s="320">
        <v>87.02</v>
      </c>
      <c r="R861" s="320">
        <v>75.4</v>
      </c>
      <c r="S861" s="320">
        <v>11.62</v>
      </c>
      <c r="T861" s="320">
        <v>17.79</v>
      </c>
      <c r="U861" s="320">
        <v>69.23</v>
      </c>
      <c r="V861" s="320">
        <v>82.85</v>
      </c>
      <c r="W861" s="320">
        <v>4.5843</v>
      </c>
      <c r="X861" s="320">
        <v>20.44</v>
      </c>
      <c r="Y861" s="320">
        <v>88.0</v>
      </c>
      <c r="Z861" s="320">
        <v>209.0</v>
      </c>
      <c r="AA861" s="320">
        <v>786.0</v>
      </c>
      <c r="AB861" s="320">
        <v>49.3735</v>
      </c>
      <c r="AC861" s="320">
        <v>0.443</v>
      </c>
      <c r="AD861" s="320">
        <v>3.65</v>
      </c>
      <c r="AE861" s="320">
        <v>1.0</v>
      </c>
      <c r="AF861" s="320">
        <v>2.0</v>
      </c>
      <c r="AG861" s="320">
        <v>5.0</v>
      </c>
      <c r="AH861" s="320">
        <v>8.0</v>
      </c>
      <c r="AI861" s="320">
        <v>68.72</v>
      </c>
      <c r="AJ861" s="320">
        <v>26.29</v>
      </c>
      <c r="AK861" s="320">
        <v>7.2</v>
      </c>
      <c r="AL861" s="320">
        <v>0.2349</v>
      </c>
      <c r="AM861" s="320">
        <v>21.03</v>
      </c>
      <c r="AN861" s="320">
        <v>54.37</v>
      </c>
      <c r="AO861" s="320">
        <v>67.91</v>
      </c>
      <c r="AP861" s="320">
        <v>14.28</v>
      </c>
    </row>
    <row r="862">
      <c r="A862" s="319" t="s">
        <v>258</v>
      </c>
      <c r="B862" s="328">
        <v>46073.0</v>
      </c>
      <c r="C862" s="319" t="s">
        <v>215</v>
      </c>
      <c r="D862" s="320">
        <v>16230.0</v>
      </c>
      <c r="E862" s="320">
        <v>20.98</v>
      </c>
      <c r="F862" s="320">
        <v>17096.51</v>
      </c>
      <c r="G862" s="320">
        <v>1.0534</v>
      </c>
      <c r="H862" s="320">
        <v>21.45</v>
      </c>
      <c r="I862" s="320">
        <v>4.91</v>
      </c>
      <c r="J862" s="320">
        <v>61.61</v>
      </c>
      <c r="K862" s="320">
        <v>35.31</v>
      </c>
      <c r="L862" s="320">
        <v>13.79</v>
      </c>
      <c r="M862" s="320">
        <v>0.3906</v>
      </c>
      <c r="N862" s="320">
        <v>0.6718</v>
      </c>
      <c r="O862" s="320">
        <v>0.3876</v>
      </c>
      <c r="P862" s="320">
        <v>2.56</v>
      </c>
      <c r="Q862" s="320">
        <v>185.5</v>
      </c>
      <c r="R862" s="320">
        <v>156.69</v>
      </c>
      <c r="S862" s="320">
        <v>28.81</v>
      </c>
      <c r="T862" s="320">
        <v>71.17</v>
      </c>
      <c r="U862" s="320">
        <v>114.33</v>
      </c>
      <c r="V862" s="320">
        <v>185.55</v>
      </c>
      <c r="W862" s="320">
        <v>5.2546</v>
      </c>
      <c r="X862" s="320">
        <v>38.37</v>
      </c>
      <c r="Y862" s="320">
        <v>86.0</v>
      </c>
      <c r="Z862" s="320">
        <v>199.0</v>
      </c>
      <c r="AA862" s="320">
        <v>651.0</v>
      </c>
      <c r="AB862" s="320">
        <v>52.2838</v>
      </c>
      <c r="AC862" s="320">
        <v>0.5431</v>
      </c>
      <c r="AD862" s="320">
        <v>8.62</v>
      </c>
      <c r="AE862" s="320">
        <v>3.0</v>
      </c>
      <c r="AF862" s="320">
        <v>6.0</v>
      </c>
      <c r="AG862" s="320">
        <v>12.0</v>
      </c>
      <c r="AH862" s="320">
        <v>19.0</v>
      </c>
      <c r="AI862" s="320">
        <v>54.12</v>
      </c>
      <c r="AJ862" s="320">
        <v>23.46</v>
      </c>
      <c r="AK862" s="320">
        <v>4.1</v>
      </c>
      <c r="AL862" s="320">
        <v>0.202</v>
      </c>
      <c r="AM862" s="320">
        <v>21.57</v>
      </c>
      <c r="AN862" s="320">
        <v>135.12</v>
      </c>
      <c r="AO862" s="320">
        <v>74.17</v>
      </c>
      <c r="AP862" s="320">
        <v>16.0</v>
      </c>
    </row>
    <row r="863">
      <c r="A863" s="319" t="s">
        <v>258</v>
      </c>
      <c r="B863" s="328">
        <v>46073.0</v>
      </c>
      <c r="C863" s="319" t="s">
        <v>216</v>
      </c>
      <c r="D863" s="320">
        <v>8590.0</v>
      </c>
      <c r="E863" s="320">
        <v>11.1</v>
      </c>
      <c r="F863" s="320">
        <v>21989.4</v>
      </c>
      <c r="G863" s="320">
        <v>2.5599</v>
      </c>
      <c r="H863" s="320">
        <v>33.04</v>
      </c>
      <c r="I863" s="320">
        <v>7.7482</v>
      </c>
      <c r="J863" s="320">
        <v>86.61</v>
      </c>
      <c r="K863" s="320">
        <v>51.43</v>
      </c>
      <c r="L863" s="320">
        <v>25.37</v>
      </c>
      <c r="M863" s="320">
        <v>0.4933</v>
      </c>
      <c r="N863" s="320">
        <v>0.577</v>
      </c>
      <c r="O863" s="320">
        <v>0.3183</v>
      </c>
      <c r="P863" s="320">
        <v>2.0273</v>
      </c>
      <c r="Q863" s="320">
        <v>329.17</v>
      </c>
      <c r="R863" s="320">
        <v>275.65</v>
      </c>
      <c r="S863" s="320">
        <v>53.52</v>
      </c>
      <c r="T863" s="320">
        <v>165.3</v>
      </c>
      <c r="U863" s="320">
        <v>163.86</v>
      </c>
      <c r="V863" s="320">
        <v>335.26</v>
      </c>
      <c r="W863" s="320">
        <v>6.5183</v>
      </c>
      <c r="X863" s="320">
        <v>50.22</v>
      </c>
      <c r="Y863" s="320">
        <v>86.0</v>
      </c>
      <c r="Z863" s="320">
        <v>207.0</v>
      </c>
      <c r="AA863" s="320">
        <v>692.0</v>
      </c>
      <c r="AB863" s="320">
        <v>54.4177</v>
      </c>
      <c r="AC863" s="320">
        <v>0.6344</v>
      </c>
      <c r="AD863" s="320">
        <v>15.97</v>
      </c>
      <c r="AE863" s="320">
        <v>5.0</v>
      </c>
      <c r="AF863" s="320">
        <v>12.0</v>
      </c>
      <c r="AG863" s="320">
        <v>22.0</v>
      </c>
      <c r="AH863" s="320">
        <v>35.0</v>
      </c>
      <c r="AI863" s="320">
        <v>52.9</v>
      </c>
      <c r="AJ863" s="320">
        <v>20.23</v>
      </c>
      <c r="AK863" s="320">
        <v>6.07</v>
      </c>
      <c r="AL863" s="320">
        <v>0.1988</v>
      </c>
      <c r="AM863" s="320">
        <v>21.57</v>
      </c>
      <c r="AN863" s="320">
        <v>254.08</v>
      </c>
      <c r="AO863" s="320">
        <v>75.65</v>
      </c>
      <c r="AP863" s="320">
        <v>16.32</v>
      </c>
    </row>
    <row r="864">
      <c r="A864" s="319" t="s">
        <v>258</v>
      </c>
      <c r="B864" s="328">
        <v>46073.0</v>
      </c>
      <c r="C864" s="319" t="s">
        <v>217</v>
      </c>
      <c r="D864" s="320">
        <v>3105.0</v>
      </c>
      <c r="E864" s="320">
        <v>4.01</v>
      </c>
      <c r="F864" s="320">
        <v>20145.18</v>
      </c>
      <c r="G864" s="320">
        <v>6.488</v>
      </c>
      <c r="H864" s="320">
        <v>43.29</v>
      </c>
      <c r="I864" s="320">
        <v>14.989</v>
      </c>
      <c r="J864" s="320">
        <v>131.35</v>
      </c>
      <c r="K864" s="320">
        <v>80.99</v>
      </c>
      <c r="L864" s="320">
        <v>52.95</v>
      </c>
      <c r="M864" s="320">
        <v>0.6538</v>
      </c>
      <c r="N864" s="320">
        <v>0.4365</v>
      </c>
      <c r="O864" s="320">
        <v>0.2471</v>
      </c>
      <c r="P864" s="320">
        <v>1.5295</v>
      </c>
      <c r="Q864" s="320">
        <v>674.5</v>
      </c>
      <c r="R864" s="320">
        <v>562.27</v>
      </c>
      <c r="S864" s="320">
        <v>112.23</v>
      </c>
      <c r="T864" s="320">
        <v>409.79</v>
      </c>
      <c r="U864" s="320">
        <v>264.72</v>
      </c>
      <c r="V864" s="320">
        <v>712.06</v>
      </c>
      <c r="W864" s="320">
        <v>8.7916</v>
      </c>
      <c r="X864" s="320">
        <v>60.75</v>
      </c>
      <c r="Y864" s="320">
        <v>97.0</v>
      </c>
      <c r="Z864" s="320">
        <v>331.0</v>
      </c>
      <c r="AA864" s="320">
        <v>1147.0</v>
      </c>
      <c r="AB864" s="320">
        <v>57.4494</v>
      </c>
      <c r="AC864" s="320">
        <v>0.7459</v>
      </c>
      <c r="AD864" s="320">
        <v>34.73</v>
      </c>
      <c r="AE864" s="320">
        <v>11.0</v>
      </c>
      <c r="AF864" s="320">
        <v>25.0</v>
      </c>
      <c r="AG864" s="320">
        <v>48.0</v>
      </c>
      <c r="AH864" s="320">
        <v>75.0</v>
      </c>
      <c r="AI864" s="320">
        <v>46.51</v>
      </c>
      <c r="AJ864" s="320">
        <v>17.42</v>
      </c>
      <c r="AK864" s="320">
        <v>4.41</v>
      </c>
      <c r="AL864" s="320">
        <v>0.1874</v>
      </c>
      <c r="AM864" s="320">
        <v>21.3</v>
      </c>
      <c r="AN864" s="320">
        <v>540.97</v>
      </c>
      <c r="AO864" s="320">
        <v>75.19</v>
      </c>
      <c r="AP864" s="320">
        <v>16.02</v>
      </c>
    </row>
    <row r="865">
      <c r="A865" s="319" t="s">
        <v>258</v>
      </c>
      <c r="B865" s="328">
        <v>46073.0</v>
      </c>
      <c r="C865" s="319" t="s">
        <v>218</v>
      </c>
      <c r="D865" s="320">
        <v>333.0</v>
      </c>
      <c r="E865" s="320">
        <v>0.43</v>
      </c>
      <c r="F865" s="320">
        <v>4463.0</v>
      </c>
      <c r="G865" s="320">
        <v>13.4024</v>
      </c>
      <c r="H865" s="320">
        <v>49.55</v>
      </c>
      <c r="I865" s="320">
        <v>27.0485</v>
      </c>
      <c r="J865" s="320">
        <v>243.64</v>
      </c>
      <c r="K865" s="320">
        <v>155.66</v>
      </c>
      <c r="L865" s="320">
        <v>126.02</v>
      </c>
      <c r="M865" s="320">
        <v>0.8095</v>
      </c>
      <c r="N865" s="320">
        <v>0.2845</v>
      </c>
      <c r="O865" s="320">
        <v>0.1738</v>
      </c>
      <c r="P865" s="320">
        <v>1.2353</v>
      </c>
      <c r="Q865" s="320">
        <v>1373.61</v>
      </c>
      <c r="R865" s="320">
        <v>1107.78</v>
      </c>
      <c r="S865" s="320">
        <v>265.83</v>
      </c>
      <c r="T865" s="320">
        <v>838.62</v>
      </c>
      <c r="U865" s="320">
        <v>534.99</v>
      </c>
      <c r="V865" s="320">
        <v>1468.02</v>
      </c>
      <c r="W865" s="320">
        <v>9.4307</v>
      </c>
      <c r="X865" s="320">
        <v>61.05</v>
      </c>
      <c r="Y865" s="320">
        <v>151.0</v>
      </c>
      <c r="Z865" s="320">
        <v>733.0</v>
      </c>
      <c r="AA865" s="320">
        <v>2937.0</v>
      </c>
      <c r="AB865" s="320">
        <v>61.3224</v>
      </c>
      <c r="AC865" s="320">
        <v>0.8441</v>
      </c>
      <c r="AD865" s="320">
        <v>83.68</v>
      </c>
      <c r="AE865" s="320">
        <v>26.0</v>
      </c>
      <c r="AF865" s="320">
        <v>64.0</v>
      </c>
      <c r="AG865" s="320">
        <v>125.0</v>
      </c>
      <c r="AH865" s="320">
        <v>186.0</v>
      </c>
      <c r="AI865" s="320">
        <v>42.64</v>
      </c>
      <c r="AJ865" s="320">
        <v>11.11</v>
      </c>
      <c r="AK865" s="320">
        <v>1.8</v>
      </c>
      <c r="AL865" s="320">
        <v>0.1502</v>
      </c>
      <c r="AM865" s="320">
        <v>23.09</v>
      </c>
      <c r="AN865" s="320">
        <v>1084.69</v>
      </c>
      <c r="AO865" s="320">
        <v>71.26</v>
      </c>
      <c r="AP865" s="320">
        <v>16.45</v>
      </c>
    </row>
    <row r="866">
      <c r="A866" s="319" t="s">
        <v>258</v>
      </c>
      <c r="B866" s="328">
        <v>46074.0</v>
      </c>
      <c r="C866" s="319" t="s">
        <v>257</v>
      </c>
      <c r="D866" s="320">
        <v>16281.0</v>
      </c>
      <c r="E866" s="320">
        <v>21.21</v>
      </c>
      <c r="F866" s="320">
        <v>278.76</v>
      </c>
      <c r="G866" s="320">
        <v>0.0171</v>
      </c>
      <c r="H866" s="320">
        <v>0.3</v>
      </c>
      <c r="I866" s="320">
        <v>5.689</v>
      </c>
      <c r="J866" s="320">
        <v>6.3</v>
      </c>
      <c r="K866" s="320">
        <v>2.87</v>
      </c>
      <c r="L866" s="320">
        <v>0.06</v>
      </c>
      <c r="M866" s="320">
        <v>0.0214</v>
      </c>
      <c r="N866" s="320">
        <v>0.9806</v>
      </c>
      <c r="O866" s="320">
        <v>0.7721</v>
      </c>
      <c r="P866" s="320">
        <v>46.6397</v>
      </c>
      <c r="Q866" s="320">
        <v>26.31</v>
      </c>
      <c r="R866" s="320">
        <v>26.26</v>
      </c>
      <c r="S866" s="320">
        <v>0.05</v>
      </c>
      <c r="T866" s="320">
        <v>1.18</v>
      </c>
      <c r="U866" s="320">
        <v>25.13</v>
      </c>
      <c r="V866" s="320">
        <v>2.77</v>
      </c>
      <c r="W866" s="320">
        <v>0.964</v>
      </c>
      <c r="X866" s="320">
        <v>4.49</v>
      </c>
      <c r="Y866" s="320">
        <v>145.0</v>
      </c>
      <c r="Z866" s="320">
        <v>950.0</v>
      </c>
      <c r="AA866" s="320">
        <v>6718.0</v>
      </c>
      <c r="AB866" s="320">
        <v>49.6524</v>
      </c>
      <c r="AC866" s="320">
        <v>0.5058</v>
      </c>
      <c r="AD866" s="329"/>
      <c r="AE866" s="329"/>
      <c r="AF866" s="329"/>
      <c r="AG866" s="329"/>
      <c r="AH866" s="329"/>
      <c r="AI866" s="320">
        <v>0.0</v>
      </c>
      <c r="AJ866" s="320">
        <v>0.0</v>
      </c>
      <c r="AK866" s="320">
        <v>0.0</v>
      </c>
      <c r="AL866" s="320">
        <v>0.2832</v>
      </c>
      <c r="AM866" s="320">
        <v>17.25</v>
      </c>
      <c r="AN866" s="320">
        <v>9.0</v>
      </c>
      <c r="AO866" s="329"/>
      <c r="AP866" s="329"/>
    </row>
    <row r="867">
      <c r="A867" s="319" t="s">
        <v>258</v>
      </c>
      <c r="B867" s="328">
        <v>46074.0</v>
      </c>
      <c r="C867" s="319" t="s">
        <v>214</v>
      </c>
      <c r="D867" s="320">
        <v>32692.0</v>
      </c>
      <c r="E867" s="320">
        <v>42.6</v>
      </c>
      <c r="F867" s="320">
        <v>8372.41</v>
      </c>
      <c r="G867" s="320">
        <v>0.2561</v>
      </c>
      <c r="H867" s="320">
        <v>7.2</v>
      </c>
      <c r="I867" s="320">
        <v>3.5582</v>
      </c>
      <c r="J867" s="320">
        <v>31.52</v>
      </c>
      <c r="K867" s="320">
        <v>16.99</v>
      </c>
      <c r="L867" s="320">
        <v>5.34</v>
      </c>
      <c r="M867" s="320">
        <v>0.3144</v>
      </c>
      <c r="N867" s="320">
        <v>0.7578</v>
      </c>
      <c r="O867" s="320">
        <v>0.5166</v>
      </c>
      <c r="P867" s="320">
        <v>3.1807</v>
      </c>
      <c r="Q867" s="320">
        <v>74.83</v>
      </c>
      <c r="R867" s="320">
        <v>63.71</v>
      </c>
      <c r="S867" s="320">
        <v>11.12</v>
      </c>
      <c r="T867" s="320">
        <v>18.69</v>
      </c>
      <c r="U867" s="320">
        <v>56.13</v>
      </c>
      <c r="V867" s="320">
        <v>79.92</v>
      </c>
      <c r="W867" s="320">
        <v>4.7049</v>
      </c>
      <c r="X867" s="320">
        <v>24.98</v>
      </c>
      <c r="Y867" s="320">
        <v>86.0</v>
      </c>
      <c r="Z867" s="320">
        <v>208.0</v>
      </c>
      <c r="AA867" s="320">
        <v>842.0</v>
      </c>
      <c r="AB867" s="320">
        <v>49.413</v>
      </c>
      <c r="AC867" s="320">
        <v>0.449</v>
      </c>
      <c r="AD867" s="320">
        <v>3.57</v>
      </c>
      <c r="AE867" s="320">
        <v>1.0</v>
      </c>
      <c r="AF867" s="320">
        <v>2.0</v>
      </c>
      <c r="AG867" s="320">
        <v>5.0</v>
      </c>
      <c r="AH867" s="320">
        <v>8.0</v>
      </c>
      <c r="AI867" s="320">
        <v>66.45</v>
      </c>
      <c r="AJ867" s="320">
        <v>25.17</v>
      </c>
      <c r="AK867" s="320">
        <v>7.2</v>
      </c>
      <c r="AL867" s="320">
        <v>0.2208</v>
      </c>
      <c r="AM867" s="320">
        <v>22.56</v>
      </c>
      <c r="AN867" s="320">
        <v>41.15</v>
      </c>
      <c r="AO867" s="320">
        <v>67.84</v>
      </c>
      <c r="AP867" s="320">
        <v>15.3</v>
      </c>
    </row>
    <row r="868">
      <c r="A868" s="319" t="s">
        <v>258</v>
      </c>
      <c r="B868" s="328">
        <v>46074.0</v>
      </c>
      <c r="C868" s="319" t="s">
        <v>215</v>
      </c>
      <c r="D868" s="320">
        <v>15930.0</v>
      </c>
      <c r="E868" s="320">
        <v>20.76</v>
      </c>
      <c r="F868" s="320">
        <v>16785.4</v>
      </c>
      <c r="G868" s="320">
        <v>1.0537</v>
      </c>
      <c r="H868" s="320">
        <v>21.42</v>
      </c>
      <c r="I868" s="320">
        <v>4.9195</v>
      </c>
      <c r="J868" s="320">
        <v>58.14</v>
      </c>
      <c r="K868" s="320">
        <v>33.19</v>
      </c>
      <c r="L868" s="320">
        <v>13.34</v>
      </c>
      <c r="M868" s="320">
        <v>0.402</v>
      </c>
      <c r="N868" s="320">
        <v>0.6629</v>
      </c>
      <c r="O868" s="320">
        <v>0.382</v>
      </c>
      <c r="P868" s="320">
        <v>2.4877</v>
      </c>
      <c r="Q868" s="320">
        <v>172.15</v>
      </c>
      <c r="R868" s="320">
        <v>144.29</v>
      </c>
      <c r="S868" s="320">
        <v>27.86</v>
      </c>
      <c r="T868" s="320">
        <v>70.63</v>
      </c>
      <c r="U868" s="320">
        <v>101.52</v>
      </c>
      <c r="V868" s="320">
        <v>181.59</v>
      </c>
      <c r="W868" s="320">
        <v>5.4717</v>
      </c>
      <c r="X868" s="320">
        <v>41.03</v>
      </c>
      <c r="Y868" s="320">
        <v>86.0</v>
      </c>
      <c r="Z868" s="320">
        <v>196.0</v>
      </c>
      <c r="AA868" s="320">
        <v>686.0</v>
      </c>
      <c r="AB868" s="320">
        <v>52.2323</v>
      </c>
      <c r="AC868" s="320">
        <v>0.5455</v>
      </c>
      <c r="AD868" s="320">
        <v>8.67</v>
      </c>
      <c r="AE868" s="320">
        <v>2.0</v>
      </c>
      <c r="AF868" s="320">
        <v>6.0</v>
      </c>
      <c r="AG868" s="320">
        <v>12.0</v>
      </c>
      <c r="AH868" s="320">
        <v>19.0</v>
      </c>
      <c r="AI868" s="320">
        <v>53.56</v>
      </c>
      <c r="AJ868" s="320">
        <v>23.95</v>
      </c>
      <c r="AK868" s="320">
        <v>4.31</v>
      </c>
      <c r="AL868" s="320">
        <v>0.1999</v>
      </c>
      <c r="AM868" s="320">
        <v>22.77</v>
      </c>
      <c r="AN868" s="320">
        <v>121.51</v>
      </c>
      <c r="AO868" s="320">
        <v>73.73</v>
      </c>
      <c r="AP868" s="320">
        <v>16.79</v>
      </c>
    </row>
    <row r="869">
      <c r="A869" s="319" t="s">
        <v>258</v>
      </c>
      <c r="B869" s="328">
        <v>46074.0</v>
      </c>
      <c r="C869" s="319" t="s">
        <v>216</v>
      </c>
      <c r="D869" s="320">
        <v>8374.0</v>
      </c>
      <c r="E869" s="320">
        <v>10.91</v>
      </c>
      <c r="F869" s="320">
        <v>23832.04</v>
      </c>
      <c r="G869" s="320">
        <v>2.846</v>
      </c>
      <c r="H869" s="320">
        <v>34.27</v>
      </c>
      <c r="I869" s="320">
        <v>8.3038</v>
      </c>
      <c r="J869" s="320">
        <v>83.82</v>
      </c>
      <c r="K869" s="320">
        <v>49.62</v>
      </c>
      <c r="L869" s="320">
        <v>25.74</v>
      </c>
      <c r="M869" s="320">
        <v>0.5188</v>
      </c>
      <c r="N869" s="320">
        <v>0.5577</v>
      </c>
      <c r="O869" s="320">
        <v>0.3086</v>
      </c>
      <c r="P869" s="320">
        <v>1.9276</v>
      </c>
      <c r="Q869" s="320">
        <v>346.26</v>
      </c>
      <c r="R869" s="320">
        <v>292.08</v>
      </c>
      <c r="S869" s="320">
        <v>54.18</v>
      </c>
      <c r="T869" s="320">
        <v>180.67</v>
      </c>
      <c r="U869" s="320">
        <v>165.59</v>
      </c>
      <c r="V869" s="320">
        <v>364.26</v>
      </c>
      <c r="W869" s="320">
        <v>7.3407</v>
      </c>
      <c r="X869" s="320">
        <v>52.18</v>
      </c>
      <c r="Y869" s="320">
        <v>87.0</v>
      </c>
      <c r="Z869" s="320">
        <v>222.0</v>
      </c>
      <c r="AA869" s="320">
        <v>729.0</v>
      </c>
      <c r="AB869" s="320">
        <v>54.2803</v>
      </c>
      <c r="AC869" s="320">
        <v>0.6403</v>
      </c>
      <c r="AD869" s="320">
        <v>16.91</v>
      </c>
      <c r="AE869" s="320">
        <v>5.0</v>
      </c>
      <c r="AF869" s="320">
        <v>12.0</v>
      </c>
      <c r="AG869" s="320">
        <v>24.0</v>
      </c>
      <c r="AH869" s="320">
        <v>37.0</v>
      </c>
      <c r="AI869" s="320">
        <v>53.89</v>
      </c>
      <c r="AJ869" s="320">
        <v>22.43</v>
      </c>
      <c r="AK869" s="320">
        <v>7.14</v>
      </c>
      <c r="AL869" s="320">
        <v>0.1941</v>
      </c>
      <c r="AM869" s="320">
        <v>22.96</v>
      </c>
      <c r="AN869" s="320">
        <v>269.12</v>
      </c>
      <c r="AO869" s="320">
        <v>74.25</v>
      </c>
      <c r="AP869" s="320">
        <v>17.05</v>
      </c>
    </row>
    <row r="870">
      <c r="A870" s="319" t="s">
        <v>258</v>
      </c>
      <c r="B870" s="328">
        <v>46074.0</v>
      </c>
      <c r="C870" s="319" t="s">
        <v>217</v>
      </c>
      <c r="D870" s="320">
        <v>3103.0</v>
      </c>
      <c r="E870" s="320">
        <v>4.04</v>
      </c>
      <c r="F870" s="320">
        <v>19823.46</v>
      </c>
      <c r="G870" s="320">
        <v>6.3885</v>
      </c>
      <c r="H870" s="320">
        <v>44.51</v>
      </c>
      <c r="I870" s="320">
        <v>14.3544</v>
      </c>
      <c r="J870" s="320">
        <v>127.56</v>
      </c>
      <c r="K870" s="320">
        <v>79.48</v>
      </c>
      <c r="L870" s="320">
        <v>54.13</v>
      </c>
      <c r="M870" s="320">
        <v>0.681</v>
      </c>
      <c r="N870" s="320">
        <v>0.4132</v>
      </c>
      <c r="O870" s="320">
        <v>0.2375</v>
      </c>
      <c r="P870" s="320">
        <v>1.4683</v>
      </c>
      <c r="Q870" s="320">
        <v>712.64</v>
      </c>
      <c r="R870" s="320">
        <v>599.02</v>
      </c>
      <c r="S870" s="320">
        <v>113.61</v>
      </c>
      <c r="T870" s="320">
        <v>405.74</v>
      </c>
      <c r="U870" s="320">
        <v>306.89</v>
      </c>
      <c r="V870" s="320">
        <v>740.27</v>
      </c>
      <c r="W870" s="320">
        <v>9.3137</v>
      </c>
      <c r="X870" s="320">
        <v>56.94</v>
      </c>
      <c r="Y870" s="320">
        <v>100.0</v>
      </c>
      <c r="Z870" s="320">
        <v>320.0</v>
      </c>
      <c r="AA870" s="320">
        <v>1058.0</v>
      </c>
      <c r="AB870" s="320">
        <v>57.5619</v>
      </c>
      <c r="AC870" s="320">
        <v>0.7511</v>
      </c>
      <c r="AD870" s="320">
        <v>36.18</v>
      </c>
      <c r="AE870" s="320">
        <v>11.0</v>
      </c>
      <c r="AF870" s="320">
        <v>27.0</v>
      </c>
      <c r="AG870" s="320">
        <v>51.0</v>
      </c>
      <c r="AH870" s="320">
        <v>79.0</v>
      </c>
      <c r="AI870" s="320">
        <v>49.34</v>
      </c>
      <c r="AJ870" s="320">
        <v>19.34</v>
      </c>
      <c r="AK870" s="320">
        <v>5.12</v>
      </c>
      <c r="AL870" s="320">
        <v>0.195</v>
      </c>
      <c r="AM870" s="320">
        <v>20.86</v>
      </c>
      <c r="AN870" s="320">
        <v>578.16</v>
      </c>
      <c r="AO870" s="320">
        <v>73.18</v>
      </c>
      <c r="AP870" s="320">
        <v>15.27</v>
      </c>
    </row>
    <row r="871">
      <c r="A871" s="319" t="s">
        <v>258</v>
      </c>
      <c r="B871" s="328">
        <v>46074.0</v>
      </c>
      <c r="C871" s="319" t="s">
        <v>218</v>
      </c>
      <c r="D871" s="320">
        <v>365.0</v>
      </c>
      <c r="E871" s="320">
        <v>0.48</v>
      </c>
      <c r="F871" s="320">
        <v>4489.76</v>
      </c>
      <c r="G871" s="320">
        <v>12.3007</v>
      </c>
      <c r="H871" s="320">
        <v>47.67</v>
      </c>
      <c r="I871" s="320">
        <v>25.8032</v>
      </c>
      <c r="J871" s="320">
        <v>235.91</v>
      </c>
      <c r="K871" s="320">
        <v>151.88</v>
      </c>
      <c r="L871" s="320">
        <v>123.71</v>
      </c>
      <c r="M871" s="320">
        <v>0.8145</v>
      </c>
      <c r="N871" s="320">
        <v>0.2812</v>
      </c>
      <c r="O871" s="320">
        <v>0.1784</v>
      </c>
      <c r="P871" s="320">
        <v>1.2277</v>
      </c>
      <c r="Q871" s="320">
        <v>1358.03</v>
      </c>
      <c r="R871" s="320">
        <v>1096.28</v>
      </c>
      <c r="S871" s="320">
        <v>261.75</v>
      </c>
      <c r="T871" s="320">
        <v>775.64</v>
      </c>
      <c r="U871" s="320">
        <v>582.39</v>
      </c>
      <c r="V871" s="320">
        <v>1438.49</v>
      </c>
      <c r="W871" s="320">
        <v>9.4715</v>
      </c>
      <c r="X871" s="320">
        <v>57.12</v>
      </c>
      <c r="Y871" s="320">
        <v>116.0</v>
      </c>
      <c r="Z871" s="320">
        <v>558.0</v>
      </c>
      <c r="AA871" s="320">
        <v>2032.0</v>
      </c>
      <c r="AB871" s="320">
        <v>61.4683</v>
      </c>
      <c r="AC871" s="320">
        <v>0.8477</v>
      </c>
      <c r="AD871" s="320">
        <v>81.19</v>
      </c>
      <c r="AE871" s="320">
        <v>25.0</v>
      </c>
      <c r="AF871" s="320">
        <v>64.0</v>
      </c>
      <c r="AG871" s="320">
        <v>114.0</v>
      </c>
      <c r="AH871" s="320">
        <v>169.0</v>
      </c>
      <c r="AI871" s="320">
        <v>41.64</v>
      </c>
      <c r="AJ871" s="320">
        <v>9.04</v>
      </c>
      <c r="AK871" s="320">
        <v>2.19</v>
      </c>
      <c r="AL871" s="320">
        <v>0.1479</v>
      </c>
      <c r="AM871" s="320">
        <v>20.73</v>
      </c>
      <c r="AN871" s="320">
        <v>1075.55</v>
      </c>
      <c r="AO871" s="320">
        <v>67.67</v>
      </c>
      <c r="AP871" s="320">
        <v>14.03</v>
      </c>
    </row>
    <row r="872">
      <c r="A872" s="319" t="s">
        <v>258</v>
      </c>
      <c r="B872" s="328">
        <v>46075.0</v>
      </c>
      <c r="C872" s="319" t="s">
        <v>257</v>
      </c>
      <c r="D872" s="320">
        <v>16426.0</v>
      </c>
      <c r="E872" s="320">
        <v>21.12</v>
      </c>
      <c r="F872" s="320">
        <v>246.32</v>
      </c>
      <c r="G872" s="320">
        <v>0.015</v>
      </c>
      <c r="H872" s="320">
        <v>0.23</v>
      </c>
      <c r="I872" s="320">
        <v>6.6573</v>
      </c>
      <c r="J872" s="320">
        <v>6.52</v>
      </c>
      <c r="K872" s="320">
        <v>3.04</v>
      </c>
      <c r="L872" s="320">
        <v>0.02</v>
      </c>
      <c r="M872" s="320">
        <v>0.0071</v>
      </c>
      <c r="N872" s="320">
        <v>0.9941</v>
      </c>
      <c r="O872" s="320">
        <v>0.9028</v>
      </c>
      <c r="P872" s="320">
        <v>141.6006</v>
      </c>
      <c r="Q872" s="320">
        <v>23.62</v>
      </c>
      <c r="R872" s="320">
        <v>23.55</v>
      </c>
      <c r="S872" s="320">
        <v>0.06</v>
      </c>
      <c r="T872" s="320">
        <v>0.99</v>
      </c>
      <c r="U872" s="320">
        <v>22.63</v>
      </c>
      <c r="V872" s="320">
        <v>2.5</v>
      </c>
      <c r="W872" s="320">
        <v>0.8212</v>
      </c>
      <c r="X872" s="320">
        <v>4.2</v>
      </c>
      <c r="Y872" s="320">
        <v>135.0</v>
      </c>
      <c r="Z872" s="320">
        <v>970.0</v>
      </c>
      <c r="AA872" s="320">
        <v>6798.0</v>
      </c>
      <c r="AB872" s="320">
        <v>49.7147</v>
      </c>
      <c r="AC872" s="320">
        <v>0.5129</v>
      </c>
      <c r="AD872" s="329"/>
      <c r="AE872" s="329"/>
      <c r="AF872" s="329"/>
      <c r="AG872" s="329"/>
      <c r="AH872" s="329"/>
      <c r="AI872" s="320">
        <v>0.0</v>
      </c>
      <c r="AJ872" s="320">
        <v>0.0</v>
      </c>
      <c r="AK872" s="320">
        <v>0.0</v>
      </c>
      <c r="AL872" s="320">
        <v>0.2853</v>
      </c>
      <c r="AM872" s="320">
        <v>17.14</v>
      </c>
      <c r="AN872" s="320">
        <v>6.42</v>
      </c>
      <c r="AO872" s="329"/>
      <c r="AP872" s="329"/>
    </row>
    <row r="873">
      <c r="A873" s="319" t="s">
        <v>258</v>
      </c>
      <c r="B873" s="328">
        <v>46075.0</v>
      </c>
      <c r="C873" s="319" t="s">
        <v>214</v>
      </c>
      <c r="D873" s="320">
        <v>33566.0</v>
      </c>
      <c r="E873" s="320">
        <v>43.16</v>
      </c>
      <c r="F873" s="320">
        <v>8288.52</v>
      </c>
      <c r="G873" s="320">
        <v>0.2469</v>
      </c>
      <c r="H873" s="320">
        <v>6.97</v>
      </c>
      <c r="I873" s="320">
        <v>3.5421</v>
      </c>
      <c r="J873" s="320">
        <v>35.76</v>
      </c>
      <c r="K873" s="320">
        <v>19.7</v>
      </c>
      <c r="L873" s="320">
        <v>5.41</v>
      </c>
      <c r="M873" s="320">
        <v>0.2745</v>
      </c>
      <c r="N873" s="320">
        <v>0.7867</v>
      </c>
      <c r="O873" s="320">
        <v>0.5338</v>
      </c>
      <c r="P873" s="320">
        <v>3.643</v>
      </c>
      <c r="Q873" s="320">
        <v>65.76</v>
      </c>
      <c r="R873" s="320">
        <v>54.61</v>
      </c>
      <c r="S873" s="320">
        <v>11.14</v>
      </c>
      <c r="T873" s="320">
        <v>17.03</v>
      </c>
      <c r="U873" s="320">
        <v>48.73</v>
      </c>
      <c r="V873" s="320">
        <v>75.6</v>
      </c>
      <c r="W873" s="320">
        <v>3.8373</v>
      </c>
      <c r="X873" s="320">
        <v>25.9</v>
      </c>
      <c r="Y873" s="320">
        <v>84.0</v>
      </c>
      <c r="Z873" s="320">
        <v>196.0</v>
      </c>
      <c r="AA873" s="320">
        <v>835.0</v>
      </c>
      <c r="AB873" s="320">
        <v>49.3921</v>
      </c>
      <c r="AC873" s="320">
        <v>0.4468</v>
      </c>
      <c r="AD873" s="320">
        <v>3.46</v>
      </c>
      <c r="AE873" s="320">
        <v>1.0</v>
      </c>
      <c r="AF873" s="320">
        <v>2.0</v>
      </c>
      <c r="AG873" s="320">
        <v>4.0</v>
      </c>
      <c r="AH873" s="320">
        <v>8.0</v>
      </c>
      <c r="AI873" s="320">
        <v>66.22</v>
      </c>
      <c r="AJ873" s="320">
        <v>23.89</v>
      </c>
      <c r="AK873" s="320">
        <v>6.41</v>
      </c>
      <c r="AL873" s="320">
        <v>0.2371</v>
      </c>
      <c r="AM873" s="320">
        <v>21.35</v>
      </c>
      <c r="AN873" s="320">
        <v>33.27</v>
      </c>
      <c r="AO873" s="320">
        <v>67.4</v>
      </c>
      <c r="AP873" s="320">
        <v>14.39</v>
      </c>
    </row>
    <row r="874">
      <c r="A874" s="319" t="s">
        <v>258</v>
      </c>
      <c r="B874" s="328">
        <v>46075.0</v>
      </c>
      <c r="C874" s="319" t="s">
        <v>215</v>
      </c>
      <c r="D874" s="320">
        <v>15900.0</v>
      </c>
      <c r="E874" s="320">
        <v>20.45</v>
      </c>
      <c r="F874" s="320">
        <v>17115.51</v>
      </c>
      <c r="G874" s="320">
        <v>1.0764</v>
      </c>
      <c r="H874" s="320">
        <v>22.22</v>
      </c>
      <c r="I874" s="320">
        <v>4.8445</v>
      </c>
      <c r="J874" s="320">
        <v>65.48</v>
      </c>
      <c r="K874" s="320">
        <v>37.77</v>
      </c>
      <c r="L874" s="320">
        <v>13.82</v>
      </c>
      <c r="M874" s="320">
        <v>0.3659</v>
      </c>
      <c r="N874" s="320">
        <v>0.6901</v>
      </c>
      <c r="O874" s="320">
        <v>0.3962</v>
      </c>
      <c r="P874" s="320">
        <v>2.7327</v>
      </c>
      <c r="Q874" s="320">
        <v>156.21</v>
      </c>
      <c r="R874" s="320">
        <v>127.49</v>
      </c>
      <c r="S874" s="320">
        <v>28.72</v>
      </c>
      <c r="T874" s="320">
        <v>72.6</v>
      </c>
      <c r="U874" s="320">
        <v>83.61</v>
      </c>
      <c r="V874" s="320">
        <v>174.31</v>
      </c>
      <c r="W874" s="320">
        <v>4.615</v>
      </c>
      <c r="X874" s="320">
        <v>46.47</v>
      </c>
      <c r="Y874" s="320">
        <v>79.0</v>
      </c>
      <c r="Z874" s="320">
        <v>168.0</v>
      </c>
      <c r="AA874" s="320">
        <v>557.0</v>
      </c>
      <c r="AB874" s="320">
        <v>52.162</v>
      </c>
      <c r="AC874" s="320">
        <v>0.5368</v>
      </c>
      <c r="AD874" s="320">
        <v>8.59</v>
      </c>
      <c r="AE874" s="320">
        <v>3.0</v>
      </c>
      <c r="AF874" s="320">
        <v>6.0</v>
      </c>
      <c r="AG874" s="320">
        <v>12.0</v>
      </c>
      <c r="AH874" s="320">
        <v>19.0</v>
      </c>
      <c r="AI874" s="320">
        <v>52.58</v>
      </c>
      <c r="AJ874" s="320">
        <v>23.51</v>
      </c>
      <c r="AK874" s="320">
        <v>4.4</v>
      </c>
      <c r="AL874" s="320">
        <v>0.2097</v>
      </c>
      <c r="AM874" s="320">
        <v>22.0</v>
      </c>
      <c r="AN874" s="320">
        <v>105.5</v>
      </c>
      <c r="AO874" s="320">
        <v>73.86</v>
      </c>
      <c r="AP874" s="320">
        <v>16.25</v>
      </c>
    </row>
    <row r="875">
      <c r="A875" s="319" t="s">
        <v>258</v>
      </c>
      <c r="B875" s="328">
        <v>46075.0</v>
      </c>
      <c r="C875" s="319" t="s">
        <v>216</v>
      </c>
      <c r="D875" s="320">
        <v>8377.0</v>
      </c>
      <c r="E875" s="320">
        <v>10.77</v>
      </c>
      <c r="F875" s="320">
        <v>24145.85</v>
      </c>
      <c r="G875" s="320">
        <v>2.8824</v>
      </c>
      <c r="H875" s="320">
        <v>34.81</v>
      </c>
      <c r="I875" s="320">
        <v>8.2805</v>
      </c>
      <c r="J875" s="320">
        <v>90.73</v>
      </c>
      <c r="K875" s="320">
        <v>54.21</v>
      </c>
      <c r="L875" s="320">
        <v>26.96</v>
      </c>
      <c r="M875" s="320">
        <v>0.4972</v>
      </c>
      <c r="N875" s="320">
        <v>0.5721</v>
      </c>
      <c r="O875" s="320">
        <v>0.3117</v>
      </c>
      <c r="P875" s="320">
        <v>2.0111</v>
      </c>
      <c r="Q875" s="320">
        <v>312.43</v>
      </c>
      <c r="R875" s="320">
        <v>256.02</v>
      </c>
      <c r="S875" s="320">
        <v>56.41</v>
      </c>
      <c r="T875" s="320">
        <v>181.05</v>
      </c>
      <c r="U875" s="320">
        <v>131.37</v>
      </c>
      <c r="V875" s="320">
        <v>351.72</v>
      </c>
      <c r="W875" s="320">
        <v>6.4878</v>
      </c>
      <c r="X875" s="320">
        <v>57.95</v>
      </c>
      <c r="Y875" s="320">
        <v>82.0</v>
      </c>
      <c r="Z875" s="320">
        <v>191.0</v>
      </c>
      <c r="AA875" s="320">
        <v>680.0</v>
      </c>
      <c r="AB875" s="320">
        <v>54.6052</v>
      </c>
      <c r="AC875" s="320">
        <v>0.647</v>
      </c>
      <c r="AD875" s="320">
        <v>17.04</v>
      </c>
      <c r="AE875" s="320">
        <v>6.0</v>
      </c>
      <c r="AF875" s="320">
        <v>12.0</v>
      </c>
      <c r="AG875" s="320">
        <v>24.0</v>
      </c>
      <c r="AH875" s="320">
        <v>37.0</v>
      </c>
      <c r="AI875" s="320">
        <v>53.78</v>
      </c>
      <c r="AJ875" s="320">
        <v>22.07</v>
      </c>
      <c r="AK875" s="320">
        <v>7.38</v>
      </c>
      <c r="AL875" s="320">
        <v>0.2185</v>
      </c>
      <c r="AM875" s="320">
        <v>21.26</v>
      </c>
      <c r="AN875" s="320">
        <v>234.76</v>
      </c>
      <c r="AO875" s="320">
        <v>72.96</v>
      </c>
      <c r="AP875" s="320">
        <v>15.51</v>
      </c>
    </row>
    <row r="876">
      <c r="A876" s="319" t="s">
        <v>258</v>
      </c>
      <c r="B876" s="328">
        <v>46075.0</v>
      </c>
      <c r="C876" s="319" t="s">
        <v>217</v>
      </c>
      <c r="D876" s="320">
        <v>3107.0</v>
      </c>
      <c r="E876" s="320">
        <v>4.0</v>
      </c>
      <c r="F876" s="320">
        <v>21799.59</v>
      </c>
      <c r="G876" s="320">
        <v>7.0163</v>
      </c>
      <c r="H876" s="320">
        <v>45.99</v>
      </c>
      <c r="I876" s="320">
        <v>15.2551</v>
      </c>
      <c r="J876" s="320">
        <v>135.65</v>
      </c>
      <c r="K876" s="320">
        <v>84.52</v>
      </c>
      <c r="L876" s="320">
        <v>55.42</v>
      </c>
      <c r="M876" s="320">
        <v>0.6557</v>
      </c>
      <c r="N876" s="320">
        <v>0.4308</v>
      </c>
      <c r="O876" s="320">
        <v>0.2421</v>
      </c>
      <c r="P876" s="320">
        <v>1.525</v>
      </c>
      <c r="Q876" s="320">
        <v>667.4</v>
      </c>
      <c r="R876" s="320">
        <v>551.01</v>
      </c>
      <c r="S876" s="320">
        <v>116.39</v>
      </c>
      <c r="T876" s="320">
        <v>440.51</v>
      </c>
      <c r="U876" s="320">
        <v>226.89</v>
      </c>
      <c r="V876" s="320">
        <v>715.61</v>
      </c>
      <c r="W876" s="320">
        <v>8.467</v>
      </c>
      <c r="X876" s="320">
        <v>66.0</v>
      </c>
      <c r="Y876" s="320">
        <v>92.0</v>
      </c>
      <c r="Z876" s="320">
        <v>288.0</v>
      </c>
      <c r="AA876" s="320">
        <v>1084.0</v>
      </c>
      <c r="AB876" s="320">
        <v>57.5502</v>
      </c>
      <c r="AC876" s="320">
        <v>0.759</v>
      </c>
      <c r="AD876" s="320">
        <v>36.01</v>
      </c>
      <c r="AE876" s="320">
        <v>12.0</v>
      </c>
      <c r="AF876" s="320">
        <v>27.0</v>
      </c>
      <c r="AG876" s="320">
        <v>50.0</v>
      </c>
      <c r="AH876" s="320">
        <v>77.0</v>
      </c>
      <c r="AI876" s="320">
        <v>48.79</v>
      </c>
      <c r="AJ876" s="320">
        <v>18.22</v>
      </c>
      <c r="AK876" s="320">
        <v>4.89</v>
      </c>
      <c r="AL876" s="320">
        <v>0.1957</v>
      </c>
      <c r="AM876" s="320">
        <v>20.88</v>
      </c>
      <c r="AN876" s="320">
        <v>530.13</v>
      </c>
      <c r="AO876" s="320">
        <v>72.85</v>
      </c>
      <c r="AP876" s="320">
        <v>15.21</v>
      </c>
    </row>
    <row r="877">
      <c r="A877" s="319" t="s">
        <v>258</v>
      </c>
      <c r="B877" s="328">
        <v>46075.0</v>
      </c>
      <c r="C877" s="319" t="s">
        <v>218</v>
      </c>
      <c r="D877" s="320">
        <v>390.0</v>
      </c>
      <c r="E877" s="320">
        <v>0.5</v>
      </c>
      <c r="F877" s="320">
        <v>5169.59</v>
      </c>
      <c r="G877" s="320">
        <v>13.2554</v>
      </c>
      <c r="H877" s="320">
        <v>51.54</v>
      </c>
      <c r="I877" s="320">
        <v>25.7194</v>
      </c>
      <c r="J877" s="320">
        <v>244.44</v>
      </c>
      <c r="K877" s="320">
        <v>159.15</v>
      </c>
      <c r="L877" s="320">
        <v>125.69</v>
      </c>
      <c r="M877" s="320">
        <v>0.7898</v>
      </c>
      <c r="N877" s="320">
        <v>0.2982</v>
      </c>
      <c r="O877" s="320">
        <v>0.1809</v>
      </c>
      <c r="P877" s="320">
        <v>1.2662</v>
      </c>
      <c r="Q877" s="320">
        <v>1275.46</v>
      </c>
      <c r="R877" s="320">
        <v>1011.08</v>
      </c>
      <c r="S877" s="320">
        <v>264.37</v>
      </c>
      <c r="T877" s="320">
        <v>827.12</v>
      </c>
      <c r="U877" s="320">
        <v>448.34</v>
      </c>
      <c r="V877" s="320">
        <v>1410.51</v>
      </c>
      <c r="W877" s="320">
        <v>8.8627</v>
      </c>
      <c r="X877" s="320">
        <v>64.85</v>
      </c>
      <c r="Y877" s="320">
        <v>111.0</v>
      </c>
      <c r="Z877" s="320">
        <v>437.0</v>
      </c>
      <c r="AA877" s="320">
        <v>1894.0</v>
      </c>
      <c r="AB877" s="320">
        <v>61.8926</v>
      </c>
      <c r="AC877" s="320">
        <v>0.8476</v>
      </c>
      <c r="AD877" s="320">
        <v>79.67</v>
      </c>
      <c r="AE877" s="320">
        <v>28.0</v>
      </c>
      <c r="AF877" s="320">
        <v>63.0</v>
      </c>
      <c r="AG877" s="320">
        <v>122.0</v>
      </c>
      <c r="AH877" s="320">
        <v>171.0</v>
      </c>
      <c r="AI877" s="320">
        <v>40.77</v>
      </c>
      <c r="AJ877" s="320">
        <v>9.74</v>
      </c>
      <c r="AK877" s="320">
        <v>0.26</v>
      </c>
      <c r="AL877" s="320">
        <v>0.2</v>
      </c>
      <c r="AM877" s="320">
        <v>19.0</v>
      </c>
      <c r="AN877" s="320">
        <v>992.08</v>
      </c>
      <c r="AO877" s="320">
        <v>63.66</v>
      </c>
      <c r="AP877" s="320">
        <v>12.1</v>
      </c>
    </row>
    <row r="878">
      <c r="A878" s="319" t="s">
        <v>258</v>
      </c>
      <c r="B878" s="328">
        <v>46076.0</v>
      </c>
      <c r="C878" s="319" t="s">
        <v>257</v>
      </c>
      <c r="D878" s="320">
        <v>15796.0</v>
      </c>
      <c r="E878" s="320">
        <v>19.68</v>
      </c>
      <c r="F878" s="320">
        <v>623.14</v>
      </c>
      <c r="G878" s="320">
        <v>0.0394</v>
      </c>
      <c r="H878" s="320">
        <v>0.23</v>
      </c>
      <c r="I878" s="320">
        <v>17.3094</v>
      </c>
      <c r="J878" s="320">
        <v>5.72</v>
      </c>
      <c r="K878" s="320">
        <v>2.53</v>
      </c>
      <c r="L878" s="320">
        <v>0.08</v>
      </c>
      <c r="M878" s="320">
        <v>0.0306</v>
      </c>
      <c r="N878" s="320">
        <v>0.9733</v>
      </c>
      <c r="O878" s="320">
        <v>0.7246</v>
      </c>
      <c r="P878" s="320">
        <v>32.6664</v>
      </c>
      <c r="Q878" s="320">
        <v>36.8</v>
      </c>
      <c r="R878" s="320">
        <v>36.73</v>
      </c>
      <c r="S878" s="320">
        <v>0.07</v>
      </c>
      <c r="T878" s="320">
        <v>1.53</v>
      </c>
      <c r="U878" s="320">
        <v>35.28</v>
      </c>
      <c r="V878" s="320">
        <v>2.71</v>
      </c>
      <c r="W878" s="320">
        <v>1.0713</v>
      </c>
      <c r="X878" s="320">
        <v>4.15</v>
      </c>
      <c r="Y878" s="320">
        <v>192.0</v>
      </c>
      <c r="Z878" s="320">
        <v>1289.0</v>
      </c>
      <c r="AA878" s="320">
        <v>7382.0</v>
      </c>
      <c r="AB878" s="320">
        <v>49.6531</v>
      </c>
      <c r="AC878" s="320">
        <v>0.5245</v>
      </c>
      <c r="AD878" s="329"/>
      <c r="AE878" s="329"/>
      <c r="AF878" s="329"/>
      <c r="AG878" s="329"/>
      <c r="AH878" s="329"/>
      <c r="AI878" s="320">
        <v>0.0</v>
      </c>
      <c r="AJ878" s="320">
        <v>0.0</v>
      </c>
      <c r="AK878" s="320">
        <v>0.0</v>
      </c>
      <c r="AL878" s="320">
        <v>0.2823</v>
      </c>
      <c r="AM878" s="320">
        <v>15.93</v>
      </c>
      <c r="AN878" s="320">
        <v>20.8</v>
      </c>
      <c r="AO878" s="329"/>
      <c r="AP878" s="329"/>
    </row>
    <row r="879">
      <c r="A879" s="319" t="s">
        <v>258</v>
      </c>
      <c r="B879" s="328">
        <v>46076.0</v>
      </c>
      <c r="C879" s="319" t="s">
        <v>214</v>
      </c>
      <c r="D879" s="320">
        <v>34642.0</v>
      </c>
      <c r="E879" s="320">
        <v>43.16</v>
      </c>
      <c r="F879" s="320">
        <v>7008.2</v>
      </c>
      <c r="G879" s="320">
        <v>0.2023</v>
      </c>
      <c r="H879" s="320">
        <v>6.09</v>
      </c>
      <c r="I879" s="320">
        <v>3.3198</v>
      </c>
      <c r="J879" s="320">
        <v>35.88</v>
      </c>
      <c r="K879" s="320">
        <v>19.57</v>
      </c>
      <c r="L879" s="320">
        <v>5.61</v>
      </c>
      <c r="M879" s="320">
        <v>0.2867</v>
      </c>
      <c r="N879" s="320">
        <v>0.7811</v>
      </c>
      <c r="O879" s="320">
        <v>0.5418</v>
      </c>
      <c r="P879" s="320">
        <v>3.4875</v>
      </c>
      <c r="Q879" s="320">
        <v>98.04</v>
      </c>
      <c r="R879" s="320">
        <v>86.58</v>
      </c>
      <c r="S879" s="320">
        <v>11.46</v>
      </c>
      <c r="T879" s="320">
        <v>14.8</v>
      </c>
      <c r="U879" s="320">
        <v>83.24</v>
      </c>
      <c r="V879" s="320">
        <v>89.83</v>
      </c>
      <c r="W879" s="320">
        <v>4.589</v>
      </c>
      <c r="X879" s="320">
        <v>15.09</v>
      </c>
      <c r="Y879" s="320">
        <v>91.0</v>
      </c>
      <c r="Z879" s="320">
        <v>207.0</v>
      </c>
      <c r="AA879" s="320">
        <v>781.0</v>
      </c>
      <c r="AB879" s="320">
        <v>49.4586</v>
      </c>
      <c r="AC879" s="320">
        <v>0.4341</v>
      </c>
      <c r="AD879" s="320">
        <v>3.51</v>
      </c>
      <c r="AE879" s="320">
        <v>1.0</v>
      </c>
      <c r="AF879" s="320">
        <v>2.0</v>
      </c>
      <c r="AG879" s="320">
        <v>4.0</v>
      </c>
      <c r="AH879" s="320">
        <v>8.0</v>
      </c>
      <c r="AI879" s="320">
        <v>67.43</v>
      </c>
      <c r="AJ879" s="320">
        <v>24.51</v>
      </c>
      <c r="AK879" s="320">
        <v>6.51</v>
      </c>
      <c r="AL879" s="320">
        <v>0.2092</v>
      </c>
      <c r="AM879" s="320">
        <v>18.5</v>
      </c>
      <c r="AN879" s="320">
        <v>68.09</v>
      </c>
      <c r="AO879" s="320">
        <v>67.81</v>
      </c>
      <c r="AP879" s="320">
        <v>12.54</v>
      </c>
    </row>
    <row r="880">
      <c r="A880" s="319" t="s">
        <v>258</v>
      </c>
      <c r="B880" s="328">
        <v>46076.0</v>
      </c>
      <c r="C880" s="319" t="s">
        <v>215</v>
      </c>
      <c r="D880" s="320">
        <v>17059.0</v>
      </c>
      <c r="E880" s="320">
        <v>21.25</v>
      </c>
      <c r="F880" s="320">
        <v>17354.76</v>
      </c>
      <c r="G880" s="320">
        <v>1.0173</v>
      </c>
      <c r="H880" s="320">
        <v>19.51</v>
      </c>
      <c r="I880" s="320">
        <v>5.2132</v>
      </c>
      <c r="J880" s="320">
        <v>64.5</v>
      </c>
      <c r="K880" s="320">
        <v>37.46</v>
      </c>
      <c r="L880" s="320">
        <v>14.5</v>
      </c>
      <c r="M880" s="320">
        <v>0.3871</v>
      </c>
      <c r="N880" s="320">
        <v>0.6771</v>
      </c>
      <c r="O880" s="320">
        <v>0.4</v>
      </c>
      <c r="P880" s="320">
        <v>2.5831</v>
      </c>
      <c r="Q880" s="320">
        <v>210.32</v>
      </c>
      <c r="R880" s="320">
        <v>181.34</v>
      </c>
      <c r="S880" s="320">
        <v>28.98</v>
      </c>
      <c r="T880" s="320">
        <v>68.41</v>
      </c>
      <c r="U880" s="320">
        <v>141.91</v>
      </c>
      <c r="V880" s="320">
        <v>206.88</v>
      </c>
      <c r="W880" s="320">
        <v>5.5223</v>
      </c>
      <c r="X880" s="320">
        <v>32.53</v>
      </c>
      <c r="Y880" s="320">
        <v>85.0</v>
      </c>
      <c r="Z880" s="320">
        <v>196.0</v>
      </c>
      <c r="AA880" s="320">
        <v>604.0</v>
      </c>
      <c r="AB880" s="320">
        <v>52.3292</v>
      </c>
      <c r="AC880" s="320">
        <v>0.5044</v>
      </c>
      <c r="AD880" s="320">
        <v>8.79</v>
      </c>
      <c r="AE880" s="320">
        <v>3.0</v>
      </c>
      <c r="AF880" s="320">
        <v>6.0</v>
      </c>
      <c r="AG880" s="320">
        <v>12.0</v>
      </c>
      <c r="AH880" s="320">
        <v>20.0</v>
      </c>
      <c r="AI880" s="320">
        <v>52.76</v>
      </c>
      <c r="AJ880" s="320">
        <v>24.05</v>
      </c>
      <c r="AK880" s="320">
        <v>5.11</v>
      </c>
      <c r="AL880" s="320">
        <v>0.1779</v>
      </c>
      <c r="AM880" s="320">
        <v>19.23</v>
      </c>
      <c r="AN880" s="320">
        <v>162.11</v>
      </c>
      <c r="AO880" s="320">
        <v>72.58</v>
      </c>
      <c r="AP880" s="320">
        <v>13.96</v>
      </c>
    </row>
    <row r="881">
      <c r="A881" s="319" t="s">
        <v>258</v>
      </c>
      <c r="B881" s="328">
        <v>46076.0</v>
      </c>
      <c r="C881" s="319" t="s">
        <v>216</v>
      </c>
      <c r="D881" s="320">
        <v>8927.0</v>
      </c>
      <c r="E881" s="320">
        <v>11.12</v>
      </c>
      <c r="F881" s="320">
        <v>25290.73</v>
      </c>
      <c r="G881" s="320">
        <v>2.8331</v>
      </c>
      <c r="H881" s="320">
        <v>33.57</v>
      </c>
      <c r="I881" s="320">
        <v>8.4387</v>
      </c>
      <c r="J881" s="320">
        <v>92.44</v>
      </c>
      <c r="K881" s="320">
        <v>54.98</v>
      </c>
      <c r="L881" s="320">
        <v>29.18</v>
      </c>
      <c r="M881" s="320">
        <v>0.5308</v>
      </c>
      <c r="N881" s="320">
        <v>0.5481</v>
      </c>
      <c r="O881" s="320">
        <v>0.3075</v>
      </c>
      <c r="P881" s="320">
        <v>1.884</v>
      </c>
      <c r="Q881" s="320">
        <v>406.08</v>
      </c>
      <c r="R881" s="320">
        <v>348.23</v>
      </c>
      <c r="S881" s="320">
        <v>57.85</v>
      </c>
      <c r="T881" s="320">
        <v>180.5</v>
      </c>
      <c r="U881" s="320">
        <v>225.58</v>
      </c>
      <c r="V881" s="320">
        <v>414.11</v>
      </c>
      <c r="W881" s="320">
        <v>7.5325</v>
      </c>
      <c r="X881" s="320">
        <v>44.45</v>
      </c>
      <c r="Y881" s="320">
        <v>89.0</v>
      </c>
      <c r="Z881" s="320">
        <v>233.0</v>
      </c>
      <c r="AA881" s="320">
        <v>772.0</v>
      </c>
      <c r="AB881" s="320">
        <v>54.535</v>
      </c>
      <c r="AC881" s="320">
        <v>0.5965</v>
      </c>
      <c r="AD881" s="320">
        <v>17.86</v>
      </c>
      <c r="AE881" s="320">
        <v>6.0</v>
      </c>
      <c r="AF881" s="320">
        <v>14.0</v>
      </c>
      <c r="AG881" s="320">
        <v>26.0</v>
      </c>
      <c r="AH881" s="320">
        <v>38.0</v>
      </c>
      <c r="AI881" s="320">
        <v>57.85</v>
      </c>
      <c r="AJ881" s="320">
        <v>25.48</v>
      </c>
      <c r="AK881" s="320">
        <v>6.33</v>
      </c>
      <c r="AL881" s="320">
        <v>0.1784</v>
      </c>
      <c r="AM881" s="320">
        <v>19.59</v>
      </c>
      <c r="AN881" s="320">
        <v>328.64</v>
      </c>
      <c r="AO881" s="320">
        <v>70.29</v>
      </c>
      <c r="AP881" s="320">
        <v>13.77</v>
      </c>
    </row>
    <row r="882">
      <c r="A882" s="319" t="s">
        <v>258</v>
      </c>
      <c r="B882" s="328">
        <v>46076.0</v>
      </c>
      <c r="C882" s="319" t="s">
        <v>217</v>
      </c>
      <c r="D882" s="320">
        <v>3461.0</v>
      </c>
      <c r="E882" s="320">
        <v>4.31</v>
      </c>
      <c r="F882" s="320">
        <v>23517.09</v>
      </c>
      <c r="G882" s="320">
        <v>6.7949</v>
      </c>
      <c r="H882" s="320">
        <v>43.43</v>
      </c>
      <c r="I882" s="320">
        <v>15.6468</v>
      </c>
      <c r="J882" s="320">
        <v>143.88</v>
      </c>
      <c r="K882" s="320">
        <v>88.36</v>
      </c>
      <c r="L882" s="320">
        <v>60.99</v>
      </c>
      <c r="M882" s="320">
        <v>0.6902</v>
      </c>
      <c r="N882" s="320">
        <v>0.4075</v>
      </c>
      <c r="O882" s="320">
        <v>0.2412</v>
      </c>
      <c r="P882" s="320">
        <v>1.4488</v>
      </c>
      <c r="Q882" s="320">
        <v>816.35</v>
      </c>
      <c r="R882" s="320">
        <v>700.06</v>
      </c>
      <c r="S882" s="320">
        <v>116.29</v>
      </c>
      <c r="T882" s="320">
        <v>434.84</v>
      </c>
      <c r="U882" s="320">
        <v>381.51</v>
      </c>
      <c r="V882" s="320">
        <v>840.36</v>
      </c>
      <c r="W882" s="320">
        <v>9.5112</v>
      </c>
      <c r="X882" s="320">
        <v>53.27</v>
      </c>
      <c r="Y882" s="320">
        <v>107.0</v>
      </c>
      <c r="Z882" s="320">
        <v>387.0</v>
      </c>
      <c r="AA882" s="320">
        <v>1340.0</v>
      </c>
      <c r="AB882" s="320">
        <v>57.4733</v>
      </c>
      <c r="AC882" s="320">
        <v>0.6794</v>
      </c>
      <c r="AD882" s="320">
        <v>36.48</v>
      </c>
      <c r="AE882" s="320">
        <v>13.0</v>
      </c>
      <c r="AF882" s="320">
        <v>30.0</v>
      </c>
      <c r="AG882" s="320">
        <v>50.0</v>
      </c>
      <c r="AH882" s="320">
        <v>77.0</v>
      </c>
      <c r="AI882" s="320">
        <v>52.04</v>
      </c>
      <c r="AJ882" s="320">
        <v>17.74</v>
      </c>
      <c r="AK882" s="320">
        <v>4.94</v>
      </c>
      <c r="AL882" s="320">
        <v>0.154</v>
      </c>
      <c r="AM882" s="320">
        <v>19.31</v>
      </c>
      <c r="AN882" s="320">
        <v>680.75</v>
      </c>
      <c r="AO882" s="320">
        <v>68.68</v>
      </c>
      <c r="AP882" s="320">
        <v>13.26</v>
      </c>
    </row>
    <row r="883">
      <c r="A883" s="319" t="s">
        <v>258</v>
      </c>
      <c r="B883" s="328">
        <v>46076.0</v>
      </c>
      <c r="C883" s="319" t="s">
        <v>218</v>
      </c>
      <c r="D883" s="320">
        <v>374.0</v>
      </c>
      <c r="E883" s="320">
        <v>0.47</v>
      </c>
      <c r="F883" s="320">
        <v>4827.21</v>
      </c>
      <c r="G883" s="320">
        <v>12.907</v>
      </c>
      <c r="H883" s="320">
        <v>48.66</v>
      </c>
      <c r="I883" s="320">
        <v>26.5231</v>
      </c>
      <c r="J883" s="320">
        <v>248.26</v>
      </c>
      <c r="K883" s="320">
        <v>158.77</v>
      </c>
      <c r="L883" s="320">
        <v>130.39</v>
      </c>
      <c r="M883" s="320">
        <v>0.8212</v>
      </c>
      <c r="N883" s="320">
        <v>0.2739</v>
      </c>
      <c r="O883" s="320">
        <v>0.1782</v>
      </c>
      <c r="P883" s="320">
        <v>1.2177</v>
      </c>
      <c r="Q883" s="320">
        <v>1480.6</v>
      </c>
      <c r="R883" s="320">
        <v>1206.49</v>
      </c>
      <c r="S883" s="320">
        <v>274.12</v>
      </c>
      <c r="T883" s="320">
        <v>816.86</v>
      </c>
      <c r="U883" s="320">
        <v>663.75</v>
      </c>
      <c r="V883" s="320">
        <v>1500.13</v>
      </c>
      <c r="W883" s="320">
        <v>9.4483</v>
      </c>
      <c r="X883" s="320">
        <v>55.17</v>
      </c>
      <c r="Y883" s="320">
        <v>142.0</v>
      </c>
      <c r="Z883" s="320">
        <v>509.0</v>
      </c>
      <c r="AA883" s="320">
        <v>2195.0</v>
      </c>
      <c r="AB883" s="320">
        <v>62.4798</v>
      </c>
      <c r="AC883" s="320">
        <v>0.8341</v>
      </c>
      <c r="AD883" s="320">
        <v>84.77</v>
      </c>
      <c r="AE883" s="320">
        <v>31.0</v>
      </c>
      <c r="AF883" s="320">
        <v>64.0</v>
      </c>
      <c r="AG883" s="320">
        <v>118.0</v>
      </c>
      <c r="AH883" s="320">
        <v>185.0</v>
      </c>
      <c r="AI883" s="320">
        <v>40.91</v>
      </c>
      <c r="AJ883" s="320">
        <v>10.96</v>
      </c>
      <c r="AK883" s="320">
        <v>3.48</v>
      </c>
      <c r="AL883" s="320">
        <v>0.1658</v>
      </c>
      <c r="AM883" s="320">
        <v>18.7</v>
      </c>
      <c r="AN883" s="320">
        <v>1187.78</v>
      </c>
      <c r="AO883" s="320">
        <v>67.8</v>
      </c>
      <c r="AP883" s="320">
        <v>12.68</v>
      </c>
    </row>
    <row r="884">
      <c r="A884" s="319" t="s">
        <v>258</v>
      </c>
      <c r="B884" s="328">
        <v>46077.0</v>
      </c>
      <c r="C884" s="319" t="s">
        <v>257</v>
      </c>
      <c r="D884" s="320">
        <v>17024.0</v>
      </c>
      <c r="E884" s="320">
        <v>21.21</v>
      </c>
      <c r="F884" s="320">
        <v>74.08</v>
      </c>
      <c r="G884" s="320">
        <v>0.0044</v>
      </c>
      <c r="H884" s="320">
        <v>0.12</v>
      </c>
      <c r="I884" s="320">
        <v>3.5276</v>
      </c>
      <c r="J884" s="320">
        <v>6.15</v>
      </c>
      <c r="K884" s="320">
        <v>2.88</v>
      </c>
      <c r="L884" s="320">
        <v>0.04</v>
      </c>
      <c r="M884" s="320">
        <v>0.0133</v>
      </c>
      <c r="N884" s="320">
        <v>0.9876</v>
      </c>
      <c r="O884" s="320">
        <v>0.8261</v>
      </c>
      <c r="P884" s="320">
        <v>75.0613</v>
      </c>
      <c r="Q884" s="320">
        <v>26.91</v>
      </c>
      <c r="R884" s="320">
        <v>26.83</v>
      </c>
      <c r="S884" s="320">
        <v>0.08</v>
      </c>
      <c r="T884" s="320">
        <v>0.3</v>
      </c>
      <c r="U884" s="320">
        <v>26.61</v>
      </c>
      <c r="V884" s="320">
        <v>2.51</v>
      </c>
      <c r="W884" s="320">
        <v>0.8712</v>
      </c>
      <c r="X884" s="320">
        <v>1.12</v>
      </c>
      <c r="Y884" s="320">
        <v>159.0</v>
      </c>
      <c r="Z884" s="320">
        <v>1016.0</v>
      </c>
      <c r="AA884" s="320">
        <v>6927.0</v>
      </c>
      <c r="AB884" s="320">
        <v>49.5762</v>
      </c>
      <c r="AC884" s="320">
        <v>0.5041</v>
      </c>
      <c r="AD884" s="329"/>
      <c r="AE884" s="329"/>
      <c r="AF884" s="329"/>
      <c r="AG884" s="329"/>
      <c r="AH884" s="329"/>
      <c r="AI884" s="320">
        <v>0.0</v>
      </c>
      <c r="AJ884" s="320">
        <v>0.0</v>
      </c>
      <c r="AK884" s="320">
        <v>0.0</v>
      </c>
      <c r="AL884" s="320">
        <v>0.2619</v>
      </c>
      <c r="AM884" s="320">
        <v>14.96</v>
      </c>
      <c r="AN884" s="320">
        <v>11.87</v>
      </c>
      <c r="AO884" s="329"/>
      <c r="AP884" s="329"/>
    </row>
    <row r="885">
      <c r="A885" s="319" t="s">
        <v>258</v>
      </c>
      <c r="B885" s="328">
        <v>46077.0</v>
      </c>
      <c r="C885" s="319" t="s">
        <v>214</v>
      </c>
      <c r="D885" s="320">
        <v>34480.0</v>
      </c>
      <c r="E885" s="320">
        <v>42.97</v>
      </c>
      <c r="F885" s="320">
        <v>6814.13</v>
      </c>
      <c r="G885" s="320">
        <v>0.1976</v>
      </c>
      <c r="H885" s="320">
        <v>6.08</v>
      </c>
      <c r="I885" s="320">
        <v>3.2495</v>
      </c>
      <c r="J885" s="320">
        <v>30.62</v>
      </c>
      <c r="K885" s="320">
        <v>16.45</v>
      </c>
      <c r="L885" s="320">
        <v>5.09</v>
      </c>
      <c r="M885" s="320">
        <v>0.3094</v>
      </c>
      <c r="N885" s="320">
        <v>0.7644</v>
      </c>
      <c r="O885" s="320">
        <v>0.532</v>
      </c>
      <c r="P885" s="320">
        <v>3.2324</v>
      </c>
      <c r="Q885" s="320">
        <v>71.39</v>
      </c>
      <c r="R885" s="320">
        <v>60.68</v>
      </c>
      <c r="S885" s="320">
        <v>10.71</v>
      </c>
      <c r="T885" s="320">
        <v>14.51</v>
      </c>
      <c r="U885" s="320">
        <v>56.87</v>
      </c>
      <c r="V885" s="320">
        <v>77.92</v>
      </c>
      <c r="W885" s="320">
        <v>4.7365</v>
      </c>
      <c r="X885" s="320">
        <v>20.33</v>
      </c>
      <c r="Y885" s="320">
        <v>88.0</v>
      </c>
      <c r="Z885" s="320">
        <v>207.0</v>
      </c>
      <c r="AA885" s="320">
        <v>790.0</v>
      </c>
      <c r="AB885" s="320">
        <v>49.552</v>
      </c>
      <c r="AC885" s="320">
        <v>0.4355</v>
      </c>
      <c r="AD885" s="320">
        <v>3.45</v>
      </c>
      <c r="AE885" s="320">
        <v>1.0</v>
      </c>
      <c r="AF885" s="320">
        <v>2.0</v>
      </c>
      <c r="AG885" s="320">
        <v>4.0</v>
      </c>
      <c r="AH885" s="320">
        <v>8.0</v>
      </c>
      <c r="AI885" s="320">
        <v>65.29</v>
      </c>
      <c r="AJ885" s="320">
        <v>23.58</v>
      </c>
      <c r="AK885" s="320">
        <v>6.83</v>
      </c>
      <c r="AL885" s="320">
        <v>0.2075</v>
      </c>
      <c r="AM885" s="320">
        <v>18.88</v>
      </c>
      <c r="AN885" s="320">
        <v>41.8</v>
      </c>
      <c r="AO885" s="320">
        <v>68.22</v>
      </c>
      <c r="AP885" s="320">
        <v>12.88</v>
      </c>
    </row>
    <row r="886">
      <c r="A886" s="319" t="s">
        <v>258</v>
      </c>
      <c r="B886" s="328">
        <v>46077.0</v>
      </c>
      <c r="C886" s="319" t="s">
        <v>215</v>
      </c>
      <c r="D886" s="320">
        <v>16620.0</v>
      </c>
      <c r="E886" s="320">
        <v>20.71</v>
      </c>
      <c r="F886" s="320">
        <v>17806.52</v>
      </c>
      <c r="G886" s="320">
        <v>1.0714</v>
      </c>
      <c r="H886" s="320">
        <v>21.25</v>
      </c>
      <c r="I886" s="320">
        <v>5.0429</v>
      </c>
      <c r="J886" s="320">
        <v>55.33</v>
      </c>
      <c r="K886" s="320">
        <v>31.61</v>
      </c>
      <c r="L886" s="320">
        <v>13.42</v>
      </c>
      <c r="M886" s="320">
        <v>0.4246</v>
      </c>
      <c r="N886" s="320">
        <v>0.6445</v>
      </c>
      <c r="O886" s="320">
        <v>0.3749</v>
      </c>
      <c r="P886" s="320">
        <v>2.355</v>
      </c>
      <c r="Q886" s="320">
        <v>175.52</v>
      </c>
      <c r="R886" s="320">
        <v>147.73</v>
      </c>
      <c r="S886" s="320">
        <v>27.79</v>
      </c>
      <c r="T886" s="320">
        <v>72.31</v>
      </c>
      <c r="U886" s="320">
        <v>103.21</v>
      </c>
      <c r="V886" s="320">
        <v>186.97</v>
      </c>
      <c r="W886" s="320">
        <v>5.9148</v>
      </c>
      <c r="X886" s="320">
        <v>41.2</v>
      </c>
      <c r="Y886" s="320">
        <v>85.0</v>
      </c>
      <c r="Z886" s="320">
        <v>194.0</v>
      </c>
      <c r="AA886" s="320">
        <v>646.0</v>
      </c>
      <c r="AB886" s="320">
        <v>52.4272</v>
      </c>
      <c r="AC886" s="320">
        <v>0.5145</v>
      </c>
      <c r="AD886" s="320">
        <v>8.83</v>
      </c>
      <c r="AE886" s="320">
        <v>2.0</v>
      </c>
      <c r="AF886" s="320">
        <v>6.0</v>
      </c>
      <c r="AG886" s="320">
        <v>12.0</v>
      </c>
      <c r="AH886" s="320">
        <v>20.0</v>
      </c>
      <c r="AI886" s="320">
        <v>52.8</v>
      </c>
      <c r="AJ886" s="320">
        <v>24.97</v>
      </c>
      <c r="AK886" s="320">
        <v>5.16</v>
      </c>
      <c r="AL886" s="320">
        <v>0.1781</v>
      </c>
      <c r="AM886" s="320">
        <v>19.35</v>
      </c>
      <c r="AN886" s="320">
        <v>128.39</v>
      </c>
      <c r="AO886" s="320">
        <v>72.68</v>
      </c>
      <c r="AP886" s="320">
        <v>14.06</v>
      </c>
    </row>
    <row r="887">
      <c r="A887" s="319" t="s">
        <v>258</v>
      </c>
      <c r="B887" s="328">
        <v>46077.0</v>
      </c>
      <c r="C887" s="319" t="s">
        <v>216</v>
      </c>
      <c r="D887" s="320">
        <v>8581.0</v>
      </c>
      <c r="E887" s="320">
        <v>10.69</v>
      </c>
      <c r="F887" s="320">
        <v>25245.88</v>
      </c>
      <c r="G887" s="320">
        <v>2.9421</v>
      </c>
      <c r="H887" s="320">
        <v>34.2</v>
      </c>
      <c r="I887" s="320">
        <v>8.6017</v>
      </c>
      <c r="J887" s="320">
        <v>80.12</v>
      </c>
      <c r="K887" s="320">
        <v>47.8</v>
      </c>
      <c r="L887" s="320">
        <v>27.24</v>
      </c>
      <c r="M887" s="320">
        <v>0.5698</v>
      </c>
      <c r="N887" s="320">
        <v>0.5121</v>
      </c>
      <c r="O887" s="320">
        <v>0.2861</v>
      </c>
      <c r="P887" s="320">
        <v>1.755</v>
      </c>
      <c r="Q887" s="320">
        <v>365.34</v>
      </c>
      <c r="R887" s="320">
        <v>312.35</v>
      </c>
      <c r="S887" s="320">
        <v>52.99</v>
      </c>
      <c r="T887" s="320">
        <v>187.56</v>
      </c>
      <c r="U887" s="320">
        <v>177.78</v>
      </c>
      <c r="V887" s="320">
        <v>373.95</v>
      </c>
      <c r="W887" s="320">
        <v>7.8229</v>
      </c>
      <c r="X887" s="320">
        <v>51.34</v>
      </c>
      <c r="Y887" s="320">
        <v>90.0</v>
      </c>
      <c r="Z887" s="320">
        <v>251.0</v>
      </c>
      <c r="AA887" s="320">
        <v>809.0</v>
      </c>
      <c r="AB887" s="320">
        <v>54.815</v>
      </c>
      <c r="AC887" s="320">
        <v>0.6161</v>
      </c>
      <c r="AD887" s="320">
        <v>17.01</v>
      </c>
      <c r="AE887" s="320">
        <v>5.0</v>
      </c>
      <c r="AF887" s="320">
        <v>13.0</v>
      </c>
      <c r="AG887" s="320">
        <v>25.0</v>
      </c>
      <c r="AH887" s="320">
        <v>37.0</v>
      </c>
      <c r="AI887" s="320">
        <v>54.81</v>
      </c>
      <c r="AJ887" s="320">
        <v>23.47</v>
      </c>
      <c r="AK887" s="320">
        <v>6.51</v>
      </c>
      <c r="AL887" s="320">
        <v>0.1797</v>
      </c>
      <c r="AM887" s="320">
        <v>19.12</v>
      </c>
      <c r="AN887" s="320">
        <v>293.23</v>
      </c>
      <c r="AO887" s="320">
        <v>71.18</v>
      </c>
      <c r="AP887" s="320">
        <v>13.61</v>
      </c>
    </row>
    <row r="888">
      <c r="A888" s="319" t="s">
        <v>258</v>
      </c>
      <c r="B888" s="328">
        <v>46077.0</v>
      </c>
      <c r="C888" s="319" t="s">
        <v>217</v>
      </c>
      <c r="D888" s="320">
        <v>3181.0</v>
      </c>
      <c r="E888" s="320">
        <v>3.96</v>
      </c>
      <c r="F888" s="320">
        <v>19826.27</v>
      </c>
      <c r="G888" s="320">
        <v>6.2327</v>
      </c>
      <c r="H888" s="320">
        <v>42.0</v>
      </c>
      <c r="I888" s="320">
        <v>14.84</v>
      </c>
      <c r="J888" s="320">
        <v>124.54</v>
      </c>
      <c r="K888" s="320">
        <v>77.4</v>
      </c>
      <c r="L888" s="320">
        <v>53.68</v>
      </c>
      <c r="M888" s="320">
        <v>0.6935</v>
      </c>
      <c r="N888" s="320">
        <v>0.4048</v>
      </c>
      <c r="O888" s="320">
        <v>0.2366</v>
      </c>
      <c r="P888" s="320">
        <v>1.442</v>
      </c>
      <c r="Q888" s="320">
        <v>715.56</v>
      </c>
      <c r="R888" s="320">
        <v>603.31</v>
      </c>
      <c r="S888" s="320">
        <v>112.26</v>
      </c>
      <c r="T888" s="320">
        <v>388.94</v>
      </c>
      <c r="U888" s="320">
        <v>326.62</v>
      </c>
      <c r="V888" s="320">
        <v>747.58</v>
      </c>
      <c r="W888" s="320">
        <v>9.6589</v>
      </c>
      <c r="X888" s="320">
        <v>54.35</v>
      </c>
      <c r="Y888" s="320">
        <v>100.0</v>
      </c>
      <c r="Z888" s="320">
        <v>337.0</v>
      </c>
      <c r="AA888" s="320">
        <v>1210.0</v>
      </c>
      <c r="AB888" s="320">
        <v>58.1683</v>
      </c>
      <c r="AC888" s="320">
        <v>0.7547</v>
      </c>
      <c r="AD888" s="320">
        <v>36.3</v>
      </c>
      <c r="AE888" s="320">
        <v>12.0</v>
      </c>
      <c r="AF888" s="320">
        <v>28.0</v>
      </c>
      <c r="AG888" s="320">
        <v>51.0</v>
      </c>
      <c r="AH888" s="320">
        <v>79.0</v>
      </c>
      <c r="AI888" s="320">
        <v>50.08</v>
      </c>
      <c r="AJ888" s="320">
        <v>19.02</v>
      </c>
      <c r="AK888" s="320">
        <v>5.09</v>
      </c>
      <c r="AL888" s="320">
        <v>0.1732</v>
      </c>
      <c r="AM888" s="320">
        <v>19.53</v>
      </c>
      <c r="AN888" s="320">
        <v>583.78</v>
      </c>
      <c r="AO888" s="320">
        <v>73.11</v>
      </c>
      <c r="AP888" s="320">
        <v>14.28</v>
      </c>
    </row>
    <row r="889">
      <c r="A889" s="319" t="s">
        <v>258</v>
      </c>
      <c r="B889" s="328">
        <v>46077.0</v>
      </c>
      <c r="C889" s="319" t="s">
        <v>218</v>
      </c>
      <c r="D889" s="320">
        <v>363.0</v>
      </c>
      <c r="E889" s="320">
        <v>0.45</v>
      </c>
      <c r="F889" s="320">
        <v>3910.83</v>
      </c>
      <c r="G889" s="320">
        <v>10.7736</v>
      </c>
      <c r="H889" s="320">
        <v>45.18</v>
      </c>
      <c r="I889" s="320">
        <v>23.8465</v>
      </c>
      <c r="J889" s="320">
        <v>235.91</v>
      </c>
      <c r="K889" s="320">
        <v>153.66</v>
      </c>
      <c r="L889" s="320">
        <v>124.38</v>
      </c>
      <c r="M889" s="320">
        <v>0.8095</v>
      </c>
      <c r="N889" s="320">
        <v>0.2776</v>
      </c>
      <c r="O889" s="320">
        <v>0.1696</v>
      </c>
      <c r="P889" s="320">
        <v>1.2354</v>
      </c>
      <c r="Q889" s="320">
        <v>1274.19</v>
      </c>
      <c r="R889" s="320">
        <v>1014.35</v>
      </c>
      <c r="S889" s="320">
        <v>259.83</v>
      </c>
      <c r="T889" s="320">
        <v>658.97</v>
      </c>
      <c r="U889" s="320">
        <v>615.22</v>
      </c>
      <c r="V889" s="320">
        <v>1309.37</v>
      </c>
      <c r="W889" s="320">
        <v>8.5211</v>
      </c>
      <c r="X889" s="320">
        <v>51.72</v>
      </c>
      <c r="Y889" s="320">
        <v>128.0</v>
      </c>
      <c r="Z889" s="320">
        <v>465.0</v>
      </c>
      <c r="AA889" s="320">
        <v>2142.0</v>
      </c>
      <c r="AB889" s="320">
        <v>62.7974</v>
      </c>
      <c r="AC889" s="320">
        <v>0.8274</v>
      </c>
      <c r="AD889" s="320">
        <v>80.33</v>
      </c>
      <c r="AE889" s="320">
        <v>30.0</v>
      </c>
      <c r="AF889" s="320">
        <v>60.0</v>
      </c>
      <c r="AG889" s="320">
        <v>109.0</v>
      </c>
      <c r="AH889" s="320">
        <v>176.0</v>
      </c>
      <c r="AI889" s="320">
        <v>38.57</v>
      </c>
      <c r="AJ889" s="320">
        <v>10.47</v>
      </c>
      <c r="AK889" s="320">
        <v>1.1</v>
      </c>
      <c r="AL889" s="320">
        <v>0.157</v>
      </c>
      <c r="AM889" s="320">
        <v>21.5</v>
      </c>
      <c r="AN889" s="320">
        <v>992.85</v>
      </c>
      <c r="AO889" s="320">
        <v>68.28</v>
      </c>
      <c r="AP889" s="320">
        <v>14.68</v>
      </c>
    </row>
    <row r="890">
      <c r="A890" s="319" t="s">
        <v>258</v>
      </c>
      <c r="B890" s="328">
        <v>46078.0</v>
      </c>
      <c r="C890" s="319" t="s">
        <v>257</v>
      </c>
      <c r="D890" s="320">
        <v>17315.0</v>
      </c>
      <c r="E890" s="320">
        <v>21.78</v>
      </c>
      <c r="F890" s="320">
        <v>197.48</v>
      </c>
      <c r="G890" s="320">
        <v>0.0114</v>
      </c>
      <c r="H890" s="320">
        <v>0.17</v>
      </c>
      <c r="I890" s="320">
        <v>6.8097</v>
      </c>
      <c r="J890" s="320">
        <v>6.53</v>
      </c>
      <c r="K890" s="320">
        <v>3.06</v>
      </c>
      <c r="L890" s="320">
        <v>0.04</v>
      </c>
      <c r="M890" s="320">
        <v>0.0131</v>
      </c>
      <c r="N890" s="320">
        <v>0.9879</v>
      </c>
      <c r="O890" s="320">
        <v>0.8179</v>
      </c>
      <c r="P890" s="320">
        <v>76.089</v>
      </c>
      <c r="Q890" s="320">
        <v>23.52</v>
      </c>
      <c r="R890" s="320">
        <v>23.44</v>
      </c>
      <c r="S890" s="320">
        <v>0.08</v>
      </c>
      <c r="T890" s="320">
        <v>0.89</v>
      </c>
      <c r="U890" s="320">
        <v>22.63</v>
      </c>
      <c r="V890" s="320">
        <v>2.12</v>
      </c>
      <c r="W890" s="320">
        <v>0.6911</v>
      </c>
      <c r="X890" s="320">
        <v>3.78</v>
      </c>
      <c r="Y890" s="320">
        <v>141.0</v>
      </c>
      <c r="Z890" s="320">
        <v>1014.0</v>
      </c>
      <c r="AA890" s="320">
        <v>6947.0</v>
      </c>
      <c r="AB890" s="320">
        <v>49.7596</v>
      </c>
      <c r="AC890" s="320">
        <v>0.5108</v>
      </c>
      <c r="AD890" s="329"/>
      <c r="AE890" s="329"/>
      <c r="AF890" s="329"/>
      <c r="AG890" s="329"/>
      <c r="AH890" s="329"/>
      <c r="AI890" s="320">
        <v>0.0</v>
      </c>
      <c r="AJ890" s="320">
        <v>0.0</v>
      </c>
      <c r="AK890" s="320">
        <v>0.0</v>
      </c>
      <c r="AL890" s="320">
        <v>0.269</v>
      </c>
      <c r="AM890" s="320">
        <v>15.72</v>
      </c>
      <c r="AN890" s="320">
        <v>7.71</v>
      </c>
      <c r="AO890" s="329"/>
      <c r="AP890" s="329"/>
    </row>
    <row r="891">
      <c r="A891" s="319" t="s">
        <v>258</v>
      </c>
      <c r="B891" s="328">
        <v>46078.0</v>
      </c>
      <c r="C891" s="319" t="s">
        <v>214</v>
      </c>
      <c r="D891" s="320">
        <v>34505.0</v>
      </c>
      <c r="E891" s="320">
        <v>43.41</v>
      </c>
      <c r="F891" s="320">
        <v>8028.96</v>
      </c>
      <c r="G891" s="320">
        <v>0.2327</v>
      </c>
      <c r="H891" s="320">
        <v>6.68</v>
      </c>
      <c r="I891" s="320">
        <v>3.4848</v>
      </c>
      <c r="J891" s="320">
        <v>33.15</v>
      </c>
      <c r="K891" s="320">
        <v>18.2</v>
      </c>
      <c r="L891" s="320">
        <v>5.08</v>
      </c>
      <c r="M891" s="320">
        <v>0.2792</v>
      </c>
      <c r="N891" s="320">
        <v>0.7854</v>
      </c>
      <c r="O891" s="320">
        <v>0.539</v>
      </c>
      <c r="P891" s="320">
        <v>3.5814</v>
      </c>
      <c r="Q891" s="320">
        <v>63.79</v>
      </c>
      <c r="R891" s="320">
        <v>53.06</v>
      </c>
      <c r="S891" s="320">
        <v>10.73</v>
      </c>
      <c r="T891" s="320">
        <v>16.47</v>
      </c>
      <c r="U891" s="320">
        <v>47.32</v>
      </c>
      <c r="V891" s="320">
        <v>72.22</v>
      </c>
      <c r="W891" s="320">
        <v>3.9682</v>
      </c>
      <c r="X891" s="320">
        <v>25.82</v>
      </c>
      <c r="Y891" s="320">
        <v>84.0</v>
      </c>
      <c r="Z891" s="320">
        <v>193.0</v>
      </c>
      <c r="AA891" s="320">
        <v>786.0</v>
      </c>
      <c r="AB891" s="320">
        <v>49.5063</v>
      </c>
      <c r="AC891" s="320">
        <v>0.4342</v>
      </c>
      <c r="AD891" s="320">
        <v>3.36</v>
      </c>
      <c r="AE891" s="320">
        <v>1.0</v>
      </c>
      <c r="AF891" s="320">
        <v>2.0</v>
      </c>
      <c r="AG891" s="320">
        <v>4.0</v>
      </c>
      <c r="AH891" s="320">
        <v>8.0</v>
      </c>
      <c r="AI891" s="320">
        <v>64.06</v>
      </c>
      <c r="AJ891" s="320">
        <v>22.82</v>
      </c>
      <c r="AK891" s="320">
        <v>6.22</v>
      </c>
      <c r="AL891" s="320">
        <v>0.2161</v>
      </c>
      <c r="AM891" s="320">
        <v>19.42</v>
      </c>
      <c r="AN891" s="320">
        <v>33.64</v>
      </c>
      <c r="AO891" s="320">
        <v>68.47</v>
      </c>
      <c r="AP891" s="320">
        <v>13.3</v>
      </c>
    </row>
    <row r="892">
      <c r="A892" s="319" t="s">
        <v>258</v>
      </c>
      <c r="B892" s="328">
        <v>46078.0</v>
      </c>
      <c r="C892" s="319" t="s">
        <v>215</v>
      </c>
      <c r="D892" s="320">
        <v>16324.0</v>
      </c>
      <c r="E892" s="320">
        <v>20.54</v>
      </c>
      <c r="F892" s="320">
        <v>19716.85</v>
      </c>
      <c r="G892" s="320">
        <v>1.2078</v>
      </c>
      <c r="H892" s="320">
        <v>22.97</v>
      </c>
      <c r="I892" s="320">
        <v>5.2578</v>
      </c>
      <c r="J892" s="320">
        <v>60.35</v>
      </c>
      <c r="K892" s="320">
        <v>35.08</v>
      </c>
      <c r="L892" s="320">
        <v>13.77</v>
      </c>
      <c r="M892" s="320">
        <v>0.3927</v>
      </c>
      <c r="N892" s="320">
        <v>0.668</v>
      </c>
      <c r="O892" s="320">
        <v>0.3815</v>
      </c>
      <c r="P892" s="320">
        <v>2.5467</v>
      </c>
      <c r="Q892" s="320">
        <v>161.95</v>
      </c>
      <c r="R892" s="320">
        <v>134.39</v>
      </c>
      <c r="S892" s="320">
        <v>27.57</v>
      </c>
      <c r="T892" s="320">
        <v>80.86</v>
      </c>
      <c r="U892" s="320">
        <v>81.1</v>
      </c>
      <c r="V892" s="320">
        <v>178.35</v>
      </c>
      <c r="W892" s="320">
        <v>5.0841</v>
      </c>
      <c r="X892" s="320">
        <v>49.93</v>
      </c>
      <c r="Y892" s="320">
        <v>81.0</v>
      </c>
      <c r="Z892" s="320">
        <v>170.0</v>
      </c>
      <c r="AA892" s="320">
        <v>580.0</v>
      </c>
      <c r="AB892" s="320">
        <v>52.419</v>
      </c>
      <c r="AC892" s="320">
        <v>0.5211</v>
      </c>
      <c r="AD892" s="320">
        <v>8.42</v>
      </c>
      <c r="AE892" s="320">
        <v>2.0</v>
      </c>
      <c r="AF892" s="320">
        <v>6.0</v>
      </c>
      <c r="AG892" s="320">
        <v>12.0</v>
      </c>
      <c r="AH892" s="320">
        <v>19.0</v>
      </c>
      <c r="AI892" s="320">
        <v>51.68</v>
      </c>
      <c r="AJ892" s="320">
        <v>23.14</v>
      </c>
      <c r="AK892" s="320">
        <v>4.03</v>
      </c>
      <c r="AL892" s="320">
        <v>0.19</v>
      </c>
      <c r="AM892" s="320">
        <v>20.05</v>
      </c>
      <c r="AN892" s="320">
        <v>114.33</v>
      </c>
      <c r="AO892" s="320">
        <v>72.94</v>
      </c>
      <c r="AP892" s="320">
        <v>14.62</v>
      </c>
    </row>
    <row r="893">
      <c r="A893" s="319" t="s">
        <v>258</v>
      </c>
      <c r="B893" s="328">
        <v>46078.0</v>
      </c>
      <c r="C893" s="319" t="s">
        <v>216</v>
      </c>
      <c r="D893" s="320">
        <v>7937.0</v>
      </c>
      <c r="E893" s="320">
        <v>9.99</v>
      </c>
      <c r="F893" s="320">
        <v>22968.3</v>
      </c>
      <c r="G893" s="320">
        <v>2.8938</v>
      </c>
      <c r="H893" s="320">
        <v>34.64</v>
      </c>
      <c r="I893" s="320">
        <v>8.3551</v>
      </c>
      <c r="J893" s="320">
        <v>80.94</v>
      </c>
      <c r="K893" s="320">
        <v>48.85</v>
      </c>
      <c r="L893" s="320">
        <v>25.53</v>
      </c>
      <c r="M893" s="320">
        <v>0.5227</v>
      </c>
      <c r="N893" s="320">
        <v>0.55</v>
      </c>
      <c r="O893" s="320">
        <v>0.3029</v>
      </c>
      <c r="P893" s="320">
        <v>1.9131</v>
      </c>
      <c r="Q893" s="320">
        <v>307.55</v>
      </c>
      <c r="R893" s="320">
        <v>254.52</v>
      </c>
      <c r="S893" s="320">
        <v>53.03</v>
      </c>
      <c r="T893" s="320">
        <v>182.67</v>
      </c>
      <c r="U893" s="320">
        <v>124.88</v>
      </c>
      <c r="V893" s="320">
        <v>337.8</v>
      </c>
      <c r="W893" s="320">
        <v>6.9155</v>
      </c>
      <c r="X893" s="320">
        <v>59.4</v>
      </c>
      <c r="Y893" s="320">
        <v>83.0</v>
      </c>
      <c r="Z893" s="320">
        <v>199.0</v>
      </c>
      <c r="AA893" s="320">
        <v>718.0</v>
      </c>
      <c r="AB893" s="320">
        <v>54.9545</v>
      </c>
      <c r="AC893" s="320">
        <v>0.6519</v>
      </c>
      <c r="AD893" s="320">
        <v>16.51</v>
      </c>
      <c r="AE893" s="320">
        <v>5.0</v>
      </c>
      <c r="AF893" s="320">
        <v>12.0</v>
      </c>
      <c r="AG893" s="320">
        <v>24.0</v>
      </c>
      <c r="AH893" s="320">
        <v>36.0</v>
      </c>
      <c r="AI893" s="320">
        <v>53.13</v>
      </c>
      <c r="AJ893" s="320">
        <v>22.41</v>
      </c>
      <c r="AK893" s="320">
        <v>6.45</v>
      </c>
      <c r="AL893" s="320">
        <v>0.1908</v>
      </c>
      <c r="AM893" s="320">
        <v>19.24</v>
      </c>
      <c r="AN893" s="320">
        <v>235.28</v>
      </c>
      <c r="AO893" s="320">
        <v>73.96</v>
      </c>
      <c r="AP893" s="320">
        <v>14.23</v>
      </c>
    </row>
    <row r="894">
      <c r="A894" s="319" t="s">
        <v>258</v>
      </c>
      <c r="B894" s="328">
        <v>46078.0</v>
      </c>
      <c r="C894" s="319" t="s">
        <v>217</v>
      </c>
      <c r="D894" s="320">
        <v>3077.0</v>
      </c>
      <c r="E894" s="320">
        <v>3.87</v>
      </c>
      <c r="F894" s="320">
        <v>20638.67</v>
      </c>
      <c r="G894" s="320">
        <v>6.7074</v>
      </c>
      <c r="H894" s="320">
        <v>45.47</v>
      </c>
      <c r="I894" s="320">
        <v>14.7524</v>
      </c>
      <c r="J894" s="320">
        <v>129.01</v>
      </c>
      <c r="K894" s="320">
        <v>79.21</v>
      </c>
      <c r="L894" s="320">
        <v>52.29</v>
      </c>
      <c r="M894" s="320">
        <v>0.6602</v>
      </c>
      <c r="N894" s="320">
        <v>0.4297</v>
      </c>
      <c r="O894" s="320">
        <v>0.243</v>
      </c>
      <c r="P894" s="320">
        <v>1.5147</v>
      </c>
      <c r="Q894" s="320">
        <v>636.13</v>
      </c>
      <c r="R894" s="320">
        <v>526.08</v>
      </c>
      <c r="S894" s="320">
        <v>110.05</v>
      </c>
      <c r="T894" s="320">
        <v>422.31</v>
      </c>
      <c r="U894" s="320">
        <v>213.82</v>
      </c>
      <c r="V894" s="320">
        <v>689.6</v>
      </c>
      <c r="W894" s="320">
        <v>8.7065</v>
      </c>
      <c r="X894" s="320">
        <v>66.39</v>
      </c>
      <c r="Y894" s="320">
        <v>91.0</v>
      </c>
      <c r="Z894" s="320">
        <v>272.0</v>
      </c>
      <c r="AA894" s="320">
        <v>1033.0</v>
      </c>
      <c r="AB894" s="320">
        <v>58.1754</v>
      </c>
      <c r="AC894" s="320">
        <v>0.7616</v>
      </c>
      <c r="AD894" s="320">
        <v>34.92</v>
      </c>
      <c r="AE894" s="320">
        <v>11.0</v>
      </c>
      <c r="AF894" s="320">
        <v>25.0</v>
      </c>
      <c r="AG894" s="320">
        <v>50.0</v>
      </c>
      <c r="AH894" s="320">
        <v>78.0</v>
      </c>
      <c r="AI894" s="320">
        <v>46.77</v>
      </c>
      <c r="AJ894" s="320">
        <v>18.88</v>
      </c>
      <c r="AK894" s="320">
        <v>4.52</v>
      </c>
      <c r="AL894" s="320">
        <v>0.1784</v>
      </c>
      <c r="AM894" s="320">
        <v>19.44</v>
      </c>
      <c r="AN894" s="320">
        <v>506.65</v>
      </c>
      <c r="AO894" s="320">
        <v>74.73</v>
      </c>
      <c r="AP894" s="320">
        <v>14.53</v>
      </c>
    </row>
    <row r="895">
      <c r="A895" s="319" t="s">
        <v>258</v>
      </c>
      <c r="B895" s="328">
        <v>46078.0</v>
      </c>
      <c r="C895" s="319" t="s">
        <v>218</v>
      </c>
      <c r="D895" s="320">
        <v>330.0</v>
      </c>
      <c r="E895" s="320">
        <v>0.42</v>
      </c>
      <c r="F895" s="320">
        <v>4494.12</v>
      </c>
      <c r="G895" s="320">
        <v>13.6185</v>
      </c>
      <c r="H895" s="320">
        <v>47.58</v>
      </c>
      <c r="I895" s="320">
        <v>28.625</v>
      </c>
      <c r="J895" s="320">
        <v>229.49</v>
      </c>
      <c r="K895" s="320">
        <v>148.53</v>
      </c>
      <c r="L895" s="320">
        <v>118.88</v>
      </c>
      <c r="M895" s="320">
        <v>0.8004</v>
      </c>
      <c r="N895" s="320">
        <v>0.2904</v>
      </c>
      <c r="O895" s="320">
        <v>0.1847</v>
      </c>
      <c r="P895" s="320">
        <v>1.2494</v>
      </c>
      <c r="Q895" s="320">
        <v>1258.58</v>
      </c>
      <c r="R895" s="320">
        <v>1007.45</v>
      </c>
      <c r="S895" s="320">
        <v>251.14</v>
      </c>
      <c r="T895" s="320">
        <v>833.47</v>
      </c>
      <c r="U895" s="320">
        <v>425.12</v>
      </c>
      <c r="V895" s="320">
        <v>1318.94</v>
      </c>
      <c r="W895" s="320">
        <v>8.8801</v>
      </c>
      <c r="X895" s="320">
        <v>66.22</v>
      </c>
      <c r="Y895" s="320">
        <v>130.0</v>
      </c>
      <c r="Z895" s="320">
        <v>564.0</v>
      </c>
      <c r="AA895" s="320">
        <v>2317.0</v>
      </c>
      <c r="AB895" s="320">
        <v>62.0576</v>
      </c>
      <c r="AC895" s="320">
        <v>0.8402</v>
      </c>
      <c r="AD895" s="320">
        <v>75.75</v>
      </c>
      <c r="AE895" s="320">
        <v>29.0</v>
      </c>
      <c r="AF895" s="320">
        <v>53.0</v>
      </c>
      <c r="AG895" s="320">
        <v>105.0</v>
      </c>
      <c r="AH895" s="320">
        <v>169.0</v>
      </c>
      <c r="AI895" s="320">
        <v>36.36</v>
      </c>
      <c r="AJ895" s="320">
        <v>9.09</v>
      </c>
      <c r="AK895" s="320">
        <v>1.21</v>
      </c>
      <c r="AL895" s="320">
        <v>0.1061</v>
      </c>
      <c r="AM895" s="320">
        <v>22.03</v>
      </c>
      <c r="AN895" s="320">
        <v>985.42</v>
      </c>
      <c r="AO895" s="320">
        <v>71.86</v>
      </c>
      <c r="AP895" s="320">
        <v>15.83</v>
      </c>
    </row>
    <row r="896">
      <c r="A896" s="319" t="s">
        <v>258</v>
      </c>
      <c r="B896" s="328">
        <v>46079.0</v>
      </c>
      <c r="C896" s="319" t="s">
        <v>257</v>
      </c>
      <c r="D896" s="320">
        <v>18046.0</v>
      </c>
      <c r="E896" s="320">
        <v>23.09</v>
      </c>
      <c r="F896" s="320">
        <v>146.62</v>
      </c>
      <c r="G896" s="320">
        <v>0.0081</v>
      </c>
      <c r="H896" s="320">
        <v>0.22</v>
      </c>
      <c r="I896" s="320">
        <v>3.7595</v>
      </c>
      <c r="J896" s="320">
        <v>6.5</v>
      </c>
      <c r="K896" s="320">
        <v>2.99</v>
      </c>
      <c r="L896" s="320">
        <v>0.03</v>
      </c>
      <c r="M896" s="320">
        <v>0.0109</v>
      </c>
      <c r="N896" s="320">
        <v>0.9899</v>
      </c>
      <c r="O896" s="320">
        <v>0.839</v>
      </c>
      <c r="P896" s="320">
        <v>91.8842</v>
      </c>
      <c r="Q896" s="320">
        <v>23.32</v>
      </c>
      <c r="R896" s="320">
        <v>23.28</v>
      </c>
      <c r="S896" s="320">
        <v>0.04</v>
      </c>
      <c r="T896" s="320">
        <v>0.54</v>
      </c>
      <c r="U896" s="320">
        <v>22.77</v>
      </c>
      <c r="V896" s="320">
        <v>2.0</v>
      </c>
      <c r="W896" s="320">
        <v>0.6702</v>
      </c>
      <c r="X896" s="320">
        <v>2.34</v>
      </c>
      <c r="Y896" s="320">
        <v>129.0</v>
      </c>
      <c r="Z896" s="320">
        <v>810.0</v>
      </c>
      <c r="AA896" s="320">
        <v>6369.0</v>
      </c>
      <c r="AB896" s="320">
        <v>49.6029</v>
      </c>
      <c r="AC896" s="320">
        <v>0.4989</v>
      </c>
      <c r="AD896" s="329"/>
      <c r="AE896" s="329"/>
      <c r="AF896" s="329"/>
      <c r="AG896" s="329"/>
      <c r="AH896" s="329"/>
      <c r="AI896" s="320">
        <v>0.0</v>
      </c>
      <c r="AJ896" s="320">
        <v>0.0</v>
      </c>
      <c r="AK896" s="320">
        <v>0.0</v>
      </c>
      <c r="AL896" s="320">
        <v>0.287</v>
      </c>
      <c r="AM896" s="320">
        <v>15.48</v>
      </c>
      <c r="AN896" s="320">
        <v>7.8</v>
      </c>
      <c r="AO896" s="329"/>
      <c r="AP896" s="329"/>
    </row>
    <row r="897">
      <c r="A897" s="319" t="s">
        <v>258</v>
      </c>
      <c r="B897" s="328">
        <v>46079.0</v>
      </c>
      <c r="C897" s="319" t="s">
        <v>214</v>
      </c>
      <c r="D897" s="320">
        <v>33524.0</v>
      </c>
      <c r="E897" s="320">
        <v>42.89</v>
      </c>
      <c r="F897" s="320">
        <v>8253.81</v>
      </c>
      <c r="G897" s="320">
        <v>0.2462</v>
      </c>
      <c r="H897" s="320">
        <v>6.76</v>
      </c>
      <c r="I897" s="320">
        <v>3.6409</v>
      </c>
      <c r="J897" s="320">
        <v>29.58</v>
      </c>
      <c r="K897" s="320">
        <v>15.84</v>
      </c>
      <c r="L897" s="320">
        <v>4.9</v>
      </c>
      <c r="M897" s="320">
        <v>0.3096</v>
      </c>
      <c r="N897" s="320">
        <v>0.763</v>
      </c>
      <c r="O897" s="320">
        <v>0.5254</v>
      </c>
      <c r="P897" s="320">
        <v>3.2301</v>
      </c>
      <c r="Q897" s="320">
        <v>65.19</v>
      </c>
      <c r="R897" s="320">
        <v>54.92</v>
      </c>
      <c r="S897" s="320">
        <v>10.28</v>
      </c>
      <c r="T897" s="320">
        <v>17.42</v>
      </c>
      <c r="U897" s="320">
        <v>47.77</v>
      </c>
      <c r="V897" s="320">
        <v>70.22</v>
      </c>
      <c r="W897" s="320">
        <v>4.4324</v>
      </c>
      <c r="X897" s="320">
        <v>26.72</v>
      </c>
      <c r="Y897" s="320">
        <v>85.0</v>
      </c>
      <c r="Z897" s="320">
        <v>198.0</v>
      </c>
      <c r="AA897" s="320">
        <v>784.0</v>
      </c>
      <c r="AB897" s="320">
        <v>49.5027</v>
      </c>
      <c r="AC897" s="320">
        <v>0.4365</v>
      </c>
      <c r="AD897" s="320">
        <v>3.34</v>
      </c>
      <c r="AE897" s="320">
        <v>1.0</v>
      </c>
      <c r="AF897" s="320">
        <v>2.0</v>
      </c>
      <c r="AG897" s="320">
        <v>4.0</v>
      </c>
      <c r="AH897" s="320">
        <v>8.0</v>
      </c>
      <c r="AI897" s="320">
        <v>62.8</v>
      </c>
      <c r="AJ897" s="320">
        <v>22.48</v>
      </c>
      <c r="AK897" s="320">
        <v>6.54</v>
      </c>
      <c r="AL897" s="320">
        <v>0.2269</v>
      </c>
      <c r="AM897" s="320">
        <v>20.22</v>
      </c>
      <c r="AN897" s="320">
        <v>34.7</v>
      </c>
      <c r="AO897" s="320">
        <v>68.95</v>
      </c>
      <c r="AP897" s="320">
        <v>13.94</v>
      </c>
    </row>
    <row r="898">
      <c r="A898" s="319" t="s">
        <v>258</v>
      </c>
      <c r="B898" s="328">
        <v>46079.0</v>
      </c>
      <c r="C898" s="319" t="s">
        <v>215</v>
      </c>
      <c r="D898" s="320">
        <v>15369.0</v>
      </c>
      <c r="E898" s="320">
        <v>19.66</v>
      </c>
      <c r="F898" s="320">
        <v>17629.27</v>
      </c>
      <c r="G898" s="320">
        <v>1.1471</v>
      </c>
      <c r="H898" s="320">
        <v>22.46</v>
      </c>
      <c r="I898" s="320">
        <v>5.107</v>
      </c>
      <c r="J898" s="320">
        <v>53.26</v>
      </c>
      <c r="K898" s="320">
        <v>30.44</v>
      </c>
      <c r="L898" s="320">
        <v>13.25</v>
      </c>
      <c r="M898" s="320">
        <v>0.4351</v>
      </c>
      <c r="N898" s="320">
        <v>0.6338</v>
      </c>
      <c r="O898" s="320">
        <v>0.3632</v>
      </c>
      <c r="P898" s="320">
        <v>2.2983</v>
      </c>
      <c r="Q898" s="320">
        <v>174.04</v>
      </c>
      <c r="R898" s="320">
        <v>147.3</v>
      </c>
      <c r="S898" s="320">
        <v>26.73</v>
      </c>
      <c r="T898" s="320">
        <v>76.23</v>
      </c>
      <c r="U898" s="320">
        <v>97.81</v>
      </c>
      <c r="V898" s="320">
        <v>176.68</v>
      </c>
      <c r="W898" s="320">
        <v>5.8038</v>
      </c>
      <c r="X898" s="320">
        <v>43.8</v>
      </c>
      <c r="Y898" s="320">
        <v>82.0</v>
      </c>
      <c r="Z898" s="320">
        <v>188.0</v>
      </c>
      <c r="AA898" s="320">
        <v>627.0</v>
      </c>
      <c r="AB898" s="320">
        <v>52.4631</v>
      </c>
      <c r="AC898" s="320">
        <v>0.5298</v>
      </c>
      <c r="AD898" s="320">
        <v>8.52</v>
      </c>
      <c r="AE898" s="320">
        <v>2.0</v>
      </c>
      <c r="AF898" s="320">
        <v>6.0</v>
      </c>
      <c r="AG898" s="320">
        <v>12.0</v>
      </c>
      <c r="AH898" s="320">
        <v>19.0</v>
      </c>
      <c r="AI898" s="320">
        <v>50.95</v>
      </c>
      <c r="AJ898" s="320">
        <v>22.8</v>
      </c>
      <c r="AK898" s="320">
        <v>4.78</v>
      </c>
      <c r="AL898" s="320">
        <v>0.1909</v>
      </c>
      <c r="AM898" s="320">
        <v>20.26</v>
      </c>
      <c r="AN898" s="320">
        <v>127.04</v>
      </c>
      <c r="AO898" s="320">
        <v>74.5</v>
      </c>
      <c r="AP898" s="320">
        <v>15.09</v>
      </c>
    </row>
    <row r="899">
      <c r="A899" s="319" t="s">
        <v>258</v>
      </c>
      <c r="B899" s="328">
        <v>46079.0</v>
      </c>
      <c r="C899" s="319" t="s">
        <v>216</v>
      </c>
      <c r="D899" s="320">
        <v>7715.0</v>
      </c>
      <c r="E899" s="320">
        <v>9.87</v>
      </c>
      <c r="F899" s="320">
        <v>20246.29</v>
      </c>
      <c r="G899" s="320">
        <v>2.6243</v>
      </c>
      <c r="H899" s="320">
        <v>33.22</v>
      </c>
      <c r="I899" s="320">
        <v>7.8994</v>
      </c>
      <c r="J899" s="320">
        <v>74.63</v>
      </c>
      <c r="K899" s="320">
        <v>44.08</v>
      </c>
      <c r="L899" s="320">
        <v>25.06</v>
      </c>
      <c r="M899" s="320">
        <v>0.5684</v>
      </c>
      <c r="N899" s="320">
        <v>0.5133</v>
      </c>
      <c r="O899" s="320">
        <v>0.2869</v>
      </c>
      <c r="P899" s="320">
        <v>1.7592</v>
      </c>
      <c r="Q899" s="320">
        <v>345.52</v>
      </c>
      <c r="R899" s="320">
        <v>292.91</v>
      </c>
      <c r="S899" s="320">
        <v>52.61</v>
      </c>
      <c r="T899" s="320">
        <v>163.44</v>
      </c>
      <c r="U899" s="320">
        <v>182.07</v>
      </c>
      <c r="V899" s="320">
        <v>343.92</v>
      </c>
      <c r="W899" s="320">
        <v>7.8023</v>
      </c>
      <c r="X899" s="320">
        <v>47.3</v>
      </c>
      <c r="Y899" s="320">
        <v>89.0</v>
      </c>
      <c r="Z899" s="320">
        <v>237.0</v>
      </c>
      <c r="AA899" s="320">
        <v>731.0</v>
      </c>
      <c r="AB899" s="320">
        <v>54.9861</v>
      </c>
      <c r="AC899" s="320">
        <v>0.6555</v>
      </c>
      <c r="AD899" s="320">
        <v>17.06</v>
      </c>
      <c r="AE899" s="320">
        <v>5.0</v>
      </c>
      <c r="AF899" s="320">
        <v>12.0</v>
      </c>
      <c r="AG899" s="320">
        <v>25.0</v>
      </c>
      <c r="AH899" s="320">
        <v>38.0</v>
      </c>
      <c r="AI899" s="320">
        <v>54.13</v>
      </c>
      <c r="AJ899" s="320">
        <v>23.42</v>
      </c>
      <c r="AK899" s="320">
        <v>7.28</v>
      </c>
      <c r="AL899" s="320">
        <v>0.1981</v>
      </c>
      <c r="AM899" s="320">
        <v>19.75</v>
      </c>
      <c r="AN899" s="320">
        <v>273.16</v>
      </c>
      <c r="AO899" s="320">
        <v>74.74</v>
      </c>
      <c r="AP899" s="320">
        <v>14.76</v>
      </c>
    </row>
    <row r="900">
      <c r="A900" s="319" t="s">
        <v>258</v>
      </c>
      <c r="B900" s="328">
        <v>46079.0</v>
      </c>
      <c r="C900" s="319" t="s">
        <v>217</v>
      </c>
      <c r="D900" s="320">
        <v>3181.0</v>
      </c>
      <c r="E900" s="320">
        <v>4.07</v>
      </c>
      <c r="F900" s="320">
        <v>18351.44</v>
      </c>
      <c r="G900" s="320">
        <v>5.7691</v>
      </c>
      <c r="H900" s="320">
        <v>40.33</v>
      </c>
      <c r="I900" s="320">
        <v>14.3035</v>
      </c>
      <c r="J900" s="320">
        <v>120.75</v>
      </c>
      <c r="K900" s="320">
        <v>74.14</v>
      </c>
      <c r="L900" s="320">
        <v>53.14</v>
      </c>
      <c r="M900" s="320">
        <v>0.7168</v>
      </c>
      <c r="N900" s="320">
        <v>0.3815</v>
      </c>
      <c r="O900" s="320">
        <v>0.2256</v>
      </c>
      <c r="P900" s="320">
        <v>1.3951</v>
      </c>
      <c r="Q900" s="320">
        <v>750.57</v>
      </c>
      <c r="R900" s="320">
        <v>638.81</v>
      </c>
      <c r="S900" s="320">
        <v>111.76</v>
      </c>
      <c r="T900" s="320">
        <v>359.2</v>
      </c>
      <c r="U900" s="320">
        <v>391.37</v>
      </c>
      <c r="V900" s="320">
        <v>727.68</v>
      </c>
      <c r="W900" s="320">
        <v>9.8151</v>
      </c>
      <c r="X900" s="320">
        <v>47.86</v>
      </c>
      <c r="Y900" s="320">
        <v>114.0</v>
      </c>
      <c r="Z900" s="320">
        <v>398.0</v>
      </c>
      <c r="AA900" s="320">
        <v>1139.0</v>
      </c>
      <c r="AB900" s="320">
        <v>58.0791</v>
      </c>
      <c r="AC900" s="320">
        <v>0.7505</v>
      </c>
      <c r="AD900" s="320">
        <v>37.28</v>
      </c>
      <c r="AE900" s="320">
        <v>12.0</v>
      </c>
      <c r="AF900" s="320">
        <v>29.0</v>
      </c>
      <c r="AG900" s="320">
        <v>52.0</v>
      </c>
      <c r="AH900" s="320">
        <v>81.0</v>
      </c>
      <c r="AI900" s="320">
        <v>52.18</v>
      </c>
      <c r="AJ900" s="320">
        <v>19.93</v>
      </c>
      <c r="AK900" s="320">
        <v>4.84</v>
      </c>
      <c r="AL900" s="320">
        <v>0.1861</v>
      </c>
      <c r="AM900" s="320">
        <v>20.05</v>
      </c>
      <c r="AN900" s="320">
        <v>618.76</v>
      </c>
      <c r="AO900" s="320">
        <v>74.45</v>
      </c>
      <c r="AP900" s="320">
        <v>14.93</v>
      </c>
    </row>
    <row r="901">
      <c r="A901" s="319" t="s">
        <v>258</v>
      </c>
      <c r="B901" s="328">
        <v>46079.0</v>
      </c>
      <c r="C901" s="319" t="s">
        <v>218</v>
      </c>
      <c r="D901" s="320">
        <v>329.0</v>
      </c>
      <c r="E901" s="320">
        <v>0.42</v>
      </c>
      <c r="F901" s="320">
        <v>3564.89</v>
      </c>
      <c r="G901" s="320">
        <v>10.8355</v>
      </c>
      <c r="H901" s="320">
        <v>44.07</v>
      </c>
      <c r="I901" s="320">
        <v>24.5854</v>
      </c>
      <c r="J901" s="320">
        <v>214.32</v>
      </c>
      <c r="K901" s="320">
        <v>142.29</v>
      </c>
      <c r="L901" s="320">
        <v>118.07</v>
      </c>
      <c r="M901" s="320">
        <v>0.8298</v>
      </c>
      <c r="N901" s="320">
        <v>0.2665</v>
      </c>
      <c r="O901" s="320">
        <v>0.1706</v>
      </c>
      <c r="P901" s="320">
        <v>1.2051</v>
      </c>
      <c r="Q901" s="320">
        <v>1413.4</v>
      </c>
      <c r="R901" s="320">
        <v>1164.47</v>
      </c>
      <c r="S901" s="320">
        <v>248.92</v>
      </c>
      <c r="T901" s="320">
        <v>661.6</v>
      </c>
      <c r="U901" s="320">
        <v>751.8</v>
      </c>
      <c r="V901" s="320">
        <v>1371.73</v>
      </c>
      <c r="W901" s="320">
        <v>9.6405</v>
      </c>
      <c r="X901" s="320">
        <v>46.81</v>
      </c>
      <c r="Y901" s="320">
        <v>196.0</v>
      </c>
      <c r="Z901" s="320">
        <v>721.0</v>
      </c>
      <c r="AA901" s="320">
        <v>2779.0</v>
      </c>
      <c r="AB901" s="320">
        <v>62.7095</v>
      </c>
      <c r="AC901" s="320">
        <v>0.8282</v>
      </c>
      <c r="AD901" s="320">
        <v>80.67</v>
      </c>
      <c r="AE901" s="320">
        <v>31.0</v>
      </c>
      <c r="AF901" s="320">
        <v>64.0</v>
      </c>
      <c r="AG901" s="320">
        <v>108.0</v>
      </c>
      <c r="AH901" s="320">
        <v>168.0</v>
      </c>
      <c r="AI901" s="320">
        <v>41.95</v>
      </c>
      <c r="AJ901" s="320">
        <v>8.81</v>
      </c>
      <c r="AK901" s="320">
        <v>1.82</v>
      </c>
      <c r="AL901" s="320">
        <v>0.1337</v>
      </c>
      <c r="AM901" s="320">
        <v>20.29</v>
      </c>
      <c r="AN901" s="320">
        <v>1144.19</v>
      </c>
      <c r="AO901" s="320">
        <v>73.77</v>
      </c>
      <c r="AP901" s="320">
        <v>14.97</v>
      </c>
    </row>
    <row r="902">
      <c r="A902" s="319" t="s">
        <v>258</v>
      </c>
      <c r="B902" s="328">
        <v>46080.0</v>
      </c>
      <c r="C902" s="319" t="s">
        <v>257</v>
      </c>
      <c r="D902" s="320">
        <v>15683.0</v>
      </c>
      <c r="E902" s="320">
        <v>20.55</v>
      </c>
      <c r="F902" s="320">
        <v>271.73</v>
      </c>
      <c r="G902" s="320">
        <v>0.0173</v>
      </c>
      <c r="H902" s="320">
        <v>0.29</v>
      </c>
      <c r="I902" s="320">
        <v>5.9072</v>
      </c>
      <c r="J902" s="320">
        <v>5.91</v>
      </c>
      <c r="K902" s="320">
        <v>2.59</v>
      </c>
      <c r="L902" s="320">
        <v>0.03</v>
      </c>
      <c r="M902" s="320">
        <v>0.0104</v>
      </c>
      <c r="N902" s="320">
        <v>0.9902</v>
      </c>
      <c r="O902" s="320">
        <v>0.8669</v>
      </c>
      <c r="P902" s="320">
        <v>96.1327</v>
      </c>
      <c r="Q902" s="320">
        <v>30.29</v>
      </c>
      <c r="R902" s="320">
        <v>30.21</v>
      </c>
      <c r="S902" s="320">
        <v>0.08</v>
      </c>
      <c r="T902" s="320">
        <v>1.13</v>
      </c>
      <c r="U902" s="320">
        <v>29.16</v>
      </c>
      <c r="V902" s="320">
        <v>1.63</v>
      </c>
      <c r="W902" s="320">
        <v>0.631</v>
      </c>
      <c r="X902" s="320">
        <v>3.75</v>
      </c>
      <c r="Y902" s="320">
        <v>167.0</v>
      </c>
      <c r="Z902" s="320">
        <v>1151.0</v>
      </c>
      <c r="AA902" s="320">
        <v>7395.0</v>
      </c>
      <c r="AB902" s="320">
        <v>49.7267</v>
      </c>
      <c r="AC902" s="320">
        <v>0.5102</v>
      </c>
      <c r="AD902" s="329"/>
      <c r="AE902" s="329"/>
      <c r="AF902" s="329"/>
      <c r="AG902" s="329"/>
      <c r="AH902" s="329"/>
      <c r="AI902" s="320">
        <v>0.0</v>
      </c>
      <c r="AJ902" s="320">
        <v>0.0</v>
      </c>
      <c r="AK902" s="320">
        <v>0.0</v>
      </c>
      <c r="AL902" s="320">
        <v>0.3027</v>
      </c>
      <c r="AM902" s="320">
        <v>16.98</v>
      </c>
      <c r="AN902" s="320">
        <v>13.22</v>
      </c>
      <c r="AO902" s="329"/>
      <c r="AP902" s="329"/>
    </row>
    <row r="903">
      <c r="A903" s="319" t="s">
        <v>258</v>
      </c>
      <c r="B903" s="328">
        <v>46080.0</v>
      </c>
      <c r="C903" s="319" t="s">
        <v>214</v>
      </c>
      <c r="D903" s="320">
        <v>33985.0</v>
      </c>
      <c r="E903" s="320">
        <v>44.54</v>
      </c>
      <c r="F903" s="320">
        <v>9641.79</v>
      </c>
      <c r="G903" s="320">
        <v>0.2837</v>
      </c>
      <c r="H903" s="320">
        <v>7.57</v>
      </c>
      <c r="I903" s="320">
        <v>3.7458</v>
      </c>
      <c r="J903" s="320">
        <v>34.24</v>
      </c>
      <c r="K903" s="320">
        <v>18.38</v>
      </c>
      <c r="L903" s="320">
        <v>5.53</v>
      </c>
      <c r="M903" s="320">
        <v>0.3009</v>
      </c>
      <c r="N903" s="320">
        <v>0.7693</v>
      </c>
      <c r="O903" s="320">
        <v>0.5184</v>
      </c>
      <c r="P903" s="320">
        <v>3.3232</v>
      </c>
      <c r="Q903" s="320">
        <v>90.15</v>
      </c>
      <c r="R903" s="320">
        <v>78.76</v>
      </c>
      <c r="S903" s="320">
        <v>11.38</v>
      </c>
      <c r="T903" s="320">
        <v>20.16</v>
      </c>
      <c r="U903" s="320">
        <v>69.99</v>
      </c>
      <c r="V903" s="320">
        <v>85.7</v>
      </c>
      <c r="W903" s="320">
        <v>4.6635</v>
      </c>
      <c r="X903" s="320">
        <v>22.36</v>
      </c>
      <c r="Y903" s="320">
        <v>87.0</v>
      </c>
      <c r="Z903" s="320">
        <v>213.0</v>
      </c>
      <c r="AA903" s="320">
        <v>804.0</v>
      </c>
      <c r="AB903" s="320">
        <v>49.4277</v>
      </c>
      <c r="AC903" s="320">
        <v>0.4344</v>
      </c>
      <c r="AD903" s="320">
        <v>3.58</v>
      </c>
      <c r="AE903" s="320">
        <v>1.0</v>
      </c>
      <c r="AF903" s="320">
        <v>2.0</v>
      </c>
      <c r="AG903" s="320">
        <v>5.0</v>
      </c>
      <c r="AH903" s="320">
        <v>8.0</v>
      </c>
      <c r="AI903" s="320">
        <v>66.91</v>
      </c>
      <c r="AJ903" s="320">
        <v>25.2</v>
      </c>
      <c r="AK903" s="320">
        <v>7.17</v>
      </c>
      <c r="AL903" s="320">
        <v>0.2361</v>
      </c>
      <c r="AM903" s="320">
        <v>21.18</v>
      </c>
      <c r="AN903" s="320">
        <v>57.58</v>
      </c>
      <c r="AO903" s="320">
        <v>68.85</v>
      </c>
      <c r="AP903" s="320">
        <v>14.58</v>
      </c>
    </row>
    <row r="904">
      <c r="A904" s="319" t="s">
        <v>258</v>
      </c>
      <c r="B904" s="328">
        <v>46080.0</v>
      </c>
      <c r="C904" s="319" t="s">
        <v>215</v>
      </c>
      <c r="D904" s="320">
        <v>15557.0</v>
      </c>
      <c r="E904" s="320">
        <v>20.39</v>
      </c>
      <c r="F904" s="320">
        <v>18718.59</v>
      </c>
      <c r="G904" s="320">
        <v>1.2032</v>
      </c>
      <c r="H904" s="320">
        <v>23.56</v>
      </c>
      <c r="I904" s="320">
        <v>5.106</v>
      </c>
      <c r="J904" s="320">
        <v>61.05</v>
      </c>
      <c r="K904" s="320">
        <v>35.05</v>
      </c>
      <c r="L904" s="320">
        <v>14.27</v>
      </c>
      <c r="M904" s="320">
        <v>0.4072</v>
      </c>
      <c r="N904" s="320">
        <v>0.6585</v>
      </c>
      <c r="O904" s="320">
        <v>0.3762</v>
      </c>
      <c r="P904" s="320">
        <v>2.4557</v>
      </c>
      <c r="Q904" s="320">
        <v>197.42</v>
      </c>
      <c r="R904" s="320">
        <v>167.74</v>
      </c>
      <c r="S904" s="320">
        <v>29.68</v>
      </c>
      <c r="T904" s="320">
        <v>80.03</v>
      </c>
      <c r="U904" s="320">
        <v>117.4</v>
      </c>
      <c r="V904" s="320">
        <v>195.98</v>
      </c>
      <c r="W904" s="320">
        <v>5.591</v>
      </c>
      <c r="X904" s="320">
        <v>40.54</v>
      </c>
      <c r="Y904" s="320">
        <v>85.0</v>
      </c>
      <c r="Z904" s="320">
        <v>190.0</v>
      </c>
      <c r="AA904" s="320">
        <v>586.0</v>
      </c>
      <c r="AB904" s="320">
        <v>52.3303</v>
      </c>
      <c r="AC904" s="320">
        <v>0.5347</v>
      </c>
      <c r="AD904" s="320">
        <v>9.07</v>
      </c>
      <c r="AE904" s="320">
        <v>3.0</v>
      </c>
      <c r="AF904" s="320">
        <v>6.0</v>
      </c>
      <c r="AG904" s="320">
        <v>12.0</v>
      </c>
      <c r="AH904" s="320">
        <v>20.0</v>
      </c>
      <c r="AI904" s="320">
        <v>55.09</v>
      </c>
      <c r="AJ904" s="320">
        <v>24.76</v>
      </c>
      <c r="AK904" s="320">
        <v>5.37</v>
      </c>
      <c r="AL904" s="320">
        <v>0.2055</v>
      </c>
      <c r="AM904" s="320">
        <v>21.75</v>
      </c>
      <c r="AN904" s="320">
        <v>145.99</v>
      </c>
      <c r="AO904" s="320">
        <v>74.62</v>
      </c>
      <c r="AP904" s="320">
        <v>16.23</v>
      </c>
    </row>
    <row r="905">
      <c r="A905" s="319" t="s">
        <v>258</v>
      </c>
      <c r="B905" s="328">
        <v>46080.0</v>
      </c>
      <c r="C905" s="319" t="s">
        <v>216</v>
      </c>
      <c r="D905" s="320">
        <v>7655.0</v>
      </c>
      <c r="E905" s="320">
        <v>10.03</v>
      </c>
      <c r="F905" s="320">
        <v>22695.15</v>
      </c>
      <c r="G905" s="320">
        <v>2.9647</v>
      </c>
      <c r="H905" s="320">
        <v>35.51</v>
      </c>
      <c r="I905" s="320">
        <v>8.3499</v>
      </c>
      <c r="J905" s="320">
        <v>85.02</v>
      </c>
      <c r="K905" s="320">
        <v>50.14</v>
      </c>
      <c r="L905" s="320">
        <v>26.68</v>
      </c>
      <c r="M905" s="320">
        <v>0.5322</v>
      </c>
      <c r="N905" s="320">
        <v>0.545</v>
      </c>
      <c r="O905" s="320">
        <v>0.2998</v>
      </c>
      <c r="P905" s="320">
        <v>1.8791</v>
      </c>
      <c r="Q905" s="320">
        <v>360.49</v>
      </c>
      <c r="R905" s="320">
        <v>304.39</v>
      </c>
      <c r="S905" s="320">
        <v>56.1</v>
      </c>
      <c r="T905" s="320">
        <v>185.86</v>
      </c>
      <c r="U905" s="320">
        <v>174.63</v>
      </c>
      <c r="V905" s="320">
        <v>368.54</v>
      </c>
      <c r="W905" s="320">
        <v>7.3508</v>
      </c>
      <c r="X905" s="320">
        <v>51.56</v>
      </c>
      <c r="Y905" s="320">
        <v>88.0</v>
      </c>
      <c r="Z905" s="320">
        <v>225.0</v>
      </c>
      <c r="AA905" s="320">
        <v>679.0</v>
      </c>
      <c r="AB905" s="320">
        <v>55.0329</v>
      </c>
      <c r="AC905" s="320">
        <v>0.658</v>
      </c>
      <c r="AD905" s="320">
        <v>17.51</v>
      </c>
      <c r="AE905" s="320">
        <v>6.0</v>
      </c>
      <c r="AF905" s="320">
        <v>13.0</v>
      </c>
      <c r="AG905" s="320">
        <v>24.0</v>
      </c>
      <c r="AH905" s="320">
        <v>38.0</v>
      </c>
      <c r="AI905" s="320">
        <v>56.21</v>
      </c>
      <c r="AJ905" s="320">
        <v>23.11</v>
      </c>
      <c r="AK905" s="320">
        <v>7.86</v>
      </c>
      <c r="AL905" s="320">
        <v>0.2107</v>
      </c>
      <c r="AM905" s="320">
        <v>21.12</v>
      </c>
      <c r="AN905" s="320">
        <v>283.27</v>
      </c>
      <c r="AO905" s="320">
        <v>74.88</v>
      </c>
      <c r="AP905" s="320">
        <v>15.81</v>
      </c>
    </row>
    <row r="906">
      <c r="A906" s="319" t="s">
        <v>258</v>
      </c>
      <c r="B906" s="328">
        <v>46080.0</v>
      </c>
      <c r="C906" s="319" t="s">
        <v>217</v>
      </c>
      <c r="D906" s="320">
        <v>3086.0</v>
      </c>
      <c r="E906" s="320">
        <v>4.04</v>
      </c>
      <c r="F906" s="320">
        <v>19353.12</v>
      </c>
      <c r="G906" s="320">
        <v>6.2713</v>
      </c>
      <c r="H906" s="320">
        <v>45.07</v>
      </c>
      <c r="I906" s="320">
        <v>13.9131</v>
      </c>
      <c r="J906" s="320">
        <v>129.91</v>
      </c>
      <c r="K906" s="320">
        <v>79.43</v>
      </c>
      <c r="L906" s="320">
        <v>53.96</v>
      </c>
      <c r="M906" s="320">
        <v>0.6793</v>
      </c>
      <c r="N906" s="320">
        <v>0.4131</v>
      </c>
      <c r="O906" s="320">
        <v>0.2354</v>
      </c>
      <c r="P906" s="320">
        <v>1.4722</v>
      </c>
      <c r="Q906" s="320">
        <v>684.22</v>
      </c>
      <c r="R906" s="320">
        <v>570.34</v>
      </c>
      <c r="S906" s="320">
        <v>113.88</v>
      </c>
      <c r="T906" s="320">
        <v>389.08</v>
      </c>
      <c r="U906" s="320">
        <v>295.14</v>
      </c>
      <c r="V906" s="320">
        <v>719.48</v>
      </c>
      <c r="W906" s="320">
        <v>9.0576</v>
      </c>
      <c r="X906" s="320">
        <v>56.86</v>
      </c>
      <c r="Y906" s="320">
        <v>108.0</v>
      </c>
      <c r="Z906" s="320">
        <v>349.0</v>
      </c>
      <c r="AA906" s="320">
        <v>1093.0</v>
      </c>
      <c r="AB906" s="320">
        <v>58.2465</v>
      </c>
      <c r="AC906" s="320">
        <v>0.7693</v>
      </c>
      <c r="AD906" s="320">
        <v>36.23</v>
      </c>
      <c r="AE906" s="320">
        <v>12.0</v>
      </c>
      <c r="AF906" s="320">
        <v>28.0</v>
      </c>
      <c r="AG906" s="320">
        <v>51.0</v>
      </c>
      <c r="AH906" s="320">
        <v>79.0</v>
      </c>
      <c r="AI906" s="320">
        <v>50.03</v>
      </c>
      <c r="AJ906" s="320">
        <v>18.7</v>
      </c>
      <c r="AK906" s="320">
        <v>4.96</v>
      </c>
      <c r="AL906" s="320">
        <v>0.2003</v>
      </c>
      <c r="AM906" s="320">
        <v>21.4</v>
      </c>
      <c r="AN906" s="320">
        <v>548.94</v>
      </c>
      <c r="AO906" s="320">
        <v>75.16</v>
      </c>
      <c r="AP906" s="320">
        <v>16.08</v>
      </c>
    </row>
    <row r="907">
      <c r="A907" s="319" t="s">
        <v>258</v>
      </c>
      <c r="B907" s="328">
        <v>46080.0</v>
      </c>
      <c r="C907" s="319" t="s">
        <v>218</v>
      </c>
      <c r="D907" s="320">
        <v>344.0</v>
      </c>
      <c r="E907" s="320">
        <v>0.45</v>
      </c>
      <c r="F907" s="320">
        <v>4280.8</v>
      </c>
      <c r="G907" s="320">
        <v>12.4442</v>
      </c>
      <c r="H907" s="320">
        <v>48.26</v>
      </c>
      <c r="I907" s="320">
        <v>25.788</v>
      </c>
      <c r="J907" s="320">
        <v>232.72</v>
      </c>
      <c r="K907" s="320">
        <v>150.23</v>
      </c>
      <c r="L907" s="320">
        <v>120.36</v>
      </c>
      <c r="M907" s="320">
        <v>0.8011</v>
      </c>
      <c r="N907" s="320">
        <v>0.2911</v>
      </c>
      <c r="O907" s="320">
        <v>0.1763</v>
      </c>
      <c r="P907" s="320">
        <v>1.2482</v>
      </c>
      <c r="Q907" s="320">
        <v>1313.92</v>
      </c>
      <c r="R907" s="320">
        <v>1063.39</v>
      </c>
      <c r="S907" s="320">
        <v>250.54</v>
      </c>
      <c r="T907" s="320">
        <v>732.79</v>
      </c>
      <c r="U907" s="320">
        <v>581.13</v>
      </c>
      <c r="V907" s="320">
        <v>1434.01</v>
      </c>
      <c r="W907" s="320">
        <v>9.5453</v>
      </c>
      <c r="X907" s="320">
        <v>55.77</v>
      </c>
      <c r="Y907" s="320">
        <v>139.0</v>
      </c>
      <c r="Z907" s="320">
        <v>687.0</v>
      </c>
      <c r="AA907" s="320">
        <v>2502.0</v>
      </c>
      <c r="AB907" s="320">
        <v>62.056</v>
      </c>
      <c r="AC907" s="320">
        <v>0.8276</v>
      </c>
      <c r="AD907" s="320">
        <v>80.59</v>
      </c>
      <c r="AE907" s="320">
        <v>28.0</v>
      </c>
      <c r="AF907" s="320">
        <v>61.0</v>
      </c>
      <c r="AG907" s="320">
        <v>120.0</v>
      </c>
      <c r="AH907" s="320">
        <v>168.0</v>
      </c>
      <c r="AI907" s="320">
        <v>42.15</v>
      </c>
      <c r="AJ907" s="320">
        <v>8.72</v>
      </c>
      <c r="AK907" s="320">
        <v>1.74</v>
      </c>
      <c r="AL907" s="320">
        <v>0.1337</v>
      </c>
      <c r="AM907" s="320">
        <v>24.0</v>
      </c>
      <c r="AN907" s="320">
        <v>1039.39</v>
      </c>
      <c r="AO907" s="320">
        <v>72.26</v>
      </c>
      <c r="AP907" s="320">
        <v>17.34</v>
      </c>
    </row>
    <row r="908">
      <c r="A908" s="319" t="s">
        <v>258</v>
      </c>
      <c r="B908" s="328">
        <v>46081.0</v>
      </c>
      <c r="C908" s="319" t="s">
        <v>257</v>
      </c>
      <c r="D908" s="320">
        <v>16244.0</v>
      </c>
      <c r="E908" s="320">
        <v>21.61</v>
      </c>
      <c r="F908" s="320">
        <v>282.25</v>
      </c>
      <c r="G908" s="320">
        <v>0.0174</v>
      </c>
      <c r="H908" s="320">
        <v>0.2</v>
      </c>
      <c r="I908" s="320">
        <v>8.8203</v>
      </c>
      <c r="J908" s="320">
        <v>6.04</v>
      </c>
      <c r="K908" s="320">
        <v>2.73</v>
      </c>
      <c r="L908" s="320">
        <v>0.05</v>
      </c>
      <c r="M908" s="320">
        <v>0.0178</v>
      </c>
      <c r="N908" s="320">
        <v>0.983</v>
      </c>
      <c r="O908" s="320">
        <v>0.776</v>
      </c>
      <c r="P908" s="320">
        <v>56.0986</v>
      </c>
      <c r="Q908" s="320">
        <v>26.86</v>
      </c>
      <c r="R908" s="320">
        <v>26.8</v>
      </c>
      <c r="S908" s="320">
        <v>0.07</v>
      </c>
      <c r="T908" s="320">
        <v>1.32</v>
      </c>
      <c r="U908" s="320">
        <v>25.54</v>
      </c>
      <c r="V908" s="320">
        <v>1.97</v>
      </c>
      <c r="W908" s="320">
        <v>0.7211</v>
      </c>
      <c r="X908" s="320">
        <v>4.92</v>
      </c>
      <c r="Y908" s="320">
        <v>140.0</v>
      </c>
      <c r="Z908" s="320">
        <v>1003.0</v>
      </c>
      <c r="AA908" s="320">
        <v>6558.0</v>
      </c>
      <c r="AB908" s="320">
        <v>49.6621</v>
      </c>
      <c r="AC908" s="320">
        <v>0.4956</v>
      </c>
      <c r="AD908" s="329"/>
      <c r="AE908" s="329"/>
      <c r="AF908" s="329"/>
      <c r="AG908" s="329"/>
      <c r="AH908" s="329"/>
      <c r="AI908" s="320">
        <v>0.0</v>
      </c>
      <c r="AJ908" s="320">
        <v>0.0</v>
      </c>
      <c r="AK908" s="320">
        <v>0.0</v>
      </c>
      <c r="AL908" s="320">
        <v>0.2889</v>
      </c>
      <c r="AM908" s="320">
        <v>17.36</v>
      </c>
      <c r="AN908" s="320">
        <v>9.44</v>
      </c>
      <c r="AO908" s="329"/>
      <c r="AP908" s="329"/>
    </row>
    <row r="909">
      <c r="A909" s="319" t="s">
        <v>258</v>
      </c>
      <c r="B909" s="328">
        <v>46081.0</v>
      </c>
      <c r="C909" s="319" t="s">
        <v>214</v>
      </c>
      <c r="D909" s="320">
        <v>32799.0</v>
      </c>
      <c r="E909" s="320">
        <v>43.63</v>
      </c>
      <c r="F909" s="320">
        <v>8903.81</v>
      </c>
      <c r="G909" s="320">
        <v>0.2715</v>
      </c>
      <c r="H909" s="320">
        <v>7.49</v>
      </c>
      <c r="I909" s="320">
        <v>3.6253</v>
      </c>
      <c r="J909" s="320">
        <v>32.42</v>
      </c>
      <c r="K909" s="320">
        <v>17.39</v>
      </c>
      <c r="L909" s="320">
        <v>5.45</v>
      </c>
      <c r="M909" s="320">
        <v>0.3133</v>
      </c>
      <c r="N909" s="320">
        <v>0.7599</v>
      </c>
      <c r="O909" s="320">
        <v>0.5116</v>
      </c>
      <c r="P909" s="320">
        <v>3.1918</v>
      </c>
      <c r="Q909" s="320">
        <v>77.2</v>
      </c>
      <c r="R909" s="320">
        <v>66.11</v>
      </c>
      <c r="S909" s="320">
        <v>11.09</v>
      </c>
      <c r="T909" s="320">
        <v>19.44</v>
      </c>
      <c r="U909" s="320">
        <v>57.76</v>
      </c>
      <c r="V909" s="320">
        <v>82.64</v>
      </c>
      <c r="W909" s="320">
        <v>4.7532</v>
      </c>
      <c r="X909" s="320">
        <v>25.19</v>
      </c>
      <c r="Y909" s="320">
        <v>87.0</v>
      </c>
      <c r="Z909" s="320">
        <v>205.0</v>
      </c>
      <c r="AA909" s="320">
        <v>804.0</v>
      </c>
      <c r="AB909" s="320">
        <v>49.4294</v>
      </c>
      <c r="AC909" s="320">
        <v>0.4367</v>
      </c>
      <c r="AD909" s="320">
        <v>3.59</v>
      </c>
      <c r="AE909" s="320">
        <v>1.0</v>
      </c>
      <c r="AF909" s="320">
        <v>2.0</v>
      </c>
      <c r="AG909" s="320">
        <v>5.0</v>
      </c>
      <c r="AH909" s="320">
        <v>8.0</v>
      </c>
      <c r="AI909" s="320">
        <v>66.29</v>
      </c>
      <c r="AJ909" s="320">
        <v>25.15</v>
      </c>
      <c r="AK909" s="320">
        <v>7.36</v>
      </c>
      <c r="AL909" s="320">
        <v>0.2205</v>
      </c>
      <c r="AM909" s="320">
        <v>23.0</v>
      </c>
      <c r="AN909" s="320">
        <v>43.11</v>
      </c>
      <c r="AO909" s="320">
        <v>68.64</v>
      </c>
      <c r="AP909" s="320">
        <v>15.79</v>
      </c>
    </row>
    <row r="910">
      <c r="A910" s="319" t="s">
        <v>258</v>
      </c>
      <c r="B910" s="328">
        <v>46081.0</v>
      </c>
      <c r="C910" s="319" t="s">
        <v>215</v>
      </c>
      <c r="D910" s="320">
        <v>15214.0</v>
      </c>
      <c r="E910" s="320">
        <v>20.24</v>
      </c>
      <c r="F910" s="320">
        <v>18359.35</v>
      </c>
      <c r="G910" s="320">
        <v>1.2067</v>
      </c>
      <c r="H910" s="320">
        <v>23.6</v>
      </c>
      <c r="I910" s="320">
        <v>5.1126</v>
      </c>
      <c r="J910" s="320">
        <v>58.04</v>
      </c>
      <c r="K910" s="320">
        <v>33.11</v>
      </c>
      <c r="L910" s="320">
        <v>13.95</v>
      </c>
      <c r="M910" s="320">
        <v>0.4214</v>
      </c>
      <c r="N910" s="320">
        <v>0.6466</v>
      </c>
      <c r="O910" s="320">
        <v>0.3729</v>
      </c>
      <c r="P910" s="320">
        <v>2.3728</v>
      </c>
      <c r="Q910" s="320">
        <v>185.85</v>
      </c>
      <c r="R910" s="320">
        <v>156.72</v>
      </c>
      <c r="S910" s="320">
        <v>29.13</v>
      </c>
      <c r="T910" s="320">
        <v>79.95</v>
      </c>
      <c r="U910" s="320">
        <v>105.91</v>
      </c>
      <c r="V910" s="320">
        <v>195.12</v>
      </c>
      <c r="W910" s="320">
        <v>5.8935</v>
      </c>
      <c r="X910" s="320">
        <v>43.02</v>
      </c>
      <c r="Y910" s="320">
        <v>84.0</v>
      </c>
      <c r="Z910" s="320">
        <v>187.0</v>
      </c>
      <c r="AA910" s="320">
        <v>610.0</v>
      </c>
      <c r="AB910" s="320">
        <v>52.3238</v>
      </c>
      <c r="AC910" s="320">
        <v>0.5437</v>
      </c>
      <c r="AD910" s="320">
        <v>9.13</v>
      </c>
      <c r="AE910" s="320">
        <v>3.0</v>
      </c>
      <c r="AF910" s="320">
        <v>6.0</v>
      </c>
      <c r="AG910" s="320">
        <v>13.0</v>
      </c>
      <c r="AH910" s="320">
        <v>20.0</v>
      </c>
      <c r="AI910" s="320">
        <v>55.2</v>
      </c>
      <c r="AJ910" s="320">
        <v>25.51</v>
      </c>
      <c r="AK910" s="320">
        <v>5.4</v>
      </c>
      <c r="AL910" s="320">
        <v>0.2024</v>
      </c>
      <c r="AM910" s="320">
        <v>23.29</v>
      </c>
      <c r="AN910" s="320">
        <v>133.43</v>
      </c>
      <c r="AO910" s="320">
        <v>74.16</v>
      </c>
      <c r="AP910" s="320">
        <v>17.27</v>
      </c>
    </row>
    <row r="911">
      <c r="A911" s="319" t="s">
        <v>258</v>
      </c>
      <c r="B911" s="328">
        <v>46081.0</v>
      </c>
      <c r="C911" s="319" t="s">
        <v>216</v>
      </c>
      <c r="D911" s="320">
        <v>7571.0</v>
      </c>
      <c r="E911" s="320">
        <v>10.07</v>
      </c>
      <c r="F911" s="320">
        <v>21702.72</v>
      </c>
      <c r="G911" s="320">
        <v>2.8666</v>
      </c>
      <c r="H911" s="320">
        <v>35.27</v>
      </c>
      <c r="I911" s="320">
        <v>8.1284</v>
      </c>
      <c r="J911" s="320">
        <v>81.22</v>
      </c>
      <c r="K911" s="320">
        <v>47.84</v>
      </c>
      <c r="L911" s="320">
        <v>26.65</v>
      </c>
      <c r="M911" s="320">
        <v>0.5571</v>
      </c>
      <c r="N911" s="320">
        <v>0.5234</v>
      </c>
      <c r="O911" s="320">
        <v>0.2927</v>
      </c>
      <c r="P911" s="320">
        <v>1.795</v>
      </c>
      <c r="Q911" s="320">
        <v>359.08</v>
      </c>
      <c r="R911" s="320">
        <v>302.73</v>
      </c>
      <c r="S911" s="320">
        <v>56.35</v>
      </c>
      <c r="T911" s="320">
        <v>180.22</v>
      </c>
      <c r="U911" s="320">
        <v>178.87</v>
      </c>
      <c r="V911" s="320">
        <v>371.9</v>
      </c>
      <c r="W911" s="320">
        <v>7.7737</v>
      </c>
      <c r="X911" s="320">
        <v>50.19</v>
      </c>
      <c r="Y911" s="320">
        <v>90.0</v>
      </c>
      <c r="Z911" s="320">
        <v>238.0</v>
      </c>
      <c r="AA911" s="320">
        <v>730.0</v>
      </c>
      <c r="AB911" s="320">
        <v>54.782</v>
      </c>
      <c r="AC911" s="320">
        <v>0.667</v>
      </c>
      <c r="AD911" s="320">
        <v>17.88</v>
      </c>
      <c r="AE911" s="320">
        <v>6.0</v>
      </c>
      <c r="AF911" s="320">
        <v>13.0</v>
      </c>
      <c r="AG911" s="320">
        <v>25.0</v>
      </c>
      <c r="AH911" s="320">
        <v>39.0</v>
      </c>
      <c r="AI911" s="320">
        <v>56.37</v>
      </c>
      <c r="AJ911" s="320">
        <v>24.45</v>
      </c>
      <c r="AK911" s="320">
        <v>8.64</v>
      </c>
      <c r="AL911" s="320">
        <v>0.2178</v>
      </c>
      <c r="AM911" s="320">
        <v>23.03</v>
      </c>
      <c r="AN911" s="320">
        <v>279.7</v>
      </c>
      <c r="AO911" s="320">
        <v>73.72</v>
      </c>
      <c r="AP911" s="320">
        <v>16.98</v>
      </c>
    </row>
    <row r="912">
      <c r="A912" s="319" t="s">
        <v>258</v>
      </c>
      <c r="B912" s="328">
        <v>46081.0</v>
      </c>
      <c r="C912" s="319" t="s">
        <v>217</v>
      </c>
      <c r="D912" s="320">
        <v>3003.0</v>
      </c>
      <c r="E912" s="320">
        <v>3.99</v>
      </c>
      <c r="F912" s="320">
        <v>18501.74</v>
      </c>
      <c r="G912" s="320">
        <v>6.1611</v>
      </c>
      <c r="H912" s="320">
        <v>42.46</v>
      </c>
      <c r="I912" s="320">
        <v>14.5112</v>
      </c>
      <c r="J912" s="320">
        <v>125.18</v>
      </c>
      <c r="K912" s="320">
        <v>76.73</v>
      </c>
      <c r="L912" s="320">
        <v>53.81</v>
      </c>
      <c r="M912" s="320">
        <v>0.7013</v>
      </c>
      <c r="N912" s="320">
        <v>0.395</v>
      </c>
      <c r="O912" s="320">
        <v>0.2309</v>
      </c>
      <c r="P912" s="320">
        <v>1.4258</v>
      </c>
      <c r="Q912" s="320">
        <v>710.89</v>
      </c>
      <c r="R912" s="320">
        <v>598.14</v>
      </c>
      <c r="S912" s="320">
        <v>112.75</v>
      </c>
      <c r="T912" s="320">
        <v>386.05</v>
      </c>
      <c r="U912" s="320">
        <v>324.83</v>
      </c>
      <c r="V912" s="320">
        <v>734.4</v>
      </c>
      <c r="W912" s="320">
        <v>9.5718</v>
      </c>
      <c r="X912" s="320">
        <v>54.31</v>
      </c>
      <c r="Y912" s="320">
        <v>114.0</v>
      </c>
      <c r="Z912" s="320">
        <v>366.0</v>
      </c>
      <c r="AA912" s="320">
        <v>1058.0</v>
      </c>
      <c r="AB912" s="320">
        <v>57.9946</v>
      </c>
      <c r="AC912" s="320">
        <v>0.7668</v>
      </c>
      <c r="AD912" s="320">
        <v>36.67</v>
      </c>
      <c r="AE912" s="320">
        <v>12.0</v>
      </c>
      <c r="AF912" s="320">
        <v>28.0</v>
      </c>
      <c r="AG912" s="320">
        <v>51.0</v>
      </c>
      <c r="AH912" s="320">
        <v>79.0</v>
      </c>
      <c r="AI912" s="320">
        <v>50.32</v>
      </c>
      <c r="AJ912" s="320">
        <v>20.15</v>
      </c>
      <c r="AK912" s="320">
        <v>5.0</v>
      </c>
      <c r="AL912" s="320">
        <v>0.1908</v>
      </c>
      <c r="AM912" s="320">
        <v>22.44</v>
      </c>
      <c r="AN912" s="320">
        <v>575.7</v>
      </c>
      <c r="AO912" s="320">
        <v>74.85</v>
      </c>
      <c r="AP912" s="320">
        <v>16.8</v>
      </c>
    </row>
    <row r="913">
      <c r="A913" s="319" t="s">
        <v>258</v>
      </c>
      <c r="B913" s="328">
        <v>46081.0</v>
      </c>
      <c r="C913" s="319" t="s">
        <v>218</v>
      </c>
      <c r="D913" s="320">
        <v>348.0</v>
      </c>
      <c r="E913" s="320">
        <v>0.46</v>
      </c>
      <c r="F913" s="320">
        <v>5504.25</v>
      </c>
      <c r="G913" s="320">
        <v>15.8168</v>
      </c>
      <c r="H913" s="320">
        <v>50.0</v>
      </c>
      <c r="I913" s="320">
        <v>31.6336</v>
      </c>
      <c r="J913" s="320">
        <v>251.65</v>
      </c>
      <c r="K913" s="320">
        <v>161.35</v>
      </c>
      <c r="L913" s="320">
        <v>132.07</v>
      </c>
      <c r="M913" s="320">
        <v>0.8185</v>
      </c>
      <c r="N913" s="320">
        <v>0.2796</v>
      </c>
      <c r="O913" s="320">
        <v>0.1804</v>
      </c>
      <c r="P913" s="320">
        <v>1.2217</v>
      </c>
      <c r="Q913" s="320">
        <v>1651.05</v>
      </c>
      <c r="R913" s="320">
        <v>1371.46</v>
      </c>
      <c r="S913" s="320">
        <v>279.58</v>
      </c>
      <c r="T913" s="320">
        <v>964.08</v>
      </c>
      <c r="U913" s="320">
        <v>686.97</v>
      </c>
      <c r="V913" s="320">
        <v>1685.92</v>
      </c>
      <c r="W913" s="320">
        <v>10.4486</v>
      </c>
      <c r="X913" s="320">
        <v>58.39</v>
      </c>
      <c r="Y913" s="320">
        <v>202.0</v>
      </c>
      <c r="Z913" s="320">
        <v>848.0</v>
      </c>
      <c r="AA913" s="320">
        <v>2929.0</v>
      </c>
      <c r="AB913" s="320">
        <v>61.9901</v>
      </c>
      <c r="AC913" s="320">
        <v>0.8332</v>
      </c>
      <c r="AD913" s="320">
        <v>88.15</v>
      </c>
      <c r="AE913" s="320">
        <v>33.0</v>
      </c>
      <c r="AF913" s="320">
        <v>70.0</v>
      </c>
      <c r="AG913" s="320">
        <v>119.0</v>
      </c>
      <c r="AH913" s="320">
        <v>186.0</v>
      </c>
      <c r="AI913" s="320">
        <v>45.4</v>
      </c>
      <c r="AJ913" s="320">
        <v>12.07</v>
      </c>
      <c r="AK913" s="320">
        <v>2.01</v>
      </c>
      <c r="AL913" s="320">
        <v>0.1868</v>
      </c>
      <c r="AM913" s="320">
        <v>25.86</v>
      </c>
      <c r="AN913" s="320">
        <v>1345.6</v>
      </c>
      <c r="AO913" s="320">
        <v>70.4</v>
      </c>
      <c r="AP913" s="320">
        <v>18.21</v>
      </c>
    </row>
    <row r="914">
      <c r="A914" s="319" t="s">
        <v>258</v>
      </c>
      <c r="B914" s="328">
        <v>46082.0</v>
      </c>
      <c r="C914" s="319" t="s">
        <v>257</v>
      </c>
      <c r="D914" s="320">
        <v>16316.0</v>
      </c>
      <c r="E914" s="320">
        <v>21.53</v>
      </c>
      <c r="F914" s="320">
        <v>83.15</v>
      </c>
      <c r="G914" s="320">
        <v>0.0051</v>
      </c>
      <c r="H914" s="320">
        <v>0.17</v>
      </c>
      <c r="I914" s="320">
        <v>3.0796</v>
      </c>
      <c r="J914" s="320">
        <v>6.49</v>
      </c>
      <c r="K914" s="320">
        <v>2.97</v>
      </c>
      <c r="L914" s="320">
        <v>0.07</v>
      </c>
      <c r="M914" s="320">
        <v>0.0251</v>
      </c>
      <c r="N914" s="320">
        <v>0.9756</v>
      </c>
      <c r="O914" s="320">
        <v>0.6966</v>
      </c>
      <c r="P914" s="320">
        <v>39.8741</v>
      </c>
      <c r="Q914" s="320">
        <v>23.28</v>
      </c>
      <c r="R914" s="320">
        <v>23.21</v>
      </c>
      <c r="S914" s="320">
        <v>0.07</v>
      </c>
      <c r="T914" s="320">
        <v>0.43</v>
      </c>
      <c r="U914" s="320">
        <v>22.85</v>
      </c>
      <c r="V914" s="320">
        <v>1.67</v>
      </c>
      <c r="W914" s="320">
        <v>0.5614</v>
      </c>
      <c r="X914" s="320">
        <v>1.83</v>
      </c>
      <c r="Y914" s="320">
        <v>141.0</v>
      </c>
      <c r="Z914" s="320">
        <v>1039.0</v>
      </c>
      <c r="AA914" s="320">
        <v>6965.0</v>
      </c>
      <c r="AB914" s="320">
        <v>49.7476</v>
      </c>
      <c r="AC914" s="320">
        <v>0.5107</v>
      </c>
      <c r="AD914" s="329"/>
      <c r="AE914" s="329"/>
      <c r="AF914" s="329"/>
      <c r="AG914" s="329"/>
      <c r="AH914" s="329"/>
      <c r="AI914" s="320">
        <v>0.0</v>
      </c>
      <c r="AJ914" s="320">
        <v>0.0</v>
      </c>
      <c r="AK914" s="320">
        <v>0.0</v>
      </c>
      <c r="AL914" s="320">
        <v>0.2835</v>
      </c>
      <c r="AM914" s="320">
        <v>17.21</v>
      </c>
      <c r="AN914" s="320">
        <v>6.0</v>
      </c>
      <c r="AO914" s="329"/>
      <c r="AP914" s="329"/>
    </row>
    <row r="915">
      <c r="A915" s="319" t="s">
        <v>258</v>
      </c>
      <c r="B915" s="328">
        <v>46082.0</v>
      </c>
      <c r="C915" s="319" t="s">
        <v>214</v>
      </c>
      <c r="D915" s="320">
        <v>33144.0</v>
      </c>
      <c r="E915" s="320">
        <v>43.74</v>
      </c>
      <c r="F915" s="320">
        <v>8751.61</v>
      </c>
      <c r="G915" s="320">
        <v>0.264</v>
      </c>
      <c r="H915" s="320">
        <v>7.28</v>
      </c>
      <c r="I915" s="320">
        <v>3.6254</v>
      </c>
      <c r="J915" s="320">
        <v>35.91</v>
      </c>
      <c r="K915" s="320">
        <v>19.74</v>
      </c>
      <c r="L915" s="320">
        <v>5.44</v>
      </c>
      <c r="M915" s="320">
        <v>0.2753</v>
      </c>
      <c r="N915" s="320">
        <v>0.7866</v>
      </c>
      <c r="O915" s="320">
        <v>0.5322</v>
      </c>
      <c r="P915" s="320">
        <v>3.6317</v>
      </c>
      <c r="Q915" s="320">
        <v>68.18</v>
      </c>
      <c r="R915" s="320">
        <v>57.0</v>
      </c>
      <c r="S915" s="320">
        <v>11.18</v>
      </c>
      <c r="T915" s="320">
        <v>18.75</v>
      </c>
      <c r="U915" s="320">
        <v>49.43</v>
      </c>
      <c r="V915" s="320">
        <v>76.34</v>
      </c>
      <c r="W915" s="320">
        <v>3.8668</v>
      </c>
      <c r="X915" s="320">
        <v>27.5</v>
      </c>
      <c r="Y915" s="320">
        <v>84.0</v>
      </c>
      <c r="Z915" s="320">
        <v>190.0</v>
      </c>
      <c r="AA915" s="320">
        <v>814.0</v>
      </c>
      <c r="AB915" s="320">
        <v>49.3519</v>
      </c>
      <c r="AC915" s="320">
        <v>0.4319</v>
      </c>
      <c r="AD915" s="320">
        <v>3.48</v>
      </c>
      <c r="AE915" s="320">
        <v>1.0</v>
      </c>
      <c r="AF915" s="320">
        <v>2.0</v>
      </c>
      <c r="AG915" s="320">
        <v>4.0</v>
      </c>
      <c r="AH915" s="320">
        <v>8.0</v>
      </c>
      <c r="AI915" s="320">
        <v>65.88</v>
      </c>
      <c r="AJ915" s="320">
        <v>23.82</v>
      </c>
      <c r="AK915" s="320">
        <v>6.82</v>
      </c>
      <c r="AL915" s="320">
        <v>0.2289</v>
      </c>
      <c r="AM915" s="320">
        <v>21.5</v>
      </c>
      <c r="AN915" s="320">
        <v>35.51</v>
      </c>
      <c r="AO915" s="320">
        <v>68.27</v>
      </c>
      <c r="AP915" s="320">
        <v>14.68</v>
      </c>
    </row>
    <row r="916">
      <c r="A916" s="319" t="s">
        <v>258</v>
      </c>
      <c r="B916" s="328">
        <v>46082.0</v>
      </c>
      <c r="C916" s="319" t="s">
        <v>215</v>
      </c>
      <c r="D916" s="320">
        <v>15104.0</v>
      </c>
      <c r="E916" s="320">
        <v>19.93</v>
      </c>
      <c r="F916" s="320">
        <v>18759.48</v>
      </c>
      <c r="G916" s="320">
        <v>1.242</v>
      </c>
      <c r="H916" s="320">
        <v>24.2</v>
      </c>
      <c r="I916" s="320">
        <v>5.1326</v>
      </c>
      <c r="J916" s="320">
        <v>63.38</v>
      </c>
      <c r="K916" s="320">
        <v>36.95</v>
      </c>
      <c r="L916" s="320">
        <v>14.21</v>
      </c>
      <c r="M916" s="320">
        <v>0.3846</v>
      </c>
      <c r="N916" s="320">
        <v>0.6745</v>
      </c>
      <c r="O916" s="320">
        <v>0.3855</v>
      </c>
      <c r="P916" s="320">
        <v>2.6003</v>
      </c>
      <c r="Q916" s="320">
        <v>167.93</v>
      </c>
      <c r="R916" s="320">
        <v>138.27</v>
      </c>
      <c r="S916" s="320">
        <v>29.66</v>
      </c>
      <c r="T916" s="320">
        <v>81.99</v>
      </c>
      <c r="U916" s="320">
        <v>85.94</v>
      </c>
      <c r="V916" s="320">
        <v>184.65</v>
      </c>
      <c r="W916" s="320">
        <v>4.9968</v>
      </c>
      <c r="X916" s="320">
        <v>48.82</v>
      </c>
      <c r="Y916" s="320">
        <v>80.0</v>
      </c>
      <c r="Z916" s="320">
        <v>172.0</v>
      </c>
      <c r="AA916" s="320">
        <v>549.0</v>
      </c>
      <c r="AB916" s="320">
        <v>52.3655</v>
      </c>
      <c r="AC916" s="320">
        <v>0.5432</v>
      </c>
      <c r="AD916" s="320">
        <v>8.97</v>
      </c>
      <c r="AE916" s="320">
        <v>3.0</v>
      </c>
      <c r="AF916" s="320">
        <v>6.0</v>
      </c>
      <c r="AG916" s="320">
        <v>12.0</v>
      </c>
      <c r="AH916" s="320">
        <v>20.0</v>
      </c>
      <c r="AI916" s="320">
        <v>54.43</v>
      </c>
      <c r="AJ916" s="320">
        <v>24.29</v>
      </c>
      <c r="AK916" s="320">
        <v>5.18</v>
      </c>
      <c r="AL916" s="320">
        <v>0.2056</v>
      </c>
      <c r="AM916" s="320">
        <v>21.65</v>
      </c>
      <c r="AN916" s="320">
        <v>116.62</v>
      </c>
      <c r="AO916" s="320">
        <v>74.09</v>
      </c>
      <c r="AP916" s="320">
        <v>16.04</v>
      </c>
    </row>
    <row r="917">
      <c r="A917" s="319" t="s">
        <v>258</v>
      </c>
      <c r="B917" s="328">
        <v>46082.0</v>
      </c>
      <c r="C917" s="319" t="s">
        <v>216</v>
      </c>
      <c r="D917" s="320">
        <v>7760.0</v>
      </c>
      <c r="E917" s="320">
        <v>10.24</v>
      </c>
      <c r="F917" s="320">
        <v>25368.58</v>
      </c>
      <c r="G917" s="320">
        <v>3.2691</v>
      </c>
      <c r="H917" s="320">
        <v>36.79</v>
      </c>
      <c r="I917" s="320">
        <v>8.8857</v>
      </c>
      <c r="J917" s="320">
        <v>87.01</v>
      </c>
      <c r="K917" s="320">
        <v>51.78</v>
      </c>
      <c r="L917" s="320">
        <v>27.67</v>
      </c>
      <c r="M917" s="320">
        <v>0.5343</v>
      </c>
      <c r="N917" s="320">
        <v>0.5416</v>
      </c>
      <c r="O917" s="320">
        <v>0.296</v>
      </c>
      <c r="P917" s="320">
        <v>1.8716</v>
      </c>
      <c r="Q917" s="320">
        <v>346.91</v>
      </c>
      <c r="R917" s="320">
        <v>288.98</v>
      </c>
      <c r="S917" s="320">
        <v>57.93</v>
      </c>
      <c r="T917" s="320">
        <v>206.38</v>
      </c>
      <c r="U917" s="320">
        <v>140.53</v>
      </c>
      <c r="V917" s="320">
        <v>374.92</v>
      </c>
      <c r="W917" s="320">
        <v>7.2409</v>
      </c>
      <c r="X917" s="320">
        <v>59.49</v>
      </c>
      <c r="Y917" s="320">
        <v>84.0</v>
      </c>
      <c r="Z917" s="320">
        <v>210.0</v>
      </c>
      <c r="AA917" s="320">
        <v>708.0</v>
      </c>
      <c r="AB917" s="320">
        <v>54.8665</v>
      </c>
      <c r="AC917" s="320">
        <v>0.6662</v>
      </c>
      <c r="AD917" s="320">
        <v>18.12</v>
      </c>
      <c r="AE917" s="320">
        <v>6.0</v>
      </c>
      <c r="AF917" s="320">
        <v>13.0</v>
      </c>
      <c r="AG917" s="320">
        <v>25.0</v>
      </c>
      <c r="AH917" s="320">
        <v>39.0</v>
      </c>
      <c r="AI917" s="320">
        <v>55.85</v>
      </c>
      <c r="AJ917" s="320">
        <v>24.83</v>
      </c>
      <c r="AK917" s="320">
        <v>8.81</v>
      </c>
      <c r="AL917" s="320">
        <v>0.225</v>
      </c>
      <c r="AM917" s="320">
        <v>20.14</v>
      </c>
      <c r="AN917" s="320">
        <v>268.84</v>
      </c>
      <c r="AO917" s="320">
        <v>72.98</v>
      </c>
      <c r="AP917" s="320">
        <v>14.7</v>
      </c>
    </row>
    <row r="918">
      <c r="A918" s="319" t="s">
        <v>258</v>
      </c>
      <c r="B918" s="328">
        <v>46082.0</v>
      </c>
      <c r="C918" s="319" t="s">
        <v>217</v>
      </c>
      <c r="D918" s="320">
        <v>3101.0</v>
      </c>
      <c r="E918" s="320">
        <v>4.09</v>
      </c>
      <c r="F918" s="320">
        <v>21848.27</v>
      </c>
      <c r="G918" s="320">
        <v>7.0456</v>
      </c>
      <c r="H918" s="320">
        <v>46.21</v>
      </c>
      <c r="I918" s="320">
        <v>15.2465</v>
      </c>
      <c r="J918" s="320">
        <v>131.67</v>
      </c>
      <c r="K918" s="320">
        <v>81.85</v>
      </c>
      <c r="L918" s="320">
        <v>54.99</v>
      </c>
      <c r="M918" s="320">
        <v>0.6719</v>
      </c>
      <c r="N918" s="320">
        <v>0.4167</v>
      </c>
      <c r="O918" s="320">
        <v>0.2348</v>
      </c>
      <c r="P918" s="320">
        <v>1.4884</v>
      </c>
      <c r="Q918" s="320">
        <v>683.43</v>
      </c>
      <c r="R918" s="320">
        <v>567.79</v>
      </c>
      <c r="S918" s="320">
        <v>115.64</v>
      </c>
      <c r="T918" s="320">
        <v>434.39</v>
      </c>
      <c r="U918" s="320">
        <v>249.04</v>
      </c>
      <c r="V918" s="320">
        <v>722.93</v>
      </c>
      <c r="W918" s="320">
        <v>8.8326</v>
      </c>
      <c r="X918" s="320">
        <v>63.56</v>
      </c>
      <c r="Y918" s="320">
        <v>98.0</v>
      </c>
      <c r="Z918" s="320">
        <v>315.0</v>
      </c>
      <c r="AA918" s="320">
        <v>960.0</v>
      </c>
      <c r="AB918" s="320">
        <v>58.1471</v>
      </c>
      <c r="AC918" s="320">
        <v>0.7688</v>
      </c>
      <c r="AD918" s="320">
        <v>36.45</v>
      </c>
      <c r="AE918" s="320">
        <v>12.0</v>
      </c>
      <c r="AF918" s="320">
        <v>26.0</v>
      </c>
      <c r="AG918" s="320">
        <v>51.0</v>
      </c>
      <c r="AH918" s="320">
        <v>81.0</v>
      </c>
      <c r="AI918" s="320">
        <v>48.31</v>
      </c>
      <c r="AJ918" s="320">
        <v>19.51</v>
      </c>
      <c r="AK918" s="320">
        <v>5.68</v>
      </c>
      <c r="AL918" s="320">
        <v>0.2038</v>
      </c>
      <c r="AM918" s="320">
        <v>19.64</v>
      </c>
      <c r="AN918" s="320">
        <v>548.15</v>
      </c>
      <c r="AO918" s="320">
        <v>73.65</v>
      </c>
      <c r="AP918" s="320">
        <v>14.46</v>
      </c>
    </row>
    <row r="919">
      <c r="A919" s="319" t="s">
        <v>258</v>
      </c>
      <c r="B919" s="328">
        <v>46082.0</v>
      </c>
      <c r="C919" s="319" t="s">
        <v>218</v>
      </c>
      <c r="D919" s="320">
        <v>351.0</v>
      </c>
      <c r="E919" s="320">
        <v>0.46</v>
      </c>
      <c r="F919" s="320">
        <v>4521.92</v>
      </c>
      <c r="G919" s="320">
        <v>12.883</v>
      </c>
      <c r="H919" s="320">
        <v>47.29</v>
      </c>
      <c r="I919" s="320">
        <v>27.2405</v>
      </c>
      <c r="J919" s="320">
        <v>232.78</v>
      </c>
      <c r="K919" s="320">
        <v>156.13</v>
      </c>
      <c r="L919" s="320">
        <v>129.4</v>
      </c>
      <c r="M919" s="320">
        <v>0.8288</v>
      </c>
      <c r="N919" s="320">
        <v>0.2635</v>
      </c>
      <c r="O919" s="320">
        <v>0.1668</v>
      </c>
      <c r="P919" s="320">
        <v>1.2066</v>
      </c>
      <c r="Q919" s="320">
        <v>1306.74</v>
      </c>
      <c r="R919" s="320">
        <v>1035.15</v>
      </c>
      <c r="S919" s="320">
        <v>271.6</v>
      </c>
      <c r="T919" s="320">
        <v>763.68</v>
      </c>
      <c r="U919" s="320">
        <v>543.07</v>
      </c>
      <c r="V919" s="320">
        <v>1430.2</v>
      </c>
      <c r="W919" s="320">
        <v>9.1602</v>
      </c>
      <c r="X919" s="320">
        <v>58.44</v>
      </c>
      <c r="Y919" s="320">
        <v>207.0</v>
      </c>
      <c r="Z919" s="320">
        <v>774.0</v>
      </c>
      <c r="AA919" s="320">
        <v>2503.0</v>
      </c>
      <c r="AB919" s="320">
        <v>61.8233</v>
      </c>
      <c r="AC919" s="320">
        <v>0.858</v>
      </c>
      <c r="AD919" s="320">
        <v>90.31</v>
      </c>
      <c r="AE919" s="320">
        <v>30.0</v>
      </c>
      <c r="AF919" s="320">
        <v>71.0</v>
      </c>
      <c r="AG919" s="320">
        <v>130.0</v>
      </c>
      <c r="AH919" s="320">
        <v>184.0</v>
      </c>
      <c r="AI919" s="320">
        <v>46.72</v>
      </c>
      <c r="AJ919" s="320">
        <v>11.4</v>
      </c>
      <c r="AK919" s="320">
        <v>3.42</v>
      </c>
      <c r="AL919" s="320">
        <v>0.1795</v>
      </c>
      <c r="AM919" s="320">
        <v>18.21</v>
      </c>
      <c r="AN919" s="320">
        <v>1016.94</v>
      </c>
      <c r="AO919" s="320">
        <v>65.12</v>
      </c>
      <c r="AP919" s="320">
        <v>11.86</v>
      </c>
    </row>
    <row r="920">
      <c r="A920" s="319" t="s">
        <v>258</v>
      </c>
      <c r="B920" s="328">
        <v>46083.0</v>
      </c>
      <c r="C920" s="319" t="s">
        <v>257</v>
      </c>
      <c r="D920" s="320">
        <v>15964.0</v>
      </c>
      <c r="E920" s="320">
        <v>20.27</v>
      </c>
      <c r="F920" s="320">
        <v>291.49</v>
      </c>
      <c r="G920" s="320">
        <v>0.0183</v>
      </c>
      <c r="H920" s="320">
        <v>0.27</v>
      </c>
      <c r="I920" s="320">
        <v>6.7788</v>
      </c>
      <c r="J920" s="320">
        <v>5.85</v>
      </c>
      <c r="K920" s="320">
        <v>2.57</v>
      </c>
      <c r="L920" s="320">
        <v>0.13</v>
      </c>
      <c r="M920" s="320">
        <v>0.0504</v>
      </c>
      <c r="N920" s="320">
        <v>0.9549</v>
      </c>
      <c r="O920" s="320">
        <v>0.6</v>
      </c>
      <c r="P920" s="320">
        <v>19.857</v>
      </c>
      <c r="Q920" s="320">
        <v>37.16</v>
      </c>
      <c r="R920" s="320">
        <v>37.08</v>
      </c>
      <c r="S920" s="320">
        <v>0.08</v>
      </c>
      <c r="T920" s="320">
        <v>1.34</v>
      </c>
      <c r="U920" s="320">
        <v>35.82</v>
      </c>
      <c r="V920" s="320">
        <v>2.86</v>
      </c>
      <c r="W920" s="320">
        <v>1.1118</v>
      </c>
      <c r="X920" s="320">
        <v>3.61</v>
      </c>
      <c r="Y920" s="320">
        <v>191.0</v>
      </c>
      <c r="Z920" s="320">
        <v>1216.0</v>
      </c>
      <c r="AA920" s="320">
        <v>7552.0</v>
      </c>
      <c r="AB920" s="320">
        <v>49.9188</v>
      </c>
      <c r="AC920" s="320">
        <v>0.5152</v>
      </c>
      <c r="AD920" s="329"/>
      <c r="AE920" s="329"/>
      <c r="AF920" s="329"/>
      <c r="AG920" s="329"/>
      <c r="AH920" s="329"/>
      <c r="AI920" s="320">
        <v>0.0</v>
      </c>
      <c r="AJ920" s="320">
        <v>0.0</v>
      </c>
      <c r="AK920" s="320">
        <v>0.0</v>
      </c>
      <c r="AL920" s="320">
        <v>0.2736</v>
      </c>
      <c r="AM920" s="320">
        <v>15.83</v>
      </c>
      <c r="AN920" s="320">
        <v>21.25</v>
      </c>
      <c r="AO920" s="329"/>
      <c r="AP920" s="329"/>
    </row>
    <row r="921">
      <c r="A921" s="319" t="s">
        <v>258</v>
      </c>
      <c r="B921" s="328">
        <v>46083.0</v>
      </c>
      <c r="C921" s="319" t="s">
        <v>214</v>
      </c>
      <c r="D921" s="320">
        <v>34364.0</v>
      </c>
      <c r="E921" s="320">
        <v>43.64</v>
      </c>
      <c r="F921" s="320">
        <v>7307.66</v>
      </c>
      <c r="G921" s="320">
        <v>0.2127</v>
      </c>
      <c r="H921" s="320">
        <v>6.16</v>
      </c>
      <c r="I921" s="320">
        <v>3.4535</v>
      </c>
      <c r="J921" s="320">
        <v>35.84</v>
      </c>
      <c r="K921" s="320">
        <v>19.25</v>
      </c>
      <c r="L921" s="320">
        <v>5.51</v>
      </c>
      <c r="M921" s="320">
        <v>0.2863</v>
      </c>
      <c r="N921" s="320">
        <v>0.7835</v>
      </c>
      <c r="O921" s="320">
        <v>0.5396</v>
      </c>
      <c r="P921" s="320">
        <v>3.4926</v>
      </c>
      <c r="Q921" s="320">
        <v>99.65</v>
      </c>
      <c r="R921" s="320">
        <v>88.44</v>
      </c>
      <c r="S921" s="320">
        <v>11.21</v>
      </c>
      <c r="T921" s="320">
        <v>15.43</v>
      </c>
      <c r="U921" s="320">
        <v>84.22</v>
      </c>
      <c r="V921" s="320">
        <v>90.38</v>
      </c>
      <c r="W921" s="320">
        <v>4.6942</v>
      </c>
      <c r="X921" s="320">
        <v>15.49</v>
      </c>
      <c r="Y921" s="320">
        <v>88.0</v>
      </c>
      <c r="Z921" s="320">
        <v>210.0</v>
      </c>
      <c r="AA921" s="320">
        <v>804.0</v>
      </c>
      <c r="AB921" s="320">
        <v>49.3402</v>
      </c>
      <c r="AC921" s="320">
        <v>0.4225</v>
      </c>
      <c r="AD921" s="320">
        <v>3.49</v>
      </c>
      <c r="AE921" s="320">
        <v>1.0</v>
      </c>
      <c r="AF921" s="320">
        <v>2.0</v>
      </c>
      <c r="AG921" s="320">
        <v>4.0</v>
      </c>
      <c r="AH921" s="320">
        <v>8.0</v>
      </c>
      <c r="AI921" s="320">
        <v>67.13</v>
      </c>
      <c r="AJ921" s="320">
        <v>23.96</v>
      </c>
      <c r="AK921" s="320">
        <v>6.57</v>
      </c>
      <c r="AL921" s="320">
        <v>0.2029</v>
      </c>
      <c r="AM921" s="320">
        <v>18.87</v>
      </c>
      <c r="AN921" s="320">
        <v>69.58</v>
      </c>
      <c r="AO921" s="320">
        <v>68.53</v>
      </c>
      <c r="AP921" s="320">
        <v>12.93</v>
      </c>
    </row>
    <row r="922">
      <c r="A922" s="319" t="s">
        <v>258</v>
      </c>
      <c r="B922" s="328">
        <v>46083.0</v>
      </c>
      <c r="C922" s="319" t="s">
        <v>215</v>
      </c>
      <c r="D922" s="320">
        <v>16347.0</v>
      </c>
      <c r="E922" s="320">
        <v>20.76</v>
      </c>
      <c r="F922" s="320">
        <v>18473.41</v>
      </c>
      <c r="G922" s="320">
        <v>1.1301</v>
      </c>
      <c r="H922" s="320">
        <v>22.05</v>
      </c>
      <c r="I922" s="320">
        <v>5.1244</v>
      </c>
      <c r="J922" s="320">
        <v>64.12</v>
      </c>
      <c r="K922" s="320">
        <v>36.79</v>
      </c>
      <c r="L922" s="320">
        <v>15.07</v>
      </c>
      <c r="M922" s="320">
        <v>0.4096</v>
      </c>
      <c r="N922" s="320">
        <v>0.6573</v>
      </c>
      <c r="O922" s="320">
        <v>0.3793</v>
      </c>
      <c r="P922" s="320">
        <v>2.4414</v>
      </c>
      <c r="Q922" s="320">
        <v>223.17</v>
      </c>
      <c r="R922" s="320">
        <v>193.82</v>
      </c>
      <c r="S922" s="320">
        <v>29.35</v>
      </c>
      <c r="T922" s="320">
        <v>75.28</v>
      </c>
      <c r="U922" s="320">
        <v>147.89</v>
      </c>
      <c r="V922" s="320">
        <v>215.03</v>
      </c>
      <c r="W922" s="320">
        <v>5.844</v>
      </c>
      <c r="X922" s="320">
        <v>33.73</v>
      </c>
      <c r="Y922" s="320">
        <v>85.0</v>
      </c>
      <c r="Z922" s="320">
        <v>198.0</v>
      </c>
      <c r="AA922" s="320">
        <v>623.0</v>
      </c>
      <c r="AB922" s="320">
        <v>52.3437</v>
      </c>
      <c r="AC922" s="320">
        <v>0.508</v>
      </c>
      <c r="AD922" s="320">
        <v>9.24</v>
      </c>
      <c r="AE922" s="320">
        <v>3.0</v>
      </c>
      <c r="AF922" s="320">
        <v>6.0</v>
      </c>
      <c r="AG922" s="320">
        <v>13.0</v>
      </c>
      <c r="AH922" s="320">
        <v>21.0</v>
      </c>
      <c r="AI922" s="320">
        <v>54.62</v>
      </c>
      <c r="AJ922" s="320">
        <v>25.74</v>
      </c>
      <c r="AK922" s="320">
        <v>5.77</v>
      </c>
      <c r="AL922" s="320">
        <v>0.178</v>
      </c>
      <c r="AM922" s="320">
        <v>19.41</v>
      </c>
      <c r="AN922" s="320">
        <v>174.4</v>
      </c>
      <c r="AO922" s="320">
        <v>72.76</v>
      </c>
      <c r="AP922" s="320">
        <v>14.12</v>
      </c>
    </row>
    <row r="923">
      <c r="A923" s="319" t="s">
        <v>258</v>
      </c>
      <c r="B923" s="328">
        <v>46083.0</v>
      </c>
      <c r="C923" s="319" t="s">
        <v>216</v>
      </c>
      <c r="D923" s="320">
        <v>8320.0</v>
      </c>
      <c r="E923" s="320">
        <v>10.56</v>
      </c>
      <c r="F923" s="320">
        <v>23855.16</v>
      </c>
      <c r="G923" s="320">
        <v>2.8672</v>
      </c>
      <c r="H923" s="320">
        <v>34.58</v>
      </c>
      <c r="I923" s="320">
        <v>8.2917</v>
      </c>
      <c r="J923" s="320">
        <v>90.83</v>
      </c>
      <c r="K923" s="320">
        <v>53.8</v>
      </c>
      <c r="L923" s="320">
        <v>29.78</v>
      </c>
      <c r="M923" s="320">
        <v>0.5535</v>
      </c>
      <c r="N923" s="320">
        <v>0.5275</v>
      </c>
      <c r="O923" s="320">
        <v>0.2913</v>
      </c>
      <c r="P923" s="320">
        <v>1.8067</v>
      </c>
      <c r="Q923" s="320">
        <v>419.77</v>
      </c>
      <c r="R923" s="320">
        <v>361.54</v>
      </c>
      <c r="S923" s="320">
        <v>58.24</v>
      </c>
      <c r="T923" s="320">
        <v>183.92</v>
      </c>
      <c r="U923" s="320">
        <v>235.86</v>
      </c>
      <c r="V923" s="320">
        <v>419.89</v>
      </c>
      <c r="W923" s="320">
        <v>7.8042</v>
      </c>
      <c r="X923" s="320">
        <v>43.81</v>
      </c>
      <c r="Y923" s="320">
        <v>92.0</v>
      </c>
      <c r="Z923" s="320">
        <v>254.0</v>
      </c>
      <c r="AA923" s="320">
        <v>799.0</v>
      </c>
      <c r="AB923" s="320">
        <v>54.8747</v>
      </c>
      <c r="AC923" s="320">
        <v>0.6145</v>
      </c>
      <c r="AD923" s="320">
        <v>18.37</v>
      </c>
      <c r="AE923" s="320">
        <v>6.0</v>
      </c>
      <c r="AF923" s="320">
        <v>14.0</v>
      </c>
      <c r="AG923" s="320">
        <v>26.0</v>
      </c>
      <c r="AH923" s="320">
        <v>39.0</v>
      </c>
      <c r="AI923" s="320">
        <v>59.48</v>
      </c>
      <c r="AJ923" s="320">
        <v>26.21</v>
      </c>
      <c r="AK923" s="320">
        <v>7.66</v>
      </c>
      <c r="AL923" s="320">
        <v>0.176</v>
      </c>
      <c r="AM923" s="320">
        <v>19.31</v>
      </c>
      <c r="AN923" s="320">
        <v>342.22</v>
      </c>
      <c r="AO923" s="320">
        <v>71.12</v>
      </c>
      <c r="AP923" s="320">
        <v>13.73</v>
      </c>
    </row>
    <row r="924">
      <c r="A924" s="319" t="s">
        <v>258</v>
      </c>
      <c r="B924" s="328">
        <v>46083.0</v>
      </c>
      <c r="C924" s="319" t="s">
        <v>217</v>
      </c>
      <c r="D924" s="320">
        <v>3395.0</v>
      </c>
      <c r="E924" s="320">
        <v>4.31</v>
      </c>
      <c r="F924" s="320">
        <v>22617.61</v>
      </c>
      <c r="G924" s="320">
        <v>6.662</v>
      </c>
      <c r="H924" s="320">
        <v>44.68</v>
      </c>
      <c r="I924" s="320">
        <v>14.9094</v>
      </c>
      <c r="J924" s="320">
        <v>141.8</v>
      </c>
      <c r="K924" s="320">
        <v>87.25</v>
      </c>
      <c r="L924" s="320">
        <v>61.79</v>
      </c>
      <c r="M924" s="320">
        <v>0.7082</v>
      </c>
      <c r="N924" s="320">
        <v>0.3877</v>
      </c>
      <c r="O924" s="320">
        <v>0.2263</v>
      </c>
      <c r="P924" s="320">
        <v>1.4121</v>
      </c>
      <c r="Q924" s="320">
        <v>829.67</v>
      </c>
      <c r="R924" s="320">
        <v>713.24</v>
      </c>
      <c r="S924" s="320">
        <v>116.43</v>
      </c>
      <c r="T924" s="320">
        <v>420.13</v>
      </c>
      <c r="U924" s="320">
        <v>409.53</v>
      </c>
      <c r="V924" s="320">
        <v>837.0</v>
      </c>
      <c r="W924" s="320">
        <v>9.5933</v>
      </c>
      <c r="X924" s="320">
        <v>50.64</v>
      </c>
      <c r="Y924" s="320">
        <v>108.0</v>
      </c>
      <c r="Z924" s="320">
        <v>397.0</v>
      </c>
      <c r="AA924" s="320">
        <v>1191.0</v>
      </c>
      <c r="AB924" s="320">
        <v>57.9582</v>
      </c>
      <c r="AC924" s="320">
        <v>0.6861</v>
      </c>
      <c r="AD924" s="320">
        <v>37.39</v>
      </c>
      <c r="AE924" s="320">
        <v>14.0</v>
      </c>
      <c r="AF924" s="320">
        <v>30.0</v>
      </c>
      <c r="AG924" s="320">
        <v>49.0</v>
      </c>
      <c r="AH924" s="320">
        <v>79.0</v>
      </c>
      <c r="AI924" s="320">
        <v>54.02</v>
      </c>
      <c r="AJ924" s="320">
        <v>19.29</v>
      </c>
      <c r="AK924" s="320">
        <v>4.8</v>
      </c>
      <c r="AL924" s="320">
        <v>0.1626</v>
      </c>
      <c r="AM924" s="320">
        <v>20.45</v>
      </c>
      <c r="AN924" s="320">
        <v>692.79</v>
      </c>
      <c r="AO924" s="320">
        <v>69.71</v>
      </c>
      <c r="AP924" s="320">
        <v>14.26</v>
      </c>
    </row>
    <row r="925">
      <c r="A925" s="319" t="s">
        <v>258</v>
      </c>
      <c r="B925" s="328">
        <v>46083.0</v>
      </c>
      <c r="C925" s="319" t="s">
        <v>218</v>
      </c>
      <c r="D925" s="320">
        <v>362.0</v>
      </c>
      <c r="E925" s="320">
        <v>0.46</v>
      </c>
      <c r="F925" s="320">
        <v>4536.37</v>
      </c>
      <c r="G925" s="320">
        <v>12.5314</v>
      </c>
      <c r="H925" s="320">
        <v>46.69</v>
      </c>
      <c r="I925" s="320">
        <v>26.8424</v>
      </c>
      <c r="J925" s="320">
        <v>250.94</v>
      </c>
      <c r="K925" s="320">
        <v>168.82</v>
      </c>
      <c r="L925" s="320">
        <v>140.71</v>
      </c>
      <c r="M925" s="320">
        <v>0.8335</v>
      </c>
      <c r="N925" s="320">
        <v>0.2598</v>
      </c>
      <c r="O925" s="320">
        <v>0.1663</v>
      </c>
      <c r="P925" s="320">
        <v>1.1998</v>
      </c>
      <c r="Q925" s="320">
        <v>1564.25</v>
      </c>
      <c r="R925" s="320">
        <v>1267.92</v>
      </c>
      <c r="S925" s="320">
        <v>296.33</v>
      </c>
      <c r="T925" s="320">
        <v>758.04</v>
      </c>
      <c r="U925" s="320">
        <v>806.21</v>
      </c>
      <c r="V925" s="320">
        <v>1587.57</v>
      </c>
      <c r="W925" s="320">
        <v>9.4039</v>
      </c>
      <c r="X925" s="320">
        <v>48.46</v>
      </c>
      <c r="Y925" s="320">
        <v>176.0</v>
      </c>
      <c r="Z925" s="320">
        <v>824.0</v>
      </c>
      <c r="AA925" s="320">
        <v>2745.0</v>
      </c>
      <c r="AB925" s="320">
        <v>61.51</v>
      </c>
      <c r="AC925" s="320">
        <v>0.852</v>
      </c>
      <c r="AD925" s="320">
        <v>90.76</v>
      </c>
      <c r="AE925" s="320">
        <v>38.0</v>
      </c>
      <c r="AF925" s="320">
        <v>80.0</v>
      </c>
      <c r="AG925" s="320">
        <v>128.0</v>
      </c>
      <c r="AH925" s="320">
        <v>174.0</v>
      </c>
      <c r="AI925" s="320">
        <v>50.28</v>
      </c>
      <c r="AJ925" s="320">
        <v>9.39</v>
      </c>
      <c r="AK925" s="320">
        <v>0.55</v>
      </c>
      <c r="AL925" s="320">
        <v>0.1575</v>
      </c>
      <c r="AM925" s="320">
        <v>21.98</v>
      </c>
      <c r="AN925" s="320">
        <v>1245.94</v>
      </c>
      <c r="AO925" s="320">
        <v>68.82</v>
      </c>
      <c r="AP925" s="320">
        <v>15.13</v>
      </c>
    </row>
    <row r="926">
      <c r="A926" s="319" t="s">
        <v>258</v>
      </c>
      <c r="B926" s="328">
        <v>46084.0</v>
      </c>
      <c r="C926" s="319" t="s">
        <v>257</v>
      </c>
      <c r="D926" s="320">
        <v>15211.0</v>
      </c>
      <c r="E926" s="320">
        <v>19.24</v>
      </c>
      <c r="F926" s="320">
        <v>381.0</v>
      </c>
      <c r="G926" s="320">
        <v>0.025</v>
      </c>
      <c r="H926" s="320">
        <v>0.87</v>
      </c>
      <c r="I926" s="320">
        <v>2.8864</v>
      </c>
      <c r="J926" s="320">
        <v>6.27</v>
      </c>
      <c r="K926" s="320">
        <v>2.73</v>
      </c>
      <c r="L926" s="320">
        <v>0.03</v>
      </c>
      <c r="M926" s="320">
        <v>0.0128</v>
      </c>
      <c r="N926" s="320">
        <v>0.9878</v>
      </c>
      <c r="O926" s="320">
        <v>0.8309</v>
      </c>
      <c r="P926" s="320">
        <v>78.3724</v>
      </c>
      <c r="Q926" s="320">
        <v>33.71</v>
      </c>
      <c r="R926" s="320">
        <v>33.65</v>
      </c>
      <c r="S926" s="320">
        <v>0.06</v>
      </c>
      <c r="T926" s="320">
        <v>0.98</v>
      </c>
      <c r="U926" s="320">
        <v>32.73</v>
      </c>
      <c r="V926" s="320">
        <v>2.06</v>
      </c>
      <c r="W926" s="320">
        <v>0.7574</v>
      </c>
      <c r="X926" s="320">
        <v>2.91</v>
      </c>
      <c r="Y926" s="320">
        <v>165.0</v>
      </c>
      <c r="Z926" s="320">
        <v>1061.0</v>
      </c>
      <c r="AA926" s="320">
        <v>7358.0</v>
      </c>
      <c r="AB926" s="320">
        <v>49.6635</v>
      </c>
      <c r="AC926" s="320">
        <v>0.4922</v>
      </c>
      <c r="AD926" s="329"/>
      <c r="AE926" s="329"/>
      <c r="AF926" s="329"/>
      <c r="AG926" s="329"/>
      <c r="AH926" s="329"/>
      <c r="AI926" s="320">
        <v>0.0</v>
      </c>
      <c r="AJ926" s="320">
        <v>0.0</v>
      </c>
      <c r="AK926" s="320">
        <v>0.0</v>
      </c>
      <c r="AL926" s="320">
        <v>0.2828</v>
      </c>
      <c r="AM926" s="320">
        <v>16.79</v>
      </c>
      <c r="AN926" s="320">
        <v>16.86</v>
      </c>
      <c r="AO926" s="329"/>
      <c r="AP926" s="329"/>
    </row>
    <row r="927">
      <c r="A927" s="319" t="s">
        <v>258</v>
      </c>
      <c r="B927" s="328">
        <v>46084.0</v>
      </c>
      <c r="C927" s="319" t="s">
        <v>214</v>
      </c>
      <c r="D927" s="320">
        <v>34233.0</v>
      </c>
      <c r="E927" s="320">
        <v>43.3</v>
      </c>
      <c r="F927" s="320">
        <v>11421.49</v>
      </c>
      <c r="G927" s="320">
        <v>0.3336</v>
      </c>
      <c r="H927" s="320">
        <v>9.28</v>
      </c>
      <c r="I927" s="320">
        <v>3.5951</v>
      </c>
      <c r="J927" s="320">
        <v>33.21</v>
      </c>
      <c r="K927" s="320">
        <v>17.72</v>
      </c>
      <c r="L927" s="320">
        <v>5.78</v>
      </c>
      <c r="M927" s="320">
        <v>0.326</v>
      </c>
      <c r="N927" s="320">
        <v>0.7481</v>
      </c>
      <c r="O927" s="320">
        <v>0.4916</v>
      </c>
      <c r="P927" s="320">
        <v>3.0676</v>
      </c>
      <c r="Q927" s="320">
        <v>93.7</v>
      </c>
      <c r="R927" s="320">
        <v>81.75</v>
      </c>
      <c r="S927" s="320">
        <v>11.96</v>
      </c>
      <c r="T927" s="320">
        <v>18.91</v>
      </c>
      <c r="U927" s="320">
        <v>74.8</v>
      </c>
      <c r="V927" s="320">
        <v>86.4</v>
      </c>
      <c r="W927" s="320">
        <v>4.8751</v>
      </c>
      <c r="X927" s="320">
        <v>20.18</v>
      </c>
      <c r="Y927" s="320">
        <v>92.0</v>
      </c>
      <c r="Z927" s="320">
        <v>227.0</v>
      </c>
      <c r="AA927" s="320">
        <v>916.0</v>
      </c>
      <c r="AB927" s="320">
        <v>49.2463</v>
      </c>
      <c r="AC927" s="320">
        <v>0.4324</v>
      </c>
      <c r="AD927" s="320">
        <v>3.95</v>
      </c>
      <c r="AE927" s="320">
        <v>1.0</v>
      </c>
      <c r="AF927" s="320">
        <v>2.0</v>
      </c>
      <c r="AG927" s="320">
        <v>5.0</v>
      </c>
      <c r="AH927" s="320">
        <v>9.0</v>
      </c>
      <c r="AI927" s="320">
        <v>69.39</v>
      </c>
      <c r="AJ927" s="320">
        <v>28.81</v>
      </c>
      <c r="AK927" s="320">
        <v>9.32</v>
      </c>
      <c r="AL927" s="320">
        <v>0.2091</v>
      </c>
      <c r="AM927" s="320">
        <v>20.85</v>
      </c>
      <c r="AN927" s="320">
        <v>60.9</v>
      </c>
      <c r="AO927" s="320">
        <v>67.72</v>
      </c>
      <c r="AP927" s="320">
        <v>14.12</v>
      </c>
    </row>
    <row r="928">
      <c r="A928" s="319" t="s">
        <v>258</v>
      </c>
      <c r="B928" s="328">
        <v>46084.0</v>
      </c>
      <c r="C928" s="319" t="s">
        <v>215</v>
      </c>
      <c r="D928" s="320">
        <v>17051.0</v>
      </c>
      <c r="E928" s="320">
        <v>21.57</v>
      </c>
      <c r="F928" s="320">
        <v>24574.76</v>
      </c>
      <c r="G928" s="320">
        <v>1.4413</v>
      </c>
      <c r="H928" s="320">
        <v>28.6</v>
      </c>
      <c r="I928" s="320">
        <v>5.0399</v>
      </c>
      <c r="J928" s="320">
        <v>62.39</v>
      </c>
      <c r="K928" s="320">
        <v>35.61</v>
      </c>
      <c r="L928" s="320">
        <v>16.36</v>
      </c>
      <c r="M928" s="320">
        <v>0.4595</v>
      </c>
      <c r="N928" s="320">
        <v>0.6101</v>
      </c>
      <c r="O928" s="320">
        <v>0.3328</v>
      </c>
      <c r="P928" s="320">
        <v>2.1764</v>
      </c>
      <c r="Q928" s="320">
        <v>229.89</v>
      </c>
      <c r="R928" s="320">
        <v>197.35</v>
      </c>
      <c r="S928" s="320">
        <v>32.55</v>
      </c>
      <c r="T928" s="320">
        <v>82.6</v>
      </c>
      <c r="U928" s="320">
        <v>147.29</v>
      </c>
      <c r="V928" s="320">
        <v>212.92</v>
      </c>
      <c r="W928" s="320">
        <v>5.979</v>
      </c>
      <c r="X928" s="320">
        <v>35.93</v>
      </c>
      <c r="Y928" s="320">
        <v>91.0</v>
      </c>
      <c r="Z928" s="320">
        <v>224.0</v>
      </c>
      <c r="AA928" s="320">
        <v>711.0</v>
      </c>
      <c r="AB928" s="320">
        <v>52.2611</v>
      </c>
      <c r="AC928" s="320">
        <v>0.5189</v>
      </c>
      <c r="AD928" s="320">
        <v>10.58</v>
      </c>
      <c r="AE928" s="320">
        <v>3.0</v>
      </c>
      <c r="AF928" s="320">
        <v>8.0</v>
      </c>
      <c r="AG928" s="320">
        <v>15.0</v>
      </c>
      <c r="AH928" s="320">
        <v>24.0</v>
      </c>
      <c r="AI928" s="320">
        <v>61.84</v>
      </c>
      <c r="AJ928" s="320">
        <v>31.39</v>
      </c>
      <c r="AK928" s="320">
        <v>7.96</v>
      </c>
      <c r="AL928" s="320">
        <v>0.1787</v>
      </c>
      <c r="AM928" s="320">
        <v>24.44</v>
      </c>
      <c r="AN928" s="320">
        <v>172.9</v>
      </c>
      <c r="AO928" s="320">
        <v>72.13</v>
      </c>
      <c r="AP928" s="320">
        <v>17.63</v>
      </c>
    </row>
    <row r="929">
      <c r="A929" s="319" t="s">
        <v>258</v>
      </c>
      <c r="B929" s="328">
        <v>46084.0</v>
      </c>
      <c r="C929" s="319" t="s">
        <v>216</v>
      </c>
      <c r="D929" s="320">
        <v>8890.0</v>
      </c>
      <c r="E929" s="320">
        <v>11.25</v>
      </c>
      <c r="F929" s="320">
        <v>26865.98</v>
      </c>
      <c r="G929" s="320">
        <v>3.022</v>
      </c>
      <c r="H929" s="320">
        <v>40.16</v>
      </c>
      <c r="I929" s="320">
        <v>7.5255</v>
      </c>
      <c r="J929" s="320">
        <v>90.96</v>
      </c>
      <c r="K929" s="320">
        <v>54.2</v>
      </c>
      <c r="L929" s="320">
        <v>32.01</v>
      </c>
      <c r="M929" s="320">
        <v>0.5906</v>
      </c>
      <c r="N929" s="320">
        <v>0.4911</v>
      </c>
      <c r="O929" s="320">
        <v>0.2647</v>
      </c>
      <c r="P929" s="320">
        <v>1.6932</v>
      </c>
      <c r="Q929" s="320">
        <v>446.99</v>
      </c>
      <c r="R929" s="320">
        <v>385.01</v>
      </c>
      <c r="S929" s="320">
        <v>61.98</v>
      </c>
      <c r="T929" s="320">
        <v>177.02</v>
      </c>
      <c r="U929" s="320">
        <v>269.97</v>
      </c>
      <c r="V929" s="320">
        <v>421.17</v>
      </c>
      <c r="W929" s="320">
        <v>7.7703</v>
      </c>
      <c r="X929" s="320">
        <v>39.6</v>
      </c>
      <c r="Y929" s="320">
        <v>100.0</v>
      </c>
      <c r="Z929" s="320">
        <v>305.0</v>
      </c>
      <c r="AA929" s="320">
        <v>894.0</v>
      </c>
      <c r="AB929" s="320">
        <v>54.7671</v>
      </c>
      <c r="AC929" s="320">
        <v>0.6267</v>
      </c>
      <c r="AD929" s="320">
        <v>19.84</v>
      </c>
      <c r="AE929" s="320">
        <v>7.0</v>
      </c>
      <c r="AF929" s="320">
        <v>16.0</v>
      </c>
      <c r="AG929" s="320">
        <v>28.0</v>
      </c>
      <c r="AH929" s="320">
        <v>41.0</v>
      </c>
      <c r="AI929" s="320">
        <v>63.54</v>
      </c>
      <c r="AJ929" s="320">
        <v>28.99</v>
      </c>
      <c r="AK929" s="320">
        <v>9.75</v>
      </c>
      <c r="AL929" s="320">
        <v>0.175</v>
      </c>
      <c r="AM929" s="320">
        <v>26.36</v>
      </c>
      <c r="AN929" s="320">
        <v>358.64</v>
      </c>
      <c r="AO929" s="320">
        <v>71.42</v>
      </c>
      <c r="AP929" s="320">
        <v>18.83</v>
      </c>
    </row>
    <row r="930">
      <c r="A930" s="319" t="s">
        <v>258</v>
      </c>
      <c r="B930" s="328">
        <v>46084.0</v>
      </c>
      <c r="C930" s="319" t="s">
        <v>217</v>
      </c>
      <c r="D930" s="320">
        <v>3271.0</v>
      </c>
      <c r="E930" s="320">
        <v>4.14</v>
      </c>
      <c r="F930" s="320">
        <v>19434.67</v>
      </c>
      <c r="G930" s="320">
        <v>5.9415</v>
      </c>
      <c r="H930" s="320">
        <v>46.65</v>
      </c>
      <c r="I930" s="320">
        <v>12.7357</v>
      </c>
      <c r="J930" s="320">
        <v>136.79</v>
      </c>
      <c r="K930" s="320">
        <v>85.32</v>
      </c>
      <c r="L930" s="320">
        <v>60.53</v>
      </c>
      <c r="M930" s="320">
        <v>0.7095</v>
      </c>
      <c r="N930" s="320">
        <v>0.3866</v>
      </c>
      <c r="O930" s="320">
        <v>0.2246</v>
      </c>
      <c r="P930" s="320">
        <v>1.4094</v>
      </c>
      <c r="Q930" s="320">
        <v>872.82</v>
      </c>
      <c r="R930" s="320">
        <v>747.61</v>
      </c>
      <c r="S930" s="320">
        <v>125.22</v>
      </c>
      <c r="T930" s="320">
        <v>355.61</v>
      </c>
      <c r="U930" s="320">
        <v>517.22</v>
      </c>
      <c r="V930" s="320">
        <v>816.2</v>
      </c>
      <c r="W930" s="320">
        <v>9.5668</v>
      </c>
      <c r="X930" s="320">
        <v>40.74</v>
      </c>
      <c r="Y930" s="320">
        <v>131.0</v>
      </c>
      <c r="Z930" s="320">
        <v>458.0</v>
      </c>
      <c r="AA930" s="320">
        <v>1136.0</v>
      </c>
      <c r="AB930" s="320">
        <v>57.759</v>
      </c>
      <c r="AC930" s="320">
        <v>0.7489</v>
      </c>
      <c r="AD930" s="320">
        <v>40.52</v>
      </c>
      <c r="AE930" s="320">
        <v>16.0</v>
      </c>
      <c r="AF930" s="320">
        <v>33.0</v>
      </c>
      <c r="AG930" s="320">
        <v>55.0</v>
      </c>
      <c r="AH930" s="320">
        <v>85.0</v>
      </c>
      <c r="AI930" s="320">
        <v>55.76</v>
      </c>
      <c r="AJ930" s="320">
        <v>21.52</v>
      </c>
      <c r="AK930" s="320">
        <v>6.08</v>
      </c>
      <c r="AL930" s="320">
        <v>0.1706</v>
      </c>
      <c r="AM930" s="320">
        <v>26.69</v>
      </c>
      <c r="AN930" s="320">
        <v>720.91</v>
      </c>
      <c r="AO930" s="320">
        <v>73.8</v>
      </c>
      <c r="AP930" s="320">
        <v>19.7</v>
      </c>
    </row>
    <row r="931">
      <c r="A931" s="319" t="s">
        <v>258</v>
      </c>
      <c r="B931" s="328">
        <v>46084.0</v>
      </c>
      <c r="C931" s="319" t="s">
        <v>218</v>
      </c>
      <c r="D931" s="320">
        <v>397.0</v>
      </c>
      <c r="E931" s="320">
        <v>0.5</v>
      </c>
      <c r="F931" s="320">
        <v>3978.95</v>
      </c>
      <c r="G931" s="320">
        <v>10.0225</v>
      </c>
      <c r="H931" s="320">
        <v>48.61</v>
      </c>
      <c r="I931" s="320">
        <v>20.6163</v>
      </c>
      <c r="J931" s="320">
        <v>235.73</v>
      </c>
      <c r="K931" s="320">
        <v>154.37</v>
      </c>
      <c r="L931" s="320">
        <v>130.56</v>
      </c>
      <c r="M931" s="320">
        <v>0.8458</v>
      </c>
      <c r="N931" s="320">
        <v>0.2526</v>
      </c>
      <c r="O931" s="320">
        <v>0.165</v>
      </c>
      <c r="P931" s="320">
        <v>1.1824</v>
      </c>
      <c r="Q931" s="320">
        <v>1634.34</v>
      </c>
      <c r="R931" s="320">
        <v>1360.14</v>
      </c>
      <c r="S931" s="320">
        <v>274.19</v>
      </c>
      <c r="T931" s="320">
        <v>598.21</v>
      </c>
      <c r="U931" s="320">
        <v>1036.13</v>
      </c>
      <c r="V931" s="320">
        <v>1524.18</v>
      </c>
      <c r="W931" s="320">
        <v>9.8734</v>
      </c>
      <c r="X931" s="320">
        <v>36.6</v>
      </c>
      <c r="Y931" s="320">
        <v>310.0</v>
      </c>
      <c r="Z931" s="320">
        <v>1008.0</v>
      </c>
      <c r="AA931" s="320">
        <v>2880.0</v>
      </c>
      <c r="AB931" s="320">
        <v>62.2459</v>
      </c>
      <c r="AC931" s="320">
        <v>0.8462</v>
      </c>
      <c r="AD931" s="320">
        <v>92.06</v>
      </c>
      <c r="AE931" s="320">
        <v>40.0</v>
      </c>
      <c r="AF931" s="320">
        <v>77.0</v>
      </c>
      <c r="AG931" s="320">
        <v>129.0</v>
      </c>
      <c r="AH931" s="320">
        <v>177.0</v>
      </c>
      <c r="AI931" s="320">
        <v>48.36</v>
      </c>
      <c r="AJ931" s="320">
        <v>10.08</v>
      </c>
      <c r="AK931" s="320">
        <v>1.01</v>
      </c>
      <c r="AL931" s="320">
        <v>0.1159</v>
      </c>
      <c r="AM931" s="320">
        <v>29.38</v>
      </c>
      <c r="AN931" s="320">
        <v>1330.76</v>
      </c>
      <c r="AO931" s="320">
        <v>71.18</v>
      </c>
      <c r="AP931" s="320">
        <v>20.91</v>
      </c>
    </row>
    <row r="932">
      <c r="A932" s="319" t="s">
        <v>258</v>
      </c>
      <c r="B932" s="328">
        <v>46085.0</v>
      </c>
      <c r="C932" s="319" t="s">
        <v>257</v>
      </c>
      <c r="D932" s="320">
        <v>15780.0</v>
      </c>
      <c r="E932" s="320">
        <v>20.31</v>
      </c>
      <c r="F932" s="320">
        <v>263.96</v>
      </c>
      <c r="G932" s="320">
        <v>0.0167</v>
      </c>
      <c r="H932" s="320">
        <v>0.39</v>
      </c>
      <c r="I932" s="320">
        <v>4.3272</v>
      </c>
      <c r="J932" s="320">
        <v>6.81</v>
      </c>
      <c r="K932" s="320">
        <v>3.19</v>
      </c>
      <c r="L932" s="320">
        <v>0.05</v>
      </c>
      <c r="M932" s="320">
        <v>0.0168</v>
      </c>
      <c r="N932" s="320">
        <v>0.9845</v>
      </c>
      <c r="O932" s="320">
        <v>0.7797</v>
      </c>
      <c r="P932" s="320">
        <v>59.6943</v>
      </c>
      <c r="Q932" s="320">
        <v>24.28</v>
      </c>
      <c r="R932" s="320">
        <v>24.21</v>
      </c>
      <c r="S932" s="320">
        <v>0.08</v>
      </c>
      <c r="T932" s="320">
        <v>1.17</v>
      </c>
      <c r="U932" s="320">
        <v>23.11</v>
      </c>
      <c r="V932" s="320">
        <v>1.86</v>
      </c>
      <c r="W932" s="320">
        <v>0.5816</v>
      </c>
      <c r="X932" s="320">
        <v>4.82</v>
      </c>
      <c r="Y932" s="320">
        <v>150.0</v>
      </c>
      <c r="Z932" s="320">
        <v>1082.0</v>
      </c>
      <c r="AA932" s="320">
        <v>7221.0</v>
      </c>
      <c r="AB932" s="320">
        <v>49.6812</v>
      </c>
      <c r="AC932" s="320">
        <v>0.4977</v>
      </c>
      <c r="AD932" s="329"/>
      <c r="AE932" s="329"/>
      <c r="AF932" s="329"/>
      <c r="AG932" s="329"/>
      <c r="AH932" s="329"/>
      <c r="AI932" s="320">
        <v>0.0</v>
      </c>
      <c r="AJ932" s="320">
        <v>0.0</v>
      </c>
      <c r="AK932" s="320">
        <v>0.0</v>
      </c>
      <c r="AL932" s="320">
        <v>0.2741</v>
      </c>
      <c r="AM932" s="320">
        <v>14.74</v>
      </c>
      <c r="AN932" s="320">
        <v>9.46</v>
      </c>
      <c r="AO932" s="329"/>
      <c r="AP932" s="329"/>
    </row>
    <row r="933">
      <c r="A933" s="319" t="s">
        <v>258</v>
      </c>
      <c r="B933" s="328">
        <v>46085.0</v>
      </c>
      <c r="C933" s="319" t="s">
        <v>214</v>
      </c>
      <c r="D933" s="320">
        <v>33171.0</v>
      </c>
      <c r="E933" s="320">
        <v>42.69</v>
      </c>
      <c r="F933" s="320">
        <v>9221.65</v>
      </c>
      <c r="G933" s="320">
        <v>0.278</v>
      </c>
      <c r="H933" s="320">
        <v>7.95</v>
      </c>
      <c r="I933" s="320">
        <v>3.497</v>
      </c>
      <c r="J933" s="320">
        <v>34.57</v>
      </c>
      <c r="K933" s="320">
        <v>18.75</v>
      </c>
      <c r="L933" s="320">
        <v>5.56</v>
      </c>
      <c r="M933" s="320">
        <v>0.2967</v>
      </c>
      <c r="N933" s="320">
        <v>0.7688</v>
      </c>
      <c r="O933" s="320">
        <v>0.5042</v>
      </c>
      <c r="P933" s="320">
        <v>3.3702</v>
      </c>
      <c r="Q933" s="320">
        <v>72.49</v>
      </c>
      <c r="R933" s="320">
        <v>60.85</v>
      </c>
      <c r="S933" s="320">
        <v>11.64</v>
      </c>
      <c r="T933" s="320">
        <v>15.9</v>
      </c>
      <c r="U933" s="320">
        <v>56.6</v>
      </c>
      <c r="V933" s="320">
        <v>76.9</v>
      </c>
      <c r="W933" s="320">
        <v>4.101</v>
      </c>
      <c r="X933" s="320">
        <v>21.93</v>
      </c>
      <c r="Y933" s="320">
        <v>88.0</v>
      </c>
      <c r="Z933" s="320">
        <v>213.0</v>
      </c>
      <c r="AA933" s="320">
        <v>882.0</v>
      </c>
      <c r="AB933" s="320">
        <v>49.3871</v>
      </c>
      <c r="AC933" s="320">
        <v>0.4339</v>
      </c>
      <c r="AD933" s="320">
        <v>3.73</v>
      </c>
      <c r="AE933" s="320">
        <v>1.0</v>
      </c>
      <c r="AF933" s="320">
        <v>2.0</v>
      </c>
      <c r="AG933" s="320">
        <v>5.0</v>
      </c>
      <c r="AH933" s="320">
        <v>8.0</v>
      </c>
      <c r="AI933" s="320">
        <v>67.52</v>
      </c>
      <c r="AJ933" s="320">
        <v>26.82</v>
      </c>
      <c r="AK933" s="320">
        <v>8.12</v>
      </c>
      <c r="AL933" s="320">
        <v>0.2073</v>
      </c>
      <c r="AM933" s="320">
        <v>19.85</v>
      </c>
      <c r="AN933" s="320">
        <v>41.0</v>
      </c>
      <c r="AO933" s="320">
        <v>68.2</v>
      </c>
      <c r="AP933" s="320">
        <v>13.54</v>
      </c>
    </row>
    <row r="934">
      <c r="A934" s="319" t="s">
        <v>258</v>
      </c>
      <c r="B934" s="328">
        <v>46085.0</v>
      </c>
      <c r="C934" s="319" t="s">
        <v>215</v>
      </c>
      <c r="D934" s="320">
        <v>16513.0</v>
      </c>
      <c r="E934" s="320">
        <v>21.25</v>
      </c>
      <c r="F934" s="320">
        <v>21050.88</v>
      </c>
      <c r="G934" s="320">
        <v>1.2748</v>
      </c>
      <c r="H934" s="320">
        <v>25.3</v>
      </c>
      <c r="I934" s="320">
        <v>5.0385</v>
      </c>
      <c r="J934" s="320">
        <v>62.15</v>
      </c>
      <c r="K934" s="320">
        <v>35.98</v>
      </c>
      <c r="L934" s="320">
        <v>15.2</v>
      </c>
      <c r="M934" s="320">
        <v>0.4226</v>
      </c>
      <c r="N934" s="320">
        <v>0.6393</v>
      </c>
      <c r="O934" s="320">
        <v>0.3473</v>
      </c>
      <c r="P934" s="320">
        <v>2.3665</v>
      </c>
      <c r="Q934" s="320">
        <v>175.11</v>
      </c>
      <c r="R934" s="320">
        <v>145.26</v>
      </c>
      <c r="S934" s="320">
        <v>29.85</v>
      </c>
      <c r="T934" s="320">
        <v>75.43</v>
      </c>
      <c r="U934" s="320">
        <v>99.69</v>
      </c>
      <c r="V934" s="320">
        <v>183.73</v>
      </c>
      <c r="W934" s="320">
        <v>5.1065</v>
      </c>
      <c r="X934" s="320">
        <v>43.07</v>
      </c>
      <c r="Y934" s="320">
        <v>85.0</v>
      </c>
      <c r="Z934" s="320">
        <v>197.0</v>
      </c>
      <c r="AA934" s="320">
        <v>646.0</v>
      </c>
      <c r="AB934" s="320">
        <v>52.3941</v>
      </c>
      <c r="AC934" s="320">
        <v>0.5374</v>
      </c>
      <c r="AD934" s="320">
        <v>9.34</v>
      </c>
      <c r="AE934" s="320">
        <v>3.0</v>
      </c>
      <c r="AF934" s="320">
        <v>7.0</v>
      </c>
      <c r="AG934" s="320">
        <v>13.0</v>
      </c>
      <c r="AH934" s="320">
        <v>21.0</v>
      </c>
      <c r="AI934" s="320">
        <v>56.57</v>
      </c>
      <c r="AJ934" s="320">
        <v>26.62</v>
      </c>
      <c r="AK934" s="320">
        <v>5.54</v>
      </c>
      <c r="AL934" s="320">
        <v>0.1749</v>
      </c>
      <c r="AM934" s="320">
        <v>21.48</v>
      </c>
      <c r="AN934" s="320">
        <v>123.78</v>
      </c>
      <c r="AO934" s="320">
        <v>73.07</v>
      </c>
      <c r="AP934" s="320">
        <v>15.7</v>
      </c>
    </row>
    <row r="935">
      <c r="A935" s="319" t="s">
        <v>258</v>
      </c>
      <c r="B935" s="328">
        <v>46085.0</v>
      </c>
      <c r="C935" s="319" t="s">
        <v>216</v>
      </c>
      <c r="D935" s="320">
        <v>8564.0</v>
      </c>
      <c r="E935" s="320">
        <v>11.02</v>
      </c>
      <c r="F935" s="320">
        <v>23949.07</v>
      </c>
      <c r="G935" s="320">
        <v>2.7965</v>
      </c>
      <c r="H935" s="320">
        <v>36.49</v>
      </c>
      <c r="I935" s="320">
        <v>7.6637</v>
      </c>
      <c r="J935" s="320">
        <v>84.98</v>
      </c>
      <c r="K935" s="320">
        <v>50.84</v>
      </c>
      <c r="L935" s="320">
        <v>27.22</v>
      </c>
      <c r="M935" s="320">
        <v>0.5355</v>
      </c>
      <c r="N935" s="320">
        <v>0.5369</v>
      </c>
      <c r="O935" s="320">
        <v>0.288</v>
      </c>
      <c r="P935" s="320">
        <v>1.8675</v>
      </c>
      <c r="Q935" s="320">
        <v>324.39</v>
      </c>
      <c r="R935" s="320">
        <v>268.02</v>
      </c>
      <c r="S935" s="320">
        <v>56.37</v>
      </c>
      <c r="T935" s="320">
        <v>167.24</v>
      </c>
      <c r="U935" s="320">
        <v>157.15</v>
      </c>
      <c r="V935" s="320">
        <v>342.71</v>
      </c>
      <c r="W935" s="320">
        <v>6.7414</v>
      </c>
      <c r="X935" s="320">
        <v>51.56</v>
      </c>
      <c r="Y935" s="320">
        <v>87.0</v>
      </c>
      <c r="Z935" s="320">
        <v>227.0</v>
      </c>
      <c r="AA935" s="320">
        <v>725.0</v>
      </c>
      <c r="AB935" s="320">
        <v>54.7438</v>
      </c>
      <c r="AC935" s="320">
        <v>0.6685</v>
      </c>
      <c r="AD935" s="320">
        <v>17.76</v>
      </c>
      <c r="AE935" s="320">
        <v>6.0</v>
      </c>
      <c r="AF935" s="320">
        <v>13.0</v>
      </c>
      <c r="AG935" s="320">
        <v>25.0</v>
      </c>
      <c r="AH935" s="320">
        <v>38.0</v>
      </c>
      <c r="AI935" s="320">
        <v>56.56</v>
      </c>
      <c r="AJ935" s="320">
        <v>24.79</v>
      </c>
      <c r="AK935" s="320">
        <v>7.72</v>
      </c>
      <c r="AL935" s="320">
        <v>0.188</v>
      </c>
      <c r="AM935" s="320">
        <v>21.27</v>
      </c>
      <c r="AN935" s="320">
        <v>246.75</v>
      </c>
      <c r="AO935" s="320">
        <v>73.77</v>
      </c>
      <c r="AP935" s="320">
        <v>15.69</v>
      </c>
    </row>
    <row r="936">
      <c r="A936" s="319" t="s">
        <v>258</v>
      </c>
      <c r="B936" s="328">
        <v>46085.0</v>
      </c>
      <c r="C936" s="319" t="s">
        <v>217</v>
      </c>
      <c r="D936" s="320">
        <v>3303.0</v>
      </c>
      <c r="E936" s="320">
        <v>4.25</v>
      </c>
      <c r="F936" s="320">
        <v>19884.47</v>
      </c>
      <c r="G936" s="320">
        <v>6.0201</v>
      </c>
      <c r="H936" s="320">
        <v>45.14</v>
      </c>
      <c r="I936" s="320">
        <v>13.3363</v>
      </c>
      <c r="J936" s="320">
        <v>131.0</v>
      </c>
      <c r="K936" s="320">
        <v>81.03</v>
      </c>
      <c r="L936" s="320">
        <v>55.58</v>
      </c>
      <c r="M936" s="320">
        <v>0.686</v>
      </c>
      <c r="N936" s="320">
        <v>0.4028</v>
      </c>
      <c r="O936" s="320">
        <v>0.225</v>
      </c>
      <c r="P936" s="320">
        <v>1.4577</v>
      </c>
      <c r="Q936" s="320">
        <v>658.8</v>
      </c>
      <c r="R936" s="320">
        <v>542.08</v>
      </c>
      <c r="S936" s="320">
        <v>116.72</v>
      </c>
      <c r="T936" s="320">
        <v>373.04</v>
      </c>
      <c r="U936" s="320">
        <v>285.77</v>
      </c>
      <c r="V936" s="320">
        <v>701.97</v>
      </c>
      <c r="W936" s="320">
        <v>8.6636</v>
      </c>
      <c r="X936" s="320">
        <v>56.62</v>
      </c>
      <c r="Y936" s="320">
        <v>107.0</v>
      </c>
      <c r="Z936" s="320">
        <v>371.0</v>
      </c>
      <c r="AA936" s="320">
        <v>1074.0</v>
      </c>
      <c r="AB936" s="320">
        <v>58.0838</v>
      </c>
      <c r="AC936" s="320">
        <v>0.7814</v>
      </c>
      <c r="AD936" s="320">
        <v>37.95</v>
      </c>
      <c r="AE936" s="320">
        <v>12.0</v>
      </c>
      <c r="AF936" s="320">
        <v>29.0</v>
      </c>
      <c r="AG936" s="320">
        <v>54.0</v>
      </c>
      <c r="AH936" s="320">
        <v>83.0</v>
      </c>
      <c r="AI936" s="320">
        <v>50.95</v>
      </c>
      <c r="AJ936" s="320">
        <v>21.28</v>
      </c>
      <c r="AK936" s="320">
        <v>5.63</v>
      </c>
      <c r="AL936" s="320">
        <v>0.1726</v>
      </c>
      <c r="AM936" s="320">
        <v>20.36</v>
      </c>
      <c r="AN936" s="320">
        <v>521.72</v>
      </c>
      <c r="AO936" s="320">
        <v>74.61</v>
      </c>
      <c r="AP936" s="320">
        <v>15.19</v>
      </c>
    </row>
    <row r="937">
      <c r="A937" s="319" t="s">
        <v>258</v>
      </c>
      <c r="B937" s="328">
        <v>46085.0</v>
      </c>
      <c r="C937" s="319" t="s">
        <v>218</v>
      </c>
      <c r="D937" s="320">
        <v>375.0</v>
      </c>
      <c r="E937" s="320">
        <v>0.48</v>
      </c>
      <c r="F937" s="320">
        <v>4351.25</v>
      </c>
      <c r="G937" s="320">
        <v>11.6033</v>
      </c>
      <c r="H937" s="320">
        <v>49.07</v>
      </c>
      <c r="I937" s="320">
        <v>23.6481</v>
      </c>
      <c r="J937" s="320">
        <v>235.47</v>
      </c>
      <c r="K937" s="320">
        <v>157.25</v>
      </c>
      <c r="L937" s="320">
        <v>127.82</v>
      </c>
      <c r="M937" s="320">
        <v>0.8129</v>
      </c>
      <c r="N937" s="320">
        <v>0.2781</v>
      </c>
      <c r="O937" s="320">
        <v>0.1731</v>
      </c>
      <c r="P937" s="320">
        <v>1.2302</v>
      </c>
      <c r="Q937" s="320">
        <v>1276.96</v>
      </c>
      <c r="R937" s="320">
        <v>1009.04</v>
      </c>
      <c r="S937" s="320">
        <v>267.92</v>
      </c>
      <c r="T937" s="320">
        <v>680.21</v>
      </c>
      <c r="U937" s="320">
        <v>596.75</v>
      </c>
      <c r="V937" s="320">
        <v>1369.6</v>
      </c>
      <c r="W937" s="320">
        <v>8.7098</v>
      </c>
      <c r="X937" s="320">
        <v>53.27</v>
      </c>
      <c r="Y937" s="320">
        <v>181.0</v>
      </c>
      <c r="Z937" s="320">
        <v>762.0</v>
      </c>
      <c r="AA937" s="320">
        <v>2840.0</v>
      </c>
      <c r="AB937" s="320">
        <v>62.0619</v>
      </c>
      <c r="AC937" s="320">
        <v>0.8708</v>
      </c>
      <c r="AD937" s="320">
        <v>86.31</v>
      </c>
      <c r="AE937" s="320">
        <v>29.0</v>
      </c>
      <c r="AF937" s="320">
        <v>74.0</v>
      </c>
      <c r="AG937" s="320">
        <v>124.0</v>
      </c>
      <c r="AH937" s="320">
        <v>168.0</v>
      </c>
      <c r="AI937" s="320">
        <v>47.47</v>
      </c>
      <c r="AJ937" s="320">
        <v>8.8</v>
      </c>
      <c r="AK937" s="320">
        <v>1.87</v>
      </c>
      <c r="AL937" s="320">
        <v>0.136</v>
      </c>
      <c r="AM937" s="320">
        <v>24.97</v>
      </c>
      <c r="AN937" s="320">
        <v>984.07</v>
      </c>
      <c r="AO937" s="320">
        <v>72.61</v>
      </c>
      <c r="AP937" s="320">
        <v>18.13</v>
      </c>
    </row>
    <row r="938">
      <c r="A938" s="319" t="s">
        <v>258</v>
      </c>
      <c r="B938" s="328">
        <v>46086.0</v>
      </c>
      <c r="C938" s="319" t="s">
        <v>257</v>
      </c>
      <c r="D938" s="320">
        <v>16729.0</v>
      </c>
      <c r="E938" s="320">
        <v>21.58</v>
      </c>
      <c r="F938" s="320">
        <v>176.44</v>
      </c>
      <c r="G938" s="320">
        <v>0.0105</v>
      </c>
      <c r="H938" s="320">
        <v>0.26</v>
      </c>
      <c r="I938" s="320">
        <v>4.01</v>
      </c>
      <c r="J938" s="320">
        <v>6.57</v>
      </c>
      <c r="K938" s="320">
        <v>3.04</v>
      </c>
      <c r="L938" s="320">
        <v>0.04</v>
      </c>
      <c r="M938" s="320">
        <v>0.013</v>
      </c>
      <c r="N938" s="320">
        <v>0.9878</v>
      </c>
      <c r="O938" s="320">
        <v>0.812</v>
      </c>
      <c r="P938" s="320">
        <v>76.9366</v>
      </c>
      <c r="Q938" s="320">
        <v>22.95</v>
      </c>
      <c r="R938" s="320">
        <v>22.87</v>
      </c>
      <c r="S938" s="320">
        <v>0.08</v>
      </c>
      <c r="T938" s="320">
        <v>0.73</v>
      </c>
      <c r="U938" s="320">
        <v>22.21</v>
      </c>
      <c r="V938" s="320">
        <v>2.08</v>
      </c>
      <c r="W938" s="320">
        <v>0.6833</v>
      </c>
      <c r="X938" s="320">
        <v>3.2</v>
      </c>
      <c r="Y938" s="320">
        <v>139.0</v>
      </c>
      <c r="Z938" s="320">
        <v>952.0</v>
      </c>
      <c r="AA938" s="320">
        <v>6673.0</v>
      </c>
      <c r="AB938" s="320">
        <v>49.6899</v>
      </c>
      <c r="AC938" s="320">
        <v>0.5026</v>
      </c>
      <c r="AD938" s="329"/>
      <c r="AE938" s="329"/>
      <c r="AF938" s="329"/>
      <c r="AG938" s="329"/>
      <c r="AH938" s="329"/>
      <c r="AI938" s="320">
        <v>0.0</v>
      </c>
      <c r="AJ938" s="320">
        <v>0.0</v>
      </c>
      <c r="AK938" s="320">
        <v>0.0</v>
      </c>
      <c r="AL938" s="320">
        <v>0.2789</v>
      </c>
      <c r="AM938" s="320">
        <v>15.56</v>
      </c>
      <c r="AN938" s="320">
        <v>7.3</v>
      </c>
      <c r="AO938" s="329"/>
      <c r="AP938" s="329"/>
    </row>
    <row r="939">
      <c r="A939" s="319" t="s">
        <v>258</v>
      </c>
      <c r="B939" s="328">
        <v>46086.0</v>
      </c>
      <c r="C939" s="319" t="s">
        <v>214</v>
      </c>
      <c r="D939" s="320">
        <v>32411.0</v>
      </c>
      <c r="E939" s="320">
        <v>41.82</v>
      </c>
      <c r="F939" s="320">
        <v>8546.41</v>
      </c>
      <c r="G939" s="320">
        <v>0.2637</v>
      </c>
      <c r="H939" s="320">
        <v>7.22</v>
      </c>
      <c r="I939" s="320">
        <v>3.6508</v>
      </c>
      <c r="J939" s="320">
        <v>30.52</v>
      </c>
      <c r="K939" s="320">
        <v>16.34</v>
      </c>
      <c r="L939" s="320">
        <v>5.21</v>
      </c>
      <c r="M939" s="320">
        <v>0.3186</v>
      </c>
      <c r="N939" s="320">
        <v>0.7531</v>
      </c>
      <c r="O939" s="320">
        <v>0.5015</v>
      </c>
      <c r="P939" s="320">
        <v>3.1391</v>
      </c>
      <c r="Q939" s="320">
        <v>67.34</v>
      </c>
      <c r="R939" s="320">
        <v>56.46</v>
      </c>
      <c r="S939" s="320">
        <v>10.88</v>
      </c>
      <c r="T939" s="320">
        <v>16.25</v>
      </c>
      <c r="U939" s="320">
        <v>51.1</v>
      </c>
      <c r="V939" s="320">
        <v>72.28</v>
      </c>
      <c r="W939" s="320">
        <v>4.423</v>
      </c>
      <c r="X939" s="320">
        <v>24.13</v>
      </c>
      <c r="Y939" s="320">
        <v>86.0</v>
      </c>
      <c r="Z939" s="320">
        <v>206.0</v>
      </c>
      <c r="AA939" s="320">
        <v>865.0</v>
      </c>
      <c r="AB939" s="320">
        <v>49.5301</v>
      </c>
      <c r="AC939" s="320">
        <v>0.4375</v>
      </c>
      <c r="AD939" s="320">
        <v>3.56</v>
      </c>
      <c r="AE939" s="320">
        <v>1.0</v>
      </c>
      <c r="AF939" s="320">
        <v>2.0</v>
      </c>
      <c r="AG939" s="320">
        <v>5.0</v>
      </c>
      <c r="AH939" s="320">
        <v>8.0</v>
      </c>
      <c r="AI939" s="320">
        <v>65.72</v>
      </c>
      <c r="AJ939" s="320">
        <v>25.4</v>
      </c>
      <c r="AK939" s="320">
        <v>7.18</v>
      </c>
      <c r="AL939" s="320">
        <v>0.2234</v>
      </c>
      <c r="AM939" s="320">
        <v>20.41</v>
      </c>
      <c r="AN939" s="320">
        <v>36.05</v>
      </c>
      <c r="AO939" s="320">
        <v>68.16</v>
      </c>
      <c r="AP939" s="320">
        <v>13.91</v>
      </c>
    </row>
    <row r="940">
      <c r="A940" s="319" t="s">
        <v>258</v>
      </c>
      <c r="B940" s="328">
        <v>46086.0</v>
      </c>
      <c r="C940" s="319" t="s">
        <v>215</v>
      </c>
      <c r="D940" s="320">
        <v>16263.0</v>
      </c>
      <c r="E940" s="320">
        <v>20.98</v>
      </c>
      <c r="F940" s="320">
        <v>18254.66</v>
      </c>
      <c r="G940" s="320">
        <v>1.1225</v>
      </c>
      <c r="H940" s="320">
        <v>23.08</v>
      </c>
      <c r="I940" s="320">
        <v>4.8627</v>
      </c>
      <c r="J940" s="320">
        <v>55.09</v>
      </c>
      <c r="K940" s="320">
        <v>31.5</v>
      </c>
      <c r="L940" s="320">
        <v>13.5</v>
      </c>
      <c r="M940" s="320">
        <v>0.4286</v>
      </c>
      <c r="N940" s="320">
        <v>0.6366</v>
      </c>
      <c r="O940" s="320">
        <v>0.3564</v>
      </c>
      <c r="P940" s="320">
        <v>2.333</v>
      </c>
      <c r="Q940" s="320">
        <v>163.0</v>
      </c>
      <c r="R940" s="320">
        <v>135.57</v>
      </c>
      <c r="S940" s="320">
        <v>27.43</v>
      </c>
      <c r="T940" s="320">
        <v>68.13</v>
      </c>
      <c r="U940" s="320">
        <v>94.87</v>
      </c>
      <c r="V940" s="320">
        <v>169.71</v>
      </c>
      <c r="W940" s="320">
        <v>5.3879</v>
      </c>
      <c r="X940" s="320">
        <v>41.8</v>
      </c>
      <c r="Y940" s="320">
        <v>84.0</v>
      </c>
      <c r="Z940" s="320">
        <v>189.0</v>
      </c>
      <c r="AA940" s="320">
        <v>632.0</v>
      </c>
      <c r="AB940" s="320">
        <v>52.5214</v>
      </c>
      <c r="AC940" s="320">
        <v>0.5499</v>
      </c>
      <c r="AD940" s="320">
        <v>8.68</v>
      </c>
      <c r="AE940" s="320">
        <v>2.0</v>
      </c>
      <c r="AF940" s="320">
        <v>6.0</v>
      </c>
      <c r="AG940" s="320">
        <v>12.0</v>
      </c>
      <c r="AH940" s="320">
        <v>19.0</v>
      </c>
      <c r="AI940" s="320">
        <v>53.98</v>
      </c>
      <c r="AJ940" s="320">
        <v>23.96</v>
      </c>
      <c r="AK940" s="320">
        <v>4.51</v>
      </c>
      <c r="AL940" s="320">
        <v>0.1987</v>
      </c>
      <c r="AM940" s="320">
        <v>19.92</v>
      </c>
      <c r="AN940" s="320">
        <v>115.65</v>
      </c>
      <c r="AO940" s="320">
        <v>73.67</v>
      </c>
      <c r="AP940" s="320">
        <v>14.68</v>
      </c>
    </row>
    <row r="941">
      <c r="A941" s="319" t="s">
        <v>258</v>
      </c>
      <c r="B941" s="328">
        <v>46086.0</v>
      </c>
      <c r="C941" s="319" t="s">
        <v>216</v>
      </c>
      <c r="D941" s="320">
        <v>8456.0</v>
      </c>
      <c r="E941" s="320">
        <v>10.91</v>
      </c>
      <c r="F941" s="320">
        <v>21448.37</v>
      </c>
      <c r="G941" s="320">
        <v>2.5365</v>
      </c>
      <c r="H941" s="320">
        <v>34.25</v>
      </c>
      <c r="I941" s="320">
        <v>7.4062</v>
      </c>
      <c r="J941" s="320">
        <v>78.28</v>
      </c>
      <c r="K941" s="320">
        <v>46.8</v>
      </c>
      <c r="L941" s="320">
        <v>25.53</v>
      </c>
      <c r="M941" s="320">
        <v>0.5454</v>
      </c>
      <c r="N941" s="320">
        <v>0.5306</v>
      </c>
      <c r="O941" s="320">
        <v>0.2907</v>
      </c>
      <c r="P941" s="320">
        <v>1.8336</v>
      </c>
      <c r="Q941" s="320">
        <v>323.62</v>
      </c>
      <c r="R941" s="320">
        <v>269.76</v>
      </c>
      <c r="S941" s="320">
        <v>53.86</v>
      </c>
      <c r="T941" s="320">
        <v>155.96</v>
      </c>
      <c r="U941" s="320">
        <v>167.66</v>
      </c>
      <c r="V941" s="320">
        <v>330.48</v>
      </c>
      <c r="W941" s="320">
        <v>7.0607</v>
      </c>
      <c r="X941" s="320">
        <v>48.19</v>
      </c>
      <c r="Y941" s="320">
        <v>87.0</v>
      </c>
      <c r="Z941" s="320">
        <v>225.0</v>
      </c>
      <c r="AA941" s="320">
        <v>706.0</v>
      </c>
      <c r="AB941" s="320">
        <v>54.7554</v>
      </c>
      <c r="AC941" s="320">
        <v>0.6703</v>
      </c>
      <c r="AD941" s="320">
        <v>16.93</v>
      </c>
      <c r="AE941" s="320">
        <v>6.0</v>
      </c>
      <c r="AF941" s="320">
        <v>13.0</v>
      </c>
      <c r="AG941" s="320">
        <v>24.0</v>
      </c>
      <c r="AH941" s="320">
        <v>36.0</v>
      </c>
      <c r="AI941" s="320">
        <v>55.88</v>
      </c>
      <c r="AJ941" s="320">
        <v>22.45</v>
      </c>
      <c r="AK941" s="320">
        <v>6.62</v>
      </c>
      <c r="AL941" s="320">
        <v>0.1952</v>
      </c>
      <c r="AM941" s="320">
        <v>20.58</v>
      </c>
      <c r="AN941" s="320">
        <v>249.19</v>
      </c>
      <c r="AO941" s="320">
        <v>74.02</v>
      </c>
      <c r="AP941" s="320">
        <v>15.23</v>
      </c>
    </row>
    <row r="942">
      <c r="A942" s="319" t="s">
        <v>258</v>
      </c>
      <c r="B942" s="328">
        <v>46086.0</v>
      </c>
      <c r="C942" s="319" t="s">
        <v>217</v>
      </c>
      <c r="D942" s="320">
        <v>3264.0</v>
      </c>
      <c r="E942" s="320">
        <v>4.21</v>
      </c>
      <c r="F942" s="320">
        <v>19191.73</v>
      </c>
      <c r="G942" s="320">
        <v>5.8798</v>
      </c>
      <c r="H942" s="320">
        <v>43.66</v>
      </c>
      <c r="I942" s="320">
        <v>13.4679</v>
      </c>
      <c r="J942" s="320">
        <v>127.4</v>
      </c>
      <c r="K942" s="320">
        <v>78.24</v>
      </c>
      <c r="L942" s="320">
        <v>54.52</v>
      </c>
      <c r="M942" s="320">
        <v>0.6968</v>
      </c>
      <c r="N942" s="320">
        <v>0.3958</v>
      </c>
      <c r="O942" s="320">
        <v>0.2265</v>
      </c>
      <c r="P942" s="320">
        <v>1.4351</v>
      </c>
      <c r="Q942" s="320">
        <v>696.48</v>
      </c>
      <c r="R942" s="320">
        <v>581.31</v>
      </c>
      <c r="S942" s="320">
        <v>115.16</v>
      </c>
      <c r="T942" s="320">
        <v>364.77</v>
      </c>
      <c r="U942" s="320">
        <v>331.71</v>
      </c>
      <c r="V942" s="320">
        <v>713.34</v>
      </c>
      <c r="W942" s="320">
        <v>9.1179</v>
      </c>
      <c r="X942" s="320">
        <v>52.37</v>
      </c>
      <c r="Y942" s="320">
        <v>105.0</v>
      </c>
      <c r="Z942" s="320">
        <v>374.0</v>
      </c>
      <c r="AA942" s="320">
        <v>1055.0</v>
      </c>
      <c r="AB942" s="320">
        <v>57.8519</v>
      </c>
      <c r="AC942" s="320">
        <v>0.7671</v>
      </c>
      <c r="AD942" s="320">
        <v>37.4</v>
      </c>
      <c r="AE942" s="320">
        <v>13.0</v>
      </c>
      <c r="AF942" s="320">
        <v>29.0</v>
      </c>
      <c r="AG942" s="320">
        <v>53.0</v>
      </c>
      <c r="AH942" s="320">
        <v>79.0</v>
      </c>
      <c r="AI942" s="320">
        <v>51.87</v>
      </c>
      <c r="AJ942" s="320">
        <v>20.1</v>
      </c>
      <c r="AK942" s="320">
        <v>5.3</v>
      </c>
      <c r="AL942" s="320">
        <v>0.1728</v>
      </c>
      <c r="AM942" s="320">
        <v>19.65</v>
      </c>
      <c r="AN942" s="320">
        <v>561.67</v>
      </c>
      <c r="AO942" s="320">
        <v>75.98</v>
      </c>
      <c r="AP942" s="320">
        <v>14.93</v>
      </c>
    </row>
    <row r="943">
      <c r="A943" s="319" t="s">
        <v>258</v>
      </c>
      <c r="B943" s="328">
        <v>46086.0</v>
      </c>
      <c r="C943" s="319" t="s">
        <v>218</v>
      </c>
      <c r="D943" s="320">
        <v>384.0</v>
      </c>
      <c r="E943" s="320">
        <v>0.5</v>
      </c>
      <c r="F943" s="320">
        <v>4641.82</v>
      </c>
      <c r="G943" s="320">
        <v>12.0881</v>
      </c>
      <c r="H943" s="320">
        <v>48.7</v>
      </c>
      <c r="I943" s="320">
        <v>24.8226</v>
      </c>
      <c r="J943" s="320">
        <v>223.16</v>
      </c>
      <c r="K943" s="320">
        <v>147.49</v>
      </c>
      <c r="L943" s="320">
        <v>120.05</v>
      </c>
      <c r="M943" s="320">
        <v>0.8139</v>
      </c>
      <c r="N943" s="320">
        <v>0.2811</v>
      </c>
      <c r="O943" s="320">
        <v>0.1754</v>
      </c>
      <c r="P943" s="320">
        <v>1.2286</v>
      </c>
      <c r="Q943" s="320">
        <v>1368.4</v>
      </c>
      <c r="R943" s="320">
        <v>1114.15</v>
      </c>
      <c r="S943" s="320">
        <v>254.24</v>
      </c>
      <c r="T943" s="320">
        <v>744.49</v>
      </c>
      <c r="U943" s="320">
        <v>623.9</v>
      </c>
      <c r="V943" s="320">
        <v>1394.92</v>
      </c>
      <c r="W943" s="320">
        <v>9.4574</v>
      </c>
      <c r="X943" s="320">
        <v>54.41</v>
      </c>
      <c r="Y943" s="320">
        <v>176.0</v>
      </c>
      <c r="Z943" s="320">
        <v>708.0</v>
      </c>
      <c r="AA943" s="320">
        <v>2484.0</v>
      </c>
      <c r="AB943" s="320">
        <v>62.0885</v>
      </c>
      <c r="AC943" s="320">
        <v>0.8466</v>
      </c>
      <c r="AD943" s="320">
        <v>84.27</v>
      </c>
      <c r="AE943" s="320">
        <v>29.0</v>
      </c>
      <c r="AF943" s="320">
        <v>68.0</v>
      </c>
      <c r="AG943" s="320">
        <v>125.0</v>
      </c>
      <c r="AH943" s="320">
        <v>170.0</v>
      </c>
      <c r="AI943" s="320">
        <v>44.01</v>
      </c>
      <c r="AJ943" s="320">
        <v>8.85</v>
      </c>
      <c r="AK943" s="320">
        <v>1.3</v>
      </c>
      <c r="AL943" s="320">
        <v>0.1146</v>
      </c>
      <c r="AM943" s="320">
        <v>22.5</v>
      </c>
      <c r="AN943" s="320">
        <v>1091.65</v>
      </c>
      <c r="AO943" s="320">
        <v>72.54</v>
      </c>
      <c r="AP943" s="320">
        <v>16.32</v>
      </c>
    </row>
    <row r="944">
      <c r="A944" s="319" t="s">
        <v>258</v>
      </c>
      <c r="B944" s="328">
        <v>46087.0</v>
      </c>
      <c r="C944" s="319" t="s">
        <v>257</v>
      </c>
      <c r="D944" s="320">
        <v>14345.0</v>
      </c>
      <c r="E944" s="320">
        <v>18.81</v>
      </c>
      <c r="F944" s="320">
        <v>245.23</v>
      </c>
      <c r="G944" s="320">
        <v>0.0171</v>
      </c>
      <c r="H944" s="320">
        <v>0.4</v>
      </c>
      <c r="I944" s="320">
        <v>4.2281</v>
      </c>
      <c r="J944" s="320">
        <v>5.69</v>
      </c>
      <c r="K944" s="320">
        <v>2.43</v>
      </c>
      <c r="L944" s="320">
        <v>0.05</v>
      </c>
      <c r="M944" s="320">
        <v>0.0194</v>
      </c>
      <c r="N944" s="320">
        <v>0.9824</v>
      </c>
      <c r="O944" s="320">
        <v>0.7985</v>
      </c>
      <c r="P944" s="320">
        <v>51.4815</v>
      </c>
      <c r="Q944" s="320">
        <v>31.86</v>
      </c>
      <c r="R944" s="320">
        <v>31.79</v>
      </c>
      <c r="S944" s="320">
        <v>0.07</v>
      </c>
      <c r="T944" s="320">
        <v>1.26</v>
      </c>
      <c r="U944" s="320">
        <v>30.59</v>
      </c>
      <c r="V944" s="320">
        <v>1.84</v>
      </c>
      <c r="W944" s="320">
        <v>0.7589</v>
      </c>
      <c r="X944" s="320">
        <v>3.97</v>
      </c>
      <c r="Y944" s="320">
        <v>181.0</v>
      </c>
      <c r="Z944" s="320">
        <v>1293.0</v>
      </c>
      <c r="AA944" s="320">
        <v>7429.0</v>
      </c>
      <c r="AB944" s="320">
        <v>49.8753</v>
      </c>
      <c r="AC944" s="320">
        <v>0.5166</v>
      </c>
      <c r="AD944" s="329"/>
      <c r="AE944" s="329"/>
      <c r="AF944" s="329"/>
      <c r="AG944" s="329"/>
      <c r="AH944" s="329"/>
      <c r="AI944" s="320">
        <v>0.0</v>
      </c>
      <c r="AJ944" s="320">
        <v>0.0</v>
      </c>
      <c r="AK944" s="320">
        <v>0.0</v>
      </c>
      <c r="AL944" s="320">
        <v>0.2962</v>
      </c>
      <c r="AM944" s="320">
        <v>16.98</v>
      </c>
      <c r="AN944" s="320">
        <v>14.8</v>
      </c>
      <c r="AO944" s="329"/>
      <c r="AP944" s="329"/>
    </row>
    <row r="945">
      <c r="A945" s="319" t="s">
        <v>258</v>
      </c>
      <c r="B945" s="328">
        <v>46087.0</v>
      </c>
      <c r="C945" s="319" t="s">
        <v>214</v>
      </c>
      <c r="D945" s="320">
        <v>32976.0</v>
      </c>
      <c r="E945" s="320">
        <v>43.25</v>
      </c>
      <c r="F945" s="320">
        <v>8380.66</v>
      </c>
      <c r="G945" s="320">
        <v>0.2541</v>
      </c>
      <c r="H945" s="320">
        <v>7.44</v>
      </c>
      <c r="I945" s="320">
        <v>3.4137</v>
      </c>
      <c r="J945" s="320">
        <v>33.9</v>
      </c>
      <c r="K945" s="320">
        <v>18.15</v>
      </c>
      <c r="L945" s="320">
        <v>5.82</v>
      </c>
      <c r="M945" s="320">
        <v>0.3209</v>
      </c>
      <c r="N945" s="320">
        <v>0.7495</v>
      </c>
      <c r="O945" s="320">
        <v>0.4955</v>
      </c>
      <c r="P945" s="320">
        <v>3.1166</v>
      </c>
      <c r="Q945" s="320">
        <v>89.46</v>
      </c>
      <c r="R945" s="320">
        <v>77.39</v>
      </c>
      <c r="S945" s="320">
        <v>12.07</v>
      </c>
      <c r="T945" s="320">
        <v>16.45</v>
      </c>
      <c r="U945" s="320">
        <v>73.01</v>
      </c>
      <c r="V945" s="320">
        <v>82.67</v>
      </c>
      <c r="W945" s="320">
        <v>4.5543</v>
      </c>
      <c r="X945" s="320">
        <v>18.39</v>
      </c>
      <c r="Y945" s="320">
        <v>90.0</v>
      </c>
      <c r="Z945" s="320">
        <v>221.0</v>
      </c>
      <c r="AA945" s="320">
        <v>886.0</v>
      </c>
      <c r="AB945" s="320">
        <v>49.4785</v>
      </c>
      <c r="AC945" s="320">
        <v>0.4382</v>
      </c>
      <c r="AD945" s="320">
        <v>3.84</v>
      </c>
      <c r="AE945" s="320">
        <v>1.0</v>
      </c>
      <c r="AF945" s="320">
        <v>2.0</v>
      </c>
      <c r="AG945" s="320">
        <v>5.0</v>
      </c>
      <c r="AH945" s="320">
        <v>9.0</v>
      </c>
      <c r="AI945" s="320">
        <v>70.31</v>
      </c>
      <c r="AJ945" s="320">
        <v>28.68</v>
      </c>
      <c r="AK945" s="320">
        <v>8.22</v>
      </c>
      <c r="AL945" s="320">
        <v>0.2302</v>
      </c>
      <c r="AM945" s="320">
        <v>21.28</v>
      </c>
      <c r="AN945" s="320">
        <v>56.1</v>
      </c>
      <c r="AO945" s="320">
        <v>68.4</v>
      </c>
      <c r="AP945" s="320">
        <v>14.56</v>
      </c>
    </row>
    <row r="946">
      <c r="A946" s="319" t="s">
        <v>258</v>
      </c>
      <c r="B946" s="328">
        <v>46087.0</v>
      </c>
      <c r="C946" s="319" t="s">
        <v>215</v>
      </c>
      <c r="D946" s="320">
        <v>16582.0</v>
      </c>
      <c r="E946" s="320">
        <v>21.75</v>
      </c>
      <c r="F946" s="320">
        <v>17803.04</v>
      </c>
      <c r="G946" s="320">
        <v>1.0736</v>
      </c>
      <c r="H946" s="320">
        <v>22.71</v>
      </c>
      <c r="I946" s="320">
        <v>4.7286</v>
      </c>
      <c r="J946" s="320">
        <v>61.25</v>
      </c>
      <c r="K946" s="320">
        <v>35.06</v>
      </c>
      <c r="L946" s="320">
        <v>14.6</v>
      </c>
      <c r="M946" s="320">
        <v>0.4164</v>
      </c>
      <c r="N946" s="320">
        <v>0.6476</v>
      </c>
      <c r="O946" s="320">
        <v>0.3711</v>
      </c>
      <c r="P946" s="320">
        <v>2.4014</v>
      </c>
      <c r="Q946" s="320">
        <v>187.87</v>
      </c>
      <c r="R946" s="320">
        <v>157.25</v>
      </c>
      <c r="S946" s="320">
        <v>30.62</v>
      </c>
      <c r="T946" s="320">
        <v>67.68</v>
      </c>
      <c r="U946" s="320">
        <v>120.19</v>
      </c>
      <c r="V946" s="320">
        <v>186.57</v>
      </c>
      <c r="W946" s="320">
        <v>5.3216</v>
      </c>
      <c r="X946" s="320">
        <v>36.03</v>
      </c>
      <c r="Y946" s="320">
        <v>84.0</v>
      </c>
      <c r="Z946" s="320">
        <v>190.0</v>
      </c>
      <c r="AA946" s="320">
        <v>614.0</v>
      </c>
      <c r="AB946" s="320">
        <v>52.4189</v>
      </c>
      <c r="AC946" s="320">
        <v>0.548</v>
      </c>
      <c r="AD946" s="320">
        <v>9.32</v>
      </c>
      <c r="AE946" s="320">
        <v>3.0</v>
      </c>
      <c r="AF946" s="320">
        <v>7.0</v>
      </c>
      <c r="AG946" s="320">
        <v>13.0</v>
      </c>
      <c r="AH946" s="320">
        <v>20.0</v>
      </c>
      <c r="AI946" s="320">
        <v>58.36</v>
      </c>
      <c r="AJ946" s="320">
        <v>26.2</v>
      </c>
      <c r="AK946" s="320">
        <v>5.0</v>
      </c>
      <c r="AL946" s="320">
        <v>0.2114</v>
      </c>
      <c r="AM946" s="320">
        <v>21.7</v>
      </c>
      <c r="AN946" s="320">
        <v>135.54</v>
      </c>
      <c r="AO946" s="320">
        <v>73.28</v>
      </c>
      <c r="AP946" s="320">
        <v>15.9</v>
      </c>
    </row>
    <row r="947">
      <c r="A947" s="319" t="s">
        <v>258</v>
      </c>
      <c r="B947" s="328">
        <v>46087.0</v>
      </c>
      <c r="C947" s="319" t="s">
        <v>216</v>
      </c>
      <c r="D947" s="320">
        <v>8607.0</v>
      </c>
      <c r="E947" s="320">
        <v>11.29</v>
      </c>
      <c r="F947" s="320">
        <v>22332.71</v>
      </c>
      <c r="G947" s="320">
        <v>2.5947</v>
      </c>
      <c r="H947" s="320">
        <v>34.83</v>
      </c>
      <c r="I947" s="320">
        <v>7.4492</v>
      </c>
      <c r="J947" s="320">
        <v>86.41</v>
      </c>
      <c r="K947" s="320">
        <v>51.06</v>
      </c>
      <c r="L947" s="320">
        <v>27.14</v>
      </c>
      <c r="M947" s="320">
        <v>0.5316</v>
      </c>
      <c r="N947" s="320">
        <v>0.5419</v>
      </c>
      <c r="O947" s="320">
        <v>0.3007</v>
      </c>
      <c r="P947" s="320">
        <v>1.8813</v>
      </c>
      <c r="Q947" s="320">
        <v>337.26</v>
      </c>
      <c r="R947" s="320">
        <v>280.03</v>
      </c>
      <c r="S947" s="320">
        <v>57.23</v>
      </c>
      <c r="T947" s="320">
        <v>162.91</v>
      </c>
      <c r="U947" s="320">
        <v>174.35</v>
      </c>
      <c r="V947" s="320">
        <v>349.27</v>
      </c>
      <c r="W947" s="320">
        <v>6.8402</v>
      </c>
      <c r="X947" s="320">
        <v>48.3</v>
      </c>
      <c r="Y947" s="320">
        <v>87.0</v>
      </c>
      <c r="Z947" s="320">
        <v>213.0</v>
      </c>
      <c r="AA947" s="320">
        <v>692.0</v>
      </c>
      <c r="AB947" s="320">
        <v>54.7192</v>
      </c>
      <c r="AC947" s="320">
        <v>0.6626</v>
      </c>
      <c r="AD947" s="320">
        <v>17.34</v>
      </c>
      <c r="AE947" s="320">
        <v>6.0</v>
      </c>
      <c r="AF947" s="320">
        <v>14.0</v>
      </c>
      <c r="AG947" s="320">
        <v>24.0</v>
      </c>
      <c r="AH947" s="320">
        <v>36.0</v>
      </c>
      <c r="AI947" s="320">
        <v>57.8</v>
      </c>
      <c r="AJ947" s="320">
        <v>23.16</v>
      </c>
      <c r="AK947" s="320">
        <v>6.53</v>
      </c>
      <c r="AL947" s="320">
        <v>0.2081</v>
      </c>
      <c r="AM947" s="320">
        <v>20.81</v>
      </c>
      <c r="AN947" s="320">
        <v>259.22</v>
      </c>
      <c r="AO947" s="320">
        <v>74.62</v>
      </c>
      <c r="AP947" s="320">
        <v>15.53</v>
      </c>
    </row>
    <row r="948">
      <c r="A948" s="319" t="s">
        <v>258</v>
      </c>
      <c r="B948" s="328">
        <v>46087.0</v>
      </c>
      <c r="C948" s="319" t="s">
        <v>217</v>
      </c>
      <c r="D948" s="320">
        <v>3344.0</v>
      </c>
      <c r="E948" s="320">
        <v>4.39</v>
      </c>
      <c r="F948" s="320">
        <v>20330.39</v>
      </c>
      <c r="G948" s="320">
        <v>6.0797</v>
      </c>
      <c r="H948" s="320">
        <v>46.14</v>
      </c>
      <c r="I948" s="320">
        <v>13.1759</v>
      </c>
      <c r="J948" s="320">
        <v>137.65</v>
      </c>
      <c r="K948" s="320">
        <v>83.93</v>
      </c>
      <c r="L948" s="320">
        <v>56.45</v>
      </c>
      <c r="M948" s="320">
        <v>0.6726</v>
      </c>
      <c r="N948" s="320">
        <v>0.4137</v>
      </c>
      <c r="O948" s="320">
        <v>0.2353</v>
      </c>
      <c r="P948" s="320">
        <v>1.4867</v>
      </c>
      <c r="Q948" s="320">
        <v>679.88</v>
      </c>
      <c r="R948" s="320">
        <v>560.2</v>
      </c>
      <c r="S948" s="320">
        <v>119.68</v>
      </c>
      <c r="T948" s="320">
        <v>385.64</v>
      </c>
      <c r="U948" s="320">
        <v>294.24</v>
      </c>
      <c r="V948" s="320">
        <v>713.41</v>
      </c>
      <c r="W948" s="320">
        <v>8.5004</v>
      </c>
      <c r="X948" s="320">
        <v>56.72</v>
      </c>
      <c r="Y948" s="320">
        <v>102.0</v>
      </c>
      <c r="Z948" s="320">
        <v>321.0</v>
      </c>
      <c r="AA948" s="320">
        <v>969.0</v>
      </c>
      <c r="AB948" s="320">
        <v>57.8016</v>
      </c>
      <c r="AC948" s="320">
        <v>0.7658</v>
      </c>
      <c r="AD948" s="320">
        <v>37.08</v>
      </c>
      <c r="AE948" s="320">
        <v>12.0</v>
      </c>
      <c r="AF948" s="320">
        <v>28.0</v>
      </c>
      <c r="AG948" s="320">
        <v>51.0</v>
      </c>
      <c r="AH948" s="320">
        <v>80.0</v>
      </c>
      <c r="AI948" s="320">
        <v>50.06</v>
      </c>
      <c r="AJ948" s="320">
        <v>19.56</v>
      </c>
      <c r="AK948" s="320">
        <v>5.29</v>
      </c>
      <c r="AL948" s="320">
        <v>0.1872</v>
      </c>
      <c r="AM948" s="320">
        <v>20.91</v>
      </c>
      <c r="AN948" s="320">
        <v>539.29</v>
      </c>
      <c r="AO948" s="320">
        <v>75.67</v>
      </c>
      <c r="AP948" s="320">
        <v>15.82</v>
      </c>
    </row>
    <row r="949">
      <c r="A949" s="319" t="s">
        <v>258</v>
      </c>
      <c r="B949" s="328">
        <v>46087.0</v>
      </c>
      <c r="C949" s="319" t="s">
        <v>218</v>
      </c>
      <c r="D949" s="320">
        <v>390.0</v>
      </c>
      <c r="E949" s="320">
        <v>0.51</v>
      </c>
      <c r="F949" s="320">
        <v>4715.59</v>
      </c>
      <c r="G949" s="320">
        <v>12.0913</v>
      </c>
      <c r="H949" s="320">
        <v>51.54</v>
      </c>
      <c r="I949" s="320">
        <v>23.4606</v>
      </c>
      <c r="J949" s="320">
        <v>250.73</v>
      </c>
      <c r="K949" s="320">
        <v>160.32</v>
      </c>
      <c r="L949" s="320">
        <v>128.86</v>
      </c>
      <c r="M949" s="320">
        <v>0.8038</v>
      </c>
      <c r="N949" s="320">
        <v>0.2895</v>
      </c>
      <c r="O949" s="320">
        <v>0.1774</v>
      </c>
      <c r="P949" s="320">
        <v>1.2442</v>
      </c>
      <c r="Q949" s="320">
        <v>1304.12</v>
      </c>
      <c r="R949" s="320">
        <v>1033.24</v>
      </c>
      <c r="S949" s="320">
        <v>270.88</v>
      </c>
      <c r="T949" s="320">
        <v>750.17</v>
      </c>
      <c r="U949" s="320">
        <v>553.95</v>
      </c>
      <c r="V949" s="320">
        <v>1445.13</v>
      </c>
      <c r="W949" s="320">
        <v>9.0141</v>
      </c>
      <c r="X949" s="320">
        <v>57.52</v>
      </c>
      <c r="Y949" s="320">
        <v>146.0</v>
      </c>
      <c r="Z949" s="320">
        <v>564.0</v>
      </c>
      <c r="AA949" s="320">
        <v>2280.0</v>
      </c>
      <c r="AB949" s="320">
        <v>61.5856</v>
      </c>
      <c r="AC949" s="320">
        <v>0.8293</v>
      </c>
      <c r="AD949" s="320">
        <v>87.42</v>
      </c>
      <c r="AE949" s="320">
        <v>32.0</v>
      </c>
      <c r="AF949" s="320">
        <v>71.0</v>
      </c>
      <c r="AG949" s="320">
        <v>128.0</v>
      </c>
      <c r="AH949" s="320">
        <v>176.0</v>
      </c>
      <c r="AI949" s="320">
        <v>43.33</v>
      </c>
      <c r="AJ949" s="320">
        <v>10.0</v>
      </c>
      <c r="AK949" s="320">
        <v>2.56</v>
      </c>
      <c r="AL949" s="320">
        <v>0.1359</v>
      </c>
      <c r="AM949" s="320">
        <v>19.91</v>
      </c>
      <c r="AN949" s="320">
        <v>1013.33</v>
      </c>
      <c r="AO949" s="320">
        <v>73.92</v>
      </c>
      <c r="AP949" s="320">
        <v>14.72</v>
      </c>
    </row>
    <row r="950">
      <c r="A950" s="319" t="s">
        <v>258</v>
      </c>
      <c r="B950" s="328">
        <v>46088.0</v>
      </c>
      <c r="C950" s="319" t="s">
        <v>257</v>
      </c>
      <c r="D950" s="320">
        <v>15074.0</v>
      </c>
      <c r="E950" s="320">
        <v>19.83</v>
      </c>
      <c r="F950" s="320">
        <v>129.16</v>
      </c>
      <c r="G950" s="320">
        <v>0.0086</v>
      </c>
      <c r="H950" s="320">
        <v>0.25</v>
      </c>
      <c r="I950" s="320">
        <v>3.3989</v>
      </c>
      <c r="J950" s="320">
        <v>5.79</v>
      </c>
      <c r="K950" s="320">
        <v>2.61</v>
      </c>
      <c r="L950" s="320">
        <v>0.04</v>
      </c>
      <c r="M950" s="320">
        <v>0.0169</v>
      </c>
      <c r="N950" s="320">
        <v>0.9839</v>
      </c>
      <c r="O950" s="320">
        <v>0.8092</v>
      </c>
      <c r="P950" s="320">
        <v>59.1657</v>
      </c>
      <c r="Q950" s="320">
        <v>27.5</v>
      </c>
      <c r="R950" s="320">
        <v>27.43</v>
      </c>
      <c r="S950" s="320">
        <v>0.07</v>
      </c>
      <c r="T950" s="320">
        <v>0.68</v>
      </c>
      <c r="U950" s="320">
        <v>26.82</v>
      </c>
      <c r="V950" s="320">
        <v>1.98</v>
      </c>
      <c r="W950" s="320">
        <v>0.7598</v>
      </c>
      <c r="X950" s="320">
        <v>2.47</v>
      </c>
      <c r="Y950" s="320">
        <v>157.0</v>
      </c>
      <c r="Z950" s="320">
        <v>1102.0</v>
      </c>
      <c r="AA950" s="320">
        <v>7286.0</v>
      </c>
      <c r="AB950" s="320">
        <v>49.7697</v>
      </c>
      <c r="AC950" s="320">
        <v>0.5051</v>
      </c>
      <c r="AD950" s="329"/>
      <c r="AE950" s="329"/>
      <c r="AF950" s="329"/>
      <c r="AG950" s="329"/>
      <c r="AH950" s="329"/>
      <c r="AI950" s="320">
        <v>0.0</v>
      </c>
      <c r="AJ950" s="320">
        <v>0.0</v>
      </c>
      <c r="AK950" s="320">
        <v>0.0</v>
      </c>
      <c r="AL950" s="320">
        <v>0.2758</v>
      </c>
      <c r="AM950" s="320">
        <v>17.53</v>
      </c>
      <c r="AN950" s="320">
        <v>9.9</v>
      </c>
      <c r="AO950" s="329"/>
      <c r="AP950" s="329"/>
    </row>
    <row r="951">
      <c r="A951" s="319" t="s">
        <v>258</v>
      </c>
      <c r="B951" s="328">
        <v>46088.0</v>
      </c>
      <c r="C951" s="319" t="s">
        <v>214</v>
      </c>
      <c r="D951" s="320">
        <v>31919.0</v>
      </c>
      <c r="E951" s="320">
        <v>42.0</v>
      </c>
      <c r="F951" s="320">
        <v>8286.0</v>
      </c>
      <c r="G951" s="320">
        <v>0.2596</v>
      </c>
      <c r="H951" s="320">
        <v>7.26</v>
      </c>
      <c r="I951" s="320">
        <v>3.5746</v>
      </c>
      <c r="J951" s="320">
        <v>32.18</v>
      </c>
      <c r="K951" s="320">
        <v>17.22</v>
      </c>
      <c r="L951" s="320">
        <v>5.62</v>
      </c>
      <c r="M951" s="320">
        <v>0.3263</v>
      </c>
      <c r="N951" s="320">
        <v>0.7457</v>
      </c>
      <c r="O951" s="320">
        <v>0.4987</v>
      </c>
      <c r="P951" s="320">
        <v>3.0646</v>
      </c>
      <c r="Q951" s="320">
        <v>75.22</v>
      </c>
      <c r="R951" s="320">
        <v>63.59</v>
      </c>
      <c r="S951" s="320">
        <v>11.63</v>
      </c>
      <c r="T951" s="320">
        <v>16.64</v>
      </c>
      <c r="U951" s="320">
        <v>58.58</v>
      </c>
      <c r="V951" s="320">
        <v>79.41</v>
      </c>
      <c r="W951" s="320">
        <v>4.6103</v>
      </c>
      <c r="X951" s="320">
        <v>22.13</v>
      </c>
      <c r="Y951" s="320">
        <v>87.0</v>
      </c>
      <c r="Z951" s="320">
        <v>215.0</v>
      </c>
      <c r="AA951" s="320">
        <v>882.0</v>
      </c>
      <c r="AB951" s="320">
        <v>49.565</v>
      </c>
      <c r="AC951" s="320">
        <v>0.4443</v>
      </c>
      <c r="AD951" s="320">
        <v>3.76</v>
      </c>
      <c r="AE951" s="320">
        <v>1.0</v>
      </c>
      <c r="AF951" s="320">
        <v>2.0</v>
      </c>
      <c r="AG951" s="320">
        <v>5.0</v>
      </c>
      <c r="AH951" s="320">
        <v>9.0</v>
      </c>
      <c r="AI951" s="320">
        <v>68.28</v>
      </c>
      <c r="AJ951" s="320">
        <v>27.5</v>
      </c>
      <c r="AK951" s="320">
        <v>8.1</v>
      </c>
      <c r="AL951" s="320">
        <v>0.2186</v>
      </c>
      <c r="AM951" s="320">
        <v>22.56</v>
      </c>
      <c r="AN951" s="320">
        <v>41.03</v>
      </c>
      <c r="AO951" s="320">
        <v>68.1</v>
      </c>
      <c r="AP951" s="320">
        <v>15.36</v>
      </c>
    </row>
    <row r="952">
      <c r="A952" s="319" t="s">
        <v>258</v>
      </c>
      <c r="B952" s="328">
        <v>46088.0</v>
      </c>
      <c r="C952" s="319" t="s">
        <v>215</v>
      </c>
      <c r="D952" s="320">
        <v>16297.0</v>
      </c>
      <c r="E952" s="320">
        <v>21.44</v>
      </c>
      <c r="F952" s="320">
        <v>17695.23</v>
      </c>
      <c r="G952" s="320">
        <v>1.0858</v>
      </c>
      <c r="H952" s="320">
        <v>22.57</v>
      </c>
      <c r="I952" s="320">
        <v>4.8111</v>
      </c>
      <c r="J952" s="320">
        <v>57.75</v>
      </c>
      <c r="K952" s="320">
        <v>33.1</v>
      </c>
      <c r="L952" s="320">
        <v>13.96</v>
      </c>
      <c r="M952" s="320">
        <v>0.4216</v>
      </c>
      <c r="N952" s="320">
        <v>0.6436</v>
      </c>
      <c r="O952" s="320">
        <v>0.3694</v>
      </c>
      <c r="P952" s="320">
        <v>2.3719</v>
      </c>
      <c r="Q952" s="320">
        <v>173.24</v>
      </c>
      <c r="R952" s="320">
        <v>144.03</v>
      </c>
      <c r="S952" s="320">
        <v>29.21</v>
      </c>
      <c r="T952" s="320">
        <v>69.93</v>
      </c>
      <c r="U952" s="320">
        <v>103.3</v>
      </c>
      <c r="V952" s="320">
        <v>180.11</v>
      </c>
      <c r="W952" s="320">
        <v>5.441</v>
      </c>
      <c r="X952" s="320">
        <v>40.37</v>
      </c>
      <c r="Y952" s="320">
        <v>84.0</v>
      </c>
      <c r="Z952" s="320">
        <v>186.0</v>
      </c>
      <c r="AA952" s="320">
        <v>628.0</v>
      </c>
      <c r="AB952" s="320">
        <v>52.4937</v>
      </c>
      <c r="AC952" s="320">
        <v>0.5533</v>
      </c>
      <c r="AD952" s="320">
        <v>9.08</v>
      </c>
      <c r="AE952" s="320">
        <v>3.0</v>
      </c>
      <c r="AF952" s="320">
        <v>6.0</v>
      </c>
      <c r="AG952" s="320">
        <v>13.0</v>
      </c>
      <c r="AH952" s="320">
        <v>20.0</v>
      </c>
      <c r="AI952" s="320">
        <v>56.05</v>
      </c>
      <c r="AJ952" s="320">
        <v>25.89</v>
      </c>
      <c r="AK952" s="320">
        <v>4.81</v>
      </c>
      <c r="AL952" s="320">
        <v>0.1989</v>
      </c>
      <c r="AM952" s="320">
        <v>23.01</v>
      </c>
      <c r="AN952" s="320">
        <v>121.01</v>
      </c>
      <c r="AO952" s="320">
        <v>72.55</v>
      </c>
      <c r="AP952" s="320">
        <v>16.69</v>
      </c>
    </row>
    <row r="953">
      <c r="A953" s="319" t="s">
        <v>258</v>
      </c>
      <c r="B953" s="328">
        <v>46088.0</v>
      </c>
      <c r="C953" s="319" t="s">
        <v>216</v>
      </c>
      <c r="D953" s="320">
        <v>8691.0</v>
      </c>
      <c r="E953" s="320">
        <v>11.44</v>
      </c>
      <c r="F953" s="320">
        <v>22742.59</v>
      </c>
      <c r="G953" s="320">
        <v>2.6168</v>
      </c>
      <c r="H953" s="320">
        <v>34.32</v>
      </c>
      <c r="I953" s="320">
        <v>7.6241</v>
      </c>
      <c r="J953" s="320">
        <v>83.99</v>
      </c>
      <c r="K953" s="320">
        <v>49.98</v>
      </c>
      <c r="L953" s="320">
        <v>27.01</v>
      </c>
      <c r="M953" s="320">
        <v>0.5403</v>
      </c>
      <c r="N953" s="320">
        <v>0.5346</v>
      </c>
      <c r="O953" s="320">
        <v>0.297</v>
      </c>
      <c r="P953" s="320">
        <v>1.8507</v>
      </c>
      <c r="Q953" s="320">
        <v>343.95</v>
      </c>
      <c r="R953" s="320">
        <v>287.14</v>
      </c>
      <c r="S953" s="320">
        <v>56.82</v>
      </c>
      <c r="T953" s="320">
        <v>167.73</v>
      </c>
      <c r="U953" s="320">
        <v>176.23</v>
      </c>
      <c r="V953" s="320">
        <v>351.21</v>
      </c>
      <c r="W953" s="320">
        <v>7.0265</v>
      </c>
      <c r="X953" s="320">
        <v>48.76</v>
      </c>
      <c r="Y953" s="320">
        <v>88.0</v>
      </c>
      <c r="Z953" s="320">
        <v>227.0</v>
      </c>
      <c r="AA953" s="320">
        <v>686.0</v>
      </c>
      <c r="AB953" s="320">
        <v>54.692</v>
      </c>
      <c r="AC953" s="320">
        <v>0.6644</v>
      </c>
      <c r="AD953" s="320">
        <v>17.58</v>
      </c>
      <c r="AE953" s="320">
        <v>6.0</v>
      </c>
      <c r="AF953" s="320">
        <v>13.0</v>
      </c>
      <c r="AG953" s="320">
        <v>25.0</v>
      </c>
      <c r="AH953" s="320">
        <v>37.0</v>
      </c>
      <c r="AI953" s="320">
        <v>57.78</v>
      </c>
      <c r="AJ953" s="320">
        <v>23.58</v>
      </c>
      <c r="AK953" s="320">
        <v>7.02</v>
      </c>
      <c r="AL953" s="320">
        <v>0.1993</v>
      </c>
      <c r="AM953" s="320">
        <v>23.04</v>
      </c>
      <c r="AN953" s="320">
        <v>264.09</v>
      </c>
      <c r="AO953" s="320">
        <v>73.18</v>
      </c>
      <c r="AP953" s="320">
        <v>16.86</v>
      </c>
    </row>
    <row r="954">
      <c r="A954" s="319" t="s">
        <v>258</v>
      </c>
      <c r="B954" s="328">
        <v>46088.0</v>
      </c>
      <c r="C954" s="319" t="s">
        <v>217</v>
      </c>
      <c r="D954" s="320">
        <v>3606.0</v>
      </c>
      <c r="E954" s="320">
        <v>4.74</v>
      </c>
      <c r="F954" s="320">
        <v>21732.16</v>
      </c>
      <c r="G954" s="320">
        <v>6.0267</v>
      </c>
      <c r="H954" s="320">
        <v>44.01</v>
      </c>
      <c r="I954" s="320">
        <v>13.6939</v>
      </c>
      <c r="J954" s="320">
        <v>133.55</v>
      </c>
      <c r="K954" s="320">
        <v>83.45</v>
      </c>
      <c r="L954" s="320">
        <v>56.75</v>
      </c>
      <c r="M954" s="320">
        <v>0.68</v>
      </c>
      <c r="N954" s="320">
        <v>0.4085</v>
      </c>
      <c r="O954" s="320">
        <v>0.2321</v>
      </c>
      <c r="P954" s="320">
        <v>1.4705</v>
      </c>
      <c r="Q954" s="320">
        <v>713.13</v>
      </c>
      <c r="R954" s="320">
        <v>594.16</v>
      </c>
      <c r="S954" s="320">
        <v>118.97</v>
      </c>
      <c r="T954" s="320">
        <v>383.52</v>
      </c>
      <c r="U954" s="320">
        <v>329.61</v>
      </c>
      <c r="V954" s="320">
        <v>729.48</v>
      </c>
      <c r="W954" s="320">
        <v>8.7415</v>
      </c>
      <c r="X954" s="320">
        <v>53.78</v>
      </c>
      <c r="Y954" s="320">
        <v>100.0</v>
      </c>
      <c r="Z954" s="320">
        <v>343.0</v>
      </c>
      <c r="AA954" s="320">
        <v>971.0</v>
      </c>
      <c r="AB954" s="320">
        <v>57.625</v>
      </c>
      <c r="AC954" s="320">
        <v>0.7635</v>
      </c>
      <c r="AD954" s="320">
        <v>37.68</v>
      </c>
      <c r="AE954" s="320">
        <v>12.0</v>
      </c>
      <c r="AF954" s="320">
        <v>29.0</v>
      </c>
      <c r="AG954" s="320">
        <v>52.0</v>
      </c>
      <c r="AH954" s="320">
        <v>81.0</v>
      </c>
      <c r="AI954" s="320">
        <v>52.0</v>
      </c>
      <c r="AJ954" s="320">
        <v>20.33</v>
      </c>
      <c r="AK954" s="320">
        <v>5.32</v>
      </c>
      <c r="AL954" s="320">
        <v>0.1755</v>
      </c>
      <c r="AM954" s="320">
        <v>22.21</v>
      </c>
      <c r="AN954" s="320">
        <v>571.95</v>
      </c>
      <c r="AO954" s="320">
        <v>74.57</v>
      </c>
      <c r="AP954" s="320">
        <v>16.56</v>
      </c>
    </row>
    <row r="955">
      <c r="A955" s="319" t="s">
        <v>258</v>
      </c>
      <c r="B955" s="328">
        <v>46088.0</v>
      </c>
      <c r="C955" s="319" t="s">
        <v>218</v>
      </c>
      <c r="D955" s="320">
        <v>413.0</v>
      </c>
      <c r="E955" s="320">
        <v>0.54</v>
      </c>
      <c r="F955" s="320">
        <v>5070.53</v>
      </c>
      <c r="G955" s="320">
        <v>12.2773</v>
      </c>
      <c r="H955" s="320">
        <v>48.91</v>
      </c>
      <c r="I955" s="320">
        <v>25.1016</v>
      </c>
      <c r="J955" s="320">
        <v>248.83</v>
      </c>
      <c r="K955" s="320">
        <v>163.42</v>
      </c>
      <c r="L955" s="320">
        <v>130.5</v>
      </c>
      <c r="M955" s="320">
        <v>0.7985</v>
      </c>
      <c r="N955" s="320">
        <v>0.2952</v>
      </c>
      <c r="O955" s="320">
        <v>0.1814</v>
      </c>
      <c r="P955" s="320">
        <v>1.2523</v>
      </c>
      <c r="Q955" s="320">
        <v>1407.12</v>
      </c>
      <c r="R955" s="320">
        <v>1132.46</v>
      </c>
      <c r="S955" s="320">
        <v>274.66</v>
      </c>
      <c r="T955" s="320">
        <v>781.34</v>
      </c>
      <c r="U955" s="320">
        <v>625.77</v>
      </c>
      <c r="V955" s="320">
        <v>1472.52</v>
      </c>
      <c r="W955" s="320">
        <v>9.0104</v>
      </c>
      <c r="X955" s="320">
        <v>55.53</v>
      </c>
      <c r="Y955" s="320">
        <v>135.0</v>
      </c>
      <c r="Z955" s="320">
        <v>540.0</v>
      </c>
      <c r="AA955" s="320">
        <v>2317.0</v>
      </c>
      <c r="AB955" s="320">
        <v>61.2159</v>
      </c>
      <c r="AC955" s="320">
        <v>0.838</v>
      </c>
      <c r="AD955" s="320">
        <v>86.26</v>
      </c>
      <c r="AE955" s="320">
        <v>29.0</v>
      </c>
      <c r="AF955" s="320">
        <v>64.0</v>
      </c>
      <c r="AG955" s="320">
        <v>123.0</v>
      </c>
      <c r="AH955" s="320">
        <v>186.0</v>
      </c>
      <c r="AI955" s="320">
        <v>44.79</v>
      </c>
      <c r="AJ955" s="320">
        <v>12.11</v>
      </c>
      <c r="AK955" s="320">
        <v>2.18</v>
      </c>
      <c r="AL955" s="320">
        <v>0.1429</v>
      </c>
      <c r="AM955" s="320">
        <v>24.27</v>
      </c>
      <c r="AN955" s="320">
        <v>1108.18</v>
      </c>
      <c r="AO955" s="320">
        <v>71.84</v>
      </c>
      <c r="AP955" s="320">
        <v>17.44</v>
      </c>
    </row>
    <row r="956">
      <c r="A956" s="319" t="s">
        <v>258</v>
      </c>
      <c r="B956" s="328">
        <v>46089.0</v>
      </c>
      <c r="C956" s="319" t="s">
        <v>257</v>
      </c>
      <c r="D956" s="320">
        <v>15604.0</v>
      </c>
      <c r="E956" s="320">
        <v>20.11</v>
      </c>
      <c r="F956" s="320">
        <v>138.94</v>
      </c>
      <c r="G956" s="320">
        <v>0.0089</v>
      </c>
      <c r="H956" s="320">
        <v>0.26</v>
      </c>
      <c r="I956" s="320">
        <v>3.4735</v>
      </c>
      <c r="J956" s="320">
        <v>6.3</v>
      </c>
      <c r="K956" s="320">
        <v>2.99</v>
      </c>
      <c r="L956" s="320">
        <v>0.05</v>
      </c>
      <c r="M956" s="320">
        <v>0.0184</v>
      </c>
      <c r="N956" s="320">
        <v>0.9824</v>
      </c>
      <c r="O956" s="320">
        <v>0.767</v>
      </c>
      <c r="P956" s="320">
        <v>54.4831</v>
      </c>
      <c r="Q956" s="320">
        <v>23.82</v>
      </c>
      <c r="R956" s="320">
        <v>23.74</v>
      </c>
      <c r="S956" s="320">
        <v>0.08</v>
      </c>
      <c r="T956" s="320">
        <v>0.66</v>
      </c>
      <c r="U956" s="320">
        <v>23.16</v>
      </c>
      <c r="V956" s="320">
        <v>1.6</v>
      </c>
      <c r="W956" s="320">
        <v>0.5333</v>
      </c>
      <c r="X956" s="320">
        <v>2.78</v>
      </c>
      <c r="Y956" s="320">
        <v>148.0</v>
      </c>
      <c r="Z956" s="320">
        <v>1046.0</v>
      </c>
      <c r="AA956" s="320">
        <v>7205.0</v>
      </c>
      <c r="AB956" s="320">
        <v>50.0302</v>
      </c>
      <c r="AC956" s="320">
        <v>0.5177</v>
      </c>
      <c r="AD956" s="329"/>
      <c r="AE956" s="329"/>
      <c r="AF956" s="329"/>
      <c r="AG956" s="329"/>
      <c r="AH956" s="329"/>
      <c r="AI956" s="320">
        <v>0.0</v>
      </c>
      <c r="AJ956" s="320">
        <v>0.0</v>
      </c>
      <c r="AK956" s="320">
        <v>0.0</v>
      </c>
      <c r="AL956" s="320">
        <v>0.2947</v>
      </c>
      <c r="AM956" s="320">
        <v>17.05</v>
      </c>
      <c r="AN956" s="320">
        <v>6.69</v>
      </c>
      <c r="AO956" s="329"/>
      <c r="AP956" s="329"/>
    </row>
    <row r="957">
      <c r="A957" s="319" t="s">
        <v>258</v>
      </c>
      <c r="B957" s="328">
        <v>46089.0</v>
      </c>
      <c r="C957" s="319" t="s">
        <v>214</v>
      </c>
      <c r="D957" s="320">
        <v>32010.0</v>
      </c>
      <c r="E957" s="320">
        <v>41.25</v>
      </c>
      <c r="F957" s="320">
        <v>7795.24</v>
      </c>
      <c r="G957" s="320">
        <v>0.2435</v>
      </c>
      <c r="H957" s="320">
        <v>7.17</v>
      </c>
      <c r="I957" s="320">
        <v>3.3966</v>
      </c>
      <c r="J957" s="320">
        <v>36.49</v>
      </c>
      <c r="K957" s="320">
        <v>20.1</v>
      </c>
      <c r="L957" s="320">
        <v>5.6</v>
      </c>
      <c r="M957" s="320">
        <v>0.2787</v>
      </c>
      <c r="N957" s="320">
        <v>0.7811</v>
      </c>
      <c r="O957" s="320">
        <v>0.5248</v>
      </c>
      <c r="P957" s="320">
        <v>3.588</v>
      </c>
      <c r="Q957" s="320">
        <v>65.61</v>
      </c>
      <c r="R957" s="320">
        <v>53.93</v>
      </c>
      <c r="S957" s="320">
        <v>11.68</v>
      </c>
      <c r="T957" s="320">
        <v>15.73</v>
      </c>
      <c r="U957" s="320">
        <v>49.88</v>
      </c>
      <c r="V957" s="320">
        <v>73.46</v>
      </c>
      <c r="W957" s="320">
        <v>3.6551</v>
      </c>
      <c r="X957" s="320">
        <v>23.97</v>
      </c>
      <c r="Y957" s="320">
        <v>85.0</v>
      </c>
      <c r="Z957" s="320">
        <v>211.0</v>
      </c>
      <c r="AA957" s="320">
        <v>878.0</v>
      </c>
      <c r="AB957" s="320">
        <v>49.6636</v>
      </c>
      <c r="AC957" s="320">
        <v>0.4471</v>
      </c>
      <c r="AD957" s="320">
        <v>3.6</v>
      </c>
      <c r="AE957" s="320">
        <v>1.0</v>
      </c>
      <c r="AF957" s="320">
        <v>2.0</v>
      </c>
      <c r="AG957" s="320">
        <v>5.0</v>
      </c>
      <c r="AH957" s="320">
        <v>8.0</v>
      </c>
      <c r="AI957" s="320">
        <v>67.91</v>
      </c>
      <c r="AJ957" s="320">
        <v>25.65</v>
      </c>
      <c r="AK957" s="320">
        <v>6.97</v>
      </c>
      <c r="AL957" s="320">
        <v>0.2358</v>
      </c>
      <c r="AM957" s="320">
        <v>21.27</v>
      </c>
      <c r="AN957" s="320">
        <v>32.66</v>
      </c>
      <c r="AO957" s="320">
        <v>68.0</v>
      </c>
      <c r="AP957" s="320">
        <v>14.46</v>
      </c>
    </row>
    <row r="958">
      <c r="A958" s="319" t="s">
        <v>258</v>
      </c>
      <c r="B958" s="328">
        <v>46089.0</v>
      </c>
      <c r="C958" s="319" t="s">
        <v>215</v>
      </c>
      <c r="D958" s="320">
        <v>16553.0</v>
      </c>
      <c r="E958" s="320">
        <v>21.33</v>
      </c>
      <c r="F958" s="320">
        <v>16615.42</v>
      </c>
      <c r="G958" s="320">
        <v>1.0038</v>
      </c>
      <c r="H958" s="320">
        <v>21.19</v>
      </c>
      <c r="I958" s="320">
        <v>4.7378</v>
      </c>
      <c r="J958" s="320">
        <v>64.73</v>
      </c>
      <c r="K958" s="320">
        <v>37.94</v>
      </c>
      <c r="L958" s="320">
        <v>14.05</v>
      </c>
      <c r="M958" s="320">
        <v>0.3702</v>
      </c>
      <c r="N958" s="320">
        <v>0.6844</v>
      </c>
      <c r="O958" s="320">
        <v>0.3918</v>
      </c>
      <c r="P958" s="320">
        <v>2.7009</v>
      </c>
      <c r="Q958" s="320">
        <v>147.81</v>
      </c>
      <c r="R958" s="320">
        <v>118.47</v>
      </c>
      <c r="S958" s="320">
        <v>29.34</v>
      </c>
      <c r="T958" s="320">
        <v>64.6</v>
      </c>
      <c r="U958" s="320">
        <v>83.21</v>
      </c>
      <c r="V958" s="320">
        <v>166.27</v>
      </c>
      <c r="W958" s="320">
        <v>4.3826</v>
      </c>
      <c r="X958" s="320">
        <v>43.7</v>
      </c>
      <c r="Y958" s="320">
        <v>80.0</v>
      </c>
      <c r="Z958" s="320">
        <v>168.0</v>
      </c>
      <c r="AA958" s="320">
        <v>609.0</v>
      </c>
      <c r="AB958" s="320">
        <v>52.4208</v>
      </c>
      <c r="AC958" s="320">
        <v>0.5537</v>
      </c>
      <c r="AD958" s="320">
        <v>8.72</v>
      </c>
      <c r="AE958" s="320">
        <v>3.0</v>
      </c>
      <c r="AF958" s="320">
        <v>6.0</v>
      </c>
      <c r="AG958" s="320">
        <v>12.0</v>
      </c>
      <c r="AH958" s="320">
        <v>19.0</v>
      </c>
      <c r="AI958" s="320">
        <v>53.92</v>
      </c>
      <c r="AJ958" s="320">
        <v>23.94</v>
      </c>
      <c r="AK958" s="320">
        <v>4.52</v>
      </c>
      <c r="AL958" s="320">
        <v>0.2163</v>
      </c>
      <c r="AM958" s="320">
        <v>21.53</v>
      </c>
      <c r="AN958" s="320">
        <v>96.94</v>
      </c>
      <c r="AO958" s="320">
        <v>72.23</v>
      </c>
      <c r="AP958" s="320">
        <v>15.55</v>
      </c>
    </row>
    <row r="959">
      <c r="A959" s="319" t="s">
        <v>258</v>
      </c>
      <c r="B959" s="328">
        <v>46089.0</v>
      </c>
      <c r="C959" s="319" t="s">
        <v>216</v>
      </c>
      <c r="D959" s="320">
        <v>9213.0</v>
      </c>
      <c r="E959" s="320">
        <v>11.87</v>
      </c>
      <c r="F959" s="320">
        <v>24715.66</v>
      </c>
      <c r="G959" s="320">
        <v>2.6827</v>
      </c>
      <c r="H959" s="320">
        <v>35.06</v>
      </c>
      <c r="I959" s="320">
        <v>7.6519</v>
      </c>
      <c r="J959" s="320">
        <v>92.45</v>
      </c>
      <c r="K959" s="320">
        <v>55.55</v>
      </c>
      <c r="L959" s="320">
        <v>27.89</v>
      </c>
      <c r="M959" s="320">
        <v>0.502</v>
      </c>
      <c r="N959" s="320">
        <v>0.5636</v>
      </c>
      <c r="O959" s="320">
        <v>0.3052</v>
      </c>
      <c r="P959" s="320">
        <v>1.9921</v>
      </c>
      <c r="Q959" s="320">
        <v>312.1</v>
      </c>
      <c r="R959" s="320">
        <v>253.42</v>
      </c>
      <c r="S959" s="320">
        <v>58.68</v>
      </c>
      <c r="T959" s="320">
        <v>172.73</v>
      </c>
      <c r="U959" s="320">
        <v>139.38</v>
      </c>
      <c r="V959" s="320">
        <v>340.45</v>
      </c>
      <c r="W959" s="320">
        <v>6.1287</v>
      </c>
      <c r="X959" s="320">
        <v>55.34</v>
      </c>
      <c r="Y959" s="320">
        <v>83.0</v>
      </c>
      <c r="Z959" s="320">
        <v>188.0</v>
      </c>
      <c r="AA959" s="320">
        <v>627.0</v>
      </c>
      <c r="AB959" s="320">
        <v>54.4889</v>
      </c>
      <c r="AC959" s="320">
        <v>0.661</v>
      </c>
      <c r="AD959" s="320">
        <v>17.35</v>
      </c>
      <c r="AE959" s="320">
        <v>6.0</v>
      </c>
      <c r="AF959" s="320">
        <v>13.0</v>
      </c>
      <c r="AG959" s="320">
        <v>24.0</v>
      </c>
      <c r="AH959" s="320">
        <v>37.0</v>
      </c>
      <c r="AI959" s="320">
        <v>55.68</v>
      </c>
      <c r="AJ959" s="320">
        <v>22.93</v>
      </c>
      <c r="AK959" s="320">
        <v>7.33</v>
      </c>
      <c r="AL959" s="320">
        <v>0.2245</v>
      </c>
      <c r="AM959" s="320">
        <v>20.9</v>
      </c>
      <c r="AN959" s="320">
        <v>232.53</v>
      </c>
      <c r="AO959" s="320">
        <v>72.11</v>
      </c>
      <c r="AP959" s="320">
        <v>15.07</v>
      </c>
    </row>
    <row r="960">
      <c r="A960" s="319" t="s">
        <v>258</v>
      </c>
      <c r="B960" s="328">
        <v>46089.0</v>
      </c>
      <c r="C960" s="319" t="s">
        <v>217</v>
      </c>
      <c r="D960" s="320">
        <v>3781.0</v>
      </c>
      <c r="E960" s="320">
        <v>4.87</v>
      </c>
      <c r="F960" s="320">
        <v>24202.78</v>
      </c>
      <c r="G960" s="320">
        <v>6.4012</v>
      </c>
      <c r="H960" s="320">
        <v>45.23</v>
      </c>
      <c r="I960" s="320">
        <v>14.1537</v>
      </c>
      <c r="J960" s="320">
        <v>137.94</v>
      </c>
      <c r="K960" s="320">
        <v>86.82</v>
      </c>
      <c r="L960" s="320">
        <v>55.53</v>
      </c>
      <c r="M960" s="320">
        <v>0.6396</v>
      </c>
      <c r="N960" s="320">
        <v>0.4411</v>
      </c>
      <c r="O960" s="320">
        <v>0.2421</v>
      </c>
      <c r="P960" s="320">
        <v>1.5634</v>
      </c>
      <c r="Q960" s="320">
        <v>643.6</v>
      </c>
      <c r="R960" s="320">
        <v>526.82</v>
      </c>
      <c r="S960" s="320">
        <v>116.78</v>
      </c>
      <c r="T960" s="320">
        <v>407.87</v>
      </c>
      <c r="U960" s="320">
        <v>235.73</v>
      </c>
      <c r="V960" s="320">
        <v>688.75</v>
      </c>
      <c r="W960" s="320">
        <v>7.9328</v>
      </c>
      <c r="X960" s="320">
        <v>63.37</v>
      </c>
      <c r="Y960" s="320">
        <v>94.0</v>
      </c>
      <c r="Z960" s="320">
        <v>273.0</v>
      </c>
      <c r="AA960" s="320">
        <v>901.0</v>
      </c>
      <c r="AB960" s="320">
        <v>57.3771</v>
      </c>
      <c r="AC960" s="320">
        <v>0.7641</v>
      </c>
      <c r="AD960" s="320">
        <v>35.73</v>
      </c>
      <c r="AE960" s="320">
        <v>11.0</v>
      </c>
      <c r="AF960" s="320">
        <v>26.0</v>
      </c>
      <c r="AG960" s="320">
        <v>51.0</v>
      </c>
      <c r="AH960" s="320">
        <v>78.0</v>
      </c>
      <c r="AI960" s="320">
        <v>48.48</v>
      </c>
      <c r="AJ960" s="320">
        <v>18.43</v>
      </c>
      <c r="AK960" s="320">
        <v>5.1</v>
      </c>
      <c r="AL960" s="320">
        <v>0.1955</v>
      </c>
      <c r="AM960" s="320">
        <v>20.88</v>
      </c>
      <c r="AN960" s="320">
        <v>505.94</v>
      </c>
      <c r="AO960" s="320">
        <v>73.93</v>
      </c>
      <c r="AP960" s="320">
        <v>15.44</v>
      </c>
    </row>
    <row r="961">
      <c r="A961" s="319" t="s">
        <v>258</v>
      </c>
      <c r="B961" s="328">
        <v>46089.0</v>
      </c>
      <c r="C961" s="319" t="s">
        <v>218</v>
      </c>
      <c r="D961" s="320">
        <v>437.0</v>
      </c>
      <c r="E961" s="320">
        <v>0.56</v>
      </c>
      <c r="F961" s="320">
        <v>4970.17</v>
      </c>
      <c r="G961" s="320">
        <v>11.3734</v>
      </c>
      <c r="H961" s="320">
        <v>51.03</v>
      </c>
      <c r="I961" s="320">
        <v>22.2878</v>
      </c>
      <c r="J961" s="320">
        <v>246.53</v>
      </c>
      <c r="K961" s="320">
        <v>163.38</v>
      </c>
      <c r="L961" s="320">
        <v>126.8</v>
      </c>
      <c r="M961" s="320">
        <v>0.7761</v>
      </c>
      <c r="N961" s="320">
        <v>0.3071</v>
      </c>
      <c r="O961" s="320">
        <v>0.1819</v>
      </c>
      <c r="P961" s="320">
        <v>1.2885</v>
      </c>
      <c r="Q961" s="320">
        <v>1154.22</v>
      </c>
      <c r="R961" s="320">
        <v>891.22</v>
      </c>
      <c r="S961" s="320">
        <v>263.0</v>
      </c>
      <c r="T961" s="320">
        <v>711.84</v>
      </c>
      <c r="U961" s="320">
        <v>442.38</v>
      </c>
      <c r="V961" s="320">
        <v>1277.8</v>
      </c>
      <c r="W961" s="320">
        <v>7.8212</v>
      </c>
      <c r="X961" s="320">
        <v>61.67</v>
      </c>
      <c r="Y961" s="320">
        <v>110.0</v>
      </c>
      <c r="Z961" s="320">
        <v>422.0</v>
      </c>
      <c r="AA961" s="320">
        <v>2131.0</v>
      </c>
      <c r="AB961" s="320">
        <v>60.9287</v>
      </c>
      <c r="AC961" s="320">
        <v>0.8356</v>
      </c>
      <c r="AD961" s="320">
        <v>76.83</v>
      </c>
      <c r="AE961" s="320">
        <v>25.0</v>
      </c>
      <c r="AF961" s="320">
        <v>61.0</v>
      </c>
      <c r="AG961" s="320">
        <v>113.0</v>
      </c>
      <c r="AH961" s="320">
        <v>173.0</v>
      </c>
      <c r="AI961" s="320">
        <v>39.59</v>
      </c>
      <c r="AJ961" s="320">
        <v>9.38</v>
      </c>
      <c r="AK961" s="320">
        <v>0.69</v>
      </c>
      <c r="AL961" s="320">
        <v>0.151</v>
      </c>
      <c r="AM961" s="320">
        <v>22.47</v>
      </c>
      <c r="AN961" s="320">
        <v>868.75</v>
      </c>
      <c r="AO961" s="320">
        <v>69.14</v>
      </c>
      <c r="AP961" s="320">
        <v>15.54</v>
      </c>
    </row>
    <row r="962">
      <c r="A962" s="319" t="s">
        <v>258</v>
      </c>
      <c r="B962" s="328">
        <v>46090.0</v>
      </c>
      <c r="C962" s="319" t="s">
        <v>257</v>
      </c>
      <c r="D962" s="320">
        <v>14895.0</v>
      </c>
      <c r="E962" s="320">
        <v>18.68</v>
      </c>
      <c r="F962" s="320">
        <v>211.21</v>
      </c>
      <c r="G962" s="320">
        <v>0.0142</v>
      </c>
      <c r="H962" s="320">
        <v>0.28</v>
      </c>
      <c r="I962" s="320">
        <v>5.1515</v>
      </c>
      <c r="J962" s="320">
        <v>5.42</v>
      </c>
      <c r="K962" s="320">
        <v>2.43</v>
      </c>
      <c r="L962" s="320">
        <v>0.09</v>
      </c>
      <c r="M962" s="320">
        <v>0.0364</v>
      </c>
      <c r="N962" s="320">
        <v>0.9677</v>
      </c>
      <c r="O962" s="320">
        <v>0.6774</v>
      </c>
      <c r="P962" s="320">
        <v>27.4761</v>
      </c>
      <c r="Q962" s="320">
        <v>36.8</v>
      </c>
      <c r="R962" s="320">
        <v>36.71</v>
      </c>
      <c r="S962" s="320">
        <v>0.09</v>
      </c>
      <c r="T962" s="320">
        <v>1.04</v>
      </c>
      <c r="U962" s="320">
        <v>35.76</v>
      </c>
      <c r="V962" s="320">
        <v>2.55</v>
      </c>
      <c r="W962" s="320">
        <v>1.0515</v>
      </c>
      <c r="X962" s="320">
        <v>2.83</v>
      </c>
      <c r="Y962" s="320">
        <v>197.0</v>
      </c>
      <c r="Z962" s="320">
        <v>1399.0</v>
      </c>
      <c r="AA962" s="320">
        <v>8140.0</v>
      </c>
      <c r="AB962" s="320">
        <v>50.2518</v>
      </c>
      <c r="AC962" s="320">
        <v>0.5248</v>
      </c>
      <c r="AD962" s="329"/>
      <c r="AE962" s="329"/>
      <c r="AF962" s="329"/>
      <c r="AG962" s="329"/>
      <c r="AH962" s="329"/>
      <c r="AI962" s="320">
        <v>0.0</v>
      </c>
      <c r="AJ962" s="320">
        <v>0.0</v>
      </c>
      <c r="AK962" s="320">
        <v>0.0</v>
      </c>
      <c r="AL962" s="320">
        <v>0.2694</v>
      </c>
      <c r="AM962" s="320">
        <v>15.97</v>
      </c>
      <c r="AN962" s="320">
        <v>20.74</v>
      </c>
      <c r="AO962" s="329"/>
      <c r="AP962" s="329"/>
    </row>
    <row r="963">
      <c r="A963" s="319" t="s">
        <v>258</v>
      </c>
      <c r="B963" s="328">
        <v>46090.0</v>
      </c>
      <c r="C963" s="319" t="s">
        <v>214</v>
      </c>
      <c r="D963" s="320">
        <v>32570.0</v>
      </c>
      <c r="E963" s="320">
        <v>40.84</v>
      </c>
      <c r="F963" s="320">
        <v>6203.51</v>
      </c>
      <c r="G963" s="320">
        <v>0.1905</v>
      </c>
      <c r="H963" s="320">
        <v>5.83</v>
      </c>
      <c r="I963" s="320">
        <v>3.265</v>
      </c>
      <c r="J963" s="320">
        <v>35.03</v>
      </c>
      <c r="K963" s="320">
        <v>18.99</v>
      </c>
      <c r="L963" s="320">
        <v>5.57</v>
      </c>
      <c r="M963" s="320">
        <v>0.2934</v>
      </c>
      <c r="N963" s="320">
        <v>0.7752</v>
      </c>
      <c r="O963" s="320">
        <v>0.5348</v>
      </c>
      <c r="P963" s="320">
        <v>3.4079</v>
      </c>
      <c r="Q963" s="320">
        <v>95.27</v>
      </c>
      <c r="R963" s="320">
        <v>83.91</v>
      </c>
      <c r="S963" s="320">
        <v>11.35</v>
      </c>
      <c r="T963" s="320">
        <v>12.96</v>
      </c>
      <c r="U963" s="320">
        <v>82.31</v>
      </c>
      <c r="V963" s="320">
        <v>85.63</v>
      </c>
      <c r="W963" s="320">
        <v>4.5102</v>
      </c>
      <c r="X963" s="320">
        <v>13.61</v>
      </c>
      <c r="Y963" s="320">
        <v>94.0</v>
      </c>
      <c r="Z963" s="320">
        <v>221.0</v>
      </c>
      <c r="AA963" s="320">
        <v>866.0</v>
      </c>
      <c r="AB963" s="320">
        <v>49.654</v>
      </c>
      <c r="AC963" s="320">
        <v>0.4392</v>
      </c>
      <c r="AD963" s="320">
        <v>3.53</v>
      </c>
      <c r="AE963" s="320">
        <v>1.0</v>
      </c>
      <c r="AF963" s="320">
        <v>2.0</v>
      </c>
      <c r="AG963" s="320">
        <v>5.0</v>
      </c>
      <c r="AH963" s="320">
        <v>8.0</v>
      </c>
      <c r="AI963" s="320">
        <v>68.74</v>
      </c>
      <c r="AJ963" s="320">
        <v>25.27</v>
      </c>
      <c r="AK963" s="320">
        <v>6.3</v>
      </c>
      <c r="AL963" s="320">
        <v>0.2099</v>
      </c>
      <c r="AM963" s="320">
        <v>18.57</v>
      </c>
      <c r="AN963" s="320">
        <v>65.35</v>
      </c>
      <c r="AO963" s="320">
        <v>68.71</v>
      </c>
      <c r="AP963" s="320">
        <v>12.76</v>
      </c>
    </row>
    <row r="964">
      <c r="A964" s="319" t="s">
        <v>258</v>
      </c>
      <c r="B964" s="328">
        <v>46090.0</v>
      </c>
      <c r="C964" s="319" t="s">
        <v>215</v>
      </c>
      <c r="D964" s="320">
        <v>18098.0</v>
      </c>
      <c r="E964" s="320">
        <v>22.69</v>
      </c>
      <c r="F964" s="320">
        <v>15655.06</v>
      </c>
      <c r="G964" s="320">
        <v>0.865</v>
      </c>
      <c r="H964" s="320">
        <v>18.91</v>
      </c>
      <c r="I964" s="320">
        <v>4.5735</v>
      </c>
      <c r="J964" s="320">
        <v>62.19</v>
      </c>
      <c r="K964" s="320">
        <v>35.64</v>
      </c>
      <c r="L964" s="320">
        <v>13.96</v>
      </c>
      <c r="M964" s="320">
        <v>0.3919</v>
      </c>
      <c r="N964" s="320">
        <v>0.6718</v>
      </c>
      <c r="O964" s="320">
        <v>0.3977</v>
      </c>
      <c r="P964" s="320">
        <v>2.552</v>
      </c>
      <c r="Q964" s="320">
        <v>194.75</v>
      </c>
      <c r="R964" s="320">
        <v>167.11</v>
      </c>
      <c r="S964" s="320">
        <v>27.64</v>
      </c>
      <c r="T964" s="320">
        <v>57.11</v>
      </c>
      <c r="U964" s="320">
        <v>137.64</v>
      </c>
      <c r="V964" s="320">
        <v>189.88</v>
      </c>
      <c r="W964" s="320">
        <v>5.3283</v>
      </c>
      <c r="X964" s="320">
        <v>29.33</v>
      </c>
      <c r="Y964" s="320">
        <v>87.0</v>
      </c>
      <c r="Z964" s="320">
        <v>195.0</v>
      </c>
      <c r="AA964" s="320">
        <v>615.0</v>
      </c>
      <c r="AB964" s="320">
        <v>52.3379</v>
      </c>
      <c r="AC964" s="320">
        <v>0.513</v>
      </c>
      <c r="AD964" s="320">
        <v>8.41</v>
      </c>
      <c r="AE964" s="320">
        <v>3.0</v>
      </c>
      <c r="AF964" s="320">
        <v>6.0</v>
      </c>
      <c r="AG964" s="320">
        <v>12.0</v>
      </c>
      <c r="AH964" s="320">
        <v>18.0</v>
      </c>
      <c r="AI964" s="320">
        <v>53.46</v>
      </c>
      <c r="AJ964" s="320">
        <v>22.84</v>
      </c>
      <c r="AK964" s="320">
        <v>3.69</v>
      </c>
      <c r="AL964" s="320">
        <v>0.1858</v>
      </c>
      <c r="AM964" s="320">
        <v>19.05</v>
      </c>
      <c r="AN964" s="320">
        <v>148.06</v>
      </c>
      <c r="AO964" s="320">
        <v>71.23</v>
      </c>
      <c r="AP964" s="320">
        <v>13.57</v>
      </c>
    </row>
    <row r="965">
      <c r="A965" s="319" t="s">
        <v>258</v>
      </c>
      <c r="B965" s="328">
        <v>46090.0</v>
      </c>
      <c r="C965" s="319" t="s">
        <v>216</v>
      </c>
      <c r="D965" s="320">
        <v>9705.0</v>
      </c>
      <c r="E965" s="320">
        <v>12.17</v>
      </c>
      <c r="F965" s="320">
        <v>22509.04</v>
      </c>
      <c r="G965" s="320">
        <v>2.3193</v>
      </c>
      <c r="H965" s="320">
        <v>31.44</v>
      </c>
      <c r="I965" s="320">
        <v>7.3776</v>
      </c>
      <c r="J965" s="320">
        <v>90.82</v>
      </c>
      <c r="K965" s="320">
        <v>53.58</v>
      </c>
      <c r="L965" s="320">
        <v>28.2</v>
      </c>
      <c r="M965" s="320">
        <v>0.5264</v>
      </c>
      <c r="N965" s="320">
        <v>0.5482</v>
      </c>
      <c r="O965" s="320">
        <v>0.3071</v>
      </c>
      <c r="P965" s="320">
        <v>1.8998</v>
      </c>
      <c r="Q965" s="320">
        <v>379.62</v>
      </c>
      <c r="R965" s="320">
        <v>323.96</v>
      </c>
      <c r="S965" s="320">
        <v>55.67</v>
      </c>
      <c r="T965" s="320">
        <v>153.6</v>
      </c>
      <c r="U965" s="320">
        <v>226.03</v>
      </c>
      <c r="V965" s="320">
        <v>375.37</v>
      </c>
      <c r="W965" s="320">
        <v>7.0057</v>
      </c>
      <c r="X965" s="320">
        <v>40.46</v>
      </c>
      <c r="Y965" s="320">
        <v>90.0</v>
      </c>
      <c r="Z965" s="320">
        <v>230.0</v>
      </c>
      <c r="AA965" s="320">
        <v>736.0</v>
      </c>
      <c r="AB965" s="320">
        <v>54.4604</v>
      </c>
      <c r="AC965" s="320">
        <v>0.5892</v>
      </c>
      <c r="AD965" s="320">
        <v>16.83</v>
      </c>
      <c r="AE965" s="320">
        <v>6.0</v>
      </c>
      <c r="AF965" s="320">
        <v>13.0</v>
      </c>
      <c r="AG965" s="320">
        <v>24.0</v>
      </c>
      <c r="AH965" s="320">
        <v>36.0</v>
      </c>
      <c r="AI965" s="320">
        <v>55.9</v>
      </c>
      <c r="AJ965" s="320">
        <v>22.18</v>
      </c>
      <c r="AK965" s="320">
        <v>5.45</v>
      </c>
      <c r="AL965" s="320">
        <v>0.1719</v>
      </c>
      <c r="AM965" s="320">
        <v>19.28</v>
      </c>
      <c r="AN965" s="320">
        <v>304.68</v>
      </c>
      <c r="AO965" s="320">
        <v>70.76</v>
      </c>
      <c r="AP965" s="320">
        <v>13.64</v>
      </c>
    </row>
    <row r="966">
      <c r="A966" s="319" t="s">
        <v>258</v>
      </c>
      <c r="B966" s="328">
        <v>46090.0</v>
      </c>
      <c r="C966" s="319" t="s">
        <v>217</v>
      </c>
      <c r="D966" s="320">
        <v>4079.0</v>
      </c>
      <c r="E966" s="320">
        <v>5.11</v>
      </c>
      <c r="F966" s="320">
        <v>24448.31</v>
      </c>
      <c r="G966" s="320">
        <v>5.9937</v>
      </c>
      <c r="H966" s="320">
        <v>44.01</v>
      </c>
      <c r="I966" s="320">
        <v>13.6202</v>
      </c>
      <c r="J966" s="320">
        <v>142.36</v>
      </c>
      <c r="K966" s="320">
        <v>87.44</v>
      </c>
      <c r="L966" s="320">
        <v>58.49</v>
      </c>
      <c r="M966" s="320">
        <v>0.669</v>
      </c>
      <c r="N966" s="320">
        <v>0.4214</v>
      </c>
      <c r="O966" s="320">
        <v>0.241</v>
      </c>
      <c r="P966" s="320">
        <v>1.4948</v>
      </c>
      <c r="Q966" s="320">
        <v>770.27</v>
      </c>
      <c r="R966" s="320">
        <v>659.2</v>
      </c>
      <c r="S966" s="320">
        <v>111.07</v>
      </c>
      <c r="T966" s="320">
        <v>394.44</v>
      </c>
      <c r="U966" s="320">
        <v>375.82</v>
      </c>
      <c r="V966" s="320">
        <v>776.45</v>
      </c>
      <c r="W966" s="320">
        <v>8.8802</v>
      </c>
      <c r="X966" s="320">
        <v>51.21</v>
      </c>
      <c r="Y966" s="320">
        <v>103.0</v>
      </c>
      <c r="Z966" s="320">
        <v>337.0</v>
      </c>
      <c r="AA966" s="320">
        <v>1042.0</v>
      </c>
      <c r="AB966" s="320">
        <v>57.3156</v>
      </c>
      <c r="AC966" s="320">
        <v>0.6825</v>
      </c>
      <c r="AD966" s="320">
        <v>34.59</v>
      </c>
      <c r="AE966" s="320">
        <v>12.0</v>
      </c>
      <c r="AF966" s="320">
        <v>27.0</v>
      </c>
      <c r="AG966" s="320">
        <v>45.0</v>
      </c>
      <c r="AH966" s="320">
        <v>74.0</v>
      </c>
      <c r="AI966" s="320">
        <v>48.59</v>
      </c>
      <c r="AJ966" s="320">
        <v>15.98</v>
      </c>
      <c r="AK966" s="320">
        <v>4.17</v>
      </c>
      <c r="AL966" s="320">
        <v>0.1422</v>
      </c>
      <c r="AM966" s="320">
        <v>19.61</v>
      </c>
      <c r="AN966" s="320">
        <v>639.59</v>
      </c>
      <c r="AO966" s="320">
        <v>71.72</v>
      </c>
      <c r="AP966" s="320">
        <v>14.06</v>
      </c>
    </row>
    <row r="967">
      <c r="A967" s="319" t="s">
        <v>258</v>
      </c>
      <c r="B967" s="328">
        <v>46090.0</v>
      </c>
      <c r="C967" s="319" t="s">
        <v>218</v>
      </c>
      <c r="D967" s="320">
        <v>411.0</v>
      </c>
      <c r="E967" s="320">
        <v>0.52</v>
      </c>
      <c r="F967" s="320">
        <v>4887.07</v>
      </c>
      <c r="G967" s="320">
        <v>11.8907</v>
      </c>
      <c r="H967" s="320">
        <v>44.04</v>
      </c>
      <c r="I967" s="320">
        <v>27.0004</v>
      </c>
      <c r="J967" s="320">
        <v>253.28</v>
      </c>
      <c r="K967" s="320">
        <v>164.3</v>
      </c>
      <c r="L967" s="320">
        <v>131.28</v>
      </c>
      <c r="M967" s="320">
        <v>0.799</v>
      </c>
      <c r="N967" s="320">
        <v>0.2961</v>
      </c>
      <c r="O967" s="320">
        <v>0.1821</v>
      </c>
      <c r="P967" s="320">
        <v>1.2516</v>
      </c>
      <c r="Q967" s="320">
        <v>1441.78</v>
      </c>
      <c r="R967" s="320">
        <v>1167.95</v>
      </c>
      <c r="S967" s="320">
        <v>273.83</v>
      </c>
      <c r="T967" s="320">
        <v>753.94</v>
      </c>
      <c r="U967" s="320">
        <v>687.84</v>
      </c>
      <c r="V967" s="320">
        <v>1458.76</v>
      </c>
      <c r="W967" s="320">
        <v>8.8784</v>
      </c>
      <c r="X967" s="320">
        <v>52.29</v>
      </c>
      <c r="Y967" s="320">
        <v>138.0</v>
      </c>
      <c r="Z967" s="320">
        <v>492.0</v>
      </c>
      <c r="AA967" s="320">
        <v>1704.0</v>
      </c>
      <c r="AB967" s="320">
        <v>61.5227</v>
      </c>
      <c r="AC967" s="320">
        <v>0.8274</v>
      </c>
      <c r="AD967" s="320">
        <v>87.23</v>
      </c>
      <c r="AE967" s="320">
        <v>27.0</v>
      </c>
      <c r="AF967" s="320">
        <v>62.0</v>
      </c>
      <c r="AG967" s="320">
        <v>126.0</v>
      </c>
      <c r="AH967" s="320">
        <v>203.0</v>
      </c>
      <c r="AI967" s="320">
        <v>40.63</v>
      </c>
      <c r="AJ967" s="320">
        <v>14.84</v>
      </c>
      <c r="AK967" s="320">
        <v>2.43</v>
      </c>
      <c r="AL967" s="320">
        <v>0.1241</v>
      </c>
      <c r="AM967" s="320">
        <v>19.46</v>
      </c>
      <c r="AN967" s="320">
        <v>1148.48</v>
      </c>
      <c r="AO967" s="320">
        <v>73.9</v>
      </c>
      <c r="AP967" s="320">
        <v>14.38</v>
      </c>
    </row>
    <row r="968">
      <c r="A968" s="319" t="s">
        <v>258</v>
      </c>
      <c r="B968" s="328">
        <v>46091.0</v>
      </c>
      <c r="C968" s="319" t="s">
        <v>257</v>
      </c>
      <c r="D968" s="320">
        <v>15935.0</v>
      </c>
      <c r="E968" s="320">
        <v>20.03</v>
      </c>
      <c r="F968" s="320">
        <v>118.9</v>
      </c>
      <c r="G968" s="320">
        <v>0.0075</v>
      </c>
      <c r="H968" s="320">
        <v>0.22</v>
      </c>
      <c r="I968" s="320">
        <v>3.3971</v>
      </c>
      <c r="J968" s="320">
        <v>6.26</v>
      </c>
      <c r="K968" s="320">
        <v>2.83</v>
      </c>
      <c r="L968" s="320">
        <v>0.08</v>
      </c>
      <c r="M968" s="320">
        <v>0.0293</v>
      </c>
      <c r="N968" s="320">
        <v>0.9719</v>
      </c>
      <c r="O968" s="320">
        <v>0.68</v>
      </c>
      <c r="P968" s="320">
        <v>34.1021</v>
      </c>
      <c r="Q968" s="320">
        <v>27.2</v>
      </c>
      <c r="R968" s="320">
        <v>27.13</v>
      </c>
      <c r="S968" s="320">
        <v>0.07</v>
      </c>
      <c r="T968" s="320">
        <v>0.49</v>
      </c>
      <c r="U968" s="320">
        <v>26.71</v>
      </c>
      <c r="V968" s="320">
        <v>2.17</v>
      </c>
      <c r="W968" s="320">
        <v>0.7664</v>
      </c>
      <c r="X968" s="320">
        <v>1.79</v>
      </c>
      <c r="Y968" s="320">
        <v>171.0</v>
      </c>
      <c r="Z968" s="320">
        <v>1196.0</v>
      </c>
      <c r="AA968" s="320">
        <v>7557.0</v>
      </c>
      <c r="AB968" s="320">
        <v>49.9427</v>
      </c>
      <c r="AC968" s="320">
        <v>0.5092</v>
      </c>
      <c r="AD968" s="329"/>
      <c r="AE968" s="329"/>
      <c r="AF968" s="329"/>
      <c r="AG968" s="329"/>
      <c r="AH968" s="329"/>
      <c r="AI968" s="320">
        <v>0.0</v>
      </c>
      <c r="AJ968" s="320">
        <v>0.0</v>
      </c>
      <c r="AK968" s="320">
        <v>0.0</v>
      </c>
      <c r="AL968" s="320">
        <v>0.2562</v>
      </c>
      <c r="AM968" s="320">
        <v>15.13</v>
      </c>
      <c r="AN968" s="320">
        <v>12.0</v>
      </c>
      <c r="AO968" s="329"/>
      <c r="AP968" s="329"/>
    </row>
    <row r="969">
      <c r="A969" s="319" t="s">
        <v>258</v>
      </c>
      <c r="B969" s="328">
        <v>46091.0</v>
      </c>
      <c r="C969" s="319" t="s">
        <v>214</v>
      </c>
      <c r="D969" s="320">
        <v>32893.0</v>
      </c>
      <c r="E969" s="320">
        <v>41.34</v>
      </c>
      <c r="F969" s="320">
        <v>6878.7</v>
      </c>
      <c r="G969" s="320">
        <v>0.2091</v>
      </c>
      <c r="H969" s="320">
        <v>6.24</v>
      </c>
      <c r="I969" s="320">
        <v>3.3538</v>
      </c>
      <c r="J969" s="320">
        <v>29.74</v>
      </c>
      <c r="K969" s="320">
        <v>15.88</v>
      </c>
      <c r="L969" s="320">
        <v>5.08</v>
      </c>
      <c r="M969" s="320">
        <v>0.3198</v>
      </c>
      <c r="N969" s="320">
        <v>0.7555</v>
      </c>
      <c r="O969" s="320">
        <v>0.5228</v>
      </c>
      <c r="P969" s="320">
        <v>3.1271</v>
      </c>
      <c r="Q969" s="320">
        <v>71.05</v>
      </c>
      <c r="R969" s="320">
        <v>60.4</v>
      </c>
      <c r="S969" s="320">
        <v>10.65</v>
      </c>
      <c r="T969" s="320">
        <v>14.16</v>
      </c>
      <c r="U969" s="320">
        <v>56.9</v>
      </c>
      <c r="V969" s="320">
        <v>74.86</v>
      </c>
      <c r="W969" s="320">
        <v>4.714</v>
      </c>
      <c r="X969" s="320">
        <v>19.92</v>
      </c>
      <c r="Y969" s="320">
        <v>89.0</v>
      </c>
      <c r="Z969" s="320">
        <v>217.0</v>
      </c>
      <c r="AA969" s="320">
        <v>863.0</v>
      </c>
      <c r="AB969" s="320">
        <v>49.7535</v>
      </c>
      <c r="AC969" s="320">
        <v>0.443</v>
      </c>
      <c r="AD969" s="320">
        <v>3.46</v>
      </c>
      <c r="AE969" s="320">
        <v>1.0</v>
      </c>
      <c r="AF969" s="320">
        <v>2.0</v>
      </c>
      <c r="AG969" s="320">
        <v>4.0</v>
      </c>
      <c r="AH969" s="320">
        <v>8.0</v>
      </c>
      <c r="AI969" s="320">
        <v>66.1</v>
      </c>
      <c r="AJ969" s="320">
        <v>24.18</v>
      </c>
      <c r="AK969" s="320">
        <v>6.59</v>
      </c>
      <c r="AL969" s="320">
        <v>0.2047</v>
      </c>
      <c r="AM969" s="320">
        <v>18.71</v>
      </c>
      <c r="AN969" s="320">
        <v>41.69</v>
      </c>
      <c r="AO969" s="320">
        <v>68.85</v>
      </c>
      <c r="AP969" s="320">
        <v>12.88</v>
      </c>
    </row>
    <row r="970">
      <c r="A970" s="319" t="s">
        <v>258</v>
      </c>
      <c r="B970" s="328">
        <v>46091.0</v>
      </c>
      <c r="C970" s="319" t="s">
        <v>215</v>
      </c>
      <c r="D970" s="320">
        <v>17347.0</v>
      </c>
      <c r="E970" s="320">
        <v>21.8</v>
      </c>
      <c r="F970" s="320">
        <v>16500.51</v>
      </c>
      <c r="G970" s="320">
        <v>0.9512</v>
      </c>
      <c r="H970" s="320">
        <v>20.6</v>
      </c>
      <c r="I970" s="320">
        <v>4.6168</v>
      </c>
      <c r="J970" s="320">
        <v>54.1</v>
      </c>
      <c r="K970" s="320">
        <v>30.73</v>
      </c>
      <c r="L970" s="320">
        <v>13.11</v>
      </c>
      <c r="M970" s="320">
        <v>0.4266</v>
      </c>
      <c r="N970" s="320">
        <v>0.6416</v>
      </c>
      <c r="O970" s="320">
        <v>0.3764</v>
      </c>
      <c r="P970" s="320">
        <v>2.3444</v>
      </c>
      <c r="Q970" s="320">
        <v>164.57</v>
      </c>
      <c r="R970" s="320">
        <v>137.52</v>
      </c>
      <c r="S970" s="320">
        <v>27.05</v>
      </c>
      <c r="T970" s="320">
        <v>63.81</v>
      </c>
      <c r="U970" s="320">
        <v>100.76</v>
      </c>
      <c r="V970" s="320">
        <v>172.75</v>
      </c>
      <c r="W970" s="320">
        <v>5.6212</v>
      </c>
      <c r="X970" s="320">
        <v>38.77</v>
      </c>
      <c r="Y970" s="320">
        <v>85.0</v>
      </c>
      <c r="Z970" s="320">
        <v>197.0</v>
      </c>
      <c r="AA970" s="320">
        <v>649.0</v>
      </c>
      <c r="AB970" s="320">
        <v>52.5323</v>
      </c>
      <c r="AC970" s="320">
        <v>0.5215</v>
      </c>
      <c r="AD970" s="320">
        <v>8.44</v>
      </c>
      <c r="AE970" s="320">
        <v>2.0</v>
      </c>
      <c r="AF970" s="320">
        <v>6.0</v>
      </c>
      <c r="AG970" s="320">
        <v>12.0</v>
      </c>
      <c r="AH970" s="320">
        <v>19.0</v>
      </c>
      <c r="AI970" s="320">
        <v>52.11</v>
      </c>
      <c r="AJ970" s="320">
        <v>23.13</v>
      </c>
      <c r="AK970" s="320">
        <v>3.97</v>
      </c>
      <c r="AL970" s="320">
        <v>0.1863</v>
      </c>
      <c r="AM970" s="320">
        <v>19.13</v>
      </c>
      <c r="AN970" s="320">
        <v>118.38</v>
      </c>
      <c r="AO970" s="320">
        <v>71.86</v>
      </c>
      <c r="AP970" s="320">
        <v>13.75</v>
      </c>
    </row>
    <row r="971">
      <c r="A971" s="319" t="s">
        <v>258</v>
      </c>
      <c r="B971" s="328">
        <v>46091.0</v>
      </c>
      <c r="C971" s="319" t="s">
        <v>216</v>
      </c>
      <c r="D971" s="320">
        <v>9343.0</v>
      </c>
      <c r="E971" s="320">
        <v>11.74</v>
      </c>
      <c r="F971" s="320">
        <v>24069.06</v>
      </c>
      <c r="G971" s="320">
        <v>2.5762</v>
      </c>
      <c r="H971" s="320">
        <v>33.3</v>
      </c>
      <c r="I971" s="320">
        <v>7.7368</v>
      </c>
      <c r="J971" s="320">
        <v>81.83</v>
      </c>
      <c r="K971" s="320">
        <v>48.06</v>
      </c>
      <c r="L971" s="320">
        <v>27.15</v>
      </c>
      <c r="M971" s="320">
        <v>0.565</v>
      </c>
      <c r="N971" s="320">
        <v>0.5136</v>
      </c>
      <c r="O971" s="320">
        <v>0.2856</v>
      </c>
      <c r="P971" s="320">
        <v>1.7699</v>
      </c>
      <c r="Q971" s="320">
        <v>346.43</v>
      </c>
      <c r="R971" s="320">
        <v>293.95</v>
      </c>
      <c r="S971" s="320">
        <v>52.48</v>
      </c>
      <c r="T971" s="320">
        <v>168.21</v>
      </c>
      <c r="U971" s="320">
        <v>178.22</v>
      </c>
      <c r="V971" s="320">
        <v>357.2</v>
      </c>
      <c r="W971" s="320">
        <v>7.4324</v>
      </c>
      <c r="X971" s="320">
        <v>48.56</v>
      </c>
      <c r="Y971" s="320">
        <v>92.0</v>
      </c>
      <c r="Z971" s="320">
        <v>227.0</v>
      </c>
      <c r="AA971" s="320">
        <v>734.0</v>
      </c>
      <c r="AB971" s="320">
        <v>54.6076</v>
      </c>
      <c r="AC971" s="320">
        <v>0.6116</v>
      </c>
      <c r="AD971" s="320">
        <v>16.38</v>
      </c>
      <c r="AE971" s="320">
        <v>5.0</v>
      </c>
      <c r="AF971" s="320">
        <v>12.0</v>
      </c>
      <c r="AG971" s="320">
        <v>23.0</v>
      </c>
      <c r="AH971" s="320">
        <v>35.0</v>
      </c>
      <c r="AI971" s="320">
        <v>54.2</v>
      </c>
      <c r="AJ971" s="320">
        <v>21.38</v>
      </c>
      <c r="AK971" s="320">
        <v>6.13</v>
      </c>
      <c r="AL971" s="320">
        <v>0.1704</v>
      </c>
      <c r="AM971" s="320">
        <v>19.33</v>
      </c>
      <c r="AN971" s="320">
        <v>274.62</v>
      </c>
      <c r="AO971" s="320">
        <v>71.41</v>
      </c>
      <c r="AP971" s="320">
        <v>13.8</v>
      </c>
    </row>
    <row r="972">
      <c r="A972" s="319" t="s">
        <v>258</v>
      </c>
      <c r="B972" s="328">
        <v>46091.0</v>
      </c>
      <c r="C972" s="319" t="s">
        <v>217</v>
      </c>
      <c r="D972" s="320">
        <v>3651.0</v>
      </c>
      <c r="E972" s="320">
        <v>4.59</v>
      </c>
      <c r="F972" s="320">
        <v>20773.15</v>
      </c>
      <c r="G972" s="320">
        <v>5.6897</v>
      </c>
      <c r="H972" s="320">
        <v>42.56</v>
      </c>
      <c r="I972" s="320">
        <v>13.3675</v>
      </c>
      <c r="J972" s="320">
        <v>122.56</v>
      </c>
      <c r="K972" s="320">
        <v>75.44</v>
      </c>
      <c r="L972" s="320">
        <v>50.94</v>
      </c>
      <c r="M972" s="320">
        <v>0.6752</v>
      </c>
      <c r="N972" s="320">
        <v>0.415</v>
      </c>
      <c r="O972" s="320">
        <v>0.2377</v>
      </c>
      <c r="P972" s="320">
        <v>1.4809</v>
      </c>
      <c r="Q972" s="320">
        <v>676.57</v>
      </c>
      <c r="R972" s="320">
        <v>569.88</v>
      </c>
      <c r="S972" s="320">
        <v>106.7</v>
      </c>
      <c r="T972" s="320">
        <v>368.5</v>
      </c>
      <c r="U972" s="320">
        <v>308.07</v>
      </c>
      <c r="V972" s="320">
        <v>677.31</v>
      </c>
      <c r="W972" s="320">
        <v>8.9775</v>
      </c>
      <c r="X972" s="320">
        <v>54.47</v>
      </c>
      <c r="Y972" s="320">
        <v>97.0</v>
      </c>
      <c r="Z972" s="320">
        <v>317.0</v>
      </c>
      <c r="AA972" s="320">
        <v>971.0</v>
      </c>
      <c r="AB972" s="320">
        <v>57.4202</v>
      </c>
      <c r="AC972" s="320">
        <v>0.7394</v>
      </c>
      <c r="AD972" s="320">
        <v>34.05</v>
      </c>
      <c r="AE972" s="320">
        <v>11.0</v>
      </c>
      <c r="AF972" s="320">
        <v>25.0</v>
      </c>
      <c r="AG972" s="320">
        <v>49.0</v>
      </c>
      <c r="AH972" s="320">
        <v>75.0</v>
      </c>
      <c r="AI972" s="320">
        <v>46.29</v>
      </c>
      <c r="AJ972" s="320">
        <v>17.34</v>
      </c>
      <c r="AK972" s="320">
        <v>4.41</v>
      </c>
      <c r="AL972" s="320">
        <v>0.155</v>
      </c>
      <c r="AM972" s="320">
        <v>19.03</v>
      </c>
      <c r="AN972" s="320">
        <v>550.85</v>
      </c>
      <c r="AO972" s="320">
        <v>76.45</v>
      </c>
      <c r="AP972" s="320">
        <v>14.55</v>
      </c>
    </row>
    <row r="973">
      <c r="A973" s="319" t="s">
        <v>258</v>
      </c>
      <c r="B973" s="328">
        <v>46091.0</v>
      </c>
      <c r="C973" s="319" t="s">
        <v>218</v>
      </c>
      <c r="D973" s="320">
        <v>403.0</v>
      </c>
      <c r="E973" s="320">
        <v>0.51</v>
      </c>
      <c r="F973" s="320">
        <v>4799.04</v>
      </c>
      <c r="G973" s="320">
        <v>11.9083</v>
      </c>
      <c r="H973" s="320">
        <v>49.63</v>
      </c>
      <c r="I973" s="320">
        <v>23.9952</v>
      </c>
      <c r="J973" s="320">
        <v>248.32</v>
      </c>
      <c r="K973" s="320">
        <v>159.93</v>
      </c>
      <c r="L973" s="320">
        <v>131.03</v>
      </c>
      <c r="M973" s="320">
        <v>0.8193</v>
      </c>
      <c r="N973" s="320">
        <v>0.2792</v>
      </c>
      <c r="O973" s="320">
        <v>0.1752</v>
      </c>
      <c r="P973" s="320">
        <v>1.2206</v>
      </c>
      <c r="Q973" s="320">
        <v>1408.86</v>
      </c>
      <c r="R973" s="320">
        <v>1134.83</v>
      </c>
      <c r="S973" s="320">
        <v>274.03</v>
      </c>
      <c r="T973" s="320">
        <v>772.54</v>
      </c>
      <c r="U973" s="320">
        <v>636.32</v>
      </c>
      <c r="V973" s="320">
        <v>1447.77</v>
      </c>
      <c r="W973" s="320">
        <v>9.0523</v>
      </c>
      <c r="X973" s="320">
        <v>54.83</v>
      </c>
      <c r="Y973" s="320">
        <v>134.0</v>
      </c>
      <c r="Z973" s="320">
        <v>578.0</v>
      </c>
      <c r="AA973" s="320">
        <v>1929.0</v>
      </c>
      <c r="AB973" s="320">
        <v>61.386</v>
      </c>
      <c r="AC973" s="320">
        <v>0.8307</v>
      </c>
      <c r="AD973" s="320">
        <v>88.19</v>
      </c>
      <c r="AE973" s="320">
        <v>28.0</v>
      </c>
      <c r="AF973" s="320">
        <v>70.0</v>
      </c>
      <c r="AG973" s="320">
        <v>120.0</v>
      </c>
      <c r="AH973" s="320">
        <v>182.0</v>
      </c>
      <c r="AI973" s="320">
        <v>44.42</v>
      </c>
      <c r="AJ973" s="320">
        <v>10.67</v>
      </c>
      <c r="AK973" s="320">
        <v>3.23</v>
      </c>
      <c r="AL973" s="320">
        <v>0.1117</v>
      </c>
      <c r="AM973" s="320">
        <v>22.31</v>
      </c>
      <c r="AN973" s="320">
        <v>1112.52</v>
      </c>
      <c r="AO973" s="320">
        <v>72.42</v>
      </c>
      <c r="AP973" s="320">
        <v>16.16</v>
      </c>
    </row>
    <row r="974">
      <c r="A974" s="319" t="s">
        <v>258</v>
      </c>
      <c r="B974" s="328">
        <v>46092.0</v>
      </c>
      <c r="C974" s="319" t="s">
        <v>257</v>
      </c>
      <c r="D974" s="320">
        <v>16582.0</v>
      </c>
      <c r="E974" s="320">
        <v>21.0</v>
      </c>
      <c r="F974" s="320">
        <v>150.5</v>
      </c>
      <c r="G974" s="320">
        <v>0.0091</v>
      </c>
      <c r="H974" s="320">
        <v>0.2</v>
      </c>
      <c r="I974" s="320">
        <v>4.5606</v>
      </c>
      <c r="J974" s="320">
        <v>6.57</v>
      </c>
      <c r="K974" s="320">
        <v>2.99</v>
      </c>
      <c r="L974" s="320">
        <v>0.09</v>
      </c>
      <c r="M974" s="320">
        <v>0.0291</v>
      </c>
      <c r="N974" s="320">
        <v>0.9733</v>
      </c>
      <c r="O974" s="320">
        <v>0.6988</v>
      </c>
      <c r="P974" s="320">
        <v>34.3061</v>
      </c>
      <c r="Q974" s="320">
        <v>23.56</v>
      </c>
      <c r="R974" s="320">
        <v>23.5</v>
      </c>
      <c r="S974" s="320">
        <v>0.07</v>
      </c>
      <c r="T974" s="320">
        <v>0.55</v>
      </c>
      <c r="U974" s="320">
        <v>23.01</v>
      </c>
      <c r="V974" s="320">
        <v>2.1</v>
      </c>
      <c r="W974" s="320">
        <v>0.7045</v>
      </c>
      <c r="X974" s="320">
        <v>2.33</v>
      </c>
      <c r="Y974" s="320">
        <v>152.0</v>
      </c>
      <c r="Z974" s="320">
        <v>1103.0</v>
      </c>
      <c r="AA974" s="320">
        <v>7032.0</v>
      </c>
      <c r="AB974" s="320">
        <v>50.1722</v>
      </c>
      <c r="AC974" s="320">
        <v>0.5157</v>
      </c>
      <c r="AD974" s="329"/>
      <c r="AE974" s="329"/>
      <c r="AF974" s="329"/>
      <c r="AG974" s="329"/>
      <c r="AH974" s="329"/>
      <c r="AI974" s="320">
        <v>0.0</v>
      </c>
      <c r="AJ974" s="320">
        <v>0.0</v>
      </c>
      <c r="AK974" s="320">
        <v>0.0</v>
      </c>
      <c r="AL974" s="320">
        <v>0.2656</v>
      </c>
      <c r="AM974" s="320">
        <v>15.65</v>
      </c>
      <c r="AN974" s="320">
        <v>7.85</v>
      </c>
      <c r="AO974" s="329"/>
      <c r="AP974" s="329"/>
    </row>
    <row r="975">
      <c r="A975" s="319" t="s">
        <v>258</v>
      </c>
      <c r="B975" s="328">
        <v>46092.0</v>
      </c>
      <c r="C975" s="319" t="s">
        <v>214</v>
      </c>
      <c r="D975" s="320">
        <v>32955.0</v>
      </c>
      <c r="E975" s="320">
        <v>41.74</v>
      </c>
      <c r="F975" s="320">
        <v>7607.3</v>
      </c>
      <c r="G975" s="320">
        <v>0.2308</v>
      </c>
      <c r="H975" s="320">
        <v>6.59</v>
      </c>
      <c r="I975" s="320">
        <v>3.5008</v>
      </c>
      <c r="J975" s="320">
        <v>32.15</v>
      </c>
      <c r="K975" s="320">
        <v>17.28</v>
      </c>
      <c r="L975" s="320">
        <v>5.06</v>
      </c>
      <c r="M975" s="320">
        <v>0.293</v>
      </c>
      <c r="N975" s="320">
        <v>0.7736</v>
      </c>
      <c r="O975" s="320">
        <v>0.5309</v>
      </c>
      <c r="P975" s="320">
        <v>3.4132</v>
      </c>
      <c r="Q975" s="320">
        <v>62.76</v>
      </c>
      <c r="R975" s="320">
        <v>52.09</v>
      </c>
      <c r="S975" s="320">
        <v>10.67</v>
      </c>
      <c r="T975" s="320">
        <v>15.56</v>
      </c>
      <c r="U975" s="320">
        <v>47.2</v>
      </c>
      <c r="V975" s="320">
        <v>69.58</v>
      </c>
      <c r="W975" s="320">
        <v>4.0258</v>
      </c>
      <c r="X975" s="320">
        <v>24.79</v>
      </c>
      <c r="Y975" s="320">
        <v>87.0</v>
      </c>
      <c r="Z975" s="320">
        <v>207.0</v>
      </c>
      <c r="AA975" s="320">
        <v>873.0</v>
      </c>
      <c r="AB975" s="320">
        <v>49.8455</v>
      </c>
      <c r="AC975" s="320">
        <v>0.4445</v>
      </c>
      <c r="AD975" s="320">
        <v>3.38</v>
      </c>
      <c r="AE975" s="320">
        <v>1.0</v>
      </c>
      <c r="AF975" s="320">
        <v>2.0</v>
      </c>
      <c r="AG975" s="320">
        <v>4.0</v>
      </c>
      <c r="AH975" s="320">
        <v>8.0</v>
      </c>
      <c r="AI975" s="320">
        <v>65.28</v>
      </c>
      <c r="AJ975" s="320">
        <v>23.33</v>
      </c>
      <c r="AK975" s="320">
        <v>6.03</v>
      </c>
      <c r="AL975" s="320">
        <v>0.212</v>
      </c>
      <c r="AM975" s="320">
        <v>19.52</v>
      </c>
      <c r="AN975" s="320">
        <v>32.57</v>
      </c>
      <c r="AO975" s="320">
        <v>69.06</v>
      </c>
      <c r="AP975" s="320">
        <v>13.48</v>
      </c>
    </row>
    <row r="976">
      <c r="A976" s="319" t="s">
        <v>258</v>
      </c>
      <c r="B976" s="328">
        <v>46092.0</v>
      </c>
      <c r="C976" s="319" t="s">
        <v>215</v>
      </c>
      <c r="D976" s="320">
        <v>16808.0</v>
      </c>
      <c r="E976" s="320">
        <v>21.29</v>
      </c>
      <c r="F976" s="320">
        <v>17456.24</v>
      </c>
      <c r="G976" s="320">
        <v>1.0386</v>
      </c>
      <c r="H976" s="320">
        <v>21.14</v>
      </c>
      <c r="I976" s="320">
        <v>4.9131</v>
      </c>
      <c r="J976" s="320">
        <v>58.63</v>
      </c>
      <c r="K976" s="320">
        <v>33.66</v>
      </c>
      <c r="L976" s="320">
        <v>13.58</v>
      </c>
      <c r="M976" s="320">
        <v>0.4034</v>
      </c>
      <c r="N976" s="320">
        <v>0.6567</v>
      </c>
      <c r="O976" s="320">
        <v>0.3727</v>
      </c>
      <c r="P976" s="320">
        <v>2.4788</v>
      </c>
      <c r="Q976" s="320">
        <v>147.36</v>
      </c>
      <c r="R976" s="320">
        <v>120.45</v>
      </c>
      <c r="S976" s="320">
        <v>26.91</v>
      </c>
      <c r="T976" s="320">
        <v>68.43</v>
      </c>
      <c r="U976" s="320">
        <v>78.92</v>
      </c>
      <c r="V976" s="320">
        <v>163.68</v>
      </c>
      <c r="W976" s="320">
        <v>4.8628</v>
      </c>
      <c r="X976" s="320">
        <v>46.44</v>
      </c>
      <c r="Y976" s="320">
        <v>80.0</v>
      </c>
      <c r="Z976" s="320">
        <v>170.0</v>
      </c>
      <c r="AA976" s="320">
        <v>605.0</v>
      </c>
      <c r="AB976" s="320">
        <v>52.4754</v>
      </c>
      <c r="AC976" s="320">
        <v>0.5225</v>
      </c>
      <c r="AD976" s="320">
        <v>8.14</v>
      </c>
      <c r="AE976" s="320">
        <v>2.0</v>
      </c>
      <c r="AF976" s="320">
        <v>6.0</v>
      </c>
      <c r="AG976" s="320">
        <v>11.0</v>
      </c>
      <c r="AH976" s="320">
        <v>18.0</v>
      </c>
      <c r="AI976" s="320">
        <v>50.29</v>
      </c>
      <c r="AJ976" s="320">
        <v>21.54</v>
      </c>
      <c r="AK976" s="320">
        <v>3.74</v>
      </c>
      <c r="AL976" s="320">
        <v>0.1896</v>
      </c>
      <c r="AM976" s="320">
        <v>19.44</v>
      </c>
      <c r="AN976" s="320">
        <v>101.01</v>
      </c>
      <c r="AO976" s="320">
        <v>72.12</v>
      </c>
      <c r="AP976" s="320">
        <v>14.02</v>
      </c>
    </row>
    <row r="977">
      <c r="A977" s="319" t="s">
        <v>258</v>
      </c>
      <c r="B977" s="328">
        <v>46092.0</v>
      </c>
      <c r="C977" s="319" t="s">
        <v>216</v>
      </c>
      <c r="D977" s="320">
        <v>8639.0</v>
      </c>
      <c r="E977" s="320">
        <v>10.94</v>
      </c>
      <c r="F977" s="320">
        <v>22341.47</v>
      </c>
      <c r="G977" s="320">
        <v>2.5861</v>
      </c>
      <c r="H977" s="320">
        <v>33.44</v>
      </c>
      <c r="I977" s="320">
        <v>7.7333</v>
      </c>
      <c r="J977" s="320">
        <v>82.57</v>
      </c>
      <c r="K977" s="320">
        <v>49.23</v>
      </c>
      <c r="L977" s="320">
        <v>25.64</v>
      </c>
      <c r="M977" s="320">
        <v>0.5208</v>
      </c>
      <c r="N977" s="320">
        <v>0.549</v>
      </c>
      <c r="O977" s="320">
        <v>0.302</v>
      </c>
      <c r="P977" s="320">
        <v>1.9201</v>
      </c>
      <c r="Q977" s="320">
        <v>294.73</v>
      </c>
      <c r="R977" s="320">
        <v>241.61</v>
      </c>
      <c r="S977" s="320">
        <v>53.11</v>
      </c>
      <c r="T977" s="320">
        <v>167.33</v>
      </c>
      <c r="U977" s="320">
        <v>127.4</v>
      </c>
      <c r="V977" s="320">
        <v>320.38</v>
      </c>
      <c r="W977" s="320">
        <v>6.5081</v>
      </c>
      <c r="X977" s="320">
        <v>56.77</v>
      </c>
      <c r="Y977" s="320">
        <v>83.0</v>
      </c>
      <c r="Z977" s="320">
        <v>189.0</v>
      </c>
      <c r="AA977" s="320">
        <v>634.0</v>
      </c>
      <c r="AB977" s="320">
        <v>54.7367</v>
      </c>
      <c r="AC977" s="320">
        <v>0.6475</v>
      </c>
      <c r="AD977" s="320">
        <v>16.5</v>
      </c>
      <c r="AE977" s="320">
        <v>5.0</v>
      </c>
      <c r="AF977" s="320">
        <v>12.0</v>
      </c>
      <c r="AG977" s="320">
        <v>23.0</v>
      </c>
      <c r="AH977" s="320">
        <v>36.0</v>
      </c>
      <c r="AI977" s="320">
        <v>52.66</v>
      </c>
      <c r="AJ977" s="320">
        <v>22.05</v>
      </c>
      <c r="AK977" s="320">
        <v>6.7</v>
      </c>
      <c r="AL977" s="320">
        <v>0.1946</v>
      </c>
      <c r="AM977" s="320">
        <v>19.26</v>
      </c>
      <c r="AN977" s="320">
        <v>222.35</v>
      </c>
      <c r="AO977" s="320">
        <v>74.74</v>
      </c>
      <c r="AP977" s="320">
        <v>14.39</v>
      </c>
    </row>
    <row r="978">
      <c r="A978" s="319" t="s">
        <v>258</v>
      </c>
      <c r="B978" s="328">
        <v>46092.0</v>
      </c>
      <c r="C978" s="319" t="s">
        <v>217</v>
      </c>
      <c r="D978" s="320">
        <v>3584.0</v>
      </c>
      <c r="E978" s="320">
        <v>4.54</v>
      </c>
      <c r="F978" s="320">
        <v>22849.78</v>
      </c>
      <c r="G978" s="320">
        <v>6.3755</v>
      </c>
      <c r="H978" s="320">
        <v>45.73</v>
      </c>
      <c r="I978" s="320">
        <v>13.9413</v>
      </c>
      <c r="J978" s="320">
        <v>130.34</v>
      </c>
      <c r="K978" s="320">
        <v>80.22</v>
      </c>
      <c r="L978" s="320">
        <v>52.22</v>
      </c>
      <c r="M978" s="320">
        <v>0.6509</v>
      </c>
      <c r="N978" s="320">
        <v>0.4325</v>
      </c>
      <c r="O978" s="320">
        <v>0.2411</v>
      </c>
      <c r="P978" s="320">
        <v>1.5362</v>
      </c>
      <c r="Q978" s="320">
        <v>623.47</v>
      </c>
      <c r="R978" s="320">
        <v>513.8</v>
      </c>
      <c r="S978" s="320">
        <v>109.67</v>
      </c>
      <c r="T978" s="320">
        <v>405.0</v>
      </c>
      <c r="U978" s="320">
        <v>218.47</v>
      </c>
      <c r="V978" s="320">
        <v>658.45</v>
      </c>
      <c r="W978" s="320">
        <v>8.208</v>
      </c>
      <c r="X978" s="320">
        <v>64.96</v>
      </c>
      <c r="Y978" s="320">
        <v>89.0</v>
      </c>
      <c r="Z978" s="320">
        <v>276.0</v>
      </c>
      <c r="AA978" s="320">
        <v>940.0</v>
      </c>
      <c r="AB978" s="320">
        <v>57.6061</v>
      </c>
      <c r="AC978" s="320">
        <v>0.7477</v>
      </c>
      <c r="AD978" s="320">
        <v>34.37</v>
      </c>
      <c r="AE978" s="320">
        <v>10.0</v>
      </c>
      <c r="AF978" s="320">
        <v>24.0</v>
      </c>
      <c r="AG978" s="320">
        <v>49.0</v>
      </c>
      <c r="AH978" s="320">
        <v>79.0</v>
      </c>
      <c r="AI978" s="320">
        <v>45.31</v>
      </c>
      <c r="AJ978" s="320">
        <v>18.3</v>
      </c>
      <c r="AK978" s="320">
        <v>5.3</v>
      </c>
      <c r="AL978" s="320">
        <v>0.1473</v>
      </c>
      <c r="AM978" s="320">
        <v>20.18</v>
      </c>
      <c r="AN978" s="320">
        <v>493.62</v>
      </c>
      <c r="AO978" s="320">
        <v>76.76</v>
      </c>
      <c r="AP978" s="320">
        <v>15.49</v>
      </c>
    </row>
    <row r="979">
      <c r="A979" s="319" t="s">
        <v>258</v>
      </c>
      <c r="B979" s="328">
        <v>46092.0</v>
      </c>
      <c r="C979" s="319" t="s">
        <v>218</v>
      </c>
      <c r="D979" s="320">
        <v>390.0</v>
      </c>
      <c r="E979" s="320">
        <v>0.49</v>
      </c>
      <c r="F979" s="320">
        <v>4733.27</v>
      </c>
      <c r="G979" s="320">
        <v>12.1366</v>
      </c>
      <c r="H979" s="320">
        <v>51.54</v>
      </c>
      <c r="I979" s="320">
        <v>23.5486</v>
      </c>
      <c r="J979" s="320">
        <v>255.21</v>
      </c>
      <c r="K979" s="320">
        <v>165.15</v>
      </c>
      <c r="L979" s="320">
        <v>129.74</v>
      </c>
      <c r="M979" s="320">
        <v>0.7856</v>
      </c>
      <c r="N979" s="320">
        <v>0.3027</v>
      </c>
      <c r="O979" s="320">
        <v>0.1795</v>
      </c>
      <c r="P979" s="320">
        <v>1.273</v>
      </c>
      <c r="Q979" s="320">
        <v>1219.35</v>
      </c>
      <c r="R979" s="320">
        <v>944.97</v>
      </c>
      <c r="S979" s="320">
        <v>274.38</v>
      </c>
      <c r="T979" s="320">
        <v>755.04</v>
      </c>
      <c r="U979" s="320">
        <v>464.31</v>
      </c>
      <c r="V979" s="320">
        <v>1330.77</v>
      </c>
      <c r="W979" s="320">
        <v>8.0578</v>
      </c>
      <c r="X979" s="320">
        <v>61.92</v>
      </c>
      <c r="Y979" s="320">
        <v>113.0</v>
      </c>
      <c r="Z979" s="320">
        <v>480.0</v>
      </c>
      <c r="AA979" s="320">
        <v>1524.0</v>
      </c>
      <c r="AB979" s="320">
        <v>61.8575</v>
      </c>
      <c r="AC979" s="320">
        <v>0.8552</v>
      </c>
      <c r="AD979" s="320">
        <v>86.01</v>
      </c>
      <c r="AE979" s="320">
        <v>29.0</v>
      </c>
      <c r="AF979" s="320">
        <v>66.0</v>
      </c>
      <c r="AG979" s="320">
        <v>120.0</v>
      </c>
      <c r="AH979" s="320">
        <v>183.0</v>
      </c>
      <c r="AI979" s="320">
        <v>42.82</v>
      </c>
      <c r="AJ979" s="320">
        <v>10.77</v>
      </c>
      <c r="AK979" s="320">
        <v>3.08</v>
      </c>
      <c r="AL979" s="320">
        <v>0.1179</v>
      </c>
      <c r="AM979" s="320">
        <v>21.56</v>
      </c>
      <c r="AN979" s="320">
        <v>923.4</v>
      </c>
      <c r="AO979" s="320">
        <v>74.51</v>
      </c>
      <c r="AP979" s="320">
        <v>16.06</v>
      </c>
    </row>
    <row r="980">
      <c r="A980" s="319" t="s">
        <v>258</v>
      </c>
      <c r="B980" s="328">
        <v>46093.0</v>
      </c>
      <c r="C980" s="319" t="s">
        <v>257</v>
      </c>
      <c r="D980" s="320">
        <v>17292.0</v>
      </c>
      <c r="E980" s="320">
        <v>22.25</v>
      </c>
      <c r="F980" s="320">
        <v>132.31</v>
      </c>
      <c r="G980" s="320">
        <v>0.0077</v>
      </c>
      <c r="H980" s="320">
        <v>0.16</v>
      </c>
      <c r="I980" s="320">
        <v>4.9004</v>
      </c>
      <c r="J980" s="320">
        <v>6.46</v>
      </c>
      <c r="K980" s="320">
        <v>2.9</v>
      </c>
      <c r="L980" s="320">
        <v>0.04</v>
      </c>
      <c r="M980" s="320">
        <v>0.0131</v>
      </c>
      <c r="N980" s="320">
        <v>0.9877</v>
      </c>
      <c r="O980" s="320">
        <v>0.8277</v>
      </c>
      <c r="P980" s="320">
        <v>76.607</v>
      </c>
      <c r="Q980" s="320">
        <v>23.36</v>
      </c>
      <c r="R980" s="320">
        <v>23.3</v>
      </c>
      <c r="S980" s="320">
        <v>0.05</v>
      </c>
      <c r="T980" s="320">
        <v>0.53</v>
      </c>
      <c r="U980" s="320">
        <v>22.83</v>
      </c>
      <c r="V980" s="320">
        <v>1.84</v>
      </c>
      <c r="W980" s="320">
        <v>0.6347</v>
      </c>
      <c r="X980" s="320">
        <v>2.26</v>
      </c>
      <c r="Y980" s="320">
        <v>138.0</v>
      </c>
      <c r="Z980" s="320">
        <v>944.0</v>
      </c>
      <c r="AA980" s="320">
        <v>6673.0</v>
      </c>
      <c r="AB980" s="320">
        <v>49.8247</v>
      </c>
      <c r="AC980" s="320">
        <v>0.5048</v>
      </c>
      <c r="AD980" s="329"/>
      <c r="AE980" s="329"/>
      <c r="AF980" s="329"/>
      <c r="AG980" s="329"/>
      <c r="AH980" s="329"/>
      <c r="AI980" s="320">
        <v>0.0</v>
      </c>
      <c r="AJ980" s="320">
        <v>0.0</v>
      </c>
      <c r="AK980" s="320">
        <v>0.0</v>
      </c>
      <c r="AL980" s="320">
        <v>0.2739</v>
      </c>
      <c r="AM980" s="320">
        <v>16.04</v>
      </c>
      <c r="AN980" s="320">
        <v>7.27</v>
      </c>
      <c r="AO980" s="329"/>
      <c r="AP980" s="329"/>
    </row>
    <row r="981">
      <c r="A981" s="319" t="s">
        <v>258</v>
      </c>
      <c r="B981" s="328">
        <v>46093.0</v>
      </c>
      <c r="C981" s="319" t="s">
        <v>214</v>
      </c>
      <c r="D981" s="320">
        <v>32241.0</v>
      </c>
      <c r="E981" s="320">
        <v>41.48</v>
      </c>
      <c r="F981" s="320">
        <v>6827.37</v>
      </c>
      <c r="G981" s="320">
        <v>0.2118</v>
      </c>
      <c r="H981" s="320">
        <v>6.7</v>
      </c>
      <c r="I981" s="320">
        <v>3.1594</v>
      </c>
      <c r="J981" s="320">
        <v>28.95</v>
      </c>
      <c r="K981" s="320">
        <v>15.31</v>
      </c>
      <c r="L981" s="320">
        <v>4.93</v>
      </c>
      <c r="M981" s="320">
        <v>0.3221</v>
      </c>
      <c r="N981" s="320">
        <v>0.7517</v>
      </c>
      <c r="O981" s="320">
        <v>0.5158</v>
      </c>
      <c r="P981" s="320">
        <v>3.1045</v>
      </c>
      <c r="Q981" s="320">
        <v>62.31</v>
      </c>
      <c r="R981" s="320">
        <v>52.0</v>
      </c>
      <c r="S981" s="320">
        <v>10.31</v>
      </c>
      <c r="T981" s="320">
        <v>14.6</v>
      </c>
      <c r="U981" s="320">
        <v>47.72</v>
      </c>
      <c r="V981" s="320">
        <v>67.8</v>
      </c>
      <c r="W981" s="320">
        <v>4.4269</v>
      </c>
      <c r="X981" s="320">
        <v>23.42</v>
      </c>
      <c r="Y981" s="320">
        <v>84.0</v>
      </c>
      <c r="Z981" s="320">
        <v>204.0</v>
      </c>
      <c r="AA981" s="320">
        <v>874.0</v>
      </c>
      <c r="AB981" s="320">
        <v>49.9178</v>
      </c>
      <c r="AC981" s="320">
        <v>0.4467</v>
      </c>
      <c r="AD981" s="320">
        <v>3.39</v>
      </c>
      <c r="AE981" s="320">
        <v>1.0</v>
      </c>
      <c r="AF981" s="320">
        <v>2.0</v>
      </c>
      <c r="AG981" s="320">
        <v>4.0</v>
      </c>
      <c r="AH981" s="320">
        <v>8.0</v>
      </c>
      <c r="AI981" s="320">
        <v>64.58</v>
      </c>
      <c r="AJ981" s="320">
        <v>23.37</v>
      </c>
      <c r="AK981" s="320">
        <v>6.37</v>
      </c>
      <c r="AL981" s="320">
        <v>0.225</v>
      </c>
      <c r="AM981" s="320">
        <v>20.27</v>
      </c>
      <c r="AN981" s="320">
        <v>31.73</v>
      </c>
      <c r="AO981" s="320">
        <v>69.48</v>
      </c>
      <c r="AP981" s="320">
        <v>14.08</v>
      </c>
    </row>
    <row r="982">
      <c r="A982" s="319" t="s">
        <v>258</v>
      </c>
      <c r="B982" s="328">
        <v>46093.0</v>
      </c>
      <c r="C982" s="319" t="s">
        <v>215</v>
      </c>
      <c r="D982" s="320">
        <v>15764.0</v>
      </c>
      <c r="E982" s="320">
        <v>20.28</v>
      </c>
      <c r="F982" s="320">
        <v>15571.99</v>
      </c>
      <c r="G982" s="320">
        <v>0.9878</v>
      </c>
      <c r="H982" s="320">
        <v>20.67</v>
      </c>
      <c r="I982" s="320">
        <v>4.7781</v>
      </c>
      <c r="J982" s="320">
        <v>51.82</v>
      </c>
      <c r="K982" s="320">
        <v>29.22</v>
      </c>
      <c r="L982" s="320">
        <v>12.93</v>
      </c>
      <c r="M982" s="320">
        <v>0.4426</v>
      </c>
      <c r="N982" s="320">
        <v>0.625</v>
      </c>
      <c r="O982" s="320">
        <v>0.3594</v>
      </c>
      <c r="P982" s="320">
        <v>2.2592</v>
      </c>
      <c r="Q982" s="320">
        <v>159.14</v>
      </c>
      <c r="R982" s="320">
        <v>133.14</v>
      </c>
      <c r="S982" s="320">
        <v>26.0</v>
      </c>
      <c r="T982" s="320">
        <v>66.27</v>
      </c>
      <c r="U982" s="320">
        <v>92.87</v>
      </c>
      <c r="V982" s="320">
        <v>160.83</v>
      </c>
      <c r="W982" s="320">
        <v>5.5044</v>
      </c>
      <c r="X982" s="320">
        <v>41.64</v>
      </c>
      <c r="Y982" s="320">
        <v>83.0</v>
      </c>
      <c r="Z982" s="320">
        <v>187.0</v>
      </c>
      <c r="AA982" s="320">
        <v>612.0</v>
      </c>
      <c r="AB982" s="320">
        <v>52.4563</v>
      </c>
      <c r="AC982" s="320">
        <v>0.5341</v>
      </c>
      <c r="AD982" s="320">
        <v>8.21</v>
      </c>
      <c r="AE982" s="320">
        <v>2.0</v>
      </c>
      <c r="AF982" s="320">
        <v>6.0</v>
      </c>
      <c r="AG982" s="320">
        <v>11.0</v>
      </c>
      <c r="AH982" s="320">
        <v>19.0</v>
      </c>
      <c r="AI982" s="320">
        <v>49.91</v>
      </c>
      <c r="AJ982" s="320">
        <v>22.08</v>
      </c>
      <c r="AK982" s="320">
        <v>4.05</v>
      </c>
      <c r="AL982" s="320">
        <v>0.2057</v>
      </c>
      <c r="AM982" s="320">
        <v>19.99</v>
      </c>
      <c r="AN982" s="320">
        <v>113.15</v>
      </c>
      <c r="AO982" s="320">
        <v>73.59</v>
      </c>
      <c r="AP982" s="320">
        <v>14.71</v>
      </c>
    </row>
    <row r="983">
      <c r="A983" s="319" t="s">
        <v>258</v>
      </c>
      <c r="B983" s="328">
        <v>46093.0</v>
      </c>
      <c r="C983" s="319" t="s">
        <v>216</v>
      </c>
      <c r="D983" s="320">
        <v>8447.0</v>
      </c>
      <c r="E983" s="320">
        <v>10.87</v>
      </c>
      <c r="F983" s="320">
        <v>19742.2</v>
      </c>
      <c r="G983" s="320">
        <v>2.3372</v>
      </c>
      <c r="H983" s="320">
        <v>31.04</v>
      </c>
      <c r="I983" s="320">
        <v>7.5294</v>
      </c>
      <c r="J983" s="320">
        <v>77.84</v>
      </c>
      <c r="K983" s="320">
        <v>46.07</v>
      </c>
      <c r="L983" s="320">
        <v>25.34</v>
      </c>
      <c r="M983" s="320">
        <v>0.55</v>
      </c>
      <c r="N983" s="320">
        <v>0.526</v>
      </c>
      <c r="O983" s="320">
        <v>0.2928</v>
      </c>
      <c r="P983" s="320">
        <v>1.8183</v>
      </c>
      <c r="Q983" s="320">
        <v>334.55</v>
      </c>
      <c r="R983" s="320">
        <v>281.34</v>
      </c>
      <c r="S983" s="320">
        <v>53.21</v>
      </c>
      <c r="T983" s="320">
        <v>151.82</v>
      </c>
      <c r="U983" s="320">
        <v>182.73</v>
      </c>
      <c r="V983" s="320">
        <v>333.08</v>
      </c>
      <c r="W983" s="320">
        <v>7.2299</v>
      </c>
      <c r="X983" s="320">
        <v>45.38</v>
      </c>
      <c r="Y983" s="320">
        <v>88.0</v>
      </c>
      <c r="Z983" s="320">
        <v>229.0</v>
      </c>
      <c r="AA983" s="320">
        <v>683.0</v>
      </c>
      <c r="AB983" s="320">
        <v>54.7937</v>
      </c>
      <c r="AC983" s="320">
        <v>0.6459</v>
      </c>
      <c r="AD983" s="320">
        <v>16.82</v>
      </c>
      <c r="AE983" s="320">
        <v>5.0</v>
      </c>
      <c r="AF983" s="320">
        <v>12.0</v>
      </c>
      <c r="AG983" s="320">
        <v>24.0</v>
      </c>
      <c r="AH983" s="320">
        <v>38.0</v>
      </c>
      <c r="AI983" s="320">
        <v>53.66</v>
      </c>
      <c r="AJ983" s="320">
        <v>22.4</v>
      </c>
      <c r="AK983" s="320">
        <v>7.42</v>
      </c>
      <c r="AL983" s="320">
        <v>0.1972</v>
      </c>
      <c r="AM983" s="320">
        <v>20.37</v>
      </c>
      <c r="AN983" s="320">
        <v>260.97</v>
      </c>
      <c r="AO983" s="320">
        <v>75.85</v>
      </c>
      <c r="AP983" s="320">
        <v>15.45</v>
      </c>
    </row>
    <row r="984">
      <c r="A984" s="319" t="s">
        <v>258</v>
      </c>
      <c r="B984" s="328">
        <v>46093.0</v>
      </c>
      <c r="C984" s="319" t="s">
        <v>217</v>
      </c>
      <c r="D984" s="320">
        <v>3583.0</v>
      </c>
      <c r="E984" s="320">
        <v>4.61</v>
      </c>
      <c r="F984" s="320">
        <v>18388.78</v>
      </c>
      <c r="G984" s="320">
        <v>5.1322</v>
      </c>
      <c r="H984" s="320">
        <v>41.33</v>
      </c>
      <c r="I984" s="320">
        <v>12.4165</v>
      </c>
      <c r="J984" s="320">
        <v>123.85</v>
      </c>
      <c r="K984" s="320">
        <v>76.62</v>
      </c>
      <c r="L984" s="320">
        <v>52.98</v>
      </c>
      <c r="M984" s="320">
        <v>0.6914</v>
      </c>
      <c r="N984" s="320">
        <v>0.3978</v>
      </c>
      <c r="O984" s="320">
        <v>0.2278</v>
      </c>
      <c r="P984" s="320">
        <v>1.4464</v>
      </c>
      <c r="Q984" s="320">
        <v>707.73</v>
      </c>
      <c r="R984" s="320">
        <v>596.59</v>
      </c>
      <c r="S984" s="320">
        <v>111.14</v>
      </c>
      <c r="T984" s="320">
        <v>323.05</v>
      </c>
      <c r="U984" s="320">
        <v>384.68</v>
      </c>
      <c r="V984" s="320">
        <v>687.78</v>
      </c>
      <c r="W984" s="320">
        <v>8.976</v>
      </c>
      <c r="X984" s="320">
        <v>45.65</v>
      </c>
      <c r="Y984" s="320">
        <v>103.0</v>
      </c>
      <c r="Z984" s="320">
        <v>347.0</v>
      </c>
      <c r="AA984" s="320">
        <v>937.0</v>
      </c>
      <c r="AB984" s="320">
        <v>57.5121</v>
      </c>
      <c r="AC984" s="320">
        <v>0.7423</v>
      </c>
      <c r="AD984" s="320">
        <v>35.8</v>
      </c>
      <c r="AE984" s="320">
        <v>11.0</v>
      </c>
      <c r="AF984" s="320">
        <v>29.0</v>
      </c>
      <c r="AG984" s="320">
        <v>51.0</v>
      </c>
      <c r="AH984" s="320">
        <v>77.0</v>
      </c>
      <c r="AI984" s="320">
        <v>50.93</v>
      </c>
      <c r="AJ984" s="320">
        <v>19.12</v>
      </c>
      <c r="AK984" s="320">
        <v>3.91</v>
      </c>
      <c r="AL984" s="320">
        <v>0.1677</v>
      </c>
      <c r="AM984" s="320">
        <v>20.6</v>
      </c>
      <c r="AN984" s="320">
        <v>575.99</v>
      </c>
      <c r="AO984" s="320">
        <v>76.47</v>
      </c>
      <c r="AP984" s="320">
        <v>15.75</v>
      </c>
    </row>
    <row r="985">
      <c r="A985" s="319" t="s">
        <v>258</v>
      </c>
      <c r="B985" s="328">
        <v>46093.0</v>
      </c>
      <c r="C985" s="319" t="s">
        <v>218</v>
      </c>
      <c r="D985" s="320">
        <v>403.0</v>
      </c>
      <c r="E985" s="320">
        <v>0.52</v>
      </c>
      <c r="F985" s="320">
        <v>3850.96</v>
      </c>
      <c r="G985" s="320">
        <v>9.5557</v>
      </c>
      <c r="H985" s="320">
        <v>40.69</v>
      </c>
      <c r="I985" s="320">
        <v>23.4815</v>
      </c>
      <c r="J985" s="320">
        <v>236.12</v>
      </c>
      <c r="K985" s="320">
        <v>157.54</v>
      </c>
      <c r="L985" s="320">
        <v>125.96</v>
      </c>
      <c r="M985" s="320">
        <v>0.7995</v>
      </c>
      <c r="N985" s="320">
        <v>0.289</v>
      </c>
      <c r="O985" s="320">
        <v>0.1704</v>
      </c>
      <c r="P985" s="320">
        <v>1.2508</v>
      </c>
      <c r="Q985" s="320">
        <v>1384.41</v>
      </c>
      <c r="R985" s="320">
        <v>1119.25</v>
      </c>
      <c r="S985" s="320">
        <v>265.16</v>
      </c>
      <c r="T985" s="320">
        <v>594.31</v>
      </c>
      <c r="U985" s="320">
        <v>790.11</v>
      </c>
      <c r="V985" s="320">
        <v>1342.06</v>
      </c>
      <c r="W985" s="320">
        <v>8.5187</v>
      </c>
      <c r="X985" s="320">
        <v>42.93</v>
      </c>
      <c r="Y985" s="320">
        <v>200.0</v>
      </c>
      <c r="Z985" s="320">
        <v>602.0</v>
      </c>
      <c r="AA985" s="320">
        <v>1811.0</v>
      </c>
      <c r="AB985" s="320">
        <v>61.4282</v>
      </c>
      <c r="AC985" s="320">
        <v>0.821</v>
      </c>
      <c r="AD985" s="320">
        <v>86.74</v>
      </c>
      <c r="AE985" s="320">
        <v>31.0</v>
      </c>
      <c r="AF985" s="320">
        <v>62.0</v>
      </c>
      <c r="AG985" s="320">
        <v>118.0</v>
      </c>
      <c r="AH985" s="320">
        <v>200.0</v>
      </c>
      <c r="AI985" s="320">
        <v>42.43</v>
      </c>
      <c r="AJ985" s="320">
        <v>13.65</v>
      </c>
      <c r="AK985" s="320">
        <v>2.48</v>
      </c>
      <c r="AL985" s="320">
        <v>0.1439</v>
      </c>
      <c r="AM985" s="320">
        <v>22.25</v>
      </c>
      <c r="AN985" s="320">
        <v>1097.01</v>
      </c>
      <c r="AO985" s="320">
        <v>74.58</v>
      </c>
      <c r="AP985" s="320">
        <v>16.59</v>
      </c>
    </row>
    <row r="986">
      <c r="A986" s="319" t="s">
        <v>258</v>
      </c>
      <c r="B986" s="328">
        <v>46094.0</v>
      </c>
      <c r="C986" s="319" t="s">
        <v>257</v>
      </c>
      <c r="D986" s="320">
        <v>15242.0</v>
      </c>
      <c r="E986" s="320">
        <v>20.05</v>
      </c>
      <c r="F986" s="320">
        <v>39.79</v>
      </c>
      <c r="G986" s="320">
        <v>0.0026</v>
      </c>
      <c r="H986" s="320">
        <v>0.35</v>
      </c>
      <c r="I986" s="320">
        <v>0.7508</v>
      </c>
      <c r="J986" s="320">
        <v>5.49</v>
      </c>
      <c r="K986" s="320">
        <v>2.33</v>
      </c>
      <c r="L986" s="320">
        <v>0.06</v>
      </c>
      <c r="M986" s="320">
        <v>0.0236</v>
      </c>
      <c r="N986" s="320">
        <v>0.9785</v>
      </c>
      <c r="O986" s="320">
        <v>0.7503</v>
      </c>
      <c r="P986" s="320">
        <v>42.3099</v>
      </c>
      <c r="Q986" s="320">
        <v>30.11</v>
      </c>
      <c r="R986" s="320">
        <v>30.03</v>
      </c>
      <c r="S986" s="320">
        <v>0.08</v>
      </c>
      <c r="T986" s="320">
        <v>1.04</v>
      </c>
      <c r="U986" s="320">
        <v>29.07</v>
      </c>
      <c r="V986" s="320">
        <v>1.57</v>
      </c>
      <c r="W986" s="320">
        <v>0.6747</v>
      </c>
      <c r="X986" s="320">
        <v>3.46</v>
      </c>
      <c r="Y986" s="320">
        <v>184.0</v>
      </c>
      <c r="Z986" s="320">
        <v>1280.0</v>
      </c>
      <c r="AA986" s="320">
        <v>7737.0</v>
      </c>
      <c r="AB986" s="320">
        <v>50.2079</v>
      </c>
      <c r="AC986" s="320">
        <v>0.5239</v>
      </c>
      <c r="AD986" s="329"/>
      <c r="AE986" s="329"/>
      <c r="AF986" s="329"/>
      <c r="AG986" s="329"/>
      <c r="AH986" s="329"/>
      <c r="AI986" s="320">
        <v>0.0</v>
      </c>
      <c r="AJ986" s="320">
        <v>0.0</v>
      </c>
      <c r="AK986" s="320">
        <v>0.0</v>
      </c>
      <c r="AL986" s="320">
        <v>0.2939</v>
      </c>
      <c r="AM986" s="320">
        <v>17.06</v>
      </c>
      <c r="AN986" s="320">
        <v>12.97</v>
      </c>
      <c r="AO986" s="329"/>
      <c r="AP986" s="329"/>
    </row>
    <row r="987">
      <c r="A987" s="319" t="s">
        <v>258</v>
      </c>
      <c r="B987" s="328">
        <v>46094.0</v>
      </c>
      <c r="C987" s="319" t="s">
        <v>214</v>
      </c>
      <c r="D987" s="320">
        <v>32848.0</v>
      </c>
      <c r="E987" s="320">
        <v>43.21</v>
      </c>
      <c r="F987" s="320">
        <v>8719.75</v>
      </c>
      <c r="G987" s="320">
        <v>0.2655</v>
      </c>
      <c r="H987" s="320">
        <v>7.22</v>
      </c>
      <c r="I987" s="320">
        <v>3.6777</v>
      </c>
      <c r="J987" s="320">
        <v>33.58</v>
      </c>
      <c r="K987" s="320">
        <v>17.83</v>
      </c>
      <c r="L987" s="320">
        <v>5.6</v>
      </c>
      <c r="M987" s="320">
        <v>0.3142</v>
      </c>
      <c r="N987" s="320">
        <v>0.7566</v>
      </c>
      <c r="O987" s="320">
        <v>0.5075</v>
      </c>
      <c r="P987" s="320">
        <v>3.1823</v>
      </c>
      <c r="Q987" s="320">
        <v>89.33</v>
      </c>
      <c r="R987" s="320">
        <v>77.84</v>
      </c>
      <c r="S987" s="320">
        <v>11.49</v>
      </c>
      <c r="T987" s="320">
        <v>18.46</v>
      </c>
      <c r="U987" s="320">
        <v>70.87</v>
      </c>
      <c r="V987" s="320">
        <v>82.01</v>
      </c>
      <c r="W987" s="320">
        <v>4.5996</v>
      </c>
      <c r="X987" s="320">
        <v>20.67</v>
      </c>
      <c r="Y987" s="320">
        <v>89.0</v>
      </c>
      <c r="Z987" s="320">
        <v>215.0</v>
      </c>
      <c r="AA987" s="320">
        <v>843.0</v>
      </c>
      <c r="AB987" s="320">
        <v>49.7322</v>
      </c>
      <c r="AC987" s="320">
        <v>0.4416</v>
      </c>
      <c r="AD987" s="320">
        <v>3.64</v>
      </c>
      <c r="AE987" s="320">
        <v>1.0</v>
      </c>
      <c r="AF987" s="320">
        <v>2.0</v>
      </c>
      <c r="AG987" s="320">
        <v>5.0</v>
      </c>
      <c r="AH987" s="320">
        <v>8.0</v>
      </c>
      <c r="AI987" s="320">
        <v>68.05</v>
      </c>
      <c r="AJ987" s="320">
        <v>26.04</v>
      </c>
      <c r="AK987" s="320">
        <v>7.41</v>
      </c>
      <c r="AL987" s="320">
        <v>0.2345</v>
      </c>
      <c r="AM987" s="320">
        <v>21.43</v>
      </c>
      <c r="AN987" s="320">
        <v>56.41</v>
      </c>
      <c r="AO987" s="320">
        <v>69.51</v>
      </c>
      <c r="AP987" s="320">
        <v>14.9</v>
      </c>
    </row>
    <row r="988">
      <c r="A988" s="319" t="s">
        <v>258</v>
      </c>
      <c r="B988" s="328">
        <v>46094.0</v>
      </c>
      <c r="C988" s="319" t="s">
        <v>215</v>
      </c>
      <c r="D988" s="320">
        <v>15481.0</v>
      </c>
      <c r="E988" s="320">
        <v>20.36</v>
      </c>
      <c r="F988" s="320">
        <v>16679.83</v>
      </c>
      <c r="G988" s="320">
        <v>1.0774</v>
      </c>
      <c r="H988" s="320">
        <v>22.11</v>
      </c>
      <c r="I988" s="320">
        <v>4.8729</v>
      </c>
      <c r="J988" s="320">
        <v>60.47</v>
      </c>
      <c r="K988" s="320">
        <v>34.28</v>
      </c>
      <c r="L988" s="320">
        <v>14.31</v>
      </c>
      <c r="M988" s="320">
        <v>0.4174</v>
      </c>
      <c r="N988" s="320">
        <v>0.6471</v>
      </c>
      <c r="O988" s="320">
        <v>0.3724</v>
      </c>
      <c r="P988" s="320">
        <v>2.3956</v>
      </c>
      <c r="Q988" s="320">
        <v>189.63</v>
      </c>
      <c r="R988" s="320">
        <v>159.81</v>
      </c>
      <c r="S988" s="320">
        <v>29.83</v>
      </c>
      <c r="T988" s="320">
        <v>72.07</v>
      </c>
      <c r="U988" s="320">
        <v>117.57</v>
      </c>
      <c r="V988" s="320">
        <v>185.71</v>
      </c>
      <c r="W988" s="320">
        <v>5.4169</v>
      </c>
      <c r="X988" s="320">
        <v>38.0</v>
      </c>
      <c r="Y988" s="320">
        <v>85.0</v>
      </c>
      <c r="Z988" s="320">
        <v>196.0</v>
      </c>
      <c r="AA988" s="320">
        <v>593.0</v>
      </c>
      <c r="AB988" s="320">
        <v>52.3521</v>
      </c>
      <c r="AC988" s="320">
        <v>0.5371</v>
      </c>
      <c r="AD988" s="320">
        <v>9.1</v>
      </c>
      <c r="AE988" s="320">
        <v>3.0</v>
      </c>
      <c r="AF988" s="320">
        <v>7.0</v>
      </c>
      <c r="AG988" s="320">
        <v>12.0</v>
      </c>
      <c r="AH988" s="320">
        <v>20.0</v>
      </c>
      <c r="AI988" s="320">
        <v>55.69</v>
      </c>
      <c r="AJ988" s="320">
        <v>25.16</v>
      </c>
      <c r="AK988" s="320">
        <v>5.01</v>
      </c>
      <c r="AL988" s="320">
        <v>0.221</v>
      </c>
      <c r="AM988" s="320">
        <v>22.26</v>
      </c>
      <c r="AN988" s="320">
        <v>137.55</v>
      </c>
      <c r="AO988" s="320">
        <v>73.95</v>
      </c>
      <c r="AP988" s="320">
        <v>16.46</v>
      </c>
    </row>
    <row r="989">
      <c r="A989" s="319" t="s">
        <v>258</v>
      </c>
      <c r="B989" s="328">
        <v>46094.0</v>
      </c>
      <c r="C989" s="319" t="s">
        <v>216</v>
      </c>
      <c r="D989" s="320">
        <v>8520.0</v>
      </c>
      <c r="E989" s="320">
        <v>11.21</v>
      </c>
      <c r="F989" s="320">
        <v>21526.96</v>
      </c>
      <c r="G989" s="320">
        <v>2.5266</v>
      </c>
      <c r="H989" s="320">
        <v>33.81</v>
      </c>
      <c r="I989" s="320">
        <v>7.472</v>
      </c>
      <c r="J989" s="320">
        <v>87.96</v>
      </c>
      <c r="K989" s="320">
        <v>51.68</v>
      </c>
      <c r="L989" s="320">
        <v>27.37</v>
      </c>
      <c r="M989" s="320">
        <v>0.5297</v>
      </c>
      <c r="N989" s="320">
        <v>0.5418</v>
      </c>
      <c r="O989" s="320">
        <v>0.2989</v>
      </c>
      <c r="P989" s="320">
        <v>1.8879</v>
      </c>
      <c r="Q989" s="320">
        <v>346.2</v>
      </c>
      <c r="R989" s="320">
        <v>288.5</v>
      </c>
      <c r="S989" s="320">
        <v>57.7</v>
      </c>
      <c r="T989" s="320">
        <v>165.36</v>
      </c>
      <c r="U989" s="320">
        <v>180.84</v>
      </c>
      <c r="V989" s="320">
        <v>346.72</v>
      </c>
      <c r="W989" s="320">
        <v>6.7093</v>
      </c>
      <c r="X989" s="320">
        <v>47.76</v>
      </c>
      <c r="Y989" s="320">
        <v>90.0</v>
      </c>
      <c r="Z989" s="320">
        <v>228.0</v>
      </c>
      <c r="AA989" s="320">
        <v>669.0</v>
      </c>
      <c r="AB989" s="320">
        <v>54.6305</v>
      </c>
      <c r="AC989" s="320">
        <v>0.6449</v>
      </c>
      <c r="AD989" s="320">
        <v>17.4</v>
      </c>
      <c r="AE989" s="320">
        <v>6.0</v>
      </c>
      <c r="AF989" s="320">
        <v>13.0</v>
      </c>
      <c r="AG989" s="320">
        <v>24.0</v>
      </c>
      <c r="AH989" s="320">
        <v>37.0</v>
      </c>
      <c r="AI989" s="320">
        <v>56.89</v>
      </c>
      <c r="AJ989" s="320">
        <v>23.25</v>
      </c>
      <c r="AK989" s="320">
        <v>7.3</v>
      </c>
      <c r="AL989" s="320">
        <v>0.2086</v>
      </c>
      <c r="AM989" s="320">
        <v>21.12</v>
      </c>
      <c r="AN989" s="320">
        <v>267.38</v>
      </c>
      <c r="AO989" s="320">
        <v>75.85</v>
      </c>
      <c r="AP989" s="320">
        <v>16.02</v>
      </c>
    </row>
    <row r="990">
      <c r="A990" s="319" t="s">
        <v>258</v>
      </c>
      <c r="B990" s="328">
        <v>46094.0</v>
      </c>
      <c r="C990" s="319" t="s">
        <v>217</v>
      </c>
      <c r="D990" s="320">
        <v>3546.0</v>
      </c>
      <c r="E990" s="320">
        <v>4.66</v>
      </c>
      <c r="F990" s="320">
        <v>20911.0</v>
      </c>
      <c r="G990" s="320">
        <v>5.8971</v>
      </c>
      <c r="H990" s="320">
        <v>43.71</v>
      </c>
      <c r="I990" s="320">
        <v>13.491</v>
      </c>
      <c r="J990" s="320">
        <v>132.01</v>
      </c>
      <c r="K990" s="320">
        <v>81.28</v>
      </c>
      <c r="L990" s="320">
        <v>54.61</v>
      </c>
      <c r="M990" s="320">
        <v>0.6719</v>
      </c>
      <c r="N990" s="320">
        <v>0.4134</v>
      </c>
      <c r="O990" s="320">
        <v>0.2301</v>
      </c>
      <c r="P990" s="320">
        <v>1.4884</v>
      </c>
      <c r="Q990" s="320">
        <v>663.98</v>
      </c>
      <c r="R990" s="320">
        <v>549.09</v>
      </c>
      <c r="S990" s="320">
        <v>114.89</v>
      </c>
      <c r="T990" s="320">
        <v>367.89</v>
      </c>
      <c r="U990" s="320">
        <v>296.1</v>
      </c>
      <c r="V990" s="320">
        <v>689.93</v>
      </c>
      <c r="W990" s="320">
        <v>8.488</v>
      </c>
      <c r="X990" s="320">
        <v>55.41</v>
      </c>
      <c r="Y990" s="320">
        <v>102.0</v>
      </c>
      <c r="Z990" s="320">
        <v>319.0</v>
      </c>
      <c r="AA990" s="320">
        <v>965.0</v>
      </c>
      <c r="AB990" s="320">
        <v>57.7124</v>
      </c>
      <c r="AC990" s="320">
        <v>0.7558</v>
      </c>
      <c r="AD990" s="320">
        <v>36.36</v>
      </c>
      <c r="AE990" s="320">
        <v>12.0</v>
      </c>
      <c r="AF990" s="320">
        <v>27.0</v>
      </c>
      <c r="AG990" s="320">
        <v>52.0</v>
      </c>
      <c r="AH990" s="320">
        <v>79.0</v>
      </c>
      <c r="AI990" s="320">
        <v>49.38</v>
      </c>
      <c r="AJ990" s="320">
        <v>19.57</v>
      </c>
      <c r="AK990" s="320">
        <v>4.77</v>
      </c>
      <c r="AL990" s="320">
        <v>0.1977</v>
      </c>
      <c r="AM990" s="320">
        <v>21.02</v>
      </c>
      <c r="AN990" s="320">
        <v>528.07</v>
      </c>
      <c r="AO990" s="320">
        <v>75.9</v>
      </c>
      <c r="AP990" s="320">
        <v>15.95</v>
      </c>
    </row>
    <row r="991">
      <c r="A991" s="319" t="s">
        <v>258</v>
      </c>
      <c r="B991" s="328">
        <v>46094.0</v>
      </c>
      <c r="C991" s="319" t="s">
        <v>218</v>
      </c>
      <c r="D991" s="320">
        <v>385.0</v>
      </c>
      <c r="E991" s="320">
        <v>0.51</v>
      </c>
      <c r="F991" s="320">
        <v>4208.1</v>
      </c>
      <c r="G991" s="320">
        <v>10.9301</v>
      </c>
      <c r="H991" s="320">
        <v>45.97</v>
      </c>
      <c r="I991" s="320">
        <v>23.7746</v>
      </c>
      <c r="J991" s="320">
        <v>240.96</v>
      </c>
      <c r="K991" s="320">
        <v>154.5</v>
      </c>
      <c r="L991" s="320">
        <v>124.49</v>
      </c>
      <c r="M991" s="320">
        <v>0.8057</v>
      </c>
      <c r="N991" s="320">
        <v>0.2817</v>
      </c>
      <c r="O991" s="320">
        <v>0.1697</v>
      </c>
      <c r="P991" s="320">
        <v>1.2411</v>
      </c>
      <c r="Q991" s="320">
        <v>1277.69</v>
      </c>
      <c r="R991" s="320">
        <v>1015.34</v>
      </c>
      <c r="S991" s="320">
        <v>262.35</v>
      </c>
      <c r="T991" s="320">
        <v>679.31</v>
      </c>
      <c r="U991" s="320">
        <v>598.38</v>
      </c>
      <c r="V991" s="320">
        <v>1306.23</v>
      </c>
      <c r="W991" s="320">
        <v>8.4545</v>
      </c>
      <c r="X991" s="320">
        <v>53.17</v>
      </c>
      <c r="Y991" s="320">
        <v>160.0</v>
      </c>
      <c r="Z991" s="320">
        <v>604.0</v>
      </c>
      <c r="AA991" s="320">
        <v>1861.0</v>
      </c>
      <c r="AB991" s="320">
        <v>61.5934</v>
      </c>
      <c r="AC991" s="320">
        <v>0.8393</v>
      </c>
      <c r="AD991" s="320">
        <v>85.8</v>
      </c>
      <c r="AE991" s="320">
        <v>28.0</v>
      </c>
      <c r="AF991" s="320">
        <v>66.0</v>
      </c>
      <c r="AG991" s="320">
        <v>126.0</v>
      </c>
      <c r="AH991" s="320">
        <v>187.0</v>
      </c>
      <c r="AI991" s="320">
        <v>44.16</v>
      </c>
      <c r="AJ991" s="320">
        <v>11.95</v>
      </c>
      <c r="AK991" s="320">
        <v>1.56</v>
      </c>
      <c r="AL991" s="320">
        <v>0.161</v>
      </c>
      <c r="AM991" s="320">
        <v>21.26</v>
      </c>
      <c r="AN991" s="320">
        <v>994.08</v>
      </c>
      <c r="AO991" s="320">
        <v>75.58</v>
      </c>
      <c r="AP991" s="320">
        <v>16.07</v>
      </c>
    </row>
    <row r="992">
      <c r="A992" s="319" t="s">
        <v>258</v>
      </c>
      <c r="B992" s="328">
        <v>46095.0</v>
      </c>
      <c r="C992" s="319" t="s">
        <v>257</v>
      </c>
      <c r="D992" s="320">
        <v>15580.0</v>
      </c>
      <c r="E992" s="320">
        <v>20.74</v>
      </c>
      <c r="F992" s="320">
        <v>155.89</v>
      </c>
      <c r="G992" s="320">
        <v>0.01</v>
      </c>
      <c r="H992" s="320">
        <v>0.24</v>
      </c>
      <c r="I992" s="320">
        <v>4.1024</v>
      </c>
      <c r="J992" s="320">
        <v>6.03</v>
      </c>
      <c r="K992" s="320">
        <v>2.63</v>
      </c>
      <c r="L992" s="320">
        <v>0.03</v>
      </c>
      <c r="M992" s="320">
        <v>0.0124</v>
      </c>
      <c r="N992" s="320">
        <v>0.9889</v>
      </c>
      <c r="O992" s="320">
        <v>0.8515</v>
      </c>
      <c r="P992" s="320">
        <v>80.83</v>
      </c>
      <c r="Q992" s="320">
        <v>27.23</v>
      </c>
      <c r="R992" s="320">
        <v>27.14</v>
      </c>
      <c r="S992" s="320">
        <v>0.09</v>
      </c>
      <c r="T992" s="320">
        <v>0.8</v>
      </c>
      <c r="U992" s="320">
        <v>26.42</v>
      </c>
      <c r="V992" s="320">
        <v>1.97</v>
      </c>
      <c r="W992" s="320">
        <v>0.7518</v>
      </c>
      <c r="X992" s="320">
        <v>2.95</v>
      </c>
      <c r="Y992" s="320">
        <v>155.0</v>
      </c>
      <c r="Z992" s="320">
        <v>1061.0</v>
      </c>
      <c r="AA992" s="320">
        <v>7137.0</v>
      </c>
      <c r="AB992" s="320">
        <v>49.971</v>
      </c>
      <c r="AC992" s="320">
        <v>0.5057</v>
      </c>
      <c r="AD992" s="329"/>
      <c r="AE992" s="329"/>
      <c r="AF992" s="329"/>
      <c r="AG992" s="329"/>
      <c r="AH992" s="329"/>
      <c r="AI992" s="320">
        <v>0.0</v>
      </c>
      <c r="AJ992" s="320">
        <v>0.0</v>
      </c>
      <c r="AK992" s="320">
        <v>0.0</v>
      </c>
      <c r="AL992" s="320">
        <v>0.2775</v>
      </c>
      <c r="AM992" s="320">
        <v>17.86</v>
      </c>
      <c r="AN992" s="320">
        <v>9.28</v>
      </c>
      <c r="AO992" s="329"/>
      <c r="AP992" s="329"/>
    </row>
    <row r="993">
      <c r="A993" s="319" t="s">
        <v>258</v>
      </c>
      <c r="B993" s="328">
        <v>46095.0</v>
      </c>
      <c r="C993" s="319" t="s">
        <v>214</v>
      </c>
      <c r="D993" s="320">
        <v>32122.0</v>
      </c>
      <c r="E993" s="320">
        <v>42.77</v>
      </c>
      <c r="F993" s="320">
        <v>7784.16</v>
      </c>
      <c r="G993" s="320">
        <v>0.2423</v>
      </c>
      <c r="H993" s="320">
        <v>7.15</v>
      </c>
      <c r="I993" s="320">
        <v>3.3874</v>
      </c>
      <c r="J993" s="320">
        <v>32.01</v>
      </c>
      <c r="K993" s="320">
        <v>17.08</v>
      </c>
      <c r="L993" s="320">
        <v>5.56</v>
      </c>
      <c r="M993" s="320">
        <v>0.3254</v>
      </c>
      <c r="N993" s="320">
        <v>0.7468</v>
      </c>
      <c r="O993" s="320">
        <v>0.4996</v>
      </c>
      <c r="P993" s="320">
        <v>3.0729</v>
      </c>
      <c r="Q993" s="320">
        <v>75.59</v>
      </c>
      <c r="R993" s="320">
        <v>64.15</v>
      </c>
      <c r="S993" s="320">
        <v>11.44</v>
      </c>
      <c r="T993" s="320">
        <v>17.15</v>
      </c>
      <c r="U993" s="320">
        <v>58.43</v>
      </c>
      <c r="V993" s="320">
        <v>79.14</v>
      </c>
      <c r="W993" s="320">
        <v>4.6345</v>
      </c>
      <c r="X993" s="320">
        <v>22.69</v>
      </c>
      <c r="Y993" s="320">
        <v>87.0</v>
      </c>
      <c r="Z993" s="320">
        <v>216.0</v>
      </c>
      <c r="AA993" s="320">
        <v>870.0</v>
      </c>
      <c r="AB993" s="320">
        <v>49.7629</v>
      </c>
      <c r="AC993" s="320">
        <v>0.4474</v>
      </c>
      <c r="AD993" s="320">
        <v>3.69</v>
      </c>
      <c r="AE993" s="320">
        <v>1.0</v>
      </c>
      <c r="AF993" s="320">
        <v>2.0</v>
      </c>
      <c r="AG993" s="320">
        <v>5.0</v>
      </c>
      <c r="AH993" s="320">
        <v>8.0</v>
      </c>
      <c r="AI993" s="320">
        <v>67.53</v>
      </c>
      <c r="AJ993" s="320">
        <v>26.17</v>
      </c>
      <c r="AK993" s="320">
        <v>7.93</v>
      </c>
      <c r="AL993" s="320">
        <v>0.2125</v>
      </c>
      <c r="AM993" s="320">
        <v>23.39</v>
      </c>
      <c r="AN993" s="320">
        <v>40.76</v>
      </c>
      <c r="AO993" s="320">
        <v>68.96</v>
      </c>
      <c r="AP993" s="320">
        <v>16.13</v>
      </c>
    </row>
    <row r="994">
      <c r="A994" s="319" t="s">
        <v>258</v>
      </c>
      <c r="B994" s="328">
        <v>46095.0</v>
      </c>
      <c r="C994" s="319" t="s">
        <v>215</v>
      </c>
      <c r="D994" s="320">
        <v>15086.0</v>
      </c>
      <c r="E994" s="320">
        <v>20.09</v>
      </c>
      <c r="F994" s="320">
        <v>16027.13</v>
      </c>
      <c r="G994" s="320">
        <v>1.0624</v>
      </c>
      <c r="H994" s="320">
        <v>21.78</v>
      </c>
      <c r="I994" s="320">
        <v>4.8774</v>
      </c>
      <c r="J994" s="320">
        <v>56.53</v>
      </c>
      <c r="K994" s="320">
        <v>32.18</v>
      </c>
      <c r="L994" s="320">
        <v>14.07</v>
      </c>
      <c r="M994" s="320">
        <v>0.4371</v>
      </c>
      <c r="N994" s="320">
        <v>0.6312</v>
      </c>
      <c r="O994" s="320">
        <v>0.3636</v>
      </c>
      <c r="P994" s="320">
        <v>2.2878</v>
      </c>
      <c r="Q994" s="320">
        <v>178.7</v>
      </c>
      <c r="R994" s="320">
        <v>149.43</v>
      </c>
      <c r="S994" s="320">
        <v>29.27</v>
      </c>
      <c r="T994" s="320">
        <v>72.43</v>
      </c>
      <c r="U994" s="320">
        <v>106.27</v>
      </c>
      <c r="V994" s="320">
        <v>185.17</v>
      </c>
      <c r="W994" s="320">
        <v>5.7541</v>
      </c>
      <c r="X994" s="320">
        <v>40.53</v>
      </c>
      <c r="Y994" s="320">
        <v>84.0</v>
      </c>
      <c r="Z994" s="320">
        <v>203.0</v>
      </c>
      <c r="AA994" s="320">
        <v>659.0</v>
      </c>
      <c r="AB994" s="320">
        <v>52.5009</v>
      </c>
      <c r="AC994" s="320">
        <v>0.5484</v>
      </c>
      <c r="AD994" s="320">
        <v>9.27</v>
      </c>
      <c r="AE994" s="320">
        <v>3.0</v>
      </c>
      <c r="AF994" s="320">
        <v>7.0</v>
      </c>
      <c r="AG994" s="320">
        <v>13.0</v>
      </c>
      <c r="AH994" s="320">
        <v>20.0</v>
      </c>
      <c r="AI994" s="320">
        <v>55.72</v>
      </c>
      <c r="AJ994" s="320">
        <v>26.1</v>
      </c>
      <c r="AK994" s="320">
        <v>5.65</v>
      </c>
      <c r="AL994" s="320">
        <v>0.2065</v>
      </c>
      <c r="AM994" s="320">
        <v>23.21</v>
      </c>
      <c r="AN994" s="320">
        <v>126.22</v>
      </c>
      <c r="AO994" s="320">
        <v>73.31</v>
      </c>
      <c r="AP994" s="320">
        <v>17.02</v>
      </c>
    </row>
    <row r="995">
      <c r="A995" s="319" t="s">
        <v>258</v>
      </c>
      <c r="B995" s="328">
        <v>46095.0</v>
      </c>
      <c r="C995" s="319" t="s">
        <v>216</v>
      </c>
      <c r="D995" s="320">
        <v>8452.0</v>
      </c>
      <c r="E995" s="320">
        <v>11.25</v>
      </c>
      <c r="F995" s="320">
        <v>20782.27</v>
      </c>
      <c r="G995" s="320">
        <v>2.4589</v>
      </c>
      <c r="H995" s="320">
        <v>32.83</v>
      </c>
      <c r="I995" s="320">
        <v>7.4891</v>
      </c>
      <c r="J995" s="320">
        <v>82.41</v>
      </c>
      <c r="K995" s="320">
        <v>48.87</v>
      </c>
      <c r="L995" s="320">
        <v>26.7</v>
      </c>
      <c r="M995" s="320">
        <v>0.5464</v>
      </c>
      <c r="N995" s="320">
        <v>0.5292</v>
      </c>
      <c r="O995" s="320">
        <v>0.2911</v>
      </c>
      <c r="P995" s="320">
        <v>1.8302</v>
      </c>
      <c r="Q995" s="320">
        <v>339.0</v>
      </c>
      <c r="R995" s="320">
        <v>282.48</v>
      </c>
      <c r="S995" s="320">
        <v>56.52</v>
      </c>
      <c r="T995" s="320">
        <v>160.66</v>
      </c>
      <c r="U995" s="320">
        <v>178.34</v>
      </c>
      <c r="V995" s="320">
        <v>350.83</v>
      </c>
      <c r="W995" s="320">
        <v>7.1785</v>
      </c>
      <c r="X995" s="320">
        <v>47.39</v>
      </c>
      <c r="Y995" s="320">
        <v>88.0</v>
      </c>
      <c r="Z995" s="320">
        <v>231.0</v>
      </c>
      <c r="AA995" s="320">
        <v>651.0</v>
      </c>
      <c r="AB995" s="320">
        <v>54.4892</v>
      </c>
      <c r="AC995" s="320">
        <v>0.6583</v>
      </c>
      <c r="AD995" s="320">
        <v>17.74</v>
      </c>
      <c r="AE995" s="320">
        <v>6.0</v>
      </c>
      <c r="AF995" s="320">
        <v>13.0</v>
      </c>
      <c r="AG995" s="320">
        <v>25.0</v>
      </c>
      <c r="AH995" s="320">
        <v>38.0</v>
      </c>
      <c r="AI995" s="320">
        <v>56.16</v>
      </c>
      <c r="AJ995" s="320">
        <v>24.37</v>
      </c>
      <c r="AK995" s="320">
        <v>8.06</v>
      </c>
      <c r="AL995" s="320">
        <v>0.2088</v>
      </c>
      <c r="AM995" s="320">
        <v>21.88</v>
      </c>
      <c r="AN995" s="320">
        <v>260.6</v>
      </c>
      <c r="AO995" s="320">
        <v>74.44</v>
      </c>
      <c r="AP995" s="320">
        <v>16.29</v>
      </c>
    </row>
    <row r="996">
      <c r="A996" s="319" t="s">
        <v>258</v>
      </c>
      <c r="B996" s="328">
        <v>46095.0</v>
      </c>
      <c r="C996" s="319" t="s">
        <v>217</v>
      </c>
      <c r="D996" s="320">
        <v>3445.0</v>
      </c>
      <c r="E996" s="320">
        <v>4.59</v>
      </c>
      <c r="F996" s="320">
        <v>18539.85</v>
      </c>
      <c r="G996" s="320">
        <v>5.3817</v>
      </c>
      <c r="H996" s="320">
        <v>41.65</v>
      </c>
      <c r="I996" s="320">
        <v>12.9198</v>
      </c>
      <c r="J996" s="320">
        <v>125.87</v>
      </c>
      <c r="K996" s="320">
        <v>78.01</v>
      </c>
      <c r="L996" s="320">
        <v>54.54</v>
      </c>
      <c r="M996" s="320">
        <v>0.6991</v>
      </c>
      <c r="N996" s="320">
        <v>0.3892</v>
      </c>
      <c r="O996" s="320">
        <v>0.2236</v>
      </c>
      <c r="P996" s="320">
        <v>1.4304</v>
      </c>
      <c r="Q996" s="320">
        <v>663.44</v>
      </c>
      <c r="R996" s="320">
        <v>548.89</v>
      </c>
      <c r="S996" s="320">
        <v>114.55</v>
      </c>
      <c r="T996" s="320">
        <v>335.53</v>
      </c>
      <c r="U996" s="320">
        <v>327.9</v>
      </c>
      <c r="V996" s="320">
        <v>686.68</v>
      </c>
      <c r="W996" s="320">
        <v>8.8023</v>
      </c>
      <c r="X996" s="320">
        <v>50.58</v>
      </c>
      <c r="Y996" s="320">
        <v>103.0</v>
      </c>
      <c r="Z996" s="320">
        <v>334.0</v>
      </c>
      <c r="AA996" s="320">
        <v>931.0</v>
      </c>
      <c r="AB996" s="320">
        <v>57.727</v>
      </c>
      <c r="AC996" s="320">
        <v>0.7671</v>
      </c>
      <c r="AD996" s="320">
        <v>36.96</v>
      </c>
      <c r="AE996" s="320">
        <v>12.0</v>
      </c>
      <c r="AF996" s="320">
        <v>27.0</v>
      </c>
      <c r="AG996" s="320">
        <v>51.0</v>
      </c>
      <c r="AH996" s="320">
        <v>80.0</v>
      </c>
      <c r="AI996" s="320">
        <v>50.1</v>
      </c>
      <c r="AJ996" s="320">
        <v>19.74</v>
      </c>
      <c r="AK996" s="320">
        <v>5.11</v>
      </c>
      <c r="AL996" s="320">
        <v>0.1736</v>
      </c>
      <c r="AM996" s="320">
        <v>22.41</v>
      </c>
      <c r="AN996" s="320">
        <v>526.48</v>
      </c>
      <c r="AO996" s="320">
        <v>74.7</v>
      </c>
      <c r="AP996" s="320">
        <v>16.74</v>
      </c>
    </row>
    <row r="997">
      <c r="A997" s="319" t="s">
        <v>258</v>
      </c>
      <c r="B997" s="328">
        <v>46095.0</v>
      </c>
      <c r="C997" s="319" t="s">
        <v>218</v>
      </c>
      <c r="D997" s="320">
        <v>420.0</v>
      </c>
      <c r="E997" s="320">
        <v>0.56</v>
      </c>
      <c r="F997" s="320">
        <v>3599.69</v>
      </c>
      <c r="G997" s="320">
        <v>8.5707</v>
      </c>
      <c r="H997" s="320">
        <v>42.14</v>
      </c>
      <c r="I997" s="320">
        <v>20.3372</v>
      </c>
      <c r="J997" s="320">
        <v>228.93</v>
      </c>
      <c r="K997" s="320">
        <v>147.64</v>
      </c>
      <c r="L997" s="320">
        <v>122.86</v>
      </c>
      <c r="M997" s="320">
        <v>0.8322</v>
      </c>
      <c r="N997" s="320">
        <v>0.2553</v>
      </c>
      <c r="O997" s="320">
        <v>0.1613</v>
      </c>
      <c r="P997" s="320">
        <v>1.2017</v>
      </c>
      <c r="Q997" s="320">
        <v>1200.92</v>
      </c>
      <c r="R997" s="320">
        <v>942.31</v>
      </c>
      <c r="S997" s="320">
        <v>258.61</v>
      </c>
      <c r="T997" s="320">
        <v>547.1</v>
      </c>
      <c r="U997" s="320">
        <v>653.83</v>
      </c>
      <c r="V997" s="320">
        <v>1225.83</v>
      </c>
      <c r="W997" s="320">
        <v>8.3031</v>
      </c>
      <c r="X997" s="320">
        <v>45.56</v>
      </c>
      <c r="Y997" s="320">
        <v>140.0</v>
      </c>
      <c r="Z997" s="320">
        <v>615.0</v>
      </c>
      <c r="AA997" s="320">
        <v>2210.0</v>
      </c>
      <c r="AB997" s="320">
        <v>61.239</v>
      </c>
      <c r="AC997" s="320">
        <v>0.8518</v>
      </c>
      <c r="AD997" s="320">
        <v>84.96</v>
      </c>
      <c r="AE997" s="320">
        <v>32.0</v>
      </c>
      <c r="AF997" s="320">
        <v>68.0</v>
      </c>
      <c r="AG997" s="320">
        <v>120.0</v>
      </c>
      <c r="AH997" s="320">
        <v>183.0</v>
      </c>
      <c r="AI997" s="320">
        <v>43.1</v>
      </c>
      <c r="AJ997" s="320">
        <v>12.38</v>
      </c>
      <c r="AK997" s="320">
        <v>1.43</v>
      </c>
      <c r="AL997" s="320">
        <v>0.1762</v>
      </c>
      <c r="AM997" s="320">
        <v>22.3</v>
      </c>
      <c r="AN997" s="320">
        <v>920.02</v>
      </c>
      <c r="AO997" s="320">
        <v>68.95</v>
      </c>
      <c r="AP997" s="320">
        <v>15.38</v>
      </c>
    </row>
    <row r="998">
      <c r="A998" s="319" t="s">
        <v>258</v>
      </c>
      <c r="B998" s="328">
        <v>46096.0</v>
      </c>
      <c r="C998" s="319" t="s">
        <v>257</v>
      </c>
      <c r="D998" s="320">
        <v>15638.0</v>
      </c>
      <c r="E998" s="320">
        <v>20.42</v>
      </c>
      <c r="F998" s="320">
        <v>117.08</v>
      </c>
      <c r="G998" s="320">
        <v>0.0075</v>
      </c>
      <c r="H998" s="320">
        <v>0.18</v>
      </c>
      <c r="I998" s="320">
        <v>4.1814</v>
      </c>
      <c r="J998" s="320">
        <v>6.58</v>
      </c>
      <c r="K998" s="320">
        <v>2.9</v>
      </c>
      <c r="L998" s="320">
        <v>0.03</v>
      </c>
      <c r="M998" s="320">
        <v>0.0106</v>
      </c>
      <c r="N998" s="320">
        <v>0.9902</v>
      </c>
      <c r="O998" s="320">
        <v>0.8493</v>
      </c>
      <c r="P998" s="320">
        <v>94.1286</v>
      </c>
      <c r="Q998" s="320">
        <v>24.27</v>
      </c>
      <c r="R998" s="320">
        <v>24.22</v>
      </c>
      <c r="S998" s="320">
        <v>0.05</v>
      </c>
      <c r="T998" s="320">
        <v>0.59</v>
      </c>
      <c r="U998" s="320">
        <v>23.67</v>
      </c>
      <c r="V998" s="320">
        <v>1.66</v>
      </c>
      <c r="W998" s="320">
        <v>0.5709</v>
      </c>
      <c r="X998" s="320">
        <v>2.45</v>
      </c>
      <c r="Y998" s="320">
        <v>147.0</v>
      </c>
      <c r="Z998" s="320">
        <v>1063.0</v>
      </c>
      <c r="AA998" s="320">
        <v>7267.0</v>
      </c>
      <c r="AB998" s="320">
        <v>50.1218</v>
      </c>
      <c r="AC998" s="320">
        <v>0.5186</v>
      </c>
      <c r="AD998" s="329"/>
      <c r="AE998" s="329"/>
      <c r="AF998" s="329"/>
      <c r="AG998" s="329"/>
      <c r="AH998" s="329"/>
      <c r="AI998" s="320">
        <v>0.0</v>
      </c>
      <c r="AJ998" s="320">
        <v>0.0</v>
      </c>
      <c r="AK998" s="320">
        <v>0.0</v>
      </c>
      <c r="AL998" s="320">
        <v>0.2805</v>
      </c>
      <c r="AM998" s="320">
        <v>17.67</v>
      </c>
      <c r="AN998" s="320">
        <v>6.55</v>
      </c>
      <c r="AO998" s="329"/>
      <c r="AP998" s="329"/>
    </row>
    <row r="999">
      <c r="A999" s="319" t="s">
        <v>258</v>
      </c>
      <c r="B999" s="328">
        <v>46096.0</v>
      </c>
      <c r="C999" s="319" t="s">
        <v>214</v>
      </c>
      <c r="D999" s="320">
        <v>32927.0</v>
      </c>
      <c r="E999" s="320">
        <v>43.0</v>
      </c>
      <c r="F999" s="320">
        <v>7230.88</v>
      </c>
      <c r="G999" s="320">
        <v>0.2196</v>
      </c>
      <c r="H999" s="320">
        <v>6.76</v>
      </c>
      <c r="I999" s="320">
        <v>3.2484</v>
      </c>
      <c r="J999" s="320">
        <v>35.38</v>
      </c>
      <c r="K999" s="320">
        <v>19.27</v>
      </c>
      <c r="L999" s="320">
        <v>5.53</v>
      </c>
      <c r="M999" s="320">
        <v>0.2871</v>
      </c>
      <c r="N999" s="320">
        <v>0.7746</v>
      </c>
      <c r="O999" s="320">
        <v>0.5189</v>
      </c>
      <c r="P999" s="320">
        <v>3.4835</v>
      </c>
      <c r="Q999" s="320">
        <v>65.45</v>
      </c>
      <c r="R999" s="320">
        <v>53.96</v>
      </c>
      <c r="S999" s="320">
        <v>11.49</v>
      </c>
      <c r="T999" s="320">
        <v>15.41</v>
      </c>
      <c r="U999" s="320">
        <v>50.04</v>
      </c>
      <c r="V999" s="320">
        <v>73.65</v>
      </c>
      <c r="W999" s="320">
        <v>3.8216</v>
      </c>
      <c r="X999" s="320">
        <v>23.55</v>
      </c>
      <c r="Y999" s="320">
        <v>84.0</v>
      </c>
      <c r="Z999" s="320">
        <v>197.0</v>
      </c>
      <c r="AA999" s="320">
        <v>862.0</v>
      </c>
      <c r="AB999" s="320">
        <v>49.7606</v>
      </c>
      <c r="AC999" s="320">
        <v>0.4472</v>
      </c>
      <c r="AD999" s="320">
        <v>3.58</v>
      </c>
      <c r="AE999" s="320">
        <v>1.0</v>
      </c>
      <c r="AF999" s="320">
        <v>2.0</v>
      </c>
      <c r="AG999" s="320">
        <v>5.0</v>
      </c>
      <c r="AH999" s="320">
        <v>8.0</v>
      </c>
      <c r="AI999" s="320">
        <v>67.34</v>
      </c>
      <c r="AJ999" s="320">
        <v>25.29</v>
      </c>
      <c r="AK999" s="320">
        <v>7.1</v>
      </c>
      <c r="AL999" s="320">
        <v>0.2254</v>
      </c>
      <c r="AM999" s="320">
        <v>21.49</v>
      </c>
      <c r="AN999" s="320">
        <v>32.46</v>
      </c>
      <c r="AO999" s="320">
        <v>68.41</v>
      </c>
      <c r="AP999" s="320">
        <v>14.7</v>
      </c>
    </row>
    <row r="1000">
      <c r="A1000" s="319" t="s">
        <v>258</v>
      </c>
      <c r="B1000" s="328">
        <v>46096.0</v>
      </c>
      <c r="C1000" s="319" t="s">
        <v>215</v>
      </c>
      <c r="D1000" s="320">
        <v>15496.0</v>
      </c>
      <c r="E1000" s="320">
        <v>20.24</v>
      </c>
      <c r="F1000" s="320">
        <v>16149.29</v>
      </c>
      <c r="G1000" s="320">
        <v>1.0422</v>
      </c>
      <c r="H1000" s="320">
        <v>21.56</v>
      </c>
      <c r="I1000" s="320">
        <v>4.8337</v>
      </c>
      <c r="J1000" s="320">
        <v>63.53</v>
      </c>
      <c r="K1000" s="320">
        <v>36.6</v>
      </c>
      <c r="L1000" s="320">
        <v>14.4</v>
      </c>
      <c r="M1000" s="320">
        <v>0.3934</v>
      </c>
      <c r="N1000" s="320">
        <v>0.6644</v>
      </c>
      <c r="O1000" s="320">
        <v>0.3794</v>
      </c>
      <c r="P1000" s="320">
        <v>2.542</v>
      </c>
      <c r="Q1000" s="320">
        <v>158.96</v>
      </c>
      <c r="R1000" s="320">
        <v>128.89</v>
      </c>
      <c r="S1000" s="320">
        <v>30.06</v>
      </c>
      <c r="T1000" s="320">
        <v>70.69</v>
      </c>
      <c r="U1000" s="320">
        <v>88.26</v>
      </c>
      <c r="V1000" s="320">
        <v>175.52</v>
      </c>
      <c r="W1000" s="320">
        <v>4.796</v>
      </c>
      <c r="X1000" s="320">
        <v>44.47</v>
      </c>
      <c r="Y1000" s="320">
        <v>80.0</v>
      </c>
      <c r="Z1000" s="320">
        <v>172.0</v>
      </c>
      <c r="AA1000" s="320">
        <v>593.0</v>
      </c>
      <c r="AB1000" s="320">
        <v>52.4347</v>
      </c>
      <c r="AC1000" s="320">
        <v>0.5527</v>
      </c>
      <c r="AD1000" s="320">
        <v>9.11</v>
      </c>
      <c r="AE1000" s="320">
        <v>3.0</v>
      </c>
      <c r="AF1000" s="320">
        <v>6.0</v>
      </c>
      <c r="AG1000" s="320">
        <v>13.0</v>
      </c>
      <c r="AH1000" s="320">
        <v>20.0</v>
      </c>
      <c r="AI1000" s="320">
        <v>54.99</v>
      </c>
      <c r="AJ1000" s="320">
        <v>25.29</v>
      </c>
      <c r="AK1000" s="320">
        <v>5.38</v>
      </c>
      <c r="AL1000" s="320">
        <v>0.2194</v>
      </c>
      <c r="AM1000" s="320">
        <v>21.79</v>
      </c>
      <c r="AN1000" s="320">
        <v>107.1</v>
      </c>
      <c r="AO1000" s="320">
        <v>72.68</v>
      </c>
      <c r="AP1000" s="320">
        <v>15.84</v>
      </c>
    </row>
    <row r="1001">
      <c r="A1001" s="319" t="s">
        <v>258</v>
      </c>
      <c r="B1001" s="328">
        <v>46096.0</v>
      </c>
      <c r="C1001" s="319" t="s">
        <v>216</v>
      </c>
      <c r="D1001" s="320">
        <v>8483.0</v>
      </c>
      <c r="E1001" s="320">
        <v>11.08</v>
      </c>
      <c r="F1001" s="320">
        <v>23594.86</v>
      </c>
      <c r="G1001" s="320">
        <v>2.7814</v>
      </c>
      <c r="H1001" s="320">
        <v>34.85</v>
      </c>
      <c r="I1001" s="320">
        <v>7.982</v>
      </c>
      <c r="J1001" s="320">
        <v>89.68</v>
      </c>
      <c r="K1001" s="320">
        <v>53.95</v>
      </c>
      <c r="L1001" s="320">
        <v>28.08</v>
      </c>
      <c r="M1001" s="320">
        <v>0.5205</v>
      </c>
      <c r="N1001" s="320">
        <v>0.5477</v>
      </c>
      <c r="O1001" s="320">
        <v>0.2943</v>
      </c>
      <c r="P1001" s="320">
        <v>1.9213</v>
      </c>
      <c r="Q1001" s="320">
        <v>323.45</v>
      </c>
      <c r="R1001" s="320">
        <v>264.71</v>
      </c>
      <c r="S1001" s="320">
        <v>58.75</v>
      </c>
      <c r="T1001" s="320">
        <v>179.37</v>
      </c>
      <c r="U1001" s="320">
        <v>144.08</v>
      </c>
      <c r="V1001" s="320">
        <v>347.78</v>
      </c>
      <c r="W1001" s="320">
        <v>6.4463</v>
      </c>
      <c r="X1001" s="320">
        <v>55.46</v>
      </c>
      <c r="Y1001" s="320">
        <v>85.0</v>
      </c>
      <c r="Z1001" s="320">
        <v>197.0</v>
      </c>
      <c r="AA1001" s="320">
        <v>644.0</v>
      </c>
      <c r="AB1001" s="320">
        <v>54.6373</v>
      </c>
      <c r="AC1001" s="320">
        <v>0.6676</v>
      </c>
      <c r="AD1001" s="320">
        <v>18.03</v>
      </c>
      <c r="AE1001" s="320">
        <v>6.0</v>
      </c>
      <c r="AF1001" s="320">
        <v>13.0</v>
      </c>
      <c r="AG1001" s="320">
        <v>25.0</v>
      </c>
      <c r="AH1001" s="320">
        <v>39.0</v>
      </c>
      <c r="AI1001" s="320">
        <v>56.37</v>
      </c>
      <c r="AJ1001" s="320">
        <v>24.14</v>
      </c>
      <c r="AK1001" s="320">
        <v>8.48</v>
      </c>
      <c r="AL1001" s="320">
        <v>0.2265</v>
      </c>
      <c r="AM1001" s="320">
        <v>20.66</v>
      </c>
      <c r="AN1001" s="320">
        <v>244.04</v>
      </c>
      <c r="AO1001" s="320">
        <v>73.07</v>
      </c>
      <c r="AP1001" s="320">
        <v>15.1</v>
      </c>
    </row>
    <row r="1002">
      <c r="A1002" s="319" t="s">
        <v>258</v>
      </c>
      <c r="B1002" s="328">
        <v>46096.0</v>
      </c>
      <c r="C1002" s="319" t="s">
        <v>217</v>
      </c>
      <c r="D1002" s="320">
        <v>3603.0</v>
      </c>
      <c r="E1002" s="320">
        <v>4.71</v>
      </c>
      <c r="F1002" s="320">
        <v>20793.34</v>
      </c>
      <c r="G1002" s="320">
        <v>5.7711</v>
      </c>
      <c r="H1002" s="320">
        <v>42.49</v>
      </c>
      <c r="I1002" s="320">
        <v>13.5815</v>
      </c>
      <c r="J1002" s="320">
        <v>128.88</v>
      </c>
      <c r="K1002" s="320">
        <v>80.53</v>
      </c>
      <c r="L1002" s="320">
        <v>54.4</v>
      </c>
      <c r="M1002" s="320">
        <v>0.6756</v>
      </c>
      <c r="N1002" s="320">
        <v>0.407</v>
      </c>
      <c r="O1002" s="320">
        <v>0.2257</v>
      </c>
      <c r="P1002" s="320">
        <v>1.4802</v>
      </c>
      <c r="Q1002" s="320">
        <v>609.46</v>
      </c>
      <c r="R1002" s="320">
        <v>495.35</v>
      </c>
      <c r="S1002" s="320">
        <v>114.1</v>
      </c>
      <c r="T1002" s="320">
        <v>360.29</v>
      </c>
      <c r="U1002" s="320">
        <v>249.17</v>
      </c>
      <c r="V1002" s="320">
        <v>656.3</v>
      </c>
      <c r="W1002" s="320">
        <v>8.1502</v>
      </c>
      <c r="X1002" s="320">
        <v>59.12</v>
      </c>
      <c r="Y1002" s="320">
        <v>97.0</v>
      </c>
      <c r="Z1002" s="320">
        <v>316.0</v>
      </c>
      <c r="AA1002" s="320">
        <v>920.0</v>
      </c>
      <c r="AB1002" s="320">
        <v>57.7324</v>
      </c>
      <c r="AC1002" s="320">
        <v>0.778</v>
      </c>
      <c r="AD1002" s="320">
        <v>36.35</v>
      </c>
      <c r="AE1002" s="320">
        <v>12.0</v>
      </c>
      <c r="AF1002" s="320">
        <v>28.0</v>
      </c>
      <c r="AG1002" s="320">
        <v>51.0</v>
      </c>
      <c r="AH1002" s="320">
        <v>79.0</v>
      </c>
      <c r="AI1002" s="320">
        <v>50.07</v>
      </c>
      <c r="AJ1002" s="320">
        <v>19.18</v>
      </c>
      <c r="AK1002" s="320">
        <v>4.66</v>
      </c>
      <c r="AL1002" s="320">
        <v>0.1984</v>
      </c>
      <c r="AM1002" s="320">
        <v>20.88</v>
      </c>
      <c r="AN1002" s="320">
        <v>474.47</v>
      </c>
      <c r="AO1002" s="320">
        <v>71.62</v>
      </c>
      <c r="AP1002" s="320">
        <v>14.95</v>
      </c>
    </row>
    <row r="1003">
      <c r="A1003" s="319" t="s">
        <v>258</v>
      </c>
      <c r="B1003" s="328">
        <v>46096.0</v>
      </c>
      <c r="C1003" s="319" t="s">
        <v>218</v>
      </c>
      <c r="D1003" s="320">
        <v>425.0</v>
      </c>
      <c r="E1003" s="320">
        <v>0.56</v>
      </c>
      <c r="F1003" s="320">
        <v>4431.89</v>
      </c>
      <c r="G1003" s="320">
        <v>10.428</v>
      </c>
      <c r="H1003" s="320">
        <v>46.82</v>
      </c>
      <c r="I1003" s="320">
        <v>22.2708</v>
      </c>
      <c r="J1003" s="320">
        <v>238.38</v>
      </c>
      <c r="K1003" s="320">
        <v>158.25</v>
      </c>
      <c r="L1003" s="320">
        <v>126.51</v>
      </c>
      <c r="M1003" s="320">
        <v>0.7994</v>
      </c>
      <c r="N1003" s="320">
        <v>0.2842</v>
      </c>
      <c r="O1003" s="320">
        <v>0.1697</v>
      </c>
      <c r="P1003" s="320">
        <v>1.2509</v>
      </c>
      <c r="Q1003" s="320">
        <v>1154.6</v>
      </c>
      <c r="R1003" s="320">
        <v>887.93</v>
      </c>
      <c r="S1003" s="320">
        <v>266.67</v>
      </c>
      <c r="T1003" s="320">
        <v>631.06</v>
      </c>
      <c r="U1003" s="320">
        <v>523.54</v>
      </c>
      <c r="V1003" s="320">
        <v>1249.65</v>
      </c>
      <c r="W1003" s="320">
        <v>7.8966</v>
      </c>
      <c r="X1003" s="320">
        <v>54.66</v>
      </c>
      <c r="Y1003" s="320">
        <v>148.0</v>
      </c>
      <c r="Z1003" s="320">
        <v>539.0</v>
      </c>
      <c r="AA1003" s="320">
        <v>2257.0</v>
      </c>
      <c r="AB1003" s="320">
        <v>61.0399</v>
      </c>
      <c r="AC1003" s="320">
        <v>0.8174</v>
      </c>
      <c r="AD1003" s="320">
        <v>83.32</v>
      </c>
      <c r="AE1003" s="320">
        <v>24.0</v>
      </c>
      <c r="AF1003" s="320">
        <v>64.0</v>
      </c>
      <c r="AG1003" s="320">
        <v>122.0</v>
      </c>
      <c r="AH1003" s="320">
        <v>184.0</v>
      </c>
      <c r="AI1003" s="320">
        <v>42.59</v>
      </c>
      <c r="AJ1003" s="320">
        <v>12.24</v>
      </c>
      <c r="AK1003" s="320">
        <v>2.35</v>
      </c>
      <c r="AL1003" s="320">
        <v>0.1694</v>
      </c>
      <c r="AM1003" s="320">
        <v>20.6</v>
      </c>
      <c r="AN1003" s="320">
        <v>867.33</v>
      </c>
      <c r="AO1003" s="320">
        <v>67.97</v>
      </c>
      <c r="AP1003" s="320">
        <v>14.0</v>
      </c>
    </row>
    <row r="1004">
      <c r="A1004" s="319" t="s">
        <v>258</v>
      </c>
      <c r="B1004" s="328">
        <v>46097.0</v>
      </c>
      <c r="C1004" s="319" t="s">
        <v>257</v>
      </c>
      <c r="D1004" s="320">
        <v>15209.0</v>
      </c>
      <c r="E1004" s="320">
        <v>19.15</v>
      </c>
      <c r="F1004" s="320">
        <v>405.05</v>
      </c>
      <c r="G1004" s="320">
        <v>0.0266</v>
      </c>
      <c r="H1004" s="320">
        <v>0.28</v>
      </c>
      <c r="I1004" s="320">
        <v>9.644</v>
      </c>
      <c r="J1004" s="320">
        <v>5.57</v>
      </c>
      <c r="K1004" s="320">
        <v>2.44</v>
      </c>
      <c r="L1004" s="320">
        <v>0.09</v>
      </c>
      <c r="M1004" s="320">
        <v>0.0354</v>
      </c>
      <c r="N1004" s="320">
        <v>0.9691</v>
      </c>
      <c r="O1004" s="320">
        <v>0.704</v>
      </c>
      <c r="P1004" s="320">
        <v>28.2686</v>
      </c>
      <c r="Q1004" s="320">
        <v>38.31</v>
      </c>
      <c r="R1004" s="320">
        <v>38.22</v>
      </c>
      <c r="S1004" s="320">
        <v>0.09</v>
      </c>
      <c r="T1004" s="320">
        <v>2.18</v>
      </c>
      <c r="U1004" s="320">
        <v>36.13</v>
      </c>
      <c r="V1004" s="320">
        <v>2.59</v>
      </c>
      <c r="W1004" s="320">
        <v>1.0607</v>
      </c>
      <c r="X1004" s="320">
        <v>5.69</v>
      </c>
      <c r="Y1004" s="320">
        <v>187.0</v>
      </c>
      <c r="Z1004" s="320">
        <v>1381.0</v>
      </c>
      <c r="AA1004" s="320">
        <v>7975.0</v>
      </c>
      <c r="AB1004" s="320">
        <v>50.2401</v>
      </c>
      <c r="AC1004" s="320">
        <v>0.5272</v>
      </c>
      <c r="AD1004" s="329"/>
      <c r="AE1004" s="329"/>
      <c r="AF1004" s="329"/>
      <c r="AG1004" s="329"/>
      <c r="AH1004" s="329"/>
      <c r="AI1004" s="320">
        <v>0.0</v>
      </c>
      <c r="AJ1004" s="320">
        <v>0.0</v>
      </c>
      <c r="AK1004" s="320">
        <v>0.0</v>
      </c>
      <c r="AL1004" s="320">
        <v>0.2777</v>
      </c>
      <c r="AM1004" s="320">
        <v>16.35</v>
      </c>
      <c r="AN1004" s="320">
        <v>21.87</v>
      </c>
      <c r="AO1004" s="329"/>
      <c r="AP1004" s="329"/>
    </row>
    <row r="1005">
      <c r="A1005" s="319" t="s">
        <v>258</v>
      </c>
      <c r="B1005" s="328">
        <v>46097.0</v>
      </c>
      <c r="C1005" s="319" t="s">
        <v>214</v>
      </c>
      <c r="D1005" s="320">
        <v>34051.0</v>
      </c>
      <c r="E1005" s="320">
        <v>42.88</v>
      </c>
      <c r="F1005" s="320">
        <v>5908.35</v>
      </c>
      <c r="G1005" s="320">
        <v>0.1735</v>
      </c>
      <c r="H1005" s="320">
        <v>5.71</v>
      </c>
      <c r="I1005" s="320">
        <v>3.0393</v>
      </c>
      <c r="J1005" s="320">
        <v>35.36</v>
      </c>
      <c r="K1005" s="320">
        <v>19.01</v>
      </c>
      <c r="L1005" s="320">
        <v>5.6</v>
      </c>
      <c r="M1005" s="320">
        <v>0.2945</v>
      </c>
      <c r="N1005" s="320">
        <v>0.7747</v>
      </c>
      <c r="O1005" s="320">
        <v>0.5279</v>
      </c>
      <c r="P1005" s="320">
        <v>3.396</v>
      </c>
      <c r="Q1005" s="320">
        <v>95.78</v>
      </c>
      <c r="R1005" s="320">
        <v>84.51</v>
      </c>
      <c r="S1005" s="320">
        <v>11.26</v>
      </c>
      <c r="T1005" s="320">
        <v>12.77</v>
      </c>
      <c r="U1005" s="320">
        <v>83.0</v>
      </c>
      <c r="V1005" s="320">
        <v>87.68</v>
      </c>
      <c r="W1005" s="320">
        <v>4.6135</v>
      </c>
      <c r="X1005" s="320">
        <v>13.33</v>
      </c>
      <c r="Y1005" s="320">
        <v>92.0</v>
      </c>
      <c r="Z1005" s="320">
        <v>218.0</v>
      </c>
      <c r="AA1005" s="320">
        <v>832.0</v>
      </c>
      <c r="AB1005" s="320">
        <v>49.71</v>
      </c>
      <c r="AC1005" s="320">
        <v>0.4359</v>
      </c>
      <c r="AD1005" s="320">
        <v>3.56</v>
      </c>
      <c r="AE1005" s="320">
        <v>1.0</v>
      </c>
      <c r="AF1005" s="320">
        <v>2.0</v>
      </c>
      <c r="AG1005" s="320">
        <v>5.0</v>
      </c>
      <c r="AH1005" s="320">
        <v>8.0</v>
      </c>
      <c r="AI1005" s="320">
        <v>68.32</v>
      </c>
      <c r="AJ1005" s="320">
        <v>25.1</v>
      </c>
      <c r="AK1005" s="320">
        <v>6.8</v>
      </c>
      <c r="AL1005" s="320">
        <v>0.2067</v>
      </c>
      <c r="AM1005" s="320">
        <v>18.83</v>
      </c>
      <c r="AN1005" s="320">
        <v>65.69</v>
      </c>
      <c r="AO1005" s="320">
        <v>68.63</v>
      </c>
      <c r="AP1005" s="320">
        <v>12.92</v>
      </c>
    </row>
    <row r="1006">
      <c r="A1006" s="319" t="s">
        <v>258</v>
      </c>
      <c r="B1006" s="328">
        <v>46097.0</v>
      </c>
      <c r="C1006" s="319" t="s">
        <v>215</v>
      </c>
      <c r="D1006" s="320">
        <v>16486.0</v>
      </c>
      <c r="E1006" s="320">
        <v>20.76</v>
      </c>
      <c r="F1006" s="320">
        <v>16153.41</v>
      </c>
      <c r="G1006" s="320">
        <v>0.9798</v>
      </c>
      <c r="H1006" s="320">
        <v>19.88</v>
      </c>
      <c r="I1006" s="320">
        <v>4.9293</v>
      </c>
      <c r="J1006" s="320">
        <v>64.41</v>
      </c>
      <c r="K1006" s="320">
        <v>36.55</v>
      </c>
      <c r="L1006" s="320">
        <v>15.02</v>
      </c>
      <c r="M1006" s="320">
        <v>0.4111</v>
      </c>
      <c r="N1006" s="320">
        <v>0.6548</v>
      </c>
      <c r="O1006" s="320">
        <v>0.38</v>
      </c>
      <c r="P1006" s="320">
        <v>2.4325</v>
      </c>
      <c r="Q1006" s="320">
        <v>211.3</v>
      </c>
      <c r="R1006" s="320">
        <v>182.01</v>
      </c>
      <c r="S1006" s="320">
        <v>29.29</v>
      </c>
      <c r="T1006" s="320">
        <v>65.62</v>
      </c>
      <c r="U1006" s="320">
        <v>145.68</v>
      </c>
      <c r="V1006" s="320">
        <v>207.83</v>
      </c>
      <c r="W1006" s="320">
        <v>5.6865</v>
      </c>
      <c r="X1006" s="320">
        <v>31.06</v>
      </c>
      <c r="Y1006" s="320">
        <v>86.0</v>
      </c>
      <c r="Z1006" s="320">
        <v>202.0</v>
      </c>
      <c r="AA1006" s="320">
        <v>611.0</v>
      </c>
      <c r="AB1006" s="320">
        <v>52.3935</v>
      </c>
      <c r="AC1006" s="320">
        <v>0.5142</v>
      </c>
      <c r="AD1006" s="320">
        <v>9.14</v>
      </c>
      <c r="AE1006" s="320">
        <v>3.0</v>
      </c>
      <c r="AF1006" s="320">
        <v>6.0</v>
      </c>
      <c r="AG1006" s="320">
        <v>13.0</v>
      </c>
      <c r="AH1006" s="320">
        <v>20.0</v>
      </c>
      <c r="AI1006" s="320">
        <v>55.56</v>
      </c>
      <c r="AJ1006" s="320">
        <v>25.4</v>
      </c>
      <c r="AK1006" s="320">
        <v>5.59</v>
      </c>
      <c r="AL1006" s="320">
        <v>0.185</v>
      </c>
      <c r="AM1006" s="320">
        <v>18.85</v>
      </c>
      <c r="AN1006" s="320">
        <v>163.16</v>
      </c>
      <c r="AO1006" s="320">
        <v>71.78</v>
      </c>
      <c r="AP1006" s="320">
        <v>13.53</v>
      </c>
    </row>
    <row r="1007">
      <c r="A1007" s="319" t="s">
        <v>258</v>
      </c>
      <c r="B1007" s="328">
        <v>46097.0</v>
      </c>
      <c r="C1007" s="319" t="s">
        <v>216</v>
      </c>
      <c r="D1007" s="320">
        <v>9364.0</v>
      </c>
      <c r="E1007" s="320">
        <v>11.79</v>
      </c>
      <c r="F1007" s="320">
        <v>24864.12</v>
      </c>
      <c r="G1007" s="320">
        <v>2.6553</v>
      </c>
      <c r="H1007" s="320">
        <v>32.5</v>
      </c>
      <c r="I1007" s="320">
        <v>8.1709</v>
      </c>
      <c r="J1007" s="320">
        <v>90.29</v>
      </c>
      <c r="K1007" s="320">
        <v>53.57</v>
      </c>
      <c r="L1007" s="320">
        <v>29.56</v>
      </c>
      <c r="M1007" s="320">
        <v>0.5517</v>
      </c>
      <c r="N1007" s="320">
        <v>0.5265</v>
      </c>
      <c r="O1007" s="320">
        <v>0.2909</v>
      </c>
      <c r="P1007" s="320">
        <v>1.8125</v>
      </c>
      <c r="Q1007" s="320">
        <v>407.12</v>
      </c>
      <c r="R1007" s="320">
        <v>349.66</v>
      </c>
      <c r="S1007" s="320">
        <v>57.46</v>
      </c>
      <c r="T1007" s="320">
        <v>173.99</v>
      </c>
      <c r="U1007" s="320">
        <v>233.13</v>
      </c>
      <c r="V1007" s="320">
        <v>405.28</v>
      </c>
      <c r="W1007" s="320">
        <v>7.5654</v>
      </c>
      <c r="X1007" s="320">
        <v>42.74</v>
      </c>
      <c r="Y1007" s="320">
        <v>89.0</v>
      </c>
      <c r="Z1007" s="320">
        <v>234.0</v>
      </c>
      <c r="AA1007" s="320">
        <v>683.0</v>
      </c>
      <c r="AB1007" s="320">
        <v>54.4286</v>
      </c>
      <c r="AC1007" s="320">
        <v>0.61</v>
      </c>
      <c r="AD1007" s="320">
        <v>18.36</v>
      </c>
      <c r="AE1007" s="320">
        <v>6.0</v>
      </c>
      <c r="AF1007" s="320">
        <v>14.0</v>
      </c>
      <c r="AG1007" s="320">
        <v>26.0</v>
      </c>
      <c r="AH1007" s="320">
        <v>39.0</v>
      </c>
      <c r="AI1007" s="320">
        <v>59.16</v>
      </c>
      <c r="AJ1007" s="320">
        <v>26.06</v>
      </c>
      <c r="AK1007" s="320">
        <v>7.16</v>
      </c>
      <c r="AL1007" s="320">
        <v>0.1848</v>
      </c>
      <c r="AM1007" s="320">
        <v>19.23</v>
      </c>
      <c r="AN1007" s="320">
        <v>330.43</v>
      </c>
      <c r="AO1007" s="320">
        <v>70.62</v>
      </c>
      <c r="AP1007" s="320">
        <v>13.58</v>
      </c>
    </row>
    <row r="1008">
      <c r="A1008" s="319" t="s">
        <v>258</v>
      </c>
      <c r="B1008" s="328">
        <v>46097.0</v>
      </c>
      <c r="C1008" s="319" t="s">
        <v>217</v>
      </c>
      <c r="D1008" s="320">
        <v>3896.0</v>
      </c>
      <c r="E1008" s="320">
        <v>4.91</v>
      </c>
      <c r="F1008" s="320">
        <v>21011.32</v>
      </c>
      <c r="G1008" s="320">
        <v>5.393</v>
      </c>
      <c r="H1008" s="320">
        <v>39.4</v>
      </c>
      <c r="I1008" s="320">
        <v>13.6882</v>
      </c>
      <c r="J1008" s="320">
        <v>136.07</v>
      </c>
      <c r="K1008" s="320">
        <v>84.61</v>
      </c>
      <c r="L1008" s="320">
        <v>59.16</v>
      </c>
      <c r="M1008" s="320">
        <v>0.6992</v>
      </c>
      <c r="N1008" s="320">
        <v>0.39</v>
      </c>
      <c r="O1008" s="320">
        <v>0.2243</v>
      </c>
      <c r="P1008" s="320">
        <v>1.4302</v>
      </c>
      <c r="Q1008" s="320">
        <v>740.78</v>
      </c>
      <c r="R1008" s="320">
        <v>628.81</v>
      </c>
      <c r="S1008" s="320">
        <v>111.96</v>
      </c>
      <c r="T1008" s="320">
        <v>346.65</v>
      </c>
      <c r="U1008" s="320">
        <v>394.12</v>
      </c>
      <c r="V1008" s="320">
        <v>739.59</v>
      </c>
      <c r="W1008" s="320">
        <v>8.7414</v>
      </c>
      <c r="X1008" s="320">
        <v>46.8</v>
      </c>
      <c r="Y1008" s="320">
        <v>113.0</v>
      </c>
      <c r="Z1008" s="320">
        <v>383.0</v>
      </c>
      <c r="AA1008" s="320">
        <v>1134.0</v>
      </c>
      <c r="AB1008" s="320">
        <v>57.6251</v>
      </c>
      <c r="AC1008" s="320">
        <v>0.6946</v>
      </c>
      <c r="AD1008" s="320">
        <v>35.8</v>
      </c>
      <c r="AE1008" s="320">
        <v>13.0</v>
      </c>
      <c r="AF1008" s="320">
        <v>29.0</v>
      </c>
      <c r="AG1008" s="320">
        <v>47.0</v>
      </c>
      <c r="AH1008" s="320">
        <v>76.0</v>
      </c>
      <c r="AI1008" s="320">
        <v>51.51</v>
      </c>
      <c r="AJ1008" s="320">
        <v>17.12</v>
      </c>
      <c r="AK1008" s="320">
        <v>4.49</v>
      </c>
      <c r="AL1008" s="320">
        <v>0.1653</v>
      </c>
      <c r="AM1008" s="320">
        <v>20.14</v>
      </c>
      <c r="AN1008" s="320">
        <v>608.67</v>
      </c>
      <c r="AO1008" s="320">
        <v>69.1</v>
      </c>
      <c r="AP1008" s="320">
        <v>13.92</v>
      </c>
    </row>
    <row r="1009">
      <c r="A1009" s="319" t="s">
        <v>258</v>
      </c>
      <c r="B1009" s="328">
        <v>46097.0</v>
      </c>
      <c r="C1009" s="319" t="s">
        <v>218</v>
      </c>
      <c r="D1009" s="320">
        <v>403.0</v>
      </c>
      <c r="E1009" s="320">
        <v>0.51</v>
      </c>
      <c r="F1009" s="320">
        <v>4226.23</v>
      </c>
      <c r="G1009" s="320">
        <v>10.4869</v>
      </c>
      <c r="H1009" s="320">
        <v>46.15</v>
      </c>
      <c r="I1009" s="320">
        <v>22.7217</v>
      </c>
      <c r="J1009" s="320">
        <v>245.93</v>
      </c>
      <c r="K1009" s="320">
        <v>161.04</v>
      </c>
      <c r="L1009" s="320">
        <v>134.57</v>
      </c>
      <c r="M1009" s="320">
        <v>0.8356</v>
      </c>
      <c r="N1009" s="320">
        <v>0.2585</v>
      </c>
      <c r="O1009" s="320">
        <v>0.1625</v>
      </c>
      <c r="P1009" s="320">
        <v>1.1968</v>
      </c>
      <c r="Q1009" s="320">
        <v>1413.58</v>
      </c>
      <c r="R1009" s="320">
        <v>1130.63</v>
      </c>
      <c r="S1009" s="320">
        <v>282.95</v>
      </c>
      <c r="T1009" s="320">
        <v>639.0</v>
      </c>
      <c r="U1009" s="320">
        <v>774.58</v>
      </c>
      <c r="V1009" s="320">
        <v>1405.46</v>
      </c>
      <c r="W1009" s="320">
        <v>8.7273</v>
      </c>
      <c r="X1009" s="320">
        <v>45.2</v>
      </c>
      <c r="Y1009" s="320">
        <v>159.0</v>
      </c>
      <c r="Z1009" s="320">
        <v>651.0</v>
      </c>
      <c r="AA1009" s="320">
        <v>1941.0</v>
      </c>
      <c r="AB1009" s="320">
        <v>61.9587</v>
      </c>
      <c r="AC1009" s="320">
        <v>0.8428</v>
      </c>
      <c r="AD1009" s="320">
        <v>96.51</v>
      </c>
      <c r="AE1009" s="320">
        <v>35.0</v>
      </c>
      <c r="AF1009" s="320">
        <v>79.0</v>
      </c>
      <c r="AG1009" s="320">
        <v>139.0</v>
      </c>
      <c r="AH1009" s="320">
        <v>223.0</v>
      </c>
      <c r="AI1009" s="320">
        <v>50.37</v>
      </c>
      <c r="AJ1009" s="320">
        <v>14.14</v>
      </c>
      <c r="AK1009" s="320">
        <v>2.98</v>
      </c>
      <c r="AL1009" s="320">
        <v>0.1365</v>
      </c>
      <c r="AM1009" s="320">
        <v>21.3</v>
      </c>
      <c r="AN1009" s="320">
        <v>1109.32</v>
      </c>
      <c r="AO1009" s="320">
        <v>69.76</v>
      </c>
      <c r="AP1009" s="320">
        <v>14.86</v>
      </c>
    </row>
    <row r="1010">
      <c r="A1010" s="319" t="s">
        <v>258</v>
      </c>
      <c r="B1010" s="328">
        <v>46098.0</v>
      </c>
      <c r="C1010" s="319" t="s">
        <v>257</v>
      </c>
      <c r="D1010" s="320">
        <v>16127.0</v>
      </c>
      <c r="E1010" s="320">
        <v>20.45</v>
      </c>
      <c r="F1010" s="320">
        <v>-895.79</v>
      </c>
      <c r="G1010" s="320">
        <v>-0.0555</v>
      </c>
      <c r="H1010" s="320">
        <v>0.11</v>
      </c>
      <c r="I1010" s="320">
        <v>-49.7661</v>
      </c>
      <c r="J1010" s="320">
        <v>6.29</v>
      </c>
      <c r="K1010" s="320">
        <v>2.87</v>
      </c>
      <c r="L1010" s="320">
        <v>0.03</v>
      </c>
      <c r="M1010" s="320">
        <v>0.0103</v>
      </c>
      <c r="N1010" s="320">
        <v>0.9906</v>
      </c>
      <c r="O1010" s="320">
        <v>0.8602</v>
      </c>
      <c r="P1010" s="320">
        <v>97.1408</v>
      </c>
      <c r="Q1010" s="320">
        <v>27.96</v>
      </c>
      <c r="R1010" s="320">
        <v>27.89</v>
      </c>
      <c r="S1010" s="320">
        <v>0.06</v>
      </c>
      <c r="T1010" s="320">
        <v>0.87</v>
      </c>
      <c r="U1010" s="320">
        <v>27.09</v>
      </c>
      <c r="V1010" s="320">
        <v>2.13</v>
      </c>
      <c r="W1010" s="320">
        <v>0.7429</v>
      </c>
      <c r="X1010" s="320">
        <v>3.1</v>
      </c>
      <c r="Y1010" s="320">
        <v>164.0</v>
      </c>
      <c r="Z1010" s="320">
        <v>1078.0</v>
      </c>
      <c r="AA1010" s="320">
        <v>7205.0</v>
      </c>
      <c r="AB1010" s="320">
        <v>49.8651</v>
      </c>
      <c r="AC1010" s="320">
        <v>0.5061</v>
      </c>
      <c r="AD1010" s="329"/>
      <c r="AE1010" s="329"/>
      <c r="AF1010" s="329"/>
      <c r="AG1010" s="329"/>
      <c r="AH1010" s="329"/>
      <c r="AI1010" s="320">
        <v>0.0</v>
      </c>
      <c r="AJ1010" s="320">
        <v>0.0</v>
      </c>
      <c r="AK1010" s="320">
        <v>0.0</v>
      </c>
      <c r="AL1010" s="320">
        <v>0.2656</v>
      </c>
      <c r="AM1010" s="320">
        <v>15.12</v>
      </c>
      <c r="AN1010" s="320">
        <v>12.77</v>
      </c>
      <c r="AO1010" s="329"/>
      <c r="AP1010" s="329"/>
    </row>
    <row r="1011">
      <c r="A1011" s="319" t="s">
        <v>258</v>
      </c>
      <c r="B1011" s="328">
        <v>46098.0</v>
      </c>
      <c r="C1011" s="319" t="s">
        <v>214</v>
      </c>
      <c r="D1011" s="320">
        <v>33527.0</v>
      </c>
      <c r="E1011" s="320">
        <v>42.51</v>
      </c>
      <c r="F1011" s="320">
        <v>6671.94</v>
      </c>
      <c r="G1011" s="320">
        <v>0.199</v>
      </c>
      <c r="H1011" s="320">
        <v>5.97</v>
      </c>
      <c r="I1011" s="320">
        <v>3.331</v>
      </c>
      <c r="J1011" s="320">
        <v>30.3</v>
      </c>
      <c r="K1011" s="320">
        <v>16.06</v>
      </c>
      <c r="L1011" s="320">
        <v>5.11</v>
      </c>
      <c r="M1011" s="320">
        <v>0.3183</v>
      </c>
      <c r="N1011" s="320">
        <v>0.7564</v>
      </c>
      <c r="O1011" s="320">
        <v>0.5201</v>
      </c>
      <c r="P1011" s="320">
        <v>3.142</v>
      </c>
      <c r="Q1011" s="320">
        <v>71.5</v>
      </c>
      <c r="R1011" s="320">
        <v>60.8</v>
      </c>
      <c r="S1011" s="320">
        <v>10.71</v>
      </c>
      <c r="T1011" s="320">
        <v>14.46</v>
      </c>
      <c r="U1011" s="320">
        <v>57.04</v>
      </c>
      <c r="V1011" s="320">
        <v>76.0</v>
      </c>
      <c r="W1011" s="320">
        <v>4.7335</v>
      </c>
      <c r="X1011" s="320">
        <v>20.22</v>
      </c>
      <c r="Y1011" s="320">
        <v>88.0</v>
      </c>
      <c r="Z1011" s="320">
        <v>213.0</v>
      </c>
      <c r="AA1011" s="320">
        <v>844.0</v>
      </c>
      <c r="AB1011" s="320">
        <v>49.7092</v>
      </c>
      <c r="AC1011" s="320">
        <v>0.4369</v>
      </c>
      <c r="AD1011" s="320">
        <v>3.51</v>
      </c>
      <c r="AE1011" s="320">
        <v>1.0</v>
      </c>
      <c r="AF1011" s="320">
        <v>2.0</v>
      </c>
      <c r="AG1011" s="320">
        <v>4.0</v>
      </c>
      <c r="AH1011" s="320">
        <v>8.0</v>
      </c>
      <c r="AI1011" s="320">
        <v>65.89</v>
      </c>
      <c r="AJ1011" s="320">
        <v>24.11</v>
      </c>
      <c r="AK1011" s="320">
        <v>6.99</v>
      </c>
      <c r="AL1011" s="320">
        <v>0.2131</v>
      </c>
      <c r="AM1011" s="320">
        <v>18.44</v>
      </c>
      <c r="AN1011" s="320">
        <v>42.35</v>
      </c>
      <c r="AO1011" s="320">
        <v>68.53</v>
      </c>
      <c r="AP1011" s="320">
        <v>12.64</v>
      </c>
    </row>
    <row r="1012">
      <c r="A1012" s="319" t="s">
        <v>258</v>
      </c>
      <c r="B1012" s="328">
        <v>46098.0</v>
      </c>
      <c r="C1012" s="319" t="s">
        <v>215</v>
      </c>
      <c r="D1012" s="320">
        <v>16173.0</v>
      </c>
      <c r="E1012" s="320">
        <v>20.51</v>
      </c>
      <c r="F1012" s="320">
        <v>16000.15</v>
      </c>
      <c r="G1012" s="320">
        <v>0.9893</v>
      </c>
      <c r="H1012" s="320">
        <v>20.81</v>
      </c>
      <c r="I1012" s="320">
        <v>4.7549</v>
      </c>
      <c r="J1012" s="320">
        <v>54.98</v>
      </c>
      <c r="K1012" s="320">
        <v>31.21</v>
      </c>
      <c r="L1012" s="320">
        <v>13.82</v>
      </c>
      <c r="M1012" s="320">
        <v>0.4429</v>
      </c>
      <c r="N1012" s="320">
        <v>0.6262</v>
      </c>
      <c r="O1012" s="320">
        <v>0.3551</v>
      </c>
      <c r="P1012" s="320">
        <v>2.258</v>
      </c>
      <c r="Q1012" s="320">
        <v>174.43</v>
      </c>
      <c r="R1012" s="320">
        <v>146.48</v>
      </c>
      <c r="S1012" s="320">
        <v>27.95</v>
      </c>
      <c r="T1012" s="320">
        <v>67.51</v>
      </c>
      <c r="U1012" s="320">
        <v>106.92</v>
      </c>
      <c r="V1012" s="320">
        <v>183.7</v>
      </c>
      <c r="W1012" s="320">
        <v>5.8859</v>
      </c>
      <c r="X1012" s="320">
        <v>38.7</v>
      </c>
      <c r="Y1012" s="320">
        <v>85.0</v>
      </c>
      <c r="Z1012" s="320">
        <v>205.0</v>
      </c>
      <c r="AA1012" s="320">
        <v>669.0</v>
      </c>
      <c r="AB1012" s="320">
        <v>52.4818</v>
      </c>
      <c r="AC1012" s="320">
        <v>0.5288</v>
      </c>
      <c r="AD1012" s="320">
        <v>9.1</v>
      </c>
      <c r="AE1012" s="320">
        <v>3.0</v>
      </c>
      <c r="AF1012" s="320">
        <v>6.0</v>
      </c>
      <c r="AG1012" s="320">
        <v>13.0</v>
      </c>
      <c r="AH1012" s="320">
        <v>20.0</v>
      </c>
      <c r="AI1012" s="320">
        <v>55.42</v>
      </c>
      <c r="AJ1012" s="320">
        <v>25.92</v>
      </c>
      <c r="AK1012" s="320">
        <v>5.28</v>
      </c>
      <c r="AL1012" s="320">
        <v>0.1852</v>
      </c>
      <c r="AM1012" s="320">
        <v>18.98</v>
      </c>
      <c r="AN1012" s="320">
        <v>127.5</v>
      </c>
      <c r="AO1012" s="320">
        <v>72.36</v>
      </c>
      <c r="AP1012" s="320">
        <v>13.73</v>
      </c>
    </row>
    <row r="1013">
      <c r="A1013" s="319" t="s">
        <v>258</v>
      </c>
      <c r="B1013" s="328">
        <v>46098.0</v>
      </c>
      <c r="C1013" s="319" t="s">
        <v>216</v>
      </c>
      <c r="D1013" s="320">
        <v>9149.0</v>
      </c>
      <c r="E1013" s="320">
        <v>11.6</v>
      </c>
      <c r="F1013" s="320">
        <v>22099.91</v>
      </c>
      <c r="G1013" s="320">
        <v>2.4156</v>
      </c>
      <c r="H1013" s="320">
        <v>31.51</v>
      </c>
      <c r="I1013" s="320">
        <v>7.6656</v>
      </c>
      <c r="J1013" s="320">
        <v>79.47</v>
      </c>
      <c r="K1013" s="320">
        <v>47.59</v>
      </c>
      <c r="L1013" s="320">
        <v>26.92</v>
      </c>
      <c r="M1013" s="320">
        <v>0.5657</v>
      </c>
      <c r="N1013" s="320">
        <v>0.5112</v>
      </c>
      <c r="O1013" s="320">
        <v>0.2792</v>
      </c>
      <c r="P1013" s="320">
        <v>1.7676</v>
      </c>
      <c r="Q1013" s="320">
        <v>342.57</v>
      </c>
      <c r="R1013" s="320">
        <v>289.99</v>
      </c>
      <c r="S1013" s="320">
        <v>52.59</v>
      </c>
      <c r="T1013" s="320">
        <v>157.07</v>
      </c>
      <c r="U1013" s="320">
        <v>185.51</v>
      </c>
      <c r="V1013" s="320">
        <v>350.67</v>
      </c>
      <c r="W1013" s="320">
        <v>7.3693</v>
      </c>
      <c r="X1013" s="320">
        <v>45.85</v>
      </c>
      <c r="Y1013" s="320">
        <v>92.0</v>
      </c>
      <c r="Z1013" s="320">
        <v>254.0</v>
      </c>
      <c r="AA1013" s="320">
        <v>755.0</v>
      </c>
      <c r="AB1013" s="320">
        <v>54.569</v>
      </c>
      <c r="AC1013" s="320">
        <v>0.6291</v>
      </c>
      <c r="AD1013" s="320">
        <v>16.69</v>
      </c>
      <c r="AE1013" s="320">
        <v>5.0</v>
      </c>
      <c r="AF1013" s="320">
        <v>12.0</v>
      </c>
      <c r="AG1013" s="320">
        <v>24.0</v>
      </c>
      <c r="AH1013" s="320">
        <v>36.0</v>
      </c>
      <c r="AI1013" s="320">
        <v>54.71</v>
      </c>
      <c r="AJ1013" s="320">
        <v>21.97</v>
      </c>
      <c r="AK1013" s="320">
        <v>6.36</v>
      </c>
      <c r="AL1013" s="320">
        <v>0.186</v>
      </c>
      <c r="AM1013" s="320">
        <v>19.12</v>
      </c>
      <c r="AN1013" s="320">
        <v>270.87</v>
      </c>
      <c r="AO1013" s="320">
        <v>72.22</v>
      </c>
      <c r="AP1013" s="320">
        <v>13.81</v>
      </c>
    </row>
    <row r="1014">
      <c r="A1014" s="319" t="s">
        <v>258</v>
      </c>
      <c r="B1014" s="328">
        <v>46098.0</v>
      </c>
      <c r="C1014" s="319" t="s">
        <v>217</v>
      </c>
      <c r="D1014" s="320">
        <v>3478.0</v>
      </c>
      <c r="E1014" s="320">
        <v>4.41</v>
      </c>
      <c r="F1014" s="320">
        <v>17365.33</v>
      </c>
      <c r="G1014" s="320">
        <v>4.9929</v>
      </c>
      <c r="H1014" s="320">
        <v>39.94</v>
      </c>
      <c r="I1014" s="320">
        <v>12.502</v>
      </c>
      <c r="J1014" s="320">
        <v>120.57</v>
      </c>
      <c r="K1014" s="320">
        <v>75.31</v>
      </c>
      <c r="L1014" s="320">
        <v>52.83</v>
      </c>
      <c r="M1014" s="320">
        <v>0.7015</v>
      </c>
      <c r="N1014" s="320">
        <v>0.3871</v>
      </c>
      <c r="O1014" s="320">
        <v>0.2207</v>
      </c>
      <c r="P1014" s="320">
        <v>1.4256</v>
      </c>
      <c r="Q1014" s="320">
        <v>644.53</v>
      </c>
      <c r="R1014" s="320">
        <v>535.22</v>
      </c>
      <c r="S1014" s="320">
        <v>109.3</v>
      </c>
      <c r="T1014" s="320">
        <v>304.76</v>
      </c>
      <c r="U1014" s="320">
        <v>339.77</v>
      </c>
      <c r="V1014" s="320">
        <v>654.97</v>
      </c>
      <c r="W1014" s="320">
        <v>8.6973</v>
      </c>
      <c r="X1014" s="320">
        <v>47.28</v>
      </c>
      <c r="Y1014" s="320">
        <v>104.0</v>
      </c>
      <c r="Z1014" s="320">
        <v>364.0</v>
      </c>
      <c r="AA1014" s="320">
        <v>1021.0</v>
      </c>
      <c r="AB1014" s="320">
        <v>57.8688</v>
      </c>
      <c r="AC1014" s="320">
        <v>0.7566</v>
      </c>
      <c r="AD1014" s="320">
        <v>35.44</v>
      </c>
      <c r="AE1014" s="320">
        <v>12.0</v>
      </c>
      <c r="AF1014" s="320">
        <v>27.0</v>
      </c>
      <c r="AG1014" s="320">
        <v>50.0</v>
      </c>
      <c r="AH1014" s="320">
        <v>76.0</v>
      </c>
      <c r="AI1014" s="320">
        <v>49.34</v>
      </c>
      <c r="AJ1014" s="320">
        <v>18.46</v>
      </c>
      <c r="AK1014" s="320">
        <v>4.17</v>
      </c>
      <c r="AL1014" s="320">
        <v>0.1774</v>
      </c>
      <c r="AM1014" s="320">
        <v>19.27</v>
      </c>
      <c r="AN1014" s="320">
        <v>515.95</v>
      </c>
      <c r="AO1014" s="320">
        <v>74.64</v>
      </c>
      <c r="AP1014" s="320">
        <v>14.38</v>
      </c>
    </row>
    <row r="1015">
      <c r="A1015" s="319" t="s">
        <v>258</v>
      </c>
      <c r="B1015" s="328">
        <v>46098.0</v>
      </c>
      <c r="C1015" s="319" t="s">
        <v>218</v>
      </c>
      <c r="D1015" s="320">
        <v>418.0</v>
      </c>
      <c r="E1015" s="320">
        <v>0.53</v>
      </c>
      <c r="F1015" s="320">
        <v>3976.58</v>
      </c>
      <c r="G1015" s="320">
        <v>9.5133</v>
      </c>
      <c r="H1015" s="320">
        <v>38.28</v>
      </c>
      <c r="I1015" s="320">
        <v>24.8536</v>
      </c>
      <c r="J1015" s="320">
        <v>224.75</v>
      </c>
      <c r="K1015" s="320">
        <v>148.56</v>
      </c>
      <c r="L1015" s="320">
        <v>124.65</v>
      </c>
      <c r="M1015" s="320">
        <v>0.839</v>
      </c>
      <c r="N1015" s="320">
        <v>0.2548</v>
      </c>
      <c r="O1015" s="320">
        <v>0.1603</v>
      </c>
      <c r="P1015" s="320">
        <v>1.1918</v>
      </c>
      <c r="Q1015" s="320">
        <v>1300.78</v>
      </c>
      <c r="R1015" s="320">
        <v>1036.95</v>
      </c>
      <c r="S1015" s="320">
        <v>263.83</v>
      </c>
      <c r="T1015" s="320">
        <v>597.06</v>
      </c>
      <c r="U1015" s="320">
        <v>703.72</v>
      </c>
      <c r="V1015" s="320">
        <v>1327.75</v>
      </c>
      <c r="W1015" s="320">
        <v>8.9372</v>
      </c>
      <c r="X1015" s="320">
        <v>45.9</v>
      </c>
      <c r="Y1015" s="320">
        <v>159.0</v>
      </c>
      <c r="Z1015" s="320">
        <v>634.0</v>
      </c>
      <c r="AA1015" s="320">
        <v>2256.0</v>
      </c>
      <c r="AB1015" s="320">
        <v>61.8511</v>
      </c>
      <c r="AC1015" s="320">
        <v>0.8509</v>
      </c>
      <c r="AD1015" s="320">
        <v>86.54</v>
      </c>
      <c r="AE1015" s="320">
        <v>32.0</v>
      </c>
      <c r="AF1015" s="320">
        <v>71.0</v>
      </c>
      <c r="AG1015" s="320">
        <v>120.0</v>
      </c>
      <c r="AH1015" s="320">
        <v>170.0</v>
      </c>
      <c r="AI1015" s="320">
        <v>44.74</v>
      </c>
      <c r="AJ1015" s="320">
        <v>9.57</v>
      </c>
      <c r="AK1015" s="320">
        <v>1.44</v>
      </c>
      <c r="AL1015" s="320">
        <v>0.1388</v>
      </c>
      <c r="AM1015" s="320">
        <v>22.07</v>
      </c>
      <c r="AN1015" s="320">
        <v>1014.88</v>
      </c>
      <c r="AO1015" s="320">
        <v>70.81</v>
      </c>
      <c r="AP1015" s="320">
        <v>15.63</v>
      </c>
    </row>
    <row r="1016">
      <c r="A1016" s="319" t="s">
        <v>258</v>
      </c>
      <c r="B1016" s="328">
        <v>46099.0</v>
      </c>
      <c r="C1016" s="319" t="s">
        <v>257</v>
      </c>
      <c r="D1016" s="320">
        <v>16550.0</v>
      </c>
      <c r="E1016" s="320">
        <v>21.42</v>
      </c>
      <c r="F1016" s="320">
        <v>96.79</v>
      </c>
      <c r="G1016" s="320">
        <v>0.0058</v>
      </c>
      <c r="H1016" s="320">
        <v>0.16</v>
      </c>
      <c r="I1016" s="320">
        <v>3.5848</v>
      </c>
      <c r="J1016" s="320">
        <v>6.8</v>
      </c>
      <c r="K1016" s="320">
        <v>3.09</v>
      </c>
      <c r="L1016" s="320">
        <v>0.04</v>
      </c>
      <c r="M1016" s="320">
        <v>0.0129</v>
      </c>
      <c r="N1016" s="320">
        <v>0.9883</v>
      </c>
      <c r="O1016" s="320">
        <v>0.8283</v>
      </c>
      <c r="P1016" s="320">
        <v>77.7117</v>
      </c>
      <c r="Q1016" s="320">
        <v>23.22</v>
      </c>
      <c r="R1016" s="320">
        <v>23.17</v>
      </c>
      <c r="S1016" s="320">
        <v>0.06</v>
      </c>
      <c r="T1016" s="320">
        <v>0.5</v>
      </c>
      <c r="U1016" s="320">
        <v>22.72</v>
      </c>
      <c r="V1016" s="320">
        <v>2.12</v>
      </c>
      <c r="W1016" s="320">
        <v>0.6854</v>
      </c>
      <c r="X1016" s="320">
        <v>2.17</v>
      </c>
      <c r="Y1016" s="320">
        <v>152.0</v>
      </c>
      <c r="Z1016" s="320">
        <v>1099.0</v>
      </c>
      <c r="AA1016" s="320">
        <v>7367.0</v>
      </c>
      <c r="AB1016" s="320">
        <v>50.0151</v>
      </c>
      <c r="AC1016" s="320">
        <v>0.5175</v>
      </c>
      <c r="AD1016" s="329"/>
      <c r="AE1016" s="329"/>
      <c r="AF1016" s="329"/>
      <c r="AG1016" s="329"/>
      <c r="AH1016" s="329"/>
      <c r="AI1016" s="320">
        <v>0.0</v>
      </c>
      <c r="AJ1016" s="320">
        <v>0.0</v>
      </c>
      <c r="AK1016" s="320">
        <v>0.0</v>
      </c>
      <c r="AL1016" s="320">
        <v>0.257</v>
      </c>
      <c r="AM1016" s="320">
        <v>15.73</v>
      </c>
      <c r="AN1016" s="320">
        <v>7.43</v>
      </c>
      <c r="AO1016" s="329"/>
      <c r="AP1016" s="329"/>
    </row>
    <row r="1017">
      <c r="A1017" s="319" t="s">
        <v>258</v>
      </c>
      <c r="B1017" s="328">
        <v>46099.0</v>
      </c>
      <c r="C1017" s="319" t="s">
        <v>214</v>
      </c>
      <c r="D1017" s="320">
        <v>32700.0</v>
      </c>
      <c r="E1017" s="320">
        <v>42.32</v>
      </c>
      <c r="F1017" s="320">
        <v>6848.1</v>
      </c>
      <c r="G1017" s="320">
        <v>0.2094</v>
      </c>
      <c r="H1017" s="320">
        <v>6.28</v>
      </c>
      <c r="I1017" s="320">
        <v>3.3357</v>
      </c>
      <c r="J1017" s="320">
        <v>32.89</v>
      </c>
      <c r="K1017" s="320">
        <v>17.87</v>
      </c>
      <c r="L1017" s="320">
        <v>5.13</v>
      </c>
      <c r="M1017" s="320">
        <v>0.2869</v>
      </c>
      <c r="N1017" s="320">
        <v>0.7775</v>
      </c>
      <c r="O1017" s="320">
        <v>0.5254</v>
      </c>
      <c r="P1017" s="320">
        <v>3.4857</v>
      </c>
      <c r="Q1017" s="320">
        <v>62.63</v>
      </c>
      <c r="R1017" s="320">
        <v>51.91</v>
      </c>
      <c r="S1017" s="320">
        <v>10.72</v>
      </c>
      <c r="T1017" s="320">
        <v>14.75</v>
      </c>
      <c r="U1017" s="320">
        <v>47.88</v>
      </c>
      <c r="V1017" s="320">
        <v>69.57</v>
      </c>
      <c r="W1017" s="320">
        <v>3.894</v>
      </c>
      <c r="X1017" s="320">
        <v>23.55</v>
      </c>
      <c r="Y1017" s="320">
        <v>84.0</v>
      </c>
      <c r="Z1017" s="320">
        <v>201.0</v>
      </c>
      <c r="AA1017" s="320">
        <v>778.0</v>
      </c>
      <c r="AB1017" s="320">
        <v>49.5522</v>
      </c>
      <c r="AC1017" s="320">
        <v>0.4356</v>
      </c>
      <c r="AD1017" s="320">
        <v>3.43</v>
      </c>
      <c r="AE1017" s="320">
        <v>1.0</v>
      </c>
      <c r="AF1017" s="320">
        <v>2.0</v>
      </c>
      <c r="AG1017" s="320">
        <v>4.0</v>
      </c>
      <c r="AH1017" s="320">
        <v>8.0</v>
      </c>
      <c r="AI1017" s="320">
        <v>65.46</v>
      </c>
      <c r="AJ1017" s="320">
        <v>23.38</v>
      </c>
      <c r="AK1017" s="320">
        <v>6.54</v>
      </c>
      <c r="AL1017" s="320">
        <v>0.2158</v>
      </c>
      <c r="AM1017" s="320">
        <v>19.18</v>
      </c>
      <c r="AN1017" s="320">
        <v>32.73</v>
      </c>
      <c r="AO1017" s="320">
        <v>68.76</v>
      </c>
      <c r="AP1017" s="320">
        <v>13.19</v>
      </c>
    </row>
    <row r="1018">
      <c r="A1018" s="319" t="s">
        <v>258</v>
      </c>
      <c r="B1018" s="328">
        <v>46099.0</v>
      </c>
      <c r="C1018" s="319" t="s">
        <v>215</v>
      </c>
      <c r="D1018" s="320">
        <v>15736.0</v>
      </c>
      <c r="E1018" s="320">
        <v>20.36</v>
      </c>
      <c r="F1018" s="320">
        <v>16280.75</v>
      </c>
      <c r="G1018" s="320">
        <v>1.0346</v>
      </c>
      <c r="H1018" s="320">
        <v>21.19</v>
      </c>
      <c r="I1018" s="320">
        <v>4.8818</v>
      </c>
      <c r="J1018" s="320">
        <v>59.7</v>
      </c>
      <c r="K1018" s="320">
        <v>34.44</v>
      </c>
      <c r="L1018" s="320">
        <v>14.0</v>
      </c>
      <c r="M1018" s="320">
        <v>0.4065</v>
      </c>
      <c r="N1018" s="320">
        <v>0.6526</v>
      </c>
      <c r="O1018" s="320">
        <v>0.3618</v>
      </c>
      <c r="P1018" s="320">
        <v>2.4598</v>
      </c>
      <c r="Q1018" s="320">
        <v>155.48</v>
      </c>
      <c r="R1018" s="320">
        <v>127.77</v>
      </c>
      <c r="S1018" s="320">
        <v>27.71</v>
      </c>
      <c r="T1018" s="320">
        <v>70.16</v>
      </c>
      <c r="U1018" s="320">
        <v>85.32</v>
      </c>
      <c r="V1018" s="320">
        <v>167.56</v>
      </c>
      <c r="W1018" s="320">
        <v>4.8653</v>
      </c>
      <c r="X1018" s="320">
        <v>45.13</v>
      </c>
      <c r="Y1018" s="320">
        <v>81.0</v>
      </c>
      <c r="Z1018" s="320">
        <v>186.0</v>
      </c>
      <c r="AA1018" s="320">
        <v>645.0</v>
      </c>
      <c r="AB1018" s="320">
        <v>52.4887</v>
      </c>
      <c r="AC1018" s="320">
        <v>0.5348</v>
      </c>
      <c r="AD1018" s="320">
        <v>8.65</v>
      </c>
      <c r="AE1018" s="320">
        <v>3.0</v>
      </c>
      <c r="AF1018" s="320">
        <v>6.0</v>
      </c>
      <c r="AG1018" s="320">
        <v>12.0</v>
      </c>
      <c r="AH1018" s="320">
        <v>19.0</v>
      </c>
      <c r="AI1018" s="320">
        <v>53.12</v>
      </c>
      <c r="AJ1018" s="320">
        <v>23.81</v>
      </c>
      <c r="AK1018" s="320">
        <v>4.49</v>
      </c>
      <c r="AL1018" s="320">
        <v>0.1882</v>
      </c>
      <c r="AM1018" s="320">
        <v>19.79</v>
      </c>
      <c r="AN1018" s="320">
        <v>107.97</v>
      </c>
      <c r="AO1018" s="320">
        <v>73.04</v>
      </c>
      <c r="AP1018" s="320">
        <v>14.45</v>
      </c>
    </row>
    <row r="1019">
      <c r="A1019" s="319" t="s">
        <v>258</v>
      </c>
      <c r="B1019" s="328">
        <v>46099.0</v>
      </c>
      <c r="C1019" s="319" t="s">
        <v>216</v>
      </c>
      <c r="D1019" s="320">
        <v>8548.0</v>
      </c>
      <c r="E1019" s="320">
        <v>11.06</v>
      </c>
      <c r="F1019" s="320">
        <v>20750.81</v>
      </c>
      <c r="G1019" s="320">
        <v>2.4276</v>
      </c>
      <c r="H1019" s="320">
        <v>31.21</v>
      </c>
      <c r="I1019" s="320">
        <v>7.7777</v>
      </c>
      <c r="J1019" s="320">
        <v>79.65</v>
      </c>
      <c r="K1019" s="320">
        <v>48.14</v>
      </c>
      <c r="L1019" s="320">
        <v>24.89</v>
      </c>
      <c r="M1019" s="320">
        <v>0.5171</v>
      </c>
      <c r="N1019" s="320">
        <v>0.5512</v>
      </c>
      <c r="O1019" s="320">
        <v>0.2957</v>
      </c>
      <c r="P1019" s="320">
        <v>1.934</v>
      </c>
      <c r="Q1019" s="320">
        <v>290.36</v>
      </c>
      <c r="R1019" s="320">
        <v>238.73</v>
      </c>
      <c r="S1019" s="320">
        <v>51.63</v>
      </c>
      <c r="T1019" s="320">
        <v>157.91</v>
      </c>
      <c r="U1019" s="320">
        <v>132.45</v>
      </c>
      <c r="V1019" s="320">
        <v>307.12</v>
      </c>
      <c r="W1019" s="320">
        <v>6.3801</v>
      </c>
      <c r="X1019" s="320">
        <v>54.38</v>
      </c>
      <c r="Y1019" s="320">
        <v>84.0</v>
      </c>
      <c r="Z1019" s="320">
        <v>205.0</v>
      </c>
      <c r="AA1019" s="320">
        <v>640.0</v>
      </c>
      <c r="AB1019" s="320">
        <v>54.7278</v>
      </c>
      <c r="AC1019" s="320">
        <v>0.6607</v>
      </c>
      <c r="AD1019" s="320">
        <v>16.24</v>
      </c>
      <c r="AE1019" s="320">
        <v>5.0</v>
      </c>
      <c r="AF1019" s="320">
        <v>12.0</v>
      </c>
      <c r="AG1019" s="320">
        <v>23.0</v>
      </c>
      <c r="AH1019" s="320">
        <v>36.0</v>
      </c>
      <c r="AI1019" s="320">
        <v>52.13</v>
      </c>
      <c r="AJ1019" s="320">
        <v>21.16</v>
      </c>
      <c r="AK1019" s="320">
        <v>6.64</v>
      </c>
      <c r="AL1019" s="320">
        <v>0.1922</v>
      </c>
      <c r="AM1019" s="320">
        <v>19.74</v>
      </c>
      <c r="AN1019" s="320">
        <v>218.98</v>
      </c>
      <c r="AO1019" s="320">
        <v>75.01</v>
      </c>
      <c r="AP1019" s="320">
        <v>14.81</v>
      </c>
    </row>
    <row r="1020">
      <c r="A1020" s="319" t="s">
        <v>258</v>
      </c>
      <c r="B1020" s="328">
        <v>46099.0</v>
      </c>
      <c r="C1020" s="319" t="s">
        <v>217</v>
      </c>
      <c r="D1020" s="320">
        <v>3347.0</v>
      </c>
      <c r="E1020" s="320">
        <v>4.33</v>
      </c>
      <c r="F1020" s="320">
        <v>17889.33</v>
      </c>
      <c r="G1020" s="320">
        <v>5.3449</v>
      </c>
      <c r="H1020" s="320">
        <v>41.23</v>
      </c>
      <c r="I1020" s="320">
        <v>12.9633</v>
      </c>
      <c r="J1020" s="320">
        <v>123.76</v>
      </c>
      <c r="K1020" s="320">
        <v>77.08</v>
      </c>
      <c r="L1020" s="320">
        <v>51.81</v>
      </c>
      <c r="M1020" s="320">
        <v>0.6722</v>
      </c>
      <c r="N1020" s="320">
        <v>0.41</v>
      </c>
      <c r="O1020" s="320">
        <v>0.2256</v>
      </c>
      <c r="P1020" s="320">
        <v>1.4878</v>
      </c>
      <c r="Q1020" s="320">
        <v>573.49</v>
      </c>
      <c r="R1020" s="320">
        <v>464.78</v>
      </c>
      <c r="S1020" s="320">
        <v>108.71</v>
      </c>
      <c r="T1020" s="320">
        <v>332.64</v>
      </c>
      <c r="U1020" s="320">
        <v>240.85</v>
      </c>
      <c r="V1020" s="320">
        <v>613.34</v>
      </c>
      <c r="W1020" s="320">
        <v>7.9571</v>
      </c>
      <c r="X1020" s="320">
        <v>58.0</v>
      </c>
      <c r="Y1020" s="320">
        <v>93.0</v>
      </c>
      <c r="Z1020" s="320">
        <v>314.0</v>
      </c>
      <c r="AA1020" s="320">
        <v>902.0</v>
      </c>
      <c r="AB1020" s="320">
        <v>57.7756</v>
      </c>
      <c r="AC1020" s="320">
        <v>0.7671</v>
      </c>
      <c r="AD1020" s="320">
        <v>34.95</v>
      </c>
      <c r="AE1020" s="320">
        <v>11.0</v>
      </c>
      <c r="AF1020" s="320">
        <v>25.0</v>
      </c>
      <c r="AG1020" s="320">
        <v>50.0</v>
      </c>
      <c r="AH1020" s="320">
        <v>77.0</v>
      </c>
      <c r="AI1020" s="320">
        <v>47.36</v>
      </c>
      <c r="AJ1020" s="320">
        <v>18.43</v>
      </c>
      <c r="AK1020" s="320">
        <v>4.78</v>
      </c>
      <c r="AL1020" s="320">
        <v>0.1787</v>
      </c>
      <c r="AM1020" s="320">
        <v>18.52</v>
      </c>
      <c r="AN1020" s="320">
        <v>446.26</v>
      </c>
      <c r="AO1020" s="320">
        <v>74.38</v>
      </c>
      <c r="AP1020" s="320">
        <v>13.78</v>
      </c>
    </row>
    <row r="1021">
      <c r="A1021" s="319" t="s">
        <v>258</v>
      </c>
      <c r="B1021" s="328">
        <v>46099.0</v>
      </c>
      <c r="C1021" s="319" t="s">
        <v>218</v>
      </c>
      <c r="D1021" s="320">
        <v>392.0</v>
      </c>
      <c r="E1021" s="320">
        <v>0.51</v>
      </c>
      <c r="F1021" s="320">
        <v>4076.8</v>
      </c>
      <c r="G1021" s="320">
        <v>10.4</v>
      </c>
      <c r="H1021" s="320">
        <v>43.37</v>
      </c>
      <c r="I1021" s="320">
        <v>23.9812</v>
      </c>
      <c r="J1021" s="320">
        <v>216.51</v>
      </c>
      <c r="K1021" s="320">
        <v>143.53</v>
      </c>
      <c r="L1021" s="320">
        <v>116.83</v>
      </c>
      <c r="M1021" s="320">
        <v>0.814</v>
      </c>
      <c r="N1021" s="320">
        <v>0.2793</v>
      </c>
      <c r="O1021" s="320">
        <v>0.172</v>
      </c>
      <c r="P1021" s="320">
        <v>1.2285</v>
      </c>
      <c r="Q1021" s="320">
        <v>1132.0</v>
      </c>
      <c r="R1021" s="320">
        <v>886.61</v>
      </c>
      <c r="S1021" s="320">
        <v>245.4</v>
      </c>
      <c r="T1021" s="320">
        <v>634.66</v>
      </c>
      <c r="U1021" s="320">
        <v>497.35</v>
      </c>
      <c r="V1021" s="320">
        <v>1224.36</v>
      </c>
      <c r="W1021" s="320">
        <v>8.5303</v>
      </c>
      <c r="X1021" s="320">
        <v>56.06</v>
      </c>
      <c r="Y1021" s="320">
        <v>127.0</v>
      </c>
      <c r="Z1021" s="320">
        <v>588.0</v>
      </c>
      <c r="AA1021" s="320">
        <v>1887.0</v>
      </c>
      <c r="AB1021" s="320">
        <v>61.8233</v>
      </c>
      <c r="AC1021" s="320">
        <v>0.8495</v>
      </c>
      <c r="AD1021" s="320">
        <v>78.06</v>
      </c>
      <c r="AE1021" s="320">
        <v>29.0</v>
      </c>
      <c r="AF1021" s="320">
        <v>62.0</v>
      </c>
      <c r="AG1021" s="320">
        <v>109.0</v>
      </c>
      <c r="AH1021" s="320">
        <v>161.0</v>
      </c>
      <c r="AI1021" s="320">
        <v>40.05</v>
      </c>
      <c r="AJ1021" s="320">
        <v>7.91</v>
      </c>
      <c r="AK1021" s="320">
        <v>1.02</v>
      </c>
      <c r="AL1021" s="320">
        <v>0.1607</v>
      </c>
      <c r="AM1021" s="320">
        <v>20.17</v>
      </c>
      <c r="AN1021" s="320">
        <v>866.44</v>
      </c>
      <c r="AO1021" s="320">
        <v>74.16</v>
      </c>
      <c r="AP1021" s="320">
        <v>14.96</v>
      </c>
    </row>
    <row r="1022">
      <c r="A1022" s="319" t="s">
        <v>258</v>
      </c>
      <c r="B1022" s="328">
        <v>46100.0</v>
      </c>
      <c r="C1022" s="319" t="s">
        <v>257</v>
      </c>
      <c r="D1022" s="320">
        <v>17293.0</v>
      </c>
      <c r="E1022" s="320">
        <v>22.72</v>
      </c>
      <c r="F1022" s="320">
        <v>139.53</v>
      </c>
      <c r="G1022" s="320">
        <v>0.0081</v>
      </c>
      <c r="H1022" s="320">
        <v>0.15</v>
      </c>
      <c r="I1022" s="320">
        <v>5.3665</v>
      </c>
      <c r="J1022" s="320">
        <v>6.55</v>
      </c>
      <c r="K1022" s="320">
        <v>3.03</v>
      </c>
      <c r="L1022" s="320">
        <v>0.02</v>
      </c>
      <c r="M1022" s="320">
        <v>0.0081</v>
      </c>
      <c r="N1022" s="320">
        <v>0.9924</v>
      </c>
      <c r="O1022" s="320">
        <v>0.8849</v>
      </c>
      <c r="P1022" s="320">
        <v>124.0261</v>
      </c>
      <c r="Q1022" s="320">
        <v>22.85</v>
      </c>
      <c r="R1022" s="320">
        <v>22.78</v>
      </c>
      <c r="S1022" s="320">
        <v>0.07</v>
      </c>
      <c r="T1022" s="320">
        <v>0.66</v>
      </c>
      <c r="U1022" s="320">
        <v>22.19</v>
      </c>
      <c r="V1022" s="320">
        <v>1.92</v>
      </c>
      <c r="W1022" s="320">
        <v>0.6343</v>
      </c>
      <c r="X1022" s="320">
        <v>2.9</v>
      </c>
      <c r="Y1022" s="320">
        <v>137.0</v>
      </c>
      <c r="Z1022" s="320">
        <v>942.0</v>
      </c>
      <c r="AA1022" s="320">
        <v>6709.0</v>
      </c>
      <c r="AB1022" s="320">
        <v>49.7503</v>
      </c>
      <c r="AC1022" s="320">
        <v>0.5054</v>
      </c>
      <c r="AD1022" s="329"/>
      <c r="AE1022" s="329"/>
      <c r="AF1022" s="329"/>
      <c r="AG1022" s="329"/>
      <c r="AH1022" s="329"/>
      <c r="AI1022" s="320">
        <v>0.0</v>
      </c>
      <c r="AJ1022" s="320">
        <v>0.0</v>
      </c>
      <c r="AK1022" s="320">
        <v>0.0</v>
      </c>
      <c r="AL1022" s="320">
        <v>0.2713</v>
      </c>
      <c r="AM1022" s="320">
        <v>16.12</v>
      </c>
      <c r="AN1022" s="320">
        <v>6.66</v>
      </c>
      <c r="AO1022" s="329"/>
      <c r="AP1022" s="329"/>
    </row>
    <row r="1023">
      <c r="A1023" s="319" t="s">
        <v>258</v>
      </c>
      <c r="B1023" s="328">
        <v>46100.0</v>
      </c>
      <c r="C1023" s="319" t="s">
        <v>214</v>
      </c>
      <c r="D1023" s="320">
        <v>31710.0</v>
      </c>
      <c r="E1023" s="320">
        <v>41.67</v>
      </c>
      <c r="F1023" s="320">
        <v>6949.91</v>
      </c>
      <c r="G1023" s="320">
        <v>0.2192</v>
      </c>
      <c r="H1023" s="320">
        <v>6.41</v>
      </c>
      <c r="I1023" s="320">
        <v>3.4169</v>
      </c>
      <c r="J1023" s="320">
        <v>29.71</v>
      </c>
      <c r="K1023" s="320">
        <v>15.84</v>
      </c>
      <c r="L1023" s="320">
        <v>4.91</v>
      </c>
      <c r="M1023" s="320">
        <v>0.31</v>
      </c>
      <c r="N1023" s="320">
        <v>0.7609</v>
      </c>
      <c r="O1023" s="320">
        <v>0.5184</v>
      </c>
      <c r="P1023" s="320">
        <v>3.2261</v>
      </c>
      <c r="Q1023" s="320">
        <v>61.83</v>
      </c>
      <c r="R1023" s="320">
        <v>51.65</v>
      </c>
      <c r="S1023" s="320">
        <v>10.18</v>
      </c>
      <c r="T1023" s="320">
        <v>15.62</v>
      </c>
      <c r="U1023" s="320">
        <v>46.21</v>
      </c>
      <c r="V1023" s="320">
        <v>67.48</v>
      </c>
      <c r="W1023" s="320">
        <v>4.2604</v>
      </c>
      <c r="X1023" s="320">
        <v>25.27</v>
      </c>
      <c r="Y1023" s="320">
        <v>85.0</v>
      </c>
      <c r="Z1023" s="320">
        <v>197.0</v>
      </c>
      <c r="AA1023" s="320">
        <v>840.0</v>
      </c>
      <c r="AB1023" s="320">
        <v>49.524</v>
      </c>
      <c r="AC1023" s="320">
        <v>0.4377</v>
      </c>
      <c r="AD1023" s="320">
        <v>3.35</v>
      </c>
      <c r="AE1023" s="320">
        <v>1.0</v>
      </c>
      <c r="AF1023" s="320">
        <v>2.0</v>
      </c>
      <c r="AG1023" s="320">
        <v>4.0</v>
      </c>
      <c r="AH1023" s="320">
        <v>8.0</v>
      </c>
      <c r="AI1023" s="320">
        <v>63.43</v>
      </c>
      <c r="AJ1023" s="320">
        <v>23.04</v>
      </c>
      <c r="AK1023" s="320">
        <v>6.46</v>
      </c>
      <c r="AL1023" s="320">
        <v>0.2214</v>
      </c>
      <c r="AM1023" s="320">
        <v>20.3</v>
      </c>
      <c r="AN1023" s="320">
        <v>31.35</v>
      </c>
      <c r="AO1023" s="320">
        <v>69.11</v>
      </c>
      <c r="AP1023" s="320">
        <v>14.03</v>
      </c>
    </row>
    <row r="1024">
      <c r="A1024" s="319" t="s">
        <v>258</v>
      </c>
      <c r="B1024" s="328">
        <v>46100.0</v>
      </c>
      <c r="C1024" s="319" t="s">
        <v>215</v>
      </c>
      <c r="D1024" s="320">
        <v>15069.0</v>
      </c>
      <c r="E1024" s="320">
        <v>19.8</v>
      </c>
      <c r="F1024" s="320">
        <v>15280.32</v>
      </c>
      <c r="G1024" s="320">
        <v>1.014</v>
      </c>
      <c r="H1024" s="320">
        <v>20.96</v>
      </c>
      <c r="I1024" s="320">
        <v>4.8371</v>
      </c>
      <c r="J1024" s="320">
        <v>53.17</v>
      </c>
      <c r="K1024" s="320">
        <v>30.4</v>
      </c>
      <c r="L1024" s="320">
        <v>13.03</v>
      </c>
      <c r="M1024" s="320">
        <v>0.4285</v>
      </c>
      <c r="N1024" s="320">
        <v>0.6366</v>
      </c>
      <c r="O1024" s="320">
        <v>0.3599</v>
      </c>
      <c r="P1024" s="320">
        <v>2.3335</v>
      </c>
      <c r="Q1024" s="320">
        <v>161.3</v>
      </c>
      <c r="R1024" s="320">
        <v>134.81</v>
      </c>
      <c r="S1024" s="320">
        <v>26.5</v>
      </c>
      <c r="T1024" s="320">
        <v>69.77</v>
      </c>
      <c r="U1024" s="320">
        <v>91.54</v>
      </c>
      <c r="V1024" s="320">
        <v>164.08</v>
      </c>
      <c r="W1024" s="320">
        <v>5.397</v>
      </c>
      <c r="X1024" s="320">
        <v>43.25</v>
      </c>
      <c r="Y1024" s="320">
        <v>83.0</v>
      </c>
      <c r="Z1024" s="320">
        <v>190.0</v>
      </c>
      <c r="AA1024" s="320">
        <v>630.0</v>
      </c>
      <c r="AB1024" s="320">
        <v>52.4749</v>
      </c>
      <c r="AC1024" s="320">
        <v>0.5464</v>
      </c>
      <c r="AD1024" s="320">
        <v>8.41</v>
      </c>
      <c r="AE1024" s="320">
        <v>2.0</v>
      </c>
      <c r="AF1024" s="320">
        <v>6.0</v>
      </c>
      <c r="AG1024" s="320">
        <v>12.0</v>
      </c>
      <c r="AH1024" s="320">
        <v>19.0</v>
      </c>
      <c r="AI1024" s="320">
        <v>51.42</v>
      </c>
      <c r="AJ1024" s="320">
        <v>23.14</v>
      </c>
      <c r="AK1024" s="320">
        <v>4.33</v>
      </c>
      <c r="AL1024" s="320">
        <v>0.2058</v>
      </c>
      <c r="AM1024" s="320">
        <v>20.47</v>
      </c>
      <c r="AN1024" s="320">
        <v>114.34</v>
      </c>
      <c r="AO1024" s="320">
        <v>74.03</v>
      </c>
      <c r="AP1024" s="320">
        <v>15.15</v>
      </c>
    </row>
    <row r="1025">
      <c r="A1025" s="319" t="s">
        <v>258</v>
      </c>
      <c r="B1025" s="328">
        <v>46100.0</v>
      </c>
      <c r="C1025" s="319" t="s">
        <v>216</v>
      </c>
      <c r="D1025" s="320">
        <v>8417.0</v>
      </c>
      <c r="E1025" s="320">
        <v>11.06</v>
      </c>
      <c r="F1025" s="320">
        <v>20392.49</v>
      </c>
      <c r="G1025" s="320">
        <v>2.4228</v>
      </c>
      <c r="H1025" s="320">
        <v>31.59</v>
      </c>
      <c r="I1025" s="320">
        <v>7.6692</v>
      </c>
      <c r="J1025" s="320">
        <v>74.46</v>
      </c>
      <c r="K1025" s="320">
        <v>44.45</v>
      </c>
      <c r="L1025" s="320">
        <v>23.97</v>
      </c>
      <c r="M1025" s="320">
        <v>0.5393</v>
      </c>
      <c r="N1025" s="320">
        <v>0.5357</v>
      </c>
      <c r="O1025" s="320">
        <v>0.2934</v>
      </c>
      <c r="P1025" s="320">
        <v>1.8542</v>
      </c>
      <c r="Q1025" s="320">
        <v>309.81</v>
      </c>
      <c r="R1025" s="320">
        <v>259.56</v>
      </c>
      <c r="S1025" s="320">
        <v>50.24</v>
      </c>
      <c r="T1025" s="320">
        <v>156.46</v>
      </c>
      <c r="U1025" s="320">
        <v>153.34</v>
      </c>
      <c r="V1025" s="320">
        <v>314.38</v>
      </c>
      <c r="W1025" s="320">
        <v>7.0725</v>
      </c>
      <c r="X1025" s="320">
        <v>50.5</v>
      </c>
      <c r="Y1025" s="320">
        <v>85.0</v>
      </c>
      <c r="Z1025" s="320">
        <v>205.0</v>
      </c>
      <c r="AA1025" s="320">
        <v>640.0</v>
      </c>
      <c r="AB1025" s="320">
        <v>54.5717</v>
      </c>
      <c r="AC1025" s="320">
        <v>0.657</v>
      </c>
      <c r="AD1025" s="320">
        <v>15.93</v>
      </c>
      <c r="AE1025" s="320">
        <v>5.0</v>
      </c>
      <c r="AF1025" s="320">
        <v>12.0</v>
      </c>
      <c r="AG1025" s="320">
        <v>23.0</v>
      </c>
      <c r="AH1025" s="320">
        <v>34.0</v>
      </c>
      <c r="AI1025" s="320">
        <v>53.0</v>
      </c>
      <c r="AJ1025" s="320">
        <v>20.62</v>
      </c>
      <c r="AK1025" s="320">
        <v>5.68</v>
      </c>
      <c r="AL1025" s="320">
        <v>0.2026</v>
      </c>
      <c r="AM1025" s="320">
        <v>19.59</v>
      </c>
      <c r="AN1025" s="320">
        <v>239.97</v>
      </c>
      <c r="AO1025" s="320">
        <v>75.21</v>
      </c>
      <c r="AP1025" s="320">
        <v>14.73</v>
      </c>
    </row>
    <row r="1026">
      <c r="A1026" s="319" t="s">
        <v>258</v>
      </c>
      <c r="B1026" s="328">
        <v>46100.0</v>
      </c>
      <c r="C1026" s="319" t="s">
        <v>217</v>
      </c>
      <c r="D1026" s="320">
        <v>3252.0</v>
      </c>
      <c r="E1026" s="320">
        <v>4.27</v>
      </c>
      <c r="F1026" s="320">
        <v>17152.68</v>
      </c>
      <c r="G1026" s="320">
        <v>5.2745</v>
      </c>
      <c r="H1026" s="320">
        <v>40.96</v>
      </c>
      <c r="I1026" s="320">
        <v>12.8774</v>
      </c>
      <c r="J1026" s="320">
        <v>119.28</v>
      </c>
      <c r="K1026" s="320">
        <v>74.17</v>
      </c>
      <c r="L1026" s="320">
        <v>50.82</v>
      </c>
      <c r="M1026" s="320">
        <v>0.6852</v>
      </c>
      <c r="N1026" s="320">
        <v>0.4035</v>
      </c>
      <c r="O1026" s="320">
        <v>0.2308</v>
      </c>
      <c r="P1026" s="320">
        <v>1.4594</v>
      </c>
      <c r="Q1026" s="320">
        <v>634.22</v>
      </c>
      <c r="R1026" s="320">
        <v>526.53</v>
      </c>
      <c r="S1026" s="320">
        <v>107.69</v>
      </c>
      <c r="T1026" s="320">
        <v>334.01</v>
      </c>
      <c r="U1026" s="320">
        <v>300.21</v>
      </c>
      <c r="V1026" s="320">
        <v>643.88</v>
      </c>
      <c r="W1026" s="320">
        <v>8.6816</v>
      </c>
      <c r="X1026" s="320">
        <v>52.67</v>
      </c>
      <c r="Y1026" s="320">
        <v>95.0</v>
      </c>
      <c r="Z1026" s="320">
        <v>304.0</v>
      </c>
      <c r="AA1026" s="320">
        <v>943.0</v>
      </c>
      <c r="AB1026" s="320">
        <v>57.9464</v>
      </c>
      <c r="AC1026" s="320">
        <v>0.7608</v>
      </c>
      <c r="AD1026" s="320">
        <v>34.67</v>
      </c>
      <c r="AE1026" s="320">
        <v>11.0</v>
      </c>
      <c r="AF1026" s="320">
        <v>26.0</v>
      </c>
      <c r="AG1026" s="320">
        <v>49.0</v>
      </c>
      <c r="AH1026" s="320">
        <v>74.0</v>
      </c>
      <c r="AI1026" s="320">
        <v>47.32</v>
      </c>
      <c r="AJ1026" s="320">
        <v>17.59</v>
      </c>
      <c r="AK1026" s="320">
        <v>4.4</v>
      </c>
      <c r="AL1026" s="320">
        <v>0.1974</v>
      </c>
      <c r="AM1026" s="320">
        <v>20.92</v>
      </c>
      <c r="AN1026" s="320">
        <v>505.61</v>
      </c>
      <c r="AO1026" s="320">
        <v>74.79</v>
      </c>
      <c r="AP1026" s="320">
        <v>15.65</v>
      </c>
    </row>
    <row r="1027">
      <c r="A1027" s="319" t="s">
        <v>258</v>
      </c>
      <c r="B1027" s="328">
        <v>46100.0</v>
      </c>
      <c r="C1027" s="319" t="s">
        <v>218</v>
      </c>
      <c r="D1027" s="320">
        <v>357.0</v>
      </c>
      <c r="E1027" s="320">
        <v>0.47</v>
      </c>
      <c r="F1027" s="320">
        <v>4116.0</v>
      </c>
      <c r="G1027" s="320">
        <v>11.5294</v>
      </c>
      <c r="H1027" s="320">
        <v>44.82</v>
      </c>
      <c r="I1027" s="320">
        <v>25.725</v>
      </c>
      <c r="J1027" s="320">
        <v>215.24</v>
      </c>
      <c r="K1027" s="320">
        <v>142.51</v>
      </c>
      <c r="L1027" s="320">
        <v>118.74</v>
      </c>
      <c r="M1027" s="320">
        <v>0.8332</v>
      </c>
      <c r="N1027" s="320">
        <v>0.2666</v>
      </c>
      <c r="O1027" s="320">
        <v>0.1748</v>
      </c>
      <c r="P1027" s="320">
        <v>1.2002</v>
      </c>
      <c r="Q1027" s="320">
        <v>1274.15</v>
      </c>
      <c r="R1027" s="320">
        <v>1023.54</v>
      </c>
      <c r="S1027" s="320">
        <v>250.6</v>
      </c>
      <c r="T1027" s="320">
        <v>696.68</v>
      </c>
      <c r="U1027" s="320">
        <v>577.46</v>
      </c>
      <c r="V1027" s="320">
        <v>1336.55</v>
      </c>
      <c r="W1027" s="320">
        <v>9.3785</v>
      </c>
      <c r="X1027" s="320">
        <v>54.68</v>
      </c>
      <c r="Y1027" s="320">
        <v>133.0</v>
      </c>
      <c r="Z1027" s="320">
        <v>608.0</v>
      </c>
      <c r="AA1027" s="320">
        <v>2349.0</v>
      </c>
      <c r="AB1027" s="320">
        <v>62.7833</v>
      </c>
      <c r="AC1027" s="320">
        <v>0.8613</v>
      </c>
      <c r="AD1027" s="320">
        <v>82.43</v>
      </c>
      <c r="AE1027" s="320">
        <v>30.0</v>
      </c>
      <c r="AF1027" s="320">
        <v>63.0</v>
      </c>
      <c r="AG1027" s="320">
        <v>116.0</v>
      </c>
      <c r="AH1027" s="320">
        <v>182.0</v>
      </c>
      <c r="AI1027" s="320">
        <v>42.58</v>
      </c>
      <c r="AJ1027" s="320">
        <v>10.36</v>
      </c>
      <c r="AK1027" s="320">
        <v>1.4</v>
      </c>
      <c r="AL1027" s="320">
        <v>0.1232</v>
      </c>
      <c r="AM1027" s="320">
        <v>22.31</v>
      </c>
      <c r="AN1027" s="320">
        <v>1001.23</v>
      </c>
      <c r="AO1027" s="320">
        <v>74.19</v>
      </c>
      <c r="AP1027" s="320">
        <v>16.55</v>
      </c>
    </row>
    <row r="1028">
      <c r="A1028" s="319" t="s">
        <v>258</v>
      </c>
      <c r="B1028" s="328">
        <v>46101.0</v>
      </c>
      <c r="C1028" s="319" t="s">
        <v>257</v>
      </c>
      <c r="D1028" s="320">
        <v>14650.0</v>
      </c>
      <c r="E1028" s="320">
        <v>19.61</v>
      </c>
      <c r="F1028" s="320">
        <v>384.02</v>
      </c>
      <c r="G1028" s="320">
        <v>0.0262</v>
      </c>
      <c r="H1028" s="320">
        <v>0.45</v>
      </c>
      <c r="I1028" s="320">
        <v>5.8185</v>
      </c>
      <c r="J1028" s="320">
        <v>5.63</v>
      </c>
      <c r="K1028" s="320">
        <v>2.39</v>
      </c>
      <c r="L1028" s="320">
        <v>0.04</v>
      </c>
      <c r="M1028" s="320">
        <v>0.016</v>
      </c>
      <c r="N1028" s="320">
        <v>0.9855</v>
      </c>
      <c r="O1028" s="320">
        <v>0.8222</v>
      </c>
      <c r="P1028" s="320">
        <v>62.6852</v>
      </c>
      <c r="Q1028" s="320">
        <v>31.92</v>
      </c>
      <c r="R1028" s="320">
        <v>31.86</v>
      </c>
      <c r="S1028" s="320">
        <v>0.06</v>
      </c>
      <c r="T1028" s="320">
        <v>1.95</v>
      </c>
      <c r="U1028" s="320">
        <v>29.97</v>
      </c>
      <c r="V1028" s="320">
        <v>1.84</v>
      </c>
      <c r="W1028" s="320">
        <v>0.7691</v>
      </c>
      <c r="X1028" s="320">
        <v>6.1</v>
      </c>
      <c r="Y1028" s="320">
        <v>186.0</v>
      </c>
      <c r="Z1028" s="320">
        <v>1356.0</v>
      </c>
      <c r="AA1028" s="320">
        <v>8094.0</v>
      </c>
      <c r="AB1028" s="320">
        <v>49.9693</v>
      </c>
      <c r="AC1028" s="320">
        <v>0.5242</v>
      </c>
      <c r="AD1028" s="329"/>
      <c r="AE1028" s="329"/>
      <c r="AF1028" s="329"/>
      <c r="AG1028" s="329"/>
      <c r="AH1028" s="329"/>
      <c r="AI1028" s="320">
        <v>0.0</v>
      </c>
      <c r="AJ1028" s="320">
        <v>0.0</v>
      </c>
      <c r="AK1028" s="320">
        <v>0.0</v>
      </c>
      <c r="AL1028" s="320">
        <v>0.2882</v>
      </c>
      <c r="AM1028" s="320">
        <v>17.57</v>
      </c>
      <c r="AN1028" s="320">
        <v>14.29</v>
      </c>
      <c r="AO1028" s="329"/>
      <c r="AP1028" s="329"/>
    </row>
    <row r="1029">
      <c r="A1029" s="319" t="s">
        <v>258</v>
      </c>
      <c r="B1029" s="328">
        <v>46101.0</v>
      </c>
      <c r="C1029" s="319" t="s">
        <v>214</v>
      </c>
      <c r="D1029" s="320">
        <v>32971.0</v>
      </c>
      <c r="E1029" s="320">
        <v>44.12</v>
      </c>
      <c r="F1029" s="320">
        <v>8223.47</v>
      </c>
      <c r="G1029" s="320">
        <v>0.2494</v>
      </c>
      <c r="H1029" s="320">
        <v>7.13</v>
      </c>
      <c r="I1029" s="320">
        <v>3.4964</v>
      </c>
      <c r="J1029" s="320">
        <v>34.04</v>
      </c>
      <c r="K1029" s="320">
        <v>18.26</v>
      </c>
      <c r="L1029" s="320">
        <v>5.69</v>
      </c>
      <c r="M1029" s="320">
        <v>0.3118</v>
      </c>
      <c r="N1029" s="320">
        <v>0.7572</v>
      </c>
      <c r="O1029" s="320">
        <v>0.5086</v>
      </c>
      <c r="P1029" s="320">
        <v>3.2076</v>
      </c>
      <c r="Q1029" s="320">
        <v>88.05</v>
      </c>
      <c r="R1029" s="320">
        <v>76.2</v>
      </c>
      <c r="S1029" s="320">
        <v>11.85</v>
      </c>
      <c r="T1029" s="320">
        <v>18.02</v>
      </c>
      <c r="U1029" s="320">
        <v>70.02</v>
      </c>
      <c r="V1029" s="320">
        <v>82.13</v>
      </c>
      <c r="W1029" s="320">
        <v>4.498</v>
      </c>
      <c r="X1029" s="320">
        <v>20.47</v>
      </c>
      <c r="Y1029" s="320">
        <v>87.0</v>
      </c>
      <c r="Z1029" s="320">
        <v>212.0</v>
      </c>
      <c r="AA1029" s="320">
        <v>837.0</v>
      </c>
      <c r="AB1029" s="320">
        <v>49.4116</v>
      </c>
      <c r="AC1029" s="320">
        <v>0.4381</v>
      </c>
      <c r="AD1029" s="320">
        <v>3.7</v>
      </c>
      <c r="AE1029" s="320">
        <v>1.0</v>
      </c>
      <c r="AF1029" s="320">
        <v>2.0</v>
      </c>
      <c r="AG1029" s="320">
        <v>5.0</v>
      </c>
      <c r="AH1029" s="320">
        <v>8.0</v>
      </c>
      <c r="AI1029" s="320">
        <v>69.09</v>
      </c>
      <c r="AJ1029" s="320">
        <v>26.97</v>
      </c>
      <c r="AK1029" s="320">
        <v>7.46</v>
      </c>
      <c r="AL1029" s="320">
        <v>0.2313</v>
      </c>
      <c r="AM1029" s="320">
        <v>21.58</v>
      </c>
      <c r="AN1029" s="320">
        <v>54.62</v>
      </c>
      <c r="AO1029" s="320">
        <v>69.01</v>
      </c>
      <c r="AP1029" s="320">
        <v>14.89</v>
      </c>
    </row>
    <row r="1030">
      <c r="A1030" s="319" t="s">
        <v>258</v>
      </c>
      <c r="B1030" s="328">
        <v>46101.0</v>
      </c>
      <c r="C1030" s="319" t="s">
        <v>215</v>
      </c>
      <c r="D1030" s="320">
        <v>15352.0</v>
      </c>
      <c r="E1030" s="320">
        <v>20.55</v>
      </c>
      <c r="F1030" s="320">
        <v>16437.19</v>
      </c>
      <c r="G1030" s="320">
        <v>1.0707</v>
      </c>
      <c r="H1030" s="320">
        <v>21.64</v>
      </c>
      <c r="I1030" s="320">
        <v>4.948</v>
      </c>
      <c r="J1030" s="320">
        <v>61.07</v>
      </c>
      <c r="K1030" s="320">
        <v>35.08</v>
      </c>
      <c r="L1030" s="320">
        <v>14.41</v>
      </c>
      <c r="M1030" s="320">
        <v>0.4108</v>
      </c>
      <c r="N1030" s="320">
        <v>0.6525</v>
      </c>
      <c r="O1030" s="320">
        <v>0.3771</v>
      </c>
      <c r="P1030" s="320">
        <v>2.4343</v>
      </c>
      <c r="Q1030" s="320">
        <v>189.28</v>
      </c>
      <c r="R1030" s="320">
        <v>159.21</v>
      </c>
      <c r="S1030" s="320">
        <v>30.07</v>
      </c>
      <c r="T1030" s="320">
        <v>73.9</v>
      </c>
      <c r="U1030" s="320">
        <v>115.38</v>
      </c>
      <c r="V1030" s="320">
        <v>186.09</v>
      </c>
      <c r="W1030" s="320">
        <v>5.305</v>
      </c>
      <c r="X1030" s="320">
        <v>39.04</v>
      </c>
      <c r="Y1030" s="320">
        <v>84.0</v>
      </c>
      <c r="Z1030" s="320">
        <v>197.0</v>
      </c>
      <c r="AA1030" s="320">
        <v>574.0</v>
      </c>
      <c r="AB1030" s="320">
        <v>52.3254</v>
      </c>
      <c r="AC1030" s="320">
        <v>0.5415</v>
      </c>
      <c r="AD1030" s="320">
        <v>9.1</v>
      </c>
      <c r="AE1030" s="320">
        <v>3.0</v>
      </c>
      <c r="AF1030" s="320">
        <v>7.0</v>
      </c>
      <c r="AG1030" s="320">
        <v>13.0</v>
      </c>
      <c r="AH1030" s="320">
        <v>20.0</v>
      </c>
      <c r="AI1030" s="320">
        <v>56.94</v>
      </c>
      <c r="AJ1030" s="320">
        <v>25.22</v>
      </c>
      <c r="AK1030" s="320">
        <v>4.57</v>
      </c>
      <c r="AL1030" s="320">
        <v>0.2084</v>
      </c>
      <c r="AM1030" s="320">
        <v>21.65</v>
      </c>
      <c r="AN1030" s="320">
        <v>137.57</v>
      </c>
      <c r="AO1030" s="320">
        <v>74.24</v>
      </c>
      <c r="AP1030" s="320">
        <v>16.07</v>
      </c>
    </row>
    <row r="1031">
      <c r="A1031" s="319" t="s">
        <v>258</v>
      </c>
      <c r="B1031" s="328">
        <v>46101.0</v>
      </c>
      <c r="C1031" s="319" t="s">
        <v>216</v>
      </c>
      <c r="D1031" s="320">
        <v>8285.0</v>
      </c>
      <c r="E1031" s="320">
        <v>11.09</v>
      </c>
      <c r="F1031" s="320">
        <v>21185.16</v>
      </c>
      <c r="G1031" s="320">
        <v>2.5571</v>
      </c>
      <c r="H1031" s="320">
        <v>32.72</v>
      </c>
      <c r="I1031" s="320">
        <v>7.8145</v>
      </c>
      <c r="J1031" s="320">
        <v>83.21</v>
      </c>
      <c r="K1031" s="320">
        <v>49.7</v>
      </c>
      <c r="L1031" s="320">
        <v>26.04</v>
      </c>
      <c r="M1031" s="320">
        <v>0.5239</v>
      </c>
      <c r="N1031" s="320">
        <v>0.5476</v>
      </c>
      <c r="O1031" s="320">
        <v>0.3031</v>
      </c>
      <c r="P1031" s="320">
        <v>1.9088</v>
      </c>
      <c r="Q1031" s="320">
        <v>325.17</v>
      </c>
      <c r="R1031" s="320">
        <v>270.63</v>
      </c>
      <c r="S1031" s="320">
        <v>54.54</v>
      </c>
      <c r="T1031" s="320">
        <v>162.9</v>
      </c>
      <c r="U1031" s="320">
        <v>162.27</v>
      </c>
      <c r="V1031" s="320">
        <v>334.36</v>
      </c>
      <c r="W1031" s="320">
        <v>6.7276</v>
      </c>
      <c r="X1031" s="320">
        <v>50.1</v>
      </c>
      <c r="Y1031" s="320">
        <v>86.0</v>
      </c>
      <c r="Z1031" s="320">
        <v>214.0</v>
      </c>
      <c r="AA1031" s="320">
        <v>645.0</v>
      </c>
      <c r="AB1031" s="320">
        <v>54.5725</v>
      </c>
      <c r="AC1031" s="320">
        <v>0.6561</v>
      </c>
      <c r="AD1031" s="320">
        <v>16.73</v>
      </c>
      <c r="AE1031" s="320">
        <v>6.0</v>
      </c>
      <c r="AF1031" s="320">
        <v>12.0</v>
      </c>
      <c r="AG1031" s="320">
        <v>23.0</v>
      </c>
      <c r="AH1031" s="320">
        <v>36.0</v>
      </c>
      <c r="AI1031" s="320">
        <v>55.08</v>
      </c>
      <c r="AJ1031" s="320">
        <v>21.3</v>
      </c>
      <c r="AK1031" s="320">
        <v>6.52</v>
      </c>
      <c r="AL1031" s="320">
        <v>0.2097</v>
      </c>
      <c r="AM1031" s="320">
        <v>20.68</v>
      </c>
      <c r="AN1031" s="320">
        <v>249.95</v>
      </c>
      <c r="AO1031" s="320">
        <v>75.15</v>
      </c>
      <c r="AP1031" s="320">
        <v>15.54</v>
      </c>
    </row>
    <row r="1032">
      <c r="A1032" s="319" t="s">
        <v>258</v>
      </c>
      <c r="B1032" s="328">
        <v>46101.0</v>
      </c>
      <c r="C1032" s="319" t="s">
        <v>217</v>
      </c>
      <c r="D1032" s="320">
        <v>3090.0</v>
      </c>
      <c r="E1032" s="320">
        <v>4.14</v>
      </c>
      <c r="F1032" s="320">
        <v>19115.29</v>
      </c>
      <c r="G1032" s="320">
        <v>6.1862</v>
      </c>
      <c r="H1032" s="320">
        <v>43.46</v>
      </c>
      <c r="I1032" s="320">
        <v>14.2333</v>
      </c>
      <c r="J1032" s="320">
        <v>134.39</v>
      </c>
      <c r="K1032" s="320">
        <v>81.99</v>
      </c>
      <c r="L1032" s="320">
        <v>53.63</v>
      </c>
      <c r="M1032" s="320">
        <v>0.6542</v>
      </c>
      <c r="N1032" s="320">
        <v>0.4307</v>
      </c>
      <c r="O1032" s="320">
        <v>0.2451</v>
      </c>
      <c r="P1032" s="320">
        <v>1.5287</v>
      </c>
      <c r="Q1032" s="320">
        <v>652.99</v>
      </c>
      <c r="R1032" s="320">
        <v>540.02</v>
      </c>
      <c r="S1032" s="320">
        <v>112.97</v>
      </c>
      <c r="T1032" s="320">
        <v>389.03</v>
      </c>
      <c r="U1032" s="320">
        <v>263.96</v>
      </c>
      <c r="V1032" s="320">
        <v>683.98</v>
      </c>
      <c r="W1032" s="320">
        <v>8.3422</v>
      </c>
      <c r="X1032" s="320">
        <v>59.58</v>
      </c>
      <c r="Y1032" s="320">
        <v>94.0</v>
      </c>
      <c r="Z1032" s="320">
        <v>281.0</v>
      </c>
      <c r="AA1032" s="320">
        <v>874.0</v>
      </c>
      <c r="AB1032" s="320">
        <v>57.8408</v>
      </c>
      <c r="AC1032" s="320">
        <v>0.7609</v>
      </c>
      <c r="AD1032" s="320">
        <v>34.17</v>
      </c>
      <c r="AE1032" s="320">
        <v>11.0</v>
      </c>
      <c r="AF1032" s="320">
        <v>26.0</v>
      </c>
      <c r="AG1032" s="320">
        <v>48.0</v>
      </c>
      <c r="AH1032" s="320">
        <v>73.0</v>
      </c>
      <c r="AI1032" s="320">
        <v>47.02</v>
      </c>
      <c r="AJ1032" s="320">
        <v>16.31</v>
      </c>
      <c r="AK1032" s="320">
        <v>4.4</v>
      </c>
      <c r="AL1032" s="320">
        <v>0.1896</v>
      </c>
      <c r="AM1032" s="320">
        <v>20.82</v>
      </c>
      <c r="AN1032" s="320">
        <v>519.2</v>
      </c>
      <c r="AO1032" s="320">
        <v>75.42</v>
      </c>
      <c r="AP1032" s="320">
        <v>15.7</v>
      </c>
    </row>
    <row r="1033">
      <c r="A1033" s="319" t="s">
        <v>258</v>
      </c>
      <c r="B1033" s="328">
        <v>46101.0</v>
      </c>
      <c r="C1033" s="319" t="s">
        <v>218</v>
      </c>
      <c r="D1033" s="320">
        <v>375.0</v>
      </c>
      <c r="E1033" s="320">
        <v>0.5</v>
      </c>
      <c r="F1033" s="320">
        <v>4075.77</v>
      </c>
      <c r="G1033" s="320">
        <v>10.8687</v>
      </c>
      <c r="H1033" s="320">
        <v>48.0</v>
      </c>
      <c r="I1033" s="320">
        <v>22.6432</v>
      </c>
      <c r="J1033" s="320">
        <v>237.15</v>
      </c>
      <c r="K1033" s="320">
        <v>152.43</v>
      </c>
      <c r="L1033" s="320">
        <v>124.45</v>
      </c>
      <c r="M1033" s="320">
        <v>0.8164</v>
      </c>
      <c r="N1033" s="320">
        <v>0.2757</v>
      </c>
      <c r="O1033" s="320">
        <v>0.1744</v>
      </c>
      <c r="P1033" s="320">
        <v>1.2249</v>
      </c>
      <c r="Q1033" s="320">
        <v>1190.49</v>
      </c>
      <c r="R1033" s="320">
        <v>927.57</v>
      </c>
      <c r="S1033" s="320">
        <v>262.92</v>
      </c>
      <c r="T1033" s="320">
        <v>676.23</v>
      </c>
      <c r="U1033" s="320">
        <v>514.26</v>
      </c>
      <c r="V1033" s="320">
        <v>1285.73</v>
      </c>
      <c r="W1033" s="320">
        <v>8.4347</v>
      </c>
      <c r="X1033" s="320">
        <v>56.8</v>
      </c>
      <c r="Y1033" s="320">
        <v>138.0</v>
      </c>
      <c r="Z1033" s="320">
        <v>610.0</v>
      </c>
      <c r="AA1033" s="320">
        <v>2629.0</v>
      </c>
      <c r="AB1033" s="320">
        <v>62.4894</v>
      </c>
      <c r="AC1033" s="320">
        <v>0.8517</v>
      </c>
      <c r="AD1033" s="320">
        <v>83.3</v>
      </c>
      <c r="AE1033" s="320">
        <v>29.0</v>
      </c>
      <c r="AF1033" s="320">
        <v>65.0</v>
      </c>
      <c r="AG1033" s="320">
        <v>122.0</v>
      </c>
      <c r="AH1033" s="320">
        <v>179.0</v>
      </c>
      <c r="AI1033" s="320">
        <v>43.73</v>
      </c>
      <c r="AJ1033" s="320">
        <v>10.93</v>
      </c>
      <c r="AK1033" s="320">
        <v>0.8</v>
      </c>
      <c r="AL1033" s="320">
        <v>0.176</v>
      </c>
      <c r="AM1033" s="320">
        <v>18.48</v>
      </c>
      <c r="AN1033" s="320">
        <v>909.09</v>
      </c>
      <c r="AO1033" s="320">
        <v>71.01</v>
      </c>
      <c r="AP1033" s="320">
        <v>13.12</v>
      </c>
    </row>
    <row r="1034">
      <c r="A1034" s="319" t="s">
        <v>258</v>
      </c>
      <c r="B1034" s="328">
        <v>46102.0</v>
      </c>
      <c r="C1034" s="319" t="s">
        <v>257</v>
      </c>
      <c r="D1034" s="320">
        <v>15512.0</v>
      </c>
      <c r="E1034" s="320">
        <v>20.9</v>
      </c>
      <c r="F1034" s="320">
        <v>145.83</v>
      </c>
      <c r="G1034" s="320">
        <v>0.0094</v>
      </c>
      <c r="H1034" s="320">
        <v>0.28</v>
      </c>
      <c r="I1034" s="320">
        <v>3.3143</v>
      </c>
      <c r="J1034" s="320">
        <v>6.09</v>
      </c>
      <c r="K1034" s="320">
        <v>2.73</v>
      </c>
      <c r="L1034" s="320">
        <v>0.03</v>
      </c>
      <c r="M1034" s="320">
        <v>0.0103</v>
      </c>
      <c r="N1034" s="320">
        <v>0.9906</v>
      </c>
      <c r="O1034" s="320">
        <v>0.8785</v>
      </c>
      <c r="P1034" s="320">
        <v>96.8082</v>
      </c>
      <c r="Q1034" s="320">
        <v>27.41</v>
      </c>
      <c r="R1034" s="320">
        <v>27.36</v>
      </c>
      <c r="S1034" s="320">
        <v>0.06</v>
      </c>
      <c r="T1034" s="320">
        <v>0.77</v>
      </c>
      <c r="U1034" s="320">
        <v>26.64</v>
      </c>
      <c r="V1034" s="320">
        <v>2.36</v>
      </c>
      <c r="W1034" s="320">
        <v>0.8632</v>
      </c>
      <c r="X1034" s="320">
        <v>2.81</v>
      </c>
      <c r="Y1034" s="320">
        <v>150.0</v>
      </c>
      <c r="Z1034" s="320">
        <v>1099.0</v>
      </c>
      <c r="AA1034" s="320">
        <v>7412.0</v>
      </c>
      <c r="AB1034" s="320">
        <v>49.7798</v>
      </c>
      <c r="AC1034" s="320">
        <v>0.5044</v>
      </c>
      <c r="AD1034" s="329"/>
      <c r="AE1034" s="329"/>
      <c r="AF1034" s="329"/>
      <c r="AG1034" s="329"/>
      <c r="AH1034" s="329"/>
      <c r="AI1034" s="320">
        <v>0.0</v>
      </c>
      <c r="AJ1034" s="320">
        <v>0.0</v>
      </c>
      <c r="AK1034" s="320">
        <v>0.0</v>
      </c>
      <c r="AL1034" s="320">
        <v>0.2715</v>
      </c>
      <c r="AM1034" s="320">
        <v>18.02</v>
      </c>
      <c r="AN1034" s="320">
        <v>9.33</v>
      </c>
      <c r="AO1034" s="329"/>
      <c r="AP1034" s="329"/>
    </row>
    <row r="1035">
      <c r="A1035" s="319" t="s">
        <v>258</v>
      </c>
      <c r="B1035" s="328">
        <v>46102.0</v>
      </c>
      <c r="C1035" s="319" t="s">
        <v>214</v>
      </c>
      <c r="D1035" s="320">
        <v>31920.0</v>
      </c>
      <c r="E1035" s="320">
        <v>43.0</v>
      </c>
      <c r="F1035" s="320">
        <v>8132.65</v>
      </c>
      <c r="G1035" s="320">
        <v>0.2548</v>
      </c>
      <c r="H1035" s="320">
        <v>6.98</v>
      </c>
      <c r="I1035" s="320">
        <v>3.6502</v>
      </c>
      <c r="J1035" s="320">
        <v>32.11</v>
      </c>
      <c r="K1035" s="320">
        <v>17.23</v>
      </c>
      <c r="L1035" s="320">
        <v>5.5</v>
      </c>
      <c r="M1035" s="320">
        <v>0.3191</v>
      </c>
      <c r="N1035" s="320">
        <v>0.7521</v>
      </c>
      <c r="O1035" s="320">
        <v>0.5068</v>
      </c>
      <c r="P1035" s="320">
        <v>3.1342</v>
      </c>
      <c r="Q1035" s="320">
        <v>75.75</v>
      </c>
      <c r="R1035" s="320">
        <v>64.51</v>
      </c>
      <c r="S1035" s="320">
        <v>11.24</v>
      </c>
      <c r="T1035" s="320">
        <v>18.2</v>
      </c>
      <c r="U1035" s="320">
        <v>57.56</v>
      </c>
      <c r="V1035" s="320">
        <v>79.26</v>
      </c>
      <c r="W1035" s="320">
        <v>4.6006</v>
      </c>
      <c r="X1035" s="320">
        <v>24.02</v>
      </c>
      <c r="Y1035" s="320">
        <v>87.0</v>
      </c>
      <c r="Z1035" s="320">
        <v>219.0</v>
      </c>
      <c r="AA1035" s="320">
        <v>887.0</v>
      </c>
      <c r="AB1035" s="320">
        <v>49.4737</v>
      </c>
      <c r="AC1035" s="320">
        <v>0.4445</v>
      </c>
      <c r="AD1035" s="320">
        <v>3.65</v>
      </c>
      <c r="AE1035" s="320">
        <v>1.0</v>
      </c>
      <c r="AF1035" s="320">
        <v>2.0</v>
      </c>
      <c r="AG1035" s="320">
        <v>5.0</v>
      </c>
      <c r="AH1035" s="320">
        <v>8.0</v>
      </c>
      <c r="AI1035" s="320">
        <v>66.99</v>
      </c>
      <c r="AJ1035" s="320">
        <v>26.02</v>
      </c>
      <c r="AK1035" s="320">
        <v>7.62</v>
      </c>
      <c r="AL1035" s="320">
        <v>0.2127</v>
      </c>
      <c r="AM1035" s="320">
        <v>23.4</v>
      </c>
      <c r="AN1035" s="320">
        <v>41.1</v>
      </c>
      <c r="AO1035" s="320">
        <v>68.38</v>
      </c>
      <c r="AP1035" s="320">
        <v>16.0</v>
      </c>
    </row>
    <row r="1036">
      <c r="A1036" s="319" t="s">
        <v>258</v>
      </c>
      <c r="B1036" s="328">
        <v>46102.0</v>
      </c>
      <c r="C1036" s="319" t="s">
        <v>215</v>
      </c>
      <c r="D1036" s="320">
        <v>15268.0</v>
      </c>
      <c r="E1036" s="320">
        <v>20.57</v>
      </c>
      <c r="F1036" s="320">
        <v>15499.41</v>
      </c>
      <c r="G1036" s="320">
        <v>1.0152</v>
      </c>
      <c r="H1036" s="320">
        <v>21.36</v>
      </c>
      <c r="I1036" s="320">
        <v>4.7515</v>
      </c>
      <c r="J1036" s="320">
        <v>56.97</v>
      </c>
      <c r="K1036" s="320">
        <v>32.47</v>
      </c>
      <c r="L1036" s="320">
        <v>13.73</v>
      </c>
      <c r="M1036" s="320">
        <v>0.4228</v>
      </c>
      <c r="N1036" s="320">
        <v>0.6425</v>
      </c>
      <c r="O1036" s="320">
        <v>0.3694</v>
      </c>
      <c r="P1036" s="320">
        <v>2.3653</v>
      </c>
      <c r="Q1036" s="320">
        <v>172.1</v>
      </c>
      <c r="R1036" s="320">
        <v>143.31</v>
      </c>
      <c r="S1036" s="320">
        <v>28.79</v>
      </c>
      <c r="T1036" s="320">
        <v>68.64</v>
      </c>
      <c r="U1036" s="320">
        <v>103.46</v>
      </c>
      <c r="V1036" s="320">
        <v>180.94</v>
      </c>
      <c r="W1036" s="320">
        <v>5.5722</v>
      </c>
      <c r="X1036" s="320">
        <v>39.89</v>
      </c>
      <c r="Y1036" s="320">
        <v>85.0</v>
      </c>
      <c r="Z1036" s="320">
        <v>198.0</v>
      </c>
      <c r="AA1036" s="320">
        <v>653.0</v>
      </c>
      <c r="AB1036" s="320">
        <v>52.553</v>
      </c>
      <c r="AC1036" s="320">
        <v>0.5552</v>
      </c>
      <c r="AD1036" s="320">
        <v>9.02</v>
      </c>
      <c r="AE1036" s="320">
        <v>3.0</v>
      </c>
      <c r="AF1036" s="320">
        <v>6.0</v>
      </c>
      <c r="AG1036" s="320">
        <v>13.0</v>
      </c>
      <c r="AH1036" s="320">
        <v>20.0</v>
      </c>
      <c r="AI1036" s="320">
        <v>55.13</v>
      </c>
      <c r="AJ1036" s="320">
        <v>25.58</v>
      </c>
      <c r="AK1036" s="320">
        <v>4.94</v>
      </c>
      <c r="AL1036" s="320">
        <v>0.2021</v>
      </c>
      <c r="AM1036" s="320">
        <v>23.04</v>
      </c>
      <c r="AN1036" s="320">
        <v>120.27</v>
      </c>
      <c r="AO1036" s="320">
        <v>73.56</v>
      </c>
      <c r="AP1036" s="320">
        <v>16.95</v>
      </c>
    </row>
    <row r="1037">
      <c r="A1037" s="319" t="s">
        <v>258</v>
      </c>
      <c r="B1037" s="328">
        <v>46102.0</v>
      </c>
      <c r="C1037" s="319" t="s">
        <v>216</v>
      </c>
      <c r="D1037" s="320">
        <v>8023.0</v>
      </c>
      <c r="E1037" s="320">
        <v>10.81</v>
      </c>
      <c r="F1037" s="320">
        <v>20252.13</v>
      </c>
      <c r="G1037" s="320">
        <v>2.5243</v>
      </c>
      <c r="H1037" s="320">
        <v>32.79</v>
      </c>
      <c r="I1037" s="320">
        <v>7.6975</v>
      </c>
      <c r="J1037" s="320">
        <v>81.21</v>
      </c>
      <c r="K1037" s="320">
        <v>48.12</v>
      </c>
      <c r="L1037" s="320">
        <v>26.0</v>
      </c>
      <c r="M1037" s="320">
        <v>0.5403</v>
      </c>
      <c r="N1037" s="320">
        <v>0.5339</v>
      </c>
      <c r="O1037" s="320">
        <v>0.298</v>
      </c>
      <c r="P1037" s="320">
        <v>1.8508</v>
      </c>
      <c r="Q1037" s="320">
        <v>325.32</v>
      </c>
      <c r="R1037" s="320">
        <v>270.76</v>
      </c>
      <c r="S1037" s="320">
        <v>54.56</v>
      </c>
      <c r="T1037" s="320">
        <v>160.53</v>
      </c>
      <c r="U1037" s="320">
        <v>164.79</v>
      </c>
      <c r="V1037" s="320">
        <v>339.21</v>
      </c>
      <c r="W1037" s="320">
        <v>7.0489</v>
      </c>
      <c r="X1037" s="320">
        <v>49.34</v>
      </c>
      <c r="Y1037" s="320">
        <v>85.0</v>
      </c>
      <c r="Z1037" s="320">
        <v>211.0</v>
      </c>
      <c r="AA1037" s="320">
        <v>653.0</v>
      </c>
      <c r="AB1037" s="320">
        <v>54.6986</v>
      </c>
      <c r="AC1037" s="320">
        <v>0.6566</v>
      </c>
      <c r="AD1037" s="320">
        <v>16.85</v>
      </c>
      <c r="AE1037" s="320">
        <v>6.0</v>
      </c>
      <c r="AF1037" s="320">
        <v>13.0</v>
      </c>
      <c r="AG1037" s="320">
        <v>24.0</v>
      </c>
      <c r="AH1037" s="320">
        <v>37.0</v>
      </c>
      <c r="AI1037" s="320">
        <v>55.13</v>
      </c>
      <c r="AJ1037" s="320">
        <v>22.27</v>
      </c>
      <c r="AK1037" s="320">
        <v>6.63</v>
      </c>
      <c r="AL1037" s="320">
        <v>0.2019</v>
      </c>
      <c r="AM1037" s="320">
        <v>22.63</v>
      </c>
      <c r="AN1037" s="320">
        <v>248.14</v>
      </c>
      <c r="AO1037" s="320">
        <v>74.29</v>
      </c>
      <c r="AP1037" s="320">
        <v>16.81</v>
      </c>
    </row>
    <row r="1038">
      <c r="A1038" s="319" t="s">
        <v>258</v>
      </c>
      <c r="B1038" s="328">
        <v>46102.0</v>
      </c>
      <c r="C1038" s="319" t="s">
        <v>217</v>
      </c>
      <c r="D1038" s="320">
        <v>3135.0</v>
      </c>
      <c r="E1038" s="320">
        <v>4.22</v>
      </c>
      <c r="F1038" s="320">
        <v>19008.38</v>
      </c>
      <c r="G1038" s="320">
        <v>6.0633</v>
      </c>
      <c r="H1038" s="320">
        <v>44.24</v>
      </c>
      <c r="I1038" s="320">
        <v>13.7047</v>
      </c>
      <c r="J1038" s="320">
        <v>126.04</v>
      </c>
      <c r="K1038" s="320">
        <v>78.34</v>
      </c>
      <c r="L1038" s="320">
        <v>53.1</v>
      </c>
      <c r="M1038" s="320">
        <v>0.6779</v>
      </c>
      <c r="N1038" s="320">
        <v>0.4129</v>
      </c>
      <c r="O1038" s="320">
        <v>0.2361</v>
      </c>
      <c r="P1038" s="320">
        <v>1.4752</v>
      </c>
      <c r="Q1038" s="320">
        <v>682.82</v>
      </c>
      <c r="R1038" s="320">
        <v>571.01</v>
      </c>
      <c r="S1038" s="320">
        <v>111.81</v>
      </c>
      <c r="T1038" s="320">
        <v>380.44</v>
      </c>
      <c r="U1038" s="320">
        <v>302.38</v>
      </c>
      <c r="V1038" s="320">
        <v>695.89</v>
      </c>
      <c r="W1038" s="320">
        <v>8.8832</v>
      </c>
      <c r="X1038" s="320">
        <v>55.72</v>
      </c>
      <c r="Y1038" s="320">
        <v>96.0</v>
      </c>
      <c r="Z1038" s="320">
        <v>313.0</v>
      </c>
      <c r="AA1038" s="320">
        <v>973.0</v>
      </c>
      <c r="AB1038" s="320">
        <v>57.5518</v>
      </c>
      <c r="AC1038" s="320">
        <v>0.7608</v>
      </c>
      <c r="AD1038" s="320">
        <v>35.39</v>
      </c>
      <c r="AE1038" s="320">
        <v>12.0</v>
      </c>
      <c r="AF1038" s="320">
        <v>27.0</v>
      </c>
      <c r="AG1038" s="320">
        <v>50.0</v>
      </c>
      <c r="AH1038" s="320">
        <v>76.0</v>
      </c>
      <c r="AI1038" s="320">
        <v>49.15</v>
      </c>
      <c r="AJ1038" s="320">
        <v>17.93</v>
      </c>
      <c r="AK1038" s="320">
        <v>4.69</v>
      </c>
      <c r="AL1038" s="320">
        <v>0.1879</v>
      </c>
      <c r="AM1038" s="320">
        <v>21.98</v>
      </c>
      <c r="AN1038" s="320">
        <v>549.03</v>
      </c>
      <c r="AO1038" s="320">
        <v>73.55</v>
      </c>
      <c r="AP1038" s="320">
        <v>16.17</v>
      </c>
    </row>
    <row r="1039">
      <c r="A1039" s="319" t="s">
        <v>258</v>
      </c>
      <c r="B1039" s="328">
        <v>46102.0</v>
      </c>
      <c r="C1039" s="319" t="s">
        <v>218</v>
      </c>
      <c r="D1039" s="320">
        <v>374.0</v>
      </c>
      <c r="E1039" s="320">
        <v>0.5</v>
      </c>
      <c r="F1039" s="320">
        <v>4280.97</v>
      </c>
      <c r="G1039" s="320">
        <v>11.4464</v>
      </c>
      <c r="H1039" s="320">
        <v>46.26</v>
      </c>
      <c r="I1039" s="320">
        <v>24.7455</v>
      </c>
      <c r="J1039" s="320">
        <v>239.37</v>
      </c>
      <c r="K1039" s="320">
        <v>153.78</v>
      </c>
      <c r="L1039" s="320">
        <v>126.55</v>
      </c>
      <c r="M1039" s="320">
        <v>0.8229</v>
      </c>
      <c r="N1039" s="320">
        <v>0.2723</v>
      </c>
      <c r="O1039" s="320">
        <v>0.1747</v>
      </c>
      <c r="P1039" s="320">
        <v>1.2152</v>
      </c>
      <c r="Q1039" s="320">
        <v>1347.3</v>
      </c>
      <c r="R1039" s="320">
        <v>1081.16</v>
      </c>
      <c r="S1039" s="320">
        <v>266.14</v>
      </c>
      <c r="T1039" s="320">
        <v>752.05</v>
      </c>
      <c r="U1039" s="320">
        <v>595.25</v>
      </c>
      <c r="V1039" s="320">
        <v>1335.56</v>
      </c>
      <c r="W1039" s="320">
        <v>8.6851</v>
      </c>
      <c r="X1039" s="320">
        <v>55.82</v>
      </c>
      <c r="Y1039" s="320">
        <v>188.0</v>
      </c>
      <c r="Z1039" s="320">
        <v>858.0</v>
      </c>
      <c r="AA1039" s="320">
        <v>2948.0</v>
      </c>
      <c r="AB1039" s="320">
        <v>61.4318</v>
      </c>
      <c r="AC1039" s="320">
        <v>0.8482</v>
      </c>
      <c r="AD1039" s="320">
        <v>81.76</v>
      </c>
      <c r="AE1039" s="320">
        <v>29.0</v>
      </c>
      <c r="AF1039" s="320">
        <v>65.0</v>
      </c>
      <c r="AG1039" s="320">
        <v>119.0</v>
      </c>
      <c r="AH1039" s="320">
        <v>173.0</v>
      </c>
      <c r="AI1039" s="320">
        <v>42.78</v>
      </c>
      <c r="AJ1039" s="320">
        <v>9.36</v>
      </c>
      <c r="AK1039" s="320">
        <v>1.6</v>
      </c>
      <c r="AL1039" s="320">
        <v>0.1203</v>
      </c>
      <c r="AM1039" s="320">
        <v>22.05</v>
      </c>
      <c r="AN1039" s="320">
        <v>1059.12</v>
      </c>
      <c r="AO1039" s="320">
        <v>71.51</v>
      </c>
      <c r="AP1039" s="320">
        <v>15.77</v>
      </c>
    </row>
    <row r="1040">
      <c r="A1040" s="319" t="s">
        <v>258</v>
      </c>
      <c r="B1040" s="328">
        <v>46103.0</v>
      </c>
      <c r="C1040" s="319" t="s">
        <v>257</v>
      </c>
      <c r="D1040" s="320">
        <v>15443.0</v>
      </c>
      <c r="E1040" s="320">
        <v>20.45</v>
      </c>
      <c r="F1040" s="320">
        <v>184.56</v>
      </c>
      <c r="G1040" s="320">
        <v>0.012</v>
      </c>
      <c r="H1040" s="320">
        <v>0.19</v>
      </c>
      <c r="I1040" s="320">
        <v>6.152</v>
      </c>
      <c r="J1040" s="320">
        <v>6.22</v>
      </c>
      <c r="K1040" s="320">
        <v>2.85</v>
      </c>
      <c r="L1040" s="320">
        <v>0.03</v>
      </c>
      <c r="M1040" s="320">
        <v>0.0106</v>
      </c>
      <c r="N1040" s="320">
        <v>0.9902</v>
      </c>
      <c r="O1040" s="320">
        <v>0.8508</v>
      </c>
      <c r="P1040" s="320">
        <v>94.5505</v>
      </c>
      <c r="Q1040" s="320">
        <v>24.72</v>
      </c>
      <c r="R1040" s="320">
        <v>24.65</v>
      </c>
      <c r="S1040" s="320">
        <v>0.08</v>
      </c>
      <c r="T1040" s="320">
        <v>0.85</v>
      </c>
      <c r="U1040" s="320">
        <v>23.88</v>
      </c>
      <c r="V1040" s="320">
        <v>1.89</v>
      </c>
      <c r="W1040" s="320">
        <v>0.6653</v>
      </c>
      <c r="X1040" s="320">
        <v>3.42</v>
      </c>
      <c r="Y1040" s="320">
        <v>149.0</v>
      </c>
      <c r="Z1040" s="320">
        <v>1195.0</v>
      </c>
      <c r="AA1040" s="320">
        <v>7671.0</v>
      </c>
      <c r="AB1040" s="320">
        <v>50.0389</v>
      </c>
      <c r="AC1040" s="320">
        <v>0.5229</v>
      </c>
      <c r="AD1040" s="329"/>
      <c r="AE1040" s="329"/>
      <c r="AF1040" s="329"/>
      <c r="AG1040" s="329"/>
      <c r="AH1040" s="329"/>
      <c r="AI1040" s="320">
        <v>0.0</v>
      </c>
      <c r="AJ1040" s="320">
        <v>0.0</v>
      </c>
      <c r="AK1040" s="320">
        <v>0.0</v>
      </c>
      <c r="AL1040" s="320">
        <v>0.2717</v>
      </c>
      <c r="AM1040" s="320">
        <v>18.01</v>
      </c>
      <c r="AN1040" s="320">
        <v>6.64</v>
      </c>
      <c r="AO1040" s="329"/>
      <c r="AP1040" s="329"/>
    </row>
    <row r="1041">
      <c r="A1041" s="319" t="s">
        <v>258</v>
      </c>
      <c r="B1041" s="328">
        <v>46103.0</v>
      </c>
      <c r="C1041" s="319" t="s">
        <v>214</v>
      </c>
      <c r="D1041" s="320">
        <v>32772.0</v>
      </c>
      <c r="E1041" s="320">
        <v>43.39</v>
      </c>
      <c r="F1041" s="320">
        <v>7494.77</v>
      </c>
      <c r="G1041" s="320">
        <v>0.2287</v>
      </c>
      <c r="H1041" s="320">
        <v>6.79</v>
      </c>
      <c r="I1041" s="320">
        <v>3.3684</v>
      </c>
      <c r="J1041" s="320">
        <v>35.61</v>
      </c>
      <c r="K1041" s="320">
        <v>19.61</v>
      </c>
      <c r="L1041" s="320">
        <v>5.58</v>
      </c>
      <c r="M1041" s="320">
        <v>0.2843</v>
      </c>
      <c r="N1041" s="320">
        <v>0.7768</v>
      </c>
      <c r="O1041" s="320">
        <v>0.5201</v>
      </c>
      <c r="P1041" s="320">
        <v>3.5178</v>
      </c>
      <c r="Q1041" s="320">
        <v>65.67</v>
      </c>
      <c r="R1041" s="320">
        <v>54.26</v>
      </c>
      <c r="S1041" s="320">
        <v>11.41</v>
      </c>
      <c r="T1041" s="320">
        <v>16.66</v>
      </c>
      <c r="U1041" s="320">
        <v>49.01</v>
      </c>
      <c r="V1041" s="320">
        <v>74.1</v>
      </c>
      <c r="W1041" s="320">
        <v>3.7778</v>
      </c>
      <c r="X1041" s="320">
        <v>25.37</v>
      </c>
      <c r="Y1041" s="320">
        <v>83.0</v>
      </c>
      <c r="Z1041" s="320">
        <v>202.0</v>
      </c>
      <c r="AA1041" s="320">
        <v>843.0</v>
      </c>
      <c r="AB1041" s="320">
        <v>49.5249</v>
      </c>
      <c r="AC1041" s="320">
        <v>0.4444</v>
      </c>
      <c r="AD1041" s="320">
        <v>3.56</v>
      </c>
      <c r="AE1041" s="320">
        <v>1.0</v>
      </c>
      <c r="AF1041" s="320">
        <v>2.0</v>
      </c>
      <c r="AG1041" s="320">
        <v>5.0</v>
      </c>
      <c r="AH1041" s="320">
        <v>8.0</v>
      </c>
      <c r="AI1041" s="320">
        <v>67.29</v>
      </c>
      <c r="AJ1041" s="320">
        <v>25.23</v>
      </c>
      <c r="AK1041" s="320">
        <v>6.94</v>
      </c>
      <c r="AL1041" s="320">
        <v>0.2306</v>
      </c>
      <c r="AM1041" s="320">
        <v>21.44</v>
      </c>
      <c r="AN1041" s="320">
        <v>32.82</v>
      </c>
      <c r="AO1041" s="320">
        <v>68.06</v>
      </c>
      <c r="AP1041" s="320">
        <v>14.59</v>
      </c>
    </row>
    <row r="1042">
      <c r="A1042" s="319" t="s">
        <v>258</v>
      </c>
      <c r="B1042" s="328">
        <v>46103.0</v>
      </c>
      <c r="C1042" s="319" t="s">
        <v>215</v>
      </c>
      <c r="D1042" s="320">
        <v>15474.0</v>
      </c>
      <c r="E1042" s="320">
        <v>20.49</v>
      </c>
      <c r="F1042" s="320">
        <v>16029.93</v>
      </c>
      <c r="G1042" s="320">
        <v>1.0359</v>
      </c>
      <c r="H1042" s="320">
        <v>21.63</v>
      </c>
      <c r="I1042" s="320">
        <v>4.7893</v>
      </c>
      <c r="J1042" s="320">
        <v>63.31</v>
      </c>
      <c r="K1042" s="320">
        <v>36.56</v>
      </c>
      <c r="L1042" s="320">
        <v>14.02</v>
      </c>
      <c r="M1042" s="320">
        <v>0.3835</v>
      </c>
      <c r="N1042" s="320">
        <v>0.6735</v>
      </c>
      <c r="O1042" s="320">
        <v>0.3844</v>
      </c>
      <c r="P1042" s="320">
        <v>2.6078</v>
      </c>
      <c r="Q1042" s="320">
        <v>152.45</v>
      </c>
      <c r="R1042" s="320">
        <v>123.33</v>
      </c>
      <c r="S1042" s="320">
        <v>29.12</v>
      </c>
      <c r="T1042" s="320">
        <v>69.41</v>
      </c>
      <c r="U1042" s="320">
        <v>83.04</v>
      </c>
      <c r="V1042" s="320">
        <v>171.81</v>
      </c>
      <c r="W1042" s="320">
        <v>4.6995</v>
      </c>
      <c r="X1042" s="320">
        <v>45.53</v>
      </c>
      <c r="Y1042" s="320">
        <v>79.0</v>
      </c>
      <c r="Z1042" s="320">
        <v>168.0</v>
      </c>
      <c r="AA1042" s="320">
        <v>568.0</v>
      </c>
      <c r="AB1042" s="320">
        <v>52.4353</v>
      </c>
      <c r="AC1042" s="320">
        <v>0.5477</v>
      </c>
      <c r="AD1042" s="320">
        <v>8.79</v>
      </c>
      <c r="AE1042" s="320">
        <v>3.0</v>
      </c>
      <c r="AF1042" s="320">
        <v>6.0</v>
      </c>
      <c r="AG1042" s="320">
        <v>12.0</v>
      </c>
      <c r="AH1042" s="320">
        <v>19.0</v>
      </c>
      <c r="AI1042" s="320">
        <v>54.2</v>
      </c>
      <c r="AJ1042" s="320">
        <v>24.0</v>
      </c>
      <c r="AK1042" s="320">
        <v>4.51</v>
      </c>
      <c r="AL1042" s="320">
        <v>0.2097</v>
      </c>
      <c r="AM1042" s="320">
        <v>21.51</v>
      </c>
      <c r="AN1042" s="320">
        <v>101.82</v>
      </c>
      <c r="AO1042" s="320">
        <v>73.3</v>
      </c>
      <c r="AP1042" s="320">
        <v>15.77</v>
      </c>
    </row>
    <row r="1043">
      <c r="A1043" s="319" t="s">
        <v>258</v>
      </c>
      <c r="B1043" s="328">
        <v>46103.0</v>
      </c>
      <c r="C1043" s="319" t="s">
        <v>216</v>
      </c>
      <c r="D1043" s="320">
        <v>8208.0</v>
      </c>
      <c r="E1043" s="320">
        <v>10.87</v>
      </c>
      <c r="F1043" s="320">
        <v>22774.15</v>
      </c>
      <c r="G1043" s="320">
        <v>2.7746</v>
      </c>
      <c r="H1043" s="320">
        <v>34.11</v>
      </c>
      <c r="I1043" s="320">
        <v>8.1336</v>
      </c>
      <c r="J1043" s="320">
        <v>87.56</v>
      </c>
      <c r="K1043" s="320">
        <v>52.81</v>
      </c>
      <c r="L1043" s="320">
        <v>26.98</v>
      </c>
      <c r="M1043" s="320">
        <v>0.5109</v>
      </c>
      <c r="N1043" s="320">
        <v>0.5565</v>
      </c>
      <c r="O1043" s="320">
        <v>0.3041</v>
      </c>
      <c r="P1043" s="320">
        <v>1.9574</v>
      </c>
      <c r="Q1043" s="320">
        <v>307.92</v>
      </c>
      <c r="R1043" s="320">
        <v>251.19</v>
      </c>
      <c r="S1043" s="320">
        <v>56.73</v>
      </c>
      <c r="T1043" s="320">
        <v>176.02</v>
      </c>
      <c r="U1043" s="320">
        <v>131.9</v>
      </c>
      <c r="V1043" s="320">
        <v>334.79</v>
      </c>
      <c r="W1043" s="320">
        <v>6.3398</v>
      </c>
      <c r="X1043" s="320">
        <v>57.16</v>
      </c>
      <c r="Y1043" s="320">
        <v>81.0</v>
      </c>
      <c r="Z1043" s="320">
        <v>177.0</v>
      </c>
      <c r="AA1043" s="320">
        <v>582.0</v>
      </c>
      <c r="AB1043" s="320">
        <v>54.6074</v>
      </c>
      <c r="AC1043" s="320">
        <v>0.6595</v>
      </c>
      <c r="AD1043" s="320">
        <v>17.01</v>
      </c>
      <c r="AE1043" s="320">
        <v>6.0</v>
      </c>
      <c r="AF1043" s="320">
        <v>12.0</v>
      </c>
      <c r="AG1043" s="320">
        <v>24.0</v>
      </c>
      <c r="AH1043" s="320">
        <v>37.0</v>
      </c>
      <c r="AI1043" s="320">
        <v>54.87</v>
      </c>
      <c r="AJ1043" s="320">
        <v>22.44</v>
      </c>
      <c r="AK1043" s="320">
        <v>6.87</v>
      </c>
      <c r="AL1043" s="320">
        <v>0.2225</v>
      </c>
      <c r="AM1043" s="320">
        <v>21.25</v>
      </c>
      <c r="AN1043" s="320">
        <v>229.94</v>
      </c>
      <c r="AO1043" s="320">
        <v>72.76</v>
      </c>
      <c r="AP1043" s="320">
        <v>15.46</v>
      </c>
    </row>
    <row r="1044">
      <c r="A1044" s="319" t="s">
        <v>258</v>
      </c>
      <c r="B1044" s="328">
        <v>46103.0</v>
      </c>
      <c r="C1044" s="319" t="s">
        <v>217</v>
      </c>
      <c r="D1044" s="320">
        <v>3234.0</v>
      </c>
      <c r="E1044" s="320">
        <v>4.28</v>
      </c>
      <c r="F1044" s="320">
        <v>20460.85</v>
      </c>
      <c r="G1044" s="320">
        <v>6.3268</v>
      </c>
      <c r="H1044" s="320">
        <v>44.9</v>
      </c>
      <c r="I1044" s="320">
        <v>14.0915</v>
      </c>
      <c r="J1044" s="320">
        <v>135.12</v>
      </c>
      <c r="K1044" s="320">
        <v>84.13</v>
      </c>
      <c r="L1044" s="320">
        <v>55.09</v>
      </c>
      <c r="M1044" s="320">
        <v>0.6548</v>
      </c>
      <c r="N1044" s="320">
        <v>0.4279</v>
      </c>
      <c r="O1044" s="320">
        <v>0.2376</v>
      </c>
      <c r="P1044" s="320">
        <v>1.5273</v>
      </c>
      <c r="Q1044" s="320">
        <v>627.29</v>
      </c>
      <c r="R1044" s="320">
        <v>511.59</v>
      </c>
      <c r="S1044" s="320">
        <v>115.7</v>
      </c>
      <c r="T1044" s="320">
        <v>399.79</v>
      </c>
      <c r="U1044" s="320">
        <v>227.51</v>
      </c>
      <c r="V1044" s="320">
        <v>673.82</v>
      </c>
      <c r="W1044" s="320">
        <v>8.0092</v>
      </c>
      <c r="X1044" s="320">
        <v>63.73</v>
      </c>
      <c r="Y1044" s="320">
        <v>89.0</v>
      </c>
      <c r="Z1044" s="320">
        <v>261.0</v>
      </c>
      <c r="AA1044" s="320">
        <v>895.0</v>
      </c>
      <c r="AB1044" s="320">
        <v>57.5773</v>
      </c>
      <c r="AC1044" s="320">
        <v>0.7643</v>
      </c>
      <c r="AD1044" s="320">
        <v>35.77</v>
      </c>
      <c r="AE1044" s="320">
        <v>12.0</v>
      </c>
      <c r="AF1044" s="320">
        <v>26.0</v>
      </c>
      <c r="AG1044" s="320">
        <v>50.0</v>
      </c>
      <c r="AH1044" s="320">
        <v>79.0</v>
      </c>
      <c r="AI1044" s="320">
        <v>48.21</v>
      </c>
      <c r="AJ1044" s="320">
        <v>17.97</v>
      </c>
      <c r="AK1044" s="320">
        <v>4.79</v>
      </c>
      <c r="AL1044" s="320">
        <v>0.2103</v>
      </c>
      <c r="AM1044" s="320">
        <v>21.08</v>
      </c>
      <c r="AN1044" s="320">
        <v>490.51</v>
      </c>
      <c r="AO1044" s="320">
        <v>72.11</v>
      </c>
      <c r="AP1044" s="320">
        <v>15.2</v>
      </c>
    </row>
    <row r="1045">
      <c r="A1045" s="319" t="s">
        <v>258</v>
      </c>
      <c r="B1045" s="328">
        <v>46103.0</v>
      </c>
      <c r="C1045" s="319" t="s">
        <v>218</v>
      </c>
      <c r="D1045" s="320">
        <v>400.0</v>
      </c>
      <c r="E1045" s="320">
        <v>0.53</v>
      </c>
      <c r="F1045" s="320">
        <v>4574.23</v>
      </c>
      <c r="G1045" s="320">
        <v>11.4356</v>
      </c>
      <c r="H1045" s="320">
        <v>47.75</v>
      </c>
      <c r="I1045" s="320">
        <v>23.9488</v>
      </c>
      <c r="J1045" s="320">
        <v>258.19</v>
      </c>
      <c r="K1045" s="320">
        <v>169.11</v>
      </c>
      <c r="L1045" s="320">
        <v>135.13</v>
      </c>
      <c r="M1045" s="320">
        <v>0.799</v>
      </c>
      <c r="N1045" s="320">
        <v>0.287</v>
      </c>
      <c r="O1045" s="320">
        <v>0.1787</v>
      </c>
      <c r="P1045" s="320">
        <v>1.2515</v>
      </c>
      <c r="Q1045" s="320">
        <v>1213.41</v>
      </c>
      <c r="R1045" s="320">
        <v>928.79</v>
      </c>
      <c r="S1045" s="320">
        <v>284.63</v>
      </c>
      <c r="T1045" s="320">
        <v>737.81</v>
      </c>
      <c r="U1045" s="320">
        <v>475.6</v>
      </c>
      <c r="V1045" s="320">
        <v>1352.13</v>
      </c>
      <c r="W1045" s="320">
        <v>7.9957</v>
      </c>
      <c r="X1045" s="320">
        <v>60.8</v>
      </c>
      <c r="Y1045" s="320">
        <v>143.0</v>
      </c>
      <c r="Z1045" s="320">
        <v>572.0</v>
      </c>
      <c r="AA1045" s="320">
        <v>2199.0</v>
      </c>
      <c r="AB1045" s="320">
        <v>61.9899</v>
      </c>
      <c r="AC1045" s="320">
        <v>0.8385</v>
      </c>
      <c r="AD1045" s="320">
        <v>87.31</v>
      </c>
      <c r="AE1045" s="320">
        <v>27.0</v>
      </c>
      <c r="AF1045" s="320">
        <v>62.0</v>
      </c>
      <c r="AG1045" s="320">
        <v>127.0</v>
      </c>
      <c r="AH1045" s="320">
        <v>189.0</v>
      </c>
      <c r="AI1045" s="320">
        <v>43.75</v>
      </c>
      <c r="AJ1045" s="320">
        <v>13.25</v>
      </c>
      <c r="AK1045" s="320">
        <v>2.75</v>
      </c>
      <c r="AL1045" s="320">
        <v>0.1875</v>
      </c>
      <c r="AM1045" s="320">
        <v>20.56</v>
      </c>
      <c r="AN1045" s="320">
        <v>908.23</v>
      </c>
      <c r="AO1045" s="320">
        <v>67.25</v>
      </c>
      <c r="AP1045" s="320">
        <v>13.83</v>
      </c>
    </row>
    <row r="1046">
      <c r="A1046" s="319" t="s">
        <v>258</v>
      </c>
      <c r="B1046" s="328">
        <v>46104.0</v>
      </c>
      <c r="C1046" s="319" t="s">
        <v>257</v>
      </c>
      <c r="D1046" s="320">
        <v>15140.0</v>
      </c>
      <c r="E1046" s="320">
        <v>19.42</v>
      </c>
      <c r="F1046" s="320">
        <v>147.6</v>
      </c>
      <c r="G1046" s="320">
        <v>0.0097</v>
      </c>
      <c r="H1046" s="320">
        <v>0.23</v>
      </c>
      <c r="I1046" s="320">
        <v>4.2171</v>
      </c>
      <c r="J1046" s="320">
        <v>5.54</v>
      </c>
      <c r="K1046" s="320">
        <v>2.4</v>
      </c>
      <c r="L1046" s="320">
        <v>0.09</v>
      </c>
      <c r="M1046" s="320">
        <v>0.0354</v>
      </c>
      <c r="N1046" s="320">
        <v>0.9696</v>
      </c>
      <c r="O1046" s="320">
        <v>0.6964</v>
      </c>
      <c r="P1046" s="320">
        <v>28.2202</v>
      </c>
      <c r="Q1046" s="320">
        <v>36.5</v>
      </c>
      <c r="R1046" s="320">
        <v>36.45</v>
      </c>
      <c r="S1046" s="320">
        <v>0.05</v>
      </c>
      <c r="T1046" s="320">
        <v>0.78</v>
      </c>
      <c r="U1046" s="320">
        <v>35.72</v>
      </c>
      <c r="V1046" s="320">
        <v>2.91</v>
      </c>
      <c r="W1046" s="320">
        <v>1.21</v>
      </c>
      <c r="X1046" s="320">
        <v>2.14</v>
      </c>
      <c r="Y1046" s="320">
        <v>190.0</v>
      </c>
      <c r="Z1046" s="320">
        <v>1389.0</v>
      </c>
      <c r="AA1046" s="320">
        <v>8115.0</v>
      </c>
      <c r="AB1046" s="320">
        <v>50.1092</v>
      </c>
      <c r="AC1046" s="320">
        <v>0.528</v>
      </c>
      <c r="AD1046" s="329"/>
      <c r="AE1046" s="329"/>
      <c r="AF1046" s="329"/>
      <c r="AG1046" s="329"/>
      <c r="AH1046" s="329"/>
      <c r="AI1046" s="320">
        <v>0.0</v>
      </c>
      <c r="AJ1046" s="320">
        <v>0.0</v>
      </c>
      <c r="AK1046" s="320">
        <v>0.0</v>
      </c>
      <c r="AL1046" s="320">
        <v>0.2671</v>
      </c>
      <c r="AM1046" s="320">
        <v>15.82</v>
      </c>
      <c r="AN1046" s="320">
        <v>20.63</v>
      </c>
      <c r="AO1046" s="329"/>
      <c r="AP1046" s="329"/>
    </row>
    <row r="1047">
      <c r="A1047" s="319" t="s">
        <v>258</v>
      </c>
      <c r="B1047" s="328">
        <v>46104.0</v>
      </c>
      <c r="C1047" s="319" t="s">
        <v>214</v>
      </c>
      <c r="D1047" s="320">
        <v>33476.0</v>
      </c>
      <c r="E1047" s="320">
        <v>42.94</v>
      </c>
      <c r="F1047" s="320">
        <v>6069.04</v>
      </c>
      <c r="G1047" s="320">
        <v>0.1813</v>
      </c>
      <c r="H1047" s="320">
        <v>5.68</v>
      </c>
      <c r="I1047" s="320">
        <v>3.1909</v>
      </c>
      <c r="J1047" s="320">
        <v>35.13</v>
      </c>
      <c r="K1047" s="320">
        <v>19.03</v>
      </c>
      <c r="L1047" s="320">
        <v>5.65</v>
      </c>
      <c r="M1047" s="320">
        <v>0.2971</v>
      </c>
      <c r="N1047" s="320">
        <v>0.7717</v>
      </c>
      <c r="O1047" s="320">
        <v>0.5325</v>
      </c>
      <c r="P1047" s="320">
        <v>3.3664</v>
      </c>
      <c r="Q1047" s="320">
        <v>96.14</v>
      </c>
      <c r="R1047" s="320">
        <v>84.55</v>
      </c>
      <c r="S1047" s="320">
        <v>11.58</v>
      </c>
      <c r="T1047" s="320">
        <v>13.12</v>
      </c>
      <c r="U1047" s="320">
        <v>83.01</v>
      </c>
      <c r="V1047" s="320">
        <v>87.84</v>
      </c>
      <c r="W1047" s="320">
        <v>4.6166</v>
      </c>
      <c r="X1047" s="320">
        <v>13.65</v>
      </c>
      <c r="Y1047" s="320">
        <v>93.0</v>
      </c>
      <c r="Z1047" s="320">
        <v>220.0</v>
      </c>
      <c r="AA1047" s="320">
        <v>837.0</v>
      </c>
      <c r="AB1047" s="320">
        <v>49.5962</v>
      </c>
      <c r="AC1047" s="320">
        <v>0.4362</v>
      </c>
      <c r="AD1047" s="320">
        <v>3.58</v>
      </c>
      <c r="AE1047" s="320">
        <v>1.0</v>
      </c>
      <c r="AF1047" s="320">
        <v>2.0</v>
      </c>
      <c r="AG1047" s="320">
        <v>5.0</v>
      </c>
      <c r="AH1047" s="320">
        <v>8.0</v>
      </c>
      <c r="AI1047" s="320">
        <v>68.6</v>
      </c>
      <c r="AJ1047" s="320">
        <v>25.42</v>
      </c>
      <c r="AK1047" s="320">
        <v>6.69</v>
      </c>
      <c r="AL1047" s="320">
        <v>0.2077</v>
      </c>
      <c r="AM1047" s="320">
        <v>18.41</v>
      </c>
      <c r="AN1047" s="320">
        <v>66.14</v>
      </c>
      <c r="AO1047" s="320">
        <v>68.44</v>
      </c>
      <c r="AP1047" s="320">
        <v>12.6</v>
      </c>
    </row>
    <row r="1048">
      <c r="A1048" s="319" t="s">
        <v>258</v>
      </c>
      <c r="B1048" s="328">
        <v>46104.0</v>
      </c>
      <c r="C1048" s="319" t="s">
        <v>215</v>
      </c>
      <c r="D1048" s="320">
        <v>16744.0</v>
      </c>
      <c r="E1048" s="320">
        <v>21.48</v>
      </c>
      <c r="F1048" s="320">
        <v>15567.55</v>
      </c>
      <c r="G1048" s="320">
        <v>0.9297</v>
      </c>
      <c r="H1048" s="320">
        <v>19.57</v>
      </c>
      <c r="I1048" s="320">
        <v>4.7505</v>
      </c>
      <c r="J1048" s="320">
        <v>63.79</v>
      </c>
      <c r="K1048" s="320">
        <v>36.61</v>
      </c>
      <c r="L1048" s="320">
        <v>14.91</v>
      </c>
      <c r="M1048" s="320">
        <v>0.4073</v>
      </c>
      <c r="N1048" s="320">
        <v>0.6571</v>
      </c>
      <c r="O1048" s="320">
        <v>0.3876</v>
      </c>
      <c r="P1048" s="320">
        <v>2.4554</v>
      </c>
      <c r="Q1048" s="320">
        <v>204.33</v>
      </c>
      <c r="R1048" s="320">
        <v>174.81</v>
      </c>
      <c r="S1048" s="320">
        <v>29.52</v>
      </c>
      <c r="T1048" s="320">
        <v>63.22</v>
      </c>
      <c r="U1048" s="320">
        <v>141.11</v>
      </c>
      <c r="V1048" s="320">
        <v>202.28</v>
      </c>
      <c r="W1048" s="320">
        <v>5.525</v>
      </c>
      <c r="X1048" s="320">
        <v>30.94</v>
      </c>
      <c r="Y1048" s="320">
        <v>87.0</v>
      </c>
      <c r="Z1048" s="320">
        <v>192.0</v>
      </c>
      <c r="AA1048" s="320">
        <v>586.0</v>
      </c>
      <c r="AB1048" s="320">
        <v>52.4013</v>
      </c>
      <c r="AC1048" s="320">
        <v>0.5124</v>
      </c>
      <c r="AD1048" s="320">
        <v>8.99</v>
      </c>
      <c r="AE1048" s="320">
        <v>3.0</v>
      </c>
      <c r="AF1048" s="320">
        <v>6.0</v>
      </c>
      <c r="AG1048" s="320">
        <v>12.0</v>
      </c>
      <c r="AH1048" s="320">
        <v>20.0</v>
      </c>
      <c r="AI1048" s="320">
        <v>54.89</v>
      </c>
      <c r="AJ1048" s="320">
        <v>24.61</v>
      </c>
      <c r="AK1048" s="320">
        <v>5.16</v>
      </c>
      <c r="AL1048" s="320">
        <v>0.1799</v>
      </c>
      <c r="AM1048" s="320">
        <v>19.2</v>
      </c>
      <c r="AN1048" s="320">
        <v>155.61</v>
      </c>
      <c r="AO1048" s="320">
        <v>72.63</v>
      </c>
      <c r="AP1048" s="320">
        <v>13.94</v>
      </c>
    </row>
    <row r="1049">
      <c r="A1049" s="319" t="s">
        <v>258</v>
      </c>
      <c r="B1049" s="328">
        <v>46104.0</v>
      </c>
      <c r="C1049" s="319" t="s">
        <v>216</v>
      </c>
      <c r="D1049" s="320">
        <v>8732.0</v>
      </c>
      <c r="E1049" s="320">
        <v>11.2</v>
      </c>
      <c r="F1049" s="320">
        <v>23010.45</v>
      </c>
      <c r="G1049" s="320">
        <v>2.6352</v>
      </c>
      <c r="H1049" s="320">
        <v>32.7</v>
      </c>
      <c r="I1049" s="320">
        <v>8.0597</v>
      </c>
      <c r="J1049" s="320">
        <v>90.8</v>
      </c>
      <c r="K1049" s="320">
        <v>54.51</v>
      </c>
      <c r="L1049" s="320">
        <v>29.76</v>
      </c>
      <c r="M1049" s="320">
        <v>0.546</v>
      </c>
      <c r="N1049" s="320">
        <v>0.5299</v>
      </c>
      <c r="O1049" s="320">
        <v>0.2972</v>
      </c>
      <c r="P1049" s="320">
        <v>1.8316</v>
      </c>
      <c r="Q1049" s="320">
        <v>395.38</v>
      </c>
      <c r="R1049" s="320">
        <v>336.89</v>
      </c>
      <c r="S1049" s="320">
        <v>58.49</v>
      </c>
      <c r="T1049" s="320">
        <v>170.36</v>
      </c>
      <c r="U1049" s="320">
        <v>225.01</v>
      </c>
      <c r="V1049" s="320">
        <v>399.18</v>
      </c>
      <c r="W1049" s="320">
        <v>7.3231</v>
      </c>
      <c r="X1049" s="320">
        <v>43.09</v>
      </c>
      <c r="Y1049" s="320">
        <v>89.0</v>
      </c>
      <c r="Z1049" s="320">
        <v>224.0</v>
      </c>
      <c r="AA1049" s="320">
        <v>643.0</v>
      </c>
      <c r="AB1049" s="320">
        <v>54.312</v>
      </c>
      <c r="AC1049" s="320">
        <v>0.5953</v>
      </c>
      <c r="AD1049" s="320">
        <v>17.91</v>
      </c>
      <c r="AE1049" s="320">
        <v>6.0</v>
      </c>
      <c r="AF1049" s="320">
        <v>14.0</v>
      </c>
      <c r="AG1049" s="320">
        <v>25.0</v>
      </c>
      <c r="AH1049" s="320">
        <v>38.0</v>
      </c>
      <c r="AI1049" s="320">
        <v>58.17</v>
      </c>
      <c r="AJ1049" s="320">
        <v>24.69</v>
      </c>
      <c r="AK1049" s="320">
        <v>6.54</v>
      </c>
      <c r="AL1049" s="320">
        <v>0.1735</v>
      </c>
      <c r="AM1049" s="320">
        <v>18.96</v>
      </c>
      <c r="AN1049" s="320">
        <v>317.92</v>
      </c>
      <c r="AO1049" s="320">
        <v>70.41</v>
      </c>
      <c r="AP1049" s="320">
        <v>13.35</v>
      </c>
    </row>
    <row r="1050">
      <c r="A1050" s="319" t="s">
        <v>258</v>
      </c>
      <c r="B1050" s="328">
        <v>46104.0</v>
      </c>
      <c r="C1050" s="319" t="s">
        <v>217</v>
      </c>
      <c r="D1050" s="320">
        <v>3512.0</v>
      </c>
      <c r="E1050" s="320">
        <v>4.5</v>
      </c>
      <c r="F1050" s="320">
        <v>23352.89</v>
      </c>
      <c r="G1050" s="320">
        <v>6.6495</v>
      </c>
      <c r="H1050" s="320">
        <v>44.31</v>
      </c>
      <c r="I1050" s="320">
        <v>15.0083</v>
      </c>
      <c r="J1050" s="320">
        <v>143.49</v>
      </c>
      <c r="K1050" s="320">
        <v>89.21</v>
      </c>
      <c r="L1050" s="320">
        <v>62.5</v>
      </c>
      <c r="M1050" s="320">
        <v>0.7006</v>
      </c>
      <c r="N1050" s="320">
        <v>0.3914</v>
      </c>
      <c r="O1050" s="320">
        <v>0.2271</v>
      </c>
      <c r="P1050" s="320">
        <v>1.4273</v>
      </c>
      <c r="Q1050" s="320">
        <v>797.32</v>
      </c>
      <c r="R1050" s="320">
        <v>678.18</v>
      </c>
      <c r="S1050" s="320">
        <v>119.14</v>
      </c>
      <c r="T1050" s="320">
        <v>417.46</v>
      </c>
      <c r="U1050" s="320">
        <v>379.86</v>
      </c>
      <c r="V1050" s="320">
        <v>809.11</v>
      </c>
      <c r="W1050" s="320">
        <v>9.0702</v>
      </c>
      <c r="X1050" s="320">
        <v>52.36</v>
      </c>
      <c r="Y1050" s="320">
        <v>102.0</v>
      </c>
      <c r="Z1050" s="320">
        <v>349.0</v>
      </c>
      <c r="AA1050" s="320">
        <v>1184.0</v>
      </c>
      <c r="AB1050" s="320">
        <v>57.5227</v>
      </c>
      <c r="AC1050" s="320">
        <v>0.6817</v>
      </c>
      <c r="AD1050" s="320">
        <v>37.39</v>
      </c>
      <c r="AE1050" s="320">
        <v>15.0</v>
      </c>
      <c r="AF1050" s="320">
        <v>31.0</v>
      </c>
      <c r="AG1050" s="320">
        <v>49.0</v>
      </c>
      <c r="AH1050" s="320">
        <v>79.0</v>
      </c>
      <c r="AI1050" s="320">
        <v>53.99</v>
      </c>
      <c r="AJ1050" s="320">
        <v>18.37</v>
      </c>
      <c r="AK1050" s="320">
        <v>5.07</v>
      </c>
      <c r="AL1050" s="320">
        <v>0.1515</v>
      </c>
      <c r="AM1050" s="320">
        <v>19.96</v>
      </c>
      <c r="AN1050" s="320">
        <v>658.22</v>
      </c>
      <c r="AO1050" s="320">
        <v>68.35</v>
      </c>
      <c r="AP1050" s="320">
        <v>13.64</v>
      </c>
    </row>
    <row r="1051">
      <c r="A1051" s="319" t="s">
        <v>258</v>
      </c>
      <c r="B1051" s="328">
        <v>46104.0</v>
      </c>
      <c r="C1051" s="319" t="s">
        <v>218</v>
      </c>
      <c r="D1051" s="320">
        <v>364.0</v>
      </c>
      <c r="E1051" s="320">
        <v>0.47</v>
      </c>
      <c r="F1051" s="320">
        <v>4119.42</v>
      </c>
      <c r="G1051" s="320">
        <v>11.3171</v>
      </c>
      <c r="H1051" s="320">
        <v>44.23</v>
      </c>
      <c r="I1051" s="320">
        <v>25.5865</v>
      </c>
      <c r="J1051" s="320">
        <v>264.35</v>
      </c>
      <c r="K1051" s="320">
        <v>172.26</v>
      </c>
      <c r="L1051" s="320">
        <v>137.57</v>
      </c>
      <c r="M1051" s="320">
        <v>0.7986</v>
      </c>
      <c r="N1051" s="320">
        <v>0.2934</v>
      </c>
      <c r="O1051" s="320">
        <v>0.1824</v>
      </c>
      <c r="P1051" s="320">
        <v>1.2522</v>
      </c>
      <c r="Q1051" s="320">
        <v>1432.13</v>
      </c>
      <c r="R1051" s="320">
        <v>1142.23</v>
      </c>
      <c r="S1051" s="320">
        <v>289.9</v>
      </c>
      <c r="T1051" s="320">
        <v>721.25</v>
      </c>
      <c r="U1051" s="320">
        <v>710.88</v>
      </c>
      <c r="V1051" s="320">
        <v>1479.81</v>
      </c>
      <c r="W1051" s="320">
        <v>8.5905</v>
      </c>
      <c r="X1051" s="320">
        <v>50.36</v>
      </c>
      <c r="Y1051" s="320">
        <v>138.0</v>
      </c>
      <c r="Z1051" s="320">
        <v>613.0</v>
      </c>
      <c r="AA1051" s="320">
        <v>1906.0</v>
      </c>
      <c r="AB1051" s="320">
        <v>62.6437</v>
      </c>
      <c r="AC1051" s="320">
        <v>0.8309</v>
      </c>
      <c r="AD1051" s="320">
        <v>93.23</v>
      </c>
      <c r="AE1051" s="320">
        <v>31.0</v>
      </c>
      <c r="AF1051" s="320">
        <v>73.0</v>
      </c>
      <c r="AG1051" s="320">
        <v>129.0</v>
      </c>
      <c r="AH1051" s="320">
        <v>209.0</v>
      </c>
      <c r="AI1051" s="320">
        <v>46.43</v>
      </c>
      <c r="AJ1051" s="320">
        <v>12.64</v>
      </c>
      <c r="AK1051" s="320">
        <v>4.12</v>
      </c>
      <c r="AL1051" s="320">
        <v>0.1126</v>
      </c>
      <c r="AM1051" s="320">
        <v>20.07</v>
      </c>
      <c r="AN1051" s="320">
        <v>1122.16</v>
      </c>
      <c r="AO1051" s="320">
        <v>71.31</v>
      </c>
      <c r="AP1051" s="320">
        <v>14.31</v>
      </c>
    </row>
    <row r="1052">
      <c r="A1052" s="319" t="s">
        <v>258</v>
      </c>
      <c r="B1052" s="328">
        <v>46105.0</v>
      </c>
      <c r="C1052" s="319" t="s">
        <v>257</v>
      </c>
      <c r="D1052" s="320">
        <v>15813.0</v>
      </c>
      <c r="E1052" s="320">
        <v>20.32</v>
      </c>
      <c r="F1052" s="320">
        <v>112.26</v>
      </c>
      <c r="G1052" s="320">
        <v>0.0071</v>
      </c>
      <c r="H1052" s="320">
        <v>0.15</v>
      </c>
      <c r="I1052" s="320">
        <v>4.6775</v>
      </c>
      <c r="J1052" s="320">
        <v>5.99</v>
      </c>
      <c r="K1052" s="320">
        <v>2.7</v>
      </c>
      <c r="L1052" s="320">
        <v>0.04</v>
      </c>
      <c r="M1052" s="320">
        <v>0.0131</v>
      </c>
      <c r="N1052" s="320">
        <v>0.9883</v>
      </c>
      <c r="O1052" s="320">
        <v>0.8281</v>
      </c>
      <c r="P1052" s="320">
        <v>76.2898</v>
      </c>
      <c r="Q1052" s="320">
        <v>26.57</v>
      </c>
      <c r="R1052" s="320">
        <v>26.51</v>
      </c>
      <c r="S1052" s="320">
        <v>0.06</v>
      </c>
      <c r="T1052" s="320">
        <v>0.6</v>
      </c>
      <c r="U1052" s="320">
        <v>25.97</v>
      </c>
      <c r="V1052" s="320">
        <v>2.37</v>
      </c>
      <c r="W1052" s="320">
        <v>0.877</v>
      </c>
      <c r="X1052" s="320">
        <v>2.24</v>
      </c>
      <c r="Y1052" s="320">
        <v>163.0</v>
      </c>
      <c r="Z1052" s="320">
        <v>1171.0</v>
      </c>
      <c r="AA1052" s="320">
        <v>7441.0</v>
      </c>
      <c r="AB1052" s="320">
        <v>49.726</v>
      </c>
      <c r="AC1052" s="320">
        <v>0.5099</v>
      </c>
      <c r="AD1052" s="329"/>
      <c r="AE1052" s="329"/>
      <c r="AF1052" s="329"/>
      <c r="AG1052" s="329"/>
      <c r="AH1052" s="329"/>
      <c r="AI1052" s="320">
        <v>0.0</v>
      </c>
      <c r="AJ1052" s="320">
        <v>0.0</v>
      </c>
      <c r="AK1052" s="320">
        <v>0.0</v>
      </c>
      <c r="AL1052" s="320">
        <v>0.2599</v>
      </c>
      <c r="AM1052" s="320">
        <v>14.93</v>
      </c>
      <c r="AN1052" s="320">
        <v>11.58</v>
      </c>
      <c r="AO1052" s="329"/>
      <c r="AP1052" s="329"/>
    </row>
    <row r="1053">
      <c r="A1053" s="319" t="s">
        <v>258</v>
      </c>
      <c r="B1053" s="328">
        <v>46105.0</v>
      </c>
      <c r="C1053" s="319" t="s">
        <v>214</v>
      </c>
      <c r="D1053" s="320">
        <v>33185.0</v>
      </c>
      <c r="E1053" s="320">
        <v>42.65</v>
      </c>
      <c r="F1053" s="320">
        <v>6503.08</v>
      </c>
      <c r="G1053" s="320">
        <v>0.196</v>
      </c>
      <c r="H1053" s="320">
        <v>5.77</v>
      </c>
      <c r="I1053" s="320">
        <v>3.3941</v>
      </c>
      <c r="J1053" s="320">
        <v>29.81</v>
      </c>
      <c r="K1053" s="320">
        <v>15.96</v>
      </c>
      <c r="L1053" s="320">
        <v>5.13</v>
      </c>
      <c r="M1053" s="320">
        <v>0.3213</v>
      </c>
      <c r="N1053" s="320">
        <v>0.7536</v>
      </c>
      <c r="O1053" s="320">
        <v>0.5233</v>
      </c>
      <c r="P1053" s="320">
        <v>3.1121</v>
      </c>
      <c r="Q1053" s="320">
        <v>70.77</v>
      </c>
      <c r="R1053" s="320">
        <v>60.07</v>
      </c>
      <c r="S1053" s="320">
        <v>10.7</v>
      </c>
      <c r="T1053" s="320">
        <v>14.44</v>
      </c>
      <c r="U1053" s="320">
        <v>56.33</v>
      </c>
      <c r="V1053" s="320">
        <v>76.23</v>
      </c>
      <c r="W1053" s="320">
        <v>4.7771</v>
      </c>
      <c r="X1053" s="320">
        <v>20.4</v>
      </c>
      <c r="Y1053" s="320">
        <v>88.0</v>
      </c>
      <c r="Z1053" s="320">
        <v>216.0</v>
      </c>
      <c r="AA1053" s="320">
        <v>849.0</v>
      </c>
      <c r="AB1053" s="320">
        <v>49.6394</v>
      </c>
      <c r="AC1053" s="320">
        <v>0.4372</v>
      </c>
      <c r="AD1053" s="320">
        <v>3.5</v>
      </c>
      <c r="AE1053" s="320">
        <v>1.0</v>
      </c>
      <c r="AF1053" s="320">
        <v>2.0</v>
      </c>
      <c r="AG1053" s="320">
        <v>4.0</v>
      </c>
      <c r="AH1053" s="320">
        <v>8.0</v>
      </c>
      <c r="AI1053" s="320">
        <v>66.09</v>
      </c>
      <c r="AJ1053" s="320">
        <v>24.26</v>
      </c>
      <c r="AK1053" s="320">
        <v>6.9</v>
      </c>
      <c r="AL1053" s="320">
        <v>0.2093</v>
      </c>
      <c r="AM1053" s="320">
        <v>18.49</v>
      </c>
      <c r="AN1053" s="320">
        <v>41.59</v>
      </c>
      <c r="AO1053" s="320">
        <v>68.52</v>
      </c>
      <c r="AP1053" s="320">
        <v>12.67</v>
      </c>
    </row>
    <row r="1054">
      <c r="A1054" s="319" t="s">
        <v>258</v>
      </c>
      <c r="B1054" s="328">
        <v>46105.0</v>
      </c>
      <c r="C1054" s="319" t="s">
        <v>215</v>
      </c>
      <c r="D1054" s="320">
        <v>16724.0</v>
      </c>
      <c r="E1054" s="320">
        <v>21.49</v>
      </c>
      <c r="F1054" s="320">
        <v>16265.11</v>
      </c>
      <c r="G1054" s="320">
        <v>0.9726</v>
      </c>
      <c r="H1054" s="320">
        <v>20.32</v>
      </c>
      <c r="I1054" s="320">
        <v>4.7853</v>
      </c>
      <c r="J1054" s="320">
        <v>55.59</v>
      </c>
      <c r="K1054" s="320">
        <v>31.62</v>
      </c>
      <c r="L1054" s="320">
        <v>14.0</v>
      </c>
      <c r="M1054" s="320">
        <v>0.4428</v>
      </c>
      <c r="N1054" s="320">
        <v>0.6238</v>
      </c>
      <c r="O1054" s="320">
        <v>0.3603</v>
      </c>
      <c r="P1054" s="320">
        <v>2.2583</v>
      </c>
      <c r="Q1054" s="320">
        <v>168.64</v>
      </c>
      <c r="R1054" s="320">
        <v>140.18</v>
      </c>
      <c r="S1054" s="320">
        <v>28.45</v>
      </c>
      <c r="T1054" s="320">
        <v>65.89</v>
      </c>
      <c r="U1054" s="320">
        <v>102.74</v>
      </c>
      <c r="V1054" s="320">
        <v>177.23</v>
      </c>
      <c r="W1054" s="320">
        <v>5.6057</v>
      </c>
      <c r="X1054" s="320">
        <v>39.07</v>
      </c>
      <c r="Y1054" s="320">
        <v>84.0</v>
      </c>
      <c r="Z1054" s="320">
        <v>194.0</v>
      </c>
      <c r="AA1054" s="320">
        <v>630.0</v>
      </c>
      <c r="AB1054" s="320">
        <v>52.6086</v>
      </c>
      <c r="AC1054" s="320">
        <v>0.5219</v>
      </c>
      <c r="AD1054" s="320">
        <v>8.96</v>
      </c>
      <c r="AE1054" s="320">
        <v>3.0</v>
      </c>
      <c r="AF1054" s="320">
        <v>6.0</v>
      </c>
      <c r="AG1054" s="320">
        <v>13.0</v>
      </c>
      <c r="AH1054" s="320">
        <v>20.0</v>
      </c>
      <c r="AI1054" s="320">
        <v>54.34</v>
      </c>
      <c r="AJ1054" s="320">
        <v>25.11</v>
      </c>
      <c r="AK1054" s="320">
        <v>5.09</v>
      </c>
      <c r="AL1054" s="320">
        <v>0.1749</v>
      </c>
      <c r="AM1054" s="320">
        <v>18.92</v>
      </c>
      <c r="AN1054" s="320">
        <v>121.26</v>
      </c>
      <c r="AO1054" s="320">
        <v>72.53</v>
      </c>
      <c r="AP1054" s="320">
        <v>13.72</v>
      </c>
    </row>
    <row r="1055">
      <c r="A1055" s="319" t="s">
        <v>258</v>
      </c>
      <c r="B1055" s="328">
        <v>46105.0</v>
      </c>
      <c r="C1055" s="319" t="s">
        <v>216</v>
      </c>
      <c r="D1055" s="320">
        <v>8486.0</v>
      </c>
      <c r="E1055" s="320">
        <v>10.91</v>
      </c>
      <c r="F1055" s="320">
        <v>21859.49</v>
      </c>
      <c r="G1055" s="320">
        <v>2.5759</v>
      </c>
      <c r="H1055" s="320">
        <v>32.72</v>
      </c>
      <c r="I1055" s="320">
        <v>7.8716</v>
      </c>
      <c r="J1055" s="320">
        <v>81.15</v>
      </c>
      <c r="K1055" s="320">
        <v>48.7</v>
      </c>
      <c r="L1055" s="320">
        <v>27.71</v>
      </c>
      <c r="M1055" s="320">
        <v>0.569</v>
      </c>
      <c r="N1055" s="320">
        <v>0.5067</v>
      </c>
      <c r="O1055" s="320">
        <v>0.2794</v>
      </c>
      <c r="P1055" s="320">
        <v>1.7575</v>
      </c>
      <c r="Q1055" s="320">
        <v>342.36</v>
      </c>
      <c r="R1055" s="320">
        <v>288.69</v>
      </c>
      <c r="S1055" s="320">
        <v>53.67</v>
      </c>
      <c r="T1055" s="320">
        <v>165.55</v>
      </c>
      <c r="U1055" s="320">
        <v>176.81</v>
      </c>
      <c r="V1055" s="320">
        <v>352.92</v>
      </c>
      <c r="W1055" s="320">
        <v>7.2465</v>
      </c>
      <c r="X1055" s="320">
        <v>48.36</v>
      </c>
      <c r="Y1055" s="320">
        <v>87.0</v>
      </c>
      <c r="Z1055" s="320">
        <v>232.0</v>
      </c>
      <c r="AA1055" s="320">
        <v>705.0</v>
      </c>
      <c r="AB1055" s="320">
        <v>54.5868</v>
      </c>
      <c r="AC1055" s="320">
        <v>0.6148</v>
      </c>
      <c r="AD1055" s="320">
        <v>16.79</v>
      </c>
      <c r="AE1055" s="320">
        <v>6.0</v>
      </c>
      <c r="AF1055" s="320">
        <v>13.0</v>
      </c>
      <c r="AG1055" s="320">
        <v>24.0</v>
      </c>
      <c r="AH1055" s="320">
        <v>36.0</v>
      </c>
      <c r="AI1055" s="320">
        <v>55.77</v>
      </c>
      <c r="AJ1055" s="320">
        <v>22.52</v>
      </c>
      <c r="AK1055" s="320">
        <v>6.14</v>
      </c>
      <c r="AL1055" s="320">
        <v>0.1791</v>
      </c>
      <c r="AM1055" s="320">
        <v>18.71</v>
      </c>
      <c r="AN1055" s="320">
        <v>269.99</v>
      </c>
      <c r="AO1055" s="320">
        <v>71.15</v>
      </c>
      <c r="AP1055" s="320">
        <v>13.31</v>
      </c>
    </row>
    <row r="1056">
      <c r="A1056" s="319" t="s">
        <v>258</v>
      </c>
      <c r="B1056" s="328">
        <v>46105.0</v>
      </c>
      <c r="C1056" s="319" t="s">
        <v>217</v>
      </c>
      <c r="D1056" s="320">
        <v>3214.0</v>
      </c>
      <c r="E1056" s="320">
        <v>4.13</v>
      </c>
      <c r="F1056" s="320">
        <v>18848.94</v>
      </c>
      <c r="G1056" s="320">
        <v>5.8646</v>
      </c>
      <c r="H1056" s="320">
        <v>41.29</v>
      </c>
      <c r="I1056" s="320">
        <v>14.2042</v>
      </c>
      <c r="J1056" s="320">
        <v>125.15</v>
      </c>
      <c r="K1056" s="320">
        <v>77.72</v>
      </c>
      <c r="L1056" s="320">
        <v>53.66</v>
      </c>
      <c r="M1056" s="320">
        <v>0.6904</v>
      </c>
      <c r="N1056" s="320">
        <v>0.4003</v>
      </c>
      <c r="O1056" s="320">
        <v>0.2319</v>
      </c>
      <c r="P1056" s="320">
        <v>1.4484</v>
      </c>
      <c r="Q1056" s="320">
        <v>684.08</v>
      </c>
      <c r="R1056" s="320">
        <v>572.73</v>
      </c>
      <c r="S1056" s="320">
        <v>111.34</v>
      </c>
      <c r="T1056" s="320">
        <v>368.48</v>
      </c>
      <c r="U1056" s="320">
        <v>315.59</v>
      </c>
      <c r="V1056" s="320">
        <v>705.09</v>
      </c>
      <c r="W1056" s="320">
        <v>9.0719</v>
      </c>
      <c r="X1056" s="320">
        <v>53.87</v>
      </c>
      <c r="Y1056" s="320">
        <v>94.0</v>
      </c>
      <c r="Z1056" s="320">
        <v>290.0</v>
      </c>
      <c r="AA1056" s="320">
        <v>928.0</v>
      </c>
      <c r="AB1056" s="320">
        <v>57.9756</v>
      </c>
      <c r="AC1056" s="320">
        <v>0.7542</v>
      </c>
      <c r="AD1056" s="320">
        <v>35.19</v>
      </c>
      <c r="AE1056" s="320">
        <v>12.0</v>
      </c>
      <c r="AF1056" s="320">
        <v>27.0</v>
      </c>
      <c r="AG1056" s="320">
        <v>50.0</v>
      </c>
      <c r="AH1056" s="320">
        <v>76.0</v>
      </c>
      <c r="AI1056" s="320">
        <v>49.63</v>
      </c>
      <c r="AJ1056" s="320">
        <v>17.7</v>
      </c>
      <c r="AK1056" s="320">
        <v>4.42</v>
      </c>
      <c r="AL1056" s="320">
        <v>0.1624</v>
      </c>
      <c r="AM1056" s="320">
        <v>19.85</v>
      </c>
      <c r="AN1056" s="320">
        <v>552.89</v>
      </c>
      <c r="AO1056" s="320">
        <v>73.67</v>
      </c>
      <c r="AP1056" s="320">
        <v>14.62</v>
      </c>
    </row>
    <row r="1057">
      <c r="A1057" s="319" t="s">
        <v>258</v>
      </c>
      <c r="B1057" s="328">
        <v>46105.0</v>
      </c>
      <c r="C1057" s="319" t="s">
        <v>218</v>
      </c>
      <c r="D1057" s="320">
        <v>386.0</v>
      </c>
      <c r="E1057" s="320">
        <v>0.5</v>
      </c>
      <c r="F1057" s="320">
        <v>4161.18</v>
      </c>
      <c r="G1057" s="320">
        <v>10.7803</v>
      </c>
      <c r="H1057" s="320">
        <v>46.11</v>
      </c>
      <c r="I1057" s="320">
        <v>23.3774</v>
      </c>
      <c r="J1057" s="320">
        <v>235.91</v>
      </c>
      <c r="K1057" s="320">
        <v>155.77</v>
      </c>
      <c r="L1057" s="320">
        <v>124.4</v>
      </c>
      <c r="M1057" s="320">
        <v>0.7986</v>
      </c>
      <c r="N1057" s="320">
        <v>0.2921</v>
      </c>
      <c r="O1057" s="320">
        <v>0.1818</v>
      </c>
      <c r="P1057" s="320">
        <v>1.2521</v>
      </c>
      <c r="Q1057" s="320">
        <v>1334.08</v>
      </c>
      <c r="R1057" s="320">
        <v>1071.1</v>
      </c>
      <c r="S1057" s="320">
        <v>262.98</v>
      </c>
      <c r="T1057" s="320">
        <v>715.73</v>
      </c>
      <c r="U1057" s="320">
        <v>618.35</v>
      </c>
      <c r="V1057" s="320">
        <v>1338.21</v>
      </c>
      <c r="W1057" s="320">
        <v>8.5908</v>
      </c>
      <c r="X1057" s="320">
        <v>53.65</v>
      </c>
      <c r="Y1057" s="320">
        <v>144.0</v>
      </c>
      <c r="Z1057" s="320">
        <v>619.0</v>
      </c>
      <c r="AA1057" s="320">
        <v>2077.0</v>
      </c>
      <c r="AB1057" s="320">
        <v>62.5999</v>
      </c>
      <c r="AC1057" s="320">
        <v>0.8507</v>
      </c>
      <c r="AD1057" s="320">
        <v>82.02</v>
      </c>
      <c r="AE1057" s="320">
        <v>32.0</v>
      </c>
      <c r="AF1057" s="320">
        <v>66.0</v>
      </c>
      <c r="AG1057" s="320">
        <v>118.0</v>
      </c>
      <c r="AH1057" s="320">
        <v>170.0</v>
      </c>
      <c r="AI1057" s="320">
        <v>41.71</v>
      </c>
      <c r="AJ1057" s="320">
        <v>9.07</v>
      </c>
      <c r="AK1057" s="320">
        <v>1.81</v>
      </c>
      <c r="AL1057" s="320">
        <v>0.1192</v>
      </c>
      <c r="AM1057" s="320">
        <v>21.31</v>
      </c>
      <c r="AN1057" s="320">
        <v>1049.79</v>
      </c>
      <c r="AO1057" s="320">
        <v>72.58</v>
      </c>
      <c r="AP1057" s="320">
        <v>15.47</v>
      </c>
    </row>
    <row r="1058">
      <c r="A1058" s="319" t="s">
        <v>258</v>
      </c>
      <c r="B1058" s="328">
        <v>46106.0</v>
      </c>
      <c r="C1058" s="319" t="s">
        <v>257</v>
      </c>
      <c r="D1058" s="320">
        <v>16255.0</v>
      </c>
      <c r="E1058" s="320">
        <v>21.14</v>
      </c>
      <c r="F1058" s="320">
        <v>126.0</v>
      </c>
      <c r="G1058" s="320">
        <v>0.0078</v>
      </c>
      <c r="H1058" s="320">
        <v>0.21</v>
      </c>
      <c r="I1058" s="320">
        <v>3.7059</v>
      </c>
      <c r="J1058" s="320">
        <v>6.14</v>
      </c>
      <c r="K1058" s="320">
        <v>2.85</v>
      </c>
      <c r="L1058" s="320">
        <v>0.05</v>
      </c>
      <c r="M1058" s="320">
        <v>0.0175</v>
      </c>
      <c r="N1058" s="320">
        <v>0.9838</v>
      </c>
      <c r="O1058" s="320">
        <v>0.7942</v>
      </c>
      <c r="P1058" s="320">
        <v>56.9914</v>
      </c>
      <c r="Q1058" s="320">
        <v>23.13</v>
      </c>
      <c r="R1058" s="320">
        <v>23.05</v>
      </c>
      <c r="S1058" s="320">
        <v>0.08</v>
      </c>
      <c r="T1058" s="320">
        <v>0.66</v>
      </c>
      <c r="U1058" s="320">
        <v>22.47</v>
      </c>
      <c r="V1058" s="320">
        <v>2.18</v>
      </c>
      <c r="W1058" s="320">
        <v>0.765</v>
      </c>
      <c r="X1058" s="320">
        <v>2.86</v>
      </c>
      <c r="Y1058" s="320">
        <v>155.0</v>
      </c>
      <c r="Z1058" s="320">
        <v>1126.0</v>
      </c>
      <c r="AA1058" s="320">
        <v>7388.0</v>
      </c>
      <c r="AB1058" s="320">
        <v>49.9962</v>
      </c>
      <c r="AC1058" s="320">
        <v>0.5172</v>
      </c>
      <c r="AD1058" s="329"/>
      <c r="AE1058" s="329"/>
      <c r="AF1058" s="329"/>
      <c r="AG1058" s="329"/>
      <c r="AH1058" s="329"/>
      <c r="AI1058" s="320">
        <v>0.0</v>
      </c>
      <c r="AJ1058" s="320">
        <v>0.0</v>
      </c>
      <c r="AK1058" s="320">
        <v>0.0</v>
      </c>
      <c r="AL1058" s="320">
        <v>0.2578</v>
      </c>
      <c r="AM1058" s="320">
        <v>15.57</v>
      </c>
      <c r="AN1058" s="320">
        <v>7.48</v>
      </c>
      <c r="AO1058" s="329"/>
      <c r="AP1058" s="329"/>
    </row>
    <row r="1059">
      <c r="A1059" s="319" t="s">
        <v>258</v>
      </c>
      <c r="B1059" s="328">
        <v>46106.0</v>
      </c>
      <c r="C1059" s="319" t="s">
        <v>214</v>
      </c>
      <c r="D1059" s="320">
        <v>32776.0</v>
      </c>
      <c r="E1059" s="320">
        <v>42.62</v>
      </c>
      <c r="F1059" s="320">
        <v>7117.77</v>
      </c>
      <c r="G1059" s="320">
        <v>0.2172</v>
      </c>
      <c r="H1059" s="320">
        <v>6.29</v>
      </c>
      <c r="I1059" s="320">
        <v>3.4536</v>
      </c>
      <c r="J1059" s="320">
        <v>32.44</v>
      </c>
      <c r="K1059" s="320">
        <v>17.67</v>
      </c>
      <c r="L1059" s="320">
        <v>5.15</v>
      </c>
      <c r="M1059" s="320">
        <v>0.2914</v>
      </c>
      <c r="N1059" s="320">
        <v>0.774</v>
      </c>
      <c r="O1059" s="320">
        <v>0.5321</v>
      </c>
      <c r="P1059" s="320">
        <v>3.4322</v>
      </c>
      <c r="Q1059" s="320">
        <v>62.79</v>
      </c>
      <c r="R1059" s="320">
        <v>52.01</v>
      </c>
      <c r="S1059" s="320">
        <v>10.78</v>
      </c>
      <c r="T1059" s="320">
        <v>15.77</v>
      </c>
      <c r="U1059" s="320">
        <v>47.02</v>
      </c>
      <c r="V1059" s="320">
        <v>70.62</v>
      </c>
      <c r="W1059" s="320">
        <v>3.9974</v>
      </c>
      <c r="X1059" s="320">
        <v>25.12</v>
      </c>
      <c r="Y1059" s="320">
        <v>86.0</v>
      </c>
      <c r="Z1059" s="320">
        <v>204.0</v>
      </c>
      <c r="AA1059" s="320">
        <v>842.0</v>
      </c>
      <c r="AB1059" s="320">
        <v>49.5988</v>
      </c>
      <c r="AC1059" s="320">
        <v>0.4397</v>
      </c>
      <c r="AD1059" s="320">
        <v>3.42</v>
      </c>
      <c r="AE1059" s="320">
        <v>1.0</v>
      </c>
      <c r="AF1059" s="320">
        <v>2.0</v>
      </c>
      <c r="AG1059" s="320">
        <v>4.0</v>
      </c>
      <c r="AH1059" s="320">
        <v>8.0</v>
      </c>
      <c r="AI1059" s="320">
        <v>65.11</v>
      </c>
      <c r="AJ1059" s="320">
        <v>23.59</v>
      </c>
      <c r="AK1059" s="320">
        <v>6.48</v>
      </c>
      <c r="AL1059" s="320">
        <v>0.2141</v>
      </c>
      <c r="AM1059" s="320">
        <v>19.09</v>
      </c>
      <c r="AN1059" s="320">
        <v>32.91</v>
      </c>
      <c r="AO1059" s="320">
        <v>68.45</v>
      </c>
      <c r="AP1059" s="320">
        <v>13.07</v>
      </c>
    </row>
    <row r="1060">
      <c r="A1060" s="319" t="s">
        <v>258</v>
      </c>
      <c r="B1060" s="328">
        <v>46106.0</v>
      </c>
      <c r="C1060" s="319" t="s">
        <v>215</v>
      </c>
      <c r="D1060" s="320">
        <v>16446.0</v>
      </c>
      <c r="E1060" s="320">
        <v>21.39</v>
      </c>
      <c r="F1060" s="320">
        <v>16885.46</v>
      </c>
      <c r="G1060" s="320">
        <v>1.0267</v>
      </c>
      <c r="H1060" s="320">
        <v>20.89</v>
      </c>
      <c r="I1060" s="320">
        <v>4.9157</v>
      </c>
      <c r="J1060" s="320">
        <v>60.52</v>
      </c>
      <c r="K1060" s="320">
        <v>35.13</v>
      </c>
      <c r="L1060" s="320">
        <v>14.15</v>
      </c>
      <c r="M1060" s="320">
        <v>0.4029</v>
      </c>
      <c r="N1060" s="320">
        <v>0.6541</v>
      </c>
      <c r="O1060" s="320">
        <v>0.3696</v>
      </c>
      <c r="P1060" s="320">
        <v>2.4821</v>
      </c>
      <c r="Q1060" s="320">
        <v>150.2</v>
      </c>
      <c r="R1060" s="320">
        <v>122.33</v>
      </c>
      <c r="S1060" s="320">
        <v>27.87</v>
      </c>
      <c r="T1060" s="320">
        <v>70.41</v>
      </c>
      <c r="U1060" s="320">
        <v>79.78</v>
      </c>
      <c r="V1060" s="320">
        <v>163.92</v>
      </c>
      <c r="W1060" s="320">
        <v>4.6667</v>
      </c>
      <c r="X1060" s="320">
        <v>46.88</v>
      </c>
      <c r="Y1060" s="320">
        <v>81.0</v>
      </c>
      <c r="Z1060" s="320">
        <v>167.0</v>
      </c>
      <c r="AA1060" s="320">
        <v>576.0</v>
      </c>
      <c r="AB1060" s="320">
        <v>52.5861</v>
      </c>
      <c r="AC1060" s="320">
        <v>0.5252</v>
      </c>
      <c r="AD1060" s="320">
        <v>8.41</v>
      </c>
      <c r="AE1060" s="320">
        <v>2.0</v>
      </c>
      <c r="AF1060" s="320">
        <v>6.0</v>
      </c>
      <c r="AG1060" s="320">
        <v>12.0</v>
      </c>
      <c r="AH1060" s="320">
        <v>19.0</v>
      </c>
      <c r="AI1060" s="320">
        <v>51.59</v>
      </c>
      <c r="AJ1060" s="320">
        <v>22.67</v>
      </c>
      <c r="AK1060" s="320">
        <v>4.34</v>
      </c>
      <c r="AL1060" s="320">
        <v>0.1859</v>
      </c>
      <c r="AM1060" s="320">
        <v>19.72</v>
      </c>
      <c r="AN1060" s="320">
        <v>102.61</v>
      </c>
      <c r="AO1060" s="320">
        <v>73.39</v>
      </c>
      <c r="AP1060" s="320">
        <v>14.47</v>
      </c>
    </row>
    <row r="1061">
      <c r="A1061" s="319" t="s">
        <v>258</v>
      </c>
      <c r="B1061" s="328">
        <v>46106.0</v>
      </c>
      <c r="C1061" s="319" t="s">
        <v>216</v>
      </c>
      <c r="D1061" s="320">
        <v>7890.0</v>
      </c>
      <c r="E1061" s="320">
        <v>10.26</v>
      </c>
      <c r="F1061" s="320">
        <v>19772.09</v>
      </c>
      <c r="G1061" s="320">
        <v>2.506</v>
      </c>
      <c r="H1061" s="320">
        <v>33.23</v>
      </c>
      <c r="I1061" s="320">
        <v>7.5408</v>
      </c>
      <c r="J1061" s="320">
        <v>81.99</v>
      </c>
      <c r="K1061" s="320">
        <v>49.32</v>
      </c>
      <c r="L1061" s="320">
        <v>25.77</v>
      </c>
      <c r="M1061" s="320">
        <v>0.5225</v>
      </c>
      <c r="N1061" s="320">
        <v>0.545</v>
      </c>
      <c r="O1061" s="320">
        <v>0.2967</v>
      </c>
      <c r="P1061" s="320">
        <v>1.9139</v>
      </c>
      <c r="Q1061" s="320">
        <v>288.41</v>
      </c>
      <c r="R1061" s="320">
        <v>234.97</v>
      </c>
      <c r="S1061" s="320">
        <v>53.44</v>
      </c>
      <c r="T1061" s="320">
        <v>165.07</v>
      </c>
      <c r="U1061" s="320">
        <v>123.34</v>
      </c>
      <c r="V1061" s="320">
        <v>313.05</v>
      </c>
      <c r="W1061" s="320">
        <v>6.3473</v>
      </c>
      <c r="X1061" s="320">
        <v>57.23</v>
      </c>
      <c r="Y1061" s="320">
        <v>82.0</v>
      </c>
      <c r="Z1061" s="320">
        <v>180.0</v>
      </c>
      <c r="AA1061" s="320">
        <v>658.0</v>
      </c>
      <c r="AB1061" s="320">
        <v>54.6882</v>
      </c>
      <c r="AC1061" s="320">
        <v>0.6548</v>
      </c>
      <c r="AD1061" s="320">
        <v>16.63</v>
      </c>
      <c r="AE1061" s="320">
        <v>5.0</v>
      </c>
      <c r="AF1061" s="320">
        <v>12.0</v>
      </c>
      <c r="AG1061" s="320">
        <v>23.0</v>
      </c>
      <c r="AH1061" s="320">
        <v>36.0</v>
      </c>
      <c r="AI1061" s="320">
        <v>53.74</v>
      </c>
      <c r="AJ1061" s="320">
        <v>21.5</v>
      </c>
      <c r="AK1061" s="320">
        <v>6.96</v>
      </c>
      <c r="AL1061" s="320">
        <v>0.1938</v>
      </c>
      <c r="AM1061" s="320">
        <v>18.79</v>
      </c>
      <c r="AN1061" s="320">
        <v>216.18</v>
      </c>
      <c r="AO1061" s="320">
        <v>74.44</v>
      </c>
      <c r="AP1061" s="320">
        <v>13.99</v>
      </c>
    </row>
    <row r="1062">
      <c r="A1062" s="319" t="s">
        <v>258</v>
      </c>
      <c r="B1062" s="328">
        <v>46106.0</v>
      </c>
      <c r="C1062" s="319" t="s">
        <v>217</v>
      </c>
      <c r="D1062" s="320">
        <v>3151.0</v>
      </c>
      <c r="E1062" s="320">
        <v>4.1</v>
      </c>
      <c r="F1062" s="320">
        <v>19242.43</v>
      </c>
      <c r="G1062" s="320">
        <v>6.1068</v>
      </c>
      <c r="H1062" s="320">
        <v>43.95</v>
      </c>
      <c r="I1062" s="320">
        <v>13.8935</v>
      </c>
      <c r="J1062" s="320">
        <v>128.09</v>
      </c>
      <c r="K1062" s="320">
        <v>79.68</v>
      </c>
      <c r="L1062" s="320">
        <v>52.98</v>
      </c>
      <c r="M1062" s="320">
        <v>0.6649</v>
      </c>
      <c r="N1062" s="320">
        <v>0.4195</v>
      </c>
      <c r="O1062" s="320">
        <v>0.2355</v>
      </c>
      <c r="P1062" s="320">
        <v>1.504</v>
      </c>
      <c r="Q1062" s="320">
        <v>597.62</v>
      </c>
      <c r="R1062" s="320">
        <v>485.92</v>
      </c>
      <c r="S1062" s="320">
        <v>111.7</v>
      </c>
      <c r="T1062" s="320">
        <v>380.82</v>
      </c>
      <c r="U1062" s="320">
        <v>216.8</v>
      </c>
      <c r="V1062" s="320">
        <v>649.16</v>
      </c>
      <c r="W1062" s="320">
        <v>8.1474</v>
      </c>
      <c r="X1062" s="320">
        <v>63.72</v>
      </c>
      <c r="Y1062" s="320">
        <v>91.0</v>
      </c>
      <c r="Z1062" s="320">
        <v>254.0</v>
      </c>
      <c r="AA1062" s="320">
        <v>919.0</v>
      </c>
      <c r="AB1062" s="320">
        <v>57.9038</v>
      </c>
      <c r="AC1062" s="320">
        <v>0.7637</v>
      </c>
      <c r="AD1062" s="320">
        <v>35.2</v>
      </c>
      <c r="AE1062" s="320">
        <v>11.0</v>
      </c>
      <c r="AF1062" s="320">
        <v>26.0</v>
      </c>
      <c r="AG1062" s="320">
        <v>50.0</v>
      </c>
      <c r="AH1062" s="320">
        <v>77.0</v>
      </c>
      <c r="AI1062" s="320">
        <v>48.02</v>
      </c>
      <c r="AJ1062" s="320">
        <v>18.69</v>
      </c>
      <c r="AK1062" s="320">
        <v>4.82</v>
      </c>
      <c r="AL1062" s="320">
        <v>0.1631</v>
      </c>
      <c r="AM1062" s="320">
        <v>20.41</v>
      </c>
      <c r="AN1062" s="320">
        <v>465.51</v>
      </c>
      <c r="AO1062" s="320">
        <v>74.57</v>
      </c>
      <c r="AP1062" s="320">
        <v>15.22</v>
      </c>
    </row>
    <row r="1063">
      <c r="A1063" s="319" t="s">
        <v>258</v>
      </c>
      <c r="B1063" s="328">
        <v>46106.0</v>
      </c>
      <c r="C1063" s="319" t="s">
        <v>218</v>
      </c>
      <c r="D1063" s="320">
        <v>385.0</v>
      </c>
      <c r="E1063" s="320">
        <v>0.5</v>
      </c>
      <c r="F1063" s="320">
        <v>4213.18</v>
      </c>
      <c r="G1063" s="320">
        <v>10.9433</v>
      </c>
      <c r="H1063" s="320">
        <v>45.19</v>
      </c>
      <c r="I1063" s="320">
        <v>24.2137</v>
      </c>
      <c r="J1063" s="320">
        <v>229.16</v>
      </c>
      <c r="K1063" s="320">
        <v>150.82</v>
      </c>
      <c r="L1063" s="320">
        <v>116.31</v>
      </c>
      <c r="M1063" s="320">
        <v>0.7712</v>
      </c>
      <c r="N1063" s="320">
        <v>0.3157</v>
      </c>
      <c r="O1063" s="320">
        <v>0.1919</v>
      </c>
      <c r="P1063" s="320">
        <v>1.2968</v>
      </c>
      <c r="Q1063" s="320">
        <v>1094.63</v>
      </c>
      <c r="R1063" s="320">
        <v>848.62</v>
      </c>
      <c r="S1063" s="320">
        <v>246.01</v>
      </c>
      <c r="T1063" s="320">
        <v>680.7</v>
      </c>
      <c r="U1063" s="320">
        <v>413.93</v>
      </c>
      <c r="V1063" s="320">
        <v>1199.35</v>
      </c>
      <c r="W1063" s="320">
        <v>7.9522</v>
      </c>
      <c r="X1063" s="320">
        <v>62.19</v>
      </c>
      <c r="Y1063" s="320">
        <v>117.0</v>
      </c>
      <c r="Z1063" s="320">
        <v>638.0</v>
      </c>
      <c r="AA1063" s="320">
        <v>2212.0</v>
      </c>
      <c r="AB1063" s="320">
        <v>62.2277</v>
      </c>
      <c r="AC1063" s="320">
        <v>0.8376</v>
      </c>
      <c r="AD1063" s="320">
        <v>74.04</v>
      </c>
      <c r="AE1063" s="320">
        <v>22.0</v>
      </c>
      <c r="AF1063" s="320">
        <v>53.0</v>
      </c>
      <c r="AG1063" s="320">
        <v>107.0</v>
      </c>
      <c r="AH1063" s="320">
        <v>157.0</v>
      </c>
      <c r="AI1063" s="320">
        <v>37.14</v>
      </c>
      <c r="AJ1063" s="320">
        <v>7.53</v>
      </c>
      <c r="AK1063" s="320">
        <v>1.82</v>
      </c>
      <c r="AL1063" s="320">
        <v>0.0961</v>
      </c>
      <c r="AM1063" s="320">
        <v>22.49</v>
      </c>
      <c r="AN1063" s="320">
        <v>826.13</v>
      </c>
      <c r="AO1063" s="320">
        <v>74.95</v>
      </c>
      <c r="AP1063" s="320">
        <v>16.86</v>
      </c>
    </row>
    <row r="1064">
      <c r="A1064" s="319" t="s">
        <v>258</v>
      </c>
      <c r="B1064" s="328">
        <v>46107.0</v>
      </c>
      <c r="C1064" s="319" t="s">
        <v>257</v>
      </c>
      <c r="D1064" s="320">
        <v>16849.0</v>
      </c>
      <c r="E1064" s="320">
        <v>22.23</v>
      </c>
      <c r="F1064" s="320">
        <v>72.56</v>
      </c>
      <c r="G1064" s="320">
        <v>0.0043</v>
      </c>
      <c r="H1064" s="320">
        <v>0.13</v>
      </c>
      <c r="I1064" s="320">
        <v>3.2982</v>
      </c>
      <c r="J1064" s="320">
        <v>6.17</v>
      </c>
      <c r="K1064" s="320">
        <v>2.85</v>
      </c>
      <c r="L1064" s="320">
        <v>0.04</v>
      </c>
      <c r="M1064" s="320">
        <v>0.0128</v>
      </c>
      <c r="N1064" s="320">
        <v>0.988</v>
      </c>
      <c r="O1064" s="320">
        <v>0.8277</v>
      </c>
      <c r="P1064" s="320">
        <v>78.0455</v>
      </c>
      <c r="Q1064" s="320">
        <v>23.7</v>
      </c>
      <c r="R1064" s="320">
        <v>23.63</v>
      </c>
      <c r="S1064" s="320">
        <v>0.07</v>
      </c>
      <c r="T1064" s="320">
        <v>0.52</v>
      </c>
      <c r="U1064" s="320">
        <v>23.18</v>
      </c>
      <c r="V1064" s="320">
        <v>2.12</v>
      </c>
      <c r="W1064" s="320">
        <v>0.7459</v>
      </c>
      <c r="X1064" s="320">
        <v>2.2</v>
      </c>
      <c r="Y1064" s="320">
        <v>135.0</v>
      </c>
      <c r="Z1064" s="320">
        <v>1017.0</v>
      </c>
      <c r="AA1064" s="320">
        <v>6836.0</v>
      </c>
      <c r="AB1064" s="320">
        <v>49.6844</v>
      </c>
      <c r="AC1064" s="320">
        <v>0.5063</v>
      </c>
      <c r="AD1064" s="329"/>
      <c r="AE1064" s="329"/>
      <c r="AF1064" s="329"/>
      <c r="AG1064" s="329"/>
      <c r="AH1064" s="329"/>
      <c r="AI1064" s="320">
        <v>0.0</v>
      </c>
      <c r="AJ1064" s="320">
        <v>0.0</v>
      </c>
      <c r="AK1064" s="320">
        <v>0.0</v>
      </c>
      <c r="AL1064" s="320">
        <v>0.2731</v>
      </c>
      <c r="AM1064" s="320">
        <v>16.13</v>
      </c>
      <c r="AN1064" s="320">
        <v>7.51</v>
      </c>
      <c r="AO1064" s="329"/>
      <c r="AP1064" s="329"/>
    </row>
    <row r="1065">
      <c r="A1065" s="319" t="s">
        <v>258</v>
      </c>
      <c r="B1065" s="328">
        <v>46107.0</v>
      </c>
      <c r="C1065" s="319" t="s">
        <v>214</v>
      </c>
      <c r="D1065" s="320">
        <v>31991.0</v>
      </c>
      <c r="E1065" s="320">
        <v>42.22</v>
      </c>
      <c r="F1065" s="320">
        <v>7203.81</v>
      </c>
      <c r="G1065" s="320">
        <v>0.2252</v>
      </c>
      <c r="H1065" s="320">
        <v>6.38</v>
      </c>
      <c r="I1065" s="320">
        <v>3.5278</v>
      </c>
      <c r="J1065" s="320">
        <v>28.83</v>
      </c>
      <c r="K1065" s="320">
        <v>15.45</v>
      </c>
      <c r="L1065" s="320">
        <v>5.03</v>
      </c>
      <c r="M1065" s="320">
        <v>0.3256</v>
      </c>
      <c r="N1065" s="320">
        <v>0.7481</v>
      </c>
      <c r="O1065" s="320">
        <v>0.511</v>
      </c>
      <c r="P1065" s="320">
        <v>3.0715</v>
      </c>
      <c r="Q1065" s="320">
        <v>63.41</v>
      </c>
      <c r="R1065" s="320">
        <v>53.01</v>
      </c>
      <c r="S1065" s="320">
        <v>10.41</v>
      </c>
      <c r="T1065" s="320">
        <v>16.25</v>
      </c>
      <c r="U1065" s="320">
        <v>47.16</v>
      </c>
      <c r="V1065" s="320">
        <v>69.69</v>
      </c>
      <c r="W1065" s="320">
        <v>4.51</v>
      </c>
      <c r="X1065" s="320">
        <v>25.62</v>
      </c>
      <c r="Y1065" s="320">
        <v>84.0</v>
      </c>
      <c r="Z1065" s="320">
        <v>201.0</v>
      </c>
      <c r="AA1065" s="320">
        <v>843.0</v>
      </c>
      <c r="AB1065" s="320">
        <v>49.6614</v>
      </c>
      <c r="AC1065" s="320">
        <v>0.4423</v>
      </c>
      <c r="AD1065" s="320">
        <v>3.44</v>
      </c>
      <c r="AE1065" s="320">
        <v>1.0</v>
      </c>
      <c r="AF1065" s="320">
        <v>2.0</v>
      </c>
      <c r="AG1065" s="320">
        <v>4.0</v>
      </c>
      <c r="AH1065" s="320">
        <v>8.0</v>
      </c>
      <c r="AI1065" s="320">
        <v>64.32</v>
      </c>
      <c r="AJ1065" s="320">
        <v>23.55</v>
      </c>
      <c r="AK1065" s="320">
        <v>6.86</v>
      </c>
      <c r="AL1065" s="320">
        <v>0.2224</v>
      </c>
      <c r="AM1065" s="320">
        <v>19.94</v>
      </c>
      <c r="AN1065" s="320">
        <v>33.06</v>
      </c>
      <c r="AO1065" s="320">
        <v>69.05</v>
      </c>
      <c r="AP1065" s="320">
        <v>13.77</v>
      </c>
    </row>
    <row r="1066">
      <c r="A1066" s="319" t="s">
        <v>258</v>
      </c>
      <c r="B1066" s="328">
        <v>46107.0</v>
      </c>
      <c r="C1066" s="319" t="s">
        <v>215</v>
      </c>
      <c r="D1066" s="320">
        <v>15624.0</v>
      </c>
      <c r="E1066" s="320">
        <v>20.62</v>
      </c>
      <c r="F1066" s="320">
        <v>16014.95</v>
      </c>
      <c r="G1066" s="320">
        <v>1.025</v>
      </c>
      <c r="H1066" s="320">
        <v>21.38</v>
      </c>
      <c r="I1066" s="320">
        <v>4.7949</v>
      </c>
      <c r="J1066" s="320">
        <v>53.18</v>
      </c>
      <c r="K1066" s="320">
        <v>30.31</v>
      </c>
      <c r="L1066" s="320">
        <v>13.59</v>
      </c>
      <c r="M1066" s="320">
        <v>0.4483</v>
      </c>
      <c r="N1066" s="320">
        <v>0.618</v>
      </c>
      <c r="O1066" s="320">
        <v>0.3509</v>
      </c>
      <c r="P1066" s="320">
        <v>2.2304</v>
      </c>
      <c r="Q1066" s="320">
        <v>166.67</v>
      </c>
      <c r="R1066" s="320">
        <v>139.23</v>
      </c>
      <c r="S1066" s="320">
        <v>27.43</v>
      </c>
      <c r="T1066" s="320">
        <v>69.7</v>
      </c>
      <c r="U1066" s="320">
        <v>96.96</v>
      </c>
      <c r="V1066" s="320">
        <v>168.79</v>
      </c>
      <c r="W1066" s="320">
        <v>5.5684</v>
      </c>
      <c r="X1066" s="320">
        <v>41.82</v>
      </c>
      <c r="Y1066" s="320">
        <v>83.0</v>
      </c>
      <c r="Z1066" s="320">
        <v>186.0</v>
      </c>
      <c r="AA1066" s="320">
        <v>608.0</v>
      </c>
      <c r="AB1066" s="320">
        <v>52.6132</v>
      </c>
      <c r="AC1066" s="320">
        <v>0.5373</v>
      </c>
      <c r="AD1066" s="320">
        <v>8.79</v>
      </c>
      <c r="AE1066" s="320">
        <v>2.0</v>
      </c>
      <c r="AF1066" s="320">
        <v>6.0</v>
      </c>
      <c r="AG1066" s="320">
        <v>12.0</v>
      </c>
      <c r="AH1066" s="320">
        <v>20.0</v>
      </c>
      <c r="AI1066" s="320">
        <v>52.86</v>
      </c>
      <c r="AJ1066" s="320">
        <v>24.25</v>
      </c>
      <c r="AK1066" s="320">
        <v>4.99</v>
      </c>
      <c r="AL1066" s="320">
        <v>0.1936</v>
      </c>
      <c r="AM1066" s="320">
        <v>20.77</v>
      </c>
      <c r="AN1066" s="320">
        <v>118.46</v>
      </c>
      <c r="AO1066" s="320">
        <v>74.76</v>
      </c>
      <c r="AP1066" s="320">
        <v>15.53</v>
      </c>
    </row>
    <row r="1067">
      <c r="A1067" s="319" t="s">
        <v>258</v>
      </c>
      <c r="B1067" s="328">
        <v>46107.0</v>
      </c>
      <c r="C1067" s="319" t="s">
        <v>216</v>
      </c>
      <c r="D1067" s="320">
        <v>7711.0</v>
      </c>
      <c r="E1067" s="320">
        <v>10.18</v>
      </c>
      <c r="F1067" s="320">
        <v>18330.57</v>
      </c>
      <c r="G1067" s="320">
        <v>2.3772</v>
      </c>
      <c r="H1067" s="320">
        <v>31.06</v>
      </c>
      <c r="I1067" s="320">
        <v>7.6537</v>
      </c>
      <c r="J1067" s="320">
        <v>74.7</v>
      </c>
      <c r="K1067" s="320">
        <v>44.72</v>
      </c>
      <c r="L1067" s="320">
        <v>25.29</v>
      </c>
      <c r="M1067" s="320">
        <v>0.5655</v>
      </c>
      <c r="N1067" s="320">
        <v>0.5099</v>
      </c>
      <c r="O1067" s="320">
        <v>0.283</v>
      </c>
      <c r="P1067" s="320">
        <v>1.7684</v>
      </c>
      <c r="Q1067" s="320">
        <v>325.99</v>
      </c>
      <c r="R1067" s="320">
        <v>272.68</v>
      </c>
      <c r="S1067" s="320">
        <v>53.31</v>
      </c>
      <c r="T1067" s="320">
        <v>151.27</v>
      </c>
      <c r="U1067" s="320">
        <v>174.73</v>
      </c>
      <c r="V1067" s="320">
        <v>320.73</v>
      </c>
      <c r="W1067" s="320">
        <v>7.172</v>
      </c>
      <c r="X1067" s="320">
        <v>46.4</v>
      </c>
      <c r="Y1067" s="320">
        <v>86.0</v>
      </c>
      <c r="Z1067" s="320">
        <v>219.0</v>
      </c>
      <c r="AA1067" s="320">
        <v>651.0</v>
      </c>
      <c r="AB1067" s="320">
        <v>54.6631</v>
      </c>
      <c r="AC1067" s="320">
        <v>0.6497</v>
      </c>
      <c r="AD1067" s="320">
        <v>16.96</v>
      </c>
      <c r="AE1067" s="320">
        <v>5.0</v>
      </c>
      <c r="AF1067" s="320">
        <v>12.0</v>
      </c>
      <c r="AG1067" s="320">
        <v>24.0</v>
      </c>
      <c r="AH1067" s="320">
        <v>38.0</v>
      </c>
      <c r="AI1067" s="320">
        <v>54.45</v>
      </c>
      <c r="AJ1067" s="320">
        <v>22.42</v>
      </c>
      <c r="AK1067" s="320">
        <v>7.57</v>
      </c>
      <c r="AL1067" s="320">
        <v>0.2046</v>
      </c>
      <c r="AM1067" s="320">
        <v>19.97</v>
      </c>
      <c r="AN1067" s="320">
        <v>252.71</v>
      </c>
      <c r="AO1067" s="320">
        <v>74.81</v>
      </c>
      <c r="AP1067" s="320">
        <v>14.94</v>
      </c>
    </row>
    <row r="1068">
      <c r="A1068" s="319" t="s">
        <v>258</v>
      </c>
      <c r="B1068" s="328">
        <v>46107.0</v>
      </c>
      <c r="C1068" s="319" t="s">
        <v>217</v>
      </c>
      <c r="D1068" s="320">
        <v>3224.0</v>
      </c>
      <c r="E1068" s="320">
        <v>4.25</v>
      </c>
      <c r="F1068" s="320">
        <v>17497.81</v>
      </c>
      <c r="G1068" s="320">
        <v>5.4274</v>
      </c>
      <c r="H1068" s="320">
        <v>40.66</v>
      </c>
      <c r="I1068" s="320">
        <v>13.3469</v>
      </c>
      <c r="J1068" s="320">
        <v>123.94</v>
      </c>
      <c r="K1068" s="320">
        <v>76.85</v>
      </c>
      <c r="L1068" s="320">
        <v>54.92</v>
      </c>
      <c r="M1068" s="320">
        <v>0.7146</v>
      </c>
      <c r="N1068" s="320">
        <v>0.3766</v>
      </c>
      <c r="O1068" s="320">
        <v>0.2188</v>
      </c>
      <c r="P1068" s="320">
        <v>1.3993</v>
      </c>
      <c r="Q1068" s="320">
        <v>722.98</v>
      </c>
      <c r="R1068" s="320">
        <v>607.69</v>
      </c>
      <c r="S1068" s="320">
        <v>115.29</v>
      </c>
      <c r="T1068" s="320">
        <v>337.09</v>
      </c>
      <c r="U1068" s="320">
        <v>385.89</v>
      </c>
      <c r="V1068" s="320">
        <v>692.8</v>
      </c>
      <c r="W1068" s="320">
        <v>9.0148</v>
      </c>
      <c r="X1068" s="320">
        <v>46.63</v>
      </c>
      <c r="Y1068" s="320">
        <v>101.0</v>
      </c>
      <c r="Z1068" s="320">
        <v>338.0</v>
      </c>
      <c r="AA1068" s="320">
        <v>996.0</v>
      </c>
      <c r="AB1068" s="320">
        <v>57.9946</v>
      </c>
      <c r="AC1068" s="320">
        <v>0.7571</v>
      </c>
      <c r="AD1068" s="320">
        <v>37.77</v>
      </c>
      <c r="AE1068" s="320">
        <v>13.0</v>
      </c>
      <c r="AF1068" s="320">
        <v>30.0</v>
      </c>
      <c r="AG1068" s="320">
        <v>53.0</v>
      </c>
      <c r="AH1068" s="320">
        <v>78.0</v>
      </c>
      <c r="AI1068" s="320">
        <v>53.04</v>
      </c>
      <c r="AJ1068" s="320">
        <v>20.19</v>
      </c>
      <c r="AK1068" s="320">
        <v>5.61</v>
      </c>
      <c r="AL1068" s="320">
        <v>0.1898</v>
      </c>
      <c r="AM1068" s="320">
        <v>19.69</v>
      </c>
      <c r="AN1068" s="320">
        <v>588.01</v>
      </c>
      <c r="AO1068" s="320">
        <v>74.17</v>
      </c>
      <c r="AP1068" s="320">
        <v>14.6</v>
      </c>
    </row>
    <row r="1069">
      <c r="A1069" s="319" t="s">
        <v>258</v>
      </c>
      <c r="B1069" s="328">
        <v>46107.0</v>
      </c>
      <c r="C1069" s="319" t="s">
        <v>218</v>
      </c>
      <c r="D1069" s="320">
        <v>381.0</v>
      </c>
      <c r="E1069" s="320">
        <v>0.5</v>
      </c>
      <c r="F1069" s="320">
        <v>3575.56</v>
      </c>
      <c r="G1069" s="320">
        <v>9.3847</v>
      </c>
      <c r="H1069" s="320">
        <v>43.04</v>
      </c>
      <c r="I1069" s="320">
        <v>21.8022</v>
      </c>
      <c r="J1069" s="320">
        <v>231.05</v>
      </c>
      <c r="K1069" s="320">
        <v>154.01</v>
      </c>
      <c r="L1069" s="320">
        <v>125.95</v>
      </c>
      <c r="M1069" s="320">
        <v>0.8178</v>
      </c>
      <c r="N1069" s="320">
        <v>0.2717</v>
      </c>
      <c r="O1069" s="320">
        <v>0.1667</v>
      </c>
      <c r="P1069" s="320">
        <v>1.2228</v>
      </c>
      <c r="Q1069" s="320">
        <v>1373.72</v>
      </c>
      <c r="R1069" s="320">
        <v>1109.64</v>
      </c>
      <c r="S1069" s="320">
        <v>264.08</v>
      </c>
      <c r="T1069" s="320">
        <v>596.63</v>
      </c>
      <c r="U1069" s="320">
        <v>777.1</v>
      </c>
      <c r="V1069" s="320">
        <v>1350.0</v>
      </c>
      <c r="W1069" s="320">
        <v>8.7655</v>
      </c>
      <c r="X1069" s="320">
        <v>43.43</v>
      </c>
      <c r="Y1069" s="320">
        <v>145.0</v>
      </c>
      <c r="Z1069" s="320">
        <v>569.0</v>
      </c>
      <c r="AA1069" s="320">
        <v>2552.0</v>
      </c>
      <c r="AB1069" s="320">
        <v>62.0661</v>
      </c>
      <c r="AC1069" s="320">
        <v>0.8256</v>
      </c>
      <c r="AD1069" s="320">
        <v>87.24</v>
      </c>
      <c r="AE1069" s="320">
        <v>32.0</v>
      </c>
      <c r="AF1069" s="320">
        <v>68.0</v>
      </c>
      <c r="AG1069" s="320">
        <v>123.0</v>
      </c>
      <c r="AH1069" s="320">
        <v>194.0</v>
      </c>
      <c r="AI1069" s="320">
        <v>42.78</v>
      </c>
      <c r="AJ1069" s="320">
        <v>11.81</v>
      </c>
      <c r="AK1069" s="320">
        <v>2.89</v>
      </c>
      <c r="AL1069" s="320">
        <v>0.1339</v>
      </c>
      <c r="AM1069" s="320">
        <v>20.71</v>
      </c>
      <c r="AN1069" s="320">
        <v>1088.93</v>
      </c>
      <c r="AO1069" s="320">
        <v>74.02</v>
      </c>
      <c r="AP1069" s="320">
        <v>15.33</v>
      </c>
    </row>
    <row r="1070">
      <c r="A1070" s="319" t="s">
        <v>258</v>
      </c>
      <c r="B1070" s="328">
        <v>46108.0</v>
      </c>
      <c r="C1070" s="319" t="s">
        <v>257</v>
      </c>
      <c r="D1070" s="320">
        <v>14830.0</v>
      </c>
      <c r="E1070" s="320">
        <v>19.96</v>
      </c>
      <c r="F1070" s="320">
        <v>290.5</v>
      </c>
      <c r="G1070" s="320">
        <v>0.0196</v>
      </c>
      <c r="H1070" s="320">
        <v>0.34</v>
      </c>
      <c r="I1070" s="320">
        <v>5.6961</v>
      </c>
      <c r="J1070" s="320">
        <v>5.96</v>
      </c>
      <c r="K1070" s="320">
        <v>2.47</v>
      </c>
      <c r="L1070" s="320">
        <v>0.06</v>
      </c>
      <c r="M1070" s="320">
        <v>0.0244</v>
      </c>
      <c r="N1070" s="320">
        <v>0.9773</v>
      </c>
      <c r="O1070" s="320">
        <v>0.7542</v>
      </c>
      <c r="P1070" s="320">
        <v>40.9083</v>
      </c>
      <c r="Q1070" s="320">
        <v>31.49</v>
      </c>
      <c r="R1070" s="320">
        <v>31.44</v>
      </c>
      <c r="S1070" s="320">
        <v>0.05</v>
      </c>
      <c r="T1070" s="320">
        <v>1.49</v>
      </c>
      <c r="U1070" s="320">
        <v>30.0</v>
      </c>
      <c r="V1070" s="320">
        <v>2.07</v>
      </c>
      <c r="W1070" s="320">
        <v>0.8394</v>
      </c>
      <c r="X1070" s="320">
        <v>4.73</v>
      </c>
      <c r="Y1070" s="320">
        <v>172.0</v>
      </c>
      <c r="Z1070" s="320">
        <v>1287.0</v>
      </c>
      <c r="AA1070" s="320">
        <v>7754.0</v>
      </c>
      <c r="AB1070" s="320">
        <v>49.7716</v>
      </c>
      <c r="AC1070" s="320">
        <v>0.5155</v>
      </c>
      <c r="AD1070" s="329"/>
      <c r="AE1070" s="329"/>
      <c r="AF1070" s="329"/>
      <c r="AG1070" s="329"/>
      <c r="AH1070" s="329"/>
      <c r="AI1070" s="320">
        <v>0.0</v>
      </c>
      <c r="AJ1070" s="320">
        <v>0.0</v>
      </c>
      <c r="AK1070" s="320">
        <v>0.0</v>
      </c>
      <c r="AL1070" s="320">
        <v>0.2879</v>
      </c>
      <c r="AM1070" s="320">
        <v>17.22</v>
      </c>
      <c r="AN1070" s="320">
        <v>14.22</v>
      </c>
      <c r="AO1070" s="329"/>
      <c r="AP1070" s="329"/>
    </row>
    <row r="1071">
      <c r="A1071" s="319" t="s">
        <v>258</v>
      </c>
      <c r="B1071" s="328">
        <v>46108.0</v>
      </c>
      <c r="C1071" s="319" t="s">
        <v>214</v>
      </c>
      <c r="D1071" s="320">
        <v>32606.0</v>
      </c>
      <c r="E1071" s="320">
        <v>43.87</v>
      </c>
      <c r="F1071" s="320">
        <v>7961.42</v>
      </c>
      <c r="G1071" s="320">
        <v>0.2442</v>
      </c>
      <c r="H1071" s="320">
        <v>6.95</v>
      </c>
      <c r="I1071" s="320">
        <v>3.5134</v>
      </c>
      <c r="J1071" s="320">
        <v>32.93</v>
      </c>
      <c r="K1071" s="320">
        <v>17.88</v>
      </c>
      <c r="L1071" s="320">
        <v>5.69</v>
      </c>
      <c r="M1071" s="320">
        <v>0.3183</v>
      </c>
      <c r="N1071" s="320">
        <v>0.752</v>
      </c>
      <c r="O1071" s="320">
        <v>0.5002</v>
      </c>
      <c r="P1071" s="320">
        <v>3.1416</v>
      </c>
      <c r="Q1071" s="320">
        <v>89.26</v>
      </c>
      <c r="R1071" s="320">
        <v>77.64</v>
      </c>
      <c r="S1071" s="320">
        <v>11.62</v>
      </c>
      <c r="T1071" s="320">
        <v>17.83</v>
      </c>
      <c r="U1071" s="320">
        <v>71.43</v>
      </c>
      <c r="V1071" s="320">
        <v>82.64</v>
      </c>
      <c r="W1071" s="320">
        <v>4.6223</v>
      </c>
      <c r="X1071" s="320">
        <v>19.97</v>
      </c>
      <c r="Y1071" s="320">
        <v>90.0</v>
      </c>
      <c r="Z1071" s="320">
        <v>220.0</v>
      </c>
      <c r="AA1071" s="320">
        <v>860.0</v>
      </c>
      <c r="AB1071" s="320">
        <v>49.5807</v>
      </c>
      <c r="AC1071" s="320">
        <v>0.4404</v>
      </c>
      <c r="AD1071" s="320">
        <v>3.7</v>
      </c>
      <c r="AE1071" s="320">
        <v>1.0</v>
      </c>
      <c r="AF1071" s="320">
        <v>2.0</v>
      </c>
      <c r="AG1071" s="320">
        <v>5.0</v>
      </c>
      <c r="AH1071" s="320">
        <v>9.0</v>
      </c>
      <c r="AI1071" s="320">
        <v>68.86</v>
      </c>
      <c r="AJ1071" s="320">
        <v>26.62</v>
      </c>
      <c r="AK1071" s="320">
        <v>7.91</v>
      </c>
      <c r="AL1071" s="320">
        <v>0.2322</v>
      </c>
      <c r="AM1071" s="320">
        <v>21.49</v>
      </c>
      <c r="AN1071" s="320">
        <v>56.15</v>
      </c>
      <c r="AO1071" s="320">
        <v>68.89</v>
      </c>
      <c r="AP1071" s="320">
        <v>14.8</v>
      </c>
    </row>
    <row r="1072">
      <c r="A1072" s="319" t="s">
        <v>258</v>
      </c>
      <c r="B1072" s="328">
        <v>46108.0</v>
      </c>
      <c r="C1072" s="319" t="s">
        <v>215</v>
      </c>
      <c r="D1072" s="320">
        <v>15571.0</v>
      </c>
      <c r="E1072" s="320">
        <v>20.95</v>
      </c>
      <c r="F1072" s="320">
        <v>15735.21</v>
      </c>
      <c r="G1072" s="320">
        <v>1.0105</v>
      </c>
      <c r="H1072" s="320">
        <v>21.1</v>
      </c>
      <c r="I1072" s="320">
        <v>4.7886</v>
      </c>
      <c r="J1072" s="320">
        <v>59.66</v>
      </c>
      <c r="K1072" s="320">
        <v>34.32</v>
      </c>
      <c r="L1072" s="320">
        <v>14.35</v>
      </c>
      <c r="M1072" s="320">
        <v>0.4182</v>
      </c>
      <c r="N1072" s="320">
        <v>0.645</v>
      </c>
      <c r="O1072" s="320">
        <v>0.3668</v>
      </c>
      <c r="P1072" s="320">
        <v>2.3911</v>
      </c>
      <c r="Q1072" s="320">
        <v>186.29</v>
      </c>
      <c r="R1072" s="320">
        <v>156.62</v>
      </c>
      <c r="S1072" s="320">
        <v>29.67</v>
      </c>
      <c r="T1072" s="320">
        <v>68.98</v>
      </c>
      <c r="U1072" s="320">
        <v>117.32</v>
      </c>
      <c r="V1072" s="320">
        <v>184.47</v>
      </c>
      <c r="W1072" s="320">
        <v>5.3753</v>
      </c>
      <c r="X1072" s="320">
        <v>37.03</v>
      </c>
      <c r="Y1072" s="320">
        <v>85.0</v>
      </c>
      <c r="Z1072" s="320">
        <v>196.0</v>
      </c>
      <c r="AA1072" s="320">
        <v>580.0</v>
      </c>
      <c r="AB1072" s="320">
        <v>52.5398</v>
      </c>
      <c r="AC1072" s="320">
        <v>0.5401</v>
      </c>
      <c r="AD1072" s="320">
        <v>9.12</v>
      </c>
      <c r="AE1072" s="320">
        <v>3.0</v>
      </c>
      <c r="AF1072" s="320">
        <v>7.0</v>
      </c>
      <c r="AG1072" s="320">
        <v>12.0</v>
      </c>
      <c r="AH1072" s="320">
        <v>20.0</v>
      </c>
      <c r="AI1072" s="320">
        <v>56.24</v>
      </c>
      <c r="AJ1072" s="320">
        <v>25.05</v>
      </c>
      <c r="AK1072" s="320">
        <v>5.05</v>
      </c>
      <c r="AL1072" s="320">
        <v>0.2143</v>
      </c>
      <c r="AM1072" s="320">
        <v>22.06</v>
      </c>
      <c r="AN1072" s="320">
        <v>134.56</v>
      </c>
      <c r="AO1072" s="320">
        <v>74.8</v>
      </c>
      <c r="AP1072" s="320">
        <v>16.5</v>
      </c>
    </row>
    <row r="1073">
      <c r="A1073" s="319" t="s">
        <v>258</v>
      </c>
      <c r="B1073" s="328">
        <v>46108.0</v>
      </c>
      <c r="C1073" s="319" t="s">
        <v>216</v>
      </c>
      <c r="D1073" s="320">
        <v>7797.0</v>
      </c>
      <c r="E1073" s="320">
        <v>10.49</v>
      </c>
      <c r="F1073" s="320">
        <v>19337.86</v>
      </c>
      <c r="G1073" s="320">
        <v>2.4802</v>
      </c>
      <c r="H1073" s="320">
        <v>33.21</v>
      </c>
      <c r="I1073" s="320">
        <v>7.4692</v>
      </c>
      <c r="J1073" s="320">
        <v>85.19</v>
      </c>
      <c r="K1073" s="320">
        <v>50.69</v>
      </c>
      <c r="L1073" s="320">
        <v>27.02</v>
      </c>
      <c r="M1073" s="320">
        <v>0.533</v>
      </c>
      <c r="N1073" s="320">
        <v>0.5374</v>
      </c>
      <c r="O1073" s="320">
        <v>0.2945</v>
      </c>
      <c r="P1073" s="320">
        <v>1.8763</v>
      </c>
      <c r="Q1073" s="320">
        <v>334.87</v>
      </c>
      <c r="R1073" s="320">
        <v>278.28</v>
      </c>
      <c r="S1073" s="320">
        <v>56.59</v>
      </c>
      <c r="T1073" s="320">
        <v>160.26</v>
      </c>
      <c r="U1073" s="320">
        <v>174.61</v>
      </c>
      <c r="V1073" s="320">
        <v>336.53</v>
      </c>
      <c r="W1073" s="320">
        <v>6.6384</v>
      </c>
      <c r="X1073" s="320">
        <v>47.86</v>
      </c>
      <c r="Y1073" s="320">
        <v>87.0</v>
      </c>
      <c r="Z1073" s="320">
        <v>218.0</v>
      </c>
      <c r="AA1073" s="320">
        <v>641.0</v>
      </c>
      <c r="AB1073" s="320">
        <v>54.6489</v>
      </c>
      <c r="AC1073" s="320">
        <v>0.6526</v>
      </c>
      <c r="AD1073" s="320">
        <v>17.5</v>
      </c>
      <c r="AE1073" s="320">
        <v>6.0</v>
      </c>
      <c r="AF1073" s="320">
        <v>13.0</v>
      </c>
      <c r="AG1073" s="320">
        <v>24.0</v>
      </c>
      <c r="AH1073" s="320">
        <v>38.0</v>
      </c>
      <c r="AI1073" s="320">
        <v>56.42</v>
      </c>
      <c r="AJ1073" s="320">
        <v>23.19</v>
      </c>
      <c r="AK1073" s="320">
        <v>7.68</v>
      </c>
      <c r="AL1073" s="320">
        <v>0.2111</v>
      </c>
      <c r="AM1073" s="320">
        <v>21.06</v>
      </c>
      <c r="AN1073" s="320">
        <v>257.23</v>
      </c>
      <c r="AO1073" s="320">
        <v>74.55</v>
      </c>
      <c r="AP1073" s="320">
        <v>15.7</v>
      </c>
    </row>
    <row r="1074">
      <c r="A1074" s="319" t="s">
        <v>258</v>
      </c>
      <c r="B1074" s="328">
        <v>46108.0</v>
      </c>
      <c r="C1074" s="319" t="s">
        <v>217</v>
      </c>
      <c r="D1074" s="320">
        <v>3119.0</v>
      </c>
      <c r="E1074" s="320">
        <v>4.2</v>
      </c>
      <c r="F1074" s="320">
        <v>16723.46</v>
      </c>
      <c r="G1074" s="320">
        <v>5.3618</v>
      </c>
      <c r="H1074" s="320">
        <v>42.58</v>
      </c>
      <c r="I1074" s="320">
        <v>12.593</v>
      </c>
      <c r="J1074" s="320">
        <v>132.81</v>
      </c>
      <c r="K1074" s="320">
        <v>82.02</v>
      </c>
      <c r="L1074" s="320">
        <v>55.58</v>
      </c>
      <c r="M1074" s="320">
        <v>0.6777</v>
      </c>
      <c r="N1074" s="320">
        <v>0.4064</v>
      </c>
      <c r="O1074" s="320">
        <v>0.2297</v>
      </c>
      <c r="P1074" s="320">
        <v>1.4756</v>
      </c>
      <c r="Q1074" s="320">
        <v>622.66</v>
      </c>
      <c r="R1074" s="320">
        <v>505.49</v>
      </c>
      <c r="S1074" s="320">
        <v>117.17</v>
      </c>
      <c r="T1074" s="320">
        <v>331.31</v>
      </c>
      <c r="U1074" s="320">
        <v>291.34</v>
      </c>
      <c r="V1074" s="320">
        <v>672.19</v>
      </c>
      <c r="W1074" s="320">
        <v>8.1952</v>
      </c>
      <c r="X1074" s="320">
        <v>53.21</v>
      </c>
      <c r="Y1074" s="320">
        <v>98.0</v>
      </c>
      <c r="Z1074" s="320">
        <v>321.0</v>
      </c>
      <c r="AA1074" s="320">
        <v>928.0</v>
      </c>
      <c r="AB1074" s="320">
        <v>57.9611</v>
      </c>
      <c r="AC1074" s="320">
        <v>0.7685</v>
      </c>
      <c r="AD1074" s="320">
        <v>36.21</v>
      </c>
      <c r="AE1074" s="320">
        <v>13.0</v>
      </c>
      <c r="AF1074" s="320">
        <v>27.0</v>
      </c>
      <c r="AG1074" s="320">
        <v>50.0</v>
      </c>
      <c r="AH1074" s="320">
        <v>78.0</v>
      </c>
      <c r="AI1074" s="320">
        <v>48.96</v>
      </c>
      <c r="AJ1074" s="320">
        <v>18.31</v>
      </c>
      <c r="AK1074" s="320">
        <v>5.13</v>
      </c>
      <c r="AL1074" s="320">
        <v>0.2017</v>
      </c>
      <c r="AM1074" s="320">
        <v>20.76</v>
      </c>
      <c r="AN1074" s="320">
        <v>484.72</v>
      </c>
      <c r="AO1074" s="320">
        <v>75.22</v>
      </c>
      <c r="AP1074" s="320">
        <v>15.62</v>
      </c>
    </row>
    <row r="1075">
      <c r="A1075" s="319" t="s">
        <v>258</v>
      </c>
      <c r="B1075" s="328">
        <v>46108.0</v>
      </c>
      <c r="C1075" s="319" t="s">
        <v>218</v>
      </c>
      <c r="D1075" s="320">
        <v>393.0</v>
      </c>
      <c r="E1075" s="320">
        <v>0.53</v>
      </c>
      <c r="F1075" s="320">
        <v>3539.91</v>
      </c>
      <c r="G1075" s="320">
        <v>9.0074</v>
      </c>
      <c r="H1075" s="320">
        <v>42.49</v>
      </c>
      <c r="I1075" s="320">
        <v>21.1971</v>
      </c>
      <c r="J1075" s="320">
        <v>238.94</v>
      </c>
      <c r="K1075" s="320">
        <v>156.54</v>
      </c>
      <c r="L1075" s="320">
        <v>125.58</v>
      </c>
      <c r="M1075" s="320">
        <v>0.8022</v>
      </c>
      <c r="N1075" s="320">
        <v>0.2817</v>
      </c>
      <c r="O1075" s="320">
        <v>0.1694</v>
      </c>
      <c r="P1075" s="320">
        <v>1.2466</v>
      </c>
      <c r="Q1075" s="320">
        <v>1140.85</v>
      </c>
      <c r="R1075" s="320">
        <v>875.89</v>
      </c>
      <c r="S1075" s="320">
        <v>264.96</v>
      </c>
      <c r="T1075" s="320">
        <v>554.72</v>
      </c>
      <c r="U1075" s="320">
        <v>586.13</v>
      </c>
      <c r="V1075" s="320">
        <v>1185.62</v>
      </c>
      <c r="W1075" s="320">
        <v>7.5738</v>
      </c>
      <c r="X1075" s="320">
        <v>48.62</v>
      </c>
      <c r="Y1075" s="320">
        <v>137.0</v>
      </c>
      <c r="Z1075" s="320">
        <v>568.0</v>
      </c>
      <c r="AA1075" s="320">
        <v>3071.0</v>
      </c>
      <c r="AB1075" s="320">
        <v>61.2433</v>
      </c>
      <c r="AC1075" s="320">
        <v>0.8309</v>
      </c>
      <c r="AD1075" s="320">
        <v>80.56</v>
      </c>
      <c r="AE1075" s="320">
        <v>29.0</v>
      </c>
      <c r="AF1075" s="320">
        <v>58.0</v>
      </c>
      <c r="AG1075" s="320">
        <v>117.0</v>
      </c>
      <c r="AH1075" s="320">
        <v>173.0</v>
      </c>
      <c r="AI1075" s="320">
        <v>39.95</v>
      </c>
      <c r="AJ1075" s="320">
        <v>9.41</v>
      </c>
      <c r="AK1075" s="320">
        <v>1.78</v>
      </c>
      <c r="AL1075" s="320">
        <v>0.1501</v>
      </c>
      <c r="AM1075" s="320">
        <v>23.6</v>
      </c>
      <c r="AN1075" s="320">
        <v>852.28</v>
      </c>
      <c r="AO1075" s="320">
        <v>74.26</v>
      </c>
      <c r="AP1075" s="320">
        <v>17.53</v>
      </c>
    </row>
    <row r="1076">
      <c r="A1076" s="319" t="s">
        <v>258</v>
      </c>
      <c r="B1076" s="328">
        <v>46109.0</v>
      </c>
      <c r="C1076" s="319" t="s">
        <v>257</v>
      </c>
      <c r="D1076" s="320">
        <v>15165.0</v>
      </c>
      <c r="E1076" s="320">
        <v>20.67</v>
      </c>
      <c r="F1076" s="320">
        <v>246.21</v>
      </c>
      <c r="G1076" s="320">
        <v>0.0162</v>
      </c>
      <c r="H1076" s="320">
        <v>0.3</v>
      </c>
      <c r="I1076" s="320">
        <v>5.4713</v>
      </c>
      <c r="J1076" s="320">
        <v>6.29</v>
      </c>
      <c r="K1076" s="320">
        <v>2.85</v>
      </c>
      <c r="L1076" s="320">
        <v>0.08</v>
      </c>
      <c r="M1076" s="320">
        <v>0.0268</v>
      </c>
      <c r="N1076" s="320">
        <v>0.9757</v>
      </c>
      <c r="O1076" s="320">
        <v>0.7258</v>
      </c>
      <c r="P1076" s="320">
        <v>37.368</v>
      </c>
      <c r="Q1076" s="320">
        <v>28.56</v>
      </c>
      <c r="R1076" s="320">
        <v>28.49</v>
      </c>
      <c r="S1076" s="320">
        <v>0.07</v>
      </c>
      <c r="T1076" s="320">
        <v>1.24</v>
      </c>
      <c r="U1076" s="320">
        <v>27.32</v>
      </c>
      <c r="V1076" s="320">
        <v>2.82</v>
      </c>
      <c r="W1076" s="320">
        <v>0.9893</v>
      </c>
      <c r="X1076" s="320">
        <v>4.35</v>
      </c>
      <c r="Y1076" s="320">
        <v>149.0</v>
      </c>
      <c r="Z1076" s="320">
        <v>1059.0</v>
      </c>
      <c r="AA1076" s="320">
        <v>7379.0</v>
      </c>
      <c r="AB1076" s="320">
        <v>49.6059</v>
      </c>
      <c r="AC1076" s="320">
        <v>0.5048</v>
      </c>
      <c r="AD1076" s="329"/>
      <c r="AE1076" s="329"/>
      <c r="AF1076" s="329"/>
      <c r="AG1076" s="329"/>
      <c r="AH1076" s="329"/>
      <c r="AI1076" s="320">
        <v>0.0</v>
      </c>
      <c r="AJ1076" s="320">
        <v>0.0</v>
      </c>
      <c r="AK1076" s="320">
        <v>0.0</v>
      </c>
      <c r="AL1076" s="320">
        <v>0.2666</v>
      </c>
      <c r="AM1076" s="320">
        <v>18.53</v>
      </c>
      <c r="AN1076" s="320">
        <v>9.97</v>
      </c>
      <c r="AO1076" s="329"/>
      <c r="AP1076" s="329"/>
    </row>
    <row r="1077">
      <c r="A1077" s="319" t="s">
        <v>258</v>
      </c>
      <c r="B1077" s="328">
        <v>46109.0</v>
      </c>
      <c r="C1077" s="319" t="s">
        <v>214</v>
      </c>
      <c r="D1077" s="320">
        <v>31692.0</v>
      </c>
      <c r="E1077" s="320">
        <v>43.2</v>
      </c>
      <c r="F1077" s="320">
        <v>7620.94</v>
      </c>
      <c r="G1077" s="320">
        <v>0.2405</v>
      </c>
      <c r="H1077" s="320">
        <v>6.81</v>
      </c>
      <c r="I1077" s="320">
        <v>3.5331</v>
      </c>
      <c r="J1077" s="320">
        <v>31.25</v>
      </c>
      <c r="K1077" s="320">
        <v>16.95</v>
      </c>
      <c r="L1077" s="320">
        <v>5.51</v>
      </c>
      <c r="M1077" s="320">
        <v>0.3251</v>
      </c>
      <c r="N1077" s="320">
        <v>0.7468</v>
      </c>
      <c r="O1077" s="320">
        <v>0.4991</v>
      </c>
      <c r="P1077" s="320">
        <v>3.0759</v>
      </c>
      <c r="Q1077" s="320">
        <v>75.24</v>
      </c>
      <c r="R1077" s="320">
        <v>63.96</v>
      </c>
      <c r="S1077" s="320">
        <v>11.28</v>
      </c>
      <c r="T1077" s="320">
        <v>17.44</v>
      </c>
      <c r="U1077" s="320">
        <v>57.8</v>
      </c>
      <c r="V1077" s="320">
        <v>79.14</v>
      </c>
      <c r="W1077" s="320">
        <v>4.6706</v>
      </c>
      <c r="X1077" s="320">
        <v>23.19</v>
      </c>
      <c r="Y1077" s="320">
        <v>87.0</v>
      </c>
      <c r="Z1077" s="320">
        <v>218.0</v>
      </c>
      <c r="AA1077" s="320">
        <v>869.0</v>
      </c>
      <c r="AB1077" s="320">
        <v>49.6452</v>
      </c>
      <c r="AC1077" s="320">
        <v>0.4472</v>
      </c>
      <c r="AD1077" s="320">
        <v>3.66</v>
      </c>
      <c r="AE1077" s="320">
        <v>1.0</v>
      </c>
      <c r="AF1077" s="320">
        <v>2.0</v>
      </c>
      <c r="AG1077" s="320">
        <v>5.0</v>
      </c>
      <c r="AH1077" s="320">
        <v>8.0</v>
      </c>
      <c r="AI1077" s="320">
        <v>67.06</v>
      </c>
      <c r="AJ1077" s="320">
        <v>25.77</v>
      </c>
      <c r="AK1077" s="320">
        <v>7.68</v>
      </c>
      <c r="AL1077" s="320">
        <v>0.2184</v>
      </c>
      <c r="AM1077" s="320">
        <v>23.1</v>
      </c>
      <c r="AN1077" s="320">
        <v>40.86</v>
      </c>
      <c r="AO1077" s="320">
        <v>68.58</v>
      </c>
      <c r="AP1077" s="320">
        <v>15.84</v>
      </c>
    </row>
    <row r="1078">
      <c r="A1078" s="319" t="s">
        <v>258</v>
      </c>
      <c r="B1078" s="328">
        <v>46109.0</v>
      </c>
      <c r="C1078" s="319" t="s">
        <v>215</v>
      </c>
      <c r="D1078" s="320">
        <v>15142.0</v>
      </c>
      <c r="E1078" s="320">
        <v>20.64</v>
      </c>
      <c r="F1078" s="320">
        <v>15514.42</v>
      </c>
      <c r="G1078" s="320">
        <v>1.0246</v>
      </c>
      <c r="H1078" s="320">
        <v>21.2</v>
      </c>
      <c r="I1078" s="320">
        <v>4.8332</v>
      </c>
      <c r="J1078" s="320">
        <v>56.56</v>
      </c>
      <c r="K1078" s="320">
        <v>32.28</v>
      </c>
      <c r="L1078" s="320">
        <v>13.91</v>
      </c>
      <c r="M1078" s="320">
        <v>0.4311</v>
      </c>
      <c r="N1078" s="320">
        <v>0.6349</v>
      </c>
      <c r="O1078" s="320">
        <v>0.3635</v>
      </c>
      <c r="P1078" s="320">
        <v>2.3199</v>
      </c>
      <c r="Q1078" s="320">
        <v>174.08</v>
      </c>
      <c r="R1078" s="320">
        <v>145.29</v>
      </c>
      <c r="S1078" s="320">
        <v>28.78</v>
      </c>
      <c r="T1078" s="320">
        <v>69.65</v>
      </c>
      <c r="U1078" s="320">
        <v>104.42</v>
      </c>
      <c r="V1078" s="320">
        <v>181.16</v>
      </c>
      <c r="W1078" s="320">
        <v>5.6121</v>
      </c>
      <c r="X1078" s="320">
        <v>40.01</v>
      </c>
      <c r="Y1078" s="320">
        <v>84.0</v>
      </c>
      <c r="Z1078" s="320">
        <v>193.0</v>
      </c>
      <c r="AA1078" s="320">
        <v>617.0</v>
      </c>
      <c r="AB1078" s="320">
        <v>52.6101</v>
      </c>
      <c r="AC1078" s="320">
        <v>0.5493</v>
      </c>
      <c r="AD1078" s="320">
        <v>9.13</v>
      </c>
      <c r="AE1078" s="320">
        <v>3.0</v>
      </c>
      <c r="AF1078" s="320">
        <v>6.0</v>
      </c>
      <c r="AG1078" s="320">
        <v>13.0</v>
      </c>
      <c r="AH1078" s="320">
        <v>20.0</v>
      </c>
      <c r="AI1078" s="320">
        <v>55.33</v>
      </c>
      <c r="AJ1078" s="320">
        <v>25.31</v>
      </c>
      <c r="AK1078" s="320">
        <v>5.49</v>
      </c>
      <c r="AL1078" s="320">
        <v>0.1909</v>
      </c>
      <c r="AM1078" s="320">
        <v>23.82</v>
      </c>
      <c r="AN1078" s="320">
        <v>121.47</v>
      </c>
      <c r="AO1078" s="320">
        <v>74.63</v>
      </c>
      <c r="AP1078" s="320">
        <v>17.78</v>
      </c>
    </row>
    <row r="1079">
      <c r="A1079" s="319" t="s">
        <v>258</v>
      </c>
      <c r="B1079" s="328">
        <v>46109.0</v>
      </c>
      <c r="C1079" s="319" t="s">
        <v>216</v>
      </c>
      <c r="D1079" s="320">
        <v>7796.0</v>
      </c>
      <c r="E1079" s="320">
        <v>10.63</v>
      </c>
      <c r="F1079" s="320">
        <v>19827.81</v>
      </c>
      <c r="G1079" s="320">
        <v>2.5433</v>
      </c>
      <c r="H1079" s="320">
        <v>32.99</v>
      </c>
      <c r="I1079" s="320">
        <v>7.7091</v>
      </c>
      <c r="J1079" s="320">
        <v>80.4</v>
      </c>
      <c r="K1079" s="320">
        <v>48.0</v>
      </c>
      <c r="L1079" s="320">
        <v>26.86</v>
      </c>
      <c r="M1079" s="320">
        <v>0.5596</v>
      </c>
      <c r="N1079" s="320">
        <v>0.5167</v>
      </c>
      <c r="O1079" s="320">
        <v>0.2875</v>
      </c>
      <c r="P1079" s="320">
        <v>1.7869</v>
      </c>
      <c r="Q1079" s="320">
        <v>335.16</v>
      </c>
      <c r="R1079" s="320">
        <v>278.92</v>
      </c>
      <c r="S1079" s="320">
        <v>56.24</v>
      </c>
      <c r="T1079" s="320">
        <v>161.63</v>
      </c>
      <c r="U1079" s="320">
        <v>173.53</v>
      </c>
      <c r="V1079" s="320">
        <v>349.88</v>
      </c>
      <c r="W1079" s="320">
        <v>7.2886</v>
      </c>
      <c r="X1079" s="320">
        <v>48.22</v>
      </c>
      <c r="Y1079" s="320">
        <v>87.0</v>
      </c>
      <c r="Z1079" s="320">
        <v>226.0</v>
      </c>
      <c r="AA1079" s="320">
        <v>665.0</v>
      </c>
      <c r="AB1079" s="320">
        <v>54.5315</v>
      </c>
      <c r="AC1079" s="320">
        <v>0.6595</v>
      </c>
      <c r="AD1079" s="320">
        <v>17.9</v>
      </c>
      <c r="AE1079" s="320">
        <v>6.0</v>
      </c>
      <c r="AF1079" s="320">
        <v>13.0</v>
      </c>
      <c r="AG1079" s="320">
        <v>25.0</v>
      </c>
      <c r="AH1079" s="320">
        <v>39.0</v>
      </c>
      <c r="AI1079" s="320">
        <v>56.52</v>
      </c>
      <c r="AJ1079" s="320">
        <v>24.87</v>
      </c>
      <c r="AK1079" s="320">
        <v>8.34</v>
      </c>
      <c r="AL1079" s="320">
        <v>0.2142</v>
      </c>
      <c r="AM1079" s="320">
        <v>22.68</v>
      </c>
      <c r="AN1079" s="320">
        <v>256.24</v>
      </c>
      <c r="AO1079" s="320">
        <v>73.19</v>
      </c>
      <c r="AP1079" s="320">
        <v>16.6</v>
      </c>
    </row>
    <row r="1080">
      <c r="A1080" s="319" t="s">
        <v>258</v>
      </c>
      <c r="B1080" s="328">
        <v>46109.0</v>
      </c>
      <c r="C1080" s="319" t="s">
        <v>217</v>
      </c>
      <c r="D1080" s="320">
        <v>3164.0</v>
      </c>
      <c r="E1080" s="320">
        <v>4.31</v>
      </c>
      <c r="F1080" s="320">
        <v>15749.56</v>
      </c>
      <c r="G1080" s="320">
        <v>4.9777</v>
      </c>
      <c r="H1080" s="320">
        <v>39.54</v>
      </c>
      <c r="I1080" s="320">
        <v>12.5896</v>
      </c>
      <c r="J1080" s="320">
        <v>123.36</v>
      </c>
      <c r="K1080" s="320">
        <v>76.42</v>
      </c>
      <c r="L1080" s="320">
        <v>53.25</v>
      </c>
      <c r="M1080" s="320">
        <v>0.6968</v>
      </c>
      <c r="N1080" s="320">
        <v>0.3891</v>
      </c>
      <c r="O1080" s="320">
        <v>0.2213</v>
      </c>
      <c r="P1080" s="320">
        <v>1.4351</v>
      </c>
      <c r="Q1080" s="320">
        <v>631.39</v>
      </c>
      <c r="R1080" s="320">
        <v>519.64</v>
      </c>
      <c r="S1080" s="320">
        <v>111.75</v>
      </c>
      <c r="T1080" s="320">
        <v>314.69</v>
      </c>
      <c r="U1080" s="320">
        <v>316.7</v>
      </c>
      <c r="V1080" s="320">
        <v>642.49</v>
      </c>
      <c r="W1080" s="320">
        <v>8.4071</v>
      </c>
      <c r="X1080" s="320">
        <v>49.84</v>
      </c>
      <c r="Y1080" s="320">
        <v>105.0</v>
      </c>
      <c r="Z1080" s="320">
        <v>343.0</v>
      </c>
      <c r="AA1080" s="320">
        <v>881.0</v>
      </c>
      <c r="AB1080" s="320">
        <v>57.9203</v>
      </c>
      <c r="AC1080" s="320">
        <v>0.766</v>
      </c>
      <c r="AD1080" s="320">
        <v>35.95</v>
      </c>
      <c r="AE1080" s="320">
        <v>11.0</v>
      </c>
      <c r="AF1080" s="320">
        <v>26.0</v>
      </c>
      <c r="AG1080" s="320">
        <v>50.0</v>
      </c>
      <c r="AH1080" s="320">
        <v>80.0</v>
      </c>
      <c r="AI1080" s="320">
        <v>47.79</v>
      </c>
      <c r="AJ1080" s="320">
        <v>18.77</v>
      </c>
      <c r="AK1080" s="320">
        <v>5.56</v>
      </c>
      <c r="AL1080" s="320">
        <v>0.1833</v>
      </c>
      <c r="AM1080" s="320">
        <v>21.74</v>
      </c>
      <c r="AN1080" s="320">
        <v>497.91</v>
      </c>
      <c r="AO1080" s="320">
        <v>73.93</v>
      </c>
      <c r="AP1080" s="320">
        <v>16.07</v>
      </c>
    </row>
    <row r="1081">
      <c r="A1081" s="319" t="s">
        <v>258</v>
      </c>
      <c r="B1081" s="328">
        <v>46109.0</v>
      </c>
      <c r="C1081" s="319" t="s">
        <v>218</v>
      </c>
      <c r="D1081" s="320">
        <v>399.0</v>
      </c>
      <c r="E1081" s="320">
        <v>0.54</v>
      </c>
      <c r="F1081" s="320">
        <v>3366.18</v>
      </c>
      <c r="G1081" s="320">
        <v>8.4365</v>
      </c>
      <c r="H1081" s="320">
        <v>45.11</v>
      </c>
      <c r="I1081" s="320">
        <v>18.701</v>
      </c>
      <c r="J1081" s="320">
        <v>231.28</v>
      </c>
      <c r="K1081" s="320">
        <v>153.87</v>
      </c>
      <c r="L1081" s="320">
        <v>126.52</v>
      </c>
      <c r="M1081" s="320">
        <v>0.8223</v>
      </c>
      <c r="N1081" s="320">
        <v>0.2647</v>
      </c>
      <c r="O1081" s="320">
        <v>0.1622</v>
      </c>
      <c r="P1081" s="320">
        <v>1.2161</v>
      </c>
      <c r="Q1081" s="320">
        <v>1239.18</v>
      </c>
      <c r="R1081" s="320">
        <v>974.31</v>
      </c>
      <c r="S1081" s="320">
        <v>264.87</v>
      </c>
      <c r="T1081" s="320">
        <v>570.7</v>
      </c>
      <c r="U1081" s="320">
        <v>668.48</v>
      </c>
      <c r="V1081" s="320">
        <v>1246.49</v>
      </c>
      <c r="W1081" s="320">
        <v>8.101</v>
      </c>
      <c r="X1081" s="320">
        <v>46.05</v>
      </c>
      <c r="Y1081" s="320">
        <v>170.0</v>
      </c>
      <c r="Z1081" s="320">
        <v>740.0</v>
      </c>
      <c r="AA1081" s="320">
        <v>2955.0</v>
      </c>
      <c r="AB1081" s="320">
        <v>61.8227</v>
      </c>
      <c r="AC1081" s="320">
        <v>0.8456</v>
      </c>
      <c r="AD1081" s="320">
        <v>85.72</v>
      </c>
      <c r="AE1081" s="320">
        <v>30.0</v>
      </c>
      <c r="AF1081" s="320">
        <v>71.0</v>
      </c>
      <c r="AG1081" s="320">
        <v>120.0</v>
      </c>
      <c r="AH1081" s="320">
        <v>180.0</v>
      </c>
      <c r="AI1081" s="320">
        <v>46.37</v>
      </c>
      <c r="AJ1081" s="320">
        <v>10.78</v>
      </c>
      <c r="AK1081" s="320">
        <v>2.76</v>
      </c>
      <c r="AL1081" s="320">
        <v>0.1404</v>
      </c>
      <c r="AM1081" s="320">
        <v>20.54</v>
      </c>
      <c r="AN1081" s="320">
        <v>953.77</v>
      </c>
      <c r="AO1081" s="320">
        <v>73.68</v>
      </c>
      <c r="AP1081" s="320">
        <v>15.13</v>
      </c>
    </row>
    <row r="1082">
      <c r="A1082" s="319" t="s">
        <v>258</v>
      </c>
      <c r="B1082" s="328">
        <v>46110.0</v>
      </c>
      <c r="C1082" s="319" t="s">
        <v>257</v>
      </c>
      <c r="D1082" s="320">
        <v>15701.0</v>
      </c>
      <c r="E1082" s="320">
        <v>20.97</v>
      </c>
      <c r="F1082" s="320">
        <v>98.44</v>
      </c>
      <c r="G1082" s="320">
        <v>0.0063</v>
      </c>
      <c r="H1082" s="320">
        <v>0.19</v>
      </c>
      <c r="I1082" s="320">
        <v>3.2813</v>
      </c>
      <c r="J1082" s="320">
        <v>6.49</v>
      </c>
      <c r="K1082" s="320">
        <v>2.97</v>
      </c>
      <c r="L1082" s="320">
        <v>0.04</v>
      </c>
      <c r="M1082" s="320">
        <v>0.0146</v>
      </c>
      <c r="N1082" s="320">
        <v>0.9861</v>
      </c>
      <c r="O1082" s="320">
        <v>0.8014</v>
      </c>
      <c r="P1082" s="320">
        <v>68.6686</v>
      </c>
      <c r="Q1082" s="320">
        <v>24.0</v>
      </c>
      <c r="R1082" s="320">
        <v>23.91</v>
      </c>
      <c r="S1082" s="320">
        <v>0.09</v>
      </c>
      <c r="T1082" s="320">
        <v>0.51</v>
      </c>
      <c r="U1082" s="320">
        <v>23.49</v>
      </c>
      <c r="V1082" s="320">
        <v>1.98</v>
      </c>
      <c r="W1082" s="320">
        <v>0.667</v>
      </c>
      <c r="X1082" s="320">
        <v>2.11</v>
      </c>
      <c r="Y1082" s="320">
        <v>139.0</v>
      </c>
      <c r="Z1082" s="320">
        <v>1106.0</v>
      </c>
      <c r="AA1082" s="320">
        <v>7366.0</v>
      </c>
      <c r="AB1082" s="320">
        <v>49.9698</v>
      </c>
      <c r="AC1082" s="320">
        <v>0.5205</v>
      </c>
      <c r="AD1082" s="329"/>
      <c r="AE1082" s="329"/>
      <c r="AF1082" s="329"/>
      <c r="AG1082" s="329"/>
      <c r="AH1082" s="329"/>
      <c r="AI1082" s="320">
        <v>0.0</v>
      </c>
      <c r="AJ1082" s="320">
        <v>0.0</v>
      </c>
      <c r="AK1082" s="320">
        <v>0.0</v>
      </c>
      <c r="AL1082" s="320">
        <v>0.274</v>
      </c>
      <c r="AM1082" s="320">
        <v>17.66</v>
      </c>
      <c r="AN1082" s="320">
        <v>6.25</v>
      </c>
      <c r="AO1082" s="329"/>
      <c r="AP1082" s="329"/>
    </row>
    <row r="1083">
      <c r="A1083" s="319" t="s">
        <v>258</v>
      </c>
      <c r="B1083" s="328">
        <v>46110.0</v>
      </c>
      <c r="C1083" s="319" t="s">
        <v>214</v>
      </c>
      <c r="D1083" s="320">
        <v>31951.0</v>
      </c>
      <c r="E1083" s="320">
        <v>42.67</v>
      </c>
      <c r="F1083" s="320">
        <v>7364.12</v>
      </c>
      <c r="G1083" s="320">
        <v>0.2305</v>
      </c>
      <c r="H1083" s="320">
        <v>6.68</v>
      </c>
      <c r="I1083" s="320">
        <v>3.4492</v>
      </c>
      <c r="J1083" s="320">
        <v>35.16</v>
      </c>
      <c r="K1083" s="320">
        <v>19.39</v>
      </c>
      <c r="L1083" s="320">
        <v>5.53</v>
      </c>
      <c r="M1083" s="320">
        <v>0.2852</v>
      </c>
      <c r="N1083" s="320">
        <v>0.7765</v>
      </c>
      <c r="O1083" s="320">
        <v>0.5211</v>
      </c>
      <c r="P1083" s="320">
        <v>3.5062</v>
      </c>
      <c r="Q1083" s="320">
        <v>66.44</v>
      </c>
      <c r="R1083" s="320">
        <v>55.05</v>
      </c>
      <c r="S1083" s="320">
        <v>11.39</v>
      </c>
      <c r="T1083" s="320">
        <v>17.13</v>
      </c>
      <c r="U1083" s="320">
        <v>49.31</v>
      </c>
      <c r="V1083" s="320">
        <v>74.97</v>
      </c>
      <c r="W1083" s="320">
        <v>3.8671</v>
      </c>
      <c r="X1083" s="320">
        <v>25.78</v>
      </c>
      <c r="Y1083" s="320">
        <v>84.0</v>
      </c>
      <c r="Z1083" s="320">
        <v>200.0</v>
      </c>
      <c r="AA1083" s="320">
        <v>847.0</v>
      </c>
      <c r="AB1083" s="320">
        <v>49.4601</v>
      </c>
      <c r="AC1083" s="320">
        <v>0.4436</v>
      </c>
      <c r="AD1083" s="320">
        <v>3.57</v>
      </c>
      <c r="AE1083" s="320">
        <v>1.0</v>
      </c>
      <c r="AF1083" s="320">
        <v>2.0</v>
      </c>
      <c r="AG1083" s="320">
        <v>5.0</v>
      </c>
      <c r="AH1083" s="320">
        <v>8.0</v>
      </c>
      <c r="AI1083" s="320">
        <v>67.21</v>
      </c>
      <c r="AJ1083" s="320">
        <v>25.13</v>
      </c>
      <c r="AK1083" s="320">
        <v>6.9</v>
      </c>
      <c r="AL1083" s="320">
        <v>0.2277</v>
      </c>
      <c r="AM1083" s="320">
        <v>21.44</v>
      </c>
      <c r="AN1083" s="320">
        <v>33.61</v>
      </c>
      <c r="AO1083" s="320">
        <v>68.24</v>
      </c>
      <c r="AP1083" s="320">
        <v>14.63</v>
      </c>
    </row>
    <row r="1084">
      <c r="A1084" s="319" t="s">
        <v>258</v>
      </c>
      <c r="B1084" s="328">
        <v>46110.0</v>
      </c>
      <c r="C1084" s="319" t="s">
        <v>215</v>
      </c>
      <c r="D1084" s="320">
        <v>15484.0</v>
      </c>
      <c r="E1084" s="320">
        <v>20.68</v>
      </c>
      <c r="F1084" s="320">
        <v>15702.57</v>
      </c>
      <c r="G1084" s="320">
        <v>1.0141</v>
      </c>
      <c r="H1084" s="320">
        <v>21.72</v>
      </c>
      <c r="I1084" s="320">
        <v>4.6692</v>
      </c>
      <c r="J1084" s="320">
        <v>63.24</v>
      </c>
      <c r="K1084" s="320">
        <v>36.95</v>
      </c>
      <c r="L1084" s="320">
        <v>14.34</v>
      </c>
      <c r="M1084" s="320">
        <v>0.3881</v>
      </c>
      <c r="N1084" s="320">
        <v>0.6678</v>
      </c>
      <c r="O1084" s="320">
        <v>0.3806</v>
      </c>
      <c r="P1084" s="320">
        <v>2.5769</v>
      </c>
      <c r="Q1084" s="320">
        <v>154.2</v>
      </c>
      <c r="R1084" s="320">
        <v>124.52</v>
      </c>
      <c r="S1084" s="320">
        <v>29.68</v>
      </c>
      <c r="T1084" s="320">
        <v>68.88</v>
      </c>
      <c r="U1084" s="320">
        <v>85.31</v>
      </c>
      <c r="V1084" s="320">
        <v>170.88</v>
      </c>
      <c r="W1084" s="320">
        <v>4.6247</v>
      </c>
      <c r="X1084" s="320">
        <v>44.67</v>
      </c>
      <c r="Y1084" s="320">
        <v>80.0</v>
      </c>
      <c r="Z1084" s="320">
        <v>173.0</v>
      </c>
      <c r="AA1084" s="320">
        <v>563.0</v>
      </c>
      <c r="AB1084" s="320">
        <v>52.4056</v>
      </c>
      <c r="AC1084" s="320">
        <v>0.55</v>
      </c>
      <c r="AD1084" s="320">
        <v>8.96</v>
      </c>
      <c r="AE1084" s="320">
        <v>3.0</v>
      </c>
      <c r="AF1084" s="320">
        <v>6.0</v>
      </c>
      <c r="AG1084" s="320">
        <v>13.0</v>
      </c>
      <c r="AH1084" s="320">
        <v>20.0</v>
      </c>
      <c r="AI1084" s="320">
        <v>54.6</v>
      </c>
      <c r="AJ1084" s="320">
        <v>24.75</v>
      </c>
      <c r="AK1084" s="320">
        <v>5.08</v>
      </c>
      <c r="AL1084" s="320">
        <v>0.2131</v>
      </c>
      <c r="AM1084" s="320">
        <v>21.61</v>
      </c>
      <c r="AN1084" s="320">
        <v>102.91</v>
      </c>
      <c r="AO1084" s="320">
        <v>73.41</v>
      </c>
      <c r="AP1084" s="320">
        <v>15.86</v>
      </c>
    </row>
    <row r="1085">
      <c r="A1085" s="319" t="s">
        <v>258</v>
      </c>
      <c r="B1085" s="328">
        <v>46110.0</v>
      </c>
      <c r="C1085" s="319" t="s">
        <v>216</v>
      </c>
      <c r="D1085" s="320">
        <v>8002.0</v>
      </c>
      <c r="E1085" s="320">
        <v>10.69</v>
      </c>
      <c r="F1085" s="320">
        <v>22075.8</v>
      </c>
      <c r="G1085" s="320">
        <v>2.7588</v>
      </c>
      <c r="H1085" s="320">
        <v>33.52</v>
      </c>
      <c r="I1085" s="320">
        <v>8.2311</v>
      </c>
      <c r="J1085" s="320">
        <v>88.22</v>
      </c>
      <c r="K1085" s="320">
        <v>52.89</v>
      </c>
      <c r="L1085" s="320">
        <v>28.02</v>
      </c>
      <c r="M1085" s="320">
        <v>0.5297</v>
      </c>
      <c r="N1085" s="320">
        <v>0.5385</v>
      </c>
      <c r="O1085" s="320">
        <v>0.2926</v>
      </c>
      <c r="P1085" s="320">
        <v>1.8877</v>
      </c>
      <c r="Q1085" s="320">
        <v>316.01</v>
      </c>
      <c r="R1085" s="320">
        <v>257.62</v>
      </c>
      <c r="S1085" s="320">
        <v>58.4</v>
      </c>
      <c r="T1085" s="320">
        <v>175.65</v>
      </c>
      <c r="U1085" s="320">
        <v>140.36</v>
      </c>
      <c r="V1085" s="320">
        <v>341.18</v>
      </c>
      <c r="W1085" s="320">
        <v>6.4501</v>
      </c>
      <c r="X1085" s="320">
        <v>55.58</v>
      </c>
      <c r="Y1085" s="320">
        <v>83.0</v>
      </c>
      <c r="Z1085" s="320">
        <v>197.0</v>
      </c>
      <c r="AA1085" s="320">
        <v>609.0</v>
      </c>
      <c r="AB1085" s="320">
        <v>54.6199</v>
      </c>
      <c r="AC1085" s="320">
        <v>0.6663</v>
      </c>
      <c r="AD1085" s="320">
        <v>18.07</v>
      </c>
      <c r="AE1085" s="320">
        <v>6.0</v>
      </c>
      <c r="AF1085" s="320">
        <v>13.0</v>
      </c>
      <c r="AG1085" s="320">
        <v>25.0</v>
      </c>
      <c r="AH1085" s="320">
        <v>39.0</v>
      </c>
      <c r="AI1085" s="320">
        <v>55.95</v>
      </c>
      <c r="AJ1085" s="320">
        <v>24.29</v>
      </c>
      <c r="AK1085" s="320">
        <v>8.62</v>
      </c>
      <c r="AL1085" s="320">
        <v>0.2256</v>
      </c>
      <c r="AM1085" s="320">
        <v>21.02</v>
      </c>
      <c r="AN1085" s="320">
        <v>236.6</v>
      </c>
      <c r="AO1085" s="320">
        <v>72.63</v>
      </c>
      <c r="AP1085" s="320">
        <v>15.27</v>
      </c>
    </row>
    <row r="1086">
      <c r="A1086" s="319" t="s">
        <v>258</v>
      </c>
      <c r="B1086" s="328">
        <v>46110.0</v>
      </c>
      <c r="C1086" s="319" t="s">
        <v>217</v>
      </c>
      <c r="D1086" s="320">
        <v>3303.0</v>
      </c>
      <c r="E1086" s="320">
        <v>4.41</v>
      </c>
      <c r="F1086" s="320">
        <v>18368.17</v>
      </c>
      <c r="G1086" s="320">
        <v>5.5611</v>
      </c>
      <c r="H1086" s="320">
        <v>41.24</v>
      </c>
      <c r="I1086" s="320">
        <v>13.4862</v>
      </c>
      <c r="J1086" s="320">
        <v>129.51</v>
      </c>
      <c r="K1086" s="320">
        <v>81.75</v>
      </c>
      <c r="L1086" s="320">
        <v>55.02</v>
      </c>
      <c r="M1086" s="320">
        <v>0.673</v>
      </c>
      <c r="N1086" s="320">
        <v>0.4077</v>
      </c>
      <c r="O1086" s="320">
        <v>0.2249</v>
      </c>
      <c r="P1086" s="320">
        <v>1.4859</v>
      </c>
      <c r="Q1086" s="320">
        <v>596.36</v>
      </c>
      <c r="R1086" s="320">
        <v>481.28</v>
      </c>
      <c r="S1086" s="320">
        <v>115.08</v>
      </c>
      <c r="T1086" s="320">
        <v>346.11</v>
      </c>
      <c r="U1086" s="320">
        <v>250.25</v>
      </c>
      <c r="V1086" s="320">
        <v>642.79</v>
      </c>
      <c r="W1086" s="320">
        <v>7.8626</v>
      </c>
      <c r="X1086" s="320">
        <v>58.04</v>
      </c>
      <c r="Y1086" s="320">
        <v>93.0</v>
      </c>
      <c r="Z1086" s="320">
        <v>292.0</v>
      </c>
      <c r="AA1086" s="320">
        <v>934.0</v>
      </c>
      <c r="AB1086" s="320">
        <v>57.9497</v>
      </c>
      <c r="AC1086" s="320">
        <v>0.7715</v>
      </c>
      <c r="AD1086" s="320">
        <v>36.51</v>
      </c>
      <c r="AE1086" s="320">
        <v>12.0</v>
      </c>
      <c r="AF1086" s="320">
        <v>27.0</v>
      </c>
      <c r="AG1086" s="320">
        <v>52.0</v>
      </c>
      <c r="AH1086" s="320">
        <v>81.0</v>
      </c>
      <c r="AI1086" s="320">
        <v>49.62</v>
      </c>
      <c r="AJ1086" s="320">
        <v>19.44</v>
      </c>
      <c r="AK1086" s="320">
        <v>5.33</v>
      </c>
      <c r="AL1086" s="320">
        <v>0.2186</v>
      </c>
      <c r="AM1086" s="320">
        <v>20.78</v>
      </c>
      <c r="AN1086" s="320">
        <v>460.5</v>
      </c>
      <c r="AO1086" s="320">
        <v>71.79</v>
      </c>
      <c r="AP1086" s="320">
        <v>14.92</v>
      </c>
    </row>
    <row r="1087">
      <c r="A1087" s="319" t="s">
        <v>258</v>
      </c>
      <c r="B1087" s="328">
        <v>46110.0</v>
      </c>
      <c r="C1087" s="319" t="s">
        <v>218</v>
      </c>
      <c r="D1087" s="320">
        <v>433.0</v>
      </c>
      <c r="E1087" s="320">
        <v>0.58</v>
      </c>
      <c r="F1087" s="320">
        <v>4376.55</v>
      </c>
      <c r="G1087" s="320">
        <v>10.1075</v>
      </c>
      <c r="H1087" s="320">
        <v>46.42</v>
      </c>
      <c r="I1087" s="320">
        <v>21.7739</v>
      </c>
      <c r="J1087" s="320">
        <v>249.45</v>
      </c>
      <c r="K1087" s="320">
        <v>165.49</v>
      </c>
      <c r="L1087" s="320">
        <v>134.94</v>
      </c>
      <c r="M1087" s="320">
        <v>0.8154</v>
      </c>
      <c r="N1087" s="320">
        <v>0.266</v>
      </c>
      <c r="O1087" s="320">
        <v>0.1633</v>
      </c>
      <c r="P1087" s="320">
        <v>1.2264</v>
      </c>
      <c r="Q1087" s="320">
        <v>1160.55</v>
      </c>
      <c r="R1087" s="320">
        <v>879.55</v>
      </c>
      <c r="S1087" s="320">
        <v>281.0</v>
      </c>
      <c r="T1087" s="320">
        <v>614.08</v>
      </c>
      <c r="U1087" s="320">
        <v>546.48</v>
      </c>
      <c r="V1087" s="320">
        <v>1259.24</v>
      </c>
      <c r="W1087" s="320">
        <v>7.609</v>
      </c>
      <c r="X1087" s="320">
        <v>52.91</v>
      </c>
      <c r="Y1087" s="320">
        <v>126.0</v>
      </c>
      <c r="Z1087" s="320">
        <v>623.0</v>
      </c>
      <c r="AA1087" s="320">
        <v>2386.0</v>
      </c>
      <c r="AB1087" s="320">
        <v>60.9314</v>
      </c>
      <c r="AC1087" s="320">
        <v>0.8393</v>
      </c>
      <c r="AD1087" s="320">
        <v>87.65</v>
      </c>
      <c r="AE1087" s="320">
        <v>31.0</v>
      </c>
      <c r="AF1087" s="320">
        <v>73.0</v>
      </c>
      <c r="AG1087" s="320">
        <v>122.0</v>
      </c>
      <c r="AH1087" s="320">
        <v>185.0</v>
      </c>
      <c r="AI1087" s="320">
        <v>47.34</v>
      </c>
      <c r="AJ1087" s="320">
        <v>11.78</v>
      </c>
      <c r="AK1087" s="320">
        <v>1.85</v>
      </c>
      <c r="AL1087" s="320">
        <v>0.1894</v>
      </c>
      <c r="AM1087" s="320">
        <v>19.92</v>
      </c>
      <c r="AN1087" s="320">
        <v>859.63</v>
      </c>
      <c r="AO1087" s="320">
        <v>67.57</v>
      </c>
      <c r="AP1087" s="320">
        <v>13.46</v>
      </c>
    </row>
    <row r="1088">
      <c r="A1088" s="319" t="s">
        <v>258</v>
      </c>
      <c r="B1088" s="328">
        <v>46111.0</v>
      </c>
      <c r="C1088" s="319" t="s">
        <v>257</v>
      </c>
      <c r="D1088" s="320">
        <v>15165.0</v>
      </c>
      <c r="E1088" s="320">
        <v>19.53</v>
      </c>
      <c r="F1088" s="320">
        <v>172.46</v>
      </c>
      <c r="G1088" s="320">
        <v>0.0114</v>
      </c>
      <c r="H1088" s="320">
        <v>0.2</v>
      </c>
      <c r="I1088" s="320">
        <v>5.7487</v>
      </c>
      <c r="J1088" s="320">
        <v>5.54</v>
      </c>
      <c r="K1088" s="320">
        <v>2.45</v>
      </c>
      <c r="L1088" s="320">
        <v>0.06</v>
      </c>
      <c r="M1088" s="320">
        <v>0.0254</v>
      </c>
      <c r="N1088" s="320">
        <v>0.9769</v>
      </c>
      <c r="O1088" s="320">
        <v>0.7491</v>
      </c>
      <c r="P1088" s="320">
        <v>39.3111</v>
      </c>
      <c r="Q1088" s="320">
        <v>36.72</v>
      </c>
      <c r="R1088" s="320">
        <v>36.64</v>
      </c>
      <c r="S1088" s="320">
        <v>0.08</v>
      </c>
      <c r="T1088" s="320">
        <v>0.98</v>
      </c>
      <c r="U1088" s="320">
        <v>35.75</v>
      </c>
      <c r="V1088" s="320">
        <v>2.08</v>
      </c>
      <c r="W1088" s="320">
        <v>0.8479</v>
      </c>
      <c r="X1088" s="320">
        <v>2.66</v>
      </c>
      <c r="Y1088" s="320">
        <v>192.0</v>
      </c>
      <c r="Z1088" s="320">
        <v>1282.0</v>
      </c>
      <c r="AA1088" s="320">
        <v>7974.0</v>
      </c>
      <c r="AB1088" s="320">
        <v>49.9143</v>
      </c>
      <c r="AC1088" s="320">
        <v>0.5272</v>
      </c>
      <c r="AD1088" s="329"/>
      <c r="AE1088" s="329"/>
      <c r="AF1088" s="329"/>
      <c r="AG1088" s="329"/>
      <c r="AH1088" s="329"/>
      <c r="AI1088" s="320">
        <v>0.0</v>
      </c>
      <c r="AJ1088" s="320">
        <v>0.0</v>
      </c>
      <c r="AK1088" s="320">
        <v>0.0</v>
      </c>
      <c r="AL1088" s="320">
        <v>0.2698</v>
      </c>
      <c r="AM1088" s="320">
        <v>16.45</v>
      </c>
      <c r="AN1088" s="320">
        <v>20.19</v>
      </c>
      <c r="AO1088" s="329"/>
      <c r="AP1088" s="329"/>
    </row>
    <row r="1089">
      <c r="A1089" s="319" t="s">
        <v>258</v>
      </c>
      <c r="B1089" s="328">
        <v>46111.0</v>
      </c>
      <c r="C1089" s="319" t="s">
        <v>214</v>
      </c>
      <c r="D1089" s="320">
        <v>32971.0</v>
      </c>
      <c r="E1089" s="320">
        <v>42.46</v>
      </c>
      <c r="F1089" s="320">
        <v>6642.67</v>
      </c>
      <c r="G1089" s="320">
        <v>0.2015</v>
      </c>
      <c r="H1089" s="320">
        <v>5.96</v>
      </c>
      <c r="I1089" s="320">
        <v>3.3788</v>
      </c>
      <c r="J1089" s="320">
        <v>34.95</v>
      </c>
      <c r="K1089" s="320">
        <v>18.92</v>
      </c>
      <c r="L1089" s="320">
        <v>5.55</v>
      </c>
      <c r="M1089" s="320">
        <v>0.2932</v>
      </c>
      <c r="N1089" s="320">
        <v>0.7756</v>
      </c>
      <c r="O1089" s="320">
        <v>0.5286</v>
      </c>
      <c r="P1089" s="320">
        <v>3.4104</v>
      </c>
      <c r="Q1089" s="320">
        <v>97.34</v>
      </c>
      <c r="R1089" s="320">
        <v>86.12</v>
      </c>
      <c r="S1089" s="320">
        <v>11.22</v>
      </c>
      <c r="T1089" s="320">
        <v>14.84</v>
      </c>
      <c r="U1089" s="320">
        <v>82.5</v>
      </c>
      <c r="V1089" s="320">
        <v>88.51</v>
      </c>
      <c r="W1089" s="320">
        <v>4.6775</v>
      </c>
      <c r="X1089" s="320">
        <v>15.25</v>
      </c>
      <c r="Y1089" s="320">
        <v>92.0</v>
      </c>
      <c r="Z1089" s="320">
        <v>220.0</v>
      </c>
      <c r="AA1089" s="320">
        <v>844.0</v>
      </c>
      <c r="AB1089" s="320">
        <v>49.4631</v>
      </c>
      <c r="AC1089" s="320">
        <v>0.4334</v>
      </c>
      <c r="AD1089" s="320">
        <v>3.55</v>
      </c>
      <c r="AE1089" s="320">
        <v>1.0</v>
      </c>
      <c r="AF1089" s="320">
        <v>2.0</v>
      </c>
      <c r="AG1089" s="320">
        <v>4.0</v>
      </c>
      <c r="AH1089" s="320">
        <v>8.0</v>
      </c>
      <c r="AI1089" s="320">
        <v>67.5</v>
      </c>
      <c r="AJ1089" s="320">
        <v>24.64</v>
      </c>
      <c r="AK1089" s="320">
        <v>6.83</v>
      </c>
      <c r="AL1089" s="320">
        <v>0.2046</v>
      </c>
      <c r="AM1089" s="320">
        <v>18.77</v>
      </c>
      <c r="AN1089" s="320">
        <v>67.35</v>
      </c>
      <c r="AO1089" s="320">
        <v>68.78</v>
      </c>
      <c r="AP1089" s="320">
        <v>12.91</v>
      </c>
    </row>
    <row r="1090">
      <c r="A1090" s="319" t="s">
        <v>258</v>
      </c>
      <c r="B1090" s="328">
        <v>46111.0</v>
      </c>
      <c r="C1090" s="319" t="s">
        <v>215</v>
      </c>
      <c r="D1090" s="320">
        <v>16814.0</v>
      </c>
      <c r="E1090" s="320">
        <v>21.65</v>
      </c>
      <c r="F1090" s="320">
        <v>15958.77</v>
      </c>
      <c r="G1090" s="320">
        <v>0.9491</v>
      </c>
      <c r="H1090" s="320">
        <v>19.82</v>
      </c>
      <c r="I1090" s="320">
        <v>4.7895</v>
      </c>
      <c r="J1090" s="320">
        <v>63.56</v>
      </c>
      <c r="K1090" s="320">
        <v>36.27</v>
      </c>
      <c r="L1090" s="320">
        <v>14.87</v>
      </c>
      <c r="M1090" s="320">
        <v>0.4099</v>
      </c>
      <c r="N1090" s="320">
        <v>0.6541</v>
      </c>
      <c r="O1090" s="320">
        <v>0.373</v>
      </c>
      <c r="P1090" s="320">
        <v>2.4399</v>
      </c>
      <c r="Q1090" s="320">
        <v>205.5</v>
      </c>
      <c r="R1090" s="320">
        <v>176.5</v>
      </c>
      <c r="S1090" s="320">
        <v>28.99</v>
      </c>
      <c r="T1090" s="320">
        <v>64.29</v>
      </c>
      <c r="U1090" s="320">
        <v>141.21</v>
      </c>
      <c r="V1090" s="320">
        <v>200.49</v>
      </c>
      <c r="W1090" s="320">
        <v>5.5279</v>
      </c>
      <c r="X1090" s="320">
        <v>31.29</v>
      </c>
      <c r="Y1090" s="320">
        <v>86.0</v>
      </c>
      <c r="Z1090" s="320">
        <v>201.0</v>
      </c>
      <c r="AA1090" s="320">
        <v>617.0</v>
      </c>
      <c r="AB1090" s="320">
        <v>52.3753</v>
      </c>
      <c r="AC1090" s="320">
        <v>0.5113</v>
      </c>
      <c r="AD1090" s="320">
        <v>9.23</v>
      </c>
      <c r="AE1090" s="320">
        <v>3.0</v>
      </c>
      <c r="AF1090" s="320">
        <v>7.0</v>
      </c>
      <c r="AG1090" s="320">
        <v>13.0</v>
      </c>
      <c r="AH1090" s="320">
        <v>21.0</v>
      </c>
      <c r="AI1090" s="320">
        <v>55.5</v>
      </c>
      <c r="AJ1090" s="320">
        <v>26.34</v>
      </c>
      <c r="AK1090" s="320">
        <v>5.48</v>
      </c>
      <c r="AL1090" s="320">
        <v>0.1734</v>
      </c>
      <c r="AM1090" s="320">
        <v>18.98</v>
      </c>
      <c r="AN1090" s="320">
        <v>157.52</v>
      </c>
      <c r="AO1090" s="320">
        <v>72.12</v>
      </c>
      <c r="AP1090" s="320">
        <v>13.69</v>
      </c>
    </row>
    <row r="1091">
      <c r="A1091" s="319" t="s">
        <v>258</v>
      </c>
      <c r="B1091" s="328">
        <v>46111.0</v>
      </c>
      <c r="C1091" s="319" t="s">
        <v>216</v>
      </c>
      <c r="D1091" s="320">
        <v>8730.0</v>
      </c>
      <c r="E1091" s="320">
        <v>11.24</v>
      </c>
      <c r="F1091" s="320">
        <v>22159.55</v>
      </c>
      <c r="G1091" s="320">
        <v>2.5383</v>
      </c>
      <c r="H1091" s="320">
        <v>31.91</v>
      </c>
      <c r="I1091" s="320">
        <v>7.9539</v>
      </c>
      <c r="J1091" s="320">
        <v>90.35</v>
      </c>
      <c r="K1091" s="320">
        <v>53.61</v>
      </c>
      <c r="L1091" s="320">
        <v>29.87</v>
      </c>
      <c r="M1091" s="320">
        <v>0.5572</v>
      </c>
      <c r="N1091" s="320">
        <v>0.5192</v>
      </c>
      <c r="O1091" s="320">
        <v>0.2849</v>
      </c>
      <c r="P1091" s="320">
        <v>1.7947</v>
      </c>
      <c r="Q1091" s="320">
        <v>392.55</v>
      </c>
      <c r="R1091" s="320">
        <v>335.8</v>
      </c>
      <c r="S1091" s="320">
        <v>56.75</v>
      </c>
      <c r="T1091" s="320">
        <v>161.64</v>
      </c>
      <c r="U1091" s="320">
        <v>230.91</v>
      </c>
      <c r="V1091" s="320">
        <v>390.81</v>
      </c>
      <c r="W1091" s="320">
        <v>7.2898</v>
      </c>
      <c r="X1091" s="320">
        <v>41.18</v>
      </c>
      <c r="Y1091" s="320">
        <v>91.0</v>
      </c>
      <c r="Z1091" s="320">
        <v>246.0</v>
      </c>
      <c r="AA1091" s="320">
        <v>790.0</v>
      </c>
      <c r="AB1091" s="320">
        <v>54.4598</v>
      </c>
      <c r="AC1091" s="320">
        <v>0.5991</v>
      </c>
      <c r="AD1091" s="320">
        <v>18.12</v>
      </c>
      <c r="AE1091" s="320">
        <v>6.0</v>
      </c>
      <c r="AF1091" s="320">
        <v>14.0</v>
      </c>
      <c r="AG1091" s="320">
        <v>26.0</v>
      </c>
      <c r="AH1091" s="320">
        <v>38.0</v>
      </c>
      <c r="AI1091" s="320">
        <v>59.15</v>
      </c>
      <c r="AJ1091" s="320">
        <v>25.81</v>
      </c>
      <c r="AK1091" s="320">
        <v>6.47</v>
      </c>
      <c r="AL1091" s="320">
        <v>0.1793</v>
      </c>
      <c r="AM1091" s="320">
        <v>18.53</v>
      </c>
      <c r="AN1091" s="320">
        <v>317.27</v>
      </c>
      <c r="AO1091" s="320">
        <v>70.03</v>
      </c>
      <c r="AP1091" s="320">
        <v>12.98</v>
      </c>
    </row>
    <row r="1092">
      <c r="A1092" s="319" t="s">
        <v>258</v>
      </c>
      <c r="B1092" s="328">
        <v>46111.0</v>
      </c>
      <c r="C1092" s="319" t="s">
        <v>217</v>
      </c>
      <c r="D1092" s="320">
        <v>3576.0</v>
      </c>
      <c r="E1092" s="320">
        <v>4.61</v>
      </c>
      <c r="F1092" s="320">
        <v>21392.61</v>
      </c>
      <c r="G1092" s="320">
        <v>5.9823</v>
      </c>
      <c r="H1092" s="320">
        <v>41.5</v>
      </c>
      <c r="I1092" s="320">
        <v>14.4155</v>
      </c>
      <c r="J1092" s="320">
        <v>142.52</v>
      </c>
      <c r="K1092" s="320">
        <v>88.8</v>
      </c>
      <c r="L1092" s="320">
        <v>62.66</v>
      </c>
      <c r="M1092" s="320">
        <v>0.7056</v>
      </c>
      <c r="N1092" s="320">
        <v>0.3856</v>
      </c>
      <c r="O1092" s="320">
        <v>0.2219</v>
      </c>
      <c r="P1092" s="320">
        <v>1.4173</v>
      </c>
      <c r="Q1092" s="320">
        <v>791.49</v>
      </c>
      <c r="R1092" s="320">
        <v>675.96</v>
      </c>
      <c r="S1092" s="320">
        <v>115.53</v>
      </c>
      <c r="T1092" s="320">
        <v>388.02</v>
      </c>
      <c r="U1092" s="320">
        <v>403.47</v>
      </c>
      <c r="V1092" s="320">
        <v>802.45</v>
      </c>
      <c r="W1092" s="320">
        <v>9.0362</v>
      </c>
      <c r="X1092" s="320">
        <v>49.02</v>
      </c>
      <c r="Y1092" s="320">
        <v>113.0</v>
      </c>
      <c r="Z1092" s="320">
        <v>383.0</v>
      </c>
      <c r="AA1092" s="320">
        <v>1059.0</v>
      </c>
      <c r="AB1092" s="320">
        <v>57.4536</v>
      </c>
      <c r="AC1092" s="320">
        <v>0.6849</v>
      </c>
      <c r="AD1092" s="320">
        <v>36.98</v>
      </c>
      <c r="AE1092" s="320">
        <v>13.0</v>
      </c>
      <c r="AF1092" s="320">
        <v>30.0</v>
      </c>
      <c r="AG1092" s="320">
        <v>49.0</v>
      </c>
      <c r="AH1092" s="320">
        <v>79.0</v>
      </c>
      <c r="AI1092" s="320">
        <v>52.46</v>
      </c>
      <c r="AJ1092" s="320">
        <v>18.29</v>
      </c>
      <c r="AK1092" s="320">
        <v>5.09</v>
      </c>
      <c r="AL1092" s="320">
        <v>0.1611</v>
      </c>
      <c r="AM1092" s="320">
        <v>20.36</v>
      </c>
      <c r="AN1092" s="320">
        <v>655.6</v>
      </c>
      <c r="AO1092" s="320">
        <v>68.19</v>
      </c>
      <c r="AP1092" s="320">
        <v>13.88</v>
      </c>
    </row>
    <row r="1093">
      <c r="A1093" s="319" t="s">
        <v>258</v>
      </c>
      <c r="B1093" s="328">
        <v>46111.0</v>
      </c>
      <c r="C1093" s="319" t="s">
        <v>218</v>
      </c>
      <c r="D1093" s="320">
        <v>393.0</v>
      </c>
      <c r="E1093" s="320">
        <v>0.51</v>
      </c>
      <c r="F1093" s="320">
        <v>3650.74</v>
      </c>
      <c r="G1093" s="320">
        <v>9.2894</v>
      </c>
      <c r="H1093" s="320">
        <v>41.73</v>
      </c>
      <c r="I1093" s="320">
        <v>22.2606</v>
      </c>
      <c r="J1093" s="320">
        <v>244.12</v>
      </c>
      <c r="K1093" s="320">
        <v>161.17</v>
      </c>
      <c r="L1093" s="320">
        <v>131.74</v>
      </c>
      <c r="M1093" s="320">
        <v>0.8174</v>
      </c>
      <c r="N1093" s="320">
        <v>0.2736</v>
      </c>
      <c r="O1093" s="320">
        <v>0.1666</v>
      </c>
      <c r="P1093" s="320">
        <v>1.2234</v>
      </c>
      <c r="Q1093" s="320">
        <v>1360.42</v>
      </c>
      <c r="R1093" s="320">
        <v>1089.86</v>
      </c>
      <c r="S1093" s="320">
        <v>270.56</v>
      </c>
      <c r="T1093" s="320">
        <v>606.53</v>
      </c>
      <c r="U1093" s="320">
        <v>753.89</v>
      </c>
      <c r="V1093" s="320">
        <v>1349.87</v>
      </c>
      <c r="W1093" s="320">
        <v>8.3754</v>
      </c>
      <c r="X1093" s="320">
        <v>44.58</v>
      </c>
      <c r="Y1093" s="320">
        <v>173.0</v>
      </c>
      <c r="Z1093" s="320">
        <v>681.0</v>
      </c>
      <c r="AA1093" s="320">
        <v>2780.0</v>
      </c>
      <c r="AB1093" s="320">
        <v>62.519</v>
      </c>
      <c r="AC1093" s="320">
        <v>0.8448</v>
      </c>
      <c r="AD1093" s="320">
        <v>88.26</v>
      </c>
      <c r="AE1093" s="320">
        <v>32.0</v>
      </c>
      <c r="AF1093" s="320">
        <v>74.0</v>
      </c>
      <c r="AG1093" s="320">
        <v>126.0</v>
      </c>
      <c r="AH1093" s="320">
        <v>173.0</v>
      </c>
      <c r="AI1093" s="320">
        <v>46.06</v>
      </c>
      <c r="AJ1093" s="320">
        <v>9.41</v>
      </c>
      <c r="AK1093" s="320">
        <v>1.78</v>
      </c>
      <c r="AL1093" s="320">
        <v>0.1476</v>
      </c>
      <c r="AM1093" s="320">
        <v>19.95</v>
      </c>
      <c r="AN1093" s="320">
        <v>1069.91</v>
      </c>
      <c r="AO1093" s="320">
        <v>73.54</v>
      </c>
      <c r="AP1093" s="320">
        <v>14.67</v>
      </c>
    </row>
    <row r="1094">
      <c r="A1094" s="319" t="s">
        <v>258</v>
      </c>
      <c r="B1094" s="328">
        <v>46112.0</v>
      </c>
      <c r="C1094" s="319" t="s">
        <v>257</v>
      </c>
      <c r="D1094" s="320">
        <v>14540.0</v>
      </c>
      <c r="E1094" s="320">
        <v>18.76</v>
      </c>
      <c r="F1094" s="320">
        <v>451.06</v>
      </c>
      <c r="G1094" s="320">
        <v>0.031</v>
      </c>
      <c r="H1094" s="320">
        <v>0.96</v>
      </c>
      <c r="I1094" s="320">
        <v>3.2219</v>
      </c>
      <c r="J1094" s="320">
        <v>6.06</v>
      </c>
      <c r="K1094" s="320">
        <v>2.64</v>
      </c>
      <c r="L1094" s="320">
        <v>0.07</v>
      </c>
      <c r="M1094" s="320">
        <v>0.0267</v>
      </c>
      <c r="N1094" s="320">
        <v>0.9755</v>
      </c>
      <c r="O1094" s="320">
        <v>0.7319</v>
      </c>
      <c r="P1094" s="320">
        <v>37.462</v>
      </c>
      <c r="Q1094" s="320">
        <v>34.35</v>
      </c>
      <c r="R1094" s="320">
        <v>34.27</v>
      </c>
      <c r="S1094" s="320">
        <v>0.08</v>
      </c>
      <c r="T1094" s="320">
        <v>1.43</v>
      </c>
      <c r="U1094" s="320">
        <v>32.92</v>
      </c>
      <c r="V1094" s="320">
        <v>2.66</v>
      </c>
      <c r="W1094" s="320">
        <v>1.0069</v>
      </c>
      <c r="X1094" s="320">
        <v>4.16</v>
      </c>
      <c r="Y1094" s="320">
        <v>168.0</v>
      </c>
      <c r="Z1094" s="320">
        <v>1148.0</v>
      </c>
      <c r="AA1094" s="320">
        <v>7537.0</v>
      </c>
      <c r="AB1094" s="320">
        <v>49.5592</v>
      </c>
      <c r="AC1094" s="320">
        <v>0.5053</v>
      </c>
      <c r="AD1094" s="329"/>
      <c r="AE1094" s="329"/>
      <c r="AF1094" s="329"/>
      <c r="AG1094" s="329"/>
      <c r="AH1094" s="329"/>
      <c r="AI1094" s="320">
        <v>0.0</v>
      </c>
      <c r="AJ1094" s="320">
        <v>0.0</v>
      </c>
      <c r="AK1094" s="320">
        <v>0.0</v>
      </c>
      <c r="AL1094" s="320">
        <v>0.2838</v>
      </c>
      <c r="AM1094" s="320">
        <v>16.74</v>
      </c>
      <c r="AN1094" s="320">
        <v>17.53</v>
      </c>
      <c r="AO1094" s="329"/>
      <c r="AP1094" s="329"/>
    </row>
    <row r="1095">
      <c r="A1095" s="319" t="s">
        <v>258</v>
      </c>
      <c r="B1095" s="328">
        <v>46112.0</v>
      </c>
      <c r="C1095" s="319" t="s">
        <v>214</v>
      </c>
      <c r="D1095" s="320">
        <v>32986.0</v>
      </c>
      <c r="E1095" s="320">
        <v>42.56</v>
      </c>
      <c r="F1095" s="320">
        <v>10706.44</v>
      </c>
      <c r="G1095" s="320">
        <v>0.3246</v>
      </c>
      <c r="H1095" s="320">
        <v>8.98</v>
      </c>
      <c r="I1095" s="320">
        <v>3.6146</v>
      </c>
      <c r="J1095" s="320">
        <v>31.92</v>
      </c>
      <c r="K1095" s="320">
        <v>17.0</v>
      </c>
      <c r="L1095" s="320">
        <v>5.71</v>
      </c>
      <c r="M1095" s="320">
        <v>0.336</v>
      </c>
      <c r="N1095" s="320">
        <v>0.7389</v>
      </c>
      <c r="O1095" s="320">
        <v>0.488</v>
      </c>
      <c r="P1095" s="320">
        <v>2.976</v>
      </c>
      <c r="Q1095" s="320">
        <v>88.6</v>
      </c>
      <c r="R1095" s="320">
        <v>77.8</v>
      </c>
      <c r="S1095" s="320">
        <v>10.8</v>
      </c>
      <c r="T1095" s="320">
        <v>18.34</v>
      </c>
      <c r="U1095" s="320">
        <v>70.26</v>
      </c>
      <c r="V1095" s="320">
        <v>84.3</v>
      </c>
      <c r="W1095" s="320">
        <v>4.9588</v>
      </c>
      <c r="X1095" s="320">
        <v>20.7</v>
      </c>
      <c r="Y1095" s="320">
        <v>92.0</v>
      </c>
      <c r="Z1095" s="320">
        <v>235.0</v>
      </c>
      <c r="AA1095" s="320">
        <v>948.0</v>
      </c>
      <c r="AB1095" s="320">
        <v>49.3724</v>
      </c>
      <c r="AC1095" s="320">
        <v>0.4415</v>
      </c>
      <c r="AD1095" s="320">
        <v>3.96</v>
      </c>
      <c r="AE1095" s="320">
        <v>1.0</v>
      </c>
      <c r="AF1095" s="320">
        <v>2.0</v>
      </c>
      <c r="AG1095" s="320">
        <v>5.0</v>
      </c>
      <c r="AH1095" s="320">
        <v>9.0</v>
      </c>
      <c r="AI1095" s="320">
        <v>69.76</v>
      </c>
      <c r="AJ1095" s="320">
        <v>29.19</v>
      </c>
      <c r="AK1095" s="320">
        <v>9.3</v>
      </c>
      <c r="AL1095" s="320">
        <v>0.2217</v>
      </c>
      <c r="AM1095" s="320">
        <v>19.59</v>
      </c>
      <c r="AN1095" s="320">
        <v>58.21</v>
      </c>
      <c r="AO1095" s="320">
        <v>67.92</v>
      </c>
      <c r="AP1095" s="320">
        <v>13.31</v>
      </c>
    </row>
    <row r="1096">
      <c r="A1096" s="319" t="s">
        <v>258</v>
      </c>
      <c r="B1096" s="328">
        <v>46112.0</v>
      </c>
      <c r="C1096" s="319" t="s">
        <v>215</v>
      </c>
      <c r="D1096" s="320">
        <v>17307.0</v>
      </c>
      <c r="E1096" s="320">
        <v>22.33</v>
      </c>
      <c r="F1096" s="320">
        <v>23010.11</v>
      </c>
      <c r="G1096" s="320">
        <v>1.3295</v>
      </c>
      <c r="H1096" s="320">
        <v>26.88</v>
      </c>
      <c r="I1096" s="320">
        <v>4.9463</v>
      </c>
      <c r="J1096" s="320">
        <v>60.12</v>
      </c>
      <c r="K1096" s="320">
        <v>34.23</v>
      </c>
      <c r="L1096" s="320">
        <v>15.66</v>
      </c>
      <c r="M1096" s="320">
        <v>0.4575</v>
      </c>
      <c r="N1096" s="320">
        <v>0.6112</v>
      </c>
      <c r="O1096" s="320">
        <v>0.3378</v>
      </c>
      <c r="P1096" s="320">
        <v>2.1856</v>
      </c>
      <c r="Q1096" s="320">
        <v>212.64</v>
      </c>
      <c r="R1096" s="320">
        <v>184.51</v>
      </c>
      <c r="S1096" s="320">
        <v>28.14</v>
      </c>
      <c r="T1096" s="320">
        <v>77.39</v>
      </c>
      <c r="U1096" s="320">
        <v>135.25</v>
      </c>
      <c r="V1096" s="320">
        <v>200.55</v>
      </c>
      <c r="W1096" s="320">
        <v>5.8593</v>
      </c>
      <c r="X1096" s="320">
        <v>36.4</v>
      </c>
      <c r="Y1096" s="320">
        <v>89.0</v>
      </c>
      <c r="Z1096" s="320">
        <v>216.0</v>
      </c>
      <c r="AA1096" s="320">
        <v>706.0</v>
      </c>
      <c r="AB1096" s="320">
        <v>52.2621</v>
      </c>
      <c r="AC1096" s="320">
        <v>0.5194</v>
      </c>
      <c r="AD1096" s="320">
        <v>10.03</v>
      </c>
      <c r="AE1096" s="320">
        <v>3.0</v>
      </c>
      <c r="AF1096" s="320">
        <v>8.0</v>
      </c>
      <c r="AG1096" s="320">
        <v>14.0</v>
      </c>
      <c r="AH1096" s="320">
        <v>22.0</v>
      </c>
      <c r="AI1096" s="320">
        <v>60.47</v>
      </c>
      <c r="AJ1096" s="320">
        <v>29.28</v>
      </c>
      <c r="AK1096" s="320">
        <v>6.64</v>
      </c>
      <c r="AL1096" s="320">
        <v>0.185</v>
      </c>
      <c r="AM1096" s="320">
        <v>22.45</v>
      </c>
      <c r="AN1096" s="320">
        <v>162.06</v>
      </c>
      <c r="AO1096" s="320">
        <v>71.88</v>
      </c>
      <c r="AP1096" s="320">
        <v>16.14</v>
      </c>
    </row>
    <row r="1097">
      <c r="A1097" s="319" t="s">
        <v>258</v>
      </c>
      <c r="B1097" s="328">
        <v>46112.0</v>
      </c>
      <c r="C1097" s="319" t="s">
        <v>216</v>
      </c>
      <c r="D1097" s="320">
        <v>8972.0</v>
      </c>
      <c r="E1097" s="320">
        <v>11.58</v>
      </c>
      <c r="F1097" s="320">
        <v>25695.84</v>
      </c>
      <c r="G1097" s="320">
        <v>2.864</v>
      </c>
      <c r="H1097" s="320">
        <v>38.2</v>
      </c>
      <c r="I1097" s="320">
        <v>7.4981</v>
      </c>
      <c r="J1097" s="320">
        <v>88.55</v>
      </c>
      <c r="K1097" s="320">
        <v>53.3</v>
      </c>
      <c r="L1097" s="320">
        <v>31.5</v>
      </c>
      <c r="M1097" s="320">
        <v>0.591</v>
      </c>
      <c r="N1097" s="320">
        <v>0.4873</v>
      </c>
      <c r="O1097" s="320">
        <v>0.2623</v>
      </c>
      <c r="P1097" s="320">
        <v>1.692</v>
      </c>
      <c r="Q1097" s="320">
        <v>415.4</v>
      </c>
      <c r="R1097" s="320">
        <v>361.87</v>
      </c>
      <c r="S1097" s="320">
        <v>53.53</v>
      </c>
      <c r="T1097" s="320">
        <v>169.56</v>
      </c>
      <c r="U1097" s="320">
        <v>245.84</v>
      </c>
      <c r="V1097" s="320">
        <v>396.87</v>
      </c>
      <c r="W1097" s="320">
        <v>7.4462</v>
      </c>
      <c r="X1097" s="320">
        <v>40.82</v>
      </c>
      <c r="Y1097" s="320">
        <v>95.0</v>
      </c>
      <c r="Z1097" s="320">
        <v>281.0</v>
      </c>
      <c r="AA1097" s="320">
        <v>804.0</v>
      </c>
      <c r="AB1097" s="320">
        <v>54.4263</v>
      </c>
      <c r="AC1097" s="320">
        <v>0.6174</v>
      </c>
      <c r="AD1097" s="320">
        <v>18.72</v>
      </c>
      <c r="AE1097" s="320">
        <v>7.0</v>
      </c>
      <c r="AF1097" s="320">
        <v>15.0</v>
      </c>
      <c r="AG1097" s="320">
        <v>26.0</v>
      </c>
      <c r="AH1097" s="320">
        <v>39.0</v>
      </c>
      <c r="AI1097" s="320">
        <v>61.13</v>
      </c>
      <c r="AJ1097" s="320">
        <v>26.28</v>
      </c>
      <c r="AK1097" s="320">
        <v>8.19</v>
      </c>
      <c r="AL1097" s="320">
        <v>0.1883</v>
      </c>
      <c r="AM1097" s="320">
        <v>24.51</v>
      </c>
      <c r="AN1097" s="320">
        <v>337.36</v>
      </c>
      <c r="AO1097" s="320">
        <v>70.55</v>
      </c>
      <c r="AP1097" s="320">
        <v>17.29</v>
      </c>
    </row>
    <row r="1098">
      <c r="A1098" s="319" t="s">
        <v>258</v>
      </c>
      <c r="B1098" s="328">
        <v>46112.0</v>
      </c>
      <c r="C1098" s="319" t="s">
        <v>217</v>
      </c>
      <c r="D1098" s="320">
        <v>3302.0</v>
      </c>
      <c r="E1098" s="320">
        <v>4.26</v>
      </c>
      <c r="F1098" s="320">
        <v>16906.06</v>
      </c>
      <c r="G1098" s="320">
        <v>5.1199</v>
      </c>
      <c r="H1098" s="320">
        <v>45.12</v>
      </c>
      <c r="I1098" s="320">
        <v>11.3463</v>
      </c>
      <c r="J1098" s="320">
        <v>132.79</v>
      </c>
      <c r="K1098" s="320">
        <v>83.41</v>
      </c>
      <c r="L1098" s="320">
        <v>57.71</v>
      </c>
      <c r="M1098" s="320">
        <v>0.6918</v>
      </c>
      <c r="N1098" s="320">
        <v>0.3977</v>
      </c>
      <c r="O1098" s="320">
        <v>0.2264</v>
      </c>
      <c r="P1098" s="320">
        <v>1.4454</v>
      </c>
      <c r="Q1098" s="320">
        <v>794.05</v>
      </c>
      <c r="R1098" s="320">
        <v>684.64</v>
      </c>
      <c r="S1098" s="320">
        <v>109.41</v>
      </c>
      <c r="T1098" s="320">
        <v>310.48</v>
      </c>
      <c r="U1098" s="320">
        <v>483.56</v>
      </c>
      <c r="V1098" s="320">
        <v>738.96</v>
      </c>
      <c r="W1098" s="320">
        <v>8.8589</v>
      </c>
      <c r="X1098" s="320">
        <v>39.1</v>
      </c>
      <c r="Y1098" s="320">
        <v>119.0</v>
      </c>
      <c r="Z1098" s="320">
        <v>421.0</v>
      </c>
      <c r="AA1098" s="320">
        <v>1124.0</v>
      </c>
      <c r="AB1098" s="320">
        <v>57.7807</v>
      </c>
      <c r="AC1098" s="320">
        <v>0.7487</v>
      </c>
      <c r="AD1098" s="320">
        <v>37.38</v>
      </c>
      <c r="AE1098" s="320">
        <v>14.0</v>
      </c>
      <c r="AF1098" s="320">
        <v>30.0</v>
      </c>
      <c r="AG1098" s="320">
        <v>50.0</v>
      </c>
      <c r="AH1098" s="320">
        <v>79.0</v>
      </c>
      <c r="AI1098" s="320">
        <v>53.21</v>
      </c>
      <c r="AJ1098" s="320">
        <v>18.66</v>
      </c>
      <c r="AK1098" s="320">
        <v>4.63</v>
      </c>
      <c r="AL1098" s="320">
        <v>0.1708</v>
      </c>
      <c r="AM1098" s="320">
        <v>24.53</v>
      </c>
      <c r="AN1098" s="320">
        <v>660.11</v>
      </c>
      <c r="AO1098" s="320">
        <v>74.88</v>
      </c>
      <c r="AP1098" s="320">
        <v>18.37</v>
      </c>
    </row>
    <row r="1099">
      <c r="A1099" s="319" t="s">
        <v>258</v>
      </c>
      <c r="B1099" s="328">
        <v>46112.0</v>
      </c>
      <c r="C1099" s="319" t="s">
        <v>218</v>
      </c>
      <c r="D1099" s="320">
        <v>393.0</v>
      </c>
      <c r="E1099" s="320">
        <v>0.51</v>
      </c>
      <c r="F1099" s="320">
        <v>3266.3</v>
      </c>
      <c r="G1099" s="320">
        <v>8.3112</v>
      </c>
      <c r="H1099" s="320">
        <v>48.6</v>
      </c>
      <c r="I1099" s="320">
        <v>17.101</v>
      </c>
      <c r="J1099" s="320">
        <v>244.25</v>
      </c>
      <c r="K1099" s="320">
        <v>162.35</v>
      </c>
      <c r="L1099" s="320">
        <v>134.22</v>
      </c>
      <c r="M1099" s="320">
        <v>0.8267</v>
      </c>
      <c r="N1099" s="320">
        <v>0.269</v>
      </c>
      <c r="O1099" s="320">
        <v>0.1676</v>
      </c>
      <c r="P1099" s="320">
        <v>1.2096</v>
      </c>
      <c r="Q1099" s="320">
        <v>1586.84</v>
      </c>
      <c r="R1099" s="320">
        <v>1328.77</v>
      </c>
      <c r="S1099" s="320">
        <v>258.07</v>
      </c>
      <c r="T1099" s="320">
        <v>520.67</v>
      </c>
      <c r="U1099" s="320">
        <v>1066.17</v>
      </c>
      <c r="V1099" s="320">
        <v>1478.75</v>
      </c>
      <c r="W1099" s="320">
        <v>9.1082</v>
      </c>
      <c r="X1099" s="320">
        <v>32.81</v>
      </c>
      <c r="Y1099" s="320">
        <v>196.0</v>
      </c>
      <c r="Z1099" s="320">
        <v>901.0</v>
      </c>
      <c r="AA1099" s="320">
        <v>2566.0</v>
      </c>
      <c r="AB1099" s="320">
        <v>62.0959</v>
      </c>
      <c r="AC1099" s="320">
        <v>0.8368</v>
      </c>
      <c r="AD1099" s="320">
        <v>93.21</v>
      </c>
      <c r="AE1099" s="320">
        <v>40.0</v>
      </c>
      <c r="AF1099" s="320">
        <v>75.0</v>
      </c>
      <c r="AG1099" s="320">
        <v>136.0</v>
      </c>
      <c r="AH1099" s="320">
        <v>183.0</v>
      </c>
      <c r="AI1099" s="320">
        <v>47.84</v>
      </c>
      <c r="AJ1099" s="320">
        <v>12.72</v>
      </c>
      <c r="AK1099" s="320">
        <v>1.78</v>
      </c>
      <c r="AL1099" s="320">
        <v>0.0992</v>
      </c>
      <c r="AM1099" s="320">
        <v>26.79</v>
      </c>
      <c r="AN1099" s="320">
        <v>1301.98</v>
      </c>
      <c r="AO1099" s="320">
        <v>77.28</v>
      </c>
      <c r="AP1099" s="320">
        <v>20.7</v>
      </c>
    </row>
    <row r="1100">
      <c r="A1100" s="319" t="s">
        <v>258</v>
      </c>
      <c r="B1100" s="328">
        <v>46113.0</v>
      </c>
      <c r="C1100" s="319" t="s">
        <v>257</v>
      </c>
      <c r="D1100" s="320">
        <v>15513.0</v>
      </c>
      <c r="E1100" s="320">
        <v>20.72</v>
      </c>
      <c r="F1100" s="320">
        <v>311.8</v>
      </c>
      <c r="G1100" s="320">
        <v>0.0201</v>
      </c>
      <c r="H1100" s="320">
        <v>0.59</v>
      </c>
      <c r="I1100" s="320">
        <v>3.4264</v>
      </c>
      <c r="J1100" s="320">
        <v>6.33</v>
      </c>
      <c r="K1100" s="320">
        <v>2.88</v>
      </c>
      <c r="L1100" s="320">
        <v>0.04</v>
      </c>
      <c r="M1100" s="320">
        <v>0.0133</v>
      </c>
      <c r="N1100" s="320">
        <v>0.9881</v>
      </c>
      <c r="O1100" s="320">
        <v>0.8235</v>
      </c>
      <c r="P1100" s="320">
        <v>75.3451</v>
      </c>
      <c r="Q1100" s="320">
        <v>25.15</v>
      </c>
      <c r="R1100" s="320">
        <v>25.06</v>
      </c>
      <c r="S1100" s="320">
        <v>0.09</v>
      </c>
      <c r="T1100" s="320">
        <v>1.18</v>
      </c>
      <c r="U1100" s="320">
        <v>23.96</v>
      </c>
      <c r="V1100" s="320">
        <v>2.19</v>
      </c>
      <c r="W1100" s="320">
        <v>0.7575</v>
      </c>
      <c r="X1100" s="320">
        <v>4.71</v>
      </c>
      <c r="Y1100" s="320">
        <v>159.0</v>
      </c>
      <c r="Z1100" s="320">
        <v>1100.0</v>
      </c>
      <c r="AA1100" s="320">
        <v>7481.0</v>
      </c>
      <c r="AB1100" s="320">
        <v>49.8946</v>
      </c>
      <c r="AC1100" s="320">
        <v>0.5161</v>
      </c>
      <c r="AD1100" s="329"/>
      <c r="AE1100" s="329"/>
      <c r="AF1100" s="329"/>
      <c r="AG1100" s="329"/>
      <c r="AH1100" s="329"/>
      <c r="AI1100" s="320">
        <v>0.0</v>
      </c>
      <c r="AJ1100" s="320">
        <v>0.0</v>
      </c>
      <c r="AK1100" s="320">
        <v>0.0</v>
      </c>
      <c r="AL1100" s="320">
        <v>0.2638</v>
      </c>
      <c r="AM1100" s="320">
        <v>15.17</v>
      </c>
      <c r="AN1100" s="320">
        <v>9.89</v>
      </c>
      <c r="AO1100" s="329"/>
      <c r="AP1100" s="329"/>
    </row>
    <row r="1101">
      <c r="A1101" s="319" t="s">
        <v>258</v>
      </c>
      <c r="B1101" s="328">
        <v>46113.0</v>
      </c>
      <c r="C1101" s="319" t="s">
        <v>214</v>
      </c>
      <c r="D1101" s="320">
        <v>31029.0</v>
      </c>
      <c r="E1101" s="320">
        <v>41.44</v>
      </c>
      <c r="F1101" s="320">
        <v>8925.73</v>
      </c>
      <c r="G1101" s="320">
        <v>0.2877</v>
      </c>
      <c r="H1101" s="320">
        <v>7.96</v>
      </c>
      <c r="I1101" s="320">
        <v>3.6151</v>
      </c>
      <c r="J1101" s="320">
        <v>33.07</v>
      </c>
      <c r="K1101" s="320">
        <v>17.84</v>
      </c>
      <c r="L1101" s="320">
        <v>5.43</v>
      </c>
      <c r="M1101" s="320">
        <v>0.3044</v>
      </c>
      <c r="N1101" s="320">
        <v>0.7621</v>
      </c>
      <c r="O1101" s="320">
        <v>0.5033</v>
      </c>
      <c r="P1101" s="320">
        <v>3.2848</v>
      </c>
      <c r="Q1101" s="320">
        <v>69.67</v>
      </c>
      <c r="R1101" s="320">
        <v>60.31</v>
      </c>
      <c r="S1101" s="320">
        <v>9.36</v>
      </c>
      <c r="T1101" s="320">
        <v>16.56</v>
      </c>
      <c r="U1101" s="320">
        <v>53.1</v>
      </c>
      <c r="V1101" s="320">
        <v>74.49</v>
      </c>
      <c r="W1101" s="320">
        <v>4.1746</v>
      </c>
      <c r="X1101" s="320">
        <v>23.77</v>
      </c>
      <c r="Y1101" s="320">
        <v>88.0</v>
      </c>
      <c r="Z1101" s="320">
        <v>223.0</v>
      </c>
      <c r="AA1101" s="320">
        <v>927.0</v>
      </c>
      <c r="AB1101" s="320">
        <v>49.3664</v>
      </c>
      <c r="AC1101" s="320">
        <v>0.4423</v>
      </c>
      <c r="AD1101" s="320">
        <v>3.68</v>
      </c>
      <c r="AE1101" s="320">
        <v>1.0</v>
      </c>
      <c r="AF1101" s="320">
        <v>2.0</v>
      </c>
      <c r="AG1101" s="320">
        <v>5.0</v>
      </c>
      <c r="AH1101" s="320">
        <v>8.0</v>
      </c>
      <c r="AI1101" s="320">
        <v>67.63</v>
      </c>
      <c r="AJ1101" s="320">
        <v>26.52</v>
      </c>
      <c r="AK1101" s="320">
        <v>7.61</v>
      </c>
      <c r="AL1101" s="320">
        <v>0.2211</v>
      </c>
      <c r="AM1101" s="320">
        <v>19.39</v>
      </c>
      <c r="AN1101" s="320">
        <v>40.92</v>
      </c>
      <c r="AO1101" s="320">
        <v>68.66</v>
      </c>
      <c r="AP1101" s="320">
        <v>13.31</v>
      </c>
    </row>
    <row r="1102">
      <c r="A1102" s="319" t="s">
        <v>258</v>
      </c>
      <c r="B1102" s="328">
        <v>46113.0</v>
      </c>
      <c r="C1102" s="319" t="s">
        <v>215</v>
      </c>
      <c r="D1102" s="320">
        <v>16550.0</v>
      </c>
      <c r="E1102" s="320">
        <v>22.1</v>
      </c>
      <c r="F1102" s="320">
        <v>19892.65</v>
      </c>
      <c r="G1102" s="320">
        <v>1.202</v>
      </c>
      <c r="H1102" s="320">
        <v>23.72</v>
      </c>
      <c r="I1102" s="320">
        <v>5.0682</v>
      </c>
      <c r="J1102" s="320">
        <v>60.54</v>
      </c>
      <c r="K1102" s="320">
        <v>34.95</v>
      </c>
      <c r="L1102" s="320">
        <v>14.53</v>
      </c>
      <c r="M1102" s="320">
        <v>0.4156</v>
      </c>
      <c r="N1102" s="320">
        <v>0.6449</v>
      </c>
      <c r="O1102" s="320">
        <v>0.3552</v>
      </c>
      <c r="P1102" s="320">
        <v>2.4063</v>
      </c>
      <c r="Q1102" s="320">
        <v>160.23</v>
      </c>
      <c r="R1102" s="320">
        <v>136.57</v>
      </c>
      <c r="S1102" s="320">
        <v>23.66</v>
      </c>
      <c r="T1102" s="320">
        <v>71.35</v>
      </c>
      <c r="U1102" s="320">
        <v>88.88</v>
      </c>
      <c r="V1102" s="320">
        <v>174.71</v>
      </c>
      <c r="W1102" s="320">
        <v>4.9984</v>
      </c>
      <c r="X1102" s="320">
        <v>44.53</v>
      </c>
      <c r="Y1102" s="320">
        <v>81.0</v>
      </c>
      <c r="Z1102" s="320">
        <v>186.0</v>
      </c>
      <c r="AA1102" s="320">
        <v>628.0</v>
      </c>
      <c r="AB1102" s="320">
        <v>52.3434</v>
      </c>
      <c r="AC1102" s="320">
        <v>0.5291</v>
      </c>
      <c r="AD1102" s="320">
        <v>8.97</v>
      </c>
      <c r="AE1102" s="320">
        <v>3.0</v>
      </c>
      <c r="AF1102" s="320">
        <v>6.0</v>
      </c>
      <c r="AG1102" s="320">
        <v>12.0</v>
      </c>
      <c r="AH1102" s="320">
        <v>20.0</v>
      </c>
      <c r="AI1102" s="320">
        <v>54.69</v>
      </c>
      <c r="AJ1102" s="320">
        <v>24.66</v>
      </c>
      <c r="AK1102" s="320">
        <v>5.02</v>
      </c>
      <c r="AL1102" s="320">
        <v>0.1924</v>
      </c>
      <c r="AM1102" s="320">
        <v>20.45</v>
      </c>
      <c r="AN1102" s="320">
        <v>116.12</v>
      </c>
      <c r="AO1102" s="320">
        <v>72.88</v>
      </c>
      <c r="AP1102" s="320">
        <v>14.9</v>
      </c>
    </row>
    <row r="1103">
      <c r="A1103" s="319" t="s">
        <v>258</v>
      </c>
      <c r="B1103" s="328">
        <v>46113.0</v>
      </c>
      <c r="C1103" s="319" t="s">
        <v>216</v>
      </c>
      <c r="D1103" s="320">
        <v>8258.0</v>
      </c>
      <c r="E1103" s="320">
        <v>11.03</v>
      </c>
      <c r="F1103" s="320">
        <v>22257.39</v>
      </c>
      <c r="G1103" s="320">
        <v>2.6953</v>
      </c>
      <c r="H1103" s="320">
        <v>35.4</v>
      </c>
      <c r="I1103" s="320">
        <v>7.6146</v>
      </c>
      <c r="J1103" s="320">
        <v>82.72</v>
      </c>
      <c r="K1103" s="320">
        <v>50.35</v>
      </c>
      <c r="L1103" s="320">
        <v>26.77</v>
      </c>
      <c r="M1103" s="320">
        <v>0.5317</v>
      </c>
      <c r="N1103" s="320">
        <v>0.5393</v>
      </c>
      <c r="O1103" s="320">
        <v>0.2883</v>
      </c>
      <c r="P1103" s="320">
        <v>1.8808</v>
      </c>
      <c r="Q1103" s="320">
        <v>306.31</v>
      </c>
      <c r="R1103" s="320">
        <v>260.68</v>
      </c>
      <c r="S1103" s="320">
        <v>45.63</v>
      </c>
      <c r="T1103" s="320">
        <v>164.5</v>
      </c>
      <c r="U1103" s="320">
        <v>141.81</v>
      </c>
      <c r="V1103" s="320">
        <v>331.88</v>
      </c>
      <c r="W1103" s="320">
        <v>6.5914</v>
      </c>
      <c r="X1103" s="320">
        <v>53.7</v>
      </c>
      <c r="Y1103" s="320">
        <v>85.0</v>
      </c>
      <c r="Z1103" s="320">
        <v>207.0</v>
      </c>
      <c r="AA1103" s="320">
        <v>676.0</v>
      </c>
      <c r="AB1103" s="320">
        <v>54.6061</v>
      </c>
      <c r="AC1103" s="320">
        <v>0.6632</v>
      </c>
      <c r="AD1103" s="320">
        <v>17.28</v>
      </c>
      <c r="AE1103" s="320">
        <v>6.0</v>
      </c>
      <c r="AF1103" s="320">
        <v>13.0</v>
      </c>
      <c r="AG1103" s="320">
        <v>24.0</v>
      </c>
      <c r="AH1103" s="320">
        <v>38.0</v>
      </c>
      <c r="AI1103" s="320">
        <v>55.22</v>
      </c>
      <c r="AJ1103" s="320">
        <v>23.06</v>
      </c>
      <c r="AK1103" s="320">
        <v>7.52</v>
      </c>
      <c r="AL1103" s="320">
        <v>0.1952</v>
      </c>
      <c r="AM1103" s="320">
        <v>20.15</v>
      </c>
      <c r="AN1103" s="320">
        <v>240.53</v>
      </c>
      <c r="AO1103" s="320">
        <v>74.62</v>
      </c>
      <c r="AP1103" s="320">
        <v>15.04</v>
      </c>
    </row>
    <row r="1104">
      <c r="A1104" s="319" t="s">
        <v>258</v>
      </c>
      <c r="B1104" s="328">
        <v>46113.0</v>
      </c>
      <c r="C1104" s="319" t="s">
        <v>217</v>
      </c>
      <c r="D1104" s="320">
        <v>3132.0</v>
      </c>
      <c r="E1104" s="320">
        <v>4.18</v>
      </c>
      <c r="F1104" s="320">
        <v>18671.31</v>
      </c>
      <c r="G1104" s="320">
        <v>5.9615</v>
      </c>
      <c r="H1104" s="320">
        <v>44.22</v>
      </c>
      <c r="I1104" s="320">
        <v>13.4811</v>
      </c>
      <c r="J1104" s="320">
        <v>127.92</v>
      </c>
      <c r="K1104" s="320">
        <v>80.17</v>
      </c>
      <c r="L1104" s="320">
        <v>52.44</v>
      </c>
      <c r="M1104" s="320">
        <v>0.6542</v>
      </c>
      <c r="N1104" s="320">
        <v>0.4305</v>
      </c>
      <c r="O1104" s="320">
        <v>0.2391</v>
      </c>
      <c r="P1104" s="320">
        <v>1.5287</v>
      </c>
      <c r="Q1104" s="320">
        <v>616.46</v>
      </c>
      <c r="R1104" s="320">
        <v>525.1</v>
      </c>
      <c r="S1104" s="320">
        <v>91.35</v>
      </c>
      <c r="T1104" s="320">
        <v>364.79</v>
      </c>
      <c r="U1104" s="320">
        <v>251.67</v>
      </c>
      <c r="V1104" s="320">
        <v>662.82</v>
      </c>
      <c r="W1104" s="320">
        <v>8.2679</v>
      </c>
      <c r="X1104" s="320">
        <v>59.18</v>
      </c>
      <c r="Y1104" s="320">
        <v>96.0</v>
      </c>
      <c r="Z1104" s="320">
        <v>339.0</v>
      </c>
      <c r="AA1104" s="320">
        <v>1003.0</v>
      </c>
      <c r="AB1104" s="320">
        <v>57.9176</v>
      </c>
      <c r="AC1104" s="320">
        <v>0.7716</v>
      </c>
      <c r="AD1104" s="320">
        <v>34.78</v>
      </c>
      <c r="AE1104" s="320">
        <v>11.0</v>
      </c>
      <c r="AF1104" s="320">
        <v>24.0</v>
      </c>
      <c r="AG1104" s="320">
        <v>49.0</v>
      </c>
      <c r="AH1104" s="320">
        <v>77.0</v>
      </c>
      <c r="AI1104" s="320">
        <v>46.17</v>
      </c>
      <c r="AJ1104" s="320">
        <v>18.45</v>
      </c>
      <c r="AK1104" s="320">
        <v>5.24</v>
      </c>
      <c r="AL1104" s="320">
        <v>0.1737</v>
      </c>
      <c r="AM1104" s="320">
        <v>19.92</v>
      </c>
      <c r="AN1104" s="320">
        <v>505.18</v>
      </c>
      <c r="AO1104" s="320">
        <v>77.22</v>
      </c>
      <c r="AP1104" s="320">
        <v>15.38</v>
      </c>
    </row>
    <row r="1105">
      <c r="A1105" s="319" t="s">
        <v>258</v>
      </c>
      <c r="B1105" s="328">
        <v>46113.0</v>
      </c>
      <c r="C1105" s="319" t="s">
        <v>218</v>
      </c>
      <c r="D1105" s="320">
        <v>388.0</v>
      </c>
      <c r="E1105" s="320">
        <v>0.52</v>
      </c>
      <c r="F1105" s="320">
        <v>4224.68</v>
      </c>
      <c r="G1105" s="320">
        <v>10.8884</v>
      </c>
      <c r="H1105" s="320">
        <v>51.03</v>
      </c>
      <c r="I1105" s="320">
        <v>21.3368</v>
      </c>
      <c r="J1105" s="320">
        <v>231.57</v>
      </c>
      <c r="K1105" s="320">
        <v>153.07</v>
      </c>
      <c r="L1105" s="320">
        <v>122.58</v>
      </c>
      <c r="M1105" s="320">
        <v>0.8008</v>
      </c>
      <c r="N1105" s="320">
        <v>0.2953</v>
      </c>
      <c r="O1105" s="320">
        <v>0.181</v>
      </c>
      <c r="P1105" s="320">
        <v>1.2488</v>
      </c>
      <c r="Q1105" s="320">
        <v>1215.59</v>
      </c>
      <c r="R1105" s="320">
        <v>1000.58</v>
      </c>
      <c r="S1105" s="320">
        <v>215.01</v>
      </c>
      <c r="T1105" s="320">
        <v>709.54</v>
      </c>
      <c r="U1105" s="320">
        <v>506.06</v>
      </c>
      <c r="V1105" s="320">
        <v>1343.94</v>
      </c>
      <c r="W1105" s="320">
        <v>8.7798</v>
      </c>
      <c r="X1105" s="320">
        <v>58.37</v>
      </c>
      <c r="Y1105" s="320">
        <v>135.0</v>
      </c>
      <c r="Z1105" s="320">
        <v>669.0</v>
      </c>
      <c r="AA1105" s="320">
        <v>2552.0</v>
      </c>
      <c r="AB1105" s="320">
        <v>62.3297</v>
      </c>
      <c r="AC1105" s="320">
        <v>0.8499</v>
      </c>
      <c r="AD1105" s="320">
        <v>84.03</v>
      </c>
      <c r="AE1105" s="320">
        <v>28.0</v>
      </c>
      <c r="AF1105" s="320">
        <v>67.0</v>
      </c>
      <c r="AG1105" s="320">
        <v>117.0</v>
      </c>
      <c r="AH1105" s="320">
        <v>180.0</v>
      </c>
      <c r="AI1105" s="320">
        <v>44.59</v>
      </c>
      <c r="AJ1105" s="320">
        <v>11.86</v>
      </c>
      <c r="AK1105" s="320">
        <v>2.32</v>
      </c>
      <c r="AL1105" s="320">
        <v>0.0979</v>
      </c>
      <c r="AM1105" s="320">
        <v>21.61</v>
      </c>
      <c r="AN1105" s="320">
        <v>978.97</v>
      </c>
      <c r="AO1105" s="320">
        <v>78.42</v>
      </c>
      <c r="AP1105" s="320">
        <v>16.95</v>
      </c>
    </row>
    <row r="1106">
      <c r="A1106" s="319" t="s">
        <v>258</v>
      </c>
      <c r="B1106" s="328">
        <v>46114.0</v>
      </c>
      <c r="C1106" s="319" t="s">
        <v>257</v>
      </c>
      <c r="D1106" s="320">
        <v>16488.0</v>
      </c>
      <c r="E1106" s="320">
        <v>22.29</v>
      </c>
      <c r="F1106" s="320">
        <v>223.61</v>
      </c>
      <c r="G1106" s="320">
        <v>0.0136</v>
      </c>
      <c r="H1106" s="320">
        <v>0.36</v>
      </c>
      <c r="I1106" s="320">
        <v>3.79</v>
      </c>
      <c r="J1106" s="320">
        <v>6.44</v>
      </c>
      <c r="K1106" s="320">
        <v>2.9</v>
      </c>
      <c r="L1106" s="320">
        <v>0.05</v>
      </c>
      <c r="M1106" s="320">
        <v>0.0188</v>
      </c>
      <c r="N1106" s="320">
        <v>0.9824</v>
      </c>
      <c r="O1106" s="320">
        <v>0.7652</v>
      </c>
      <c r="P1106" s="320">
        <v>53.2022</v>
      </c>
      <c r="Q1106" s="320">
        <v>23.68</v>
      </c>
      <c r="R1106" s="320">
        <v>23.61</v>
      </c>
      <c r="S1106" s="320">
        <v>0.06</v>
      </c>
      <c r="T1106" s="320">
        <v>0.96</v>
      </c>
      <c r="U1106" s="320">
        <v>22.72</v>
      </c>
      <c r="V1106" s="320">
        <v>2.2</v>
      </c>
      <c r="W1106" s="320">
        <v>0.7571</v>
      </c>
      <c r="X1106" s="320">
        <v>4.05</v>
      </c>
      <c r="Y1106" s="320">
        <v>140.0</v>
      </c>
      <c r="Z1106" s="320">
        <v>1042.0</v>
      </c>
      <c r="AA1106" s="320">
        <v>6945.0</v>
      </c>
      <c r="AB1106" s="320">
        <v>49.6893</v>
      </c>
      <c r="AC1106" s="320">
        <v>0.5123</v>
      </c>
      <c r="AD1106" s="329"/>
      <c r="AE1106" s="329"/>
      <c r="AF1106" s="329"/>
      <c r="AG1106" s="329"/>
      <c r="AH1106" s="329"/>
      <c r="AI1106" s="320">
        <v>0.0</v>
      </c>
      <c r="AJ1106" s="320">
        <v>0.0</v>
      </c>
      <c r="AK1106" s="320">
        <v>0.0</v>
      </c>
      <c r="AL1106" s="320">
        <v>0.2727</v>
      </c>
      <c r="AM1106" s="320">
        <v>15.57</v>
      </c>
      <c r="AN1106" s="320">
        <v>8.04</v>
      </c>
      <c r="AO1106" s="329"/>
      <c r="AP1106" s="329"/>
    </row>
    <row r="1107">
      <c r="A1107" s="319" t="s">
        <v>258</v>
      </c>
      <c r="B1107" s="328">
        <v>46114.0</v>
      </c>
      <c r="C1107" s="319" t="s">
        <v>214</v>
      </c>
      <c r="D1107" s="320">
        <v>30481.0</v>
      </c>
      <c r="E1107" s="320">
        <v>41.2</v>
      </c>
      <c r="F1107" s="320">
        <v>8278.97</v>
      </c>
      <c r="G1107" s="320">
        <v>0.2716</v>
      </c>
      <c r="H1107" s="320">
        <v>7.64</v>
      </c>
      <c r="I1107" s="320">
        <v>3.5547</v>
      </c>
      <c r="J1107" s="320">
        <v>29.86</v>
      </c>
      <c r="K1107" s="320">
        <v>15.82</v>
      </c>
      <c r="L1107" s="320">
        <v>5.12</v>
      </c>
      <c r="M1107" s="320">
        <v>0.3235</v>
      </c>
      <c r="N1107" s="320">
        <v>0.7495</v>
      </c>
      <c r="O1107" s="320">
        <v>0.5021</v>
      </c>
      <c r="P1107" s="320">
        <v>3.0914</v>
      </c>
      <c r="Q1107" s="320">
        <v>65.51</v>
      </c>
      <c r="R1107" s="320">
        <v>56.9</v>
      </c>
      <c r="S1107" s="320">
        <v>8.61</v>
      </c>
      <c r="T1107" s="320">
        <v>16.44</v>
      </c>
      <c r="U1107" s="320">
        <v>49.07</v>
      </c>
      <c r="V1107" s="320">
        <v>71.27</v>
      </c>
      <c r="W1107" s="320">
        <v>4.5048</v>
      </c>
      <c r="X1107" s="320">
        <v>25.1</v>
      </c>
      <c r="Y1107" s="320">
        <v>86.0</v>
      </c>
      <c r="Z1107" s="320">
        <v>214.0</v>
      </c>
      <c r="AA1107" s="320">
        <v>890.0</v>
      </c>
      <c r="AB1107" s="320">
        <v>49.5074</v>
      </c>
      <c r="AC1107" s="320">
        <v>0.4467</v>
      </c>
      <c r="AD1107" s="320">
        <v>3.53</v>
      </c>
      <c r="AE1107" s="320">
        <v>1.0</v>
      </c>
      <c r="AF1107" s="320">
        <v>2.0</v>
      </c>
      <c r="AG1107" s="320">
        <v>4.0</v>
      </c>
      <c r="AH1107" s="320">
        <v>8.0</v>
      </c>
      <c r="AI1107" s="320">
        <v>65.54</v>
      </c>
      <c r="AJ1107" s="320">
        <v>24.91</v>
      </c>
      <c r="AK1107" s="320">
        <v>7.25</v>
      </c>
      <c r="AL1107" s="320">
        <v>0.2333</v>
      </c>
      <c r="AM1107" s="320">
        <v>20.25</v>
      </c>
      <c r="AN1107" s="320">
        <v>36.65</v>
      </c>
      <c r="AO1107" s="320">
        <v>68.32</v>
      </c>
      <c r="AP1107" s="320">
        <v>13.83</v>
      </c>
    </row>
    <row r="1108">
      <c r="A1108" s="319" t="s">
        <v>258</v>
      </c>
      <c r="B1108" s="328">
        <v>46114.0</v>
      </c>
      <c r="C1108" s="319" t="s">
        <v>215</v>
      </c>
      <c r="D1108" s="320">
        <v>15701.0</v>
      </c>
      <c r="E1108" s="320">
        <v>21.22</v>
      </c>
      <c r="F1108" s="320">
        <v>17227.9</v>
      </c>
      <c r="G1108" s="320">
        <v>1.0972</v>
      </c>
      <c r="H1108" s="320">
        <v>22.48</v>
      </c>
      <c r="I1108" s="320">
        <v>4.8818</v>
      </c>
      <c r="J1108" s="320">
        <v>54.26</v>
      </c>
      <c r="K1108" s="320">
        <v>30.97</v>
      </c>
      <c r="L1108" s="320">
        <v>13.28</v>
      </c>
      <c r="M1108" s="320">
        <v>0.4287</v>
      </c>
      <c r="N1108" s="320">
        <v>0.6367</v>
      </c>
      <c r="O1108" s="320">
        <v>0.3606</v>
      </c>
      <c r="P1108" s="320">
        <v>2.3328</v>
      </c>
      <c r="Q1108" s="320">
        <v>157.76</v>
      </c>
      <c r="R1108" s="320">
        <v>136.18</v>
      </c>
      <c r="S1108" s="320">
        <v>21.58</v>
      </c>
      <c r="T1108" s="320">
        <v>67.83</v>
      </c>
      <c r="U1108" s="320">
        <v>89.93</v>
      </c>
      <c r="V1108" s="320">
        <v>167.23</v>
      </c>
      <c r="W1108" s="320">
        <v>5.3997</v>
      </c>
      <c r="X1108" s="320">
        <v>43.0</v>
      </c>
      <c r="Y1108" s="320">
        <v>81.0</v>
      </c>
      <c r="Z1108" s="320">
        <v>179.0</v>
      </c>
      <c r="AA1108" s="320">
        <v>625.0</v>
      </c>
      <c r="AB1108" s="320">
        <v>52.385</v>
      </c>
      <c r="AC1108" s="320">
        <v>0.5424</v>
      </c>
      <c r="AD1108" s="320">
        <v>8.47</v>
      </c>
      <c r="AE1108" s="320">
        <v>2.0</v>
      </c>
      <c r="AF1108" s="320">
        <v>6.0</v>
      </c>
      <c r="AG1108" s="320">
        <v>12.0</v>
      </c>
      <c r="AH1108" s="320">
        <v>19.0</v>
      </c>
      <c r="AI1108" s="320">
        <v>52.63</v>
      </c>
      <c r="AJ1108" s="320">
        <v>22.89</v>
      </c>
      <c r="AK1108" s="320">
        <v>4.33</v>
      </c>
      <c r="AL1108" s="320">
        <v>0.2009</v>
      </c>
      <c r="AM1108" s="320">
        <v>20.8</v>
      </c>
      <c r="AN1108" s="320">
        <v>115.37</v>
      </c>
      <c r="AO1108" s="320">
        <v>74.0</v>
      </c>
      <c r="AP1108" s="320">
        <v>15.39</v>
      </c>
    </row>
    <row r="1109">
      <c r="A1109" s="319" t="s">
        <v>258</v>
      </c>
      <c r="B1109" s="328">
        <v>46114.0</v>
      </c>
      <c r="C1109" s="319" t="s">
        <v>216</v>
      </c>
      <c r="D1109" s="320">
        <v>7931.0</v>
      </c>
      <c r="E1109" s="320">
        <v>10.72</v>
      </c>
      <c r="F1109" s="320">
        <v>20191.1</v>
      </c>
      <c r="G1109" s="320">
        <v>2.5458</v>
      </c>
      <c r="H1109" s="320">
        <v>33.9</v>
      </c>
      <c r="I1109" s="320">
        <v>7.5088</v>
      </c>
      <c r="J1109" s="320">
        <v>77.66</v>
      </c>
      <c r="K1109" s="320">
        <v>46.72</v>
      </c>
      <c r="L1109" s="320">
        <v>25.09</v>
      </c>
      <c r="M1109" s="320">
        <v>0.537</v>
      </c>
      <c r="N1109" s="320">
        <v>0.5378</v>
      </c>
      <c r="O1109" s="320">
        <v>0.298</v>
      </c>
      <c r="P1109" s="320">
        <v>1.8621</v>
      </c>
      <c r="Q1109" s="320">
        <v>317.01</v>
      </c>
      <c r="R1109" s="320">
        <v>274.71</v>
      </c>
      <c r="S1109" s="320">
        <v>42.31</v>
      </c>
      <c r="T1109" s="320">
        <v>160.36</v>
      </c>
      <c r="U1109" s="320">
        <v>156.66</v>
      </c>
      <c r="V1109" s="320">
        <v>328.07</v>
      </c>
      <c r="W1109" s="320">
        <v>7.0224</v>
      </c>
      <c r="X1109" s="320">
        <v>50.58</v>
      </c>
      <c r="Y1109" s="320">
        <v>84.0</v>
      </c>
      <c r="Z1109" s="320">
        <v>214.0</v>
      </c>
      <c r="AA1109" s="320">
        <v>677.0</v>
      </c>
      <c r="AB1109" s="320">
        <v>54.5589</v>
      </c>
      <c r="AC1109" s="320">
        <v>0.6625</v>
      </c>
      <c r="AD1109" s="320">
        <v>16.19</v>
      </c>
      <c r="AE1109" s="320">
        <v>5.0</v>
      </c>
      <c r="AF1109" s="320">
        <v>12.0</v>
      </c>
      <c r="AG1109" s="320">
        <v>23.0</v>
      </c>
      <c r="AH1109" s="320">
        <v>35.0</v>
      </c>
      <c r="AI1109" s="320">
        <v>52.18</v>
      </c>
      <c r="AJ1109" s="320">
        <v>20.58</v>
      </c>
      <c r="AK1109" s="320">
        <v>6.3</v>
      </c>
      <c r="AL1109" s="320">
        <v>0.203</v>
      </c>
      <c r="AM1109" s="320">
        <v>20.8</v>
      </c>
      <c r="AN1109" s="320">
        <v>253.91</v>
      </c>
      <c r="AO1109" s="320">
        <v>75.55</v>
      </c>
      <c r="AP1109" s="320">
        <v>15.71</v>
      </c>
    </row>
    <row r="1110">
      <c r="A1110" s="319" t="s">
        <v>258</v>
      </c>
      <c r="B1110" s="328">
        <v>46114.0</v>
      </c>
      <c r="C1110" s="319" t="s">
        <v>217</v>
      </c>
      <c r="D1110" s="320">
        <v>3041.0</v>
      </c>
      <c r="E1110" s="320">
        <v>4.11</v>
      </c>
      <c r="F1110" s="320">
        <v>17620.37</v>
      </c>
      <c r="G1110" s="320">
        <v>5.7943</v>
      </c>
      <c r="H1110" s="320">
        <v>44.0</v>
      </c>
      <c r="I1110" s="320">
        <v>13.1692</v>
      </c>
      <c r="J1110" s="320">
        <v>125.44</v>
      </c>
      <c r="K1110" s="320">
        <v>78.78</v>
      </c>
      <c r="L1110" s="320">
        <v>51.49</v>
      </c>
      <c r="M1110" s="320">
        <v>0.6537</v>
      </c>
      <c r="N1110" s="320">
        <v>0.4336</v>
      </c>
      <c r="O1110" s="320">
        <v>0.2442</v>
      </c>
      <c r="P1110" s="320">
        <v>1.5299</v>
      </c>
      <c r="Q1110" s="320">
        <v>670.44</v>
      </c>
      <c r="R1110" s="320">
        <v>581.75</v>
      </c>
      <c r="S1110" s="320">
        <v>88.69</v>
      </c>
      <c r="T1110" s="320">
        <v>370.44</v>
      </c>
      <c r="U1110" s="320">
        <v>300.0</v>
      </c>
      <c r="V1110" s="320">
        <v>681.14</v>
      </c>
      <c r="W1110" s="320">
        <v>8.6464</v>
      </c>
      <c r="X1110" s="320">
        <v>55.25</v>
      </c>
      <c r="Y1110" s="320">
        <v>92.0</v>
      </c>
      <c r="Z1110" s="320">
        <v>307.0</v>
      </c>
      <c r="AA1110" s="320">
        <v>1003.0</v>
      </c>
      <c r="AB1110" s="320">
        <v>57.5653</v>
      </c>
      <c r="AC1110" s="320">
        <v>0.7508</v>
      </c>
      <c r="AD1110" s="320">
        <v>33.48</v>
      </c>
      <c r="AE1110" s="320">
        <v>11.0</v>
      </c>
      <c r="AF1110" s="320">
        <v>24.0</v>
      </c>
      <c r="AG1110" s="320">
        <v>47.0</v>
      </c>
      <c r="AH1110" s="320">
        <v>75.0</v>
      </c>
      <c r="AI1110" s="320">
        <v>44.95</v>
      </c>
      <c r="AJ1110" s="320">
        <v>16.87</v>
      </c>
      <c r="AK1110" s="320">
        <v>3.98</v>
      </c>
      <c r="AL1110" s="320">
        <v>0.1631</v>
      </c>
      <c r="AM1110" s="320">
        <v>20.85</v>
      </c>
      <c r="AN1110" s="320">
        <v>560.9</v>
      </c>
      <c r="AO1110" s="320">
        <v>79.25</v>
      </c>
      <c r="AP1110" s="320">
        <v>16.52</v>
      </c>
    </row>
    <row r="1111">
      <c r="A1111" s="319" t="s">
        <v>258</v>
      </c>
      <c r="B1111" s="328">
        <v>46114.0</v>
      </c>
      <c r="C1111" s="319" t="s">
        <v>218</v>
      </c>
      <c r="D1111" s="320">
        <v>338.0</v>
      </c>
      <c r="E1111" s="320">
        <v>0.46</v>
      </c>
      <c r="F1111" s="320">
        <v>2836.4</v>
      </c>
      <c r="G1111" s="320">
        <v>8.3917</v>
      </c>
      <c r="H1111" s="320">
        <v>48.52</v>
      </c>
      <c r="I1111" s="320">
        <v>17.2951</v>
      </c>
      <c r="J1111" s="320">
        <v>218.8</v>
      </c>
      <c r="K1111" s="320">
        <v>142.01</v>
      </c>
      <c r="L1111" s="320">
        <v>109.06</v>
      </c>
      <c r="M1111" s="320">
        <v>0.768</v>
      </c>
      <c r="N1111" s="320">
        <v>0.3264</v>
      </c>
      <c r="O1111" s="320">
        <v>0.1954</v>
      </c>
      <c r="P1111" s="320">
        <v>1.3021</v>
      </c>
      <c r="Q1111" s="320">
        <v>1048.8</v>
      </c>
      <c r="R1111" s="320">
        <v>864.02</v>
      </c>
      <c r="S1111" s="320">
        <v>184.78</v>
      </c>
      <c r="T1111" s="320">
        <v>527.25</v>
      </c>
      <c r="U1111" s="320">
        <v>521.55</v>
      </c>
      <c r="V1111" s="320">
        <v>1182.54</v>
      </c>
      <c r="W1111" s="320">
        <v>8.3274</v>
      </c>
      <c r="X1111" s="320">
        <v>50.27</v>
      </c>
      <c r="Y1111" s="320">
        <v>113.0</v>
      </c>
      <c r="Z1111" s="320">
        <v>635.0</v>
      </c>
      <c r="AA1111" s="320">
        <v>2740.0</v>
      </c>
      <c r="AB1111" s="320">
        <v>61.7782</v>
      </c>
      <c r="AC1111" s="320">
        <v>0.8285</v>
      </c>
      <c r="AD1111" s="320">
        <v>71.56</v>
      </c>
      <c r="AE1111" s="320">
        <v>22.0</v>
      </c>
      <c r="AF1111" s="320">
        <v>53.0</v>
      </c>
      <c r="AG1111" s="320">
        <v>103.0</v>
      </c>
      <c r="AH1111" s="320">
        <v>163.0</v>
      </c>
      <c r="AI1111" s="320">
        <v>31.95</v>
      </c>
      <c r="AJ1111" s="320">
        <v>9.17</v>
      </c>
      <c r="AK1111" s="320">
        <v>0.59</v>
      </c>
      <c r="AL1111" s="320">
        <v>0.0888</v>
      </c>
      <c r="AM1111" s="320">
        <v>22.51</v>
      </c>
      <c r="AN1111" s="320">
        <v>841.51</v>
      </c>
      <c r="AO1111" s="320">
        <v>82.88</v>
      </c>
      <c r="AP1111" s="320">
        <v>18.66</v>
      </c>
    </row>
    <row r="1112">
      <c r="A1112" s="319" t="s">
        <v>258</v>
      </c>
      <c r="B1112" s="328">
        <v>46115.0</v>
      </c>
      <c r="C1112" s="319" t="s">
        <v>257</v>
      </c>
      <c r="D1112" s="320">
        <v>14065.0</v>
      </c>
      <c r="E1112" s="320">
        <v>19.23</v>
      </c>
      <c r="F1112" s="320">
        <v>321.47</v>
      </c>
      <c r="G1112" s="320">
        <v>0.0229</v>
      </c>
      <c r="H1112" s="320">
        <v>0.48</v>
      </c>
      <c r="I1112" s="320">
        <v>4.7981</v>
      </c>
      <c r="J1112" s="320">
        <v>5.66</v>
      </c>
      <c r="K1112" s="320">
        <v>2.41</v>
      </c>
      <c r="L1112" s="320">
        <v>0.04</v>
      </c>
      <c r="M1112" s="320">
        <v>0.0177</v>
      </c>
      <c r="N1112" s="320">
        <v>0.9837</v>
      </c>
      <c r="O1112" s="320">
        <v>0.8214</v>
      </c>
      <c r="P1112" s="320">
        <v>56.5819</v>
      </c>
      <c r="Q1112" s="320">
        <v>32.39</v>
      </c>
      <c r="R1112" s="320">
        <v>32.34</v>
      </c>
      <c r="S1112" s="320">
        <v>0.05</v>
      </c>
      <c r="T1112" s="320">
        <v>1.48</v>
      </c>
      <c r="U1112" s="320">
        <v>30.92</v>
      </c>
      <c r="V1112" s="320">
        <v>1.97</v>
      </c>
      <c r="W1112" s="320">
        <v>0.8187</v>
      </c>
      <c r="X1112" s="320">
        <v>4.56</v>
      </c>
      <c r="Y1112" s="320">
        <v>193.0</v>
      </c>
      <c r="Z1112" s="320">
        <v>1471.0</v>
      </c>
      <c r="AA1112" s="320">
        <v>8267.0</v>
      </c>
      <c r="AB1112" s="320">
        <v>49.7417</v>
      </c>
      <c r="AC1112" s="320">
        <v>0.5233</v>
      </c>
      <c r="AD1112" s="329"/>
      <c r="AE1112" s="329"/>
      <c r="AF1112" s="329"/>
      <c r="AG1112" s="329"/>
      <c r="AH1112" s="329"/>
      <c r="AI1112" s="320">
        <v>0.0</v>
      </c>
      <c r="AJ1112" s="320">
        <v>0.0</v>
      </c>
      <c r="AK1112" s="320">
        <v>0.0</v>
      </c>
      <c r="AL1112" s="320">
        <v>0.2963</v>
      </c>
      <c r="AM1112" s="320">
        <v>17.14</v>
      </c>
      <c r="AN1112" s="320">
        <v>15.2</v>
      </c>
      <c r="AO1112" s="329"/>
      <c r="AP1112" s="329"/>
    </row>
    <row r="1113">
      <c r="A1113" s="319" t="s">
        <v>258</v>
      </c>
      <c r="B1113" s="328">
        <v>46115.0</v>
      </c>
      <c r="C1113" s="319" t="s">
        <v>214</v>
      </c>
      <c r="D1113" s="320">
        <v>31478.0</v>
      </c>
      <c r="E1113" s="320">
        <v>43.04</v>
      </c>
      <c r="F1113" s="320">
        <v>8855.36</v>
      </c>
      <c r="G1113" s="320">
        <v>0.2813</v>
      </c>
      <c r="H1113" s="320">
        <v>7.74</v>
      </c>
      <c r="I1113" s="320">
        <v>3.6367</v>
      </c>
      <c r="J1113" s="320">
        <v>34.02</v>
      </c>
      <c r="K1113" s="320">
        <v>18.25</v>
      </c>
      <c r="L1113" s="320">
        <v>5.88</v>
      </c>
      <c r="M1113" s="320">
        <v>0.3219</v>
      </c>
      <c r="N1113" s="320">
        <v>0.7485</v>
      </c>
      <c r="O1113" s="320">
        <v>0.4963</v>
      </c>
      <c r="P1113" s="320">
        <v>3.1064</v>
      </c>
      <c r="Q1113" s="320">
        <v>89.85</v>
      </c>
      <c r="R1113" s="320">
        <v>80.18</v>
      </c>
      <c r="S1113" s="320">
        <v>9.67</v>
      </c>
      <c r="T1113" s="320">
        <v>18.43</v>
      </c>
      <c r="U1113" s="320">
        <v>71.42</v>
      </c>
      <c r="V1113" s="320">
        <v>85.05</v>
      </c>
      <c r="W1113" s="320">
        <v>4.6603</v>
      </c>
      <c r="X1113" s="320">
        <v>20.51</v>
      </c>
      <c r="Y1113" s="320">
        <v>90.0</v>
      </c>
      <c r="Z1113" s="320">
        <v>223.0</v>
      </c>
      <c r="AA1113" s="320">
        <v>871.0</v>
      </c>
      <c r="AB1113" s="320">
        <v>49.4248</v>
      </c>
      <c r="AC1113" s="320">
        <v>0.447</v>
      </c>
      <c r="AD1113" s="320">
        <v>3.86</v>
      </c>
      <c r="AE1113" s="320">
        <v>1.0</v>
      </c>
      <c r="AF1113" s="320">
        <v>2.0</v>
      </c>
      <c r="AG1113" s="320">
        <v>5.0</v>
      </c>
      <c r="AH1113" s="320">
        <v>9.0</v>
      </c>
      <c r="AI1113" s="320">
        <v>70.8</v>
      </c>
      <c r="AJ1113" s="320">
        <v>28.99</v>
      </c>
      <c r="AK1113" s="320">
        <v>7.97</v>
      </c>
      <c r="AL1113" s="320">
        <v>0.2308</v>
      </c>
      <c r="AM1113" s="320">
        <v>21.11</v>
      </c>
      <c r="AN1113" s="320">
        <v>59.07</v>
      </c>
      <c r="AO1113" s="320">
        <v>68.24</v>
      </c>
      <c r="AP1113" s="320">
        <v>14.41</v>
      </c>
    </row>
    <row r="1114">
      <c r="A1114" s="319" t="s">
        <v>258</v>
      </c>
      <c r="B1114" s="328">
        <v>46115.0</v>
      </c>
      <c r="C1114" s="319" t="s">
        <v>215</v>
      </c>
      <c r="D1114" s="320">
        <v>15957.0</v>
      </c>
      <c r="E1114" s="320">
        <v>21.82</v>
      </c>
      <c r="F1114" s="320">
        <v>17952.87</v>
      </c>
      <c r="G1114" s="320">
        <v>1.1251</v>
      </c>
      <c r="H1114" s="320">
        <v>22.68</v>
      </c>
      <c r="I1114" s="320">
        <v>4.9607</v>
      </c>
      <c r="J1114" s="320">
        <v>61.98</v>
      </c>
      <c r="K1114" s="320">
        <v>35.67</v>
      </c>
      <c r="L1114" s="320">
        <v>14.59</v>
      </c>
      <c r="M1114" s="320">
        <v>0.4091</v>
      </c>
      <c r="N1114" s="320">
        <v>0.6538</v>
      </c>
      <c r="O1114" s="320">
        <v>0.3736</v>
      </c>
      <c r="P1114" s="320">
        <v>2.4446</v>
      </c>
      <c r="Q1114" s="320">
        <v>186.69</v>
      </c>
      <c r="R1114" s="320">
        <v>162.52</v>
      </c>
      <c r="S1114" s="320">
        <v>24.16</v>
      </c>
      <c r="T1114" s="320">
        <v>72.66</v>
      </c>
      <c r="U1114" s="320">
        <v>114.03</v>
      </c>
      <c r="V1114" s="320">
        <v>190.05</v>
      </c>
      <c r="W1114" s="320">
        <v>5.3276</v>
      </c>
      <c r="X1114" s="320">
        <v>38.92</v>
      </c>
      <c r="Y1114" s="320">
        <v>82.0</v>
      </c>
      <c r="Z1114" s="320">
        <v>184.0</v>
      </c>
      <c r="AA1114" s="320">
        <v>603.0</v>
      </c>
      <c r="AB1114" s="320">
        <v>52.3089</v>
      </c>
      <c r="AC1114" s="320">
        <v>0.5462</v>
      </c>
      <c r="AD1114" s="320">
        <v>9.18</v>
      </c>
      <c r="AE1114" s="320">
        <v>3.0</v>
      </c>
      <c r="AF1114" s="320">
        <v>7.0</v>
      </c>
      <c r="AG1114" s="320">
        <v>13.0</v>
      </c>
      <c r="AH1114" s="320">
        <v>20.0</v>
      </c>
      <c r="AI1114" s="320">
        <v>57.58</v>
      </c>
      <c r="AJ1114" s="320">
        <v>25.22</v>
      </c>
      <c r="AK1114" s="320">
        <v>4.85</v>
      </c>
      <c r="AL1114" s="320">
        <v>0.2112</v>
      </c>
      <c r="AM1114" s="320">
        <v>21.66</v>
      </c>
      <c r="AN1114" s="320">
        <v>140.86</v>
      </c>
      <c r="AO1114" s="320">
        <v>73.6</v>
      </c>
      <c r="AP1114" s="320">
        <v>15.94</v>
      </c>
    </row>
    <row r="1115">
      <c r="A1115" s="319" t="s">
        <v>258</v>
      </c>
      <c r="B1115" s="328">
        <v>46115.0</v>
      </c>
      <c r="C1115" s="319" t="s">
        <v>216</v>
      </c>
      <c r="D1115" s="320">
        <v>8149.0</v>
      </c>
      <c r="E1115" s="320">
        <v>11.14</v>
      </c>
      <c r="F1115" s="320">
        <v>21266.83</v>
      </c>
      <c r="G1115" s="320">
        <v>2.6097</v>
      </c>
      <c r="H1115" s="320">
        <v>34.78</v>
      </c>
      <c r="I1115" s="320">
        <v>7.5042</v>
      </c>
      <c r="J1115" s="320">
        <v>88.63</v>
      </c>
      <c r="K1115" s="320">
        <v>52.74</v>
      </c>
      <c r="L1115" s="320">
        <v>27.08</v>
      </c>
      <c r="M1115" s="320">
        <v>0.5134</v>
      </c>
      <c r="N1115" s="320">
        <v>0.5575</v>
      </c>
      <c r="O1115" s="320">
        <v>0.3137</v>
      </c>
      <c r="P1115" s="320">
        <v>1.9478</v>
      </c>
      <c r="Q1115" s="320">
        <v>331.57</v>
      </c>
      <c r="R1115" s="320">
        <v>285.83</v>
      </c>
      <c r="S1115" s="320">
        <v>45.74</v>
      </c>
      <c r="T1115" s="320">
        <v>166.49</v>
      </c>
      <c r="U1115" s="320">
        <v>165.08</v>
      </c>
      <c r="V1115" s="320">
        <v>351.98</v>
      </c>
      <c r="W1115" s="320">
        <v>6.6733</v>
      </c>
      <c r="X1115" s="320">
        <v>50.21</v>
      </c>
      <c r="Y1115" s="320">
        <v>85.0</v>
      </c>
      <c r="Z1115" s="320">
        <v>207.0</v>
      </c>
      <c r="AA1115" s="320">
        <v>651.0</v>
      </c>
      <c r="AB1115" s="320">
        <v>54.3628</v>
      </c>
      <c r="AC1115" s="320">
        <v>0.6546</v>
      </c>
      <c r="AD1115" s="320">
        <v>16.75</v>
      </c>
      <c r="AE1115" s="320">
        <v>6.0</v>
      </c>
      <c r="AF1115" s="320">
        <v>12.0</v>
      </c>
      <c r="AG1115" s="320">
        <v>23.0</v>
      </c>
      <c r="AH1115" s="320">
        <v>36.0</v>
      </c>
      <c r="AI1115" s="320">
        <v>55.07</v>
      </c>
      <c r="AJ1115" s="320">
        <v>21.19</v>
      </c>
      <c r="AK1115" s="320">
        <v>6.48</v>
      </c>
      <c r="AL1115" s="320">
        <v>0.2101</v>
      </c>
      <c r="AM1115" s="320">
        <v>20.81</v>
      </c>
      <c r="AN1115" s="320">
        <v>265.02</v>
      </c>
      <c r="AO1115" s="320">
        <v>75.25</v>
      </c>
      <c r="AP1115" s="320">
        <v>15.66</v>
      </c>
    </row>
    <row r="1116">
      <c r="A1116" s="319" t="s">
        <v>258</v>
      </c>
      <c r="B1116" s="328">
        <v>46115.0</v>
      </c>
      <c r="C1116" s="319" t="s">
        <v>217</v>
      </c>
      <c r="D1116" s="320">
        <v>3139.0</v>
      </c>
      <c r="E1116" s="320">
        <v>4.29</v>
      </c>
      <c r="F1116" s="320">
        <v>21236.36</v>
      </c>
      <c r="G1116" s="320">
        <v>6.7653</v>
      </c>
      <c r="H1116" s="320">
        <v>48.01</v>
      </c>
      <c r="I1116" s="320">
        <v>14.0918</v>
      </c>
      <c r="J1116" s="320">
        <v>139.49</v>
      </c>
      <c r="K1116" s="320">
        <v>86.05</v>
      </c>
      <c r="L1116" s="320">
        <v>55.3</v>
      </c>
      <c r="M1116" s="320">
        <v>0.6426</v>
      </c>
      <c r="N1116" s="320">
        <v>0.4434</v>
      </c>
      <c r="O1116" s="320">
        <v>0.2497</v>
      </c>
      <c r="P1116" s="320">
        <v>1.5561</v>
      </c>
      <c r="Q1116" s="320">
        <v>709.77</v>
      </c>
      <c r="R1116" s="320">
        <v>615.86</v>
      </c>
      <c r="S1116" s="320">
        <v>93.91</v>
      </c>
      <c r="T1116" s="320">
        <v>438.98</v>
      </c>
      <c r="U1116" s="320">
        <v>270.79</v>
      </c>
      <c r="V1116" s="320">
        <v>736.72</v>
      </c>
      <c r="W1116" s="320">
        <v>8.5614</v>
      </c>
      <c r="X1116" s="320">
        <v>61.85</v>
      </c>
      <c r="Y1116" s="320">
        <v>92.0</v>
      </c>
      <c r="Z1116" s="320">
        <v>289.0</v>
      </c>
      <c r="AA1116" s="320">
        <v>935.0</v>
      </c>
      <c r="AB1116" s="320">
        <v>57.1956</v>
      </c>
      <c r="AC1116" s="320">
        <v>0.7465</v>
      </c>
      <c r="AD1116" s="320">
        <v>35.28</v>
      </c>
      <c r="AE1116" s="320">
        <v>12.0</v>
      </c>
      <c r="AF1116" s="320">
        <v>26.0</v>
      </c>
      <c r="AG1116" s="320">
        <v>49.0</v>
      </c>
      <c r="AH1116" s="320">
        <v>79.0</v>
      </c>
      <c r="AI1116" s="320">
        <v>47.31</v>
      </c>
      <c r="AJ1116" s="320">
        <v>18.0</v>
      </c>
      <c r="AK1116" s="320">
        <v>5.19</v>
      </c>
      <c r="AL1116" s="320">
        <v>0.1743</v>
      </c>
      <c r="AM1116" s="320">
        <v>22.01</v>
      </c>
      <c r="AN1116" s="320">
        <v>593.85</v>
      </c>
      <c r="AO1116" s="320">
        <v>77.74</v>
      </c>
      <c r="AP1116" s="320">
        <v>17.11</v>
      </c>
    </row>
    <row r="1117">
      <c r="A1117" s="319" t="s">
        <v>258</v>
      </c>
      <c r="B1117" s="328">
        <v>46115.0</v>
      </c>
      <c r="C1117" s="319" t="s">
        <v>218</v>
      </c>
      <c r="D1117" s="320">
        <v>351.0</v>
      </c>
      <c r="E1117" s="320">
        <v>0.48</v>
      </c>
      <c r="F1117" s="320">
        <v>4753.83</v>
      </c>
      <c r="G1117" s="320">
        <v>13.5437</v>
      </c>
      <c r="H1117" s="320">
        <v>55.27</v>
      </c>
      <c r="I1117" s="320">
        <v>24.5043</v>
      </c>
      <c r="J1117" s="320">
        <v>256.38</v>
      </c>
      <c r="K1117" s="320">
        <v>165.11</v>
      </c>
      <c r="L1117" s="320">
        <v>126.94</v>
      </c>
      <c r="M1117" s="320">
        <v>0.7688</v>
      </c>
      <c r="N1117" s="320">
        <v>0.3259</v>
      </c>
      <c r="O1117" s="320">
        <v>0.1905</v>
      </c>
      <c r="P1117" s="320">
        <v>1.3007</v>
      </c>
      <c r="Q1117" s="320">
        <v>1377.59</v>
      </c>
      <c r="R1117" s="320">
        <v>1162.26</v>
      </c>
      <c r="S1117" s="320">
        <v>215.33</v>
      </c>
      <c r="T1117" s="320">
        <v>875.0</v>
      </c>
      <c r="U1117" s="320">
        <v>502.59</v>
      </c>
      <c r="V1117" s="320">
        <v>1455.84</v>
      </c>
      <c r="W1117" s="320">
        <v>8.8176</v>
      </c>
      <c r="X1117" s="320">
        <v>63.52</v>
      </c>
      <c r="Y1117" s="320">
        <v>119.0</v>
      </c>
      <c r="Z1117" s="320">
        <v>588.0</v>
      </c>
      <c r="AA1117" s="320">
        <v>2542.0</v>
      </c>
      <c r="AB1117" s="320">
        <v>61.1562</v>
      </c>
      <c r="AC1117" s="320">
        <v>0.8219</v>
      </c>
      <c r="AD1117" s="320">
        <v>81.48</v>
      </c>
      <c r="AE1117" s="320">
        <v>26.0</v>
      </c>
      <c r="AF1117" s="320">
        <v>65.0</v>
      </c>
      <c r="AG1117" s="320">
        <v>125.0</v>
      </c>
      <c r="AH1117" s="320">
        <v>178.0</v>
      </c>
      <c r="AI1117" s="320">
        <v>43.59</v>
      </c>
      <c r="AJ1117" s="320">
        <v>10.83</v>
      </c>
      <c r="AK1117" s="320">
        <v>0.85</v>
      </c>
      <c r="AL1117" s="320">
        <v>0.114</v>
      </c>
      <c r="AM1117" s="320">
        <v>23.63</v>
      </c>
      <c r="AN1117" s="320">
        <v>1138.63</v>
      </c>
      <c r="AO1117" s="320">
        <v>79.36</v>
      </c>
      <c r="AP1117" s="320">
        <v>18.75</v>
      </c>
    </row>
    <row r="1118">
      <c r="A1118" s="319" t="s">
        <v>258</v>
      </c>
      <c r="B1118" s="328">
        <v>46116.0</v>
      </c>
      <c r="C1118" s="319" t="s">
        <v>257</v>
      </c>
      <c r="D1118" s="320">
        <v>14967.0</v>
      </c>
      <c r="E1118" s="320">
        <v>20.6</v>
      </c>
      <c r="F1118" s="320">
        <v>54.62</v>
      </c>
      <c r="G1118" s="320">
        <v>0.0036</v>
      </c>
      <c r="H1118" s="320">
        <v>0.19</v>
      </c>
      <c r="I1118" s="320">
        <v>1.9507</v>
      </c>
      <c r="J1118" s="320">
        <v>5.99</v>
      </c>
      <c r="K1118" s="320">
        <v>2.67</v>
      </c>
      <c r="L1118" s="320">
        <v>0.03</v>
      </c>
      <c r="M1118" s="320">
        <v>0.0114</v>
      </c>
      <c r="N1118" s="320">
        <v>0.9895</v>
      </c>
      <c r="O1118" s="320">
        <v>0.8665</v>
      </c>
      <c r="P1118" s="320">
        <v>87.7802</v>
      </c>
      <c r="Q1118" s="320">
        <v>27.71</v>
      </c>
      <c r="R1118" s="320">
        <v>27.65</v>
      </c>
      <c r="S1118" s="320">
        <v>0.06</v>
      </c>
      <c r="T1118" s="320">
        <v>0.44</v>
      </c>
      <c r="U1118" s="320">
        <v>27.26</v>
      </c>
      <c r="V1118" s="320">
        <v>2.28</v>
      </c>
      <c r="W1118" s="320">
        <v>0.8538</v>
      </c>
      <c r="X1118" s="320">
        <v>1.59</v>
      </c>
      <c r="Y1118" s="320">
        <v>156.0</v>
      </c>
      <c r="Z1118" s="320">
        <v>1091.0</v>
      </c>
      <c r="AA1118" s="320">
        <v>7519.0</v>
      </c>
      <c r="AB1118" s="320">
        <v>49.7001</v>
      </c>
      <c r="AC1118" s="320">
        <v>0.5136</v>
      </c>
      <c r="AD1118" s="329"/>
      <c r="AE1118" s="329"/>
      <c r="AF1118" s="329"/>
      <c r="AG1118" s="329"/>
      <c r="AH1118" s="329"/>
      <c r="AI1118" s="320">
        <v>0.0</v>
      </c>
      <c r="AJ1118" s="320">
        <v>0.0</v>
      </c>
      <c r="AK1118" s="320">
        <v>0.0</v>
      </c>
      <c r="AL1118" s="320">
        <v>0.2832</v>
      </c>
      <c r="AM1118" s="320">
        <v>17.92</v>
      </c>
      <c r="AN1118" s="320">
        <v>9.72</v>
      </c>
      <c r="AO1118" s="329"/>
      <c r="AP1118" s="329"/>
    </row>
    <row r="1119">
      <c r="A1119" s="319" t="s">
        <v>258</v>
      </c>
      <c r="B1119" s="328">
        <v>46116.0</v>
      </c>
      <c r="C1119" s="319" t="s">
        <v>214</v>
      </c>
      <c r="D1119" s="320">
        <v>30640.0</v>
      </c>
      <c r="E1119" s="320">
        <v>42.18</v>
      </c>
      <c r="F1119" s="320">
        <v>7467.88</v>
      </c>
      <c r="G1119" s="320">
        <v>0.2437</v>
      </c>
      <c r="H1119" s="320">
        <v>7.16</v>
      </c>
      <c r="I1119" s="320">
        <v>3.4038</v>
      </c>
      <c r="J1119" s="320">
        <v>31.05</v>
      </c>
      <c r="K1119" s="320">
        <v>16.7</v>
      </c>
      <c r="L1119" s="320">
        <v>5.42</v>
      </c>
      <c r="M1119" s="320">
        <v>0.3248</v>
      </c>
      <c r="N1119" s="320">
        <v>0.7477</v>
      </c>
      <c r="O1119" s="320">
        <v>0.5029</v>
      </c>
      <c r="P1119" s="320">
        <v>3.0785</v>
      </c>
      <c r="Q1119" s="320">
        <v>71.53</v>
      </c>
      <c r="R1119" s="320">
        <v>62.69</v>
      </c>
      <c r="S1119" s="320">
        <v>8.84</v>
      </c>
      <c r="T1119" s="320">
        <v>15.86</v>
      </c>
      <c r="U1119" s="320">
        <v>55.66</v>
      </c>
      <c r="V1119" s="320">
        <v>77.38</v>
      </c>
      <c r="W1119" s="320">
        <v>4.6347</v>
      </c>
      <c r="X1119" s="320">
        <v>22.18</v>
      </c>
      <c r="Y1119" s="320">
        <v>87.0</v>
      </c>
      <c r="Z1119" s="320">
        <v>220.0</v>
      </c>
      <c r="AA1119" s="320">
        <v>897.0</v>
      </c>
      <c r="AB1119" s="320">
        <v>49.583</v>
      </c>
      <c r="AC1119" s="320">
        <v>0.4528</v>
      </c>
      <c r="AD1119" s="320">
        <v>3.64</v>
      </c>
      <c r="AE1119" s="320">
        <v>1.0</v>
      </c>
      <c r="AF1119" s="320">
        <v>2.0</v>
      </c>
      <c r="AG1119" s="320">
        <v>5.0</v>
      </c>
      <c r="AH1119" s="320">
        <v>8.0</v>
      </c>
      <c r="AI1119" s="320">
        <v>67.0</v>
      </c>
      <c r="AJ1119" s="320">
        <v>26.09</v>
      </c>
      <c r="AK1119" s="320">
        <v>7.51</v>
      </c>
      <c r="AL1119" s="320">
        <v>0.229</v>
      </c>
      <c r="AM1119" s="320">
        <v>22.5</v>
      </c>
      <c r="AN1119" s="320">
        <v>40.19</v>
      </c>
      <c r="AO1119" s="320">
        <v>67.96</v>
      </c>
      <c r="AP1119" s="320">
        <v>15.29</v>
      </c>
    </row>
    <row r="1120">
      <c r="A1120" s="319" t="s">
        <v>258</v>
      </c>
      <c r="B1120" s="328">
        <v>46116.0</v>
      </c>
      <c r="C1120" s="319" t="s">
        <v>215</v>
      </c>
      <c r="D1120" s="320">
        <v>15596.0</v>
      </c>
      <c r="E1120" s="320">
        <v>21.47</v>
      </c>
      <c r="F1120" s="320">
        <v>15784.54</v>
      </c>
      <c r="G1120" s="320">
        <v>1.0121</v>
      </c>
      <c r="H1120" s="320">
        <v>21.26</v>
      </c>
      <c r="I1120" s="320">
        <v>4.7616</v>
      </c>
      <c r="J1120" s="320">
        <v>56.76</v>
      </c>
      <c r="K1120" s="320">
        <v>32.31</v>
      </c>
      <c r="L1120" s="320">
        <v>13.3</v>
      </c>
      <c r="M1120" s="320">
        <v>0.4117</v>
      </c>
      <c r="N1120" s="320">
        <v>0.6526</v>
      </c>
      <c r="O1120" s="320">
        <v>0.3773</v>
      </c>
      <c r="P1120" s="320">
        <v>2.4289</v>
      </c>
      <c r="Q1120" s="320">
        <v>162.43</v>
      </c>
      <c r="R1120" s="320">
        <v>140.41</v>
      </c>
      <c r="S1120" s="320">
        <v>22.02</v>
      </c>
      <c r="T1120" s="320">
        <v>66.23</v>
      </c>
      <c r="U1120" s="320">
        <v>96.2</v>
      </c>
      <c r="V1120" s="320">
        <v>173.7</v>
      </c>
      <c r="W1120" s="320">
        <v>5.3765</v>
      </c>
      <c r="X1120" s="320">
        <v>40.77</v>
      </c>
      <c r="Y1120" s="320">
        <v>83.0</v>
      </c>
      <c r="Z1120" s="320">
        <v>183.0</v>
      </c>
      <c r="AA1120" s="320">
        <v>616.0</v>
      </c>
      <c r="AB1120" s="320">
        <v>52.381</v>
      </c>
      <c r="AC1120" s="320">
        <v>0.5534</v>
      </c>
      <c r="AD1120" s="320">
        <v>8.61</v>
      </c>
      <c r="AE1120" s="320">
        <v>3.0</v>
      </c>
      <c r="AF1120" s="320">
        <v>6.0</v>
      </c>
      <c r="AG1120" s="320">
        <v>12.0</v>
      </c>
      <c r="AH1120" s="320">
        <v>19.0</v>
      </c>
      <c r="AI1120" s="320">
        <v>53.82</v>
      </c>
      <c r="AJ1120" s="320">
        <v>23.13</v>
      </c>
      <c r="AK1120" s="320">
        <v>4.17</v>
      </c>
      <c r="AL1120" s="320">
        <v>0.2143</v>
      </c>
      <c r="AM1120" s="320">
        <v>22.6</v>
      </c>
      <c r="AN1120" s="320">
        <v>117.8</v>
      </c>
      <c r="AO1120" s="320">
        <v>72.9</v>
      </c>
      <c r="AP1120" s="320">
        <v>16.48</v>
      </c>
    </row>
    <row r="1121">
      <c r="A1121" s="319" t="s">
        <v>258</v>
      </c>
      <c r="B1121" s="328">
        <v>46116.0</v>
      </c>
      <c r="C1121" s="319" t="s">
        <v>216</v>
      </c>
      <c r="D1121" s="320">
        <v>7937.0</v>
      </c>
      <c r="E1121" s="320">
        <v>10.93</v>
      </c>
      <c r="F1121" s="320">
        <v>20858.86</v>
      </c>
      <c r="G1121" s="320">
        <v>2.6281</v>
      </c>
      <c r="H1121" s="320">
        <v>35.16</v>
      </c>
      <c r="I1121" s="320">
        <v>7.4736</v>
      </c>
      <c r="J1121" s="320">
        <v>84.65</v>
      </c>
      <c r="K1121" s="320">
        <v>50.67</v>
      </c>
      <c r="L1121" s="320">
        <v>26.61</v>
      </c>
      <c r="M1121" s="320">
        <v>0.5252</v>
      </c>
      <c r="N1121" s="320">
        <v>0.5471</v>
      </c>
      <c r="O1121" s="320">
        <v>0.3044</v>
      </c>
      <c r="P1121" s="320">
        <v>1.9041</v>
      </c>
      <c r="Q1121" s="320">
        <v>330.78</v>
      </c>
      <c r="R1121" s="320">
        <v>285.98</v>
      </c>
      <c r="S1121" s="320">
        <v>44.8</v>
      </c>
      <c r="T1121" s="320">
        <v>168.51</v>
      </c>
      <c r="U1121" s="320">
        <v>162.27</v>
      </c>
      <c r="V1121" s="320">
        <v>345.57</v>
      </c>
      <c r="W1121" s="320">
        <v>6.8198</v>
      </c>
      <c r="X1121" s="320">
        <v>50.94</v>
      </c>
      <c r="Y1121" s="320">
        <v>84.0</v>
      </c>
      <c r="Z1121" s="320">
        <v>206.0</v>
      </c>
      <c r="AA1121" s="320">
        <v>647.0</v>
      </c>
      <c r="AB1121" s="320">
        <v>54.4192</v>
      </c>
      <c r="AC1121" s="320">
        <v>0.6534</v>
      </c>
      <c r="AD1121" s="320">
        <v>16.93</v>
      </c>
      <c r="AE1121" s="320">
        <v>6.0</v>
      </c>
      <c r="AF1121" s="320">
        <v>12.0</v>
      </c>
      <c r="AG1121" s="320">
        <v>23.0</v>
      </c>
      <c r="AH1121" s="320">
        <v>37.0</v>
      </c>
      <c r="AI1121" s="320">
        <v>55.0</v>
      </c>
      <c r="AJ1121" s="320">
        <v>21.83</v>
      </c>
      <c r="AK1121" s="320">
        <v>7.16</v>
      </c>
      <c r="AL1121" s="320">
        <v>0.195</v>
      </c>
      <c r="AM1121" s="320">
        <v>22.76</v>
      </c>
      <c r="AN1121" s="320">
        <v>263.22</v>
      </c>
      <c r="AO1121" s="320">
        <v>75.2</v>
      </c>
      <c r="AP1121" s="320">
        <v>17.12</v>
      </c>
    </row>
    <row r="1122">
      <c r="A1122" s="319" t="s">
        <v>258</v>
      </c>
      <c r="B1122" s="328">
        <v>46116.0</v>
      </c>
      <c r="C1122" s="319" t="s">
        <v>217</v>
      </c>
      <c r="D1122" s="320">
        <v>3158.0</v>
      </c>
      <c r="E1122" s="320">
        <v>4.35</v>
      </c>
      <c r="F1122" s="320">
        <v>19221.64</v>
      </c>
      <c r="G1122" s="320">
        <v>6.0866</v>
      </c>
      <c r="H1122" s="320">
        <v>45.63</v>
      </c>
      <c r="I1122" s="320">
        <v>13.3391</v>
      </c>
      <c r="J1122" s="320">
        <v>135.26</v>
      </c>
      <c r="K1122" s="320">
        <v>84.01</v>
      </c>
      <c r="L1122" s="320">
        <v>54.32</v>
      </c>
      <c r="M1122" s="320">
        <v>0.6466</v>
      </c>
      <c r="N1122" s="320">
        <v>0.4407</v>
      </c>
      <c r="O1122" s="320">
        <v>0.2496</v>
      </c>
      <c r="P1122" s="320">
        <v>1.5466</v>
      </c>
      <c r="Q1122" s="320">
        <v>703.12</v>
      </c>
      <c r="R1122" s="320">
        <v>611.47</v>
      </c>
      <c r="S1122" s="320">
        <v>91.64</v>
      </c>
      <c r="T1122" s="320">
        <v>401.72</v>
      </c>
      <c r="U1122" s="320">
        <v>301.4</v>
      </c>
      <c r="V1122" s="320">
        <v>732.17</v>
      </c>
      <c r="W1122" s="320">
        <v>8.7153</v>
      </c>
      <c r="X1122" s="320">
        <v>57.13</v>
      </c>
      <c r="Y1122" s="320">
        <v>93.0</v>
      </c>
      <c r="Z1122" s="320">
        <v>291.0</v>
      </c>
      <c r="AA1122" s="320">
        <v>934.0</v>
      </c>
      <c r="AB1122" s="320">
        <v>57.1891</v>
      </c>
      <c r="AC1122" s="320">
        <v>0.7476</v>
      </c>
      <c r="AD1122" s="320">
        <v>34.69</v>
      </c>
      <c r="AE1122" s="320">
        <v>11.0</v>
      </c>
      <c r="AF1122" s="320">
        <v>24.0</v>
      </c>
      <c r="AG1122" s="320">
        <v>49.0</v>
      </c>
      <c r="AH1122" s="320">
        <v>77.0</v>
      </c>
      <c r="AI1122" s="320">
        <v>45.38</v>
      </c>
      <c r="AJ1122" s="320">
        <v>17.57</v>
      </c>
      <c r="AK1122" s="320">
        <v>5.13</v>
      </c>
      <c r="AL1122" s="320">
        <v>0.1609</v>
      </c>
      <c r="AM1122" s="320">
        <v>23.02</v>
      </c>
      <c r="AN1122" s="320">
        <v>588.45</v>
      </c>
      <c r="AO1122" s="320">
        <v>77.42</v>
      </c>
      <c r="AP1122" s="320">
        <v>17.82</v>
      </c>
    </row>
    <row r="1123">
      <c r="A1123" s="319" t="s">
        <v>258</v>
      </c>
      <c r="B1123" s="328">
        <v>46116.0</v>
      </c>
      <c r="C1123" s="319" t="s">
        <v>218</v>
      </c>
      <c r="D1123" s="320">
        <v>348.0</v>
      </c>
      <c r="E1123" s="320">
        <v>0.48</v>
      </c>
      <c r="F1123" s="320">
        <v>3948.45</v>
      </c>
      <c r="G1123" s="320">
        <v>11.3461</v>
      </c>
      <c r="H1123" s="320">
        <v>50.57</v>
      </c>
      <c r="I1123" s="320">
        <v>22.4344</v>
      </c>
      <c r="J1123" s="320">
        <v>241.13</v>
      </c>
      <c r="K1123" s="320">
        <v>154.53</v>
      </c>
      <c r="L1123" s="320">
        <v>121.92</v>
      </c>
      <c r="M1123" s="320">
        <v>0.789</v>
      </c>
      <c r="N1123" s="320">
        <v>0.3067</v>
      </c>
      <c r="O1123" s="320">
        <v>0.1841</v>
      </c>
      <c r="P1123" s="320">
        <v>1.2675</v>
      </c>
      <c r="Q1123" s="320">
        <v>1266.59</v>
      </c>
      <c r="R1123" s="320">
        <v>1058.86</v>
      </c>
      <c r="S1123" s="320">
        <v>207.73</v>
      </c>
      <c r="T1123" s="320">
        <v>706.74</v>
      </c>
      <c r="U1123" s="320">
        <v>559.86</v>
      </c>
      <c r="V1123" s="320">
        <v>1382.04</v>
      </c>
      <c r="W1123" s="320">
        <v>8.9437</v>
      </c>
      <c r="X1123" s="320">
        <v>55.8</v>
      </c>
      <c r="Y1123" s="320">
        <v>141.0</v>
      </c>
      <c r="Z1123" s="320">
        <v>565.0</v>
      </c>
      <c r="AA1123" s="320">
        <v>2551.0</v>
      </c>
      <c r="AB1123" s="320">
        <v>61.2214</v>
      </c>
      <c r="AC1123" s="320">
        <v>0.8254</v>
      </c>
      <c r="AD1123" s="320">
        <v>80.1</v>
      </c>
      <c r="AE1123" s="320">
        <v>28.0</v>
      </c>
      <c r="AF1123" s="320">
        <v>61.0</v>
      </c>
      <c r="AG1123" s="320">
        <v>112.0</v>
      </c>
      <c r="AH1123" s="320">
        <v>177.0</v>
      </c>
      <c r="AI1123" s="320">
        <v>38.51</v>
      </c>
      <c r="AJ1123" s="320">
        <v>10.63</v>
      </c>
      <c r="AK1123" s="320">
        <v>1.15</v>
      </c>
      <c r="AL1123" s="320">
        <v>0.1264</v>
      </c>
      <c r="AM1123" s="320">
        <v>22.53</v>
      </c>
      <c r="AN1123" s="320">
        <v>1036.34</v>
      </c>
      <c r="AO1123" s="320">
        <v>77.01</v>
      </c>
      <c r="AP1123" s="320">
        <v>17.35</v>
      </c>
    </row>
    <row r="1124">
      <c r="A1124" s="319" t="s">
        <v>258</v>
      </c>
      <c r="B1124" s="328">
        <v>46117.0</v>
      </c>
      <c r="C1124" s="319" t="s">
        <v>257</v>
      </c>
      <c r="D1124" s="320">
        <v>15615.0</v>
      </c>
      <c r="E1124" s="320">
        <v>21.33</v>
      </c>
      <c r="F1124" s="320">
        <v>104.83</v>
      </c>
      <c r="G1124" s="320">
        <v>0.0067</v>
      </c>
      <c r="H1124" s="320">
        <v>0.2</v>
      </c>
      <c r="I1124" s="320">
        <v>3.2759</v>
      </c>
      <c r="J1124" s="320">
        <v>6.28</v>
      </c>
      <c r="K1124" s="320">
        <v>2.92</v>
      </c>
      <c r="L1124" s="320">
        <v>0.05</v>
      </c>
      <c r="M1124" s="320">
        <v>0.0187</v>
      </c>
      <c r="N1124" s="320">
        <v>0.9821</v>
      </c>
      <c r="O1124" s="320">
        <v>0.7773</v>
      </c>
      <c r="P1124" s="320">
        <v>53.4385</v>
      </c>
      <c r="Q1124" s="320">
        <v>23.8</v>
      </c>
      <c r="R1124" s="320">
        <v>23.75</v>
      </c>
      <c r="S1124" s="320">
        <v>0.05</v>
      </c>
      <c r="T1124" s="320">
        <v>0.54</v>
      </c>
      <c r="U1124" s="320">
        <v>23.26</v>
      </c>
      <c r="V1124" s="320">
        <v>2.02</v>
      </c>
      <c r="W1124" s="320">
        <v>0.691</v>
      </c>
      <c r="X1124" s="320">
        <v>2.25</v>
      </c>
      <c r="Y1124" s="320">
        <v>143.0</v>
      </c>
      <c r="Z1124" s="320">
        <v>1143.0</v>
      </c>
      <c r="AA1124" s="320">
        <v>7347.0</v>
      </c>
      <c r="AB1124" s="320">
        <v>49.8472</v>
      </c>
      <c r="AC1124" s="320">
        <v>0.5201</v>
      </c>
      <c r="AD1124" s="329"/>
      <c r="AE1124" s="329"/>
      <c r="AF1124" s="329"/>
      <c r="AG1124" s="329"/>
      <c r="AH1124" s="329"/>
      <c r="AI1124" s="320">
        <v>0.0</v>
      </c>
      <c r="AJ1124" s="320">
        <v>0.0</v>
      </c>
      <c r="AK1124" s="320">
        <v>0.0</v>
      </c>
      <c r="AL1124" s="320">
        <v>0.2733</v>
      </c>
      <c r="AM1124" s="320">
        <v>17.29</v>
      </c>
      <c r="AN1124" s="320">
        <v>6.46</v>
      </c>
      <c r="AO1124" s="329"/>
      <c r="AP1124" s="329"/>
    </row>
    <row r="1125">
      <c r="A1125" s="319" t="s">
        <v>258</v>
      </c>
      <c r="B1125" s="328">
        <v>46117.0</v>
      </c>
      <c r="C1125" s="319" t="s">
        <v>214</v>
      </c>
      <c r="D1125" s="320">
        <v>30669.0</v>
      </c>
      <c r="E1125" s="320">
        <v>41.89</v>
      </c>
      <c r="F1125" s="320">
        <v>7169.57</v>
      </c>
      <c r="G1125" s="320">
        <v>0.2338</v>
      </c>
      <c r="H1125" s="320">
        <v>7.05</v>
      </c>
      <c r="I1125" s="320">
        <v>3.3162</v>
      </c>
      <c r="J1125" s="320">
        <v>34.19</v>
      </c>
      <c r="K1125" s="320">
        <v>18.65</v>
      </c>
      <c r="L1125" s="320">
        <v>5.41</v>
      </c>
      <c r="M1125" s="320">
        <v>0.2899</v>
      </c>
      <c r="N1125" s="320">
        <v>0.773</v>
      </c>
      <c r="O1125" s="320">
        <v>0.5238</v>
      </c>
      <c r="P1125" s="320">
        <v>3.4496</v>
      </c>
      <c r="Q1125" s="320">
        <v>63.11</v>
      </c>
      <c r="R1125" s="320">
        <v>54.2</v>
      </c>
      <c r="S1125" s="320">
        <v>8.91</v>
      </c>
      <c r="T1125" s="320">
        <v>15.5</v>
      </c>
      <c r="U1125" s="320">
        <v>47.61</v>
      </c>
      <c r="V1125" s="320">
        <v>72.47</v>
      </c>
      <c r="W1125" s="320">
        <v>3.8861</v>
      </c>
      <c r="X1125" s="320">
        <v>24.56</v>
      </c>
      <c r="Y1125" s="320">
        <v>83.0</v>
      </c>
      <c r="Z1125" s="320">
        <v>203.0</v>
      </c>
      <c r="AA1125" s="320">
        <v>840.0</v>
      </c>
      <c r="AB1125" s="320">
        <v>49.6022</v>
      </c>
      <c r="AC1125" s="320">
        <v>0.454</v>
      </c>
      <c r="AD1125" s="320">
        <v>3.51</v>
      </c>
      <c r="AE1125" s="320">
        <v>1.0</v>
      </c>
      <c r="AF1125" s="320">
        <v>2.0</v>
      </c>
      <c r="AG1125" s="320">
        <v>5.0</v>
      </c>
      <c r="AH1125" s="320">
        <v>8.0</v>
      </c>
      <c r="AI1125" s="320">
        <v>67.37</v>
      </c>
      <c r="AJ1125" s="320">
        <v>25.04</v>
      </c>
      <c r="AK1125" s="320">
        <v>6.57</v>
      </c>
      <c r="AL1125" s="320">
        <v>0.2384</v>
      </c>
      <c r="AM1125" s="320">
        <v>21.49</v>
      </c>
      <c r="AN1125" s="320">
        <v>32.7</v>
      </c>
      <c r="AO1125" s="320">
        <v>67.57</v>
      </c>
      <c r="AP1125" s="320">
        <v>14.52</v>
      </c>
    </row>
    <row r="1126">
      <c r="A1126" s="319" t="s">
        <v>258</v>
      </c>
      <c r="B1126" s="328">
        <v>46117.0</v>
      </c>
      <c r="C1126" s="319" t="s">
        <v>215</v>
      </c>
      <c r="D1126" s="320">
        <v>15468.0</v>
      </c>
      <c r="E1126" s="320">
        <v>21.13</v>
      </c>
      <c r="F1126" s="320">
        <v>15813.09</v>
      </c>
      <c r="G1126" s="320">
        <v>1.0223</v>
      </c>
      <c r="H1126" s="320">
        <v>21.37</v>
      </c>
      <c r="I1126" s="320">
        <v>4.7846</v>
      </c>
      <c r="J1126" s="320">
        <v>60.48</v>
      </c>
      <c r="K1126" s="320">
        <v>34.94</v>
      </c>
      <c r="L1126" s="320">
        <v>13.32</v>
      </c>
      <c r="M1126" s="320">
        <v>0.3814</v>
      </c>
      <c r="N1126" s="320">
        <v>0.6755</v>
      </c>
      <c r="O1126" s="320">
        <v>0.3913</v>
      </c>
      <c r="P1126" s="320">
        <v>2.622</v>
      </c>
      <c r="Q1126" s="320">
        <v>142.63</v>
      </c>
      <c r="R1126" s="320">
        <v>120.63</v>
      </c>
      <c r="S1126" s="320">
        <v>22.0</v>
      </c>
      <c r="T1126" s="320">
        <v>67.29</v>
      </c>
      <c r="U1126" s="320">
        <v>75.34</v>
      </c>
      <c r="V1126" s="320">
        <v>162.36</v>
      </c>
      <c r="W1126" s="320">
        <v>4.6473</v>
      </c>
      <c r="X1126" s="320">
        <v>47.18</v>
      </c>
      <c r="Y1126" s="320">
        <v>77.0</v>
      </c>
      <c r="Z1126" s="320">
        <v>159.0</v>
      </c>
      <c r="AA1126" s="320">
        <v>538.0</v>
      </c>
      <c r="AB1126" s="320">
        <v>52.428</v>
      </c>
      <c r="AC1126" s="320">
        <v>0.5501</v>
      </c>
      <c r="AD1126" s="320">
        <v>8.41</v>
      </c>
      <c r="AE1126" s="320">
        <v>3.0</v>
      </c>
      <c r="AF1126" s="320">
        <v>6.0</v>
      </c>
      <c r="AG1126" s="320">
        <v>12.0</v>
      </c>
      <c r="AH1126" s="320">
        <v>19.0</v>
      </c>
      <c r="AI1126" s="320">
        <v>52.65</v>
      </c>
      <c r="AJ1126" s="320">
        <v>22.46</v>
      </c>
      <c r="AK1126" s="320">
        <v>3.9</v>
      </c>
      <c r="AL1126" s="320">
        <v>0.217</v>
      </c>
      <c r="AM1126" s="320">
        <v>21.02</v>
      </c>
      <c r="AN1126" s="320">
        <v>99.61</v>
      </c>
      <c r="AO1126" s="320">
        <v>72.61</v>
      </c>
      <c r="AP1126" s="320">
        <v>15.26</v>
      </c>
    </row>
    <row r="1127">
      <c r="A1127" s="319" t="s">
        <v>258</v>
      </c>
      <c r="B1127" s="328">
        <v>46117.0</v>
      </c>
      <c r="C1127" s="319" t="s">
        <v>216</v>
      </c>
      <c r="D1127" s="320">
        <v>7941.0</v>
      </c>
      <c r="E1127" s="320">
        <v>10.85</v>
      </c>
      <c r="F1127" s="320">
        <v>21938.69</v>
      </c>
      <c r="G1127" s="320">
        <v>2.7627</v>
      </c>
      <c r="H1127" s="320">
        <v>36.33</v>
      </c>
      <c r="I1127" s="320">
        <v>7.6044</v>
      </c>
      <c r="J1127" s="320">
        <v>89.93</v>
      </c>
      <c r="K1127" s="320">
        <v>54.51</v>
      </c>
      <c r="L1127" s="320">
        <v>26.95</v>
      </c>
      <c r="M1127" s="320">
        <v>0.4944</v>
      </c>
      <c r="N1127" s="320">
        <v>0.5714</v>
      </c>
      <c r="O1127" s="320">
        <v>0.3104</v>
      </c>
      <c r="P1127" s="320">
        <v>2.0227</v>
      </c>
      <c r="Q1127" s="320">
        <v>302.1</v>
      </c>
      <c r="R1127" s="320">
        <v>257.16</v>
      </c>
      <c r="S1127" s="320">
        <v>44.95</v>
      </c>
      <c r="T1127" s="320">
        <v>177.53</v>
      </c>
      <c r="U1127" s="320">
        <v>124.57</v>
      </c>
      <c r="V1127" s="320">
        <v>335.15</v>
      </c>
      <c r="W1127" s="320">
        <v>6.1485</v>
      </c>
      <c r="X1127" s="320">
        <v>58.77</v>
      </c>
      <c r="Y1127" s="320">
        <v>78.0</v>
      </c>
      <c r="Z1127" s="320">
        <v>174.0</v>
      </c>
      <c r="AA1127" s="320">
        <v>579.0</v>
      </c>
      <c r="AB1127" s="320">
        <v>54.4196</v>
      </c>
      <c r="AC1127" s="320">
        <v>0.6487</v>
      </c>
      <c r="AD1127" s="320">
        <v>16.76</v>
      </c>
      <c r="AE1127" s="320">
        <v>5.0</v>
      </c>
      <c r="AF1127" s="320">
        <v>12.0</v>
      </c>
      <c r="AG1127" s="320">
        <v>23.0</v>
      </c>
      <c r="AH1127" s="320">
        <v>38.0</v>
      </c>
      <c r="AI1127" s="320">
        <v>52.59</v>
      </c>
      <c r="AJ1127" s="320">
        <v>21.4</v>
      </c>
      <c r="AK1127" s="320">
        <v>7.52</v>
      </c>
      <c r="AL1127" s="320">
        <v>0.2016</v>
      </c>
      <c r="AM1127" s="320">
        <v>21.54</v>
      </c>
      <c r="AN1127" s="320">
        <v>235.62</v>
      </c>
      <c r="AO1127" s="320">
        <v>75.34</v>
      </c>
      <c r="AP1127" s="320">
        <v>16.23</v>
      </c>
    </row>
    <row r="1128">
      <c r="A1128" s="319" t="s">
        <v>258</v>
      </c>
      <c r="B1128" s="328">
        <v>46117.0</v>
      </c>
      <c r="C1128" s="319" t="s">
        <v>217</v>
      </c>
      <c r="D1128" s="320">
        <v>3186.0</v>
      </c>
      <c r="E1128" s="320">
        <v>4.35</v>
      </c>
      <c r="F1128" s="320">
        <v>20929.54</v>
      </c>
      <c r="G1128" s="320">
        <v>6.5692</v>
      </c>
      <c r="H1128" s="320">
        <v>48.46</v>
      </c>
      <c r="I1128" s="320">
        <v>13.5554</v>
      </c>
      <c r="J1128" s="320">
        <v>138.75</v>
      </c>
      <c r="K1128" s="320">
        <v>87.4</v>
      </c>
      <c r="L1128" s="320">
        <v>54.07</v>
      </c>
      <c r="M1128" s="320">
        <v>0.6186</v>
      </c>
      <c r="N1128" s="320">
        <v>0.46</v>
      </c>
      <c r="O1128" s="320">
        <v>0.2521</v>
      </c>
      <c r="P1128" s="320">
        <v>1.6166</v>
      </c>
      <c r="Q1128" s="320">
        <v>629.26</v>
      </c>
      <c r="R1128" s="320">
        <v>538.54</v>
      </c>
      <c r="S1128" s="320">
        <v>90.73</v>
      </c>
      <c r="T1128" s="320">
        <v>421.94</v>
      </c>
      <c r="U1128" s="320">
        <v>207.32</v>
      </c>
      <c r="V1128" s="320">
        <v>680.99</v>
      </c>
      <c r="W1128" s="320">
        <v>7.7916</v>
      </c>
      <c r="X1128" s="320">
        <v>67.05</v>
      </c>
      <c r="Y1128" s="320">
        <v>84.0</v>
      </c>
      <c r="Z1128" s="320">
        <v>237.0</v>
      </c>
      <c r="AA1128" s="320">
        <v>878.0</v>
      </c>
      <c r="AB1128" s="320">
        <v>57.0153</v>
      </c>
      <c r="AC1128" s="320">
        <v>0.7418</v>
      </c>
      <c r="AD1128" s="320">
        <v>33.93</v>
      </c>
      <c r="AE1128" s="320">
        <v>11.0</v>
      </c>
      <c r="AF1128" s="320">
        <v>24.0</v>
      </c>
      <c r="AG1128" s="320">
        <v>48.0</v>
      </c>
      <c r="AH1128" s="320">
        <v>76.0</v>
      </c>
      <c r="AI1128" s="320">
        <v>45.1</v>
      </c>
      <c r="AJ1128" s="320">
        <v>17.14</v>
      </c>
      <c r="AK1128" s="320">
        <v>4.39</v>
      </c>
      <c r="AL1128" s="320">
        <v>0.1657</v>
      </c>
      <c r="AM1128" s="320">
        <v>20.69</v>
      </c>
      <c r="AN1128" s="320">
        <v>517.85</v>
      </c>
      <c r="AO1128" s="320">
        <v>77.29</v>
      </c>
      <c r="AP1128" s="320">
        <v>15.99</v>
      </c>
    </row>
    <row r="1129">
      <c r="A1129" s="319" t="s">
        <v>258</v>
      </c>
      <c r="B1129" s="328">
        <v>46117.0</v>
      </c>
      <c r="C1129" s="319" t="s">
        <v>218</v>
      </c>
      <c r="D1129" s="320">
        <v>342.0</v>
      </c>
      <c r="E1129" s="320">
        <v>0.47</v>
      </c>
      <c r="F1129" s="320">
        <v>4580.0</v>
      </c>
      <c r="G1129" s="320">
        <v>13.3918</v>
      </c>
      <c r="H1129" s="320">
        <v>50.88</v>
      </c>
      <c r="I1129" s="320">
        <v>26.3218</v>
      </c>
      <c r="J1129" s="320">
        <v>235.19</v>
      </c>
      <c r="K1129" s="320">
        <v>157.01</v>
      </c>
      <c r="L1129" s="320">
        <v>117.78</v>
      </c>
      <c r="M1129" s="320">
        <v>0.7502</v>
      </c>
      <c r="N1129" s="320">
        <v>0.3403</v>
      </c>
      <c r="O1129" s="320">
        <v>0.1948</v>
      </c>
      <c r="P1129" s="320">
        <v>1.3331</v>
      </c>
      <c r="Q1129" s="320">
        <v>1190.47</v>
      </c>
      <c r="R1129" s="320">
        <v>991.82</v>
      </c>
      <c r="S1129" s="320">
        <v>198.65</v>
      </c>
      <c r="T1129" s="320">
        <v>825.37</v>
      </c>
      <c r="U1129" s="320">
        <v>365.11</v>
      </c>
      <c r="V1129" s="320">
        <v>1320.03</v>
      </c>
      <c r="W1129" s="320">
        <v>8.4072</v>
      </c>
      <c r="X1129" s="320">
        <v>69.33</v>
      </c>
      <c r="Y1129" s="320">
        <v>104.0</v>
      </c>
      <c r="Z1129" s="320">
        <v>480.0</v>
      </c>
      <c r="AA1129" s="320">
        <v>2193.0</v>
      </c>
      <c r="AB1129" s="320">
        <v>60.8748</v>
      </c>
      <c r="AC1129" s="320">
        <v>0.8281</v>
      </c>
      <c r="AD1129" s="320">
        <v>74.3</v>
      </c>
      <c r="AE1129" s="320">
        <v>22.0</v>
      </c>
      <c r="AF1129" s="320">
        <v>53.0</v>
      </c>
      <c r="AG1129" s="320">
        <v>113.0</v>
      </c>
      <c r="AH1129" s="320">
        <v>168.0</v>
      </c>
      <c r="AI1129" s="320">
        <v>39.18</v>
      </c>
      <c r="AJ1129" s="320">
        <v>8.48</v>
      </c>
      <c r="AK1129" s="320">
        <v>0.88</v>
      </c>
      <c r="AL1129" s="320">
        <v>0.155</v>
      </c>
      <c r="AM1129" s="320">
        <v>19.66</v>
      </c>
      <c r="AN1129" s="320">
        <v>972.15</v>
      </c>
      <c r="AO1129" s="320">
        <v>74.98</v>
      </c>
      <c r="AP1129" s="320">
        <v>14.74</v>
      </c>
    </row>
    <row r="1130">
      <c r="A1130" s="319" t="s">
        <v>258</v>
      </c>
      <c r="B1130" s="328">
        <v>46118.0</v>
      </c>
      <c r="C1130" s="319" t="s">
        <v>257</v>
      </c>
      <c r="D1130" s="320">
        <v>14569.0</v>
      </c>
      <c r="E1130" s="320">
        <v>18.97</v>
      </c>
      <c r="F1130" s="320">
        <v>152.57</v>
      </c>
      <c r="G1130" s="320">
        <v>0.0105</v>
      </c>
      <c r="H1130" s="320">
        <v>0.21</v>
      </c>
      <c r="I1130" s="320">
        <v>5.0857</v>
      </c>
      <c r="J1130" s="320">
        <v>5.3</v>
      </c>
      <c r="K1130" s="320">
        <v>2.27</v>
      </c>
      <c r="L1130" s="320">
        <v>0.08</v>
      </c>
      <c r="M1130" s="320">
        <v>0.0341</v>
      </c>
      <c r="N1130" s="320">
        <v>0.9707</v>
      </c>
      <c r="O1130" s="320">
        <v>0.71</v>
      </c>
      <c r="P1130" s="320">
        <v>29.3588</v>
      </c>
      <c r="Q1130" s="320">
        <v>37.92</v>
      </c>
      <c r="R1130" s="320">
        <v>37.85</v>
      </c>
      <c r="S1130" s="320">
        <v>0.07</v>
      </c>
      <c r="T1130" s="320">
        <v>0.76</v>
      </c>
      <c r="U1130" s="320">
        <v>37.16</v>
      </c>
      <c r="V1130" s="320">
        <v>3.12</v>
      </c>
      <c r="W1130" s="320">
        <v>1.3749</v>
      </c>
      <c r="X1130" s="320">
        <v>1.99</v>
      </c>
      <c r="Y1130" s="320">
        <v>199.0</v>
      </c>
      <c r="Z1130" s="320">
        <v>1515.0</v>
      </c>
      <c r="AA1130" s="320">
        <v>8534.0</v>
      </c>
      <c r="AB1130" s="320">
        <v>50.1436</v>
      </c>
      <c r="AC1130" s="320">
        <v>0.5321</v>
      </c>
      <c r="AD1130" s="329"/>
      <c r="AE1130" s="329"/>
      <c r="AF1130" s="329"/>
      <c r="AG1130" s="329"/>
      <c r="AH1130" s="329"/>
      <c r="AI1130" s="320">
        <v>0.0</v>
      </c>
      <c r="AJ1130" s="320">
        <v>0.0</v>
      </c>
      <c r="AK1130" s="320">
        <v>0.0</v>
      </c>
      <c r="AL1130" s="320">
        <v>0.2796</v>
      </c>
      <c r="AM1130" s="320">
        <v>15.75</v>
      </c>
      <c r="AN1130" s="320">
        <v>22.1</v>
      </c>
      <c r="AO1130" s="329"/>
      <c r="AP1130" s="329"/>
    </row>
    <row r="1131">
      <c r="A1131" s="319" t="s">
        <v>258</v>
      </c>
      <c r="B1131" s="328">
        <v>46118.0</v>
      </c>
      <c r="C1131" s="319" t="s">
        <v>214</v>
      </c>
      <c r="D1131" s="320">
        <v>32188.0</v>
      </c>
      <c r="E1131" s="320">
        <v>41.91</v>
      </c>
      <c r="F1131" s="320">
        <v>5966.25</v>
      </c>
      <c r="G1131" s="320">
        <v>0.1854</v>
      </c>
      <c r="H1131" s="320">
        <v>5.8</v>
      </c>
      <c r="I1131" s="320">
        <v>3.1956</v>
      </c>
      <c r="J1131" s="320">
        <v>34.65</v>
      </c>
      <c r="K1131" s="320">
        <v>18.72</v>
      </c>
      <c r="L1131" s="320">
        <v>5.57</v>
      </c>
      <c r="M1131" s="320">
        <v>0.2977</v>
      </c>
      <c r="N1131" s="320">
        <v>0.7722</v>
      </c>
      <c r="O1131" s="320">
        <v>0.5318</v>
      </c>
      <c r="P1131" s="320">
        <v>3.3594</v>
      </c>
      <c r="Q1131" s="320">
        <v>95.51</v>
      </c>
      <c r="R1131" s="320">
        <v>86.51</v>
      </c>
      <c r="S1131" s="320">
        <v>9.0</v>
      </c>
      <c r="T1131" s="320">
        <v>12.59</v>
      </c>
      <c r="U1131" s="320">
        <v>82.92</v>
      </c>
      <c r="V1131" s="320">
        <v>87.22</v>
      </c>
      <c r="W1131" s="320">
        <v>4.6602</v>
      </c>
      <c r="X1131" s="320">
        <v>13.18</v>
      </c>
      <c r="Y1131" s="320">
        <v>93.0</v>
      </c>
      <c r="Z1131" s="320">
        <v>221.0</v>
      </c>
      <c r="AA1131" s="320">
        <v>874.0</v>
      </c>
      <c r="AB1131" s="320">
        <v>49.5592</v>
      </c>
      <c r="AC1131" s="320">
        <v>0.4437</v>
      </c>
      <c r="AD1131" s="320">
        <v>3.56</v>
      </c>
      <c r="AE1131" s="320">
        <v>1.0</v>
      </c>
      <c r="AF1131" s="320">
        <v>2.0</v>
      </c>
      <c r="AG1131" s="320">
        <v>5.0</v>
      </c>
      <c r="AH1131" s="320">
        <v>8.0</v>
      </c>
      <c r="AI1131" s="320">
        <v>68.92</v>
      </c>
      <c r="AJ1131" s="320">
        <v>25.64</v>
      </c>
      <c r="AK1131" s="320">
        <v>6.62</v>
      </c>
      <c r="AL1131" s="320">
        <v>0.22</v>
      </c>
      <c r="AM1131" s="320">
        <v>18.39</v>
      </c>
      <c r="AN1131" s="320">
        <v>68.12</v>
      </c>
      <c r="AO1131" s="320">
        <v>67.73</v>
      </c>
      <c r="AP1131" s="320">
        <v>12.46</v>
      </c>
    </row>
    <row r="1132">
      <c r="A1132" s="319" t="s">
        <v>258</v>
      </c>
      <c r="B1132" s="328">
        <v>46118.0</v>
      </c>
      <c r="C1132" s="319" t="s">
        <v>215</v>
      </c>
      <c r="D1132" s="320">
        <v>17087.0</v>
      </c>
      <c r="E1132" s="320">
        <v>22.25</v>
      </c>
      <c r="F1132" s="320">
        <v>15743.8</v>
      </c>
      <c r="G1132" s="320">
        <v>0.9214</v>
      </c>
      <c r="H1132" s="320">
        <v>20.04</v>
      </c>
      <c r="I1132" s="320">
        <v>4.5967</v>
      </c>
      <c r="J1132" s="320">
        <v>63.66</v>
      </c>
      <c r="K1132" s="320">
        <v>36.66</v>
      </c>
      <c r="L1132" s="320">
        <v>14.54</v>
      </c>
      <c r="M1132" s="320">
        <v>0.3967</v>
      </c>
      <c r="N1132" s="320">
        <v>0.6672</v>
      </c>
      <c r="O1132" s="320">
        <v>0.3975</v>
      </c>
      <c r="P1132" s="320">
        <v>2.5206</v>
      </c>
      <c r="Q1132" s="320">
        <v>200.11</v>
      </c>
      <c r="R1132" s="320">
        <v>177.53</v>
      </c>
      <c r="S1132" s="320">
        <v>22.58</v>
      </c>
      <c r="T1132" s="320">
        <v>62.34</v>
      </c>
      <c r="U1132" s="320">
        <v>137.77</v>
      </c>
      <c r="V1132" s="320">
        <v>196.98</v>
      </c>
      <c r="W1132" s="320">
        <v>5.3737</v>
      </c>
      <c r="X1132" s="320">
        <v>31.15</v>
      </c>
      <c r="Y1132" s="320">
        <v>86.0</v>
      </c>
      <c r="Z1132" s="320">
        <v>190.0</v>
      </c>
      <c r="AA1132" s="320">
        <v>606.0</v>
      </c>
      <c r="AB1132" s="320">
        <v>52.2219</v>
      </c>
      <c r="AC1132" s="320">
        <v>0.5081</v>
      </c>
      <c r="AD1132" s="320">
        <v>8.75</v>
      </c>
      <c r="AE1132" s="320">
        <v>3.0</v>
      </c>
      <c r="AF1132" s="320">
        <v>7.0</v>
      </c>
      <c r="AG1132" s="320">
        <v>12.0</v>
      </c>
      <c r="AH1132" s="320">
        <v>19.0</v>
      </c>
      <c r="AI1132" s="320">
        <v>55.65</v>
      </c>
      <c r="AJ1132" s="320">
        <v>23.91</v>
      </c>
      <c r="AK1132" s="320">
        <v>4.14</v>
      </c>
      <c r="AL1132" s="320">
        <v>0.1915</v>
      </c>
      <c r="AM1132" s="320">
        <v>19.39</v>
      </c>
      <c r="AN1132" s="320">
        <v>158.14</v>
      </c>
      <c r="AO1132" s="320">
        <v>70.86</v>
      </c>
      <c r="AP1132" s="320">
        <v>13.74</v>
      </c>
    </row>
    <row r="1133">
      <c r="A1133" s="319" t="s">
        <v>258</v>
      </c>
      <c r="B1133" s="328">
        <v>46118.0</v>
      </c>
      <c r="C1133" s="319" t="s">
        <v>216</v>
      </c>
      <c r="D1133" s="320">
        <v>8986.0</v>
      </c>
      <c r="E1133" s="320">
        <v>11.7</v>
      </c>
      <c r="F1133" s="320">
        <v>23428.86</v>
      </c>
      <c r="G1133" s="320">
        <v>2.6073</v>
      </c>
      <c r="H1133" s="320">
        <v>33.66</v>
      </c>
      <c r="I1133" s="320">
        <v>7.7451</v>
      </c>
      <c r="J1133" s="320">
        <v>97.85</v>
      </c>
      <c r="K1133" s="320">
        <v>58.38</v>
      </c>
      <c r="L1133" s="320">
        <v>29.87</v>
      </c>
      <c r="M1133" s="320">
        <v>0.5117</v>
      </c>
      <c r="N1133" s="320">
        <v>0.5595</v>
      </c>
      <c r="O1133" s="320">
        <v>0.3142</v>
      </c>
      <c r="P1133" s="320">
        <v>1.9543</v>
      </c>
      <c r="Q1133" s="320">
        <v>397.19</v>
      </c>
      <c r="R1133" s="320">
        <v>351.82</v>
      </c>
      <c r="S1133" s="320">
        <v>45.37</v>
      </c>
      <c r="T1133" s="320">
        <v>173.43</v>
      </c>
      <c r="U1133" s="320">
        <v>223.76</v>
      </c>
      <c r="V1133" s="320">
        <v>401.07</v>
      </c>
      <c r="W1133" s="320">
        <v>6.8705</v>
      </c>
      <c r="X1133" s="320">
        <v>43.66</v>
      </c>
      <c r="Y1133" s="320">
        <v>86.0</v>
      </c>
      <c r="Z1133" s="320">
        <v>211.0</v>
      </c>
      <c r="AA1133" s="320">
        <v>674.0</v>
      </c>
      <c r="AB1133" s="320">
        <v>54.0017</v>
      </c>
      <c r="AC1133" s="320">
        <v>0.5723</v>
      </c>
      <c r="AD1133" s="320">
        <v>17.02</v>
      </c>
      <c r="AE1133" s="320">
        <v>6.0</v>
      </c>
      <c r="AF1133" s="320">
        <v>13.0</v>
      </c>
      <c r="AG1133" s="320">
        <v>23.0</v>
      </c>
      <c r="AH1133" s="320">
        <v>36.0</v>
      </c>
      <c r="AI1133" s="320">
        <v>56.22</v>
      </c>
      <c r="AJ1133" s="320">
        <v>21.88</v>
      </c>
      <c r="AK1133" s="320">
        <v>5.78</v>
      </c>
      <c r="AL1133" s="320">
        <v>0.169</v>
      </c>
      <c r="AM1133" s="320">
        <v>19.37</v>
      </c>
      <c r="AN1133" s="320">
        <v>332.45</v>
      </c>
      <c r="AO1133" s="320">
        <v>71.12</v>
      </c>
      <c r="AP1133" s="320">
        <v>13.78</v>
      </c>
    </row>
    <row r="1134">
      <c r="A1134" s="319" t="s">
        <v>258</v>
      </c>
      <c r="B1134" s="328">
        <v>46118.0</v>
      </c>
      <c r="C1134" s="319" t="s">
        <v>217</v>
      </c>
      <c r="D1134" s="320">
        <v>3641.0</v>
      </c>
      <c r="E1134" s="320">
        <v>4.74</v>
      </c>
      <c r="F1134" s="320">
        <v>23041.34</v>
      </c>
      <c r="G1134" s="320">
        <v>6.3283</v>
      </c>
      <c r="H1134" s="320">
        <v>45.37</v>
      </c>
      <c r="I1134" s="320">
        <v>13.9475</v>
      </c>
      <c r="J1134" s="320">
        <v>147.08</v>
      </c>
      <c r="K1134" s="320">
        <v>90.67</v>
      </c>
      <c r="L1134" s="320">
        <v>57.81</v>
      </c>
      <c r="M1134" s="320">
        <v>0.6376</v>
      </c>
      <c r="N1134" s="320">
        <v>0.4508</v>
      </c>
      <c r="O1134" s="320">
        <v>0.2564</v>
      </c>
      <c r="P1134" s="320">
        <v>1.5683</v>
      </c>
      <c r="Q1134" s="320">
        <v>764.23</v>
      </c>
      <c r="R1134" s="320">
        <v>675.89</v>
      </c>
      <c r="S1134" s="320">
        <v>88.34</v>
      </c>
      <c r="T1134" s="320">
        <v>406.71</v>
      </c>
      <c r="U1134" s="320">
        <v>357.53</v>
      </c>
      <c r="V1134" s="320">
        <v>800.19</v>
      </c>
      <c r="W1134" s="320">
        <v>8.8255</v>
      </c>
      <c r="X1134" s="320">
        <v>53.22</v>
      </c>
      <c r="Y1134" s="320">
        <v>97.0</v>
      </c>
      <c r="Z1134" s="320">
        <v>323.0</v>
      </c>
      <c r="AA1134" s="320">
        <v>1072.0</v>
      </c>
      <c r="AB1134" s="320">
        <v>56.4937</v>
      </c>
      <c r="AC1134" s="320">
        <v>0.6498</v>
      </c>
      <c r="AD1134" s="320">
        <v>33.23</v>
      </c>
      <c r="AE1134" s="320">
        <v>11.0</v>
      </c>
      <c r="AF1134" s="320">
        <v>25.0</v>
      </c>
      <c r="AG1134" s="320">
        <v>44.0</v>
      </c>
      <c r="AH1134" s="320">
        <v>71.0</v>
      </c>
      <c r="AI1134" s="320">
        <v>46.2</v>
      </c>
      <c r="AJ1134" s="320">
        <v>14.97</v>
      </c>
      <c r="AK1134" s="320">
        <v>3.68</v>
      </c>
      <c r="AL1134" s="320">
        <v>0.1434</v>
      </c>
      <c r="AM1134" s="320">
        <v>19.46</v>
      </c>
      <c r="AN1134" s="320">
        <v>656.43</v>
      </c>
      <c r="AO1134" s="320">
        <v>71.89</v>
      </c>
      <c r="AP1134" s="320">
        <v>13.99</v>
      </c>
    </row>
    <row r="1135">
      <c r="A1135" s="319" t="s">
        <v>258</v>
      </c>
      <c r="B1135" s="328">
        <v>46118.0</v>
      </c>
      <c r="C1135" s="319" t="s">
        <v>218</v>
      </c>
      <c r="D1135" s="320">
        <v>324.0</v>
      </c>
      <c r="E1135" s="320">
        <v>0.42</v>
      </c>
      <c r="F1135" s="320">
        <v>4552.22</v>
      </c>
      <c r="G1135" s="320">
        <v>14.0501</v>
      </c>
      <c r="H1135" s="320">
        <v>54.63</v>
      </c>
      <c r="I1135" s="320">
        <v>25.7188</v>
      </c>
      <c r="J1135" s="320">
        <v>260.12</v>
      </c>
      <c r="K1135" s="320">
        <v>169.53</v>
      </c>
      <c r="L1135" s="320">
        <v>133.78</v>
      </c>
      <c r="M1135" s="320">
        <v>0.7891</v>
      </c>
      <c r="N1135" s="320">
        <v>0.3135</v>
      </c>
      <c r="O1135" s="320">
        <v>0.1954</v>
      </c>
      <c r="P1135" s="320">
        <v>1.2672</v>
      </c>
      <c r="Q1135" s="320">
        <v>1548.44</v>
      </c>
      <c r="R1135" s="320">
        <v>1326.48</v>
      </c>
      <c r="S1135" s="320">
        <v>221.96</v>
      </c>
      <c r="T1135" s="320">
        <v>910.65</v>
      </c>
      <c r="U1135" s="320">
        <v>637.79</v>
      </c>
      <c r="V1135" s="320">
        <v>1610.34</v>
      </c>
      <c r="W1135" s="320">
        <v>9.499</v>
      </c>
      <c r="X1135" s="320">
        <v>58.81</v>
      </c>
      <c r="Y1135" s="320">
        <v>121.0</v>
      </c>
      <c r="Z1135" s="320">
        <v>528.0</v>
      </c>
      <c r="AA1135" s="320">
        <v>2335.0</v>
      </c>
      <c r="AB1135" s="320">
        <v>61.1722</v>
      </c>
      <c r="AC1135" s="320">
        <v>0.8123</v>
      </c>
      <c r="AD1135" s="320">
        <v>87.91</v>
      </c>
      <c r="AE1135" s="320">
        <v>31.0</v>
      </c>
      <c r="AF1135" s="320">
        <v>66.0</v>
      </c>
      <c r="AG1135" s="320">
        <v>134.0</v>
      </c>
      <c r="AH1135" s="320">
        <v>176.0</v>
      </c>
      <c r="AI1135" s="320">
        <v>42.59</v>
      </c>
      <c r="AJ1135" s="320">
        <v>10.8</v>
      </c>
      <c r="AK1135" s="320">
        <v>1.85</v>
      </c>
      <c r="AL1135" s="320">
        <v>0.0988</v>
      </c>
      <c r="AM1135" s="320">
        <v>21.71</v>
      </c>
      <c r="AN1135" s="320">
        <v>1304.77</v>
      </c>
      <c r="AO1135" s="320">
        <v>75.44</v>
      </c>
      <c r="AP1135" s="320">
        <v>16.38</v>
      </c>
    </row>
    <row r="1136">
      <c r="A1136" s="319" t="s">
        <v>258</v>
      </c>
      <c r="B1136" s="328">
        <v>46119.0</v>
      </c>
      <c r="C1136" s="319" t="s">
        <v>257</v>
      </c>
      <c r="D1136" s="320">
        <v>15732.0</v>
      </c>
      <c r="E1136" s="320">
        <v>20.69</v>
      </c>
      <c r="F1136" s="320">
        <v>135.77</v>
      </c>
      <c r="G1136" s="320">
        <v>0.0086</v>
      </c>
      <c r="H1136" s="320">
        <v>0.17</v>
      </c>
      <c r="I1136" s="320">
        <v>5.2219</v>
      </c>
      <c r="J1136" s="320">
        <v>5.87</v>
      </c>
      <c r="K1136" s="320">
        <v>2.59</v>
      </c>
      <c r="L1136" s="320">
        <v>0.04</v>
      </c>
      <c r="M1136" s="320">
        <v>0.0158</v>
      </c>
      <c r="N1136" s="320">
        <v>0.9859</v>
      </c>
      <c r="O1136" s="320">
        <v>0.8244</v>
      </c>
      <c r="P1136" s="320">
        <v>63.1612</v>
      </c>
      <c r="Q1136" s="320">
        <v>27.2</v>
      </c>
      <c r="R1136" s="320">
        <v>27.15</v>
      </c>
      <c r="S1136" s="320">
        <v>0.06</v>
      </c>
      <c r="T1136" s="320">
        <v>0.72</v>
      </c>
      <c r="U1136" s="320">
        <v>26.48</v>
      </c>
      <c r="V1136" s="320">
        <v>2.43</v>
      </c>
      <c r="W1136" s="320">
        <v>0.9377</v>
      </c>
      <c r="X1136" s="320">
        <v>2.66</v>
      </c>
      <c r="Y1136" s="320">
        <v>166.0</v>
      </c>
      <c r="Z1136" s="320">
        <v>1218.0</v>
      </c>
      <c r="AA1136" s="320">
        <v>7565.0</v>
      </c>
      <c r="AB1136" s="320">
        <v>49.7706</v>
      </c>
      <c r="AC1136" s="320">
        <v>0.5143</v>
      </c>
      <c r="AD1136" s="329"/>
      <c r="AE1136" s="329"/>
      <c r="AF1136" s="329"/>
      <c r="AG1136" s="329"/>
      <c r="AH1136" s="329"/>
      <c r="AI1136" s="320">
        <v>0.0</v>
      </c>
      <c r="AJ1136" s="320">
        <v>0.0</v>
      </c>
      <c r="AK1136" s="320">
        <v>0.0</v>
      </c>
      <c r="AL1136" s="320">
        <v>0.26</v>
      </c>
      <c r="AM1136" s="320">
        <v>15.21</v>
      </c>
      <c r="AN1136" s="320">
        <v>11.94</v>
      </c>
      <c r="AO1136" s="329"/>
      <c r="AP1136" s="329"/>
    </row>
    <row r="1137">
      <c r="A1137" s="319" t="s">
        <v>258</v>
      </c>
      <c r="B1137" s="328">
        <v>46119.0</v>
      </c>
      <c r="C1137" s="319" t="s">
        <v>214</v>
      </c>
      <c r="D1137" s="320">
        <v>32227.0</v>
      </c>
      <c r="E1137" s="320">
        <v>42.38</v>
      </c>
      <c r="F1137" s="320">
        <v>6423.59</v>
      </c>
      <c r="G1137" s="320">
        <v>0.1993</v>
      </c>
      <c r="H1137" s="320">
        <v>6.09</v>
      </c>
      <c r="I1137" s="320">
        <v>3.274</v>
      </c>
      <c r="J1137" s="320">
        <v>29.26</v>
      </c>
      <c r="K1137" s="320">
        <v>15.53</v>
      </c>
      <c r="L1137" s="320">
        <v>5.05</v>
      </c>
      <c r="M1137" s="320">
        <v>0.325</v>
      </c>
      <c r="N1137" s="320">
        <v>0.7511</v>
      </c>
      <c r="O1137" s="320">
        <v>0.5224</v>
      </c>
      <c r="P1137" s="320">
        <v>3.0766</v>
      </c>
      <c r="Q1137" s="320">
        <v>66.64</v>
      </c>
      <c r="R1137" s="320">
        <v>58.38</v>
      </c>
      <c r="S1137" s="320">
        <v>8.26</v>
      </c>
      <c r="T1137" s="320">
        <v>13.74</v>
      </c>
      <c r="U1137" s="320">
        <v>52.89</v>
      </c>
      <c r="V1137" s="320">
        <v>74.13</v>
      </c>
      <c r="W1137" s="320">
        <v>4.7743</v>
      </c>
      <c r="X1137" s="320">
        <v>20.63</v>
      </c>
      <c r="Y1137" s="320">
        <v>87.0</v>
      </c>
      <c r="Z1137" s="320">
        <v>207.0</v>
      </c>
      <c r="AA1137" s="320">
        <v>860.0</v>
      </c>
      <c r="AB1137" s="320">
        <v>49.7927</v>
      </c>
      <c r="AC1137" s="320">
        <v>0.4488</v>
      </c>
      <c r="AD1137" s="320">
        <v>3.47</v>
      </c>
      <c r="AE1137" s="320">
        <v>1.0</v>
      </c>
      <c r="AF1137" s="320">
        <v>2.0</v>
      </c>
      <c r="AG1137" s="320">
        <v>4.0</v>
      </c>
      <c r="AH1137" s="320">
        <v>8.0</v>
      </c>
      <c r="AI1137" s="320">
        <v>65.91</v>
      </c>
      <c r="AJ1137" s="320">
        <v>24.42</v>
      </c>
      <c r="AK1137" s="320">
        <v>6.84</v>
      </c>
      <c r="AL1137" s="320">
        <v>0.2143</v>
      </c>
      <c r="AM1137" s="320">
        <v>18.03</v>
      </c>
      <c r="AN1137" s="320">
        <v>40.35</v>
      </c>
      <c r="AO1137" s="320">
        <v>67.79</v>
      </c>
      <c r="AP1137" s="320">
        <v>12.22</v>
      </c>
    </row>
    <row r="1138">
      <c r="A1138" s="319" t="s">
        <v>258</v>
      </c>
      <c r="B1138" s="328">
        <v>46119.0</v>
      </c>
      <c r="C1138" s="319" t="s">
        <v>215</v>
      </c>
      <c r="D1138" s="320">
        <v>16395.0</v>
      </c>
      <c r="E1138" s="320">
        <v>21.56</v>
      </c>
      <c r="F1138" s="320">
        <v>16316.13</v>
      </c>
      <c r="G1138" s="320">
        <v>0.9952</v>
      </c>
      <c r="H1138" s="320">
        <v>20.73</v>
      </c>
      <c r="I1138" s="320">
        <v>4.8003</v>
      </c>
      <c r="J1138" s="320">
        <v>54.65</v>
      </c>
      <c r="K1138" s="320">
        <v>30.95</v>
      </c>
      <c r="L1138" s="320">
        <v>13.28</v>
      </c>
      <c r="M1138" s="320">
        <v>0.429</v>
      </c>
      <c r="N1138" s="320">
        <v>0.6386</v>
      </c>
      <c r="O1138" s="320">
        <v>0.3777</v>
      </c>
      <c r="P1138" s="320">
        <v>2.3308</v>
      </c>
      <c r="Q1138" s="320">
        <v>161.92</v>
      </c>
      <c r="R1138" s="320">
        <v>140.78</v>
      </c>
      <c r="S1138" s="320">
        <v>21.14</v>
      </c>
      <c r="T1138" s="320">
        <v>66.27</v>
      </c>
      <c r="U1138" s="320">
        <v>95.65</v>
      </c>
      <c r="V1138" s="320">
        <v>174.57</v>
      </c>
      <c r="W1138" s="320">
        <v>5.6404</v>
      </c>
      <c r="X1138" s="320">
        <v>40.93</v>
      </c>
      <c r="Y1138" s="320">
        <v>82.0</v>
      </c>
      <c r="Z1138" s="320">
        <v>186.0</v>
      </c>
      <c r="AA1138" s="320">
        <v>611.0</v>
      </c>
      <c r="AB1138" s="320">
        <v>52.3971</v>
      </c>
      <c r="AC1138" s="320">
        <v>0.5152</v>
      </c>
      <c r="AD1138" s="320">
        <v>8.43</v>
      </c>
      <c r="AE1138" s="320">
        <v>3.0</v>
      </c>
      <c r="AF1138" s="320">
        <v>6.0</v>
      </c>
      <c r="AG1138" s="320">
        <v>12.0</v>
      </c>
      <c r="AH1138" s="320">
        <v>19.0</v>
      </c>
      <c r="AI1138" s="320">
        <v>52.67</v>
      </c>
      <c r="AJ1138" s="320">
        <v>22.79</v>
      </c>
      <c r="AK1138" s="320">
        <v>3.88</v>
      </c>
      <c r="AL1138" s="320">
        <v>0.1864</v>
      </c>
      <c r="AM1138" s="320">
        <v>18.76</v>
      </c>
      <c r="AN1138" s="320">
        <v>122.02</v>
      </c>
      <c r="AO1138" s="320">
        <v>70.93</v>
      </c>
      <c r="AP1138" s="320">
        <v>13.31</v>
      </c>
    </row>
    <row r="1139">
      <c r="A1139" s="319" t="s">
        <v>258</v>
      </c>
      <c r="B1139" s="328">
        <v>46119.0</v>
      </c>
      <c r="C1139" s="319" t="s">
        <v>216</v>
      </c>
      <c r="D1139" s="320">
        <v>8279.0</v>
      </c>
      <c r="E1139" s="320">
        <v>10.89</v>
      </c>
      <c r="F1139" s="320">
        <v>22177.45</v>
      </c>
      <c r="G1139" s="320">
        <v>2.6788</v>
      </c>
      <c r="H1139" s="320">
        <v>33.86</v>
      </c>
      <c r="I1139" s="320">
        <v>7.912</v>
      </c>
      <c r="J1139" s="320">
        <v>84.97</v>
      </c>
      <c r="K1139" s="320">
        <v>50.54</v>
      </c>
      <c r="L1139" s="320">
        <v>26.63</v>
      </c>
      <c r="M1139" s="320">
        <v>0.5268</v>
      </c>
      <c r="N1139" s="320">
        <v>0.5473</v>
      </c>
      <c r="O1139" s="320">
        <v>0.3047</v>
      </c>
      <c r="P1139" s="320">
        <v>1.8982</v>
      </c>
      <c r="Q1139" s="320">
        <v>345.55</v>
      </c>
      <c r="R1139" s="320">
        <v>304.93</v>
      </c>
      <c r="S1139" s="320">
        <v>40.63</v>
      </c>
      <c r="T1139" s="320">
        <v>179.33</v>
      </c>
      <c r="U1139" s="320">
        <v>166.22</v>
      </c>
      <c r="V1139" s="320">
        <v>356.99</v>
      </c>
      <c r="W1139" s="320">
        <v>7.0635</v>
      </c>
      <c r="X1139" s="320">
        <v>51.9</v>
      </c>
      <c r="Y1139" s="320">
        <v>87.0</v>
      </c>
      <c r="Z1139" s="320">
        <v>208.0</v>
      </c>
      <c r="AA1139" s="320">
        <v>683.0</v>
      </c>
      <c r="AB1139" s="320">
        <v>54.0827</v>
      </c>
      <c r="AC1139" s="320">
        <v>0.5879</v>
      </c>
      <c r="AD1139" s="320">
        <v>15.21</v>
      </c>
      <c r="AE1139" s="320">
        <v>5.0</v>
      </c>
      <c r="AF1139" s="320">
        <v>11.0</v>
      </c>
      <c r="AG1139" s="320">
        <v>21.0</v>
      </c>
      <c r="AH1139" s="320">
        <v>33.0</v>
      </c>
      <c r="AI1139" s="320">
        <v>50.6</v>
      </c>
      <c r="AJ1139" s="320">
        <v>17.8</v>
      </c>
      <c r="AK1139" s="320">
        <v>5.13</v>
      </c>
      <c r="AL1139" s="320">
        <v>0.1649</v>
      </c>
      <c r="AM1139" s="320">
        <v>19.31</v>
      </c>
      <c r="AN1139" s="320">
        <v>285.62</v>
      </c>
      <c r="AO1139" s="320">
        <v>72.25</v>
      </c>
      <c r="AP1139" s="320">
        <v>13.95</v>
      </c>
    </row>
    <row r="1140">
      <c r="A1140" s="319" t="s">
        <v>258</v>
      </c>
      <c r="B1140" s="328">
        <v>46119.0</v>
      </c>
      <c r="C1140" s="319" t="s">
        <v>217</v>
      </c>
      <c r="D1140" s="320">
        <v>3130.0</v>
      </c>
      <c r="E1140" s="320">
        <v>4.12</v>
      </c>
      <c r="F1140" s="320">
        <v>18788.87</v>
      </c>
      <c r="G1140" s="320">
        <v>6.0028</v>
      </c>
      <c r="H1140" s="320">
        <v>45.69</v>
      </c>
      <c r="I1140" s="320">
        <v>13.1391</v>
      </c>
      <c r="J1140" s="320">
        <v>128.61</v>
      </c>
      <c r="K1140" s="320">
        <v>80.14</v>
      </c>
      <c r="L1140" s="320">
        <v>51.82</v>
      </c>
      <c r="M1140" s="320">
        <v>0.6467</v>
      </c>
      <c r="N1140" s="320">
        <v>0.4417</v>
      </c>
      <c r="O1140" s="320">
        <v>0.2519</v>
      </c>
      <c r="P1140" s="320">
        <v>1.5463</v>
      </c>
      <c r="Q1140" s="320">
        <v>673.96</v>
      </c>
      <c r="R1140" s="320">
        <v>587.76</v>
      </c>
      <c r="S1140" s="320">
        <v>86.2</v>
      </c>
      <c r="T1140" s="320">
        <v>381.12</v>
      </c>
      <c r="U1140" s="320">
        <v>292.84</v>
      </c>
      <c r="V1140" s="320">
        <v>699.81</v>
      </c>
      <c r="W1140" s="320">
        <v>8.7324</v>
      </c>
      <c r="X1140" s="320">
        <v>56.55</v>
      </c>
      <c r="Y1140" s="320">
        <v>90.0</v>
      </c>
      <c r="Z1140" s="320">
        <v>266.0</v>
      </c>
      <c r="AA1140" s="320">
        <v>835.0</v>
      </c>
      <c r="AB1140" s="320">
        <v>57.0052</v>
      </c>
      <c r="AC1140" s="320">
        <v>0.7195</v>
      </c>
      <c r="AD1140" s="320">
        <v>33.14</v>
      </c>
      <c r="AE1140" s="320">
        <v>10.0</v>
      </c>
      <c r="AF1140" s="320">
        <v>23.0</v>
      </c>
      <c r="AG1140" s="320">
        <v>46.0</v>
      </c>
      <c r="AH1140" s="320">
        <v>74.0</v>
      </c>
      <c r="AI1140" s="320">
        <v>44.38</v>
      </c>
      <c r="AJ1140" s="320">
        <v>16.17</v>
      </c>
      <c r="AK1140" s="320">
        <v>4.35</v>
      </c>
      <c r="AL1140" s="320">
        <v>0.1425</v>
      </c>
      <c r="AM1140" s="320">
        <v>20.07</v>
      </c>
      <c r="AN1140" s="320">
        <v>567.69</v>
      </c>
      <c r="AO1140" s="320">
        <v>78.19</v>
      </c>
      <c r="AP1140" s="320">
        <v>15.69</v>
      </c>
    </row>
    <row r="1141">
      <c r="A1141" s="319" t="s">
        <v>258</v>
      </c>
      <c r="B1141" s="328">
        <v>46119.0</v>
      </c>
      <c r="C1141" s="319" t="s">
        <v>218</v>
      </c>
      <c r="D1141" s="320">
        <v>288.0</v>
      </c>
      <c r="E1141" s="320">
        <v>0.38</v>
      </c>
      <c r="F1141" s="320">
        <v>3120.21</v>
      </c>
      <c r="G1141" s="320">
        <v>10.8341</v>
      </c>
      <c r="H1141" s="320">
        <v>48.26</v>
      </c>
      <c r="I1141" s="320">
        <v>22.4476</v>
      </c>
      <c r="J1141" s="320">
        <v>235.72</v>
      </c>
      <c r="K1141" s="320">
        <v>153.86</v>
      </c>
      <c r="L1141" s="320">
        <v>119.31</v>
      </c>
      <c r="M1141" s="320">
        <v>0.7755</v>
      </c>
      <c r="N1141" s="320">
        <v>0.3165</v>
      </c>
      <c r="O1141" s="320">
        <v>0.1922</v>
      </c>
      <c r="P1141" s="320">
        <v>1.2896</v>
      </c>
      <c r="Q1141" s="320">
        <v>1194.38</v>
      </c>
      <c r="R1141" s="320">
        <v>994.03</v>
      </c>
      <c r="S1141" s="320">
        <v>200.35</v>
      </c>
      <c r="T1141" s="320">
        <v>633.85</v>
      </c>
      <c r="U1141" s="320">
        <v>560.52</v>
      </c>
      <c r="V1141" s="320">
        <v>1324.48</v>
      </c>
      <c r="W1141" s="320">
        <v>8.6083</v>
      </c>
      <c r="X1141" s="320">
        <v>53.07</v>
      </c>
      <c r="Y1141" s="320">
        <v>102.0</v>
      </c>
      <c r="Z1141" s="320">
        <v>455.0</v>
      </c>
      <c r="AA1141" s="320">
        <v>2157.0</v>
      </c>
      <c r="AB1141" s="320">
        <v>60.964</v>
      </c>
      <c r="AC1141" s="320">
        <v>0.8221</v>
      </c>
      <c r="AD1141" s="320">
        <v>77.88</v>
      </c>
      <c r="AE1141" s="320">
        <v>25.0</v>
      </c>
      <c r="AF1141" s="320">
        <v>54.0</v>
      </c>
      <c r="AG1141" s="320">
        <v>110.0</v>
      </c>
      <c r="AH1141" s="320">
        <v>166.0</v>
      </c>
      <c r="AI1141" s="320">
        <v>38.19</v>
      </c>
      <c r="AJ1141" s="320">
        <v>9.03</v>
      </c>
      <c r="AK1141" s="320">
        <v>2.43</v>
      </c>
      <c r="AL1141" s="320">
        <v>0.0938</v>
      </c>
      <c r="AM1141" s="320">
        <v>21.55</v>
      </c>
      <c r="AN1141" s="320">
        <v>972.48</v>
      </c>
      <c r="AO1141" s="320">
        <v>77.23</v>
      </c>
      <c r="AP1141" s="320">
        <v>16.64</v>
      </c>
    </row>
    <row r="1142">
      <c r="A1142" s="319" t="s">
        <v>258</v>
      </c>
      <c r="B1142" s="328">
        <v>46120.0</v>
      </c>
      <c r="C1142" s="319" t="s">
        <v>257</v>
      </c>
      <c r="D1142" s="320">
        <v>16668.0</v>
      </c>
      <c r="E1142" s="320">
        <v>22.1</v>
      </c>
      <c r="F1142" s="320">
        <v>135.89</v>
      </c>
      <c r="G1142" s="320">
        <v>0.0082</v>
      </c>
      <c r="H1142" s="320">
        <v>0.19</v>
      </c>
      <c r="I1142" s="320">
        <v>4.3835</v>
      </c>
      <c r="J1142" s="320">
        <v>6.23</v>
      </c>
      <c r="K1142" s="320">
        <v>2.81</v>
      </c>
      <c r="L1142" s="320">
        <v>0.04</v>
      </c>
      <c r="M1142" s="320">
        <v>0.0132</v>
      </c>
      <c r="N1142" s="320">
        <v>0.9885</v>
      </c>
      <c r="O1142" s="320">
        <v>0.849</v>
      </c>
      <c r="P1142" s="320">
        <v>75.6236</v>
      </c>
      <c r="Q1142" s="320">
        <v>23.2</v>
      </c>
      <c r="R1142" s="320">
        <v>23.14</v>
      </c>
      <c r="S1142" s="320">
        <v>0.06</v>
      </c>
      <c r="T1142" s="320">
        <v>0.69</v>
      </c>
      <c r="U1142" s="320">
        <v>22.51</v>
      </c>
      <c r="V1142" s="320">
        <v>2.06</v>
      </c>
      <c r="W1142" s="320">
        <v>0.7338</v>
      </c>
      <c r="X1142" s="320">
        <v>2.96</v>
      </c>
      <c r="Y1142" s="320">
        <v>152.0</v>
      </c>
      <c r="Z1142" s="320">
        <v>1120.0</v>
      </c>
      <c r="AA1142" s="320">
        <v>7340.0</v>
      </c>
      <c r="AB1142" s="320">
        <v>50.0248</v>
      </c>
      <c r="AC1142" s="320">
        <v>0.5215</v>
      </c>
      <c r="AD1142" s="329"/>
      <c r="AE1142" s="329"/>
      <c r="AF1142" s="329"/>
      <c r="AG1142" s="329"/>
      <c r="AH1142" s="329"/>
      <c r="AI1142" s="320">
        <v>0.0</v>
      </c>
      <c r="AJ1142" s="320">
        <v>0.0</v>
      </c>
      <c r="AK1142" s="320">
        <v>0.0</v>
      </c>
      <c r="AL1142" s="320">
        <v>0.2706</v>
      </c>
      <c r="AM1142" s="320">
        <v>15.62</v>
      </c>
      <c r="AN1142" s="320">
        <v>7.52</v>
      </c>
      <c r="AO1142" s="329"/>
      <c r="AP1142" s="329"/>
    </row>
    <row r="1143">
      <c r="A1143" s="319" t="s">
        <v>258</v>
      </c>
      <c r="B1143" s="328">
        <v>46120.0</v>
      </c>
      <c r="C1143" s="319" t="s">
        <v>214</v>
      </c>
      <c r="D1143" s="320">
        <v>32322.0</v>
      </c>
      <c r="E1143" s="320">
        <v>42.86</v>
      </c>
      <c r="F1143" s="320">
        <v>7117.51</v>
      </c>
      <c r="G1143" s="320">
        <v>0.2202</v>
      </c>
      <c r="H1143" s="320">
        <v>6.31</v>
      </c>
      <c r="I1143" s="320">
        <v>3.4924</v>
      </c>
      <c r="J1143" s="320">
        <v>31.78</v>
      </c>
      <c r="K1143" s="320">
        <v>17.1</v>
      </c>
      <c r="L1143" s="320">
        <v>5.01</v>
      </c>
      <c r="M1143" s="320">
        <v>0.2929</v>
      </c>
      <c r="N1143" s="320">
        <v>0.7727</v>
      </c>
      <c r="O1143" s="320">
        <v>0.535</v>
      </c>
      <c r="P1143" s="320">
        <v>3.414</v>
      </c>
      <c r="Q1143" s="320">
        <v>58.41</v>
      </c>
      <c r="R1143" s="320">
        <v>50.22</v>
      </c>
      <c r="S1143" s="320">
        <v>8.19</v>
      </c>
      <c r="T1143" s="320">
        <v>14.5</v>
      </c>
      <c r="U1143" s="320">
        <v>43.92</v>
      </c>
      <c r="V1143" s="320">
        <v>66.54</v>
      </c>
      <c r="W1143" s="320">
        <v>3.8906</v>
      </c>
      <c r="X1143" s="320">
        <v>24.82</v>
      </c>
      <c r="Y1143" s="320">
        <v>84.0</v>
      </c>
      <c r="Z1143" s="320">
        <v>198.0</v>
      </c>
      <c r="AA1143" s="320">
        <v>831.0</v>
      </c>
      <c r="AB1143" s="320">
        <v>49.7084</v>
      </c>
      <c r="AC1143" s="320">
        <v>0.4479</v>
      </c>
      <c r="AD1143" s="320">
        <v>3.33</v>
      </c>
      <c r="AE1143" s="320">
        <v>1.0</v>
      </c>
      <c r="AF1143" s="320">
        <v>2.0</v>
      </c>
      <c r="AG1143" s="320">
        <v>4.0</v>
      </c>
      <c r="AH1143" s="320">
        <v>7.0</v>
      </c>
      <c r="AI1143" s="320">
        <v>64.86</v>
      </c>
      <c r="AJ1143" s="320">
        <v>22.98</v>
      </c>
      <c r="AK1143" s="320">
        <v>5.78</v>
      </c>
      <c r="AL1143" s="320">
        <v>0.2184</v>
      </c>
      <c r="AM1143" s="320">
        <v>19.27</v>
      </c>
      <c r="AN1143" s="320">
        <v>30.95</v>
      </c>
      <c r="AO1143" s="320">
        <v>68.05</v>
      </c>
      <c r="AP1143" s="320">
        <v>13.11</v>
      </c>
    </row>
    <row r="1144">
      <c r="A1144" s="319" t="s">
        <v>258</v>
      </c>
      <c r="B1144" s="328">
        <v>46120.0</v>
      </c>
      <c r="C1144" s="319" t="s">
        <v>215</v>
      </c>
      <c r="D1144" s="320">
        <v>15789.0</v>
      </c>
      <c r="E1144" s="320">
        <v>20.94</v>
      </c>
      <c r="F1144" s="320">
        <v>17121.78</v>
      </c>
      <c r="G1144" s="320">
        <v>1.0844</v>
      </c>
      <c r="H1144" s="320">
        <v>21.65</v>
      </c>
      <c r="I1144" s="320">
        <v>5.0078</v>
      </c>
      <c r="J1144" s="320">
        <v>58.95</v>
      </c>
      <c r="K1144" s="320">
        <v>33.66</v>
      </c>
      <c r="L1144" s="320">
        <v>13.43</v>
      </c>
      <c r="M1144" s="320">
        <v>0.3989</v>
      </c>
      <c r="N1144" s="320">
        <v>0.6607</v>
      </c>
      <c r="O1144" s="320">
        <v>0.3814</v>
      </c>
      <c r="P1144" s="320">
        <v>2.5067</v>
      </c>
      <c r="Q1144" s="320">
        <v>144.38</v>
      </c>
      <c r="R1144" s="320">
        <v>123.28</v>
      </c>
      <c r="S1144" s="320">
        <v>21.1</v>
      </c>
      <c r="T1144" s="320">
        <v>71.63</v>
      </c>
      <c r="U1144" s="320">
        <v>72.75</v>
      </c>
      <c r="V1144" s="320">
        <v>163.87</v>
      </c>
      <c r="W1144" s="320">
        <v>4.8686</v>
      </c>
      <c r="X1144" s="320">
        <v>49.61</v>
      </c>
      <c r="Y1144" s="320">
        <v>78.0</v>
      </c>
      <c r="Z1144" s="320">
        <v>161.0</v>
      </c>
      <c r="AA1144" s="320">
        <v>571.0</v>
      </c>
      <c r="AB1144" s="320">
        <v>52.3723</v>
      </c>
      <c r="AC1144" s="320">
        <v>0.5182</v>
      </c>
      <c r="AD1144" s="320">
        <v>8.05</v>
      </c>
      <c r="AE1144" s="320">
        <v>2.0</v>
      </c>
      <c r="AF1144" s="320">
        <v>6.0</v>
      </c>
      <c r="AG1144" s="320">
        <v>11.0</v>
      </c>
      <c r="AH1144" s="320">
        <v>18.0</v>
      </c>
      <c r="AI1144" s="320">
        <v>50.62</v>
      </c>
      <c r="AJ1144" s="320">
        <v>21.19</v>
      </c>
      <c r="AK1144" s="320">
        <v>3.52</v>
      </c>
      <c r="AL1144" s="320">
        <v>0.1876</v>
      </c>
      <c r="AM1144" s="320">
        <v>19.43</v>
      </c>
      <c r="AN1144" s="320">
        <v>103.85</v>
      </c>
      <c r="AO1144" s="320">
        <v>71.64</v>
      </c>
      <c r="AP1144" s="320">
        <v>13.92</v>
      </c>
    </row>
    <row r="1145">
      <c r="A1145" s="319" t="s">
        <v>258</v>
      </c>
      <c r="B1145" s="328">
        <v>46120.0</v>
      </c>
      <c r="C1145" s="319" t="s">
        <v>216</v>
      </c>
      <c r="D1145" s="320">
        <v>7390.0</v>
      </c>
      <c r="E1145" s="320">
        <v>9.8</v>
      </c>
      <c r="F1145" s="320">
        <v>19566.67</v>
      </c>
      <c r="G1145" s="320">
        <v>2.6477</v>
      </c>
      <c r="H1145" s="320">
        <v>35.13</v>
      </c>
      <c r="I1145" s="320">
        <v>7.5372</v>
      </c>
      <c r="J1145" s="320">
        <v>84.61</v>
      </c>
      <c r="K1145" s="320">
        <v>50.65</v>
      </c>
      <c r="L1145" s="320">
        <v>24.59</v>
      </c>
      <c r="M1145" s="320">
        <v>0.4855</v>
      </c>
      <c r="N1145" s="320">
        <v>0.581</v>
      </c>
      <c r="O1145" s="320">
        <v>0.3229</v>
      </c>
      <c r="P1145" s="320">
        <v>2.0599</v>
      </c>
      <c r="Q1145" s="320">
        <v>285.41</v>
      </c>
      <c r="R1145" s="320">
        <v>245.47</v>
      </c>
      <c r="S1145" s="320">
        <v>39.94</v>
      </c>
      <c r="T1145" s="320">
        <v>171.9</v>
      </c>
      <c r="U1145" s="320">
        <v>113.51</v>
      </c>
      <c r="V1145" s="320">
        <v>313.57</v>
      </c>
      <c r="W1145" s="320">
        <v>6.1914</v>
      </c>
      <c r="X1145" s="320">
        <v>60.23</v>
      </c>
      <c r="Y1145" s="320">
        <v>81.0</v>
      </c>
      <c r="Z1145" s="320">
        <v>179.0</v>
      </c>
      <c r="AA1145" s="320">
        <v>587.0</v>
      </c>
      <c r="AB1145" s="320">
        <v>54.2262</v>
      </c>
      <c r="AC1145" s="320">
        <v>0.6261</v>
      </c>
      <c r="AD1145" s="320">
        <v>15.07</v>
      </c>
      <c r="AE1145" s="320">
        <v>5.0</v>
      </c>
      <c r="AF1145" s="320">
        <v>11.0</v>
      </c>
      <c r="AG1145" s="320">
        <v>21.0</v>
      </c>
      <c r="AH1145" s="320">
        <v>33.0</v>
      </c>
      <c r="AI1145" s="320">
        <v>49.08</v>
      </c>
      <c r="AJ1145" s="320">
        <v>18.19</v>
      </c>
      <c r="AK1145" s="320">
        <v>5.13</v>
      </c>
      <c r="AL1145" s="320">
        <v>0.1723</v>
      </c>
      <c r="AM1145" s="320">
        <v>20.16</v>
      </c>
      <c r="AN1145" s="320">
        <v>225.31</v>
      </c>
      <c r="AO1145" s="320">
        <v>75.63</v>
      </c>
      <c r="AP1145" s="320">
        <v>15.25</v>
      </c>
    </row>
    <row r="1146">
      <c r="A1146" s="319" t="s">
        <v>258</v>
      </c>
      <c r="B1146" s="328">
        <v>46120.0</v>
      </c>
      <c r="C1146" s="319" t="s">
        <v>217</v>
      </c>
      <c r="D1146" s="320">
        <v>2955.0</v>
      </c>
      <c r="E1146" s="320">
        <v>3.92</v>
      </c>
      <c r="F1146" s="320">
        <v>19863.47</v>
      </c>
      <c r="G1146" s="320">
        <v>6.722</v>
      </c>
      <c r="H1146" s="320">
        <v>49.37</v>
      </c>
      <c r="I1146" s="320">
        <v>13.6144</v>
      </c>
      <c r="J1146" s="320">
        <v>132.5</v>
      </c>
      <c r="K1146" s="320">
        <v>81.96</v>
      </c>
      <c r="L1146" s="320">
        <v>50.34</v>
      </c>
      <c r="M1146" s="320">
        <v>0.6142</v>
      </c>
      <c r="N1146" s="320">
        <v>0.4665</v>
      </c>
      <c r="O1146" s="320">
        <v>0.2586</v>
      </c>
      <c r="P1146" s="320">
        <v>1.6281</v>
      </c>
      <c r="Q1146" s="320">
        <v>612.14</v>
      </c>
      <c r="R1146" s="320">
        <v>527.97</v>
      </c>
      <c r="S1146" s="320">
        <v>84.16</v>
      </c>
      <c r="T1146" s="320">
        <v>426.08</v>
      </c>
      <c r="U1146" s="320">
        <v>186.05</v>
      </c>
      <c r="V1146" s="320">
        <v>657.31</v>
      </c>
      <c r="W1146" s="320">
        <v>8.0199</v>
      </c>
      <c r="X1146" s="320">
        <v>69.61</v>
      </c>
      <c r="Y1146" s="320">
        <v>83.0</v>
      </c>
      <c r="Z1146" s="320">
        <v>226.0</v>
      </c>
      <c r="AA1146" s="320">
        <v>839.0</v>
      </c>
      <c r="AB1146" s="320">
        <v>56.9804</v>
      </c>
      <c r="AC1146" s="320">
        <v>0.7252</v>
      </c>
      <c r="AD1146" s="320">
        <v>31.74</v>
      </c>
      <c r="AE1146" s="320">
        <v>10.0</v>
      </c>
      <c r="AF1146" s="320">
        <v>22.0</v>
      </c>
      <c r="AG1146" s="320">
        <v>45.0</v>
      </c>
      <c r="AH1146" s="320">
        <v>73.0</v>
      </c>
      <c r="AI1146" s="320">
        <v>42.47</v>
      </c>
      <c r="AJ1146" s="320">
        <v>16.01</v>
      </c>
      <c r="AK1146" s="320">
        <v>4.06</v>
      </c>
      <c r="AL1146" s="320">
        <v>0.1313</v>
      </c>
      <c r="AM1146" s="320">
        <v>19.73</v>
      </c>
      <c r="AN1146" s="320">
        <v>508.25</v>
      </c>
      <c r="AO1146" s="320">
        <v>79.85</v>
      </c>
      <c r="AP1146" s="320">
        <v>15.75</v>
      </c>
    </row>
    <row r="1147">
      <c r="A1147" s="319" t="s">
        <v>258</v>
      </c>
      <c r="B1147" s="328">
        <v>46120.0</v>
      </c>
      <c r="C1147" s="319" t="s">
        <v>218</v>
      </c>
      <c r="D1147" s="320">
        <v>281.0</v>
      </c>
      <c r="E1147" s="320">
        <v>0.37</v>
      </c>
      <c r="F1147" s="320">
        <v>3525.87</v>
      </c>
      <c r="G1147" s="320">
        <v>12.5476</v>
      </c>
      <c r="H1147" s="320">
        <v>56.94</v>
      </c>
      <c r="I1147" s="320">
        <v>22.0367</v>
      </c>
      <c r="J1147" s="320">
        <v>249.12</v>
      </c>
      <c r="K1147" s="320">
        <v>162.51</v>
      </c>
      <c r="L1147" s="320">
        <v>120.79</v>
      </c>
      <c r="M1147" s="320">
        <v>0.7433</v>
      </c>
      <c r="N1147" s="320">
        <v>0.3413</v>
      </c>
      <c r="O1147" s="320">
        <v>0.1964</v>
      </c>
      <c r="P1147" s="320">
        <v>1.3454</v>
      </c>
      <c r="Q1147" s="320">
        <v>1162.61</v>
      </c>
      <c r="R1147" s="320">
        <v>957.9</v>
      </c>
      <c r="S1147" s="320">
        <v>204.72</v>
      </c>
      <c r="T1147" s="320">
        <v>778.52</v>
      </c>
      <c r="U1147" s="320">
        <v>384.09</v>
      </c>
      <c r="V1147" s="320">
        <v>1251.96</v>
      </c>
      <c r="W1147" s="320">
        <v>7.7041</v>
      </c>
      <c r="X1147" s="320">
        <v>66.96</v>
      </c>
      <c r="Y1147" s="320">
        <v>108.0</v>
      </c>
      <c r="Z1147" s="320">
        <v>474.0</v>
      </c>
      <c r="AA1147" s="320">
        <v>1710.0</v>
      </c>
      <c r="AB1147" s="320">
        <v>61.1245</v>
      </c>
      <c r="AC1147" s="320">
        <v>0.8083</v>
      </c>
      <c r="AD1147" s="320">
        <v>75.33</v>
      </c>
      <c r="AE1147" s="320">
        <v>25.0</v>
      </c>
      <c r="AF1147" s="320">
        <v>52.0</v>
      </c>
      <c r="AG1147" s="320">
        <v>106.0</v>
      </c>
      <c r="AH1147" s="320">
        <v>179.0</v>
      </c>
      <c r="AI1147" s="320">
        <v>35.94</v>
      </c>
      <c r="AJ1147" s="320">
        <v>11.03</v>
      </c>
      <c r="AK1147" s="320">
        <v>1.42</v>
      </c>
      <c r="AL1147" s="320">
        <v>0.1103</v>
      </c>
      <c r="AM1147" s="320">
        <v>20.0</v>
      </c>
      <c r="AN1147" s="320">
        <v>937.9</v>
      </c>
      <c r="AO1147" s="320">
        <v>77.53</v>
      </c>
      <c r="AP1147" s="320">
        <v>15.51</v>
      </c>
    </row>
    <row r="1148">
      <c r="A1148" s="319" t="s">
        <v>258</v>
      </c>
      <c r="B1148" s="328">
        <v>46121.0</v>
      </c>
      <c r="C1148" s="319" t="s">
        <v>257</v>
      </c>
      <c r="D1148" s="320">
        <v>16629.0</v>
      </c>
      <c r="E1148" s="320">
        <v>22.51</v>
      </c>
      <c r="F1148" s="320">
        <v>88.25</v>
      </c>
      <c r="G1148" s="320">
        <v>0.0053</v>
      </c>
      <c r="H1148" s="320">
        <v>0.13</v>
      </c>
      <c r="I1148" s="320">
        <v>4.2024</v>
      </c>
      <c r="J1148" s="320">
        <v>6.15</v>
      </c>
      <c r="K1148" s="320">
        <v>2.76</v>
      </c>
      <c r="L1148" s="320">
        <v>0.04</v>
      </c>
      <c r="M1148" s="320">
        <v>0.0148</v>
      </c>
      <c r="N1148" s="320">
        <v>0.9863</v>
      </c>
      <c r="O1148" s="320">
        <v>0.8119</v>
      </c>
      <c r="P1148" s="320">
        <v>67.7001</v>
      </c>
      <c r="Q1148" s="320">
        <v>23.84</v>
      </c>
      <c r="R1148" s="320">
        <v>23.79</v>
      </c>
      <c r="S1148" s="320">
        <v>0.04</v>
      </c>
      <c r="T1148" s="320">
        <v>0.46</v>
      </c>
      <c r="U1148" s="320">
        <v>23.38</v>
      </c>
      <c r="V1148" s="320">
        <v>2.07</v>
      </c>
      <c r="W1148" s="320">
        <v>0.7495</v>
      </c>
      <c r="X1148" s="320">
        <v>1.94</v>
      </c>
      <c r="Y1148" s="320">
        <v>141.0</v>
      </c>
      <c r="Z1148" s="320">
        <v>1061.0</v>
      </c>
      <c r="AA1148" s="320">
        <v>7173.0</v>
      </c>
      <c r="AB1148" s="320">
        <v>49.7678</v>
      </c>
      <c r="AC1148" s="320">
        <v>0.5092</v>
      </c>
      <c r="AD1148" s="329"/>
      <c r="AE1148" s="329"/>
      <c r="AF1148" s="329"/>
      <c r="AG1148" s="329"/>
      <c r="AH1148" s="329"/>
      <c r="AI1148" s="320">
        <v>0.0</v>
      </c>
      <c r="AJ1148" s="320">
        <v>0.0</v>
      </c>
      <c r="AK1148" s="320">
        <v>0.0</v>
      </c>
      <c r="AL1148" s="320">
        <v>0.2727</v>
      </c>
      <c r="AM1148" s="320">
        <v>16.21</v>
      </c>
      <c r="AN1148" s="320">
        <v>7.59</v>
      </c>
      <c r="AO1148" s="329"/>
      <c r="AP1148" s="329"/>
    </row>
    <row r="1149">
      <c r="A1149" s="319" t="s">
        <v>258</v>
      </c>
      <c r="B1149" s="328">
        <v>46121.0</v>
      </c>
      <c r="C1149" s="319" t="s">
        <v>214</v>
      </c>
      <c r="D1149" s="320">
        <v>31918.0</v>
      </c>
      <c r="E1149" s="320">
        <v>43.2</v>
      </c>
      <c r="F1149" s="320">
        <v>7452.19</v>
      </c>
      <c r="G1149" s="320">
        <v>0.2335</v>
      </c>
      <c r="H1149" s="320">
        <v>6.7</v>
      </c>
      <c r="I1149" s="320">
        <v>3.4823</v>
      </c>
      <c r="J1149" s="320">
        <v>28.67</v>
      </c>
      <c r="K1149" s="320">
        <v>15.1</v>
      </c>
      <c r="L1149" s="320">
        <v>4.91</v>
      </c>
      <c r="M1149" s="320">
        <v>0.3252</v>
      </c>
      <c r="N1149" s="320">
        <v>0.7487</v>
      </c>
      <c r="O1149" s="320">
        <v>0.5183</v>
      </c>
      <c r="P1149" s="320">
        <v>3.0754</v>
      </c>
      <c r="Q1149" s="320">
        <v>62.0</v>
      </c>
      <c r="R1149" s="320">
        <v>52.74</v>
      </c>
      <c r="S1149" s="320">
        <v>9.26</v>
      </c>
      <c r="T1149" s="320">
        <v>15.82</v>
      </c>
      <c r="U1149" s="320">
        <v>46.18</v>
      </c>
      <c r="V1149" s="320">
        <v>66.62</v>
      </c>
      <c r="W1149" s="320">
        <v>4.411</v>
      </c>
      <c r="X1149" s="320">
        <v>25.51</v>
      </c>
      <c r="Y1149" s="320">
        <v>85.0</v>
      </c>
      <c r="Z1149" s="320">
        <v>197.0</v>
      </c>
      <c r="AA1149" s="320">
        <v>810.0</v>
      </c>
      <c r="AB1149" s="320">
        <v>49.7853</v>
      </c>
      <c r="AC1149" s="320">
        <v>0.4491</v>
      </c>
      <c r="AD1149" s="320">
        <v>3.36</v>
      </c>
      <c r="AE1149" s="320">
        <v>1.0</v>
      </c>
      <c r="AF1149" s="320">
        <v>2.0</v>
      </c>
      <c r="AG1149" s="320">
        <v>4.0</v>
      </c>
      <c r="AH1149" s="320">
        <v>8.0</v>
      </c>
      <c r="AI1149" s="320">
        <v>64.26</v>
      </c>
      <c r="AJ1149" s="320">
        <v>23.16</v>
      </c>
      <c r="AK1149" s="320">
        <v>6.45</v>
      </c>
      <c r="AL1149" s="320">
        <v>0.2238</v>
      </c>
      <c r="AM1149" s="320">
        <v>20.09</v>
      </c>
      <c r="AN1149" s="320">
        <v>32.65</v>
      </c>
      <c r="AO1149" s="320">
        <v>68.61</v>
      </c>
      <c r="AP1149" s="320">
        <v>13.78</v>
      </c>
    </row>
    <row r="1150">
      <c r="A1150" s="319" t="s">
        <v>258</v>
      </c>
      <c r="B1150" s="328">
        <v>46121.0</v>
      </c>
      <c r="C1150" s="319" t="s">
        <v>215</v>
      </c>
      <c r="D1150" s="320">
        <v>14796.0</v>
      </c>
      <c r="E1150" s="320">
        <v>20.03</v>
      </c>
      <c r="F1150" s="320">
        <v>15723.74</v>
      </c>
      <c r="G1150" s="320">
        <v>1.0627</v>
      </c>
      <c r="H1150" s="320">
        <v>21.57</v>
      </c>
      <c r="I1150" s="320">
        <v>4.9275</v>
      </c>
      <c r="J1150" s="320">
        <v>51.77</v>
      </c>
      <c r="K1150" s="320">
        <v>29.0</v>
      </c>
      <c r="L1150" s="320">
        <v>12.87</v>
      </c>
      <c r="M1150" s="320">
        <v>0.4437</v>
      </c>
      <c r="N1150" s="320">
        <v>0.6252</v>
      </c>
      <c r="O1150" s="320">
        <v>0.3647</v>
      </c>
      <c r="P1150" s="320">
        <v>2.254</v>
      </c>
      <c r="Q1150" s="320">
        <v>163.45</v>
      </c>
      <c r="R1150" s="320">
        <v>139.82</v>
      </c>
      <c r="S1150" s="320">
        <v>23.63</v>
      </c>
      <c r="T1150" s="320">
        <v>71.03</v>
      </c>
      <c r="U1150" s="320">
        <v>92.42</v>
      </c>
      <c r="V1150" s="320">
        <v>165.3</v>
      </c>
      <c r="W1150" s="320">
        <v>5.6993</v>
      </c>
      <c r="X1150" s="320">
        <v>43.46</v>
      </c>
      <c r="Y1150" s="320">
        <v>81.0</v>
      </c>
      <c r="Z1150" s="320">
        <v>172.0</v>
      </c>
      <c r="AA1150" s="320">
        <v>574.0</v>
      </c>
      <c r="AB1150" s="320">
        <v>52.4906</v>
      </c>
      <c r="AC1150" s="320">
        <v>0.5338</v>
      </c>
      <c r="AD1150" s="320">
        <v>8.27</v>
      </c>
      <c r="AE1150" s="320">
        <v>2.0</v>
      </c>
      <c r="AF1150" s="320">
        <v>6.0</v>
      </c>
      <c r="AG1150" s="320">
        <v>11.0</v>
      </c>
      <c r="AH1150" s="320">
        <v>19.0</v>
      </c>
      <c r="AI1150" s="320">
        <v>50.78</v>
      </c>
      <c r="AJ1150" s="320">
        <v>21.54</v>
      </c>
      <c r="AK1150" s="320">
        <v>4.1</v>
      </c>
      <c r="AL1150" s="320">
        <v>0.2012</v>
      </c>
      <c r="AM1150" s="320">
        <v>20.22</v>
      </c>
      <c r="AN1150" s="320">
        <v>119.6</v>
      </c>
      <c r="AO1150" s="320">
        <v>73.28</v>
      </c>
      <c r="AP1150" s="320">
        <v>14.82</v>
      </c>
    </row>
    <row r="1151">
      <c r="A1151" s="319" t="s">
        <v>258</v>
      </c>
      <c r="B1151" s="328">
        <v>46121.0</v>
      </c>
      <c r="C1151" s="319" t="s">
        <v>216</v>
      </c>
      <c r="D1151" s="320">
        <v>7293.0</v>
      </c>
      <c r="E1151" s="320">
        <v>9.87</v>
      </c>
      <c r="F1151" s="320">
        <v>17462.45</v>
      </c>
      <c r="G1151" s="320">
        <v>2.3944</v>
      </c>
      <c r="H1151" s="320">
        <v>33.48</v>
      </c>
      <c r="I1151" s="320">
        <v>7.1509</v>
      </c>
      <c r="J1151" s="320">
        <v>79.64</v>
      </c>
      <c r="K1151" s="320">
        <v>47.1</v>
      </c>
      <c r="L1151" s="320">
        <v>25.27</v>
      </c>
      <c r="M1151" s="320">
        <v>0.5366</v>
      </c>
      <c r="N1151" s="320">
        <v>0.5382</v>
      </c>
      <c r="O1151" s="320">
        <v>0.3</v>
      </c>
      <c r="P1151" s="320">
        <v>1.8636</v>
      </c>
      <c r="Q1151" s="320">
        <v>333.15</v>
      </c>
      <c r="R1151" s="320">
        <v>284.9</v>
      </c>
      <c r="S1151" s="320">
        <v>48.26</v>
      </c>
      <c r="T1151" s="320">
        <v>155.6</v>
      </c>
      <c r="U1151" s="320">
        <v>177.55</v>
      </c>
      <c r="V1151" s="320">
        <v>334.69</v>
      </c>
      <c r="W1151" s="320">
        <v>7.1057</v>
      </c>
      <c r="X1151" s="320">
        <v>46.71</v>
      </c>
      <c r="Y1151" s="320">
        <v>85.0</v>
      </c>
      <c r="Z1151" s="320">
        <v>202.0</v>
      </c>
      <c r="AA1151" s="320">
        <v>606.0</v>
      </c>
      <c r="AB1151" s="320">
        <v>54.1685</v>
      </c>
      <c r="AC1151" s="320">
        <v>0.6294</v>
      </c>
      <c r="AD1151" s="320">
        <v>16.67</v>
      </c>
      <c r="AE1151" s="320">
        <v>5.0</v>
      </c>
      <c r="AF1151" s="320">
        <v>11.0</v>
      </c>
      <c r="AG1151" s="320">
        <v>23.0</v>
      </c>
      <c r="AH1151" s="320">
        <v>38.0</v>
      </c>
      <c r="AI1151" s="320">
        <v>52.64</v>
      </c>
      <c r="AJ1151" s="320">
        <v>21.84</v>
      </c>
      <c r="AK1151" s="320">
        <v>7.61</v>
      </c>
      <c r="AL1151" s="320">
        <v>0.1866</v>
      </c>
      <c r="AM1151" s="320">
        <v>20.5</v>
      </c>
      <c r="AN1151" s="320">
        <v>264.39</v>
      </c>
      <c r="AO1151" s="320">
        <v>76.63</v>
      </c>
      <c r="AP1151" s="320">
        <v>15.71</v>
      </c>
    </row>
    <row r="1152">
      <c r="A1152" s="319" t="s">
        <v>258</v>
      </c>
      <c r="B1152" s="328">
        <v>46121.0</v>
      </c>
      <c r="C1152" s="319" t="s">
        <v>217</v>
      </c>
      <c r="D1152" s="320">
        <v>2952.0</v>
      </c>
      <c r="E1152" s="320">
        <v>4.0</v>
      </c>
      <c r="F1152" s="320">
        <v>16657.01</v>
      </c>
      <c r="G1152" s="320">
        <v>5.6426</v>
      </c>
      <c r="H1152" s="320">
        <v>42.55</v>
      </c>
      <c r="I1152" s="320">
        <v>13.262</v>
      </c>
      <c r="J1152" s="320">
        <v>125.61</v>
      </c>
      <c r="K1152" s="320">
        <v>77.56</v>
      </c>
      <c r="L1152" s="320">
        <v>52.47</v>
      </c>
      <c r="M1152" s="320">
        <v>0.6766</v>
      </c>
      <c r="N1152" s="320">
        <v>0.4138</v>
      </c>
      <c r="O1152" s="320">
        <v>0.2398</v>
      </c>
      <c r="P1152" s="320">
        <v>1.478</v>
      </c>
      <c r="Q1152" s="320">
        <v>729.95</v>
      </c>
      <c r="R1152" s="320">
        <v>629.9</v>
      </c>
      <c r="S1152" s="320">
        <v>100.05</v>
      </c>
      <c r="T1152" s="320">
        <v>355.6</v>
      </c>
      <c r="U1152" s="320">
        <v>374.34</v>
      </c>
      <c r="V1152" s="320">
        <v>720.41</v>
      </c>
      <c r="W1152" s="320">
        <v>9.2889</v>
      </c>
      <c r="X1152" s="320">
        <v>48.72</v>
      </c>
      <c r="Y1152" s="320">
        <v>94.0</v>
      </c>
      <c r="Z1152" s="320">
        <v>300.0</v>
      </c>
      <c r="AA1152" s="320">
        <v>874.0</v>
      </c>
      <c r="AB1152" s="320">
        <v>57.1496</v>
      </c>
      <c r="AC1152" s="320">
        <v>0.7198</v>
      </c>
      <c r="AD1152" s="320">
        <v>35.08</v>
      </c>
      <c r="AE1152" s="320">
        <v>11.0</v>
      </c>
      <c r="AF1152" s="320">
        <v>27.0</v>
      </c>
      <c r="AG1152" s="320">
        <v>50.0</v>
      </c>
      <c r="AH1152" s="320">
        <v>77.0</v>
      </c>
      <c r="AI1152" s="320">
        <v>48.71</v>
      </c>
      <c r="AJ1152" s="320">
        <v>18.12</v>
      </c>
      <c r="AK1152" s="320">
        <v>4.78</v>
      </c>
      <c r="AL1152" s="320">
        <v>0.1484</v>
      </c>
      <c r="AM1152" s="320">
        <v>20.78</v>
      </c>
      <c r="AN1152" s="320">
        <v>609.12</v>
      </c>
      <c r="AO1152" s="320">
        <v>79.02</v>
      </c>
      <c r="AP1152" s="320">
        <v>16.42</v>
      </c>
    </row>
    <row r="1153">
      <c r="A1153" s="319" t="s">
        <v>258</v>
      </c>
      <c r="B1153" s="328">
        <v>46121.0</v>
      </c>
      <c r="C1153" s="319" t="s">
        <v>218</v>
      </c>
      <c r="D1153" s="320">
        <v>293.0</v>
      </c>
      <c r="E1153" s="320">
        <v>0.4</v>
      </c>
      <c r="F1153" s="320">
        <v>2809.5</v>
      </c>
      <c r="G1153" s="320">
        <v>9.5887</v>
      </c>
      <c r="H1153" s="320">
        <v>45.05</v>
      </c>
      <c r="I1153" s="320">
        <v>21.2841</v>
      </c>
      <c r="J1153" s="320">
        <v>256.69</v>
      </c>
      <c r="K1153" s="320">
        <v>168.37</v>
      </c>
      <c r="L1153" s="320">
        <v>135.06</v>
      </c>
      <c r="M1153" s="320">
        <v>0.8022</v>
      </c>
      <c r="N1153" s="320">
        <v>0.2885</v>
      </c>
      <c r="O1153" s="320">
        <v>0.1778</v>
      </c>
      <c r="P1153" s="320">
        <v>1.2466</v>
      </c>
      <c r="Q1153" s="320">
        <v>1394.1</v>
      </c>
      <c r="R1153" s="320">
        <v>1136.32</v>
      </c>
      <c r="S1153" s="320">
        <v>257.78</v>
      </c>
      <c r="T1153" s="320">
        <v>595.1</v>
      </c>
      <c r="U1153" s="320">
        <v>799.0</v>
      </c>
      <c r="V1153" s="320">
        <v>1376.62</v>
      </c>
      <c r="W1153" s="320">
        <v>8.1761</v>
      </c>
      <c r="X1153" s="320">
        <v>42.69</v>
      </c>
      <c r="Y1153" s="320">
        <v>185.0</v>
      </c>
      <c r="Z1153" s="320">
        <v>725.0</v>
      </c>
      <c r="AA1153" s="320">
        <v>2100.0</v>
      </c>
      <c r="AB1153" s="320">
        <v>61.1346</v>
      </c>
      <c r="AC1153" s="320">
        <v>0.8127</v>
      </c>
      <c r="AD1153" s="320">
        <v>92.71</v>
      </c>
      <c r="AE1153" s="320">
        <v>32.0</v>
      </c>
      <c r="AF1153" s="320">
        <v>68.0</v>
      </c>
      <c r="AG1153" s="320">
        <v>135.0</v>
      </c>
      <c r="AH1153" s="320">
        <v>185.0</v>
      </c>
      <c r="AI1153" s="320">
        <v>44.37</v>
      </c>
      <c r="AJ1153" s="320">
        <v>12.29</v>
      </c>
      <c r="AK1153" s="320">
        <v>3.41</v>
      </c>
      <c r="AL1153" s="320">
        <v>0.0887</v>
      </c>
      <c r="AM1153" s="320">
        <v>25.02</v>
      </c>
      <c r="AN1153" s="320">
        <v>1111.3</v>
      </c>
      <c r="AO1153" s="320">
        <v>77.86</v>
      </c>
      <c r="AP1153" s="320">
        <v>19.48</v>
      </c>
    </row>
    <row r="1154">
      <c r="A1154" s="319" t="s">
        <v>258</v>
      </c>
      <c r="B1154" s="328">
        <v>46122.0</v>
      </c>
      <c r="C1154" s="319" t="s">
        <v>257</v>
      </c>
      <c r="D1154" s="320">
        <v>14770.0</v>
      </c>
      <c r="E1154" s="320">
        <v>20.37</v>
      </c>
      <c r="F1154" s="320">
        <v>238.4</v>
      </c>
      <c r="G1154" s="320">
        <v>0.0161</v>
      </c>
      <c r="H1154" s="320">
        <v>0.43</v>
      </c>
      <c r="I1154" s="320">
        <v>3.7841</v>
      </c>
      <c r="J1154" s="320">
        <v>5.62</v>
      </c>
      <c r="K1154" s="320">
        <v>2.3</v>
      </c>
      <c r="L1154" s="320">
        <v>0.03</v>
      </c>
      <c r="M1154" s="320">
        <v>0.0139</v>
      </c>
      <c r="N1154" s="320">
        <v>0.9876</v>
      </c>
      <c r="O1154" s="320">
        <v>0.8429</v>
      </c>
      <c r="P1154" s="320">
        <v>72.0381</v>
      </c>
      <c r="Q1154" s="320">
        <v>31.51</v>
      </c>
      <c r="R1154" s="320">
        <v>31.45</v>
      </c>
      <c r="S1154" s="320">
        <v>0.06</v>
      </c>
      <c r="T1154" s="320">
        <v>1.22</v>
      </c>
      <c r="U1154" s="320">
        <v>30.28</v>
      </c>
      <c r="V1154" s="320">
        <v>1.74</v>
      </c>
      <c r="W1154" s="320">
        <v>0.7573</v>
      </c>
      <c r="X1154" s="320">
        <v>3.88</v>
      </c>
      <c r="Y1154" s="320">
        <v>183.0</v>
      </c>
      <c r="Z1154" s="320">
        <v>1361.0</v>
      </c>
      <c r="AA1154" s="320">
        <v>8201.0</v>
      </c>
      <c r="AB1154" s="320">
        <v>50.026</v>
      </c>
      <c r="AC1154" s="320">
        <v>0.5251</v>
      </c>
      <c r="AD1154" s="329"/>
      <c r="AE1154" s="329"/>
      <c r="AF1154" s="329"/>
      <c r="AG1154" s="329"/>
      <c r="AH1154" s="329"/>
      <c r="AI1154" s="320">
        <v>0.0</v>
      </c>
      <c r="AJ1154" s="320">
        <v>0.0</v>
      </c>
      <c r="AK1154" s="320">
        <v>0.0</v>
      </c>
      <c r="AL1154" s="320">
        <v>0.3032</v>
      </c>
      <c r="AM1154" s="320">
        <v>17.15</v>
      </c>
      <c r="AN1154" s="320">
        <v>14.3</v>
      </c>
      <c r="AO1154" s="329"/>
      <c r="AP1154" s="329"/>
    </row>
    <row r="1155">
      <c r="A1155" s="319" t="s">
        <v>258</v>
      </c>
      <c r="B1155" s="328">
        <v>46122.0</v>
      </c>
      <c r="C1155" s="319" t="s">
        <v>214</v>
      </c>
      <c r="D1155" s="320">
        <v>32743.0</v>
      </c>
      <c r="E1155" s="320">
        <v>45.15</v>
      </c>
      <c r="F1155" s="320">
        <v>8674.08</v>
      </c>
      <c r="G1155" s="320">
        <v>0.2649</v>
      </c>
      <c r="H1155" s="320">
        <v>7.17</v>
      </c>
      <c r="I1155" s="320">
        <v>3.6958</v>
      </c>
      <c r="J1155" s="320">
        <v>33.28</v>
      </c>
      <c r="K1155" s="320">
        <v>17.69</v>
      </c>
      <c r="L1155" s="320">
        <v>5.63</v>
      </c>
      <c r="M1155" s="320">
        <v>0.3183</v>
      </c>
      <c r="N1155" s="320">
        <v>0.7522</v>
      </c>
      <c r="O1155" s="320">
        <v>0.509</v>
      </c>
      <c r="P1155" s="320">
        <v>3.1421</v>
      </c>
      <c r="Q1155" s="320">
        <v>88.41</v>
      </c>
      <c r="R1155" s="320">
        <v>76.87</v>
      </c>
      <c r="S1155" s="320">
        <v>11.54</v>
      </c>
      <c r="T1155" s="320">
        <v>17.96</v>
      </c>
      <c r="U1155" s="320">
        <v>70.44</v>
      </c>
      <c r="V1155" s="320">
        <v>80.58</v>
      </c>
      <c r="W1155" s="320">
        <v>4.5551</v>
      </c>
      <c r="X1155" s="320">
        <v>20.32</v>
      </c>
      <c r="Y1155" s="320">
        <v>89.0</v>
      </c>
      <c r="Z1155" s="320">
        <v>212.0</v>
      </c>
      <c r="AA1155" s="320">
        <v>842.0</v>
      </c>
      <c r="AB1155" s="320">
        <v>49.6428</v>
      </c>
      <c r="AC1155" s="320">
        <v>0.4461</v>
      </c>
      <c r="AD1155" s="320">
        <v>3.72</v>
      </c>
      <c r="AE1155" s="320">
        <v>1.0</v>
      </c>
      <c r="AF1155" s="320">
        <v>2.0</v>
      </c>
      <c r="AG1155" s="320">
        <v>5.0</v>
      </c>
      <c r="AH1155" s="320">
        <v>9.0</v>
      </c>
      <c r="AI1155" s="320">
        <v>68.91</v>
      </c>
      <c r="AJ1155" s="320">
        <v>26.95</v>
      </c>
      <c r="AK1155" s="320">
        <v>7.8</v>
      </c>
      <c r="AL1155" s="320">
        <v>0.2348</v>
      </c>
      <c r="AM1155" s="320">
        <v>21.22</v>
      </c>
      <c r="AN1155" s="320">
        <v>55.65</v>
      </c>
      <c r="AO1155" s="320">
        <v>68.63</v>
      </c>
      <c r="AP1155" s="320">
        <v>14.56</v>
      </c>
    </row>
    <row r="1156">
      <c r="A1156" s="319" t="s">
        <v>258</v>
      </c>
      <c r="B1156" s="328">
        <v>46122.0</v>
      </c>
      <c r="C1156" s="319" t="s">
        <v>215</v>
      </c>
      <c r="D1156" s="320">
        <v>14470.0</v>
      </c>
      <c r="E1156" s="320">
        <v>19.95</v>
      </c>
      <c r="F1156" s="320">
        <v>15412.42</v>
      </c>
      <c r="G1156" s="320">
        <v>1.0651</v>
      </c>
      <c r="H1156" s="320">
        <v>22.23</v>
      </c>
      <c r="I1156" s="320">
        <v>4.7924</v>
      </c>
      <c r="J1156" s="320">
        <v>60.69</v>
      </c>
      <c r="K1156" s="320">
        <v>34.63</v>
      </c>
      <c r="L1156" s="320">
        <v>14.47</v>
      </c>
      <c r="M1156" s="320">
        <v>0.4179</v>
      </c>
      <c r="N1156" s="320">
        <v>0.6468</v>
      </c>
      <c r="O1156" s="320">
        <v>0.374</v>
      </c>
      <c r="P1156" s="320">
        <v>2.3928</v>
      </c>
      <c r="Q1156" s="320">
        <v>190.76</v>
      </c>
      <c r="R1156" s="320">
        <v>161.29</v>
      </c>
      <c r="S1156" s="320">
        <v>29.48</v>
      </c>
      <c r="T1156" s="320">
        <v>72.36</v>
      </c>
      <c r="U1156" s="320">
        <v>118.4</v>
      </c>
      <c r="V1156" s="320">
        <v>190.39</v>
      </c>
      <c r="W1156" s="320">
        <v>5.4976</v>
      </c>
      <c r="X1156" s="320">
        <v>37.93</v>
      </c>
      <c r="Y1156" s="320">
        <v>82.0</v>
      </c>
      <c r="Z1156" s="320">
        <v>177.0</v>
      </c>
      <c r="AA1156" s="320">
        <v>557.0</v>
      </c>
      <c r="AB1156" s="320">
        <v>52.3129</v>
      </c>
      <c r="AC1156" s="320">
        <v>0.535</v>
      </c>
      <c r="AD1156" s="320">
        <v>9.21</v>
      </c>
      <c r="AE1156" s="320">
        <v>3.0</v>
      </c>
      <c r="AF1156" s="320">
        <v>7.0</v>
      </c>
      <c r="AG1156" s="320">
        <v>13.0</v>
      </c>
      <c r="AH1156" s="320">
        <v>20.0</v>
      </c>
      <c r="AI1156" s="320">
        <v>56.65</v>
      </c>
      <c r="AJ1156" s="320">
        <v>25.6</v>
      </c>
      <c r="AK1156" s="320">
        <v>5.21</v>
      </c>
      <c r="AL1156" s="320">
        <v>0.2186</v>
      </c>
      <c r="AM1156" s="320">
        <v>21.89</v>
      </c>
      <c r="AN1156" s="320">
        <v>139.4</v>
      </c>
      <c r="AO1156" s="320">
        <v>73.58</v>
      </c>
      <c r="AP1156" s="320">
        <v>16.11</v>
      </c>
    </row>
    <row r="1157">
      <c r="A1157" s="319" t="s">
        <v>258</v>
      </c>
      <c r="B1157" s="328">
        <v>46122.0</v>
      </c>
      <c r="C1157" s="319" t="s">
        <v>216</v>
      </c>
      <c r="D1157" s="320">
        <v>7366.0</v>
      </c>
      <c r="E1157" s="320">
        <v>10.16</v>
      </c>
      <c r="F1157" s="320">
        <v>19852.23</v>
      </c>
      <c r="G1157" s="320">
        <v>2.6951</v>
      </c>
      <c r="H1157" s="320">
        <v>34.81</v>
      </c>
      <c r="I1157" s="320">
        <v>7.7427</v>
      </c>
      <c r="J1157" s="320">
        <v>90.92</v>
      </c>
      <c r="K1157" s="320">
        <v>54.27</v>
      </c>
      <c r="L1157" s="320">
        <v>27.79</v>
      </c>
      <c r="M1157" s="320">
        <v>0.5121</v>
      </c>
      <c r="N1157" s="320">
        <v>0.5574</v>
      </c>
      <c r="O1157" s="320">
        <v>0.3071</v>
      </c>
      <c r="P1157" s="320">
        <v>1.9526</v>
      </c>
      <c r="Q1157" s="320">
        <v>360.22</v>
      </c>
      <c r="R1157" s="320">
        <v>302.49</v>
      </c>
      <c r="S1157" s="320">
        <v>57.73</v>
      </c>
      <c r="T1157" s="320">
        <v>176.59</v>
      </c>
      <c r="U1157" s="320">
        <v>183.62</v>
      </c>
      <c r="V1157" s="320">
        <v>360.85</v>
      </c>
      <c r="W1157" s="320">
        <v>6.6491</v>
      </c>
      <c r="X1157" s="320">
        <v>49.02</v>
      </c>
      <c r="Y1157" s="320">
        <v>87.0</v>
      </c>
      <c r="Z1157" s="320">
        <v>207.0</v>
      </c>
      <c r="AA1157" s="320">
        <v>666.0</v>
      </c>
      <c r="AB1157" s="320">
        <v>54.2303</v>
      </c>
      <c r="AC1157" s="320">
        <v>0.6281</v>
      </c>
      <c r="AD1157" s="320">
        <v>17.42</v>
      </c>
      <c r="AE1157" s="320">
        <v>6.0</v>
      </c>
      <c r="AF1157" s="320">
        <v>12.0</v>
      </c>
      <c r="AG1157" s="320">
        <v>24.0</v>
      </c>
      <c r="AH1157" s="320">
        <v>38.0</v>
      </c>
      <c r="AI1157" s="320">
        <v>55.99</v>
      </c>
      <c r="AJ1157" s="320">
        <v>22.66</v>
      </c>
      <c r="AK1157" s="320">
        <v>7.66</v>
      </c>
      <c r="AL1157" s="320">
        <v>0.197</v>
      </c>
      <c r="AM1157" s="320">
        <v>22.05</v>
      </c>
      <c r="AN1157" s="320">
        <v>280.44</v>
      </c>
      <c r="AO1157" s="320">
        <v>77.03</v>
      </c>
      <c r="AP1157" s="320">
        <v>16.99</v>
      </c>
    </row>
    <row r="1158">
      <c r="A1158" s="319" t="s">
        <v>258</v>
      </c>
      <c r="B1158" s="328">
        <v>46122.0</v>
      </c>
      <c r="C1158" s="319" t="s">
        <v>217</v>
      </c>
      <c r="D1158" s="320">
        <v>2868.0</v>
      </c>
      <c r="E1158" s="320">
        <v>3.95</v>
      </c>
      <c r="F1158" s="320">
        <v>18012.08</v>
      </c>
      <c r="G1158" s="320">
        <v>6.2804</v>
      </c>
      <c r="H1158" s="320">
        <v>47.04</v>
      </c>
      <c r="I1158" s="320">
        <v>13.3522</v>
      </c>
      <c r="J1158" s="320">
        <v>136.44</v>
      </c>
      <c r="K1158" s="320">
        <v>84.53</v>
      </c>
      <c r="L1158" s="320">
        <v>54.26</v>
      </c>
      <c r="M1158" s="320">
        <v>0.6419</v>
      </c>
      <c r="N1158" s="320">
        <v>0.442</v>
      </c>
      <c r="O1158" s="320">
        <v>0.247</v>
      </c>
      <c r="P1158" s="320">
        <v>1.5579</v>
      </c>
      <c r="Q1158" s="320">
        <v>693.67</v>
      </c>
      <c r="R1158" s="320">
        <v>581.26</v>
      </c>
      <c r="S1158" s="320">
        <v>112.41</v>
      </c>
      <c r="T1158" s="320">
        <v>399.56</v>
      </c>
      <c r="U1158" s="320">
        <v>294.11</v>
      </c>
      <c r="V1158" s="320">
        <v>709.92</v>
      </c>
      <c r="W1158" s="320">
        <v>8.3982</v>
      </c>
      <c r="X1158" s="320">
        <v>57.6</v>
      </c>
      <c r="Y1158" s="320">
        <v>94.0</v>
      </c>
      <c r="Z1158" s="320">
        <v>284.0</v>
      </c>
      <c r="AA1158" s="320">
        <v>917.0</v>
      </c>
      <c r="AB1158" s="320">
        <v>57.0802</v>
      </c>
      <c r="AC1158" s="320">
        <v>0.7379</v>
      </c>
      <c r="AD1158" s="320">
        <v>34.19</v>
      </c>
      <c r="AE1158" s="320">
        <v>11.0</v>
      </c>
      <c r="AF1158" s="320">
        <v>25.0</v>
      </c>
      <c r="AG1158" s="320">
        <v>48.0</v>
      </c>
      <c r="AH1158" s="320">
        <v>74.0</v>
      </c>
      <c r="AI1158" s="320">
        <v>45.96</v>
      </c>
      <c r="AJ1158" s="320">
        <v>17.19</v>
      </c>
      <c r="AK1158" s="320">
        <v>4.74</v>
      </c>
      <c r="AL1158" s="320">
        <v>0.1635</v>
      </c>
      <c r="AM1158" s="320">
        <v>22.1</v>
      </c>
      <c r="AN1158" s="320">
        <v>559.16</v>
      </c>
      <c r="AO1158" s="320">
        <v>78.88</v>
      </c>
      <c r="AP1158" s="320">
        <v>17.43</v>
      </c>
    </row>
    <row r="1159">
      <c r="A1159" s="319" t="s">
        <v>258</v>
      </c>
      <c r="B1159" s="328">
        <v>46122.0</v>
      </c>
      <c r="C1159" s="319" t="s">
        <v>218</v>
      </c>
      <c r="D1159" s="320">
        <v>299.0</v>
      </c>
      <c r="E1159" s="320">
        <v>0.41</v>
      </c>
      <c r="F1159" s="320">
        <v>3059.42</v>
      </c>
      <c r="G1159" s="320">
        <v>10.2322</v>
      </c>
      <c r="H1159" s="320">
        <v>50.84</v>
      </c>
      <c r="I1159" s="320">
        <v>20.1278</v>
      </c>
      <c r="J1159" s="320">
        <v>261.79</v>
      </c>
      <c r="K1159" s="320">
        <v>171.57</v>
      </c>
      <c r="L1159" s="320">
        <v>129.63</v>
      </c>
      <c r="M1159" s="320">
        <v>0.7556</v>
      </c>
      <c r="N1159" s="320">
        <v>0.3279</v>
      </c>
      <c r="O1159" s="320">
        <v>0.1885</v>
      </c>
      <c r="P1159" s="320">
        <v>1.3235</v>
      </c>
      <c r="Q1159" s="320">
        <v>1250.79</v>
      </c>
      <c r="R1159" s="320">
        <v>983.28</v>
      </c>
      <c r="S1159" s="320">
        <v>267.51</v>
      </c>
      <c r="T1159" s="320">
        <v>632.44</v>
      </c>
      <c r="U1159" s="320">
        <v>618.34</v>
      </c>
      <c r="V1159" s="320">
        <v>1333.78</v>
      </c>
      <c r="W1159" s="320">
        <v>7.774</v>
      </c>
      <c r="X1159" s="320">
        <v>50.56</v>
      </c>
      <c r="Y1159" s="320">
        <v>147.0</v>
      </c>
      <c r="Z1159" s="320">
        <v>600.0</v>
      </c>
      <c r="AA1159" s="320">
        <v>2013.0</v>
      </c>
      <c r="AB1159" s="320">
        <v>61.1373</v>
      </c>
      <c r="AC1159" s="320">
        <v>0.8285</v>
      </c>
      <c r="AD1159" s="320">
        <v>80.63</v>
      </c>
      <c r="AE1159" s="320">
        <v>29.0</v>
      </c>
      <c r="AF1159" s="320">
        <v>67.0</v>
      </c>
      <c r="AG1159" s="320">
        <v>118.0</v>
      </c>
      <c r="AH1159" s="320">
        <v>162.0</v>
      </c>
      <c r="AI1159" s="320">
        <v>43.81</v>
      </c>
      <c r="AJ1159" s="320">
        <v>7.36</v>
      </c>
      <c r="AK1159" s="320">
        <v>1.0</v>
      </c>
      <c r="AL1159" s="320">
        <v>0.1304</v>
      </c>
      <c r="AM1159" s="320">
        <v>24.52</v>
      </c>
      <c r="AN1159" s="320">
        <v>958.76</v>
      </c>
      <c r="AO1159" s="320">
        <v>77.02</v>
      </c>
      <c r="AP1159" s="320">
        <v>18.89</v>
      </c>
    </row>
    <row r="1160">
      <c r="A1160" s="319" t="s">
        <v>258</v>
      </c>
      <c r="B1160" s="328">
        <v>46123.0</v>
      </c>
      <c r="C1160" s="319" t="s">
        <v>257</v>
      </c>
      <c r="D1160" s="320">
        <v>15075.0</v>
      </c>
      <c r="E1160" s="320">
        <v>21.09</v>
      </c>
      <c r="F1160" s="320">
        <v>210.49</v>
      </c>
      <c r="G1160" s="320">
        <v>0.014</v>
      </c>
      <c r="H1160" s="320">
        <v>0.28</v>
      </c>
      <c r="I1160" s="320">
        <v>5.0117</v>
      </c>
      <c r="J1160" s="320">
        <v>5.95</v>
      </c>
      <c r="K1160" s="320">
        <v>2.67</v>
      </c>
      <c r="L1160" s="320">
        <v>0.08</v>
      </c>
      <c r="M1160" s="320">
        <v>0.0309</v>
      </c>
      <c r="N1160" s="320">
        <v>0.9706</v>
      </c>
      <c r="O1160" s="320">
        <v>0.7067</v>
      </c>
      <c r="P1160" s="320">
        <v>32.3293</v>
      </c>
      <c r="Q1160" s="320">
        <v>26.72</v>
      </c>
      <c r="R1160" s="320">
        <v>26.67</v>
      </c>
      <c r="S1160" s="320">
        <v>0.05</v>
      </c>
      <c r="T1160" s="320">
        <v>0.87</v>
      </c>
      <c r="U1160" s="320">
        <v>25.85</v>
      </c>
      <c r="V1160" s="320">
        <v>2.21</v>
      </c>
      <c r="W1160" s="320">
        <v>0.8273</v>
      </c>
      <c r="X1160" s="320">
        <v>3.26</v>
      </c>
      <c r="Y1160" s="320">
        <v>150.0</v>
      </c>
      <c r="Z1160" s="320">
        <v>1128.0</v>
      </c>
      <c r="AA1160" s="320">
        <v>7806.0</v>
      </c>
      <c r="AB1160" s="320">
        <v>49.8914</v>
      </c>
      <c r="AC1160" s="320">
        <v>0.5137</v>
      </c>
      <c r="AD1160" s="329"/>
      <c r="AE1160" s="329"/>
      <c r="AF1160" s="329"/>
      <c r="AG1160" s="329"/>
      <c r="AH1160" s="329"/>
      <c r="AI1160" s="320">
        <v>0.0</v>
      </c>
      <c r="AJ1160" s="320">
        <v>0.0</v>
      </c>
      <c r="AK1160" s="320">
        <v>0.0</v>
      </c>
      <c r="AL1160" s="320">
        <v>0.2727</v>
      </c>
      <c r="AM1160" s="320">
        <v>16.83</v>
      </c>
      <c r="AN1160" s="320">
        <v>9.83</v>
      </c>
      <c r="AO1160" s="329"/>
      <c r="AP1160" s="329"/>
    </row>
    <row r="1161">
      <c r="A1161" s="319" t="s">
        <v>258</v>
      </c>
      <c r="B1161" s="328">
        <v>46123.0</v>
      </c>
      <c r="C1161" s="319" t="s">
        <v>214</v>
      </c>
      <c r="D1161" s="320">
        <v>31788.0</v>
      </c>
      <c r="E1161" s="320">
        <v>44.48</v>
      </c>
      <c r="F1161" s="320">
        <v>7761.3</v>
      </c>
      <c r="G1161" s="320">
        <v>0.2442</v>
      </c>
      <c r="H1161" s="320">
        <v>7.02</v>
      </c>
      <c r="I1161" s="320">
        <v>3.4757</v>
      </c>
      <c r="J1161" s="320">
        <v>31.38</v>
      </c>
      <c r="K1161" s="320">
        <v>16.67</v>
      </c>
      <c r="L1161" s="320">
        <v>5.45</v>
      </c>
      <c r="M1161" s="320">
        <v>0.3267</v>
      </c>
      <c r="N1161" s="320">
        <v>0.7467</v>
      </c>
      <c r="O1161" s="320">
        <v>0.5068</v>
      </c>
      <c r="P1161" s="320">
        <v>3.0609</v>
      </c>
      <c r="Q1161" s="320">
        <v>73.54</v>
      </c>
      <c r="R1161" s="320">
        <v>62.44</v>
      </c>
      <c r="S1161" s="320">
        <v>11.11</v>
      </c>
      <c r="T1161" s="320">
        <v>16.83</v>
      </c>
      <c r="U1161" s="320">
        <v>56.71</v>
      </c>
      <c r="V1161" s="320">
        <v>78.54</v>
      </c>
      <c r="W1161" s="320">
        <v>4.7115</v>
      </c>
      <c r="X1161" s="320">
        <v>22.88</v>
      </c>
      <c r="Y1161" s="320">
        <v>86.0</v>
      </c>
      <c r="Z1161" s="320">
        <v>206.0</v>
      </c>
      <c r="AA1161" s="320">
        <v>830.0</v>
      </c>
      <c r="AB1161" s="320">
        <v>49.5731</v>
      </c>
      <c r="AC1161" s="320">
        <v>0.4489</v>
      </c>
      <c r="AD1161" s="320">
        <v>3.68</v>
      </c>
      <c r="AE1161" s="320">
        <v>1.0</v>
      </c>
      <c r="AF1161" s="320">
        <v>2.0</v>
      </c>
      <c r="AG1161" s="320">
        <v>5.0</v>
      </c>
      <c r="AH1161" s="320">
        <v>8.0</v>
      </c>
      <c r="AI1161" s="320">
        <v>67.36</v>
      </c>
      <c r="AJ1161" s="320">
        <v>26.03</v>
      </c>
      <c r="AK1161" s="320">
        <v>7.65</v>
      </c>
      <c r="AL1161" s="320">
        <v>0.2215</v>
      </c>
      <c r="AM1161" s="320">
        <v>22.45</v>
      </c>
      <c r="AN1161" s="320">
        <v>39.98</v>
      </c>
      <c r="AO1161" s="320">
        <v>68.37</v>
      </c>
      <c r="AP1161" s="320">
        <v>15.35</v>
      </c>
    </row>
    <row r="1162">
      <c r="A1162" s="319" t="s">
        <v>258</v>
      </c>
      <c r="B1162" s="328">
        <v>46123.0</v>
      </c>
      <c r="C1162" s="319" t="s">
        <v>215</v>
      </c>
      <c r="D1162" s="320">
        <v>14173.0</v>
      </c>
      <c r="E1162" s="320">
        <v>19.83</v>
      </c>
      <c r="F1162" s="320">
        <v>14934.35</v>
      </c>
      <c r="G1162" s="320">
        <v>1.0537</v>
      </c>
      <c r="H1162" s="320">
        <v>22.0</v>
      </c>
      <c r="I1162" s="320">
        <v>4.7897</v>
      </c>
      <c r="J1162" s="320">
        <v>58.02</v>
      </c>
      <c r="K1162" s="320">
        <v>33.04</v>
      </c>
      <c r="L1162" s="320">
        <v>14.37</v>
      </c>
      <c r="M1162" s="320">
        <v>0.4349</v>
      </c>
      <c r="N1162" s="320">
        <v>0.6318</v>
      </c>
      <c r="O1162" s="320">
        <v>0.3623</v>
      </c>
      <c r="P1162" s="320">
        <v>2.2994</v>
      </c>
      <c r="Q1162" s="320">
        <v>178.35</v>
      </c>
      <c r="R1162" s="320">
        <v>148.88</v>
      </c>
      <c r="S1162" s="320">
        <v>29.48</v>
      </c>
      <c r="T1162" s="320">
        <v>71.06</v>
      </c>
      <c r="U1162" s="320">
        <v>107.29</v>
      </c>
      <c r="V1162" s="320">
        <v>186.45</v>
      </c>
      <c r="W1162" s="320">
        <v>5.6434</v>
      </c>
      <c r="X1162" s="320">
        <v>39.84</v>
      </c>
      <c r="Y1162" s="320">
        <v>82.0</v>
      </c>
      <c r="Z1162" s="320">
        <v>184.0</v>
      </c>
      <c r="AA1162" s="320">
        <v>625.0</v>
      </c>
      <c r="AB1162" s="320">
        <v>52.4601</v>
      </c>
      <c r="AC1162" s="320">
        <v>0.5468</v>
      </c>
      <c r="AD1162" s="320">
        <v>9.47</v>
      </c>
      <c r="AE1162" s="320">
        <v>3.0</v>
      </c>
      <c r="AF1162" s="320">
        <v>7.0</v>
      </c>
      <c r="AG1162" s="320">
        <v>13.0</v>
      </c>
      <c r="AH1162" s="320">
        <v>21.0</v>
      </c>
      <c r="AI1162" s="320">
        <v>56.66</v>
      </c>
      <c r="AJ1162" s="320">
        <v>26.33</v>
      </c>
      <c r="AK1162" s="320">
        <v>6.07</v>
      </c>
      <c r="AL1162" s="320">
        <v>0.2078</v>
      </c>
      <c r="AM1162" s="320">
        <v>23.15</v>
      </c>
      <c r="AN1162" s="320">
        <v>125.72</v>
      </c>
      <c r="AO1162" s="320">
        <v>73.09</v>
      </c>
      <c r="AP1162" s="320">
        <v>16.92</v>
      </c>
    </row>
    <row r="1163">
      <c r="A1163" s="319" t="s">
        <v>258</v>
      </c>
      <c r="B1163" s="328">
        <v>46123.0</v>
      </c>
      <c r="C1163" s="319" t="s">
        <v>216</v>
      </c>
      <c r="D1163" s="320">
        <v>7324.0</v>
      </c>
      <c r="E1163" s="320">
        <v>10.25</v>
      </c>
      <c r="F1163" s="320">
        <v>18573.26</v>
      </c>
      <c r="G1163" s="320">
        <v>2.5359</v>
      </c>
      <c r="H1163" s="320">
        <v>34.48</v>
      </c>
      <c r="I1163" s="320">
        <v>7.3557</v>
      </c>
      <c r="J1163" s="320">
        <v>85.25</v>
      </c>
      <c r="K1163" s="320">
        <v>50.96</v>
      </c>
      <c r="L1163" s="320">
        <v>27.19</v>
      </c>
      <c r="M1163" s="320">
        <v>0.5336</v>
      </c>
      <c r="N1163" s="320">
        <v>0.5404</v>
      </c>
      <c r="O1163" s="320">
        <v>0.3004</v>
      </c>
      <c r="P1163" s="320">
        <v>1.8742</v>
      </c>
      <c r="Q1163" s="320">
        <v>345.51</v>
      </c>
      <c r="R1163" s="320">
        <v>289.29</v>
      </c>
      <c r="S1163" s="320">
        <v>56.21</v>
      </c>
      <c r="T1163" s="320">
        <v>165.43</v>
      </c>
      <c r="U1163" s="320">
        <v>180.08</v>
      </c>
      <c r="V1163" s="320">
        <v>359.88</v>
      </c>
      <c r="W1163" s="320">
        <v>7.0623</v>
      </c>
      <c r="X1163" s="320">
        <v>47.88</v>
      </c>
      <c r="Y1163" s="320">
        <v>86.0</v>
      </c>
      <c r="Z1163" s="320">
        <v>207.0</v>
      </c>
      <c r="AA1163" s="320">
        <v>636.0</v>
      </c>
      <c r="AB1163" s="320">
        <v>54.3622</v>
      </c>
      <c r="AC1163" s="320">
        <v>0.6432</v>
      </c>
      <c r="AD1163" s="320">
        <v>17.44</v>
      </c>
      <c r="AE1163" s="320">
        <v>6.0</v>
      </c>
      <c r="AF1163" s="320">
        <v>12.0</v>
      </c>
      <c r="AG1163" s="320">
        <v>24.0</v>
      </c>
      <c r="AH1163" s="320">
        <v>37.0</v>
      </c>
      <c r="AI1163" s="320">
        <v>55.23</v>
      </c>
      <c r="AJ1163" s="320">
        <v>22.84</v>
      </c>
      <c r="AK1163" s="320">
        <v>7.89</v>
      </c>
      <c r="AL1163" s="320">
        <v>0.1897</v>
      </c>
      <c r="AM1163" s="320">
        <v>22.78</v>
      </c>
      <c r="AN1163" s="320">
        <v>266.52</v>
      </c>
      <c r="AO1163" s="320">
        <v>75.82</v>
      </c>
      <c r="AP1163" s="320">
        <v>17.27</v>
      </c>
    </row>
    <row r="1164">
      <c r="A1164" s="319" t="s">
        <v>258</v>
      </c>
      <c r="B1164" s="328">
        <v>46123.0</v>
      </c>
      <c r="C1164" s="319" t="s">
        <v>217</v>
      </c>
      <c r="D1164" s="320">
        <v>2803.0</v>
      </c>
      <c r="E1164" s="320">
        <v>3.92</v>
      </c>
      <c r="F1164" s="320">
        <v>16203.54</v>
      </c>
      <c r="G1164" s="320">
        <v>5.7808</v>
      </c>
      <c r="H1164" s="320">
        <v>43.35</v>
      </c>
      <c r="I1164" s="320">
        <v>13.3362</v>
      </c>
      <c r="J1164" s="320">
        <v>128.34</v>
      </c>
      <c r="K1164" s="320">
        <v>80.08</v>
      </c>
      <c r="L1164" s="320">
        <v>53.99</v>
      </c>
      <c r="M1164" s="320">
        <v>0.6742</v>
      </c>
      <c r="N1164" s="320">
        <v>0.4143</v>
      </c>
      <c r="O1164" s="320">
        <v>0.2365</v>
      </c>
      <c r="P1164" s="320">
        <v>1.4832</v>
      </c>
      <c r="Q1164" s="320">
        <v>686.36</v>
      </c>
      <c r="R1164" s="320">
        <v>574.47</v>
      </c>
      <c r="S1164" s="320">
        <v>111.89</v>
      </c>
      <c r="T1164" s="320">
        <v>359.97</v>
      </c>
      <c r="U1164" s="320">
        <v>326.39</v>
      </c>
      <c r="V1164" s="320">
        <v>717.43</v>
      </c>
      <c r="W1164" s="320">
        <v>8.9585</v>
      </c>
      <c r="X1164" s="320">
        <v>52.45</v>
      </c>
      <c r="Y1164" s="320">
        <v>95.0</v>
      </c>
      <c r="Z1164" s="320">
        <v>296.0</v>
      </c>
      <c r="AA1164" s="320">
        <v>911.0</v>
      </c>
      <c r="AB1164" s="320">
        <v>57.2564</v>
      </c>
      <c r="AC1164" s="320">
        <v>0.7473</v>
      </c>
      <c r="AD1164" s="320">
        <v>35.22</v>
      </c>
      <c r="AE1164" s="320">
        <v>11.0</v>
      </c>
      <c r="AF1164" s="320">
        <v>26.0</v>
      </c>
      <c r="AG1164" s="320">
        <v>49.0</v>
      </c>
      <c r="AH1164" s="320">
        <v>77.0</v>
      </c>
      <c r="AI1164" s="320">
        <v>48.16</v>
      </c>
      <c r="AJ1164" s="320">
        <v>18.16</v>
      </c>
      <c r="AK1164" s="320">
        <v>4.39</v>
      </c>
      <c r="AL1164" s="320">
        <v>0.1591</v>
      </c>
      <c r="AM1164" s="320">
        <v>22.21</v>
      </c>
      <c r="AN1164" s="320">
        <v>552.26</v>
      </c>
      <c r="AO1164" s="320">
        <v>77.56</v>
      </c>
      <c r="AP1164" s="320">
        <v>17.23</v>
      </c>
    </row>
    <row r="1165">
      <c r="A1165" s="319" t="s">
        <v>258</v>
      </c>
      <c r="B1165" s="328">
        <v>46123.0</v>
      </c>
      <c r="C1165" s="319" t="s">
        <v>218</v>
      </c>
      <c r="D1165" s="320">
        <v>300.0</v>
      </c>
      <c r="E1165" s="320">
        <v>0.42</v>
      </c>
      <c r="F1165" s="320">
        <v>3095.02</v>
      </c>
      <c r="G1165" s="320">
        <v>10.3167</v>
      </c>
      <c r="H1165" s="320">
        <v>51.33</v>
      </c>
      <c r="I1165" s="320">
        <v>20.0975</v>
      </c>
      <c r="J1165" s="320">
        <v>251.96</v>
      </c>
      <c r="K1165" s="320">
        <v>165.52</v>
      </c>
      <c r="L1165" s="320">
        <v>128.35</v>
      </c>
      <c r="M1165" s="320">
        <v>0.7754</v>
      </c>
      <c r="N1165" s="320">
        <v>0.3097</v>
      </c>
      <c r="O1165" s="320">
        <v>0.1843</v>
      </c>
      <c r="P1165" s="320">
        <v>1.2896</v>
      </c>
      <c r="Q1165" s="320">
        <v>1347.62</v>
      </c>
      <c r="R1165" s="320">
        <v>1081.22</v>
      </c>
      <c r="S1165" s="320">
        <v>266.4</v>
      </c>
      <c r="T1165" s="320">
        <v>646.2</v>
      </c>
      <c r="U1165" s="320">
        <v>701.42</v>
      </c>
      <c r="V1165" s="320">
        <v>1364.33</v>
      </c>
      <c r="W1165" s="320">
        <v>8.2427</v>
      </c>
      <c r="X1165" s="320">
        <v>47.95</v>
      </c>
      <c r="Y1165" s="320">
        <v>163.0</v>
      </c>
      <c r="Z1165" s="320">
        <v>710.0</v>
      </c>
      <c r="AA1165" s="320">
        <v>2108.0</v>
      </c>
      <c r="AB1165" s="320">
        <v>61.2024</v>
      </c>
      <c r="AC1165" s="320">
        <v>0.8254</v>
      </c>
      <c r="AD1165" s="320">
        <v>81.08</v>
      </c>
      <c r="AE1165" s="320">
        <v>27.0</v>
      </c>
      <c r="AF1165" s="320">
        <v>63.0</v>
      </c>
      <c r="AG1165" s="320">
        <v>115.0</v>
      </c>
      <c r="AH1165" s="320">
        <v>182.0</v>
      </c>
      <c r="AI1165" s="320">
        <v>41.33</v>
      </c>
      <c r="AJ1165" s="320">
        <v>11.67</v>
      </c>
      <c r="AK1165" s="320">
        <v>1.67</v>
      </c>
      <c r="AL1165" s="320">
        <v>0.1567</v>
      </c>
      <c r="AM1165" s="320">
        <v>21.1</v>
      </c>
      <c r="AN1165" s="320">
        <v>1060.12</v>
      </c>
      <c r="AO1165" s="320">
        <v>73.05</v>
      </c>
      <c r="AP1165" s="320">
        <v>15.41</v>
      </c>
    </row>
    <row r="1166">
      <c r="A1166" s="319" t="s">
        <v>258</v>
      </c>
      <c r="B1166" s="328">
        <v>46124.0</v>
      </c>
      <c r="C1166" s="319" t="s">
        <v>257</v>
      </c>
      <c r="D1166" s="320">
        <v>15325.0</v>
      </c>
      <c r="E1166" s="320">
        <v>21.02</v>
      </c>
      <c r="F1166" s="320">
        <v>83.06</v>
      </c>
      <c r="G1166" s="320">
        <v>0.0054</v>
      </c>
      <c r="H1166" s="320">
        <v>0.14</v>
      </c>
      <c r="I1166" s="320">
        <v>3.9552</v>
      </c>
      <c r="J1166" s="320">
        <v>6.4</v>
      </c>
      <c r="K1166" s="320">
        <v>2.93</v>
      </c>
      <c r="L1166" s="320">
        <v>0.04</v>
      </c>
      <c r="M1166" s="320">
        <v>0.0127</v>
      </c>
      <c r="N1166" s="320">
        <v>0.988</v>
      </c>
      <c r="O1166" s="320">
        <v>0.8263</v>
      </c>
      <c r="P1166" s="320">
        <v>78.4712</v>
      </c>
      <c r="Q1166" s="320">
        <v>23.04</v>
      </c>
      <c r="R1166" s="320">
        <v>22.98</v>
      </c>
      <c r="S1166" s="320">
        <v>0.06</v>
      </c>
      <c r="T1166" s="320">
        <v>0.45</v>
      </c>
      <c r="U1166" s="320">
        <v>22.59</v>
      </c>
      <c r="V1166" s="320">
        <v>1.82</v>
      </c>
      <c r="W1166" s="320">
        <v>0.6194</v>
      </c>
      <c r="X1166" s="320">
        <v>1.96</v>
      </c>
      <c r="Y1166" s="320">
        <v>143.0</v>
      </c>
      <c r="Z1166" s="320">
        <v>1108.0</v>
      </c>
      <c r="AA1166" s="320">
        <v>7662.0</v>
      </c>
      <c r="AB1166" s="320">
        <v>49.8525</v>
      </c>
      <c r="AC1166" s="320">
        <v>0.5207</v>
      </c>
      <c r="AD1166" s="329"/>
      <c r="AE1166" s="329"/>
      <c r="AF1166" s="329"/>
      <c r="AG1166" s="329"/>
      <c r="AH1166" s="329"/>
      <c r="AI1166" s="320">
        <v>0.0</v>
      </c>
      <c r="AJ1166" s="320">
        <v>0.0</v>
      </c>
      <c r="AK1166" s="320">
        <v>0.0</v>
      </c>
      <c r="AL1166" s="320">
        <v>0.279</v>
      </c>
      <c r="AM1166" s="320">
        <v>17.08</v>
      </c>
      <c r="AN1166" s="320">
        <v>5.9</v>
      </c>
      <c r="AO1166" s="329"/>
      <c r="AP1166" s="329"/>
    </row>
    <row r="1167">
      <c r="A1167" s="319" t="s">
        <v>258</v>
      </c>
      <c r="B1167" s="328">
        <v>46124.0</v>
      </c>
      <c r="C1167" s="319" t="s">
        <v>214</v>
      </c>
      <c r="D1167" s="320">
        <v>32310.0</v>
      </c>
      <c r="E1167" s="320">
        <v>44.32</v>
      </c>
      <c r="F1167" s="320">
        <v>7660.33</v>
      </c>
      <c r="G1167" s="320">
        <v>0.2371</v>
      </c>
      <c r="H1167" s="320">
        <v>6.87</v>
      </c>
      <c r="I1167" s="320">
        <v>3.449</v>
      </c>
      <c r="J1167" s="320">
        <v>34.89</v>
      </c>
      <c r="K1167" s="320">
        <v>19.06</v>
      </c>
      <c r="L1167" s="320">
        <v>5.51</v>
      </c>
      <c r="M1167" s="320">
        <v>0.2891</v>
      </c>
      <c r="N1167" s="320">
        <v>0.7735</v>
      </c>
      <c r="O1167" s="320">
        <v>0.5236</v>
      </c>
      <c r="P1167" s="320">
        <v>3.4596</v>
      </c>
      <c r="Q1167" s="320">
        <v>65.75</v>
      </c>
      <c r="R1167" s="320">
        <v>54.54</v>
      </c>
      <c r="S1167" s="320">
        <v>11.2</v>
      </c>
      <c r="T1167" s="320">
        <v>16.48</v>
      </c>
      <c r="U1167" s="320">
        <v>49.26</v>
      </c>
      <c r="V1167" s="320">
        <v>74.18</v>
      </c>
      <c r="W1167" s="320">
        <v>3.8926</v>
      </c>
      <c r="X1167" s="320">
        <v>25.07</v>
      </c>
      <c r="Y1167" s="320">
        <v>82.0</v>
      </c>
      <c r="Z1167" s="320">
        <v>196.0</v>
      </c>
      <c r="AA1167" s="320">
        <v>843.0</v>
      </c>
      <c r="AB1167" s="320">
        <v>49.6122</v>
      </c>
      <c r="AC1167" s="320">
        <v>0.4494</v>
      </c>
      <c r="AD1167" s="320">
        <v>3.56</v>
      </c>
      <c r="AE1167" s="320">
        <v>1.0</v>
      </c>
      <c r="AF1167" s="320">
        <v>2.0</v>
      </c>
      <c r="AG1167" s="320">
        <v>5.0</v>
      </c>
      <c r="AH1167" s="320">
        <v>8.0</v>
      </c>
      <c r="AI1167" s="320">
        <v>67.37</v>
      </c>
      <c r="AJ1167" s="320">
        <v>25.14</v>
      </c>
      <c r="AK1167" s="320">
        <v>6.98</v>
      </c>
      <c r="AL1167" s="320">
        <v>0.2355</v>
      </c>
      <c r="AM1167" s="320">
        <v>21.77</v>
      </c>
      <c r="AN1167" s="320">
        <v>32.78</v>
      </c>
      <c r="AO1167" s="320">
        <v>68.01</v>
      </c>
      <c r="AP1167" s="320">
        <v>14.81</v>
      </c>
    </row>
    <row r="1168">
      <c r="A1168" s="319" t="s">
        <v>258</v>
      </c>
      <c r="B1168" s="328">
        <v>46124.0</v>
      </c>
      <c r="C1168" s="319" t="s">
        <v>215</v>
      </c>
      <c r="D1168" s="320">
        <v>14630.0</v>
      </c>
      <c r="E1168" s="320">
        <v>20.07</v>
      </c>
      <c r="F1168" s="320">
        <v>15148.8</v>
      </c>
      <c r="G1168" s="320">
        <v>1.0355</v>
      </c>
      <c r="H1168" s="320">
        <v>21.3</v>
      </c>
      <c r="I1168" s="320">
        <v>4.8616</v>
      </c>
      <c r="J1168" s="320">
        <v>63.34</v>
      </c>
      <c r="K1168" s="320">
        <v>36.6</v>
      </c>
      <c r="L1168" s="320">
        <v>14.37</v>
      </c>
      <c r="M1168" s="320">
        <v>0.3925</v>
      </c>
      <c r="N1168" s="320">
        <v>0.6652</v>
      </c>
      <c r="O1168" s="320">
        <v>0.3827</v>
      </c>
      <c r="P1168" s="320">
        <v>2.5475</v>
      </c>
      <c r="Q1168" s="320">
        <v>156.16</v>
      </c>
      <c r="R1168" s="320">
        <v>126.81</v>
      </c>
      <c r="S1168" s="320">
        <v>29.36</v>
      </c>
      <c r="T1168" s="320">
        <v>69.81</v>
      </c>
      <c r="U1168" s="320">
        <v>86.35</v>
      </c>
      <c r="V1168" s="320">
        <v>176.87</v>
      </c>
      <c r="W1168" s="320">
        <v>4.8327</v>
      </c>
      <c r="X1168" s="320">
        <v>44.7</v>
      </c>
      <c r="Y1168" s="320">
        <v>78.0</v>
      </c>
      <c r="Z1168" s="320">
        <v>159.0</v>
      </c>
      <c r="AA1168" s="320">
        <v>562.0</v>
      </c>
      <c r="AB1168" s="320">
        <v>52.437</v>
      </c>
      <c r="AC1168" s="320">
        <v>0.5491</v>
      </c>
      <c r="AD1168" s="320">
        <v>9.04</v>
      </c>
      <c r="AE1168" s="320">
        <v>3.0</v>
      </c>
      <c r="AF1168" s="320">
        <v>6.0</v>
      </c>
      <c r="AG1168" s="320">
        <v>12.0</v>
      </c>
      <c r="AH1168" s="320">
        <v>20.0</v>
      </c>
      <c r="AI1168" s="320">
        <v>55.07</v>
      </c>
      <c r="AJ1168" s="320">
        <v>24.43</v>
      </c>
      <c r="AK1168" s="320">
        <v>5.19</v>
      </c>
      <c r="AL1168" s="320">
        <v>0.2219</v>
      </c>
      <c r="AM1168" s="320">
        <v>21.43</v>
      </c>
      <c r="AN1168" s="320">
        <v>105.38</v>
      </c>
      <c r="AO1168" s="320">
        <v>72.44</v>
      </c>
      <c r="AP1168" s="320">
        <v>15.52</v>
      </c>
    </row>
    <row r="1169">
      <c r="A1169" s="319" t="s">
        <v>258</v>
      </c>
      <c r="B1169" s="328">
        <v>46124.0</v>
      </c>
      <c r="C1169" s="319" t="s">
        <v>216</v>
      </c>
      <c r="D1169" s="320">
        <v>7491.0</v>
      </c>
      <c r="E1169" s="320">
        <v>10.28</v>
      </c>
      <c r="F1169" s="320">
        <v>20890.46</v>
      </c>
      <c r="G1169" s="320">
        <v>2.7887</v>
      </c>
      <c r="H1169" s="320">
        <v>35.27</v>
      </c>
      <c r="I1169" s="320">
        <v>7.9071</v>
      </c>
      <c r="J1169" s="320">
        <v>92.45</v>
      </c>
      <c r="K1169" s="320">
        <v>55.47</v>
      </c>
      <c r="L1169" s="320">
        <v>27.93</v>
      </c>
      <c r="M1169" s="320">
        <v>0.5035</v>
      </c>
      <c r="N1169" s="320">
        <v>0.5635</v>
      </c>
      <c r="O1169" s="320">
        <v>0.3088</v>
      </c>
      <c r="P1169" s="320">
        <v>1.986</v>
      </c>
      <c r="Q1169" s="320">
        <v>324.45</v>
      </c>
      <c r="R1169" s="320">
        <v>266.38</v>
      </c>
      <c r="S1169" s="320">
        <v>58.07</v>
      </c>
      <c r="T1169" s="320">
        <v>179.62</v>
      </c>
      <c r="U1169" s="320">
        <v>144.82</v>
      </c>
      <c r="V1169" s="320">
        <v>354.17</v>
      </c>
      <c r="W1169" s="320">
        <v>6.3853</v>
      </c>
      <c r="X1169" s="320">
        <v>55.36</v>
      </c>
      <c r="Y1169" s="320">
        <v>81.0</v>
      </c>
      <c r="Z1169" s="320">
        <v>178.0</v>
      </c>
      <c r="AA1169" s="320">
        <v>617.0</v>
      </c>
      <c r="AB1169" s="320">
        <v>54.3718</v>
      </c>
      <c r="AC1169" s="320">
        <v>0.6516</v>
      </c>
      <c r="AD1169" s="320">
        <v>17.41</v>
      </c>
      <c r="AE1169" s="320">
        <v>6.0</v>
      </c>
      <c r="AF1169" s="320">
        <v>12.0</v>
      </c>
      <c r="AG1169" s="320">
        <v>24.0</v>
      </c>
      <c r="AH1169" s="320">
        <v>38.0</v>
      </c>
      <c r="AI1169" s="320">
        <v>54.6</v>
      </c>
      <c r="AJ1169" s="320">
        <v>22.33</v>
      </c>
      <c r="AK1169" s="320">
        <v>8.26</v>
      </c>
      <c r="AL1169" s="320">
        <v>0.2117</v>
      </c>
      <c r="AM1169" s="320">
        <v>21.73</v>
      </c>
      <c r="AN1169" s="320">
        <v>244.65</v>
      </c>
      <c r="AO1169" s="320">
        <v>74.8</v>
      </c>
      <c r="AP1169" s="320">
        <v>16.25</v>
      </c>
    </row>
    <row r="1170">
      <c r="A1170" s="319" t="s">
        <v>258</v>
      </c>
      <c r="B1170" s="328">
        <v>46124.0</v>
      </c>
      <c r="C1170" s="319" t="s">
        <v>217</v>
      </c>
      <c r="D1170" s="320">
        <v>2825.0</v>
      </c>
      <c r="E1170" s="320">
        <v>3.88</v>
      </c>
      <c r="F1170" s="320">
        <v>17817.71</v>
      </c>
      <c r="G1170" s="320">
        <v>6.3072</v>
      </c>
      <c r="H1170" s="320">
        <v>47.04</v>
      </c>
      <c r="I1170" s="320">
        <v>13.4069</v>
      </c>
      <c r="J1170" s="320">
        <v>135.58</v>
      </c>
      <c r="K1170" s="320">
        <v>85.78</v>
      </c>
      <c r="L1170" s="320">
        <v>54.99</v>
      </c>
      <c r="M1170" s="320">
        <v>0.641</v>
      </c>
      <c r="N1170" s="320">
        <v>0.4384</v>
      </c>
      <c r="O1170" s="320">
        <v>0.24</v>
      </c>
      <c r="P1170" s="320">
        <v>1.56</v>
      </c>
      <c r="Q1170" s="320">
        <v>641.62</v>
      </c>
      <c r="R1170" s="320">
        <v>527.73</v>
      </c>
      <c r="S1170" s="320">
        <v>113.89</v>
      </c>
      <c r="T1170" s="320">
        <v>392.9</v>
      </c>
      <c r="U1170" s="320">
        <v>248.72</v>
      </c>
      <c r="V1170" s="320">
        <v>673.73</v>
      </c>
      <c r="W1170" s="320">
        <v>7.8542</v>
      </c>
      <c r="X1170" s="320">
        <v>61.24</v>
      </c>
      <c r="Y1170" s="320">
        <v>89.0</v>
      </c>
      <c r="Z1170" s="320">
        <v>250.0</v>
      </c>
      <c r="AA1170" s="320">
        <v>881.0</v>
      </c>
      <c r="AB1170" s="320">
        <v>57.4422</v>
      </c>
      <c r="AC1170" s="320">
        <v>0.7526</v>
      </c>
      <c r="AD1170" s="320">
        <v>34.59</v>
      </c>
      <c r="AE1170" s="320">
        <v>11.0</v>
      </c>
      <c r="AF1170" s="320">
        <v>24.0</v>
      </c>
      <c r="AG1170" s="320">
        <v>50.0</v>
      </c>
      <c r="AH1170" s="320">
        <v>77.0</v>
      </c>
      <c r="AI1170" s="320">
        <v>45.98</v>
      </c>
      <c r="AJ1170" s="320">
        <v>18.37</v>
      </c>
      <c r="AK1170" s="320">
        <v>4.32</v>
      </c>
      <c r="AL1170" s="320">
        <v>0.1989</v>
      </c>
      <c r="AM1170" s="320">
        <v>21.03</v>
      </c>
      <c r="AN1170" s="320">
        <v>506.7</v>
      </c>
      <c r="AO1170" s="320">
        <v>75.9</v>
      </c>
      <c r="AP1170" s="320">
        <v>15.96</v>
      </c>
    </row>
    <row r="1171">
      <c r="A1171" s="319" t="s">
        <v>258</v>
      </c>
      <c r="B1171" s="328">
        <v>46124.0</v>
      </c>
      <c r="C1171" s="319" t="s">
        <v>218</v>
      </c>
      <c r="D1171" s="320">
        <v>313.0</v>
      </c>
      <c r="E1171" s="320">
        <v>0.43</v>
      </c>
      <c r="F1171" s="320">
        <v>3831.2</v>
      </c>
      <c r="G1171" s="320">
        <v>12.2403</v>
      </c>
      <c r="H1171" s="320">
        <v>52.4</v>
      </c>
      <c r="I1171" s="320">
        <v>23.361</v>
      </c>
      <c r="J1171" s="320">
        <v>260.05</v>
      </c>
      <c r="K1171" s="320">
        <v>170.06</v>
      </c>
      <c r="L1171" s="320">
        <v>130.71</v>
      </c>
      <c r="M1171" s="320">
        <v>0.7686</v>
      </c>
      <c r="N1171" s="320">
        <v>0.3167</v>
      </c>
      <c r="O1171" s="320">
        <v>0.186</v>
      </c>
      <c r="P1171" s="320">
        <v>1.3011</v>
      </c>
      <c r="Q1171" s="320">
        <v>1325.87</v>
      </c>
      <c r="R1171" s="320">
        <v>1055.47</v>
      </c>
      <c r="S1171" s="320">
        <v>270.4</v>
      </c>
      <c r="T1171" s="320">
        <v>790.94</v>
      </c>
      <c r="U1171" s="320">
        <v>534.93</v>
      </c>
      <c r="V1171" s="320">
        <v>1403.35</v>
      </c>
      <c r="W1171" s="320">
        <v>8.2521</v>
      </c>
      <c r="X1171" s="320">
        <v>59.65</v>
      </c>
      <c r="Y1171" s="320">
        <v>127.0</v>
      </c>
      <c r="Z1171" s="320">
        <v>585.0</v>
      </c>
      <c r="AA1171" s="320">
        <v>1689.0</v>
      </c>
      <c r="AB1171" s="320">
        <v>60.769</v>
      </c>
      <c r="AC1171" s="320">
        <v>0.7914</v>
      </c>
      <c r="AD1171" s="320">
        <v>83.32</v>
      </c>
      <c r="AE1171" s="320">
        <v>29.0</v>
      </c>
      <c r="AF1171" s="320">
        <v>61.0</v>
      </c>
      <c r="AG1171" s="320">
        <v>122.0</v>
      </c>
      <c r="AH1171" s="320">
        <v>179.0</v>
      </c>
      <c r="AI1171" s="320">
        <v>43.13</v>
      </c>
      <c r="AJ1171" s="320">
        <v>11.5</v>
      </c>
      <c r="AK1171" s="320">
        <v>2.56</v>
      </c>
      <c r="AL1171" s="320">
        <v>0.1534</v>
      </c>
      <c r="AM1171" s="320">
        <v>21.18</v>
      </c>
      <c r="AN1171" s="320">
        <v>1034.29</v>
      </c>
      <c r="AO1171" s="320">
        <v>73.25</v>
      </c>
      <c r="AP1171" s="320">
        <v>15.51</v>
      </c>
    </row>
    <row r="1172">
      <c r="A1172" s="319" t="s">
        <v>258</v>
      </c>
      <c r="B1172" s="328">
        <v>46125.0</v>
      </c>
      <c r="C1172" s="319" t="s">
        <v>257</v>
      </c>
      <c r="D1172" s="320">
        <v>14757.0</v>
      </c>
      <c r="E1172" s="320">
        <v>19.48</v>
      </c>
      <c r="F1172" s="320">
        <v>501.02</v>
      </c>
      <c r="G1172" s="320">
        <v>0.034</v>
      </c>
      <c r="H1172" s="320">
        <v>0.25</v>
      </c>
      <c r="I1172" s="320">
        <v>13.5411</v>
      </c>
      <c r="J1172" s="320">
        <v>5.54</v>
      </c>
      <c r="K1172" s="320">
        <v>2.37</v>
      </c>
      <c r="L1172" s="320">
        <v>0.11</v>
      </c>
      <c r="M1172" s="320">
        <v>0.0463</v>
      </c>
      <c r="N1172" s="320">
        <v>0.961</v>
      </c>
      <c r="O1172" s="320">
        <v>0.6539</v>
      </c>
      <c r="P1172" s="320">
        <v>21.6181</v>
      </c>
      <c r="Q1172" s="320">
        <v>40.22</v>
      </c>
      <c r="R1172" s="320">
        <v>40.15</v>
      </c>
      <c r="S1172" s="320">
        <v>0.07</v>
      </c>
      <c r="T1172" s="320">
        <v>1.77</v>
      </c>
      <c r="U1172" s="320">
        <v>38.45</v>
      </c>
      <c r="V1172" s="320">
        <v>4.03</v>
      </c>
      <c r="W1172" s="320">
        <v>1.6951</v>
      </c>
      <c r="X1172" s="320">
        <v>4.41</v>
      </c>
      <c r="Y1172" s="320">
        <v>211.0</v>
      </c>
      <c r="Z1172" s="320">
        <v>1456.0</v>
      </c>
      <c r="AA1172" s="320">
        <v>8217.0</v>
      </c>
      <c r="AB1172" s="320">
        <v>49.9781</v>
      </c>
      <c r="AC1172" s="320">
        <v>0.5277</v>
      </c>
      <c r="AD1172" s="329"/>
      <c r="AE1172" s="329"/>
      <c r="AF1172" s="329"/>
      <c r="AG1172" s="329"/>
      <c r="AH1172" s="329"/>
      <c r="AI1172" s="320">
        <v>0.0</v>
      </c>
      <c r="AJ1172" s="320">
        <v>0.0</v>
      </c>
      <c r="AK1172" s="320">
        <v>0.0</v>
      </c>
      <c r="AL1172" s="320">
        <v>0.2824</v>
      </c>
      <c r="AM1172" s="320">
        <v>16.16</v>
      </c>
      <c r="AN1172" s="320">
        <v>23.99</v>
      </c>
      <c r="AO1172" s="329"/>
      <c r="AP1172" s="329"/>
    </row>
    <row r="1173">
      <c r="A1173" s="319" t="s">
        <v>258</v>
      </c>
      <c r="B1173" s="328">
        <v>46125.0</v>
      </c>
      <c r="C1173" s="319" t="s">
        <v>214</v>
      </c>
      <c r="D1173" s="320">
        <v>33312.0</v>
      </c>
      <c r="E1173" s="320">
        <v>43.96</v>
      </c>
      <c r="F1173" s="320">
        <v>6082.42</v>
      </c>
      <c r="G1173" s="320">
        <v>0.1826</v>
      </c>
      <c r="H1173" s="320">
        <v>5.51</v>
      </c>
      <c r="I1173" s="320">
        <v>3.3165</v>
      </c>
      <c r="J1173" s="320">
        <v>34.36</v>
      </c>
      <c r="K1173" s="320">
        <v>18.52</v>
      </c>
      <c r="L1173" s="320">
        <v>5.57</v>
      </c>
      <c r="M1173" s="320">
        <v>0.3005</v>
      </c>
      <c r="N1173" s="320">
        <v>0.77</v>
      </c>
      <c r="O1173" s="320">
        <v>0.526</v>
      </c>
      <c r="P1173" s="320">
        <v>3.3281</v>
      </c>
      <c r="Q1173" s="320">
        <v>98.01</v>
      </c>
      <c r="R1173" s="320">
        <v>86.82</v>
      </c>
      <c r="S1173" s="320">
        <v>11.19</v>
      </c>
      <c r="T1173" s="320">
        <v>12.96</v>
      </c>
      <c r="U1173" s="320">
        <v>85.05</v>
      </c>
      <c r="V1173" s="320">
        <v>87.9</v>
      </c>
      <c r="W1173" s="320">
        <v>4.7452</v>
      </c>
      <c r="X1173" s="320">
        <v>13.23</v>
      </c>
      <c r="Y1173" s="320">
        <v>92.0</v>
      </c>
      <c r="Z1173" s="320">
        <v>217.0</v>
      </c>
      <c r="AA1173" s="320">
        <v>846.0</v>
      </c>
      <c r="AB1173" s="320">
        <v>49.5595</v>
      </c>
      <c r="AC1173" s="320">
        <v>0.4403</v>
      </c>
      <c r="AD1173" s="320">
        <v>3.61</v>
      </c>
      <c r="AE1173" s="320">
        <v>1.0</v>
      </c>
      <c r="AF1173" s="320">
        <v>2.0</v>
      </c>
      <c r="AG1173" s="320">
        <v>5.0</v>
      </c>
      <c r="AH1173" s="320">
        <v>8.0</v>
      </c>
      <c r="AI1173" s="320">
        <v>68.82</v>
      </c>
      <c r="AJ1173" s="320">
        <v>25.83</v>
      </c>
      <c r="AK1173" s="320">
        <v>6.88</v>
      </c>
      <c r="AL1173" s="320">
        <v>0.2148</v>
      </c>
      <c r="AM1173" s="320">
        <v>18.72</v>
      </c>
      <c r="AN1173" s="320">
        <v>68.1</v>
      </c>
      <c r="AO1173" s="320">
        <v>68.02</v>
      </c>
      <c r="AP1173" s="320">
        <v>12.73</v>
      </c>
    </row>
    <row r="1174">
      <c r="A1174" s="319" t="s">
        <v>258</v>
      </c>
      <c r="B1174" s="328">
        <v>46125.0</v>
      </c>
      <c r="C1174" s="319" t="s">
        <v>215</v>
      </c>
      <c r="D1174" s="320">
        <v>16067.0</v>
      </c>
      <c r="E1174" s="320">
        <v>21.2</v>
      </c>
      <c r="F1174" s="320">
        <v>15067.26</v>
      </c>
      <c r="G1174" s="320">
        <v>0.9378</v>
      </c>
      <c r="H1174" s="320">
        <v>19.79</v>
      </c>
      <c r="I1174" s="320">
        <v>4.7381</v>
      </c>
      <c r="J1174" s="320">
        <v>64.86</v>
      </c>
      <c r="K1174" s="320">
        <v>37.01</v>
      </c>
      <c r="L1174" s="320">
        <v>15.1</v>
      </c>
      <c r="M1174" s="320">
        <v>0.4081</v>
      </c>
      <c r="N1174" s="320">
        <v>0.6571</v>
      </c>
      <c r="O1174" s="320">
        <v>0.3812</v>
      </c>
      <c r="P1174" s="320">
        <v>2.4505</v>
      </c>
      <c r="Q1174" s="320">
        <v>212.27</v>
      </c>
      <c r="R1174" s="320">
        <v>183.16</v>
      </c>
      <c r="S1174" s="320">
        <v>29.11</v>
      </c>
      <c r="T1174" s="320">
        <v>63.4</v>
      </c>
      <c r="U1174" s="320">
        <v>148.87</v>
      </c>
      <c r="V1174" s="320">
        <v>208.29</v>
      </c>
      <c r="W1174" s="320">
        <v>5.6275</v>
      </c>
      <c r="X1174" s="320">
        <v>29.87</v>
      </c>
      <c r="Y1174" s="320">
        <v>85.0</v>
      </c>
      <c r="Z1174" s="320">
        <v>191.0</v>
      </c>
      <c r="AA1174" s="320">
        <v>585.0</v>
      </c>
      <c r="AB1174" s="320">
        <v>52.2287</v>
      </c>
      <c r="AC1174" s="320">
        <v>0.5018</v>
      </c>
      <c r="AD1174" s="320">
        <v>9.26</v>
      </c>
      <c r="AE1174" s="320">
        <v>3.0</v>
      </c>
      <c r="AF1174" s="320">
        <v>7.0</v>
      </c>
      <c r="AG1174" s="320">
        <v>13.0</v>
      </c>
      <c r="AH1174" s="320">
        <v>20.0</v>
      </c>
      <c r="AI1174" s="320">
        <v>57.34</v>
      </c>
      <c r="AJ1174" s="320">
        <v>25.5</v>
      </c>
      <c r="AK1174" s="320">
        <v>5.34</v>
      </c>
      <c r="AL1174" s="320">
        <v>0.1787</v>
      </c>
      <c r="AM1174" s="320">
        <v>19.46</v>
      </c>
      <c r="AN1174" s="320">
        <v>163.7</v>
      </c>
      <c r="AO1174" s="320">
        <v>71.06</v>
      </c>
      <c r="AP1174" s="320">
        <v>13.83</v>
      </c>
    </row>
    <row r="1175">
      <c r="A1175" s="319" t="s">
        <v>258</v>
      </c>
      <c r="B1175" s="328">
        <v>46125.0</v>
      </c>
      <c r="C1175" s="319" t="s">
        <v>216</v>
      </c>
      <c r="D1175" s="320">
        <v>8236.0</v>
      </c>
      <c r="E1175" s="320">
        <v>10.87</v>
      </c>
      <c r="F1175" s="320">
        <v>21933.68</v>
      </c>
      <c r="G1175" s="320">
        <v>2.6631</v>
      </c>
      <c r="H1175" s="320">
        <v>33.39</v>
      </c>
      <c r="I1175" s="320">
        <v>7.9759</v>
      </c>
      <c r="J1175" s="320">
        <v>94.61</v>
      </c>
      <c r="K1175" s="320">
        <v>56.36</v>
      </c>
      <c r="L1175" s="320">
        <v>29.85</v>
      </c>
      <c r="M1175" s="320">
        <v>0.5297</v>
      </c>
      <c r="N1175" s="320">
        <v>0.5471</v>
      </c>
      <c r="O1175" s="320">
        <v>0.304</v>
      </c>
      <c r="P1175" s="320">
        <v>1.8878</v>
      </c>
      <c r="Q1175" s="320">
        <v>415.77</v>
      </c>
      <c r="R1175" s="320">
        <v>358.12</v>
      </c>
      <c r="S1175" s="320">
        <v>57.65</v>
      </c>
      <c r="T1175" s="320">
        <v>172.48</v>
      </c>
      <c r="U1175" s="320">
        <v>243.3</v>
      </c>
      <c r="V1175" s="320">
        <v>421.39</v>
      </c>
      <c r="W1175" s="320">
        <v>7.4774</v>
      </c>
      <c r="X1175" s="320">
        <v>41.48</v>
      </c>
      <c r="Y1175" s="320">
        <v>88.0</v>
      </c>
      <c r="Z1175" s="320">
        <v>239.0</v>
      </c>
      <c r="AA1175" s="320">
        <v>728.0</v>
      </c>
      <c r="AB1175" s="320">
        <v>54.1976</v>
      </c>
      <c r="AC1175" s="320">
        <v>0.5838</v>
      </c>
      <c r="AD1175" s="320">
        <v>17.97</v>
      </c>
      <c r="AE1175" s="320">
        <v>6.0</v>
      </c>
      <c r="AF1175" s="320">
        <v>14.0</v>
      </c>
      <c r="AG1175" s="320">
        <v>26.0</v>
      </c>
      <c r="AH1175" s="320">
        <v>38.0</v>
      </c>
      <c r="AI1175" s="320">
        <v>58.69</v>
      </c>
      <c r="AJ1175" s="320">
        <v>24.93</v>
      </c>
      <c r="AK1175" s="320">
        <v>6.85</v>
      </c>
      <c r="AL1175" s="320">
        <v>0.1668</v>
      </c>
      <c r="AM1175" s="320">
        <v>19.34</v>
      </c>
      <c r="AN1175" s="320">
        <v>338.78</v>
      </c>
      <c r="AO1175" s="320">
        <v>71.53</v>
      </c>
      <c r="AP1175" s="320">
        <v>13.83</v>
      </c>
    </row>
    <row r="1176">
      <c r="A1176" s="319" t="s">
        <v>258</v>
      </c>
      <c r="B1176" s="328">
        <v>46125.0</v>
      </c>
      <c r="C1176" s="319" t="s">
        <v>217</v>
      </c>
      <c r="D1176" s="320">
        <v>3080.0</v>
      </c>
      <c r="E1176" s="320">
        <v>4.06</v>
      </c>
      <c r="F1176" s="320">
        <v>18341.5</v>
      </c>
      <c r="G1176" s="320">
        <v>5.955</v>
      </c>
      <c r="H1176" s="320">
        <v>44.42</v>
      </c>
      <c r="I1176" s="320">
        <v>13.4075</v>
      </c>
      <c r="J1176" s="320">
        <v>145.29</v>
      </c>
      <c r="K1176" s="320">
        <v>90.88</v>
      </c>
      <c r="L1176" s="320">
        <v>61.21</v>
      </c>
      <c r="M1176" s="320">
        <v>0.6735</v>
      </c>
      <c r="N1176" s="320">
        <v>0.4167</v>
      </c>
      <c r="O1176" s="320">
        <v>0.2383</v>
      </c>
      <c r="P1176" s="320">
        <v>1.4847</v>
      </c>
      <c r="Q1176" s="320">
        <v>808.36</v>
      </c>
      <c r="R1176" s="320">
        <v>694.15</v>
      </c>
      <c r="S1176" s="320">
        <v>114.21</v>
      </c>
      <c r="T1176" s="320">
        <v>392.85</v>
      </c>
      <c r="U1176" s="320">
        <v>415.51</v>
      </c>
      <c r="V1176" s="320">
        <v>832.76</v>
      </c>
      <c r="W1176" s="320">
        <v>9.1629</v>
      </c>
      <c r="X1176" s="320">
        <v>48.6</v>
      </c>
      <c r="Y1176" s="320">
        <v>102.0</v>
      </c>
      <c r="Z1176" s="320">
        <v>344.0</v>
      </c>
      <c r="AA1176" s="320">
        <v>1103.0</v>
      </c>
      <c r="AB1176" s="320">
        <v>57.1011</v>
      </c>
      <c r="AC1176" s="320">
        <v>0.6594</v>
      </c>
      <c r="AD1176" s="320">
        <v>35.31</v>
      </c>
      <c r="AE1176" s="320">
        <v>12.0</v>
      </c>
      <c r="AF1176" s="320">
        <v>27.0</v>
      </c>
      <c r="AG1176" s="320">
        <v>47.0</v>
      </c>
      <c r="AH1176" s="320">
        <v>74.0</v>
      </c>
      <c r="AI1176" s="320">
        <v>49.77</v>
      </c>
      <c r="AJ1176" s="320">
        <v>17.11</v>
      </c>
      <c r="AK1176" s="320">
        <v>4.42</v>
      </c>
      <c r="AL1176" s="320">
        <v>0.1315</v>
      </c>
      <c r="AM1176" s="320">
        <v>19.5</v>
      </c>
      <c r="AN1176" s="320">
        <v>674.65</v>
      </c>
      <c r="AO1176" s="320">
        <v>71.23</v>
      </c>
      <c r="AP1176" s="320">
        <v>13.89</v>
      </c>
    </row>
    <row r="1177">
      <c r="A1177" s="319" t="s">
        <v>258</v>
      </c>
      <c r="B1177" s="328">
        <v>46125.0</v>
      </c>
      <c r="C1177" s="319" t="s">
        <v>218</v>
      </c>
      <c r="D1177" s="320">
        <v>322.0</v>
      </c>
      <c r="E1177" s="320">
        <v>0.42</v>
      </c>
      <c r="F1177" s="320">
        <v>2767.0</v>
      </c>
      <c r="G1177" s="320">
        <v>8.5932</v>
      </c>
      <c r="H1177" s="320">
        <v>43.17</v>
      </c>
      <c r="I1177" s="320">
        <v>19.9065</v>
      </c>
      <c r="J1177" s="320">
        <v>263.28</v>
      </c>
      <c r="K1177" s="320">
        <v>173.72</v>
      </c>
      <c r="L1177" s="320">
        <v>138.04</v>
      </c>
      <c r="M1177" s="320">
        <v>0.7946</v>
      </c>
      <c r="N1177" s="320">
        <v>0.295</v>
      </c>
      <c r="O1177" s="320">
        <v>0.178</v>
      </c>
      <c r="P1177" s="320">
        <v>1.2584</v>
      </c>
      <c r="Q1177" s="320">
        <v>1360.37</v>
      </c>
      <c r="R1177" s="320">
        <v>1075.21</v>
      </c>
      <c r="S1177" s="320">
        <v>285.16</v>
      </c>
      <c r="T1177" s="320">
        <v>550.33</v>
      </c>
      <c r="U1177" s="320">
        <v>810.04</v>
      </c>
      <c r="V1177" s="320">
        <v>1450.16</v>
      </c>
      <c r="W1177" s="320">
        <v>8.3478</v>
      </c>
      <c r="X1177" s="320">
        <v>40.45</v>
      </c>
      <c r="Y1177" s="320">
        <v>176.0</v>
      </c>
      <c r="Z1177" s="320">
        <v>698.0</v>
      </c>
      <c r="AA1177" s="320">
        <v>2840.0</v>
      </c>
      <c r="AB1177" s="320">
        <v>61.3552</v>
      </c>
      <c r="AC1177" s="320">
        <v>0.802</v>
      </c>
      <c r="AD1177" s="320">
        <v>88.27</v>
      </c>
      <c r="AE1177" s="320">
        <v>28.0</v>
      </c>
      <c r="AF1177" s="320">
        <v>71.0</v>
      </c>
      <c r="AG1177" s="320">
        <v>129.0</v>
      </c>
      <c r="AH1177" s="320">
        <v>190.0</v>
      </c>
      <c r="AI1177" s="320">
        <v>45.96</v>
      </c>
      <c r="AJ1177" s="320">
        <v>12.73</v>
      </c>
      <c r="AK1177" s="320">
        <v>1.86</v>
      </c>
      <c r="AL1177" s="320">
        <v>0.1429</v>
      </c>
      <c r="AM1177" s="320">
        <v>22.93</v>
      </c>
      <c r="AN1177" s="320">
        <v>1052.28</v>
      </c>
      <c r="AO1177" s="320">
        <v>75.87</v>
      </c>
      <c r="AP1177" s="320">
        <v>17.4</v>
      </c>
    </row>
    <row r="1178">
      <c r="A1178" s="319" t="s">
        <v>258</v>
      </c>
      <c r="B1178" s="328">
        <v>46126.0</v>
      </c>
      <c r="C1178" s="319" t="s">
        <v>257</v>
      </c>
      <c r="D1178" s="320">
        <v>15917.0</v>
      </c>
      <c r="E1178" s="320">
        <v>21.14</v>
      </c>
      <c r="F1178" s="320">
        <v>143.73</v>
      </c>
      <c r="G1178" s="320">
        <v>0.009</v>
      </c>
      <c r="H1178" s="320">
        <v>0.19</v>
      </c>
      <c r="I1178" s="320">
        <v>4.791</v>
      </c>
      <c r="J1178" s="320">
        <v>6.05</v>
      </c>
      <c r="K1178" s="320">
        <v>2.78</v>
      </c>
      <c r="L1178" s="320">
        <v>0.04</v>
      </c>
      <c r="M1178" s="320">
        <v>0.0149</v>
      </c>
      <c r="N1178" s="320">
        <v>0.986</v>
      </c>
      <c r="O1178" s="320">
        <v>0.8191</v>
      </c>
      <c r="P1178" s="320">
        <v>66.9788</v>
      </c>
      <c r="Q1178" s="320">
        <v>27.4</v>
      </c>
      <c r="R1178" s="320">
        <v>27.34</v>
      </c>
      <c r="S1178" s="320">
        <v>0.06</v>
      </c>
      <c r="T1178" s="320">
        <v>0.67</v>
      </c>
      <c r="U1178" s="320">
        <v>26.73</v>
      </c>
      <c r="V1178" s="320">
        <v>2.57</v>
      </c>
      <c r="W1178" s="320">
        <v>0.9238</v>
      </c>
      <c r="X1178" s="320">
        <v>2.44</v>
      </c>
      <c r="Y1178" s="320">
        <v>169.0</v>
      </c>
      <c r="Z1178" s="320">
        <v>1193.0</v>
      </c>
      <c r="AA1178" s="320">
        <v>7258.0</v>
      </c>
      <c r="AB1178" s="320">
        <v>49.5794</v>
      </c>
      <c r="AC1178" s="320">
        <v>0.5117</v>
      </c>
      <c r="AD1178" s="329"/>
      <c r="AE1178" s="329"/>
      <c r="AF1178" s="329"/>
      <c r="AG1178" s="329"/>
      <c r="AH1178" s="329"/>
      <c r="AI1178" s="320">
        <v>0.0</v>
      </c>
      <c r="AJ1178" s="320">
        <v>0.0</v>
      </c>
      <c r="AK1178" s="320">
        <v>0.0</v>
      </c>
      <c r="AL1178" s="320">
        <v>0.2624</v>
      </c>
      <c r="AM1178" s="320">
        <v>14.97</v>
      </c>
      <c r="AN1178" s="320">
        <v>12.37</v>
      </c>
      <c r="AO1178" s="329"/>
      <c r="AP1178" s="329"/>
    </row>
    <row r="1179">
      <c r="A1179" s="319" t="s">
        <v>258</v>
      </c>
      <c r="B1179" s="328">
        <v>46126.0</v>
      </c>
      <c r="C1179" s="319" t="s">
        <v>214</v>
      </c>
      <c r="D1179" s="320">
        <v>32604.0</v>
      </c>
      <c r="E1179" s="320">
        <v>43.29</v>
      </c>
      <c r="F1179" s="320">
        <v>6317.93</v>
      </c>
      <c r="G1179" s="320">
        <v>0.1938</v>
      </c>
      <c r="H1179" s="320">
        <v>5.97</v>
      </c>
      <c r="I1179" s="320">
        <v>3.2483</v>
      </c>
      <c r="J1179" s="320">
        <v>29.63</v>
      </c>
      <c r="K1179" s="320">
        <v>15.61</v>
      </c>
      <c r="L1179" s="320">
        <v>5.05</v>
      </c>
      <c r="M1179" s="320">
        <v>0.3234</v>
      </c>
      <c r="N1179" s="320">
        <v>0.7528</v>
      </c>
      <c r="O1179" s="320">
        <v>0.518</v>
      </c>
      <c r="P1179" s="320">
        <v>3.0921</v>
      </c>
      <c r="Q1179" s="320">
        <v>69.15</v>
      </c>
      <c r="R1179" s="320">
        <v>58.83</v>
      </c>
      <c r="S1179" s="320">
        <v>10.32</v>
      </c>
      <c r="T1179" s="320">
        <v>13.86</v>
      </c>
      <c r="U1179" s="320">
        <v>55.29</v>
      </c>
      <c r="V1179" s="320">
        <v>75.79</v>
      </c>
      <c r="W1179" s="320">
        <v>4.8557</v>
      </c>
      <c r="X1179" s="320">
        <v>20.04</v>
      </c>
      <c r="Y1179" s="320">
        <v>88.0</v>
      </c>
      <c r="Z1179" s="320">
        <v>205.0</v>
      </c>
      <c r="AA1179" s="320">
        <v>823.0</v>
      </c>
      <c r="AB1179" s="320">
        <v>49.5031</v>
      </c>
      <c r="AC1179" s="320">
        <v>0.4389</v>
      </c>
      <c r="AD1179" s="320">
        <v>3.5</v>
      </c>
      <c r="AE1179" s="320">
        <v>1.0</v>
      </c>
      <c r="AF1179" s="320">
        <v>2.0</v>
      </c>
      <c r="AG1179" s="320">
        <v>4.0</v>
      </c>
      <c r="AH1179" s="320">
        <v>8.0</v>
      </c>
      <c r="AI1179" s="320">
        <v>66.59</v>
      </c>
      <c r="AJ1179" s="320">
        <v>24.39</v>
      </c>
      <c r="AK1179" s="320">
        <v>6.74</v>
      </c>
      <c r="AL1179" s="320">
        <v>0.2124</v>
      </c>
      <c r="AM1179" s="320">
        <v>18.39</v>
      </c>
      <c r="AN1179" s="320">
        <v>40.44</v>
      </c>
      <c r="AO1179" s="320">
        <v>68.06</v>
      </c>
      <c r="AP1179" s="320">
        <v>12.52</v>
      </c>
    </row>
    <row r="1180">
      <c r="A1180" s="319" t="s">
        <v>258</v>
      </c>
      <c r="B1180" s="328">
        <v>46126.0</v>
      </c>
      <c r="C1180" s="319" t="s">
        <v>215</v>
      </c>
      <c r="D1180" s="320">
        <v>15742.0</v>
      </c>
      <c r="E1180" s="320">
        <v>20.9</v>
      </c>
      <c r="F1180" s="320">
        <v>16040.92</v>
      </c>
      <c r="G1180" s="320">
        <v>1.019</v>
      </c>
      <c r="H1180" s="320">
        <v>20.73</v>
      </c>
      <c r="I1180" s="320">
        <v>4.9145</v>
      </c>
      <c r="J1180" s="320">
        <v>56.47</v>
      </c>
      <c r="K1180" s="320">
        <v>31.76</v>
      </c>
      <c r="L1180" s="320">
        <v>13.72</v>
      </c>
      <c r="M1180" s="320">
        <v>0.4321</v>
      </c>
      <c r="N1180" s="320">
        <v>0.6361</v>
      </c>
      <c r="O1180" s="320">
        <v>0.3665</v>
      </c>
      <c r="P1180" s="320">
        <v>2.3143</v>
      </c>
      <c r="Q1180" s="320">
        <v>176.58</v>
      </c>
      <c r="R1180" s="320">
        <v>148.62</v>
      </c>
      <c r="S1180" s="320">
        <v>27.97</v>
      </c>
      <c r="T1180" s="320">
        <v>69.33</v>
      </c>
      <c r="U1180" s="320">
        <v>107.25</v>
      </c>
      <c r="V1180" s="320">
        <v>185.48</v>
      </c>
      <c r="W1180" s="320">
        <v>5.84</v>
      </c>
      <c r="X1180" s="320">
        <v>39.26</v>
      </c>
      <c r="Y1180" s="320">
        <v>83.0</v>
      </c>
      <c r="Z1180" s="320">
        <v>195.0</v>
      </c>
      <c r="AA1180" s="320">
        <v>647.0</v>
      </c>
      <c r="AB1180" s="320">
        <v>52.4044</v>
      </c>
      <c r="AC1180" s="320">
        <v>0.5145</v>
      </c>
      <c r="AD1180" s="320">
        <v>8.91</v>
      </c>
      <c r="AE1180" s="320">
        <v>3.0</v>
      </c>
      <c r="AF1180" s="320">
        <v>7.0</v>
      </c>
      <c r="AG1180" s="320">
        <v>12.0</v>
      </c>
      <c r="AH1180" s="320">
        <v>20.0</v>
      </c>
      <c r="AI1180" s="320">
        <v>54.24</v>
      </c>
      <c r="AJ1180" s="320">
        <v>24.18</v>
      </c>
      <c r="AK1180" s="320">
        <v>5.24</v>
      </c>
      <c r="AL1180" s="320">
        <v>0.1826</v>
      </c>
      <c r="AM1180" s="320">
        <v>18.96</v>
      </c>
      <c r="AN1180" s="320">
        <v>129.66</v>
      </c>
      <c r="AO1180" s="320">
        <v>71.71</v>
      </c>
      <c r="AP1180" s="320">
        <v>13.6</v>
      </c>
    </row>
    <row r="1181">
      <c r="A1181" s="319" t="s">
        <v>258</v>
      </c>
      <c r="B1181" s="328">
        <v>46126.0</v>
      </c>
      <c r="C1181" s="319" t="s">
        <v>216</v>
      </c>
      <c r="D1181" s="320">
        <v>7985.0</v>
      </c>
      <c r="E1181" s="320">
        <v>10.6</v>
      </c>
      <c r="F1181" s="320">
        <v>20851.33</v>
      </c>
      <c r="G1181" s="320">
        <v>2.6113</v>
      </c>
      <c r="H1181" s="320">
        <v>33.34</v>
      </c>
      <c r="I1181" s="320">
        <v>7.833</v>
      </c>
      <c r="J1181" s="320">
        <v>82.33</v>
      </c>
      <c r="K1181" s="320">
        <v>49.28</v>
      </c>
      <c r="L1181" s="320">
        <v>27.19</v>
      </c>
      <c r="M1181" s="320">
        <v>0.5516</v>
      </c>
      <c r="N1181" s="320">
        <v>0.5252</v>
      </c>
      <c r="O1181" s="320">
        <v>0.2898</v>
      </c>
      <c r="P1181" s="320">
        <v>1.8128</v>
      </c>
      <c r="Q1181" s="320">
        <v>356.14</v>
      </c>
      <c r="R1181" s="320">
        <v>303.86</v>
      </c>
      <c r="S1181" s="320">
        <v>52.29</v>
      </c>
      <c r="T1181" s="320">
        <v>168.55</v>
      </c>
      <c r="U1181" s="320">
        <v>187.59</v>
      </c>
      <c r="V1181" s="320">
        <v>367.05</v>
      </c>
      <c r="W1181" s="320">
        <v>7.4476</v>
      </c>
      <c r="X1181" s="320">
        <v>47.33</v>
      </c>
      <c r="Y1181" s="320">
        <v>88.0</v>
      </c>
      <c r="Z1181" s="320">
        <v>237.0</v>
      </c>
      <c r="AA1181" s="320">
        <v>753.0</v>
      </c>
      <c r="AB1181" s="320">
        <v>54.4308</v>
      </c>
      <c r="AC1181" s="320">
        <v>0.6092</v>
      </c>
      <c r="AD1181" s="320">
        <v>16.23</v>
      </c>
      <c r="AE1181" s="320">
        <v>5.0</v>
      </c>
      <c r="AF1181" s="320">
        <v>12.0</v>
      </c>
      <c r="AG1181" s="320">
        <v>22.0</v>
      </c>
      <c r="AH1181" s="320">
        <v>35.0</v>
      </c>
      <c r="AI1181" s="320">
        <v>53.79</v>
      </c>
      <c r="AJ1181" s="320">
        <v>20.21</v>
      </c>
      <c r="AK1181" s="320">
        <v>6.3</v>
      </c>
      <c r="AL1181" s="320">
        <v>0.1619</v>
      </c>
      <c r="AM1181" s="320">
        <v>19.2</v>
      </c>
      <c r="AN1181" s="320">
        <v>284.66</v>
      </c>
      <c r="AO1181" s="320">
        <v>72.96</v>
      </c>
      <c r="AP1181" s="320">
        <v>14.01</v>
      </c>
    </row>
    <row r="1182">
      <c r="A1182" s="319" t="s">
        <v>258</v>
      </c>
      <c r="B1182" s="328">
        <v>46126.0</v>
      </c>
      <c r="C1182" s="319" t="s">
        <v>217</v>
      </c>
      <c r="D1182" s="320">
        <v>2777.0</v>
      </c>
      <c r="E1182" s="320">
        <v>3.69</v>
      </c>
      <c r="F1182" s="320">
        <v>15562.18</v>
      </c>
      <c r="G1182" s="320">
        <v>5.604</v>
      </c>
      <c r="H1182" s="320">
        <v>44.36</v>
      </c>
      <c r="I1182" s="320">
        <v>12.6316</v>
      </c>
      <c r="J1182" s="320">
        <v>126.13</v>
      </c>
      <c r="K1182" s="320">
        <v>78.86</v>
      </c>
      <c r="L1182" s="320">
        <v>52.47</v>
      </c>
      <c r="M1182" s="320">
        <v>0.6654</v>
      </c>
      <c r="N1182" s="320">
        <v>0.4223</v>
      </c>
      <c r="O1182" s="320">
        <v>0.2384</v>
      </c>
      <c r="P1182" s="320">
        <v>1.5028</v>
      </c>
      <c r="Q1182" s="320">
        <v>696.87</v>
      </c>
      <c r="R1182" s="320">
        <v>589.76</v>
      </c>
      <c r="S1182" s="320">
        <v>107.11</v>
      </c>
      <c r="T1182" s="320">
        <v>353.18</v>
      </c>
      <c r="U1182" s="320">
        <v>343.69</v>
      </c>
      <c r="V1182" s="320">
        <v>695.64</v>
      </c>
      <c r="W1182" s="320">
        <v>8.8213</v>
      </c>
      <c r="X1182" s="320">
        <v>50.68</v>
      </c>
      <c r="Y1182" s="320">
        <v>95.0</v>
      </c>
      <c r="Z1182" s="320">
        <v>302.0</v>
      </c>
      <c r="AA1182" s="320">
        <v>935.0</v>
      </c>
      <c r="AB1182" s="320">
        <v>57.3166</v>
      </c>
      <c r="AC1182" s="320">
        <v>0.7395</v>
      </c>
      <c r="AD1182" s="320">
        <v>34.21</v>
      </c>
      <c r="AE1182" s="320">
        <v>12.0</v>
      </c>
      <c r="AF1182" s="320">
        <v>26.0</v>
      </c>
      <c r="AG1182" s="320">
        <v>48.0</v>
      </c>
      <c r="AH1182" s="320">
        <v>75.0</v>
      </c>
      <c r="AI1182" s="320">
        <v>47.68</v>
      </c>
      <c r="AJ1182" s="320">
        <v>16.78</v>
      </c>
      <c r="AK1182" s="320">
        <v>3.96</v>
      </c>
      <c r="AL1182" s="320">
        <v>0.143</v>
      </c>
      <c r="AM1182" s="320">
        <v>19.74</v>
      </c>
      <c r="AN1182" s="320">
        <v>570.02</v>
      </c>
      <c r="AO1182" s="320">
        <v>77.54</v>
      </c>
      <c r="AP1182" s="320">
        <v>15.31</v>
      </c>
    </row>
    <row r="1183">
      <c r="A1183" s="319" t="s">
        <v>258</v>
      </c>
      <c r="B1183" s="328">
        <v>46126.0</v>
      </c>
      <c r="C1183" s="319" t="s">
        <v>218</v>
      </c>
      <c r="D1183" s="320">
        <v>283.0</v>
      </c>
      <c r="E1183" s="320">
        <v>0.38</v>
      </c>
      <c r="F1183" s="320">
        <v>2384.71</v>
      </c>
      <c r="G1183" s="320">
        <v>8.4265</v>
      </c>
      <c r="H1183" s="320">
        <v>47.0</v>
      </c>
      <c r="I1183" s="320">
        <v>17.9302</v>
      </c>
      <c r="J1183" s="320">
        <v>233.56</v>
      </c>
      <c r="K1183" s="320">
        <v>157.3</v>
      </c>
      <c r="L1183" s="320">
        <v>122.09</v>
      </c>
      <c r="M1183" s="320">
        <v>0.7761</v>
      </c>
      <c r="N1183" s="320">
        <v>0.3093</v>
      </c>
      <c r="O1183" s="320">
        <v>0.179</v>
      </c>
      <c r="P1183" s="320">
        <v>1.2884</v>
      </c>
      <c r="Q1183" s="320">
        <v>1227.67</v>
      </c>
      <c r="R1183" s="320">
        <v>974.19</v>
      </c>
      <c r="S1183" s="320">
        <v>253.48</v>
      </c>
      <c r="T1183" s="320">
        <v>519.36</v>
      </c>
      <c r="U1183" s="320">
        <v>708.31</v>
      </c>
      <c r="V1183" s="320">
        <v>1240.99</v>
      </c>
      <c r="W1183" s="320">
        <v>7.8891</v>
      </c>
      <c r="X1183" s="320">
        <v>42.3</v>
      </c>
      <c r="Y1183" s="320">
        <v>148.0</v>
      </c>
      <c r="Z1183" s="320">
        <v>825.0</v>
      </c>
      <c r="AA1183" s="320">
        <v>2114.0</v>
      </c>
      <c r="AB1183" s="320">
        <v>60.736</v>
      </c>
      <c r="AC1183" s="320">
        <v>0.8203</v>
      </c>
      <c r="AD1183" s="320">
        <v>77.72</v>
      </c>
      <c r="AE1183" s="320">
        <v>27.0</v>
      </c>
      <c r="AF1183" s="320">
        <v>59.0</v>
      </c>
      <c r="AG1183" s="320">
        <v>109.0</v>
      </c>
      <c r="AH1183" s="320">
        <v>168.0</v>
      </c>
      <c r="AI1183" s="320">
        <v>39.93</v>
      </c>
      <c r="AJ1183" s="320">
        <v>8.13</v>
      </c>
      <c r="AK1183" s="320">
        <v>2.47</v>
      </c>
      <c r="AL1183" s="320">
        <v>0.106</v>
      </c>
      <c r="AM1183" s="320">
        <v>21.31</v>
      </c>
      <c r="AN1183" s="320">
        <v>952.89</v>
      </c>
      <c r="AO1183" s="320">
        <v>79.71</v>
      </c>
      <c r="AP1183" s="320">
        <v>16.99</v>
      </c>
    </row>
    <row r="1184">
      <c r="A1184" s="319" t="s">
        <v>258</v>
      </c>
      <c r="B1184" s="328">
        <v>46127.0</v>
      </c>
      <c r="C1184" s="319" t="s">
        <v>257</v>
      </c>
      <c r="D1184" s="320">
        <v>16183.0</v>
      </c>
      <c r="E1184" s="320">
        <v>21.67</v>
      </c>
      <c r="F1184" s="320">
        <v>125.57</v>
      </c>
      <c r="G1184" s="320">
        <v>0.0078</v>
      </c>
      <c r="H1184" s="320">
        <v>0.18</v>
      </c>
      <c r="I1184" s="320">
        <v>4.33</v>
      </c>
      <c r="J1184" s="320">
        <v>6.48</v>
      </c>
      <c r="K1184" s="320">
        <v>2.95</v>
      </c>
      <c r="L1184" s="320">
        <v>0.03</v>
      </c>
      <c r="M1184" s="320">
        <v>0.0102</v>
      </c>
      <c r="N1184" s="320">
        <v>0.9912</v>
      </c>
      <c r="O1184" s="320">
        <v>0.8824</v>
      </c>
      <c r="P1184" s="320">
        <v>97.5735</v>
      </c>
      <c r="Q1184" s="320">
        <v>22.89</v>
      </c>
      <c r="R1184" s="320">
        <v>22.82</v>
      </c>
      <c r="S1184" s="320">
        <v>0.07</v>
      </c>
      <c r="T1184" s="320">
        <v>0.59</v>
      </c>
      <c r="U1184" s="320">
        <v>22.29</v>
      </c>
      <c r="V1184" s="320">
        <v>1.86</v>
      </c>
      <c r="W1184" s="320">
        <v>0.6306</v>
      </c>
      <c r="X1184" s="320">
        <v>2.59</v>
      </c>
      <c r="Y1184" s="320">
        <v>165.0</v>
      </c>
      <c r="Z1184" s="320">
        <v>1195.0</v>
      </c>
      <c r="AA1184" s="320">
        <v>7591.0</v>
      </c>
      <c r="AB1184" s="320">
        <v>49.8891</v>
      </c>
      <c r="AC1184" s="320">
        <v>0.517</v>
      </c>
      <c r="AD1184" s="329"/>
      <c r="AE1184" s="329"/>
      <c r="AF1184" s="329"/>
      <c r="AG1184" s="329"/>
      <c r="AH1184" s="329"/>
      <c r="AI1184" s="320">
        <v>0.0</v>
      </c>
      <c r="AJ1184" s="320">
        <v>0.0</v>
      </c>
      <c r="AK1184" s="320">
        <v>0.0</v>
      </c>
      <c r="AL1184" s="320">
        <v>0.2697</v>
      </c>
      <c r="AM1184" s="320">
        <v>15.68</v>
      </c>
      <c r="AN1184" s="320">
        <v>7.14</v>
      </c>
      <c r="AO1184" s="329"/>
      <c r="AP1184" s="329"/>
    </row>
    <row r="1185">
      <c r="A1185" s="319" t="s">
        <v>258</v>
      </c>
      <c r="B1185" s="328">
        <v>46127.0</v>
      </c>
      <c r="C1185" s="319" t="s">
        <v>214</v>
      </c>
      <c r="D1185" s="320">
        <v>32380.0</v>
      </c>
      <c r="E1185" s="320">
        <v>43.36</v>
      </c>
      <c r="F1185" s="320">
        <v>6942.1</v>
      </c>
      <c r="G1185" s="320">
        <v>0.2144</v>
      </c>
      <c r="H1185" s="320">
        <v>6.41</v>
      </c>
      <c r="I1185" s="320">
        <v>3.3472</v>
      </c>
      <c r="J1185" s="320">
        <v>33.95</v>
      </c>
      <c r="K1185" s="320">
        <v>18.61</v>
      </c>
      <c r="L1185" s="320">
        <v>5.18</v>
      </c>
      <c r="M1185" s="320">
        <v>0.2783</v>
      </c>
      <c r="N1185" s="320">
        <v>0.7835</v>
      </c>
      <c r="O1185" s="320">
        <v>0.5285</v>
      </c>
      <c r="P1185" s="320">
        <v>3.5927</v>
      </c>
      <c r="Q1185" s="320">
        <v>62.16</v>
      </c>
      <c r="R1185" s="320">
        <v>51.53</v>
      </c>
      <c r="S1185" s="320">
        <v>10.63</v>
      </c>
      <c r="T1185" s="320">
        <v>15.3</v>
      </c>
      <c r="U1185" s="320">
        <v>46.86</v>
      </c>
      <c r="V1185" s="320">
        <v>69.51</v>
      </c>
      <c r="W1185" s="320">
        <v>3.7356</v>
      </c>
      <c r="X1185" s="320">
        <v>24.61</v>
      </c>
      <c r="Y1185" s="320">
        <v>86.0</v>
      </c>
      <c r="Z1185" s="320">
        <v>210.0</v>
      </c>
      <c r="AA1185" s="320">
        <v>837.0</v>
      </c>
      <c r="AB1185" s="320">
        <v>49.4061</v>
      </c>
      <c r="AC1185" s="320">
        <v>0.4435</v>
      </c>
      <c r="AD1185" s="320">
        <v>3.44</v>
      </c>
      <c r="AE1185" s="320">
        <v>1.0</v>
      </c>
      <c r="AF1185" s="320">
        <v>2.0</v>
      </c>
      <c r="AG1185" s="320">
        <v>4.0</v>
      </c>
      <c r="AH1185" s="320">
        <v>8.0</v>
      </c>
      <c r="AI1185" s="320">
        <v>65.79</v>
      </c>
      <c r="AJ1185" s="320">
        <v>23.87</v>
      </c>
      <c r="AK1185" s="320">
        <v>6.29</v>
      </c>
      <c r="AL1185" s="320">
        <v>0.219</v>
      </c>
      <c r="AM1185" s="320">
        <v>19.13</v>
      </c>
      <c r="AN1185" s="320">
        <v>32.4</v>
      </c>
      <c r="AO1185" s="320">
        <v>67.87</v>
      </c>
      <c r="AP1185" s="320">
        <v>12.98</v>
      </c>
    </row>
    <row r="1186">
      <c r="A1186" s="319" t="s">
        <v>258</v>
      </c>
      <c r="B1186" s="328">
        <v>46127.0</v>
      </c>
      <c r="C1186" s="319" t="s">
        <v>215</v>
      </c>
      <c r="D1186" s="320">
        <v>15594.0</v>
      </c>
      <c r="E1186" s="320">
        <v>20.88</v>
      </c>
      <c r="F1186" s="320">
        <v>17081.0</v>
      </c>
      <c r="G1186" s="320">
        <v>1.0954</v>
      </c>
      <c r="H1186" s="320">
        <v>21.82</v>
      </c>
      <c r="I1186" s="320">
        <v>5.0194</v>
      </c>
      <c r="J1186" s="320">
        <v>65.16</v>
      </c>
      <c r="K1186" s="320">
        <v>37.87</v>
      </c>
      <c r="L1186" s="320">
        <v>14.37</v>
      </c>
      <c r="M1186" s="320">
        <v>0.3796</v>
      </c>
      <c r="N1186" s="320">
        <v>0.6767</v>
      </c>
      <c r="O1186" s="320">
        <v>0.3784</v>
      </c>
      <c r="P1186" s="320">
        <v>2.6346</v>
      </c>
      <c r="Q1186" s="320">
        <v>159.04</v>
      </c>
      <c r="R1186" s="320">
        <v>130.77</v>
      </c>
      <c r="S1186" s="320">
        <v>28.27</v>
      </c>
      <c r="T1186" s="320">
        <v>73.56</v>
      </c>
      <c r="U1186" s="320">
        <v>85.49</v>
      </c>
      <c r="V1186" s="320">
        <v>176.12</v>
      </c>
      <c r="W1186" s="320">
        <v>4.6505</v>
      </c>
      <c r="X1186" s="320">
        <v>46.25</v>
      </c>
      <c r="Y1186" s="320">
        <v>80.0</v>
      </c>
      <c r="Z1186" s="320">
        <v>171.0</v>
      </c>
      <c r="AA1186" s="320">
        <v>574.0</v>
      </c>
      <c r="AB1186" s="320">
        <v>52.2302</v>
      </c>
      <c r="AC1186" s="320">
        <v>0.5201</v>
      </c>
      <c r="AD1186" s="320">
        <v>8.48</v>
      </c>
      <c r="AE1186" s="320">
        <v>3.0</v>
      </c>
      <c r="AF1186" s="320">
        <v>6.0</v>
      </c>
      <c r="AG1186" s="320">
        <v>12.0</v>
      </c>
      <c r="AH1186" s="320">
        <v>19.0</v>
      </c>
      <c r="AI1186" s="320">
        <v>51.68</v>
      </c>
      <c r="AJ1186" s="320">
        <v>23.0</v>
      </c>
      <c r="AK1186" s="320">
        <v>4.65</v>
      </c>
      <c r="AL1186" s="320">
        <v>0.1835</v>
      </c>
      <c r="AM1186" s="320">
        <v>19.87</v>
      </c>
      <c r="AN1186" s="320">
        <v>110.9</v>
      </c>
      <c r="AO1186" s="320">
        <v>72.29</v>
      </c>
      <c r="AP1186" s="320">
        <v>14.36</v>
      </c>
    </row>
    <row r="1187">
      <c r="A1187" s="319" t="s">
        <v>258</v>
      </c>
      <c r="B1187" s="328">
        <v>46127.0</v>
      </c>
      <c r="C1187" s="319" t="s">
        <v>216</v>
      </c>
      <c r="D1187" s="320">
        <v>7526.0</v>
      </c>
      <c r="E1187" s="320">
        <v>10.08</v>
      </c>
      <c r="F1187" s="320">
        <v>19289.26</v>
      </c>
      <c r="G1187" s="320">
        <v>2.563</v>
      </c>
      <c r="H1187" s="320">
        <v>33.64</v>
      </c>
      <c r="I1187" s="320">
        <v>7.6182</v>
      </c>
      <c r="J1187" s="320">
        <v>89.01</v>
      </c>
      <c r="K1187" s="320">
        <v>54.15</v>
      </c>
      <c r="L1187" s="320">
        <v>26.33</v>
      </c>
      <c r="M1187" s="320">
        <v>0.4862</v>
      </c>
      <c r="N1187" s="320">
        <v>0.5782</v>
      </c>
      <c r="O1187" s="320">
        <v>0.312</v>
      </c>
      <c r="P1187" s="320">
        <v>2.0569</v>
      </c>
      <c r="Q1187" s="320">
        <v>300.01</v>
      </c>
      <c r="R1187" s="320">
        <v>246.11</v>
      </c>
      <c r="S1187" s="320">
        <v>53.9</v>
      </c>
      <c r="T1187" s="320">
        <v>164.17</v>
      </c>
      <c r="U1187" s="320">
        <v>135.84</v>
      </c>
      <c r="V1187" s="320">
        <v>327.15</v>
      </c>
      <c r="W1187" s="320">
        <v>6.0417</v>
      </c>
      <c r="X1187" s="320">
        <v>54.72</v>
      </c>
      <c r="Y1187" s="320">
        <v>83.0</v>
      </c>
      <c r="Z1187" s="320">
        <v>188.0</v>
      </c>
      <c r="AA1187" s="320">
        <v>636.0</v>
      </c>
      <c r="AB1187" s="320">
        <v>54.4482</v>
      </c>
      <c r="AC1187" s="320">
        <v>0.6374</v>
      </c>
      <c r="AD1187" s="320">
        <v>16.09</v>
      </c>
      <c r="AE1187" s="320">
        <v>5.0</v>
      </c>
      <c r="AF1187" s="320">
        <v>11.0</v>
      </c>
      <c r="AG1187" s="320">
        <v>22.0</v>
      </c>
      <c r="AH1187" s="320">
        <v>35.0</v>
      </c>
      <c r="AI1187" s="320">
        <v>52.33</v>
      </c>
      <c r="AJ1187" s="320">
        <v>20.77</v>
      </c>
      <c r="AK1187" s="320">
        <v>6.22</v>
      </c>
      <c r="AL1187" s="320">
        <v>0.1766</v>
      </c>
      <c r="AM1187" s="320">
        <v>19.6</v>
      </c>
      <c r="AN1187" s="320">
        <v>226.51</v>
      </c>
      <c r="AO1187" s="320">
        <v>76.08</v>
      </c>
      <c r="AP1187" s="320">
        <v>14.91</v>
      </c>
    </row>
    <row r="1188">
      <c r="A1188" s="319" t="s">
        <v>258</v>
      </c>
      <c r="B1188" s="328">
        <v>46127.0</v>
      </c>
      <c r="C1188" s="319" t="s">
        <v>217</v>
      </c>
      <c r="D1188" s="320">
        <v>2710.0</v>
      </c>
      <c r="E1188" s="320">
        <v>3.63</v>
      </c>
      <c r="F1188" s="320">
        <v>16247.83</v>
      </c>
      <c r="G1188" s="320">
        <v>5.9955</v>
      </c>
      <c r="H1188" s="320">
        <v>45.02</v>
      </c>
      <c r="I1188" s="320">
        <v>13.3179</v>
      </c>
      <c r="J1188" s="320">
        <v>133.73</v>
      </c>
      <c r="K1188" s="320">
        <v>84.45</v>
      </c>
      <c r="L1188" s="320">
        <v>52.81</v>
      </c>
      <c r="M1188" s="320">
        <v>0.6253</v>
      </c>
      <c r="N1188" s="320">
        <v>0.4532</v>
      </c>
      <c r="O1188" s="320">
        <v>0.2451</v>
      </c>
      <c r="P1188" s="320">
        <v>1.5992</v>
      </c>
      <c r="Q1188" s="320">
        <v>614.4</v>
      </c>
      <c r="R1188" s="320">
        <v>505.22</v>
      </c>
      <c r="S1188" s="320">
        <v>109.18</v>
      </c>
      <c r="T1188" s="320">
        <v>371.57</v>
      </c>
      <c r="U1188" s="320">
        <v>242.83</v>
      </c>
      <c r="V1188" s="320">
        <v>651.53</v>
      </c>
      <c r="W1188" s="320">
        <v>7.7149</v>
      </c>
      <c r="X1188" s="320">
        <v>60.48</v>
      </c>
      <c r="Y1188" s="320">
        <v>90.0</v>
      </c>
      <c r="Z1188" s="320">
        <v>268.0</v>
      </c>
      <c r="AA1188" s="320">
        <v>934.0</v>
      </c>
      <c r="AB1188" s="320">
        <v>57.4842</v>
      </c>
      <c r="AC1188" s="320">
        <v>0.7426</v>
      </c>
      <c r="AD1188" s="320">
        <v>33.92</v>
      </c>
      <c r="AE1188" s="320">
        <v>11.0</v>
      </c>
      <c r="AF1188" s="320">
        <v>24.0</v>
      </c>
      <c r="AG1188" s="320">
        <v>47.0</v>
      </c>
      <c r="AH1188" s="320">
        <v>76.0</v>
      </c>
      <c r="AI1188" s="320">
        <v>45.9</v>
      </c>
      <c r="AJ1188" s="320">
        <v>17.45</v>
      </c>
      <c r="AK1188" s="320">
        <v>4.21</v>
      </c>
      <c r="AL1188" s="320">
        <v>0.1513</v>
      </c>
      <c r="AM1188" s="320">
        <v>19.53</v>
      </c>
      <c r="AN1188" s="320">
        <v>485.7</v>
      </c>
      <c r="AO1188" s="320">
        <v>78.64</v>
      </c>
      <c r="AP1188" s="320">
        <v>15.36</v>
      </c>
    </row>
    <row r="1189">
      <c r="A1189" s="319" t="s">
        <v>258</v>
      </c>
      <c r="B1189" s="328">
        <v>46127.0</v>
      </c>
      <c r="C1189" s="319" t="s">
        <v>218</v>
      </c>
      <c r="D1189" s="320">
        <v>285.0</v>
      </c>
      <c r="E1189" s="320">
        <v>0.38</v>
      </c>
      <c r="F1189" s="320">
        <v>3644.41</v>
      </c>
      <c r="G1189" s="320">
        <v>12.7874</v>
      </c>
      <c r="H1189" s="320">
        <v>54.74</v>
      </c>
      <c r="I1189" s="320">
        <v>23.3616</v>
      </c>
      <c r="J1189" s="320">
        <v>247.53</v>
      </c>
      <c r="K1189" s="320">
        <v>160.41</v>
      </c>
      <c r="L1189" s="320">
        <v>122.77</v>
      </c>
      <c r="M1189" s="320">
        <v>0.7654</v>
      </c>
      <c r="N1189" s="320">
        <v>0.3289</v>
      </c>
      <c r="O1189" s="320">
        <v>0.1938</v>
      </c>
      <c r="P1189" s="320">
        <v>1.3066</v>
      </c>
      <c r="Q1189" s="320">
        <v>1322.77</v>
      </c>
      <c r="R1189" s="320">
        <v>1064.7</v>
      </c>
      <c r="S1189" s="320">
        <v>258.07</v>
      </c>
      <c r="T1189" s="320">
        <v>804.54</v>
      </c>
      <c r="U1189" s="320">
        <v>518.22</v>
      </c>
      <c r="V1189" s="320">
        <v>1436.32</v>
      </c>
      <c r="W1189" s="320">
        <v>8.9542</v>
      </c>
      <c r="X1189" s="320">
        <v>60.82</v>
      </c>
      <c r="Y1189" s="320">
        <v>160.0</v>
      </c>
      <c r="Z1189" s="320">
        <v>708.0</v>
      </c>
      <c r="AA1189" s="320">
        <v>2393.0</v>
      </c>
      <c r="AB1189" s="320">
        <v>61.535</v>
      </c>
      <c r="AC1189" s="320">
        <v>0.8344</v>
      </c>
      <c r="AD1189" s="320">
        <v>82.1</v>
      </c>
      <c r="AE1189" s="320">
        <v>26.0</v>
      </c>
      <c r="AF1189" s="320">
        <v>60.0</v>
      </c>
      <c r="AG1189" s="320">
        <v>117.0</v>
      </c>
      <c r="AH1189" s="320">
        <v>172.0</v>
      </c>
      <c r="AI1189" s="320">
        <v>40.0</v>
      </c>
      <c r="AJ1189" s="320">
        <v>9.47</v>
      </c>
      <c r="AK1189" s="320">
        <v>1.75</v>
      </c>
      <c r="AL1189" s="320">
        <v>0.0982</v>
      </c>
      <c r="AM1189" s="320">
        <v>19.51</v>
      </c>
      <c r="AN1189" s="320">
        <v>1045.19</v>
      </c>
      <c r="AO1189" s="320">
        <v>79.45</v>
      </c>
      <c r="AP1189" s="320">
        <v>15.5</v>
      </c>
    </row>
    <row r="1190">
      <c r="A1190" s="319" t="s">
        <v>258</v>
      </c>
      <c r="B1190" s="328">
        <v>46128.0</v>
      </c>
      <c r="C1190" s="319" t="s">
        <v>257</v>
      </c>
      <c r="D1190" s="320">
        <v>16305.0</v>
      </c>
      <c r="E1190" s="320">
        <v>22.29</v>
      </c>
      <c r="F1190" s="320">
        <v>120.44</v>
      </c>
      <c r="G1190" s="320">
        <v>0.0074</v>
      </c>
      <c r="H1190" s="320">
        <v>0.17</v>
      </c>
      <c r="I1190" s="320">
        <v>4.3014</v>
      </c>
      <c r="J1190" s="320">
        <v>6.76</v>
      </c>
      <c r="K1190" s="320">
        <v>3.02</v>
      </c>
      <c r="L1190" s="320">
        <v>0.03</v>
      </c>
      <c r="M1190" s="320">
        <v>0.0114</v>
      </c>
      <c r="N1190" s="320">
        <v>0.9896</v>
      </c>
      <c r="O1190" s="320">
        <v>0.8521</v>
      </c>
      <c r="P1190" s="320">
        <v>88.0286</v>
      </c>
      <c r="Q1190" s="320">
        <v>22.26</v>
      </c>
      <c r="R1190" s="320">
        <v>22.2</v>
      </c>
      <c r="S1190" s="320">
        <v>0.06</v>
      </c>
      <c r="T1190" s="320">
        <v>0.59</v>
      </c>
      <c r="U1190" s="320">
        <v>21.67</v>
      </c>
      <c r="V1190" s="320">
        <v>2.12</v>
      </c>
      <c r="W1190" s="320">
        <v>0.7011</v>
      </c>
      <c r="X1190" s="320">
        <v>2.67</v>
      </c>
      <c r="Y1190" s="320">
        <v>138.0</v>
      </c>
      <c r="Z1190" s="320">
        <v>1060.0</v>
      </c>
      <c r="AA1190" s="320">
        <v>7016.0</v>
      </c>
      <c r="AB1190" s="320">
        <v>49.5593</v>
      </c>
      <c r="AC1190" s="320">
        <v>0.5091</v>
      </c>
      <c r="AD1190" s="329"/>
      <c r="AE1190" s="329"/>
      <c r="AF1190" s="329"/>
      <c r="AG1190" s="329"/>
      <c r="AH1190" s="329"/>
      <c r="AI1190" s="320">
        <v>0.0</v>
      </c>
      <c r="AJ1190" s="320">
        <v>0.0</v>
      </c>
      <c r="AK1190" s="320">
        <v>0.0</v>
      </c>
      <c r="AL1190" s="320">
        <v>0.2721</v>
      </c>
      <c r="AM1190" s="320">
        <v>16.23</v>
      </c>
      <c r="AN1190" s="320">
        <v>5.98</v>
      </c>
      <c r="AO1190" s="329"/>
      <c r="AP1190" s="329"/>
    </row>
    <row r="1191">
      <c r="A1191" s="319" t="s">
        <v>258</v>
      </c>
      <c r="B1191" s="328">
        <v>46128.0</v>
      </c>
      <c r="C1191" s="319" t="s">
        <v>214</v>
      </c>
      <c r="D1191" s="320">
        <v>31545.0</v>
      </c>
      <c r="E1191" s="320">
        <v>43.12</v>
      </c>
      <c r="F1191" s="320">
        <v>6890.76</v>
      </c>
      <c r="G1191" s="320">
        <v>0.2184</v>
      </c>
      <c r="H1191" s="320">
        <v>6.41</v>
      </c>
      <c r="I1191" s="320">
        <v>3.4096</v>
      </c>
      <c r="J1191" s="320">
        <v>31.02</v>
      </c>
      <c r="K1191" s="320">
        <v>16.7</v>
      </c>
      <c r="L1191" s="320">
        <v>5.0</v>
      </c>
      <c r="M1191" s="320">
        <v>0.2993</v>
      </c>
      <c r="N1191" s="320">
        <v>0.7684</v>
      </c>
      <c r="O1191" s="320">
        <v>0.5208</v>
      </c>
      <c r="P1191" s="320">
        <v>3.3415</v>
      </c>
      <c r="Q1191" s="320">
        <v>61.21</v>
      </c>
      <c r="R1191" s="320">
        <v>50.77</v>
      </c>
      <c r="S1191" s="320">
        <v>10.44</v>
      </c>
      <c r="T1191" s="320">
        <v>15.62</v>
      </c>
      <c r="U1191" s="320">
        <v>45.59</v>
      </c>
      <c r="V1191" s="320">
        <v>68.7</v>
      </c>
      <c r="W1191" s="320">
        <v>4.1124</v>
      </c>
      <c r="X1191" s="320">
        <v>25.52</v>
      </c>
      <c r="Y1191" s="320">
        <v>86.0</v>
      </c>
      <c r="Z1191" s="320">
        <v>197.0</v>
      </c>
      <c r="AA1191" s="320">
        <v>825.0</v>
      </c>
      <c r="AB1191" s="320">
        <v>49.4028</v>
      </c>
      <c r="AC1191" s="320">
        <v>0.4433</v>
      </c>
      <c r="AD1191" s="320">
        <v>3.4</v>
      </c>
      <c r="AE1191" s="320">
        <v>1.0</v>
      </c>
      <c r="AF1191" s="320">
        <v>2.0</v>
      </c>
      <c r="AG1191" s="320">
        <v>4.0</v>
      </c>
      <c r="AH1191" s="320">
        <v>8.0</v>
      </c>
      <c r="AI1191" s="320">
        <v>64.75</v>
      </c>
      <c r="AJ1191" s="320">
        <v>23.17</v>
      </c>
      <c r="AK1191" s="320">
        <v>6.5</v>
      </c>
      <c r="AL1191" s="320">
        <v>0.2269</v>
      </c>
      <c r="AM1191" s="320">
        <v>19.89</v>
      </c>
      <c r="AN1191" s="320">
        <v>30.89</v>
      </c>
      <c r="AO1191" s="320">
        <v>68.19</v>
      </c>
      <c r="AP1191" s="320">
        <v>13.56</v>
      </c>
    </row>
    <row r="1192">
      <c r="A1192" s="319" t="s">
        <v>258</v>
      </c>
      <c r="B1192" s="328">
        <v>46128.0</v>
      </c>
      <c r="C1192" s="319" t="s">
        <v>215</v>
      </c>
      <c r="D1192" s="320">
        <v>14908.0</v>
      </c>
      <c r="E1192" s="320">
        <v>20.38</v>
      </c>
      <c r="F1192" s="320">
        <v>15185.96</v>
      </c>
      <c r="G1192" s="320">
        <v>1.0186</v>
      </c>
      <c r="H1192" s="320">
        <v>20.72</v>
      </c>
      <c r="I1192" s="320">
        <v>4.9161</v>
      </c>
      <c r="J1192" s="320">
        <v>57.13</v>
      </c>
      <c r="K1192" s="320">
        <v>32.92</v>
      </c>
      <c r="L1192" s="320">
        <v>13.17</v>
      </c>
      <c r="M1192" s="320">
        <v>0.4</v>
      </c>
      <c r="N1192" s="320">
        <v>0.6614</v>
      </c>
      <c r="O1192" s="320">
        <v>0.3783</v>
      </c>
      <c r="P1192" s="320">
        <v>2.4997</v>
      </c>
      <c r="Q1192" s="320">
        <v>160.91</v>
      </c>
      <c r="R1192" s="320">
        <v>134.48</v>
      </c>
      <c r="S1192" s="320">
        <v>26.42</v>
      </c>
      <c r="T1192" s="320">
        <v>68.45</v>
      </c>
      <c r="U1192" s="320">
        <v>92.45</v>
      </c>
      <c r="V1192" s="320">
        <v>168.88</v>
      </c>
      <c r="W1192" s="320">
        <v>5.1303</v>
      </c>
      <c r="X1192" s="320">
        <v>42.54</v>
      </c>
      <c r="Y1192" s="320">
        <v>82.0</v>
      </c>
      <c r="Z1192" s="320">
        <v>180.0</v>
      </c>
      <c r="AA1192" s="320">
        <v>608.0</v>
      </c>
      <c r="AB1192" s="320">
        <v>52.2778</v>
      </c>
      <c r="AC1192" s="320">
        <v>0.5316</v>
      </c>
      <c r="AD1192" s="320">
        <v>8.11</v>
      </c>
      <c r="AE1192" s="320">
        <v>2.0</v>
      </c>
      <c r="AF1192" s="320">
        <v>6.0</v>
      </c>
      <c r="AG1192" s="320">
        <v>11.0</v>
      </c>
      <c r="AH1192" s="320">
        <v>18.0</v>
      </c>
      <c r="AI1192" s="320">
        <v>50.21</v>
      </c>
      <c r="AJ1192" s="320">
        <v>21.2</v>
      </c>
      <c r="AK1192" s="320">
        <v>3.81</v>
      </c>
      <c r="AL1192" s="320">
        <v>0.1924</v>
      </c>
      <c r="AM1192" s="320">
        <v>20.18</v>
      </c>
      <c r="AN1192" s="320">
        <v>114.3</v>
      </c>
      <c r="AO1192" s="320">
        <v>73.81</v>
      </c>
      <c r="AP1192" s="320">
        <v>14.89</v>
      </c>
    </row>
    <row r="1193">
      <c r="A1193" s="319" t="s">
        <v>258</v>
      </c>
      <c r="B1193" s="328">
        <v>46128.0</v>
      </c>
      <c r="C1193" s="319" t="s">
        <v>216</v>
      </c>
      <c r="D1193" s="320">
        <v>7416.0</v>
      </c>
      <c r="E1193" s="320">
        <v>10.14</v>
      </c>
      <c r="F1193" s="320">
        <v>17774.73</v>
      </c>
      <c r="G1193" s="320">
        <v>2.3968</v>
      </c>
      <c r="H1193" s="320">
        <v>31.61</v>
      </c>
      <c r="I1193" s="320">
        <v>7.5831</v>
      </c>
      <c r="J1193" s="320">
        <v>79.8</v>
      </c>
      <c r="K1193" s="320">
        <v>48.25</v>
      </c>
      <c r="L1193" s="320">
        <v>24.42</v>
      </c>
      <c r="M1193" s="320">
        <v>0.506</v>
      </c>
      <c r="N1193" s="320">
        <v>0.5645</v>
      </c>
      <c r="O1193" s="320">
        <v>0.3108</v>
      </c>
      <c r="P1193" s="320">
        <v>1.9762</v>
      </c>
      <c r="Q1193" s="320">
        <v>316.61</v>
      </c>
      <c r="R1193" s="320">
        <v>266.35</v>
      </c>
      <c r="S1193" s="320">
        <v>50.26</v>
      </c>
      <c r="T1193" s="320">
        <v>156.01</v>
      </c>
      <c r="U1193" s="320">
        <v>160.6</v>
      </c>
      <c r="V1193" s="320">
        <v>323.55</v>
      </c>
      <c r="W1193" s="320">
        <v>6.7056</v>
      </c>
      <c r="X1193" s="320">
        <v>49.27</v>
      </c>
      <c r="Y1193" s="320">
        <v>86.0</v>
      </c>
      <c r="Z1193" s="320">
        <v>195.0</v>
      </c>
      <c r="AA1193" s="320">
        <v>601.0</v>
      </c>
      <c r="AB1193" s="320">
        <v>54.2905</v>
      </c>
      <c r="AC1193" s="320">
        <v>0.6351</v>
      </c>
      <c r="AD1193" s="320">
        <v>15.5</v>
      </c>
      <c r="AE1193" s="320">
        <v>5.0</v>
      </c>
      <c r="AF1193" s="320">
        <v>11.0</v>
      </c>
      <c r="AG1193" s="320">
        <v>22.0</v>
      </c>
      <c r="AH1193" s="320">
        <v>34.0</v>
      </c>
      <c r="AI1193" s="320">
        <v>51.66</v>
      </c>
      <c r="AJ1193" s="320">
        <v>18.89</v>
      </c>
      <c r="AK1193" s="320">
        <v>5.43</v>
      </c>
      <c r="AL1193" s="320">
        <v>0.1758</v>
      </c>
      <c r="AM1193" s="320">
        <v>19.84</v>
      </c>
      <c r="AN1193" s="320">
        <v>246.51</v>
      </c>
      <c r="AO1193" s="320">
        <v>76.75</v>
      </c>
      <c r="AP1193" s="320">
        <v>15.23</v>
      </c>
    </row>
    <row r="1194">
      <c r="A1194" s="319" t="s">
        <v>258</v>
      </c>
      <c r="B1194" s="328">
        <v>46128.0</v>
      </c>
      <c r="C1194" s="319" t="s">
        <v>217</v>
      </c>
      <c r="D1194" s="320">
        <v>2714.0</v>
      </c>
      <c r="E1194" s="320">
        <v>3.71</v>
      </c>
      <c r="F1194" s="320">
        <v>16144.74</v>
      </c>
      <c r="G1194" s="320">
        <v>5.9487</v>
      </c>
      <c r="H1194" s="320">
        <v>44.36</v>
      </c>
      <c r="I1194" s="320">
        <v>13.4093</v>
      </c>
      <c r="J1194" s="320">
        <v>125.95</v>
      </c>
      <c r="K1194" s="320">
        <v>79.12</v>
      </c>
      <c r="L1194" s="320">
        <v>51.12</v>
      </c>
      <c r="M1194" s="320">
        <v>0.6461</v>
      </c>
      <c r="N1194" s="320">
        <v>0.4428</v>
      </c>
      <c r="O1194" s="320">
        <v>0.2493</v>
      </c>
      <c r="P1194" s="320">
        <v>1.5478</v>
      </c>
      <c r="Q1194" s="320">
        <v>672.98</v>
      </c>
      <c r="R1194" s="320">
        <v>568.35</v>
      </c>
      <c r="S1194" s="320">
        <v>104.64</v>
      </c>
      <c r="T1194" s="320">
        <v>369.85</v>
      </c>
      <c r="U1194" s="320">
        <v>303.13</v>
      </c>
      <c r="V1194" s="320">
        <v>691.58</v>
      </c>
      <c r="W1194" s="320">
        <v>8.7406</v>
      </c>
      <c r="X1194" s="320">
        <v>54.96</v>
      </c>
      <c r="Y1194" s="320">
        <v>90.0</v>
      </c>
      <c r="Z1194" s="320">
        <v>278.0</v>
      </c>
      <c r="AA1194" s="320">
        <v>903.0</v>
      </c>
      <c r="AB1194" s="320">
        <v>57.433</v>
      </c>
      <c r="AC1194" s="320">
        <v>0.7257</v>
      </c>
      <c r="AD1194" s="320">
        <v>33.07</v>
      </c>
      <c r="AE1194" s="320">
        <v>11.0</v>
      </c>
      <c r="AF1194" s="320">
        <v>24.0</v>
      </c>
      <c r="AG1194" s="320">
        <v>46.0</v>
      </c>
      <c r="AH1194" s="320">
        <v>74.0</v>
      </c>
      <c r="AI1194" s="320">
        <v>45.03</v>
      </c>
      <c r="AJ1194" s="320">
        <v>14.96</v>
      </c>
      <c r="AK1194" s="320">
        <v>3.76</v>
      </c>
      <c r="AL1194" s="320">
        <v>0.1618</v>
      </c>
      <c r="AM1194" s="320">
        <v>21.02</v>
      </c>
      <c r="AN1194" s="320">
        <v>547.32</v>
      </c>
      <c r="AO1194" s="320">
        <v>78.33</v>
      </c>
      <c r="AP1194" s="320">
        <v>16.46</v>
      </c>
    </row>
    <row r="1195">
      <c r="A1195" s="319" t="s">
        <v>258</v>
      </c>
      <c r="B1195" s="328">
        <v>46128.0</v>
      </c>
      <c r="C1195" s="319" t="s">
        <v>218</v>
      </c>
      <c r="D1195" s="320">
        <v>276.0</v>
      </c>
      <c r="E1195" s="320">
        <v>0.38</v>
      </c>
      <c r="F1195" s="320">
        <v>3567.52</v>
      </c>
      <c r="G1195" s="320">
        <v>12.9258</v>
      </c>
      <c r="H1195" s="320">
        <v>51.81</v>
      </c>
      <c r="I1195" s="320">
        <v>24.9477</v>
      </c>
      <c r="J1195" s="320">
        <v>241.51</v>
      </c>
      <c r="K1195" s="320">
        <v>155.52</v>
      </c>
      <c r="L1195" s="320">
        <v>121.6</v>
      </c>
      <c r="M1195" s="320">
        <v>0.7819</v>
      </c>
      <c r="N1195" s="320">
        <v>0.31</v>
      </c>
      <c r="O1195" s="320">
        <v>0.1862</v>
      </c>
      <c r="P1195" s="320">
        <v>1.279</v>
      </c>
      <c r="Q1195" s="320">
        <v>1345.65</v>
      </c>
      <c r="R1195" s="320">
        <v>1095.07</v>
      </c>
      <c r="S1195" s="320">
        <v>250.58</v>
      </c>
      <c r="T1195" s="320">
        <v>752.17</v>
      </c>
      <c r="U1195" s="320">
        <v>593.48</v>
      </c>
      <c r="V1195" s="320">
        <v>1411.05</v>
      </c>
      <c r="W1195" s="320">
        <v>9.073</v>
      </c>
      <c r="X1195" s="320">
        <v>55.9</v>
      </c>
      <c r="Y1195" s="320">
        <v>159.0</v>
      </c>
      <c r="Z1195" s="320">
        <v>707.0</v>
      </c>
      <c r="AA1195" s="320">
        <v>2711.0</v>
      </c>
      <c r="AB1195" s="320">
        <v>61.0027</v>
      </c>
      <c r="AC1195" s="320">
        <v>0.8262</v>
      </c>
      <c r="AD1195" s="320">
        <v>78.55</v>
      </c>
      <c r="AE1195" s="320">
        <v>28.0</v>
      </c>
      <c r="AF1195" s="320">
        <v>60.0</v>
      </c>
      <c r="AG1195" s="320">
        <v>109.0</v>
      </c>
      <c r="AH1195" s="320">
        <v>162.0</v>
      </c>
      <c r="AI1195" s="320">
        <v>39.86</v>
      </c>
      <c r="AJ1195" s="320">
        <v>8.7</v>
      </c>
      <c r="AK1195" s="320">
        <v>1.81</v>
      </c>
      <c r="AL1195" s="320">
        <v>0.1051</v>
      </c>
      <c r="AM1195" s="320">
        <v>26.01</v>
      </c>
      <c r="AN1195" s="320">
        <v>1069.06</v>
      </c>
      <c r="AO1195" s="320">
        <v>78.83</v>
      </c>
      <c r="AP1195" s="320">
        <v>20.5</v>
      </c>
    </row>
    <row r="1196">
      <c r="A1196" s="319" t="s">
        <v>258</v>
      </c>
      <c r="B1196" s="328">
        <v>46129.0</v>
      </c>
      <c r="C1196" s="319" t="s">
        <v>257</v>
      </c>
      <c r="D1196" s="320">
        <v>14187.0</v>
      </c>
      <c r="E1196" s="320">
        <v>19.75</v>
      </c>
      <c r="F1196" s="320">
        <v>181.8</v>
      </c>
      <c r="G1196" s="320">
        <v>0.0128</v>
      </c>
      <c r="H1196" s="320">
        <v>0.4</v>
      </c>
      <c r="I1196" s="320">
        <v>3.1895</v>
      </c>
      <c r="J1196" s="320">
        <v>5.7</v>
      </c>
      <c r="K1196" s="320">
        <v>2.45</v>
      </c>
      <c r="L1196" s="320">
        <v>0.05</v>
      </c>
      <c r="M1196" s="320">
        <v>0.0186</v>
      </c>
      <c r="N1196" s="320">
        <v>0.9836</v>
      </c>
      <c r="O1196" s="320">
        <v>0.7924</v>
      </c>
      <c r="P1196" s="320">
        <v>53.7059</v>
      </c>
      <c r="Q1196" s="320">
        <v>30.51</v>
      </c>
      <c r="R1196" s="320">
        <v>30.43</v>
      </c>
      <c r="S1196" s="320">
        <v>0.08</v>
      </c>
      <c r="T1196" s="320">
        <v>1.09</v>
      </c>
      <c r="U1196" s="320">
        <v>29.42</v>
      </c>
      <c r="V1196" s="320">
        <v>2.04</v>
      </c>
      <c r="W1196" s="320">
        <v>0.8359</v>
      </c>
      <c r="X1196" s="320">
        <v>3.57</v>
      </c>
      <c r="Y1196" s="320">
        <v>186.0</v>
      </c>
      <c r="Z1196" s="320">
        <v>1459.0</v>
      </c>
      <c r="AA1196" s="320">
        <v>8308.0</v>
      </c>
      <c r="AB1196" s="320">
        <v>49.6995</v>
      </c>
      <c r="AC1196" s="320">
        <v>0.5177</v>
      </c>
      <c r="AD1196" s="329"/>
      <c r="AE1196" s="329"/>
      <c r="AF1196" s="329"/>
      <c r="AG1196" s="329"/>
      <c r="AH1196" s="329"/>
      <c r="AI1196" s="320">
        <v>0.0</v>
      </c>
      <c r="AJ1196" s="320">
        <v>0.0</v>
      </c>
      <c r="AK1196" s="320">
        <v>0.0</v>
      </c>
      <c r="AL1196" s="320">
        <v>0.2972</v>
      </c>
      <c r="AM1196" s="320">
        <v>17.06</v>
      </c>
      <c r="AN1196" s="320">
        <v>13.37</v>
      </c>
      <c r="AO1196" s="329"/>
      <c r="AP1196" s="329"/>
    </row>
    <row r="1197">
      <c r="A1197" s="319" t="s">
        <v>258</v>
      </c>
      <c r="B1197" s="328">
        <v>46129.0</v>
      </c>
      <c r="C1197" s="319" t="s">
        <v>214</v>
      </c>
      <c r="D1197" s="320">
        <v>32182.0</v>
      </c>
      <c r="E1197" s="320">
        <v>44.79</v>
      </c>
      <c r="F1197" s="320">
        <v>8065.07</v>
      </c>
      <c r="G1197" s="320">
        <v>0.2506</v>
      </c>
      <c r="H1197" s="320">
        <v>7.23</v>
      </c>
      <c r="I1197" s="320">
        <v>3.4674</v>
      </c>
      <c r="J1197" s="320">
        <v>33.88</v>
      </c>
      <c r="K1197" s="320">
        <v>18.11</v>
      </c>
      <c r="L1197" s="320">
        <v>5.68</v>
      </c>
      <c r="M1197" s="320">
        <v>0.3135</v>
      </c>
      <c r="N1197" s="320">
        <v>0.756</v>
      </c>
      <c r="O1197" s="320">
        <v>0.5083</v>
      </c>
      <c r="P1197" s="320">
        <v>3.1896</v>
      </c>
      <c r="Q1197" s="320">
        <v>86.83</v>
      </c>
      <c r="R1197" s="320">
        <v>75.31</v>
      </c>
      <c r="S1197" s="320">
        <v>11.52</v>
      </c>
      <c r="T1197" s="320">
        <v>18.15</v>
      </c>
      <c r="U1197" s="320">
        <v>68.68</v>
      </c>
      <c r="V1197" s="320">
        <v>81.82</v>
      </c>
      <c r="W1197" s="320">
        <v>4.518</v>
      </c>
      <c r="X1197" s="320">
        <v>20.9</v>
      </c>
      <c r="Y1197" s="320">
        <v>86.0</v>
      </c>
      <c r="Z1197" s="320">
        <v>207.0</v>
      </c>
      <c r="AA1197" s="320">
        <v>841.0</v>
      </c>
      <c r="AB1197" s="320">
        <v>49.3134</v>
      </c>
      <c r="AC1197" s="320">
        <v>0.439</v>
      </c>
      <c r="AD1197" s="320">
        <v>3.68</v>
      </c>
      <c r="AE1197" s="320">
        <v>1.0</v>
      </c>
      <c r="AF1197" s="320">
        <v>2.0</v>
      </c>
      <c r="AG1197" s="320">
        <v>5.0</v>
      </c>
      <c r="AH1197" s="320">
        <v>8.0</v>
      </c>
      <c r="AI1197" s="320">
        <v>69.27</v>
      </c>
      <c r="AJ1197" s="320">
        <v>26.68</v>
      </c>
      <c r="AK1197" s="320">
        <v>7.33</v>
      </c>
      <c r="AL1197" s="320">
        <v>0.235</v>
      </c>
      <c r="AM1197" s="320">
        <v>20.7</v>
      </c>
      <c r="AN1197" s="320">
        <v>54.61</v>
      </c>
      <c r="AO1197" s="320">
        <v>68.52</v>
      </c>
      <c r="AP1197" s="320">
        <v>14.18</v>
      </c>
    </row>
    <row r="1198">
      <c r="A1198" s="319" t="s">
        <v>258</v>
      </c>
      <c r="B1198" s="328">
        <v>46129.0</v>
      </c>
      <c r="C1198" s="319" t="s">
        <v>215</v>
      </c>
      <c r="D1198" s="320">
        <v>15065.0</v>
      </c>
      <c r="E1198" s="320">
        <v>20.97</v>
      </c>
      <c r="F1198" s="320">
        <v>15792.93</v>
      </c>
      <c r="G1198" s="320">
        <v>1.0483</v>
      </c>
      <c r="H1198" s="320">
        <v>22.28</v>
      </c>
      <c r="I1198" s="320">
        <v>4.7059</v>
      </c>
      <c r="J1198" s="320">
        <v>62.06</v>
      </c>
      <c r="K1198" s="320">
        <v>35.64</v>
      </c>
      <c r="L1198" s="320">
        <v>14.41</v>
      </c>
      <c r="M1198" s="320">
        <v>0.4042</v>
      </c>
      <c r="N1198" s="320">
        <v>0.6583</v>
      </c>
      <c r="O1198" s="320">
        <v>0.3801</v>
      </c>
      <c r="P1198" s="320">
        <v>2.4738</v>
      </c>
      <c r="Q1198" s="320">
        <v>187.49</v>
      </c>
      <c r="R1198" s="320">
        <v>158.33</v>
      </c>
      <c r="S1198" s="320">
        <v>29.16</v>
      </c>
      <c r="T1198" s="320">
        <v>71.83</v>
      </c>
      <c r="U1198" s="320">
        <v>115.67</v>
      </c>
      <c r="V1198" s="320">
        <v>186.82</v>
      </c>
      <c r="W1198" s="320">
        <v>5.2417</v>
      </c>
      <c r="X1198" s="320">
        <v>38.31</v>
      </c>
      <c r="Y1198" s="320">
        <v>83.0</v>
      </c>
      <c r="Z1198" s="320">
        <v>185.0</v>
      </c>
      <c r="AA1198" s="320">
        <v>578.0</v>
      </c>
      <c r="AB1198" s="320">
        <v>52.1555</v>
      </c>
      <c r="AC1198" s="320">
        <v>0.5331</v>
      </c>
      <c r="AD1198" s="320">
        <v>8.98</v>
      </c>
      <c r="AE1198" s="320">
        <v>3.0</v>
      </c>
      <c r="AF1198" s="320">
        <v>7.0</v>
      </c>
      <c r="AG1198" s="320">
        <v>12.0</v>
      </c>
      <c r="AH1198" s="320">
        <v>19.0</v>
      </c>
      <c r="AI1198" s="320">
        <v>56.38</v>
      </c>
      <c r="AJ1198" s="320">
        <v>24.49</v>
      </c>
      <c r="AK1198" s="320">
        <v>4.53</v>
      </c>
      <c r="AL1198" s="320">
        <v>0.2054</v>
      </c>
      <c r="AM1198" s="320">
        <v>21.62</v>
      </c>
      <c r="AN1198" s="320">
        <v>136.71</v>
      </c>
      <c r="AO1198" s="320">
        <v>74.35</v>
      </c>
      <c r="AP1198" s="320">
        <v>16.07</v>
      </c>
    </row>
    <row r="1199">
      <c r="A1199" s="319" t="s">
        <v>258</v>
      </c>
      <c r="B1199" s="328">
        <v>46129.0</v>
      </c>
      <c r="C1199" s="319" t="s">
        <v>216</v>
      </c>
      <c r="D1199" s="320">
        <v>7498.0</v>
      </c>
      <c r="E1199" s="320">
        <v>10.44</v>
      </c>
      <c r="F1199" s="320">
        <v>19565.84</v>
      </c>
      <c r="G1199" s="320">
        <v>2.6095</v>
      </c>
      <c r="H1199" s="320">
        <v>34.4</v>
      </c>
      <c r="I1199" s="320">
        <v>7.5866</v>
      </c>
      <c r="J1199" s="320">
        <v>88.18</v>
      </c>
      <c r="K1199" s="320">
        <v>52.48</v>
      </c>
      <c r="L1199" s="320">
        <v>26.19</v>
      </c>
      <c r="M1199" s="320">
        <v>0.4991</v>
      </c>
      <c r="N1199" s="320">
        <v>0.5696</v>
      </c>
      <c r="O1199" s="320">
        <v>0.3195</v>
      </c>
      <c r="P1199" s="320">
        <v>2.0036</v>
      </c>
      <c r="Q1199" s="320">
        <v>336.12</v>
      </c>
      <c r="R1199" s="320">
        <v>282.06</v>
      </c>
      <c r="S1199" s="320">
        <v>54.06</v>
      </c>
      <c r="T1199" s="320">
        <v>168.43</v>
      </c>
      <c r="U1199" s="320">
        <v>167.69</v>
      </c>
      <c r="V1199" s="320">
        <v>344.57</v>
      </c>
      <c r="W1199" s="320">
        <v>6.5653</v>
      </c>
      <c r="X1199" s="320">
        <v>50.11</v>
      </c>
      <c r="Y1199" s="320">
        <v>82.0</v>
      </c>
      <c r="Z1199" s="320">
        <v>190.0</v>
      </c>
      <c r="AA1199" s="320">
        <v>574.0</v>
      </c>
      <c r="AB1199" s="320">
        <v>54.289</v>
      </c>
      <c r="AC1199" s="320">
        <v>0.6346</v>
      </c>
      <c r="AD1199" s="320">
        <v>16.17</v>
      </c>
      <c r="AE1199" s="320">
        <v>6.0</v>
      </c>
      <c r="AF1199" s="320">
        <v>12.0</v>
      </c>
      <c r="AG1199" s="320">
        <v>22.0</v>
      </c>
      <c r="AH1199" s="320">
        <v>35.0</v>
      </c>
      <c r="AI1199" s="320">
        <v>53.11</v>
      </c>
      <c r="AJ1199" s="320">
        <v>19.86</v>
      </c>
      <c r="AK1199" s="320">
        <v>6.08</v>
      </c>
      <c r="AL1199" s="320">
        <v>0.1983</v>
      </c>
      <c r="AM1199" s="320">
        <v>20.98</v>
      </c>
      <c r="AN1199" s="320">
        <v>261.08</v>
      </c>
      <c r="AO1199" s="320">
        <v>76.37</v>
      </c>
      <c r="AP1199" s="320">
        <v>16.02</v>
      </c>
    </row>
    <row r="1200">
      <c r="A1200" s="319" t="s">
        <v>258</v>
      </c>
      <c r="B1200" s="328">
        <v>46129.0</v>
      </c>
      <c r="C1200" s="319" t="s">
        <v>217</v>
      </c>
      <c r="D1200" s="320">
        <v>2652.0</v>
      </c>
      <c r="E1200" s="320">
        <v>3.69</v>
      </c>
      <c r="F1200" s="320">
        <v>17005.81</v>
      </c>
      <c r="G1200" s="320">
        <v>6.4124</v>
      </c>
      <c r="H1200" s="320">
        <v>47.32</v>
      </c>
      <c r="I1200" s="320">
        <v>13.5504</v>
      </c>
      <c r="J1200" s="320">
        <v>136.38</v>
      </c>
      <c r="K1200" s="320">
        <v>83.76</v>
      </c>
      <c r="L1200" s="320">
        <v>53.43</v>
      </c>
      <c r="M1200" s="320">
        <v>0.6378</v>
      </c>
      <c r="N1200" s="320">
        <v>0.4472</v>
      </c>
      <c r="O1200" s="320">
        <v>0.2543</v>
      </c>
      <c r="P1200" s="320">
        <v>1.5678</v>
      </c>
      <c r="Q1200" s="320">
        <v>669.23</v>
      </c>
      <c r="R1200" s="320">
        <v>560.35</v>
      </c>
      <c r="S1200" s="320">
        <v>108.88</v>
      </c>
      <c r="T1200" s="320">
        <v>398.18</v>
      </c>
      <c r="U1200" s="320">
        <v>271.05</v>
      </c>
      <c r="V1200" s="320">
        <v>702.58</v>
      </c>
      <c r="W1200" s="320">
        <v>8.3877</v>
      </c>
      <c r="X1200" s="320">
        <v>59.5</v>
      </c>
      <c r="Y1200" s="320">
        <v>91.0</v>
      </c>
      <c r="Z1200" s="320">
        <v>273.0</v>
      </c>
      <c r="AA1200" s="320">
        <v>910.0</v>
      </c>
      <c r="AB1200" s="320">
        <v>57.3424</v>
      </c>
      <c r="AC1200" s="320">
        <v>0.7362</v>
      </c>
      <c r="AD1200" s="320">
        <v>33.47</v>
      </c>
      <c r="AE1200" s="320">
        <v>11.0</v>
      </c>
      <c r="AF1200" s="320">
        <v>24.0</v>
      </c>
      <c r="AG1200" s="320">
        <v>47.0</v>
      </c>
      <c r="AH1200" s="320">
        <v>74.0</v>
      </c>
      <c r="AI1200" s="320">
        <v>45.36</v>
      </c>
      <c r="AJ1200" s="320">
        <v>15.8</v>
      </c>
      <c r="AK1200" s="320">
        <v>4.11</v>
      </c>
      <c r="AL1200" s="320">
        <v>0.1704</v>
      </c>
      <c r="AM1200" s="320">
        <v>22.12</v>
      </c>
      <c r="AN1200" s="320">
        <v>538.22</v>
      </c>
      <c r="AO1200" s="320">
        <v>77.61</v>
      </c>
      <c r="AP1200" s="320">
        <v>17.17</v>
      </c>
    </row>
    <row r="1201">
      <c r="A1201" s="319" t="s">
        <v>258</v>
      </c>
      <c r="B1201" s="328">
        <v>46129.0</v>
      </c>
      <c r="C1201" s="319" t="s">
        <v>218</v>
      </c>
      <c r="D1201" s="320">
        <v>264.0</v>
      </c>
      <c r="E1201" s="320">
        <v>0.37</v>
      </c>
      <c r="F1201" s="320">
        <v>3257.74</v>
      </c>
      <c r="G1201" s="320">
        <v>12.3399</v>
      </c>
      <c r="H1201" s="320">
        <v>52.27</v>
      </c>
      <c r="I1201" s="320">
        <v>23.6068</v>
      </c>
      <c r="J1201" s="320">
        <v>249.35</v>
      </c>
      <c r="K1201" s="320">
        <v>154.39</v>
      </c>
      <c r="L1201" s="320">
        <v>122.02</v>
      </c>
      <c r="M1201" s="320">
        <v>0.7903</v>
      </c>
      <c r="N1201" s="320">
        <v>0.3039</v>
      </c>
      <c r="O1201" s="320">
        <v>0.1847</v>
      </c>
      <c r="P1201" s="320">
        <v>1.2653</v>
      </c>
      <c r="Q1201" s="320">
        <v>1238.28</v>
      </c>
      <c r="R1201" s="320">
        <v>987.13</v>
      </c>
      <c r="S1201" s="320">
        <v>251.16</v>
      </c>
      <c r="T1201" s="320">
        <v>721.69</v>
      </c>
      <c r="U1201" s="320">
        <v>516.59</v>
      </c>
      <c r="V1201" s="320">
        <v>1345.64</v>
      </c>
      <c r="W1201" s="320">
        <v>8.7157</v>
      </c>
      <c r="X1201" s="320">
        <v>58.28</v>
      </c>
      <c r="Y1201" s="320">
        <v>140.0</v>
      </c>
      <c r="Z1201" s="320">
        <v>629.0</v>
      </c>
      <c r="AA1201" s="320">
        <v>2741.0</v>
      </c>
      <c r="AB1201" s="320">
        <v>61.7499</v>
      </c>
      <c r="AC1201" s="320">
        <v>0.8365</v>
      </c>
      <c r="AD1201" s="320">
        <v>78.33</v>
      </c>
      <c r="AE1201" s="320">
        <v>29.0</v>
      </c>
      <c r="AF1201" s="320">
        <v>59.0</v>
      </c>
      <c r="AG1201" s="320">
        <v>113.0</v>
      </c>
      <c r="AH1201" s="320">
        <v>163.0</v>
      </c>
      <c r="AI1201" s="320">
        <v>41.29</v>
      </c>
      <c r="AJ1201" s="320">
        <v>8.71</v>
      </c>
      <c r="AK1201" s="320">
        <v>1.52</v>
      </c>
      <c r="AL1201" s="320">
        <v>0.0833</v>
      </c>
      <c r="AM1201" s="320">
        <v>20.38</v>
      </c>
      <c r="AN1201" s="320">
        <v>966.75</v>
      </c>
      <c r="AO1201" s="320">
        <v>80.84</v>
      </c>
      <c r="AP1201" s="320">
        <v>16.48</v>
      </c>
    </row>
    <row r="1202">
      <c r="A1202" s="319" t="s">
        <v>258</v>
      </c>
      <c r="B1202" s="328">
        <v>46130.0</v>
      </c>
      <c r="C1202" s="319" t="s">
        <v>257</v>
      </c>
      <c r="D1202" s="320">
        <v>15098.0</v>
      </c>
      <c r="E1202" s="320">
        <v>21.27</v>
      </c>
      <c r="F1202" s="320">
        <v>164.07</v>
      </c>
      <c r="G1202" s="320">
        <v>0.0109</v>
      </c>
      <c r="H1202" s="320">
        <v>0.29</v>
      </c>
      <c r="I1202" s="320">
        <v>3.7289</v>
      </c>
      <c r="J1202" s="320">
        <v>6.01</v>
      </c>
      <c r="K1202" s="320">
        <v>2.67</v>
      </c>
      <c r="L1202" s="320">
        <v>0.03</v>
      </c>
      <c r="M1202" s="320">
        <v>0.0096</v>
      </c>
      <c r="N1202" s="320">
        <v>0.9914</v>
      </c>
      <c r="O1202" s="320">
        <v>0.874</v>
      </c>
      <c r="P1202" s="320">
        <v>103.8814</v>
      </c>
      <c r="Q1202" s="320">
        <v>26.71</v>
      </c>
      <c r="R1202" s="320">
        <v>26.67</v>
      </c>
      <c r="S1202" s="320">
        <v>0.05</v>
      </c>
      <c r="T1202" s="320">
        <v>0.93</v>
      </c>
      <c r="U1202" s="320">
        <v>25.78</v>
      </c>
      <c r="V1202" s="320">
        <v>2.34</v>
      </c>
      <c r="W1202" s="320">
        <v>0.8758</v>
      </c>
      <c r="X1202" s="320">
        <v>3.48</v>
      </c>
      <c r="Y1202" s="320">
        <v>152.0</v>
      </c>
      <c r="Z1202" s="320">
        <v>1135.0</v>
      </c>
      <c r="AA1202" s="320">
        <v>7362.0</v>
      </c>
      <c r="AB1202" s="320">
        <v>49.5995</v>
      </c>
      <c r="AC1202" s="320">
        <v>0.5062</v>
      </c>
      <c r="AD1202" s="329"/>
      <c r="AE1202" s="329"/>
      <c r="AF1202" s="329"/>
      <c r="AG1202" s="329"/>
      <c r="AH1202" s="329"/>
      <c r="AI1202" s="320">
        <v>0.0</v>
      </c>
      <c r="AJ1202" s="320">
        <v>0.0</v>
      </c>
      <c r="AK1202" s="320">
        <v>0.0</v>
      </c>
      <c r="AL1202" s="320">
        <v>0.2736</v>
      </c>
      <c r="AM1202" s="320">
        <v>17.19</v>
      </c>
      <c r="AN1202" s="320">
        <v>9.47</v>
      </c>
      <c r="AO1202" s="329"/>
      <c r="AP1202" s="329"/>
    </row>
    <row r="1203">
      <c r="A1203" s="319" t="s">
        <v>258</v>
      </c>
      <c r="B1203" s="328">
        <v>46130.0</v>
      </c>
      <c r="C1203" s="319" t="s">
        <v>214</v>
      </c>
      <c r="D1203" s="320">
        <v>31051.0</v>
      </c>
      <c r="E1203" s="320">
        <v>43.74</v>
      </c>
      <c r="F1203" s="320">
        <v>7254.4</v>
      </c>
      <c r="G1203" s="320">
        <v>0.2336</v>
      </c>
      <c r="H1203" s="320">
        <v>6.87</v>
      </c>
      <c r="I1203" s="320">
        <v>3.401</v>
      </c>
      <c r="J1203" s="320">
        <v>31.79</v>
      </c>
      <c r="K1203" s="320">
        <v>16.98</v>
      </c>
      <c r="L1203" s="320">
        <v>5.43</v>
      </c>
      <c r="M1203" s="320">
        <v>0.3199</v>
      </c>
      <c r="N1203" s="320">
        <v>0.7517</v>
      </c>
      <c r="O1203" s="320">
        <v>0.5093</v>
      </c>
      <c r="P1203" s="320">
        <v>3.1261</v>
      </c>
      <c r="Q1203" s="320">
        <v>72.63</v>
      </c>
      <c r="R1203" s="320">
        <v>61.55</v>
      </c>
      <c r="S1203" s="320">
        <v>11.07</v>
      </c>
      <c r="T1203" s="320">
        <v>16.8</v>
      </c>
      <c r="U1203" s="320">
        <v>55.83</v>
      </c>
      <c r="V1203" s="320">
        <v>78.1</v>
      </c>
      <c r="W1203" s="320">
        <v>4.6001</v>
      </c>
      <c r="X1203" s="320">
        <v>23.13</v>
      </c>
      <c r="Y1203" s="320">
        <v>86.0</v>
      </c>
      <c r="Z1203" s="320">
        <v>212.0</v>
      </c>
      <c r="AA1203" s="320">
        <v>883.0</v>
      </c>
      <c r="AB1203" s="320">
        <v>49.3983</v>
      </c>
      <c r="AC1203" s="320">
        <v>0.4451</v>
      </c>
      <c r="AD1203" s="320">
        <v>3.6</v>
      </c>
      <c r="AE1203" s="320">
        <v>1.0</v>
      </c>
      <c r="AF1203" s="320">
        <v>2.0</v>
      </c>
      <c r="AG1203" s="320">
        <v>5.0</v>
      </c>
      <c r="AH1203" s="320">
        <v>8.0</v>
      </c>
      <c r="AI1203" s="320">
        <v>66.86</v>
      </c>
      <c r="AJ1203" s="320">
        <v>25.39</v>
      </c>
      <c r="AK1203" s="320">
        <v>7.4</v>
      </c>
      <c r="AL1203" s="320">
        <v>0.217</v>
      </c>
      <c r="AM1203" s="320">
        <v>22.91</v>
      </c>
      <c r="AN1203" s="320">
        <v>38.64</v>
      </c>
      <c r="AO1203" s="320">
        <v>68.14</v>
      </c>
      <c r="AP1203" s="320">
        <v>15.61</v>
      </c>
    </row>
    <row r="1204">
      <c r="A1204" s="319" t="s">
        <v>258</v>
      </c>
      <c r="B1204" s="328">
        <v>46130.0</v>
      </c>
      <c r="C1204" s="319" t="s">
        <v>215</v>
      </c>
      <c r="D1204" s="320">
        <v>14513.0</v>
      </c>
      <c r="E1204" s="320">
        <v>20.45</v>
      </c>
      <c r="F1204" s="320">
        <v>15253.33</v>
      </c>
      <c r="G1204" s="320">
        <v>1.051</v>
      </c>
      <c r="H1204" s="320">
        <v>21.8</v>
      </c>
      <c r="I1204" s="320">
        <v>4.8209</v>
      </c>
      <c r="J1204" s="320">
        <v>58.43</v>
      </c>
      <c r="K1204" s="320">
        <v>33.53</v>
      </c>
      <c r="L1204" s="320">
        <v>13.93</v>
      </c>
      <c r="M1204" s="320">
        <v>0.4154</v>
      </c>
      <c r="N1204" s="320">
        <v>0.6493</v>
      </c>
      <c r="O1204" s="320">
        <v>0.3764</v>
      </c>
      <c r="P1204" s="320">
        <v>2.4074</v>
      </c>
      <c r="Q1204" s="320">
        <v>175.93</v>
      </c>
      <c r="R1204" s="320">
        <v>147.65</v>
      </c>
      <c r="S1204" s="320">
        <v>28.28</v>
      </c>
      <c r="T1204" s="320">
        <v>71.93</v>
      </c>
      <c r="U1204" s="320">
        <v>104.0</v>
      </c>
      <c r="V1204" s="320">
        <v>185.54</v>
      </c>
      <c r="W1204" s="320">
        <v>5.5342</v>
      </c>
      <c r="X1204" s="320">
        <v>40.89</v>
      </c>
      <c r="Y1204" s="320">
        <v>81.0</v>
      </c>
      <c r="Z1204" s="320">
        <v>182.0</v>
      </c>
      <c r="AA1204" s="320">
        <v>607.0</v>
      </c>
      <c r="AB1204" s="320">
        <v>52.2557</v>
      </c>
      <c r="AC1204" s="320">
        <v>0.5413</v>
      </c>
      <c r="AD1204" s="320">
        <v>8.97</v>
      </c>
      <c r="AE1204" s="320">
        <v>3.0</v>
      </c>
      <c r="AF1204" s="320">
        <v>7.0</v>
      </c>
      <c r="AG1204" s="320">
        <v>12.0</v>
      </c>
      <c r="AH1204" s="320">
        <v>20.0</v>
      </c>
      <c r="AI1204" s="320">
        <v>55.04</v>
      </c>
      <c r="AJ1204" s="320">
        <v>24.82</v>
      </c>
      <c r="AK1204" s="320">
        <v>4.8</v>
      </c>
      <c r="AL1204" s="320">
        <v>0.1998</v>
      </c>
      <c r="AM1204" s="320">
        <v>23.37</v>
      </c>
      <c r="AN1204" s="320">
        <v>124.28</v>
      </c>
      <c r="AO1204" s="320">
        <v>73.74</v>
      </c>
      <c r="AP1204" s="320">
        <v>17.23</v>
      </c>
    </row>
    <row r="1205">
      <c r="A1205" s="319" t="s">
        <v>258</v>
      </c>
      <c r="B1205" s="328">
        <v>46130.0</v>
      </c>
      <c r="C1205" s="319" t="s">
        <v>216</v>
      </c>
      <c r="D1205" s="320">
        <v>7368.0</v>
      </c>
      <c r="E1205" s="320">
        <v>10.38</v>
      </c>
      <c r="F1205" s="320">
        <v>19316.33</v>
      </c>
      <c r="G1205" s="320">
        <v>2.6217</v>
      </c>
      <c r="H1205" s="320">
        <v>33.78</v>
      </c>
      <c r="I1205" s="320">
        <v>7.7607</v>
      </c>
      <c r="J1205" s="320">
        <v>83.81</v>
      </c>
      <c r="K1205" s="320">
        <v>49.77</v>
      </c>
      <c r="L1205" s="320">
        <v>25.94</v>
      </c>
      <c r="M1205" s="320">
        <v>0.5212</v>
      </c>
      <c r="N1205" s="320">
        <v>0.5516</v>
      </c>
      <c r="O1205" s="320">
        <v>0.309</v>
      </c>
      <c r="P1205" s="320">
        <v>1.9188</v>
      </c>
      <c r="Q1205" s="320">
        <v>336.83</v>
      </c>
      <c r="R1205" s="320">
        <v>283.72</v>
      </c>
      <c r="S1205" s="320">
        <v>53.11</v>
      </c>
      <c r="T1205" s="320">
        <v>168.09</v>
      </c>
      <c r="U1205" s="320">
        <v>168.74</v>
      </c>
      <c r="V1205" s="320">
        <v>348.86</v>
      </c>
      <c r="W1205" s="320">
        <v>7.0097</v>
      </c>
      <c r="X1205" s="320">
        <v>49.9</v>
      </c>
      <c r="Y1205" s="320">
        <v>83.0</v>
      </c>
      <c r="Z1205" s="320">
        <v>194.0</v>
      </c>
      <c r="AA1205" s="320">
        <v>640.0</v>
      </c>
      <c r="AB1205" s="320">
        <v>54.3293</v>
      </c>
      <c r="AC1205" s="320">
        <v>0.6363</v>
      </c>
      <c r="AD1205" s="320">
        <v>16.5</v>
      </c>
      <c r="AE1205" s="320">
        <v>6.0</v>
      </c>
      <c r="AF1205" s="320">
        <v>12.0</v>
      </c>
      <c r="AG1205" s="320">
        <v>23.0</v>
      </c>
      <c r="AH1205" s="320">
        <v>35.0</v>
      </c>
      <c r="AI1205" s="320">
        <v>53.47</v>
      </c>
      <c r="AJ1205" s="320">
        <v>20.89</v>
      </c>
      <c r="AK1205" s="320">
        <v>6.3</v>
      </c>
      <c r="AL1205" s="320">
        <v>0.1908</v>
      </c>
      <c r="AM1205" s="320">
        <v>22.74</v>
      </c>
      <c r="AN1205" s="320">
        <v>260.98</v>
      </c>
      <c r="AO1205" s="320">
        <v>75.63</v>
      </c>
      <c r="AP1205" s="320">
        <v>17.2</v>
      </c>
    </row>
    <row r="1206">
      <c r="A1206" s="319" t="s">
        <v>258</v>
      </c>
      <c r="B1206" s="328">
        <v>46130.0</v>
      </c>
      <c r="C1206" s="319" t="s">
        <v>217</v>
      </c>
      <c r="D1206" s="320">
        <v>2678.0</v>
      </c>
      <c r="E1206" s="320">
        <v>3.77</v>
      </c>
      <c r="F1206" s="320">
        <v>17325.27</v>
      </c>
      <c r="G1206" s="320">
        <v>6.4695</v>
      </c>
      <c r="H1206" s="320">
        <v>45.15</v>
      </c>
      <c r="I1206" s="320">
        <v>14.3302</v>
      </c>
      <c r="J1206" s="320">
        <v>127.96</v>
      </c>
      <c r="K1206" s="320">
        <v>79.22</v>
      </c>
      <c r="L1206" s="320">
        <v>53.58</v>
      </c>
      <c r="M1206" s="320">
        <v>0.6763</v>
      </c>
      <c r="N1206" s="320">
        <v>0.4143</v>
      </c>
      <c r="O1206" s="320">
        <v>0.2375</v>
      </c>
      <c r="P1206" s="320">
        <v>1.4787</v>
      </c>
      <c r="Q1206" s="320">
        <v>698.9</v>
      </c>
      <c r="R1206" s="320">
        <v>589.39</v>
      </c>
      <c r="S1206" s="320">
        <v>109.51</v>
      </c>
      <c r="T1206" s="320">
        <v>394.09</v>
      </c>
      <c r="U1206" s="320">
        <v>304.81</v>
      </c>
      <c r="V1206" s="320">
        <v>718.28</v>
      </c>
      <c r="W1206" s="320">
        <v>9.0663</v>
      </c>
      <c r="X1206" s="320">
        <v>56.39</v>
      </c>
      <c r="Y1206" s="320">
        <v>93.0</v>
      </c>
      <c r="Z1206" s="320">
        <v>276.0</v>
      </c>
      <c r="AA1206" s="320">
        <v>927.0</v>
      </c>
      <c r="AB1206" s="320">
        <v>57.2141</v>
      </c>
      <c r="AC1206" s="320">
        <v>0.7402</v>
      </c>
      <c r="AD1206" s="320">
        <v>35.45</v>
      </c>
      <c r="AE1206" s="320">
        <v>11.0</v>
      </c>
      <c r="AF1206" s="320">
        <v>26.0</v>
      </c>
      <c r="AG1206" s="320">
        <v>49.0</v>
      </c>
      <c r="AH1206" s="320">
        <v>78.0</v>
      </c>
      <c r="AI1206" s="320">
        <v>47.76</v>
      </c>
      <c r="AJ1206" s="320">
        <v>18.56</v>
      </c>
      <c r="AK1206" s="320">
        <v>5.3</v>
      </c>
      <c r="AL1206" s="320">
        <v>0.1718</v>
      </c>
      <c r="AM1206" s="320">
        <v>23.32</v>
      </c>
      <c r="AN1206" s="320">
        <v>566.07</v>
      </c>
      <c r="AO1206" s="320">
        <v>75.31</v>
      </c>
      <c r="AP1206" s="320">
        <v>17.56</v>
      </c>
    </row>
    <row r="1207">
      <c r="A1207" s="319" t="s">
        <v>258</v>
      </c>
      <c r="B1207" s="328">
        <v>46130.0</v>
      </c>
      <c r="C1207" s="319" t="s">
        <v>218</v>
      </c>
      <c r="D1207" s="320">
        <v>274.0</v>
      </c>
      <c r="E1207" s="320">
        <v>0.39</v>
      </c>
      <c r="F1207" s="320">
        <v>3292.08</v>
      </c>
      <c r="G1207" s="320">
        <v>12.0149</v>
      </c>
      <c r="H1207" s="320">
        <v>52.55</v>
      </c>
      <c r="I1207" s="320">
        <v>22.8617</v>
      </c>
      <c r="J1207" s="320">
        <v>251.54</v>
      </c>
      <c r="K1207" s="320">
        <v>159.97</v>
      </c>
      <c r="L1207" s="320">
        <v>127.28</v>
      </c>
      <c r="M1207" s="320">
        <v>0.7957</v>
      </c>
      <c r="N1207" s="320">
        <v>0.3002</v>
      </c>
      <c r="O1207" s="320">
        <v>0.1879</v>
      </c>
      <c r="P1207" s="320">
        <v>1.2568</v>
      </c>
      <c r="Q1207" s="320">
        <v>1389.53</v>
      </c>
      <c r="R1207" s="320">
        <v>1125.58</v>
      </c>
      <c r="S1207" s="320">
        <v>263.94</v>
      </c>
      <c r="T1207" s="320">
        <v>787.06</v>
      </c>
      <c r="U1207" s="320">
        <v>602.46</v>
      </c>
      <c r="V1207" s="320">
        <v>1480.11</v>
      </c>
      <c r="W1207" s="320">
        <v>9.2526</v>
      </c>
      <c r="X1207" s="320">
        <v>56.64</v>
      </c>
      <c r="Y1207" s="320">
        <v>175.0</v>
      </c>
      <c r="Z1207" s="320">
        <v>642.0</v>
      </c>
      <c r="AA1207" s="320">
        <v>2470.0</v>
      </c>
      <c r="AB1207" s="320">
        <v>60.8263</v>
      </c>
      <c r="AC1207" s="320">
        <v>0.8269</v>
      </c>
      <c r="AD1207" s="320">
        <v>83.79</v>
      </c>
      <c r="AE1207" s="320">
        <v>30.0</v>
      </c>
      <c r="AF1207" s="320">
        <v>72.0</v>
      </c>
      <c r="AG1207" s="320">
        <v>119.0</v>
      </c>
      <c r="AH1207" s="320">
        <v>169.0</v>
      </c>
      <c r="AI1207" s="320">
        <v>45.99</v>
      </c>
      <c r="AJ1207" s="320">
        <v>9.12</v>
      </c>
      <c r="AK1207" s="320">
        <v>0.36</v>
      </c>
      <c r="AL1207" s="320">
        <v>0.1423</v>
      </c>
      <c r="AM1207" s="320">
        <v>23.45</v>
      </c>
      <c r="AN1207" s="320">
        <v>1102.14</v>
      </c>
      <c r="AO1207" s="320">
        <v>72.32</v>
      </c>
      <c r="AP1207" s="320">
        <v>16.96</v>
      </c>
    </row>
    <row r="1208">
      <c r="A1208" s="319" t="s">
        <v>258</v>
      </c>
      <c r="B1208" s="328">
        <v>46131.0</v>
      </c>
      <c r="C1208" s="319" t="s">
        <v>257</v>
      </c>
      <c r="D1208" s="320">
        <v>15226.0</v>
      </c>
      <c r="E1208" s="320">
        <v>21.05</v>
      </c>
      <c r="F1208" s="320">
        <v>66.95</v>
      </c>
      <c r="G1208" s="320">
        <v>0.0044</v>
      </c>
      <c r="H1208" s="320">
        <v>0.15</v>
      </c>
      <c r="I1208" s="320">
        <v>2.9109</v>
      </c>
      <c r="J1208" s="320">
        <v>6.57</v>
      </c>
      <c r="K1208" s="320">
        <v>2.97</v>
      </c>
      <c r="L1208" s="320">
        <v>0.05</v>
      </c>
      <c r="M1208" s="320">
        <v>0.0171</v>
      </c>
      <c r="N1208" s="320">
        <v>0.9836</v>
      </c>
      <c r="O1208" s="320">
        <v>0.7921</v>
      </c>
      <c r="P1208" s="320">
        <v>58.3915</v>
      </c>
      <c r="Q1208" s="320">
        <v>23.23</v>
      </c>
      <c r="R1208" s="320">
        <v>23.18</v>
      </c>
      <c r="S1208" s="320">
        <v>0.06</v>
      </c>
      <c r="T1208" s="320">
        <v>0.31</v>
      </c>
      <c r="U1208" s="320">
        <v>22.92</v>
      </c>
      <c r="V1208" s="320">
        <v>1.91</v>
      </c>
      <c r="W1208" s="320">
        <v>0.6439</v>
      </c>
      <c r="X1208" s="320">
        <v>1.34</v>
      </c>
      <c r="Y1208" s="320">
        <v>147.0</v>
      </c>
      <c r="Z1208" s="320">
        <v>1161.0</v>
      </c>
      <c r="AA1208" s="320">
        <v>7529.0</v>
      </c>
      <c r="AB1208" s="320">
        <v>49.8896</v>
      </c>
      <c r="AC1208" s="320">
        <v>0.5176</v>
      </c>
      <c r="AD1208" s="329"/>
      <c r="AE1208" s="329"/>
      <c r="AF1208" s="329"/>
      <c r="AG1208" s="329"/>
      <c r="AH1208" s="329"/>
      <c r="AI1208" s="320">
        <v>0.0</v>
      </c>
      <c r="AJ1208" s="320">
        <v>0.0</v>
      </c>
      <c r="AK1208" s="320">
        <v>0.0</v>
      </c>
      <c r="AL1208" s="320">
        <v>0.2779</v>
      </c>
      <c r="AM1208" s="320">
        <v>17.24</v>
      </c>
      <c r="AN1208" s="320">
        <v>5.94</v>
      </c>
      <c r="AO1208" s="329"/>
      <c r="AP1208" s="329"/>
    </row>
    <row r="1209">
      <c r="A1209" s="319" t="s">
        <v>258</v>
      </c>
      <c r="B1209" s="328">
        <v>46131.0</v>
      </c>
      <c r="C1209" s="319" t="s">
        <v>214</v>
      </c>
      <c r="D1209" s="320">
        <v>31516.0</v>
      </c>
      <c r="E1209" s="320">
        <v>43.58</v>
      </c>
      <c r="F1209" s="320">
        <v>7394.31</v>
      </c>
      <c r="G1209" s="320">
        <v>0.2346</v>
      </c>
      <c r="H1209" s="320">
        <v>6.95</v>
      </c>
      <c r="I1209" s="320">
        <v>3.3749</v>
      </c>
      <c r="J1209" s="320">
        <v>35.77</v>
      </c>
      <c r="K1209" s="320">
        <v>19.6</v>
      </c>
      <c r="L1209" s="320">
        <v>5.53</v>
      </c>
      <c r="M1209" s="320">
        <v>0.282</v>
      </c>
      <c r="N1209" s="320">
        <v>0.7789</v>
      </c>
      <c r="O1209" s="320">
        <v>0.5266</v>
      </c>
      <c r="P1209" s="320">
        <v>3.546</v>
      </c>
      <c r="Q1209" s="320">
        <v>65.71</v>
      </c>
      <c r="R1209" s="320">
        <v>54.5</v>
      </c>
      <c r="S1209" s="320">
        <v>11.21</v>
      </c>
      <c r="T1209" s="320">
        <v>17.12</v>
      </c>
      <c r="U1209" s="320">
        <v>48.59</v>
      </c>
      <c r="V1209" s="320">
        <v>74.19</v>
      </c>
      <c r="W1209" s="320">
        <v>3.7855</v>
      </c>
      <c r="X1209" s="320">
        <v>26.06</v>
      </c>
      <c r="Y1209" s="320">
        <v>84.0</v>
      </c>
      <c r="Z1209" s="320">
        <v>203.0</v>
      </c>
      <c r="AA1209" s="320">
        <v>916.0</v>
      </c>
      <c r="AB1209" s="320">
        <v>49.4523</v>
      </c>
      <c r="AC1209" s="320">
        <v>0.4475</v>
      </c>
      <c r="AD1209" s="320">
        <v>3.54</v>
      </c>
      <c r="AE1209" s="320">
        <v>1.0</v>
      </c>
      <c r="AF1209" s="320">
        <v>2.0</v>
      </c>
      <c r="AG1209" s="320">
        <v>5.0</v>
      </c>
      <c r="AH1209" s="320">
        <v>8.0</v>
      </c>
      <c r="AI1209" s="320">
        <v>67.37</v>
      </c>
      <c r="AJ1209" s="320">
        <v>25.13</v>
      </c>
      <c r="AK1209" s="320">
        <v>6.61</v>
      </c>
      <c r="AL1209" s="320">
        <v>0.2347</v>
      </c>
      <c r="AM1209" s="320">
        <v>21.73</v>
      </c>
      <c r="AN1209" s="320">
        <v>32.77</v>
      </c>
      <c r="AO1209" s="320">
        <v>67.82</v>
      </c>
      <c r="AP1209" s="320">
        <v>14.74</v>
      </c>
    </row>
    <row r="1210">
      <c r="A1210" s="319" t="s">
        <v>258</v>
      </c>
      <c r="B1210" s="328">
        <v>46131.0</v>
      </c>
      <c r="C1210" s="319" t="s">
        <v>215</v>
      </c>
      <c r="D1210" s="320">
        <v>15041.0</v>
      </c>
      <c r="E1210" s="320">
        <v>20.8</v>
      </c>
      <c r="F1210" s="320">
        <v>15900.56</v>
      </c>
      <c r="G1210" s="320">
        <v>1.0571</v>
      </c>
      <c r="H1210" s="320">
        <v>21.8</v>
      </c>
      <c r="I1210" s="320">
        <v>4.8492</v>
      </c>
      <c r="J1210" s="320">
        <v>65.22</v>
      </c>
      <c r="K1210" s="320">
        <v>37.7</v>
      </c>
      <c r="L1210" s="320">
        <v>14.21</v>
      </c>
      <c r="M1210" s="320">
        <v>0.3769</v>
      </c>
      <c r="N1210" s="320">
        <v>0.6788</v>
      </c>
      <c r="O1210" s="320">
        <v>0.3948</v>
      </c>
      <c r="P1210" s="320">
        <v>2.653</v>
      </c>
      <c r="Q1210" s="320">
        <v>155.83</v>
      </c>
      <c r="R1210" s="320">
        <v>126.77</v>
      </c>
      <c r="S1210" s="320">
        <v>29.06</v>
      </c>
      <c r="T1210" s="320">
        <v>71.28</v>
      </c>
      <c r="U1210" s="320">
        <v>84.55</v>
      </c>
      <c r="V1210" s="320">
        <v>174.92</v>
      </c>
      <c r="W1210" s="320">
        <v>4.64</v>
      </c>
      <c r="X1210" s="320">
        <v>45.74</v>
      </c>
      <c r="Y1210" s="320">
        <v>78.0</v>
      </c>
      <c r="Z1210" s="320">
        <v>156.0</v>
      </c>
      <c r="AA1210" s="320">
        <v>516.0</v>
      </c>
      <c r="AB1210" s="320">
        <v>52.2675</v>
      </c>
      <c r="AC1210" s="320">
        <v>0.5398</v>
      </c>
      <c r="AD1210" s="320">
        <v>8.72</v>
      </c>
      <c r="AE1210" s="320">
        <v>3.0</v>
      </c>
      <c r="AF1210" s="320">
        <v>6.0</v>
      </c>
      <c r="AG1210" s="320">
        <v>12.0</v>
      </c>
      <c r="AH1210" s="320">
        <v>19.0</v>
      </c>
      <c r="AI1210" s="320">
        <v>54.54</v>
      </c>
      <c r="AJ1210" s="320">
        <v>23.66</v>
      </c>
      <c r="AK1210" s="320">
        <v>4.47</v>
      </c>
      <c r="AL1210" s="320">
        <v>0.2135</v>
      </c>
      <c r="AM1210" s="320">
        <v>22.31</v>
      </c>
      <c r="AN1210" s="320">
        <v>104.46</v>
      </c>
      <c r="AO1210" s="320">
        <v>73.2</v>
      </c>
      <c r="AP1210" s="320">
        <v>16.33</v>
      </c>
    </row>
    <row r="1211">
      <c r="A1211" s="319" t="s">
        <v>258</v>
      </c>
      <c r="B1211" s="328">
        <v>46131.0</v>
      </c>
      <c r="C1211" s="319" t="s">
        <v>216</v>
      </c>
      <c r="D1211" s="320">
        <v>7475.0</v>
      </c>
      <c r="E1211" s="320">
        <v>10.34</v>
      </c>
      <c r="F1211" s="320">
        <v>20275.13</v>
      </c>
      <c r="G1211" s="320">
        <v>2.7124</v>
      </c>
      <c r="H1211" s="320">
        <v>34.92</v>
      </c>
      <c r="I1211" s="320">
        <v>7.7682</v>
      </c>
      <c r="J1211" s="320">
        <v>90.94</v>
      </c>
      <c r="K1211" s="320">
        <v>54.88</v>
      </c>
      <c r="L1211" s="320">
        <v>27.02</v>
      </c>
      <c r="M1211" s="320">
        <v>0.4923</v>
      </c>
      <c r="N1211" s="320">
        <v>0.5724</v>
      </c>
      <c r="O1211" s="320">
        <v>0.3141</v>
      </c>
      <c r="P1211" s="320">
        <v>2.0312</v>
      </c>
      <c r="Q1211" s="320">
        <v>304.15</v>
      </c>
      <c r="R1211" s="320">
        <v>248.83</v>
      </c>
      <c r="S1211" s="320">
        <v>55.32</v>
      </c>
      <c r="T1211" s="320">
        <v>173.69</v>
      </c>
      <c r="U1211" s="320">
        <v>130.46</v>
      </c>
      <c r="V1211" s="320">
        <v>339.09</v>
      </c>
      <c r="W1211" s="320">
        <v>6.179</v>
      </c>
      <c r="X1211" s="320">
        <v>57.11</v>
      </c>
      <c r="Y1211" s="320">
        <v>79.0</v>
      </c>
      <c r="Z1211" s="320">
        <v>163.0</v>
      </c>
      <c r="AA1211" s="320">
        <v>553.0</v>
      </c>
      <c r="AB1211" s="320">
        <v>54.345</v>
      </c>
      <c r="AC1211" s="320">
        <v>0.6376</v>
      </c>
      <c r="AD1211" s="320">
        <v>16.47</v>
      </c>
      <c r="AE1211" s="320">
        <v>6.0</v>
      </c>
      <c r="AF1211" s="320">
        <v>12.0</v>
      </c>
      <c r="AG1211" s="320">
        <v>23.0</v>
      </c>
      <c r="AH1211" s="320">
        <v>35.0</v>
      </c>
      <c r="AI1211" s="320">
        <v>53.65</v>
      </c>
      <c r="AJ1211" s="320">
        <v>20.95</v>
      </c>
      <c r="AK1211" s="320">
        <v>6.37</v>
      </c>
      <c r="AL1211" s="320">
        <v>0.21</v>
      </c>
      <c r="AM1211" s="320">
        <v>21.5</v>
      </c>
      <c r="AN1211" s="320">
        <v>227.33</v>
      </c>
      <c r="AO1211" s="320">
        <v>73.75</v>
      </c>
      <c r="AP1211" s="320">
        <v>15.86</v>
      </c>
    </row>
    <row r="1212">
      <c r="A1212" s="319" t="s">
        <v>258</v>
      </c>
      <c r="B1212" s="328">
        <v>46131.0</v>
      </c>
      <c r="C1212" s="319" t="s">
        <v>217</v>
      </c>
      <c r="D1212" s="320">
        <v>2786.0</v>
      </c>
      <c r="E1212" s="320">
        <v>3.85</v>
      </c>
      <c r="F1212" s="320">
        <v>19573.32</v>
      </c>
      <c r="G1212" s="320">
        <v>7.0256</v>
      </c>
      <c r="H1212" s="320">
        <v>47.63</v>
      </c>
      <c r="I1212" s="320">
        <v>14.7501</v>
      </c>
      <c r="J1212" s="320">
        <v>136.4</v>
      </c>
      <c r="K1212" s="320">
        <v>85.89</v>
      </c>
      <c r="L1212" s="320">
        <v>55.36</v>
      </c>
      <c r="M1212" s="320">
        <v>0.6446</v>
      </c>
      <c r="N1212" s="320">
        <v>0.4393</v>
      </c>
      <c r="O1212" s="320">
        <v>0.2446</v>
      </c>
      <c r="P1212" s="320">
        <v>1.5514</v>
      </c>
      <c r="Q1212" s="320">
        <v>659.06</v>
      </c>
      <c r="R1212" s="320">
        <v>546.07</v>
      </c>
      <c r="S1212" s="320">
        <v>112.99</v>
      </c>
      <c r="T1212" s="320">
        <v>431.87</v>
      </c>
      <c r="U1212" s="320">
        <v>227.19</v>
      </c>
      <c r="V1212" s="320">
        <v>718.58</v>
      </c>
      <c r="W1212" s="320">
        <v>8.3659</v>
      </c>
      <c r="X1212" s="320">
        <v>65.53</v>
      </c>
      <c r="Y1212" s="320">
        <v>90.0</v>
      </c>
      <c r="Z1212" s="320">
        <v>244.0</v>
      </c>
      <c r="AA1212" s="320">
        <v>909.0</v>
      </c>
      <c r="AB1212" s="320">
        <v>57.4657</v>
      </c>
      <c r="AC1212" s="320">
        <v>0.7489</v>
      </c>
      <c r="AD1212" s="320">
        <v>35.16</v>
      </c>
      <c r="AE1212" s="320">
        <v>12.0</v>
      </c>
      <c r="AF1212" s="320">
        <v>26.0</v>
      </c>
      <c r="AG1212" s="320">
        <v>49.0</v>
      </c>
      <c r="AH1212" s="320">
        <v>77.0</v>
      </c>
      <c r="AI1212" s="320">
        <v>47.34</v>
      </c>
      <c r="AJ1212" s="320">
        <v>17.88</v>
      </c>
      <c r="AK1212" s="320">
        <v>4.81</v>
      </c>
      <c r="AL1212" s="320">
        <v>0.1927</v>
      </c>
      <c r="AM1212" s="320">
        <v>22.3</v>
      </c>
      <c r="AN1212" s="320">
        <v>523.77</v>
      </c>
      <c r="AO1212" s="320">
        <v>73.43</v>
      </c>
      <c r="AP1212" s="320">
        <v>16.37</v>
      </c>
    </row>
    <row r="1213">
      <c r="A1213" s="319" t="s">
        <v>258</v>
      </c>
      <c r="B1213" s="328">
        <v>46131.0</v>
      </c>
      <c r="C1213" s="319" t="s">
        <v>218</v>
      </c>
      <c r="D1213" s="320">
        <v>277.0</v>
      </c>
      <c r="E1213" s="320">
        <v>0.38</v>
      </c>
      <c r="F1213" s="320">
        <v>3525.02</v>
      </c>
      <c r="G1213" s="320">
        <v>12.7257</v>
      </c>
      <c r="H1213" s="320">
        <v>51.99</v>
      </c>
      <c r="I1213" s="320">
        <v>24.4793</v>
      </c>
      <c r="J1213" s="320">
        <v>257.61</v>
      </c>
      <c r="K1213" s="320">
        <v>165.44</v>
      </c>
      <c r="L1213" s="320">
        <v>129.91</v>
      </c>
      <c r="M1213" s="320">
        <v>0.7852</v>
      </c>
      <c r="N1213" s="320">
        <v>0.3016</v>
      </c>
      <c r="O1213" s="320">
        <v>0.1818</v>
      </c>
      <c r="P1213" s="320">
        <v>1.2735</v>
      </c>
      <c r="Q1213" s="320">
        <v>1263.06</v>
      </c>
      <c r="R1213" s="320">
        <v>994.73</v>
      </c>
      <c r="S1213" s="320">
        <v>268.34</v>
      </c>
      <c r="T1213" s="320">
        <v>811.03</v>
      </c>
      <c r="U1213" s="320">
        <v>452.04</v>
      </c>
      <c r="V1213" s="320">
        <v>1379.24</v>
      </c>
      <c r="W1213" s="320">
        <v>8.337</v>
      </c>
      <c r="X1213" s="320">
        <v>64.21</v>
      </c>
      <c r="Y1213" s="320">
        <v>121.0</v>
      </c>
      <c r="Z1213" s="320">
        <v>470.0</v>
      </c>
      <c r="AA1213" s="320">
        <v>2390.0</v>
      </c>
      <c r="AB1213" s="320">
        <v>61.7122</v>
      </c>
      <c r="AC1213" s="320">
        <v>0.8371</v>
      </c>
      <c r="AD1213" s="320">
        <v>84.15</v>
      </c>
      <c r="AE1213" s="320">
        <v>26.0</v>
      </c>
      <c r="AF1213" s="320">
        <v>62.0</v>
      </c>
      <c r="AG1213" s="320">
        <v>117.0</v>
      </c>
      <c r="AH1213" s="320">
        <v>188.0</v>
      </c>
      <c r="AI1213" s="320">
        <v>41.52</v>
      </c>
      <c r="AJ1213" s="320">
        <v>11.91</v>
      </c>
      <c r="AK1213" s="320">
        <v>2.89</v>
      </c>
      <c r="AL1213" s="320">
        <v>0.2022</v>
      </c>
      <c r="AM1213" s="320">
        <v>21.23</v>
      </c>
      <c r="AN1213" s="320">
        <v>973.5</v>
      </c>
      <c r="AO1213" s="320">
        <v>68.7</v>
      </c>
      <c r="AP1213" s="320">
        <v>14.59</v>
      </c>
    </row>
    <row r="1214">
      <c r="A1214" s="319" t="s">
        <v>258</v>
      </c>
      <c r="B1214" s="328">
        <v>46132.0</v>
      </c>
      <c r="C1214" s="319" t="s">
        <v>257</v>
      </c>
      <c r="D1214" s="320">
        <v>14545.0</v>
      </c>
      <c r="E1214" s="320">
        <v>19.46</v>
      </c>
      <c r="F1214" s="320">
        <v>86.77</v>
      </c>
      <c r="G1214" s="320">
        <v>0.006</v>
      </c>
      <c r="H1214" s="320">
        <v>0.19</v>
      </c>
      <c r="I1214" s="320">
        <v>3.2137</v>
      </c>
      <c r="J1214" s="320">
        <v>5.57</v>
      </c>
      <c r="K1214" s="320">
        <v>2.38</v>
      </c>
      <c r="L1214" s="320">
        <v>0.07</v>
      </c>
      <c r="M1214" s="320">
        <v>0.0308</v>
      </c>
      <c r="N1214" s="320">
        <v>0.9717</v>
      </c>
      <c r="O1214" s="320">
        <v>0.7212</v>
      </c>
      <c r="P1214" s="320">
        <v>32.4705</v>
      </c>
      <c r="Q1214" s="320">
        <v>36.08</v>
      </c>
      <c r="R1214" s="320">
        <v>35.99</v>
      </c>
      <c r="S1214" s="320">
        <v>0.09</v>
      </c>
      <c r="T1214" s="320">
        <v>0.43</v>
      </c>
      <c r="U1214" s="320">
        <v>35.65</v>
      </c>
      <c r="V1214" s="320">
        <v>2.2</v>
      </c>
      <c r="W1214" s="320">
        <v>0.9222</v>
      </c>
      <c r="X1214" s="320">
        <v>1.18</v>
      </c>
      <c r="Y1214" s="320">
        <v>197.0</v>
      </c>
      <c r="Z1214" s="320">
        <v>1440.0</v>
      </c>
      <c r="AA1214" s="320">
        <v>8414.0</v>
      </c>
      <c r="AB1214" s="320">
        <v>49.9833</v>
      </c>
      <c r="AC1214" s="320">
        <v>0.5288</v>
      </c>
      <c r="AD1214" s="329"/>
      <c r="AE1214" s="329"/>
      <c r="AF1214" s="329"/>
      <c r="AG1214" s="329"/>
      <c r="AH1214" s="329"/>
      <c r="AI1214" s="320">
        <v>0.0</v>
      </c>
      <c r="AJ1214" s="320">
        <v>0.0</v>
      </c>
      <c r="AK1214" s="320">
        <v>0.0</v>
      </c>
      <c r="AL1214" s="320">
        <v>0.2629</v>
      </c>
      <c r="AM1214" s="320">
        <v>16.36</v>
      </c>
      <c r="AN1214" s="320">
        <v>19.62</v>
      </c>
      <c r="AO1214" s="329"/>
      <c r="AP1214" s="329"/>
    </row>
    <row r="1215">
      <c r="A1215" s="319" t="s">
        <v>258</v>
      </c>
      <c r="B1215" s="328">
        <v>46132.0</v>
      </c>
      <c r="C1215" s="319" t="s">
        <v>214</v>
      </c>
      <c r="D1215" s="320">
        <v>32576.0</v>
      </c>
      <c r="E1215" s="320">
        <v>43.59</v>
      </c>
      <c r="F1215" s="320">
        <v>6287.36</v>
      </c>
      <c r="G1215" s="320">
        <v>0.193</v>
      </c>
      <c r="H1215" s="320">
        <v>5.95</v>
      </c>
      <c r="I1215" s="320">
        <v>3.2443</v>
      </c>
      <c r="J1215" s="320">
        <v>35.35</v>
      </c>
      <c r="K1215" s="320">
        <v>19.14</v>
      </c>
      <c r="L1215" s="320">
        <v>5.64</v>
      </c>
      <c r="M1215" s="320">
        <v>0.2945</v>
      </c>
      <c r="N1215" s="320">
        <v>0.7733</v>
      </c>
      <c r="O1215" s="320">
        <v>0.5357</v>
      </c>
      <c r="P1215" s="320">
        <v>3.3954</v>
      </c>
      <c r="Q1215" s="320">
        <v>93.85</v>
      </c>
      <c r="R1215" s="320">
        <v>82.76</v>
      </c>
      <c r="S1215" s="320">
        <v>11.09</v>
      </c>
      <c r="T1215" s="320">
        <v>13.96</v>
      </c>
      <c r="U1215" s="320">
        <v>79.9</v>
      </c>
      <c r="V1215" s="320">
        <v>86.23</v>
      </c>
      <c r="W1215" s="320">
        <v>4.5045</v>
      </c>
      <c r="X1215" s="320">
        <v>14.87</v>
      </c>
      <c r="Y1215" s="320">
        <v>91.0</v>
      </c>
      <c r="Z1215" s="320">
        <v>217.0</v>
      </c>
      <c r="AA1215" s="320">
        <v>840.0</v>
      </c>
      <c r="AB1215" s="320">
        <v>49.4563</v>
      </c>
      <c r="AC1215" s="320">
        <v>0.434</v>
      </c>
      <c r="AD1215" s="320">
        <v>3.58</v>
      </c>
      <c r="AE1215" s="320">
        <v>1.0</v>
      </c>
      <c r="AF1215" s="320">
        <v>2.0</v>
      </c>
      <c r="AG1215" s="320">
        <v>5.0</v>
      </c>
      <c r="AH1215" s="320">
        <v>8.0</v>
      </c>
      <c r="AI1215" s="320">
        <v>68.0</v>
      </c>
      <c r="AJ1215" s="320">
        <v>25.36</v>
      </c>
      <c r="AK1215" s="320">
        <v>6.81</v>
      </c>
      <c r="AL1215" s="320">
        <v>0.2077</v>
      </c>
      <c r="AM1215" s="320">
        <v>18.79</v>
      </c>
      <c r="AN1215" s="320">
        <v>63.97</v>
      </c>
      <c r="AO1215" s="320">
        <v>68.21</v>
      </c>
      <c r="AP1215" s="320">
        <v>12.82</v>
      </c>
    </row>
    <row r="1216">
      <c r="A1216" s="319" t="s">
        <v>258</v>
      </c>
      <c r="B1216" s="328">
        <v>46132.0</v>
      </c>
      <c r="C1216" s="319" t="s">
        <v>215</v>
      </c>
      <c r="D1216" s="320">
        <v>16184.0</v>
      </c>
      <c r="E1216" s="320">
        <v>21.65</v>
      </c>
      <c r="F1216" s="320">
        <v>16560.78</v>
      </c>
      <c r="G1216" s="320">
        <v>1.0233</v>
      </c>
      <c r="H1216" s="320">
        <v>20.42</v>
      </c>
      <c r="I1216" s="320">
        <v>5.0108</v>
      </c>
      <c r="J1216" s="320">
        <v>64.97</v>
      </c>
      <c r="K1216" s="320">
        <v>37.3</v>
      </c>
      <c r="L1216" s="320">
        <v>14.94</v>
      </c>
      <c r="M1216" s="320">
        <v>0.4005</v>
      </c>
      <c r="N1216" s="320">
        <v>0.6629</v>
      </c>
      <c r="O1216" s="320">
        <v>0.3958</v>
      </c>
      <c r="P1216" s="320">
        <v>2.4967</v>
      </c>
      <c r="Q1216" s="320">
        <v>204.19</v>
      </c>
      <c r="R1216" s="320">
        <v>176.06</v>
      </c>
      <c r="S1216" s="320">
        <v>28.13</v>
      </c>
      <c r="T1216" s="320">
        <v>68.1</v>
      </c>
      <c r="U1216" s="320">
        <v>136.09</v>
      </c>
      <c r="V1216" s="320">
        <v>202.34</v>
      </c>
      <c r="W1216" s="320">
        <v>5.4253</v>
      </c>
      <c r="X1216" s="320">
        <v>33.35</v>
      </c>
      <c r="Y1216" s="320">
        <v>84.0</v>
      </c>
      <c r="Z1216" s="320">
        <v>182.0</v>
      </c>
      <c r="AA1216" s="320">
        <v>554.0</v>
      </c>
      <c r="AB1216" s="320">
        <v>52.1952</v>
      </c>
      <c r="AC1216" s="320">
        <v>0.4956</v>
      </c>
      <c r="AD1216" s="320">
        <v>8.94</v>
      </c>
      <c r="AE1216" s="320">
        <v>3.0</v>
      </c>
      <c r="AF1216" s="320">
        <v>6.0</v>
      </c>
      <c r="AG1216" s="320">
        <v>12.0</v>
      </c>
      <c r="AH1216" s="320">
        <v>20.0</v>
      </c>
      <c r="AI1216" s="320">
        <v>54.58</v>
      </c>
      <c r="AJ1216" s="320">
        <v>24.28</v>
      </c>
      <c r="AK1216" s="320">
        <v>5.24</v>
      </c>
      <c r="AL1216" s="320">
        <v>0.1755</v>
      </c>
      <c r="AM1216" s="320">
        <v>19.04</v>
      </c>
      <c r="AN1216" s="320">
        <v>157.02</v>
      </c>
      <c r="AO1216" s="320">
        <v>72.16</v>
      </c>
      <c r="AP1216" s="320">
        <v>13.74</v>
      </c>
    </row>
    <row r="1217">
      <c r="A1217" s="319" t="s">
        <v>258</v>
      </c>
      <c r="B1217" s="328">
        <v>46132.0</v>
      </c>
      <c r="C1217" s="319" t="s">
        <v>216</v>
      </c>
      <c r="D1217" s="320">
        <v>8191.0</v>
      </c>
      <c r="E1217" s="320">
        <v>10.96</v>
      </c>
      <c r="F1217" s="320">
        <v>22626.11</v>
      </c>
      <c r="G1217" s="320">
        <v>2.7623</v>
      </c>
      <c r="H1217" s="320">
        <v>32.8</v>
      </c>
      <c r="I1217" s="320">
        <v>8.4206</v>
      </c>
      <c r="J1217" s="320">
        <v>93.96</v>
      </c>
      <c r="K1217" s="320">
        <v>55.91</v>
      </c>
      <c r="L1217" s="320">
        <v>29.48</v>
      </c>
      <c r="M1217" s="320">
        <v>0.5272</v>
      </c>
      <c r="N1217" s="320">
        <v>0.5468</v>
      </c>
      <c r="O1217" s="320">
        <v>0.3106</v>
      </c>
      <c r="P1217" s="320">
        <v>1.897</v>
      </c>
      <c r="Q1217" s="320">
        <v>394.85</v>
      </c>
      <c r="R1217" s="320">
        <v>338.99</v>
      </c>
      <c r="S1217" s="320">
        <v>55.86</v>
      </c>
      <c r="T1217" s="320">
        <v>178.27</v>
      </c>
      <c r="U1217" s="320">
        <v>216.58</v>
      </c>
      <c r="V1217" s="320">
        <v>401.68</v>
      </c>
      <c r="W1217" s="320">
        <v>7.1839</v>
      </c>
      <c r="X1217" s="320">
        <v>45.15</v>
      </c>
      <c r="Y1217" s="320">
        <v>87.0</v>
      </c>
      <c r="Z1217" s="320">
        <v>210.0</v>
      </c>
      <c r="AA1217" s="320">
        <v>659.0</v>
      </c>
      <c r="AB1217" s="320">
        <v>54.4354</v>
      </c>
      <c r="AC1217" s="320">
        <v>0.5814</v>
      </c>
      <c r="AD1217" s="320">
        <v>17.48</v>
      </c>
      <c r="AE1217" s="320">
        <v>6.0</v>
      </c>
      <c r="AF1217" s="320">
        <v>13.0</v>
      </c>
      <c r="AG1217" s="320">
        <v>25.0</v>
      </c>
      <c r="AH1217" s="320">
        <v>37.0</v>
      </c>
      <c r="AI1217" s="320">
        <v>57.77</v>
      </c>
      <c r="AJ1217" s="320">
        <v>23.99</v>
      </c>
      <c r="AK1217" s="320">
        <v>5.9</v>
      </c>
      <c r="AL1217" s="320">
        <v>0.1701</v>
      </c>
      <c r="AM1217" s="320">
        <v>19.23</v>
      </c>
      <c r="AN1217" s="320">
        <v>319.77</v>
      </c>
      <c r="AO1217" s="320">
        <v>71.33</v>
      </c>
      <c r="AP1217" s="320">
        <v>13.72</v>
      </c>
    </row>
    <row r="1218">
      <c r="A1218" s="319" t="s">
        <v>258</v>
      </c>
      <c r="B1218" s="328">
        <v>46132.0</v>
      </c>
      <c r="C1218" s="319" t="s">
        <v>217</v>
      </c>
      <c r="D1218" s="320">
        <v>2996.0</v>
      </c>
      <c r="E1218" s="320">
        <v>4.01</v>
      </c>
      <c r="F1218" s="320">
        <v>20477.56</v>
      </c>
      <c r="G1218" s="320">
        <v>6.835</v>
      </c>
      <c r="H1218" s="320">
        <v>44.59</v>
      </c>
      <c r="I1218" s="320">
        <v>15.3275</v>
      </c>
      <c r="J1218" s="320">
        <v>147.14</v>
      </c>
      <c r="K1218" s="320">
        <v>90.22</v>
      </c>
      <c r="L1218" s="320">
        <v>59.94</v>
      </c>
      <c r="M1218" s="320">
        <v>0.6644</v>
      </c>
      <c r="N1218" s="320">
        <v>0.4274</v>
      </c>
      <c r="O1218" s="320">
        <v>0.2479</v>
      </c>
      <c r="P1218" s="320">
        <v>1.5051</v>
      </c>
      <c r="Q1218" s="320">
        <v>809.45</v>
      </c>
      <c r="R1218" s="320">
        <v>698.68</v>
      </c>
      <c r="S1218" s="320">
        <v>110.78</v>
      </c>
      <c r="T1218" s="320">
        <v>437.32</v>
      </c>
      <c r="U1218" s="320">
        <v>372.13</v>
      </c>
      <c r="V1218" s="320">
        <v>837.02</v>
      </c>
      <c r="W1218" s="320">
        <v>9.2775</v>
      </c>
      <c r="X1218" s="320">
        <v>54.03</v>
      </c>
      <c r="Y1218" s="320">
        <v>97.0</v>
      </c>
      <c r="Z1218" s="320">
        <v>328.0</v>
      </c>
      <c r="AA1218" s="320">
        <v>1101.0</v>
      </c>
      <c r="AB1218" s="320">
        <v>57.1383</v>
      </c>
      <c r="AC1218" s="320">
        <v>0.664</v>
      </c>
      <c r="AD1218" s="320">
        <v>34.72</v>
      </c>
      <c r="AE1218" s="320">
        <v>13.0</v>
      </c>
      <c r="AF1218" s="320">
        <v>27.0</v>
      </c>
      <c r="AG1218" s="320">
        <v>46.0</v>
      </c>
      <c r="AH1218" s="320">
        <v>73.0</v>
      </c>
      <c r="AI1218" s="320">
        <v>49.37</v>
      </c>
      <c r="AJ1218" s="320">
        <v>16.26</v>
      </c>
      <c r="AK1218" s="320">
        <v>3.97</v>
      </c>
      <c r="AL1218" s="320">
        <v>0.1268</v>
      </c>
      <c r="AM1218" s="320">
        <v>20.26</v>
      </c>
      <c r="AN1218" s="320">
        <v>678.42</v>
      </c>
      <c r="AO1218" s="320">
        <v>70.54</v>
      </c>
      <c r="AP1218" s="320">
        <v>14.29</v>
      </c>
    </row>
    <row r="1219">
      <c r="A1219" s="319" t="s">
        <v>258</v>
      </c>
      <c r="B1219" s="328">
        <v>46132.0</v>
      </c>
      <c r="C1219" s="319" t="s">
        <v>218</v>
      </c>
      <c r="D1219" s="320">
        <v>247.0</v>
      </c>
      <c r="E1219" s="320">
        <v>0.33</v>
      </c>
      <c r="F1219" s="320">
        <v>2764.92</v>
      </c>
      <c r="G1219" s="320">
        <v>11.194</v>
      </c>
      <c r="H1219" s="320">
        <v>54.66</v>
      </c>
      <c r="I1219" s="320">
        <v>20.4809</v>
      </c>
      <c r="J1219" s="320">
        <v>273.09</v>
      </c>
      <c r="K1219" s="320">
        <v>177.56</v>
      </c>
      <c r="L1219" s="320">
        <v>139.72</v>
      </c>
      <c r="M1219" s="320">
        <v>0.7869</v>
      </c>
      <c r="N1219" s="320">
        <v>0.3033</v>
      </c>
      <c r="O1219" s="320">
        <v>0.1856</v>
      </c>
      <c r="P1219" s="320">
        <v>1.2709</v>
      </c>
      <c r="Q1219" s="320">
        <v>1398.18</v>
      </c>
      <c r="R1219" s="320">
        <v>1108.65</v>
      </c>
      <c r="S1219" s="320">
        <v>289.53</v>
      </c>
      <c r="T1219" s="320">
        <v>705.97</v>
      </c>
      <c r="U1219" s="320">
        <v>692.21</v>
      </c>
      <c r="V1219" s="320">
        <v>1470.85</v>
      </c>
      <c r="W1219" s="320">
        <v>8.2836</v>
      </c>
      <c r="X1219" s="320">
        <v>50.49</v>
      </c>
      <c r="Y1219" s="320">
        <v>146.0</v>
      </c>
      <c r="Z1219" s="320">
        <v>425.0</v>
      </c>
      <c r="AA1219" s="320">
        <v>1858.0</v>
      </c>
      <c r="AB1219" s="320">
        <v>61.7225</v>
      </c>
      <c r="AC1219" s="320">
        <v>0.8306</v>
      </c>
      <c r="AD1219" s="320">
        <v>87.32</v>
      </c>
      <c r="AE1219" s="320">
        <v>29.0</v>
      </c>
      <c r="AF1219" s="320">
        <v>72.0</v>
      </c>
      <c r="AG1219" s="320">
        <v>123.0</v>
      </c>
      <c r="AH1219" s="320">
        <v>188.0</v>
      </c>
      <c r="AI1219" s="320">
        <v>46.96</v>
      </c>
      <c r="AJ1219" s="320">
        <v>12.15</v>
      </c>
      <c r="AK1219" s="320">
        <v>1.21</v>
      </c>
      <c r="AL1219" s="320">
        <v>0.1215</v>
      </c>
      <c r="AM1219" s="320">
        <v>22.13</v>
      </c>
      <c r="AN1219" s="320">
        <v>1086.52</v>
      </c>
      <c r="AO1219" s="320">
        <v>73.57</v>
      </c>
      <c r="AP1219" s="320">
        <v>16.28</v>
      </c>
    </row>
    <row r="1220">
      <c r="A1220" s="319" t="s">
        <v>258</v>
      </c>
      <c r="B1220" s="328">
        <v>46133.0</v>
      </c>
      <c r="C1220" s="319" t="s">
        <v>257</v>
      </c>
      <c r="D1220" s="320">
        <v>15534.0</v>
      </c>
      <c r="E1220" s="320">
        <v>20.68</v>
      </c>
      <c r="F1220" s="320">
        <v>130.54</v>
      </c>
      <c r="G1220" s="320">
        <v>0.0084</v>
      </c>
      <c r="H1220" s="320">
        <v>0.15</v>
      </c>
      <c r="I1220" s="320">
        <v>5.6757</v>
      </c>
      <c r="J1220" s="320">
        <v>5.93</v>
      </c>
      <c r="K1220" s="320">
        <v>2.72</v>
      </c>
      <c r="L1220" s="320">
        <v>0.05</v>
      </c>
      <c r="M1220" s="320">
        <v>0.0177</v>
      </c>
      <c r="N1220" s="320">
        <v>0.9849</v>
      </c>
      <c r="O1220" s="320">
        <v>0.8033</v>
      </c>
      <c r="P1220" s="320">
        <v>56.559</v>
      </c>
      <c r="Q1220" s="320">
        <v>26.02</v>
      </c>
      <c r="R1220" s="320">
        <v>25.95</v>
      </c>
      <c r="S1220" s="320">
        <v>0.06</v>
      </c>
      <c r="T1220" s="320">
        <v>0.73</v>
      </c>
      <c r="U1220" s="320">
        <v>25.28</v>
      </c>
      <c r="V1220" s="320">
        <v>2.43</v>
      </c>
      <c r="W1220" s="320">
        <v>0.8935</v>
      </c>
      <c r="X1220" s="320">
        <v>2.81</v>
      </c>
      <c r="Y1220" s="320">
        <v>168.0</v>
      </c>
      <c r="Z1220" s="320">
        <v>1238.0</v>
      </c>
      <c r="AA1220" s="320">
        <v>7926.0</v>
      </c>
      <c r="AB1220" s="320">
        <v>49.7258</v>
      </c>
      <c r="AC1220" s="320">
        <v>0.5111</v>
      </c>
      <c r="AD1220" s="329"/>
      <c r="AE1220" s="329"/>
      <c r="AF1220" s="329"/>
      <c r="AG1220" s="329"/>
      <c r="AH1220" s="329"/>
      <c r="AI1220" s="320">
        <v>0.0</v>
      </c>
      <c r="AJ1220" s="320">
        <v>0.0</v>
      </c>
      <c r="AK1220" s="320">
        <v>0.0</v>
      </c>
      <c r="AL1220" s="320">
        <v>0.2621</v>
      </c>
      <c r="AM1220" s="320">
        <v>14.89</v>
      </c>
      <c r="AN1220" s="320">
        <v>11.06</v>
      </c>
      <c r="AO1220" s="329"/>
      <c r="AP1220" s="329"/>
    </row>
    <row r="1221">
      <c r="A1221" s="319" t="s">
        <v>258</v>
      </c>
      <c r="B1221" s="328">
        <v>46133.0</v>
      </c>
      <c r="C1221" s="319" t="s">
        <v>214</v>
      </c>
      <c r="D1221" s="320">
        <v>32399.0</v>
      </c>
      <c r="E1221" s="320">
        <v>43.13</v>
      </c>
      <c r="F1221" s="320">
        <v>6475.06</v>
      </c>
      <c r="G1221" s="320">
        <v>0.1999</v>
      </c>
      <c r="H1221" s="320">
        <v>5.84</v>
      </c>
      <c r="I1221" s="320">
        <v>3.4241</v>
      </c>
      <c r="J1221" s="320">
        <v>29.56</v>
      </c>
      <c r="K1221" s="320">
        <v>15.7</v>
      </c>
      <c r="L1221" s="320">
        <v>5.06</v>
      </c>
      <c r="M1221" s="320">
        <v>0.3223</v>
      </c>
      <c r="N1221" s="320">
        <v>0.7526</v>
      </c>
      <c r="O1221" s="320">
        <v>0.5245</v>
      </c>
      <c r="P1221" s="320">
        <v>3.1027</v>
      </c>
      <c r="Q1221" s="320">
        <v>68.07</v>
      </c>
      <c r="R1221" s="320">
        <v>57.88</v>
      </c>
      <c r="S1221" s="320">
        <v>10.19</v>
      </c>
      <c r="T1221" s="320">
        <v>14.82</v>
      </c>
      <c r="U1221" s="320">
        <v>53.25</v>
      </c>
      <c r="V1221" s="320">
        <v>73.89</v>
      </c>
      <c r="W1221" s="320">
        <v>4.7069</v>
      </c>
      <c r="X1221" s="320">
        <v>21.77</v>
      </c>
      <c r="Y1221" s="320">
        <v>88.0</v>
      </c>
      <c r="Z1221" s="320">
        <v>213.0</v>
      </c>
      <c r="AA1221" s="320">
        <v>867.0</v>
      </c>
      <c r="AB1221" s="320">
        <v>49.5662</v>
      </c>
      <c r="AC1221" s="320">
        <v>0.4381</v>
      </c>
      <c r="AD1221" s="320">
        <v>3.46</v>
      </c>
      <c r="AE1221" s="320">
        <v>1.0</v>
      </c>
      <c r="AF1221" s="320">
        <v>2.0</v>
      </c>
      <c r="AG1221" s="320">
        <v>4.0</v>
      </c>
      <c r="AH1221" s="320">
        <v>8.0</v>
      </c>
      <c r="AI1221" s="320">
        <v>65.29</v>
      </c>
      <c r="AJ1221" s="320">
        <v>23.66</v>
      </c>
      <c r="AK1221" s="320">
        <v>6.88</v>
      </c>
      <c r="AL1221" s="320">
        <v>0.2135</v>
      </c>
      <c r="AM1221" s="320">
        <v>18.21</v>
      </c>
      <c r="AN1221" s="320">
        <v>39.67</v>
      </c>
      <c r="AO1221" s="320">
        <v>67.83</v>
      </c>
      <c r="AP1221" s="320">
        <v>12.35</v>
      </c>
    </row>
    <row r="1222">
      <c r="A1222" s="319" t="s">
        <v>258</v>
      </c>
      <c r="B1222" s="328">
        <v>46133.0</v>
      </c>
      <c r="C1222" s="319" t="s">
        <v>215</v>
      </c>
      <c r="D1222" s="320">
        <v>16217.0</v>
      </c>
      <c r="E1222" s="320">
        <v>21.59</v>
      </c>
      <c r="F1222" s="320">
        <v>16813.57</v>
      </c>
      <c r="G1222" s="320">
        <v>1.0368</v>
      </c>
      <c r="H1222" s="320">
        <v>20.66</v>
      </c>
      <c r="I1222" s="320">
        <v>5.0175</v>
      </c>
      <c r="J1222" s="320">
        <v>56.8</v>
      </c>
      <c r="K1222" s="320">
        <v>32.11</v>
      </c>
      <c r="L1222" s="320">
        <v>13.68</v>
      </c>
      <c r="M1222" s="320">
        <v>0.4262</v>
      </c>
      <c r="N1222" s="320">
        <v>0.6404</v>
      </c>
      <c r="O1222" s="320">
        <v>0.3779</v>
      </c>
      <c r="P1222" s="320">
        <v>2.3462</v>
      </c>
      <c r="Q1222" s="320">
        <v>170.59</v>
      </c>
      <c r="R1222" s="320">
        <v>143.82</v>
      </c>
      <c r="S1222" s="320">
        <v>26.77</v>
      </c>
      <c r="T1222" s="320">
        <v>69.65</v>
      </c>
      <c r="U1222" s="320">
        <v>100.95</v>
      </c>
      <c r="V1222" s="320">
        <v>182.38</v>
      </c>
      <c r="W1222" s="320">
        <v>5.6804</v>
      </c>
      <c r="X1222" s="320">
        <v>40.83</v>
      </c>
      <c r="Y1222" s="320">
        <v>82.0</v>
      </c>
      <c r="Z1222" s="320">
        <v>186.0</v>
      </c>
      <c r="AA1222" s="320">
        <v>595.0</v>
      </c>
      <c r="AB1222" s="320">
        <v>52.5124</v>
      </c>
      <c r="AC1222" s="320">
        <v>0.5015</v>
      </c>
      <c r="AD1222" s="320">
        <v>8.66</v>
      </c>
      <c r="AE1222" s="320">
        <v>3.0</v>
      </c>
      <c r="AF1222" s="320">
        <v>6.0</v>
      </c>
      <c r="AG1222" s="320">
        <v>12.0</v>
      </c>
      <c r="AH1222" s="320">
        <v>19.0</v>
      </c>
      <c r="AI1222" s="320">
        <v>52.8</v>
      </c>
      <c r="AJ1222" s="320">
        <v>23.66</v>
      </c>
      <c r="AK1222" s="320">
        <v>4.66</v>
      </c>
      <c r="AL1222" s="320">
        <v>0.174</v>
      </c>
      <c r="AM1222" s="320">
        <v>18.94</v>
      </c>
      <c r="AN1222" s="320">
        <v>124.88</v>
      </c>
      <c r="AO1222" s="320">
        <v>72.45</v>
      </c>
      <c r="AP1222" s="320">
        <v>13.72</v>
      </c>
    </row>
    <row r="1223">
      <c r="A1223" s="319" t="s">
        <v>258</v>
      </c>
      <c r="B1223" s="328">
        <v>46133.0</v>
      </c>
      <c r="C1223" s="319" t="s">
        <v>216</v>
      </c>
      <c r="D1223" s="320">
        <v>7974.0</v>
      </c>
      <c r="E1223" s="320">
        <v>10.62</v>
      </c>
      <c r="F1223" s="320">
        <v>20952.0</v>
      </c>
      <c r="G1223" s="320">
        <v>2.6275</v>
      </c>
      <c r="H1223" s="320">
        <v>33.61</v>
      </c>
      <c r="I1223" s="320">
        <v>7.8179</v>
      </c>
      <c r="J1223" s="320">
        <v>81.28</v>
      </c>
      <c r="K1223" s="320">
        <v>48.05</v>
      </c>
      <c r="L1223" s="320">
        <v>26.85</v>
      </c>
      <c r="M1223" s="320">
        <v>0.5587</v>
      </c>
      <c r="N1223" s="320">
        <v>0.5196</v>
      </c>
      <c r="O1223" s="320">
        <v>0.2956</v>
      </c>
      <c r="P1223" s="320">
        <v>1.79</v>
      </c>
      <c r="Q1223" s="320">
        <v>351.41</v>
      </c>
      <c r="R1223" s="320">
        <v>299.96</v>
      </c>
      <c r="S1223" s="320">
        <v>51.45</v>
      </c>
      <c r="T1223" s="320">
        <v>172.08</v>
      </c>
      <c r="U1223" s="320">
        <v>179.33</v>
      </c>
      <c r="V1223" s="320">
        <v>366.24</v>
      </c>
      <c r="W1223" s="320">
        <v>7.6215</v>
      </c>
      <c r="X1223" s="320">
        <v>48.97</v>
      </c>
      <c r="Y1223" s="320">
        <v>87.0</v>
      </c>
      <c r="Z1223" s="320">
        <v>217.0</v>
      </c>
      <c r="AA1223" s="320">
        <v>682.0</v>
      </c>
      <c r="AB1223" s="320">
        <v>54.5919</v>
      </c>
      <c r="AC1223" s="320">
        <v>0.6058</v>
      </c>
      <c r="AD1223" s="320">
        <v>16.57</v>
      </c>
      <c r="AE1223" s="320">
        <v>5.0</v>
      </c>
      <c r="AF1223" s="320">
        <v>12.0</v>
      </c>
      <c r="AG1223" s="320">
        <v>24.0</v>
      </c>
      <c r="AH1223" s="320">
        <v>35.0</v>
      </c>
      <c r="AI1223" s="320">
        <v>54.64</v>
      </c>
      <c r="AJ1223" s="320">
        <v>22.37</v>
      </c>
      <c r="AK1223" s="320">
        <v>6.21</v>
      </c>
      <c r="AL1223" s="320">
        <v>0.1708</v>
      </c>
      <c r="AM1223" s="320">
        <v>19.92</v>
      </c>
      <c r="AN1223" s="320">
        <v>280.04</v>
      </c>
      <c r="AO1223" s="320">
        <v>72.52</v>
      </c>
      <c r="AP1223" s="320">
        <v>14.45</v>
      </c>
    </row>
    <row r="1224">
      <c r="A1224" s="319" t="s">
        <v>258</v>
      </c>
      <c r="B1224" s="328">
        <v>46133.0</v>
      </c>
      <c r="C1224" s="319" t="s">
        <v>217</v>
      </c>
      <c r="D1224" s="320">
        <v>2734.0</v>
      </c>
      <c r="E1224" s="320">
        <v>3.64</v>
      </c>
      <c r="F1224" s="320">
        <v>16031.3</v>
      </c>
      <c r="G1224" s="320">
        <v>5.8637</v>
      </c>
      <c r="H1224" s="320">
        <v>44.51</v>
      </c>
      <c r="I1224" s="320">
        <v>13.1728</v>
      </c>
      <c r="J1224" s="320">
        <v>128.32</v>
      </c>
      <c r="K1224" s="320">
        <v>79.63</v>
      </c>
      <c r="L1224" s="320">
        <v>53.12</v>
      </c>
      <c r="M1224" s="320">
        <v>0.6671</v>
      </c>
      <c r="N1224" s="320">
        <v>0.4206</v>
      </c>
      <c r="O1224" s="320">
        <v>0.2398</v>
      </c>
      <c r="P1224" s="320">
        <v>1.4991</v>
      </c>
      <c r="Q1224" s="320">
        <v>678.42</v>
      </c>
      <c r="R1224" s="320">
        <v>570.88</v>
      </c>
      <c r="S1224" s="320">
        <v>107.54</v>
      </c>
      <c r="T1224" s="320">
        <v>363.34</v>
      </c>
      <c r="U1224" s="320">
        <v>315.07</v>
      </c>
      <c r="V1224" s="320">
        <v>700.07</v>
      </c>
      <c r="W1224" s="320">
        <v>8.7911</v>
      </c>
      <c r="X1224" s="320">
        <v>53.56</v>
      </c>
      <c r="Y1224" s="320">
        <v>90.0</v>
      </c>
      <c r="Z1224" s="320">
        <v>267.0</v>
      </c>
      <c r="AA1224" s="320">
        <v>825.0</v>
      </c>
      <c r="AB1224" s="320">
        <v>57.4275</v>
      </c>
      <c r="AC1224" s="320">
        <v>0.7317</v>
      </c>
      <c r="AD1224" s="320">
        <v>34.45</v>
      </c>
      <c r="AE1224" s="320">
        <v>12.0</v>
      </c>
      <c r="AF1224" s="320">
        <v>26.0</v>
      </c>
      <c r="AG1224" s="320">
        <v>47.0</v>
      </c>
      <c r="AH1224" s="320">
        <v>73.0</v>
      </c>
      <c r="AI1224" s="320">
        <v>47.88</v>
      </c>
      <c r="AJ1224" s="320">
        <v>17.04</v>
      </c>
      <c r="AK1224" s="320">
        <v>3.95</v>
      </c>
      <c r="AL1224" s="320">
        <v>0.1441</v>
      </c>
      <c r="AM1224" s="320">
        <v>19.1</v>
      </c>
      <c r="AN1224" s="320">
        <v>551.78</v>
      </c>
      <c r="AO1224" s="320">
        <v>76.26</v>
      </c>
      <c r="AP1224" s="320">
        <v>14.57</v>
      </c>
    </row>
    <row r="1225">
      <c r="A1225" s="319" t="s">
        <v>258</v>
      </c>
      <c r="B1225" s="328">
        <v>46133.0</v>
      </c>
      <c r="C1225" s="319" t="s">
        <v>218</v>
      </c>
      <c r="D1225" s="320">
        <v>256.0</v>
      </c>
      <c r="E1225" s="320">
        <v>0.34</v>
      </c>
      <c r="F1225" s="320">
        <v>2645.3</v>
      </c>
      <c r="G1225" s="320">
        <v>10.3332</v>
      </c>
      <c r="H1225" s="320">
        <v>45.7</v>
      </c>
      <c r="I1225" s="320">
        <v>22.6094</v>
      </c>
      <c r="J1225" s="320">
        <v>247.76</v>
      </c>
      <c r="K1225" s="320">
        <v>161.54</v>
      </c>
      <c r="L1225" s="320">
        <v>126.27</v>
      </c>
      <c r="M1225" s="320">
        <v>0.7816</v>
      </c>
      <c r="N1225" s="320">
        <v>0.305</v>
      </c>
      <c r="O1225" s="320">
        <v>0.1874</v>
      </c>
      <c r="P1225" s="320">
        <v>1.2794</v>
      </c>
      <c r="Q1225" s="320">
        <v>1296.09</v>
      </c>
      <c r="R1225" s="320">
        <v>1033.9</v>
      </c>
      <c r="S1225" s="320">
        <v>262.19</v>
      </c>
      <c r="T1225" s="320">
        <v>669.0</v>
      </c>
      <c r="U1225" s="320">
        <v>627.08</v>
      </c>
      <c r="V1225" s="320">
        <v>1312.11</v>
      </c>
      <c r="W1225" s="320">
        <v>8.1224</v>
      </c>
      <c r="X1225" s="320">
        <v>51.62</v>
      </c>
      <c r="Y1225" s="320">
        <v>130.0</v>
      </c>
      <c r="Z1225" s="320">
        <v>438.0</v>
      </c>
      <c r="AA1225" s="320">
        <v>2340.0</v>
      </c>
      <c r="AB1225" s="320">
        <v>61.4964</v>
      </c>
      <c r="AC1225" s="320">
        <v>0.8126</v>
      </c>
      <c r="AD1225" s="320">
        <v>73.72</v>
      </c>
      <c r="AE1225" s="320">
        <v>27.0</v>
      </c>
      <c r="AF1225" s="320">
        <v>53.0</v>
      </c>
      <c r="AG1225" s="320">
        <v>109.0</v>
      </c>
      <c r="AH1225" s="320">
        <v>165.0</v>
      </c>
      <c r="AI1225" s="320">
        <v>35.16</v>
      </c>
      <c r="AJ1225" s="320">
        <v>8.98</v>
      </c>
      <c r="AK1225" s="320">
        <v>1.95</v>
      </c>
      <c r="AL1225" s="320">
        <v>0.1367</v>
      </c>
      <c r="AM1225" s="320">
        <v>20.33</v>
      </c>
      <c r="AN1225" s="320">
        <v>1013.57</v>
      </c>
      <c r="AO1225" s="320">
        <v>73.1</v>
      </c>
      <c r="AP1225" s="320">
        <v>14.86</v>
      </c>
    </row>
    <row r="1226">
      <c r="A1226" s="319" t="s">
        <v>258</v>
      </c>
      <c r="B1226" s="328">
        <v>46134.0</v>
      </c>
      <c r="C1226" s="319" t="s">
        <v>257</v>
      </c>
      <c r="D1226" s="320">
        <v>16074.0</v>
      </c>
      <c r="E1226" s="320">
        <v>21.63</v>
      </c>
      <c r="F1226" s="320">
        <v>180.64</v>
      </c>
      <c r="G1226" s="320">
        <v>0.0112</v>
      </c>
      <c r="H1226" s="320">
        <v>0.19</v>
      </c>
      <c r="I1226" s="320">
        <v>6.0213</v>
      </c>
      <c r="J1226" s="320">
        <v>6.25</v>
      </c>
      <c r="K1226" s="320">
        <v>2.86</v>
      </c>
      <c r="L1226" s="320">
        <v>0.04</v>
      </c>
      <c r="M1226" s="320">
        <v>0.0138</v>
      </c>
      <c r="N1226" s="320">
        <v>0.988</v>
      </c>
      <c r="O1226" s="320">
        <v>0.8362</v>
      </c>
      <c r="P1226" s="320">
        <v>72.2496</v>
      </c>
      <c r="Q1226" s="320">
        <v>21.9</v>
      </c>
      <c r="R1226" s="320">
        <v>21.86</v>
      </c>
      <c r="S1226" s="320">
        <v>0.05</v>
      </c>
      <c r="T1226" s="320">
        <v>0.82</v>
      </c>
      <c r="U1226" s="320">
        <v>21.09</v>
      </c>
      <c r="V1226" s="320">
        <v>2.26</v>
      </c>
      <c r="W1226" s="320">
        <v>0.7909</v>
      </c>
      <c r="X1226" s="320">
        <v>3.73</v>
      </c>
      <c r="Y1226" s="320">
        <v>149.0</v>
      </c>
      <c r="Z1226" s="320">
        <v>1104.0</v>
      </c>
      <c r="AA1226" s="320">
        <v>7738.0</v>
      </c>
      <c r="AB1226" s="320">
        <v>49.7748</v>
      </c>
      <c r="AC1226" s="320">
        <v>0.5153</v>
      </c>
      <c r="AD1226" s="329"/>
      <c r="AE1226" s="329"/>
      <c r="AF1226" s="329"/>
      <c r="AG1226" s="329"/>
      <c r="AH1226" s="329"/>
      <c r="AI1226" s="320">
        <v>0.0</v>
      </c>
      <c r="AJ1226" s="320">
        <v>0.0</v>
      </c>
      <c r="AK1226" s="320">
        <v>0.0</v>
      </c>
      <c r="AL1226" s="320">
        <v>0.265</v>
      </c>
      <c r="AM1226" s="320">
        <v>15.0</v>
      </c>
      <c r="AN1226" s="320">
        <v>6.85</v>
      </c>
      <c r="AO1226" s="329"/>
      <c r="AP1226" s="329"/>
    </row>
    <row r="1227">
      <c r="A1227" s="319" t="s">
        <v>258</v>
      </c>
      <c r="B1227" s="328">
        <v>46134.0</v>
      </c>
      <c r="C1227" s="319" t="s">
        <v>214</v>
      </c>
      <c r="D1227" s="320">
        <v>31896.0</v>
      </c>
      <c r="E1227" s="320">
        <v>42.93</v>
      </c>
      <c r="F1227" s="320">
        <v>6672.23</v>
      </c>
      <c r="G1227" s="320">
        <v>0.2092</v>
      </c>
      <c r="H1227" s="320">
        <v>6.43</v>
      </c>
      <c r="I1227" s="320">
        <v>3.2547</v>
      </c>
      <c r="J1227" s="320">
        <v>32.98</v>
      </c>
      <c r="K1227" s="320">
        <v>17.82</v>
      </c>
      <c r="L1227" s="320">
        <v>5.18</v>
      </c>
      <c r="M1227" s="320">
        <v>0.2908</v>
      </c>
      <c r="N1227" s="320">
        <v>0.7736</v>
      </c>
      <c r="O1227" s="320">
        <v>0.5314</v>
      </c>
      <c r="P1227" s="320">
        <v>3.4386</v>
      </c>
      <c r="Q1227" s="320">
        <v>60.91</v>
      </c>
      <c r="R1227" s="320">
        <v>50.45</v>
      </c>
      <c r="S1227" s="320">
        <v>10.47</v>
      </c>
      <c r="T1227" s="320">
        <v>15.36</v>
      </c>
      <c r="U1227" s="320">
        <v>45.56</v>
      </c>
      <c r="V1227" s="320">
        <v>68.95</v>
      </c>
      <c r="W1227" s="320">
        <v>3.8696</v>
      </c>
      <c r="X1227" s="320">
        <v>25.21</v>
      </c>
      <c r="Y1227" s="320">
        <v>85.0</v>
      </c>
      <c r="Z1227" s="320">
        <v>205.0</v>
      </c>
      <c r="AA1227" s="320">
        <v>845.0</v>
      </c>
      <c r="AB1227" s="320">
        <v>49.7312</v>
      </c>
      <c r="AC1227" s="320">
        <v>0.4388</v>
      </c>
      <c r="AD1227" s="320">
        <v>3.44</v>
      </c>
      <c r="AE1227" s="320">
        <v>1.0</v>
      </c>
      <c r="AF1227" s="320">
        <v>2.0</v>
      </c>
      <c r="AG1227" s="320">
        <v>4.0</v>
      </c>
      <c r="AH1227" s="320">
        <v>8.0</v>
      </c>
      <c r="AI1227" s="320">
        <v>65.8</v>
      </c>
      <c r="AJ1227" s="320">
        <v>23.66</v>
      </c>
      <c r="AK1227" s="320">
        <v>6.44</v>
      </c>
      <c r="AL1227" s="320">
        <v>0.2097</v>
      </c>
      <c r="AM1227" s="320">
        <v>19.08</v>
      </c>
      <c r="AN1227" s="320">
        <v>31.37</v>
      </c>
      <c r="AO1227" s="320">
        <v>68.37</v>
      </c>
      <c r="AP1227" s="320">
        <v>13.04</v>
      </c>
    </row>
    <row r="1228">
      <c r="A1228" s="319" t="s">
        <v>258</v>
      </c>
      <c r="B1228" s="328">
        <v>46134.0</v>
      </c>
      <c r="C1228" s="319" t="s">
        <v>215</v>
      </c>
      <c r="D1228" s="320">
        <v>15884.0</v>
      </c>
      <c r="E1228" s="320">
        <v>21.38</v>
      </c>
      <c r="F1228" s="320">
        <v>17972.61</v>
      </c>
      <c r="G1228" s="320">
        <v>1.1315</v>
      </c>
      <c r="H1228" s="320">
        <v>22.22</v>
      </c>
      <c r="I1228" s="320">
        <v>5.0928</v>
      </c>
      <c r="J1228" s="320">
        <v>61.25</v>
      </c>
      <c r="K1228" s="320">
        <v>35.39</v>
      </c>
      <c r="L1228" s="320">
        <v>14.11</v>
      </c>
      <c r="M1228" s="320">
        <v>0.3988</v>
      </c>
      <c r="N1228" s="320">
        <v>0.6595</v>
      </c>
      <c r="O1228" s="320">
        <v>0.3807</v>
      </c>
      <c r="P1228" s="320">
        <v>2.5074</v>
      </c>
      <c r="Q1228" s="320">
        <v>156.37</v>
      </c>
      <c r="R1228" s="320">
        <v>129.25</v>
      </c>
      <c r="S1228" s="320">
        <v>27.11</v>
      </c>
      <c r="T1228" s="320">
        <v>76.56</v>
      </c>
      <c r="U1228" s="320">
        <v>79.81</v>
      </c>
      <c r="V1228" s="320">
        <v>171.74</v>
      </c>
      <c r="W1228" s="320">
        <v>4.8532</v>
      </c>
      <c r="X1228" s="320">
        <v>48.96</v>
      </c>
      <c r="Y1228" s="320">
        <v>80.0</v>
      </c>
      <c r="Z1228" s="320">
        <v>169.0</v>
      </c>
      <c r="AA1228" s="320">
        <v>581.0</v>
      </c>
      <c r="AB1228" s="320">
        <v>52.5507</v>
      </c>
      <c r="AC1228" s="320">
        <v>0.5153</v>
      </c>
      <c r="AD1228" s="320">
        <v>8.42</v>
      </c>
      <c r="AE1228" s="320">
        <v>2.0</v>
      </c>
      <c r="AF1228" s="320">
        <v>6.0</v>
      </c>
      <c r="AG1228" s="320">
        <v>12.0</v>
      </c>
      <c r="AH1228" s="320">
        <v>19.0</v>
      </c>
      <c r="AI1228" s="320">
        <v>51.7</v>
      </c>
      <c r="AJ1228" s="320">
        <v>22.89</v>
      </c>
      <c r="AK1228" s="320">
        <v>4.29</v>
      </c>
      <c r="AL1228" s="320">
        <v>0.1827</v>
      </c>
      <c r="AM1228" s="320">
        <v>19.78</v>
      </c>
      <c r="AN1228" s="320">
        <v>109.47</v>
      </c>
      <c r="AO1228" s="320">
        <v>73.18</v>
      </c>
      <c r="AP1228" s="320">
        <v>14.48</v>
      </c>
    </row>
    <row r="1229">
      <c r="A1229" s="319" t="s">
        <v>258</v>
      </c>
      <c r="B1229" s="328">
        <v>46134.0</v>
      </c>
      <c r="C1229" s="319" t="s">
        <v>216</v>
      </c>
      <c r="D1229" s="320">
        <v>7495.0</v>
      </c>
      <c r="E1229" s="320">
        <v>10.09</v>
      </c>
      <c r="F1229" s="320">
        <v>19420.97</v>
      </c>
      <c r="G1229" s="320">
        <v>2.5912</v>
      </c>
      <c r="H1229" s="320">
        <v>33.68</v>
      </c>
      <c r="I1229" s="320">
        <v>7.6945</v>
      </c>
      <c r="J1229" s="320">
        <v>84.47</v>
      </c>
      <c r="K1229" s="320">
        <v>50.17</v>
      </c>
      <c r="L1229" s="320">
        <v>25.69</v>
      </c>
      <c r="M1229" s="320">
        <v>0.512</v>
      </c>
      <c r="N1229" s="320">
        <v>0.5544</v>
      </c>
      <c r="O1229" s="320">
        <v>0.3053</v>
      </c>
      <c r="P1229" s="320">
        <v>1.9531</v>
      </c>
      <c r="Q1229" s="320">
        <v>292.17</v>
      </c>
      <c r="R1229" s="320">
        <v>240.54</v>
      </c>
      <c r="S1229" s="320">
        <v>51.62</v>
      </c>
      <c r="T1229" s="320">
        <v>167.03</v>
      </c>
      <c r="U1229" s="320">
        <v>125.14</v>
      </c>
      <c r="V1229" s="320">
        <v>314.91</v>
      </c>
      <c r="W1229" s="320">
        <v>6.2766</v>
      </c>
      <c r="X1229" s="320">
        <v>57.17</v>
      </c>
      <c r="Y1229" s="320">
        <v>81.0</v>
      </c>
      <c r="Z1229" s="320">
        <v>184.0</v>
      </c>
      <c r="AA1229" s="320">
        <v>595.0</v>
      </c>
      <c r="AB1229" s="320">
        <v>54.6413</v>
      </c>
      <c r="AC1229" s="320">
        <v>0.6409</v>
      </c>
      <c r="AD1229" s="320">
        <v>16.18</v>
      </c>
      <c r="AE1229" s="320">
        <v>5.0</v>
      </c>
      <c r="AF1229" s="320">
        <v>11.0</v>
      </c>
      <c r="AG1229" s="320">
        <v>23.0</v>
      </c>
      <c r="AH1229" s="320">
        <v>35.0</v>
      </c>
      <c r="AI1229" s="320">
        <v>52.14</v>
      </c>
      <c r="AJ1229" s="320">
        <v>21.27</v>
      </c>
      <c r="AK1229" s="320">
        <v>6.12</v>
      </c>
      <c r="AL1229" s="320">
        <v>0.1883</v>
      </c>
      <c r="AM1229" s="320">
        <v>20.0</v>
      </c>
      <c r="AN1229" s="320">
        <v>220.54</v>
      </c>
      <c r="AO1229" s="320">
        <v>74.73</v>
      </c>
      <c r="AP1229" s="320">
        <v>14.95</v>
      </c>
    </row>
    <row r="1230">
      <c r="A1230" s="319" t="s">
        <v>258</v>
      </c>
      <c r="B1230" s="328">
        <v>46134.0</v>
      </c>
      <c r="C1230" s="319" t="s">
        <v>217</v>
      </c>
      <c r="D1230" s="320">
        <v>2706.0</v>
      </c>
      <c r="E1230" s="320">
        <v>3.64</v>
      </c>
      <c r="F1230" s="320">
        <v>18894.27</v>
      </c>
      <c r="G1230" s="320">
        <v>6.9824</v>
      </c>
      <c r="H1230" s="320">
        <v>47.04</v>
      </c>
      <c r="I1230" s="320">
        <v>14.8423</v>
      </c>
      <c r="J1230" s="320">
        <v>134.51</v>
      </c>
      <c r="K1230" s="320">
        <v>83.98</v>
      </c>
      <c r="L1230" s="320">
        <v>54.68</v>
      </c>
      <c r="M1230" s="320">
        <v>0.6511</v>
      </c>
      <c r="N1230" s="320">
        <v>0.4318</v>
      </c>
      <c r="O1230" s="320">
        <v>0.24</v>
      </c>
      <c r="P1230" s="320">
        <v>1.5359</v>
      </c>
      <c r="Q1230" s="320">
        <v>658.1</v>
      </c>
      <c r="R1230" s="320">
        <v>547.17</v>
      </c>
      <c r="S1230" s="320">
        <v>110.94</v>
      </c>
      <c r="T1230" s="320">
        <v>439.47</v>
      </c>
      <c r="U1230" s="320">
        <v>218.63</v>
      </c>
      <c r="V1230" s="320">
        <v>696.32</v>
      </c>
      <c r="W1230" s="320">
        <v>8.2913</v>
      </c>
      <c r="X1230" s="320">
        <v>66.78</v>
      </c>
      <c r="Y1230" s="320">
        <v>89.0</v>
      </c>
      <c r="Z1230" s="320">
        <v>257.0</v>
      </c>
      <c r="AA1230" s="320">
        <v>916.0</v>
      </c>
      <c r="AB1230" s="320">
        <v>57.492</v>
      </c>
      <c r="AC1230" s="320">
        <v>0.7409</v>
      </c>
      <c r="AD1230" s="320">
        <v>35.76</v>
      </c>
      <c r="AE1230" s="320">
        <v>11.0</v>
      </c>
      <c r="AF1230" s="320">
        <v>26.0</v>
      </c>
      <c r="AG1230" s="320">
        <v>50.0</v>
      </c>
      <c r="AH1230" s="320">
        <v>81.0</v>
      </c>
      <c r="AI1230" s="320">
        <v>47.86</v>
      </c>
      <c r="AJ1230" s="320">
        <v>18.99</v>
      </c>
      <c r="AK1230" s="320">
        <v>4.99</v>
      </c>
      <c r="AL1230" s="320">
        <v>0.1471</v>
      </c>
      <c r="AM1230" s="320">
        <v>20.6</v>
      </c>
      <c r="AN1230" s="320">
        <v>526.57</v>
      </c>
      <c r="AO1230" s="320">
        <v>76.34</v>
      </c>
      <c r="AP1230" s="320">
        <v>15.73</v>
      </c>
    </row>
    <row r="1231">
      <c r="A1231" s="319" t="s">
        <v>258</v>
      </c>
      <c r="B1231" s="328">
        <v>46134.0</v>
      </c>
      <c r="C1231" s="319" t="s">
        <v>218</v>
      </c>
      <c r="D1231" s="320">
        <v>251.0</v>
      </c>
      <c r="E1231" s="320">
        <v>0.34</v>
      </c>
      <c r="F1231" s="320">
        <v>3425.33</v>
      </c>
      <c r="G1231" s="320">
        <v>13.6467</v>
      </c>
      <c r="H1231" s="320">
        <v>56.97</v>
      </c>
      <c r="I1231" s="320">
        <v>23.9534</v>
      </c>
      <c r="J1231" s="320">
        <v>263.27</v>
      </c>
      <c r="K1231" s="320">
        <v>168.23</v>
      </c>
      <c r="L1231" s="320">
        <v>133.96</v>
      </c>
      <c r="M1231" s="320">
        <v>0.7963</v>
      </c>
      <c r="N1231" s="320">
        <v>0.2951</v>
      </c>
      <c r="O1231" s="320">
        <v>0.1876</v>
      </c>
      <c r="P1231" s="320">
        <v>1.2559</v>
      </c>
      <c r="Q1231" s="320">
        <v>1317.87</v>
      </c>
      <c r="R1231" s="320">
        <v>1040.86</v>
      </c>
      <c r="S1231" s="320">
        <v>277.01</v>
      </c>
      <c r="T1231" s="320">
        <v>857.75</v>
      </c>
      <c r="U1231" s="320">
        <v>460.12</v>
      </c>
      <c r="V1231" s="320">
        <v>1421.91</v>
      </c>
      <c r="W1231" s="320">
        <v>8.4521</v>
      </c>
      <c r="X1231" s="320">
        <v>65.09</v>
      </c>
      <c r="Y1231" s="320">
        <v>137.0</v>
      </c>
      <c r="Z1231" s="320">
        <v>738.0</v>
      </c>
      <c r="AA1231" s="320">
        <v>2424.0</v>
      </c>
      <c r="AB1231" s="320">
        <v>61.5496</v>
      </c>
      <c r="AC1231" s="320">
        <v>0.8362</v>
      </c>
      <c r="AD1231" s="320">
        <v>85.41</v>
      </c>
      <c r="AE1231" s="320">
        <v>27.0</v>
      </c>
      <c r="AF1231" s="320">
        <v>60.0</v>
      </c>
      <c r="AG1231" s="320">
        <v>121.0</v>
      </c>
      <c r="AH1231" s="320">
        <v>184.0</v>
      </c>
      <c r="AI1231" s="320">
        <v>43.03</v>
      </c>
      <c r="AJ1231" s="320">
        <v>12.35</v>
      </c>
      <c r="AK1231" s="320">
        <v>3.98</v>
      </c>
      <c r="AL1231" s="320">
        <v>0.0996</v>
      </c>
      <c r="AM1231" s="320">
        <v>18.35</v>
      </c>
      <c r="AN1231" s="320">
        <v>1022.51</v>
      </c>
      <c r="AO1231" s="320">
        <v>71.14</v>
      </c>
      <c r="AP1231" s="320">
        <v>13.05</v>
      </c>
    </row>
    <row r="1232">
      <c r="A1232" s="319" t="s">
        <v>258</v>
      </c>
      <c r="B1232" s="328">
        <v>46135.0</v>
      </c>
      <c r="C1232" s="319" t="s">
        <v>257</v>
      </c>
      <c r="D1232" s="320">
        <v>16513.0</v>
      </c>
      <c r="E1232" s="320">
        <v>22.62</v>
      </c>
      <c r="F1232" s="320">
        <v>131.65</v>
      </c>
      <c r="G1232" s="320">
        <v>0.008</v>
      </c>
      <c r="H1232" s="320">
        <v>0.15</v>
      </c>
      <c r="I1232" s="320">
        <v>5.4854</v>
      </c>
      <c r="J1232" s="320">
        <v>6.15</v>
      </c>
      <c r="K1232" s="320">
        <v>2.82</v>
      </c>
      <c r="L1232" s="320">
        <v>0.02</v>
      </c>
      <c r="M1232" s="320">
        <v>0.006</v>
      </c>
      <c r="N1232" s="320">
        <v>0.9947</v>
      </c>
      <c r="O1232" s="320">
        <v>0.9237</v>
      </c>
      <c r="P1232" s="320">
        <v>166.8029</v>
      </c>
      <c r="Q1232" s="320">
        <v>22.54</v>
      </c>
      <c r="R1232" s="320">
        <v>22.48</v>
      </c>
      <c r="S1232" s="320">
        <v>0.06</v>
      </c>
      <c r="T1232" s="320">
        <v>0.58</v>
      </c>
      <c r="U1232" s="320">
        <v>21.96</v>
      </c>
      <c r="V1232" s="320">
        <v>1.97</v>
      </c>
      <c r="W1232" s="320">
        <v>0.7005</v>
      </c>
      <c r="X1232" s="320">
        <v>2.56</v>
      </c>
      <c r="Y1232" s="320">
        <v>134.0</v>
      </c>
      <c r="Z1232" s="320">
        <v>1030.0</v>
      </c>
      <c r="AA1232" s="320">
        <v>7377.0</v>
      </c>
      <c r="AB1232" s="320">
        <v>49.5402</v>
      </c>
      <c r="AC1232" s="320">
        <v>0.5006</v>
      </c>
      <c r="AD1232" s="329"/>
      <c r="AE1232" s="329"/>
      <c r="AF1232" s="329"/>
      <c r="AG1232" s="329"/>
      <c r="AH1232" s="329"/>
      <c r="AI1232" s="320">
        <v>0.0</v>
      </c>
      <c r="AJ1232" s="320">
        <v>0.0</v>
      </c>
      <c r="AK1232" s="320">
        <v>0.0</v>
      </c>
      <c r="AL1232" s="320">
        <v>0.2703</v>
      </c>
      <c r="AM1232" s="320">
        <v>15.7</v>
      </c>
      <c r="AN1232" s="320">
        <v>6.77</v>
      </c>
      <c r="AO1232" s="329"/>
      <c r="AP1232" s="329"/>
    </row>
    <row r="1233">
      <c r="A1233" s="319" t="s">
        <v>258</v>
      </c>
      <c r="B1233" s="328">
        <v>46135.0</v>
      </c>
      <c r="C1233" s="319" t="s">
        <v>214</v>
      </c>
      <c r="D1233" s="320">
        <v>30989.0</v>
      </c>
      <c r="E1233" s="320">
        <v>42.46</v>
      </c>
      <c r="F1233" s="320">
        <v>7095.02</v>
      </c>
      <c r="G1233" s="320">
        <v>0.229</v>
      </c>
      <c r="H1233" s="320">
        <v>6.4</v>
      </c>
      <c r="I1233" s="320">
        <v>3.5779</v>
      </c>
      <c r="J1233" s="320">
        <v>29.08</v>
      </c>
      <c r="K1233" s="320">
        <v>15.39</v>
      </c>
      <c r="L1233" s="320">
        <v>4.95</v>
      </c>
      <c r="M1233" s="320">
        <v>0.3215</v>
      </c>
      <c r="N1233" s="320">
        <v>0.7517</v>
      </c>
      <c r="O1233" s="320">
        <v>0.5189</v>
      </c>
      <c r="P1233" s="320">
        <v>3.1104</v>
      </c>
      <c r="Q1233" s="320">
        <v>62.61</v>
      </c>
      <c r="R1233" s="320">
        <v>52.66</v>
      </c>
      <c r="S1233" s="320">
        <v>9.95</v>
      </c>
      <c r="T1233" s="320">
        <v>16.23</v>
      </c>
      <c r="U1233" s="320">
        <v>46.39</v>
      </c>
      <c r="V1233" s="320">
        <v>67.99</v>
      </c>
      <c r="W1233" s="320">
        <v>4.4183</v>
      </c>
      <c r="X1233" s="320">
        <v>25.91</v>
      </c>
      <c r="Y1233" s="320">
        <v>85.0</v>
      </c>
      <c r="Z1233" s="320">
        <v>201.0</v>
      </c>
      <c r="AA1233" s="320">
        <v>827.0</v>
      </c>
      <c r="AB1233" s="320">
        <v>49.7292</v>
      </c>
      <c r="AC1233" s="320">
        <v>0.4398</v>
      </c>
      <c r="AD1233" s="320">
        <v>3.4</v>
      </c>
      <c r="AE1233" s="320">
        <v>1.0</v>
      </c>
      <c r="AF1233" s="320">
        <v>2.0</v>
      </c>
      <c r="AG1233" s="320">
        <v>4.0</v>
      </c>
      <c r="AH1233" s="320">
        <v>8.0</v>
      </c>
      <c r="AI1233" s="320">
        <v>64.16</v>
      </c>
      <c r="AJ1233" s="320">
        <v>23.18</v>
      </c>
      <c r="AK1233" s="320">
        <v>6.77</v>
      </c>
      <c r="AL1233" s="320">
        <v>0.221</v>
      </c>
      <c r="AM1233" s="320">
        <v>19.87</v>
      </c>
      <c r="AN1233" s="320">
        <v>32.79</v>
      </c>
      <c r="AO1233" s="320">
        <v>68.99</v>
      </c>
      <c r="AP1233" s="320">
        <v>13.71</v>
      </c>
    </row>
    <row r="1234">
      <c r="A1234" s="319" t="s">
        <v>258</v>
      </c>
      <c r="B1234" s="328">
        <v>46135.0</v>
      </c>
      <c r="C1234" s="319" t="s">
        <v>215</v>
      </c>
      <c r="D1234" s="320">
        <v>14961.0</v>
      </c>
      <c r="E1234" s="320">
        <v>20.5</v>
      </c>
      <c r="F1234" s="320">
        <v>15747.48</v>
      </c>
      <c r="G1234" s="320">
        <v>1.0526</v>
      </c>
      <c r="H1234" s="320">
        <v>21.48</v>
      </c>
      <c r="I1234" s="320">
        <v>4.9012</v>
      </c>
      <c r="J1234" s="320">
        <v>52.86</v>
      </c>
      <c r="K1234" s="320">
        <v>30.15</v>
      </c>
      <c r="L1234" s="320">
        <v>13.26</v>
      </c>
      <c r="M1234" s="320">
        <v>0.4398</v>
      </c>
      <c r="N1234" s="320">
        <v>0.6275</v>
      </c>
      <c r="O1234" s="320">
        <v>0.3636</v>
      </c>
      <c r="P1234" s="320">
        <v>2.2738</v>
      </c>
      <c r="Q1234" s="320">
        <v>169.03</v>
      </c>
      <c r="R1234" s="320">
        <v>143.08</v>
      </c>
      <c r="S1234" s="320">
        <v>25.95</v>
      </c>
      <c r="T1234" s="320">
        <v>71.37</v>
      </c>
      <c r="U1234" s="320">
        <v>97.66</v>
      </c>
      <c r="V1234" s="320">
        <v>170.87</v>
      </c>
      <c r="W1234" s="320">
        <v>5.6671</v>
      </c>
      <c r="X1234" s="320">
        <v>42.22</v>
      </c>
      <c r="Y1234" s="320">
        <v>84.0</v>
      </c>
      <c r="Z1234" s="320">
        <v>182.0</v>
      </c>
      <c r="AA1234" s="320">
        <v>589.0</v>
      </c>
      <c r="AB1234" s="320">
        <v>52.5814</v>
      </c>
      <c r="AC1234" s="320">
        <v>0.5286</v>
      </c>
      <c r="AD1234" s="320">
        <v>8.62</v>
      </c>
      <c r="AE1234" s="320">
        <v>2.0</v>
      </c>
      <c r="AF1234" s="320">
        <v>6.0</v>
      </c>
      <c r="AG1234" s="320">
        <v>12.0</v>
      </c>
      <c r="AH1234" s="320">
        <v>19.0</v>
      </c>
      <c r="AI1234" s="320">
        <v>51.55</v>
      </c>
      <c r="AJ1234" s="320">
        <v>23.35</v>
      </c>
      <c r="AK1234" s="320">
        <v>4.99</v>
      </c>
      <c r="AL1234" s="320">
        <v>0.198</v>
      </c>
      <c r="AM1234" s="320">
        <v>20.25</v>
      </c>
      <c r="AN1234" s="320">
        <v>122.82</v>
      </c>
      <c r="AO1234" s="320">
        <v>74.66</v>
      </c>
      <c r="AP1234" s="320">
        <v>15.12</v>
      </c>
    </row>
    <row r="1235">
      <c r="A1235" s="319" t="s">
        <v>258</v>
      </c>
      <c r="B1235" s="328">
        <v>46135.0</v>
      </c>
      <c r="C1235" s="319" t="s">
        <v>216</v>
      </c>
      <c r="D1235" s="320">
        <v>7357.0</v>
      </c>
      <c r="E1235" s="320">
        <v>10.08</v>
      </c>
      <c r="F1235" s="320">
        <v>17421.05</v>
      </c>
      <c r="G1235" s="320">
        <v>2.368</v>
      </c>
      <c r="H1235" s="320">
        <v>30.96</v>
      </c>
      <c r="I1235" s="320">
        <v>7.6475</v>
      </c>
      <c r="J1235" s="320">
        <v>77.7</v>
      </c>
      <c r="K1235" s="320">
        <v>45.82</v>
      </c>
      <c r="L1235" s="320">
        <v>25.81</v>
      </c>
      <c r="M1235" s="320">
        <v>0.5633</v>
      </c>
      <c r="N1235" s="320">
        <v>0.5115</v>
      </c>
      <c r="O1235" s="320">
        <v>0.2826</v>
      </c>
      <c r="P1235" s="320">
        <v>1.7752</v>
      </c>
      <c r="Q1235" s="320">
        <v>336.01</v>
      </c>
      <c r="R1235" s="320">
        <v>283.79</v>
      </c>
      <c r="S1235" s="320">
        <v>52.21</v>
      </c>
      <c r="T1235" s="320">
        <v>151.56</v>
      </c>
      <c r="U1235" s="320">
        <v>184.45</v>
      </c>
      <c r="V1235" s="320">
        <v>327.63</v>
      </c>
      <c r="W1235" s="320">
        <v>7.1507</v>
      </c>
      <c r="X1235" s="320">
        <v>45.11</v>
      </c>
      <c r="Y1235" s="320">
        <v>88.0</v>
      </c>
      <c r="Z1235" s="320">
        <v>217.0</v>
      </c>
      <c r="AA1235" s="320">
        <v>630.0</v>
      </c>
      <c r="AB1235" s="320">
        <v>54.6216</v>
      </c>
      <c r="AC1235" s="320">
        <v>0.6423</v>
      </c>
      <c r="AD1235" s="320">
        <v>17.61</v>
      </c>
      <c r="AE1235" s="320">
        <v>5.0</v>
      </c>
      <c r="AF1235" s="320">
        <v>13.0</v>
      </c>
      <c r="AG1235" s="320">
        <v>25.0</v>
      </c>
      <c r="AH1235" s="320">
        <v>39.0</v>
      </c>
      <c r="AI1235" s="320">
        <v>55.27</v>
      </c>
      <c r="AJ1235" s="320">
        <v>24.22</v>
      </c>
      <c r="AK1235" s="320">
        <v>8.4</v>
      </c>
      <c r="AL1235" s="320">
        <v>0.1997</v>
      </c>
      <c r="AM1235" s="320">
        <v>19.65</v>
      </c>
      <c r="AN1235" s="320">
        <v>264.15</v>
      </c>
      <c r="AO1235" s="320">
        <v>74.8</v>
      </c>
      <c r="AP1235" s="320">
        <v>14.7</v>
      </c>
    </row>
    <row r="1236">
      <c r="A1236" s="319" t="s">
        <v>258</v>
      </c>
      <c r="B1236" s="328">
        <v>46135.0</v>
      </c>
      <c r="C1236" s="319" t="s">
        <v>217</v>
      </c>
      <c r="D1236" s="320">
        <v>2864.0</v>
      </c>
      <c r="E1236" s="320">
        <v>3.92</v>
      </c>
      <c r="F1236" s="320">
        <v>16171.64</v>
      </c>
      <c r="G1236" s="320">
        <v>5.6465</v>
      </c>
      <c r="H1236" s="320">
        <v>40.4</v>
      </c>
      <c r="I1236" s="320">
        <v>13.9772</v>
      </c>
      <c r="J1236" s="320">
        <v>126.84</v>
      </c>
      <c r="K1236" s="320">
        <v>79.18</v>
      </c>
      <c r="L1236" s="320">
        <v>56.57</v>
      </c>
      <c r="M1236" s="320">
        <v>0.7144</v>
      </c>
      <c r="N1236" s="320">
        <v>0.3778</v>
      </c>
      <c r="O1236" s="320">
        <v>0.2185</v>
      </c>
      <c r="P1236" s="320">
        <v>1.3997</v>
      </c>
      <c r="Q1236" s="320">
        <v>758.17</v>
      </c>
      <c r="R1236" s="320">
        <v>643.48</v>
      </c>
      <c r="S1236" s="320">
        <v>114.69</v>
      </c>
      <c r="T1236" s="320">
        <v>353.22</v>
      </c>
      <c r="U1236" s="320">
        <v>404.95</v>
      </c>
      <c r="V1236" s="320">
        <v>741.57</v>
      </c>
      <c r="W1236" s="320">
        <v>9.3653</v>
      </c>
      <c r="X1236" s="320">
        <v>46.59</v>
      </c>
      <c r="Y1236" s="320">
        <v>100.0</v>
      </c>
      <c r="Z1236" s="320">
        <v>345.0</v>
      </c>
      <c r="AA1236" s="320">
        <v>933.0</v>
      </c>
      <c r="AB1236" s="320">
        <v>57.4906</v>
      </c>
      <c r="AC1236" s="320">
        <v>0.7423</v>
      </c>
      <c r="AD1236" s="320">
        <v>39.25</v>
      </c>
      <c r="AE1236" s="320">
        <v>14.0</v>
      </c>
      <c r="AF1236" s="320">
        <v>31.0</v>
      </c>
      <c r="AG1236" s="320">
        <v>56.0</v>
      </c>
      <c r="AH1236" s="320">
        <v>81.0</v>
      </c>
      <c r="AI1236" s="320">
        <v>53.63</v>
      </c>
      <c r="AJ1236" s="320">
        <v>22.42</v>
      </c>
      <c r="AK1236" s="320">
        <v>5.76</v>
      </c>
      <c r="AL1236" s="320">
        <v>0.1735</v>
      </c>
      <c r="AM1236" s="320">
        <v>19.06</v>
      </c>
      <c r="AN1236" s="320">
        <v>624.42</v>
      </c>
      <c r="AO1236" s="320">
        <v>75.5</v>
      </c>
      <c r="AP1236" s="320">
        <v>14.39</v>
      </c>
    </row>
    <row r="1237">
      <c r="A1237" s="319" t="s">
        <v>258</v>
      </c>
      <c r="B1237" s="328">
        <v>46135.0</v>
      </c>
      <c r="C1237" s="319" t="s">
        <v>218</v>
      </c>
      <c r="D1237" s="320">
        <v>305.0</v>
      </c>
      <c r="E1237" s="320">
        <v>0.42</v>
      </c>
      <c r="F1237" s="320">
        <v>3289.8</v>
      </c>
      <c r="G1237" s="320">
        <v>10.7862</v>
      </c>
      <c r="H1237" s="320">
        <v>42.95</v>
      </c>
      <c r="I1237" s="320">
        <v>25.113</v>
      </c>
      <c r="J1237" s="320">
        <v>247.71</v>
      </c>
      <c r="K1237" s="320">
        <v>161.03</v>
      </c>
      <c r="L1237" s="320">
        <v>133.6</v>
      </c>
      <c r="M1237" s="320">
        <v>0.8297</v>
      </c>
      <c r="N1237" s="320">
        <v>0.2611</v>
      </c>
      <c r="O1237" s="320">
        <v>0.1666</v>
      </c>
      <c r="P1237" s="320">
        <v>1.2053</v>
      </c>
      <c r="Q1237" s="320">
        <v>1464.22</v>
      </c>
      <c r="R1237" s="320">
        <v>1190.81</v>
      </c>
      <c r="S1237" s="320">
        <v>273.41</v>
      </c>
      <c r="T1237" s="320">
        <v>666.25</v>
      </c>
      <c r="U1237" s="320">
        <v>797.97</v>
      </c>
      <c r="V1237" s="320">
        <v>1439.02</v>
      </c>
      <c r="W1237" s="320">
        <v>8.9365</v>
      </c>
      <c r="X1237" s="320">
        <v>45.5</v>
      </c>
      <c r="Y1237" s="320">
        <v>160.0</v>
      </c>
      <c r="Z1237" s="320">
        <v>606.0</v>
      </c>
      <c r="AA1237" s="320">
        <v>2067.0</v>
      </c>
      <c r="AB1237" s="320">
        <v>61.9279</v>
      </c>
      <c r="AC1237" s="320">
        <v>0.8261</v>
      </c>
      <c r="AD1237" s="320">
        <v>91.79</v>
      </c>
      <c r="AE1237" s="320">
        <v>35.0</v>
      </c>
      <c r="AF1237" s="320">
        <v>75.0</v>
      </c>
      <c r="AG1237" s="320">
        <v>130.0</v>
      </c>
      <c r="AH1237" s="320">
        <v>191.0</v>
      </c>
      <c r="AI1237" s="320">
        <v>48.52</v>
      </c>
      <c r="AJ1237" s="320">
        <v>12.79</v>
      </c>
      <c r="AK1237" s="320">
        <v>2.95</v>
      </c>
      <c r="AL1237" s="320">
        <v>0.1639</v>
      </c>
      <c r="AM1237" s="320">
        <v>21.28</v>
      </c>
      <c r="AN1237" s="320">
        <v>1169.53</v>
      </c>
      <c r="AO1237" s="320">
        <v>68.2</v>
      </c>
      <c r="AP1237" s="320">
        <v>14.51</v>
      </c>
    </row>
    <row r="1238">
      <c r="A1238" s="319" t="s">
        <v>258</v>
      </c>
      <c r="B1238" s="328">
        <v>46136.0</v>
      </c>
      <c r="C1238" s="319" t="s">
        <v>257</v>
      </c>
      <c r="D1238" s="320">
        <v>14444.0</v>
      </c>
      <c r="E1238" s="320">
        <v>20.26</v>
      </c>
      <c r="F1238" s="320">
        <v>234.97</v>
      </c>
      <c r="G1238" s="320">
        <v>0.0163</v>
      </c>
      <c r="H1238" s="320">
        <v>0.3</v>
      </c>
      <c r="I1238" s="320">
        <v>5.4644</v>
      </c>
      <c r="J1238" s="320">
        <v>5.68</v>
      </c>
      <c r="K1238" s="320">
        <v>2.42</v>
      </c>
      <c r="L1238" s="320">
        <v>0.06</v>
      </c>
      <c r="M1238" s="320">
        <v>0.0231</v>
      </c>
      <c r="N1238" s="320">
        <v>0.9797</v>
      </c>
      <c r="O1238" s="320">
        <v>0.7765</v>
      </c>
      <c r="P1238" s="320">
        <v>43.3643</v>
      </c>
      <c r="Q1238" s="320">
        <v>31.39</v>
      </c>
      <c r="R1238" s="320">
        <v>31.32</v>
      </c>
      <c r="S1238" s="320">
        <v>0.07</v>
      </c>
      <c r="T1238" s="320">
        <v>1.15</v>
      </c>
      <c r="U1238" s="320">
        <v>30.25</v>
      </c>
      <c r="V1238" s="320">
        <v>1.88</v>
      </c>
      <c r="W1238" s="320">
        <v>0.7773</v>
      </c>
      <c r="X1238" s="320">
        <v>3.65</v>
      </c>
      <c r="Y1238" s="320">
        <v>181.0</v>
      </c>
      <c r="Z1238" s="320">
        <v>1389.0</v>
      </c>
      <c r="AA1238" s="320">
        <v>8279.0</v>
      </c>
      <c r="AB1238" s="320">
        <v>49.8482</v>
      </c>
      <c r="AC1238" s="320">
        <v>0.5188</v>
      </c>
      <c r="AD1238" s="329"/>
      <c r="AE1238" s="329"/>
      <c r="AF1238" s="329"/>
      <c r="AG1238" s="329"/>
      <c r="AH1238" s="329"/>
      <c r="AI1238" s="320">
        <v>0.0</v>
      </c>
      <c r="AJ1238" s="320">
        <v>0.0</v>
      </c>
      <c r="AK1238" s="320">
        <v>0.0</v>
      </c>
      <c r="AL1238" s="320">
        <v>0.2978</v>
      </c>
      <c r="AM1238" s="320">
        <v>17.54</v>
      </c>
      <c r="AN1238" s="320">
        <v>13.78</v>
      </c>
      <c r="AO1238" s="329"/>
      <c r="AP1238" s="329"/>
    </row>
    <row r="1239">
      <c r="A1239" s="319" t="s">
        <v>258</v>
      </c>
      <c r="B1239" s="328">
        <v>46136.0</v>
      </c>
      <c r="C1239" s="319" t="s">
        <v>214</v>
      </c>
      <c r="D1239" s="320">
        <v>31579.0</v>
      </c>
      <c r="E1239" s="320">
        <v>44.29</v>
      </c>
      <c r="F1239" s="320">
        <v>7663.04</v>
      </c>
      <c r="G1239" s="320">
        <v>0.2427</v>
      </c>
      <c r="H1239" s="320">
        <v>7.0</v>
      </c>
      <c r="I1239" s="320">
        <v>3.4659</v>
      </c>
      <c r="J1239" s="320">
        <v>33.41</v>
      </c>
      <c r="K1239" s="320">
        <v>17.84</v>
      </c>
      <c r="L1239" s="320">
        <v>5.56</v>
      </c>
      <c r="M1239" s="320">
        <v>0.3115</v>
      </c>
      <c r="N1239" s="320">
        <v>0.7584</v>
      </c>
      <c r="O1239" s="320">
        <v>0.5128</v>
      </c>
      <c r="P1239" s="320">
        <v>3.2107</v>
      </c>
      <c r="Q1239" s="320">
        <v>87.07</v>
      </c>
      <c r="R1239" s="320">
        <v>76.05</v>
      </c>
      <c r="S1239" s="320">
        <v>11.03</v>
      </c>
      <c r="T1239" s="320">
        <v>17.61</v>
      </c>
      <c r="U1239" s="320">
        <v>69.47</v>
      </c>
      <c r="V1239" s="320">
        <v>80.57</v>
      </c>
      <c r="W1239" s="320">
        <v>4.5163</v>
      </c>
      <c r="X1239" s="320">
        <v>20.22</v>
      </c>
      <c r="Y1239" s="320">
        <v>87.0</v>
      </c>
      <c r="Z1239" s="320">
        <v>211.0</v>
      </c>
      <c r="AA1239" s="320">
        <v>818.0</v>
      </c>
      <c r="AB1239" s="320">
        <v>49.5528</v>
      </c>
      <c r="AC1239" s="320">
        <v>0.4341</v>
      </c>
      <c r="AD1239" s="320">
        <v>3.64</v>
      </c>
      <c r="AE1239" s="320">
        <v>1.0</v>
      </c>
      <c r="AF1239" s="320">
        <v>2.0</v>
      </c>
      <c r="AG1239" s="320">
        <v>5.0</v>
      </c>
      <c r="AH1239" s="320">
        <v>8.0</v>
      </c>
      <c r="AI1239" s="320">
        <v>67.74</v>
      </c>
      <c r="AJ1239" s="320">
        <v>26.25</v>
      </c>
      <c r="AK1239" s="320">
        <v>7.55</v>
      </c>
      <c r="AL1239" s="320">
        <v>0.231</v>
      </c>
      <c r="AM1239" s="320">
        <v>21.16</v>
      </c>
      <c r="AN1239" s="320">
        <v>54.89</v>
      </c>
      <c r="AO1239" s="320">
        <v>69.01</v>
      </c>
      <c r="AP1239" s="320">
        <v>14.6</v>
      </c>
    </row>
    <row r="1240">
      <c r="A1240" s="319" t="s">
        <v>258</v>
      </c>
      <c r="B1240" s="328">
        <v>46136.0</v>
      </c>
      <c r="C1240" s="319" t="s">
        <v>215</v>
      </c>
      <c r="D1240" s="320">
        <v>14746.0</v>
      </c>
      <c r="E1240" s="320">
        <v>20.68</v>
      </c>
      <c r="F1240" s="320">
        <v>16288.99</v>
      </c>
      <c r="G1240" s="320">
        <v>1.1046</v>
      </c>
      <c r="H1240" s="320">
        <v>21.69</v>
      </c>
      <c r="I1240" s="320">
        <v>5.0935</v>
      </c>
      <c r="J1240" s="320">
        <v>61.3</v>
      </c>
      <c r="K1240" s="320">
        <v>35.06</v>
      </c>
      <c r="L1240" s="320">
        <v>14.48</v>
      </c>
      <c r="M1240" s="320">
        <v>0.4129</v>
      </c>
      <c r="N1240" s="320">
        <v>0.6503</v>
      </c>
      <c r="O1240" s="320">
        <v>0.3751</v>
      </c>
      <c r="P1240" s="320">
        <v>2.422</v>
      </c>
      <c r="Q1240" s="320">
        <v>192.13</v>
      </c>
      <c r="R1240" s="320">
        <v>163.3</v>
      </c>
      <c r="S1240" s="320">
        <v>28.83</v>
      </c>
      <c r="T1240" s="320">
        <v>75.25</v>
      </c>
      <c r="U1240" s="320">
        <v>116.88</v>
      </c>
      <c r="V1240" s="320">
        <v>189.31</v>
      </c>
      <c r="W1240" s="320">
        <v>5.3998</v>
      </c>
      <c r="X1240" s="320">
        <v>39.17</v>
      </c>
      <c r="Y1240" s="320">
        <v>85.0</v>
      </c>
      <c r="Z1240" s="320">
        <v>186.0</v>
      </c>
      <c r="AA1240" s="320">
        <v>565.0</v>
      </c>
      <c r="AB1240" s="320">
        <v>52.5041</v>
      </c>
      <c r="AC1240" s="320">
        <v>0.531</v>
      </c>
      <c r="AD1240" s="320">
        <v>9.14</v>
      </c>
      <c r="AE1240" s="320">
        <v>3.0</v>
      </c>
      <c r="AF1240" s="320">
        <v>6.0</v>
      </c>
      <c r="AG1240" s="320">
        <v>12.0</v>
      </c>
      <c r="AH1240" s="320">
        <v>20.0</v>
      </c>
      <c r="AI1240" s="320">
        <v>55.47</v>
      </c>
      <c r="AJ1240" s="320">
        <v>25.34</v>
      </c>
      <c r="AK1240" s="320">
        <v>5.34</v>
      </c>
      <c r="AL1240" s="320">
        <v>0.2092</v>
      </c>
      <c r="AM1240" s="320">
        <v>21.7</v>
      </c>
      <c r="AN1240" s="320">
        <v>141.6</v>
      </c>
      <c r="AO1240" s="320">
        <v>74.93</v>
      </c>
      <c r="AP1240" s="320">
        <v>16.26</v>
      </c>
    </row>
    <row r="1241">
      <c r="A1241" s="319" t="s">
        <v>258</v>
      </c>
      <c r="B1241" s="328">
        <v>46136.0</v>
      </c>
      <c r="C1241" s="319" t="s">
        <v>216</v>
      </c>
      <c r="D1241" s="320">
        <v>7406.0</v>
      </c>
      <c r="E1241" s="320">
        <v>10.39</v>
      </c>
      <c r="F1241" s="320">
        <v>18108.14</v>
      </c>
      <c r="G1241" s="320">
        <v>2.4451</v>
      </c>
      <c r="H1241" s="320">
        <v>32.19</v>
      </c>
      <c r="I1241" s="320">
        <v>7.5957</v>
      </c>
      <c r="J1241" s="320">
        <v>86.02</v>
      </c>
      <c r="K1241" s="320">
        <v>50.91</v>
      </c>
      <c r="L1241" s="320">
        <v>26.87</v>
      </c>
      <c r="M1241" s="320">
        <v>0.5279</v>
      </c>
      <c r="N1241" s="320">
        <v>0.5416</v>
      </c>
      <c r="O1241" s="320">
        <v>0.2981</v>
      </c>
      <c r="P1241" s="320">
        <v>1.8944</v>
      </c>
      <c r="Q1241" s="320">
        <v>330.39</v>
      </c>
      <c r="R1241" s="320">
        <v>275.64</v>
      </c>
      <c r="S1241" s="320">
        <v>54.75</v>
      </c>
      <c r="T1241" s="320">
        <v>156.15</v>
      </c>
      <c r="U1241" s="320">
        <v>174.24</v>
      </c>
      <c r="V1241" s="320">
        <v>337.5</v>
      </c>
      <c r="W1241" s="320">
        <v>6.6299</v>
      </c>
      <c r="X1241" s="320">
        <v>47.26</v>
      </c>
      <c r="Y1241" s="320">
        <v>86.0</v>
      </c>
      <c r="Z1241" s="320">
        <v>214.0</v>
      </c>
      <c r="AA1241" s="320">
        <v>607.0</v>
      </c>
      <c r="AB1241" s="320">
        <v>54.5809</v>
      </c>
      <c r="AC1241" s="320">
        <v>0.6517</v>
      </c>
      <c r="AD1241" s="320">
        <v>17.36</v>
      </c>
      <c r="AE1241" s="320">
        <v>6.0</v>
      </c>
      <c r="AF1241" s="320">
        <v>13.0</v>
      </c>
      <c r="AG1241" s="320">
        <v>25.0</v>
      </c>
      <c r="AH1241" s="320">
        <v>38.0</v>
      </c>
      <c r="AI1241" s="320">
        <v>56.66</v>
      </c>
      <c r="AJ1241" s="320">
        <v>23.35</v>
      </c>
      <c r="AK1241" s="320">
        <v>7.2</v>
      </c>
      <c r="AL1241" s="320">
        <v>0.2129</v>
      </c>
      <c r="AM1241" s="320">
        <v>20.92</v>
      </c>
      <c r="AN1241" s="320">
        <v>254.72</v>
      </c>
      <c r="AO1241" s="320">
        <v>75.0</v>
      </c>
      <c r="AP1241" s="320">
        <v>15.69</v>
      </c>
    </row>
    <row r="1242">
      <c r="A1242" s="319" t="s">
        <v>258</v>
      </c>
      <c r="B1242" s="328">
        <v>46136.0</v>
      </c>
      <c r="C1242" s="319" t="s">
        <v>217</v>
      </c>
      <c r="D1242" s="320">
        <v>2817.0</v>
      </c>
      <c r="E1242" s="320">
        <v>3.95</v>
      </c>
      <c r="F1242" s="320">
        <v>17719.47</v>
      </c>
      <c r="G1242" s="320">
        <v>6.2902</v>
      </c>
      <c r="H1242" s="320">
        <v>46.68</v>
      </c>
      <c r="I1242" s="320">
        <v>13.4749</v>
      </c>
      <c r="J1242" s="320">
        <v>133.16</v>
      </c>
      <c r="K1242" s="320">
        <v>81.56</v>
      </c>
      <c r="L1242" s="320">
        <v>54.89</v>
      </c>
      <c r="M1242" s="320">
        <v>0.6729</v>
      </c>
      <c r="N1242" s="320">
        <v>0.4136</v>
      </c>
      <c r="O1242" s="320">
        <v>0.235</v>
      </c>
      <c r="P1242" s="320">
        <v>1.486</v>
      </c>
      <c r="Q1242" s="320">
        <v>680.75</v>
      </c>
      <c r="R1242" s="320">
        <v>569.84</v>
      </c>
      <c r="S1242" s="320">
        <v>110.91</v>
      </c>
      <c r="T1242" s="320">
        <v>389.31</v>
      </c>
      <c r="U1242" s="320">
        <v>291.44</v>
      </c>
      <c r="V1242" s="320">
        <v>705.2</v>
      </c>
      <c r="W1242" s="320">
        <v>8.6462</v>
      </c>
      <c r="X1242" s="320">
        <v>57.19</v>
      </c>
      <c r="Y1242" s="320">
        <v>93.0</v>
      </c>
      <c r="Z1242" s="320">
        <v>305.0</v>
      </c>
      <c r="AA1242" s="320">
        <v>932.0</v>
      </c>
      <c r="AB1242" s="320">
        <v>57.5069</v>
      </c>
      <c r="AC1242" s="320">
        <v>0.7623</v>
      </c>
      <c r="AD1242" s="320">
        <v>36.33</v>
      </c>
      <c r="AE1242" s="320">
        <v>13.0</v>
      </c>
      <c r="AF1242" s="320">
        <v>29.0</v>
      </c>
      <c r="AG1242" s="320">
        <v>50.0</v>
      </c>
      <c r="AH1242" s="320">
        <v>78.0</v>
      </c>
      <c r="AI1242" s="320">
        <v>50.83</v>
      </c>
      <c r="AJ1242" s="320">
        <v>18.03</v>
      </c>
      <c r="AK1242" s="320">
        <v>4.83</v>
      </c>
      <c r="AL1242" s="320">
        <v>0.1814</v>
      </c>
      <c r="AM1242" s="320">
        <v>21.26</v>
      </c>
      <c r="AN1242" s="320">
        <v>548.58</v>
      </c>
      <c r="AO1242" s="320">
        <v>76.36</v>
      </c>
      <c r="AP1242" s="320">
        <v>16.23</v>
      </c>
    </row>
    <row r="1243">
      <c r="A1243" s="319" t="s">
        <v>258</v>
      </c>
      <c r="B1243" s="328">
        <v>46136.0</v>
      </c>
      <c r="C1243" s="319" t="s">
        <v>218</v>
      </c>
      <c r="D1243" s="320">
        <v>313.0</v>
      </c>
      <c r="E1243" s="320">
        <v>0.44</v>
      </c>
      <c r="F1243" s="320">
        <v>3110.05</v>
      </c>
      <c r="G1243" s="320">
        <v>9.9363</v>
      </c>
      <c r="H1243" s="320">
        <v>44.41</v>
      </c>
      <c r="I1243" s="320">
        <v>22.3745</v>
      </c>
      <c r="J1243" s="320">
        <v>256.55</v>
      </c>
      <c r="K1243" s="320">
        <v>163.61</v>
      </c>
      <c r="L1243" s="320">
        <v>131.23</v>
      </c>
      <c r="M1243" s="320">
        <v>0.8021</v>
      </c>
      <c r="N1243" s="320">
        <v>0.278</v>
      </c>
      <c r="O1243" s="320">
        <v>0.1659</v>
      </c>
      <c r="P1243" s="320">
        <v>1.2468</v>
      </c>
      <c r="Q1243" s="320">
        <v>1258.6</v>
      </c>
      <c r="R1243" s="320">
        <v>988.92</v>
      </c>
      <c r="S1243" s="320">
        <v>269.68</v>
      </c>
      <c r="T1243" s="320">
        <v>629.78</v>
      </c>
      <c r="U1243" s="320">
        <v>628.82</v>
      </c>
      <c r="V1243" s="320">
        <v>1283.55</v>
      </c>
      <c r="W1243" s="320">
        <v>7.8451</v>
      </c>
      <c r="X1243" s="320">
        <v>50.04</v>
      </c>
      <c r="Y1243" s="320">
        <v>169.0</v>
      </c>
      <c r="Z1243" s="320">
        <v>568.0</v>
      </c>
      <c r="AA1243" s="320">
        <v>2094.0</v>
      </c>
      <c r="AB1243" s="320">
        <v>60.8238</v>
      </c>
      <c r="AC1243" s="320">
        <v>0.8298</v>
      </c>
      <c r="AD1243" s="320">
        <v>88.05</v>
      </c>
      <c r="AE1243" s="320">
        <v>29.0</v>
      </c>
      <c r="AF1243" s="320">
        <v>68.0</v>
      </c>
      <c r="AG1243" s="320">
        <v>124.0</v>
      </c>
      <c r="AH1243" s="320">
        <v>187.0</v>
      </c>
      <c r="AI1243" s="320">
        <v>45.69</v>
      </c>
      <c r="AJ1243" s="320">
        <v>12.46</v>
      </c>
      <c r="AK1243" s="320">
        <v>3.51</v>
      </c>
      <c r="AL1243" s="320">
        <v>0.1725</v>
      </c>
      <c r="AM1243" s="320">
        <v>21.5</v>
      </c>
      <c r="AN1243" s="320">
        <v>967.42</v>
      </c>
      <c r="AO1243" s="320">
        <v>68.05</v>
      </c>
      <c r="AP1243" s="320">
        <v>14.63</v>
      </c>
    </row>
    <row r="1244">
      <c r="A1244" s="319" t="s">
        <v>258</v>
      </c>
      <c r="B1244" s="328">
        <v>46137.0</v>
      </c>
      <c r="C1244" s="319" t="s">
        <v>257</v>
      </c>
      <c r="D1244" s="320">
        <v>14974.0</v>
      </c>
      <c r="E1244" s="320">
        <v>21.29</v>
      </c>
      <c r="F1244" s="320">
        <v>102.3</v>
      </c>
      <c r="G1244" s="320">
        <v>0.0068</v>
      </c>
      <c r="H1244" s="320">
        <v>0.24</v>
      </c>
      <c r="I1244" s="320">
        <v>2.8417</v>
      </c>
      <c r="J1244" s="320">
        <v>5.81</v>
      </c>
      <c r="K1244" s="320">
        <v>2.61</v>
      </c>
      <c r="L1244" s="320">
        <v>0.02</v>
      </c>
      <c r="M1244" s="320">
        <v>0.0083</v>
      </c>
      <c r="N1244" s="320">
        <v>0.9925</v>
      </c>
      <c r="O1244" s="320">
        <v>0.9013</v>
      </c>
      <c r="P1244" s="320">
        <v>120.5123</v>
      </c>
      <c r="Q1244" s="320">
        <v>26.71</v>
      </c>
      <c r="R1244" s="320">
        <v>26.64</v>
      </c>
      <c r="S1244" s="320">
        <v>0.07</v>
      </c>
      <c r="T1244" s="320">
        <v>0.52</v>
      </c>
      <c r="U1244" s="320">
        <v>26.19</v>
      </c>
      <c r="V1244" s="320">
        <v>2.24</v>
      </c>
      <c r="W1244" s="320">
        <v>0.858</v>
      </c>
      <c r="X1244" s="320">
        <v>1.96</v>
      </c>
      <c r="Y1244" s="320">
        <v>155.0</v>
      </c>
      <c r="Z1244" s="320">
        <v>1153.0</v>
      </c>
      <c r="AA1244" s="320">
        <v>7712.0</v>
      </c>
      <c r="AB1244" s="320">
        <v>49.736</v>
      </c>
      <c r="AC1244" s="320">
        <v>0.5081</v>
      </c>
      <c r="AD1244" s="329"/>
      <c r="AE1244" s="329"/>
      <c r="AF1244" s="329"/>
      <c r="AG1244" s="329"/>
      <c r="AH1244" s="329"/>
      <c r="AI1244" s="320">
        <v>0.0</v>
      </c>
      <c r="AJ1244" s="320">
        <v>0.0</v>
      </c>
      <c r="AK1244" s="320">
        <v>0.0</v>
      </c>
      <c r="AL1244" s="320">
        <v>0.277</v>
      </c>
      <c r="AM1244" s="320">
        <v>17.87</v>
      </c>
      <c r="AN1244" s="320">
        <v>8.76</v>
      </c>
      <c r="AO1244" s="329"/>
      <c r="AP1244" s="329"/>
    </row>
    <row r="1245">
      <c r="A1245" s="319" t="s">
        <v>258</v>
      </c>
      <c r="B1245" s="328">
        <v>46137.0</v>
      </c>
      <c r="C1245" s="319" t="s">
        <v>214</v>
      </c>
      <c r="D1245" s="320">
        <v>30523.0</v>
      </c>
      <c r="E1245" s="320">
        <v>43.4</v>
      </c>
      <c r="F1245" s="320">
        <v>7807.76</v>
      </c>
      <c r="G1245" s="320">
        <v>0.2558</v>
      </c>
      <c r="H1245" s="320">
        <v>7.21</v>
      </c>
      <c r="I1245" s="320">
        <v>3.549</v>
      </c>
      <c r="J1245" s="320">
        <v>31.4</v>
      </c>
      <c r="K1245" s="320">
        <v>16.84</v>
      </c>
      <c r="L1245" s="320">
        <v>5.43</v>
      </c>
      <c r="M1245" s="320">
        <v>0.3225</v>
      </c>
      <c r="N1245" s="320">
        <v>0.75</v>
      </c>
      <c r="O1245" s="320">
        <v>0.5066</v>
      </c>
      <c r="P1245" s="320">
        <v>3.1011</v>
      </c>
      <c r="Q1245" s="320">
        <v>75.24</v>
      </c>
      <c r="R1245" s="320">
        <v>64.36</v>
      </c>
      <c r="S1245" s="320">
        <v>10.88</v>
      </c>
      <c r="T1245" s="320">
        <v>18.56</v>
      </c>
      <c r="U1245" s="320">
        <v>56.68</v>
      </c>
      <c r="V1245" s="320">
        <v>79.15</v>
      </c>
      <c r="W1245" s="320">
        <v>4.7004</v>
      </c>
      <c r="X1245" s="320">
        <v>24.67</v>
      </c>
      <c r="Y1245" s="320">
        <v>86.0</v>
      </c>
      <c r="Z1245" s="320">
        <v>210.0</v>
      </c>
      <c r="AA1245" s="320">
        <v>855.0</v>
      </c>
      <c r="AB1245" s="320">
        <v>49.5616</v>
      </c>
      <c r="AC1245" s="320">
        <v>0.4407</v>
      </c>
      <c r="AD1245" s="320">
        <v>3.63</v>
      </c>
      <c r="AE1245" s="320">
        <v>1.0</v>
      </c>
      <c r="AF1245" s="320">
        <v>2.0</v>
      </c>
      <c r="AG1245" s="320">
        <v>5.0</v>
      </c>
      <c r="AH1245" s="320">
        <v>8.0</v>
      </c>
      <c r="AI1245" s="320">
        <v>66.41</v>
      </c>
      <c r="AJ1245" s="320">
        <v>25.43</v>
      </c>
      <c r="AK1245" s="320">
        <v>7.55</v>
      </c>
      <c r="AL1245" s="320">
        <v>0.2225</v>
      </c>
      <c r="AM1245" s="320">
        <v>23.24</v>
      </c>
      <c r="AN1245" s="320">
        <v>41.12</v>
      </c>
      <c r="AO1245" s="320">
        <v>68.41</v>
      </c>
      <c r="AP1245" s="320">
        <v>15.9</v>
      </c>
    </row>
    <row r="1246">
      <c r="A1246" s="319" t="s">
        <v>258</v>
      </c>
      <c r="B1246" s="328">
        <v>46137.0</v>
      </c>
      <c r="C1246" s="319" t="s">
        <v>215</v>
      </c>
      <c r="D1246" s="320">
        <v>14367.0</v>
      </c>
      <c r="E1246" s="320">
        <v>20.43</v>
      </c>
      <c r="F1246" s="320">
        <v>15479.68</v>
      </c>
      <c r="G1246" s="320">
        <v>1.0774</v>
      </c>
      <c r="H1246" s="320">
        <v>21.86</v>
      </c>
      <c r="I1246" s="320">
        <v>4.9283</v>
      </c>
      <c r="J1246" s="320">
        <v>57.65</v>
      </c>
      <c r="K1246" s="320">
        <v>32.89</v>
      </c>
      <c r="L1246" s="320">
        <v>14.06</v>
      </c>
      <c r="M1246" s="320">
        <v>0.4276</v>
      </c>
      <c r="N1246" s="320">
        <v>0.6383</v>
      </c>
      <c r="O1246" s="320">
        <v>0.3672</v>
      </c>
      <c r="P1246" s="320">
        <v>2.3388</v>
      </c>
      <c r="Q1246" s="320">
        <v>179.1</v>
      </c>
      <c r="R1246" s="320">
        <v>150.65</v>
      </c>
      <c r="S1246" s="320">
        <v>28.46</v>
      </c>
      <c r="T1246" s="320">
        <v>72.37</v>
      </c>
      <c r="U1246" s="320">
        <v>106.74</v>
      </c>
      <c r="V1246" s="320">
        <v>184.85</v>
      </c>
      <c r="W1246" s="320">
        <v>5.6203</v>
      </c>
      <c r="X1246" s="320">
        <v>40.41</v>
      </c>
      <c r="Y1246" s="320">
        <v>83.0</v>
      </c>
      <c r="Z1246" s="320">
        <v>192.0</v>
      </c>
      <c r="AA1246" s="320">
        <v>598.0</v>
      </c>
      <c r="AB1246" s="320">
        <v>52.5587</v>
      </c>
      <c r="AC1246" s="320">
        <v>0.5437</v>
      </c>
      <c r="AD1246" s="320">
        <v>9.25</v>
      </c>
      <c r="AE1246" s="320">
        <v>3.0</v>
      </c>
      <c r="AF1246" s="320">
        <v>6.0</v>
      </c>
      <c r="AG1246" s="320">
        <v>13.0</v>
      </c>
      <c r="AH1246" s="320">
        <v>20.0</v>
      </c>
      <c r="AI1246" s="320">
        <v>55.54</v>
      </c>
      <c r="AJ1246" s="320">
        <v>25.85</v>
      </c>
      <c r="AK1246" s="320">
        <v>5.56</v>
      </c>
      <c r="AL1246" s="320">
        <v>0.1959</v>
      </c>
      <c r="AM1246" s="320">
        <v>23.77</v>
      </c>
      <c r="AN1246" s="320">
        <v>126.87</v>
      </c>
      <c r="AO1246" s="320">
        <v>74.62</v>
      </c>
      <c r="AP1246" s="320">
        <v>17.74</v>
      </c>
    </row>
    <row r="1247">
      <c r="A1247" s="319" t="s">
        <v>258</v>
      </c>
      <c r="B1247" s="328">
        <v>46137.0</v>
      </c>
      <c r="C1247" s="319" t="s">
        <v>216</v>
      </c>
      <c r="D1247" s="320">
        <v>7260.0</v>
      </c>
      <c r="E1247" s="320">
        <v>10.32</v>
      </c>
      <c r="F1247" s="320">
        <v>17646.27</v>
      </c>
      <c r="G1247" s="320">
        <v>2.4306</v>
      </c>
      <c r="H1247" s="320">
        <v>32.09</v>
      </c>
      <c r="I1247" s="320">
        <v>7.5735</v>
      </c>
      <c r="J1247" s="320">
        <v>80.46</v>
      </c>
      <c r="K1247" s="320">
        <v>47.04</v>
      </c>
      <c r="L1247" s="320">
        <v>26.21</v>
      </c>
      <c r="M1247" s="320">
        <v>0.5571</v>
      </c>
      <c r="N1247" s="320">
        <v>0.5168</v>
      </c>
      <c r="O1247" s="320">
        <v>0.286</v>
      </c>
      <c r="P1247" s="320">
        <v>1.795</v>
      </c>
      <c r="Q1247" s="320">
        <v>329.16</v>
      </c>
      <c r="R1247" s="320">
        <v>276.06</v>
      </c>
      <c r="S1247" s="320">
        <v>53.1</v>
      </c>
      <c r="T1247" s="320">
        <v>154.12</v>
      </c>
      <c r="U1247" s="320">
        <v>175.04</v>
      </c>
      <c r="V1247" s="320">
        <v>332.8</v>
      </c>
      <c r="W1247" s="320">
        <v>7.0751</v>
      </c>
      <c r="X1247" s="320">
        <v>46.82</v>
      </c>
      <c r="Y1247" s="320">
        <v>89.0</v>
      </c>
      <c r="Z1247" s="320">
        <v>233.0</v>
      </c>
      <c r="AA1247" s="320">
        <v>670.0</v>
      </c>
      <c r="AB1247" s="320">
        <v>54.6033</v>
      </c>
      <c r="AC1247" s="320">
        <v>0.6589</v>
      </c>
      <c r="AD1247" s="320">
        <v>17.58</v>
      </c>
      <c r="AE1247" s="320">
        <v>6.0</v>
      </c>
      <c r="AF1247" s="320">
        <v>13.0</v>
      </c>
      <c r="AG1247" s="320">
        <v>25.0</v>
      </c>
      <c r="AH1247" s="320">
        <v>38.0</v>
      </c>
      <c r="AI1247" s="320">
        <v>56.34</v>
      </c>
      <c r="AJ1247" s="320">
        <v>24.23</v>
      </c>
      <c r="AK1247" s="320">
        <v>7.26</v>
      </c>
      <c r="AL1247" s="320">
        <v>0.2028</v>
      </c>
      <c r="AM1247" s="320">
        <v>22.35</v>
      </c>
      <c r="AN1247" s="320">
        <v>253.71</v>
      </c>
      <c r="AO1247" s="320">
        <v>73.93</v>
      </c>
      <c r="AP1247" s="320">
        <v>16.52</v>
      </c>
    </row>
    <row r="1248">
      <c r="A1248" s="319" t="s">
        <v>258</v>
      </c>
      <c r="B1248" s="328">
        <v>46137.0</v>
      </c>
      <c r="C1248" s="319" t="s">
        <v>217</v>
      </c>
      <c r="D1248" s="320">
        <v>2872.0</v>
      </c>
      <c r="E1248" s="320">
        <v>4.08</v>
      </c>
      <c r="F1248" s="320">
        <v>15998.71</v>
      </c>
      <c r="G1248" s="320">
        <v>5.5706</v>
      </c>
      <c r="H1248" s="320">
        <v>42.9</v>
      </c>
      <c r="I1248" s="320">
        <v>12.986</v>
      </c>
      <c r="J1248" s="320">
        <v>126.3</v>
      </c>
      <c r="K1248" s="320">
        <v>77.79</v>
      </c>
      <c r="L1248" s="320">
        <v>54.45</v>
      </c>
      <c r="M1248" s="320">
        <v>0.7</v>
      </c>
      <c r="N1248" s="320">
        <v>0.3887</v>
      </c>
      <c r="O1248" s="320">
        <v>0.2212</v>
      </c>
      <c r="P1248" s="320">
        <v>1.4286</v>
      </c>
      <c r="Q1248" s="320">
        <v>682.08</v>
      </c>
      <c r="R1248" s="320">
        <v>572.56</v>
      </c>
      <c r="S1248" s="320">
        <v>109.52</v>
      </c>
      <c r="T1248" s="320">
        <v>346.99</v>
      </c>
      <c r="U1248" s="320">
        <v>335.09</v>
      </c>
      <c r="V1248" s="320">
        <v>688.7</v>
      </c>
      <c r="W1248" s="320">
        <v>8.8537</v>
      </c>
      <c r="X1248" s="320">
        <v>50.87</v>
      </c>
      <c r="Y1248" s="320">
        <v>101.0</v>
      </c>
      <c r="Z1248" s="320">
        <v>343.0</v>
      </c>
      <c r="AA1248" s="320">
        <v>1035.0</v>
      </c>
      <c r="AB1248" s="320">
        <v>57.4001</v>
      </c>
      <c r="AC1248" s="320">
        <v>0.762</v>
      </c>
      <c r="AD1248" s="320">
        <v>37.53</v>
      </c>
      <c r="AE1248" s="320">
        <v>12.0</v>
      </c>
      <c r="AF1248" s="320">
        <v>30.0</v>
      </c>
      <c r="AG1248" s="320">
        <v>53.0</v>
      </c>
      <c r="AH1248" s="320">
        <v>79.0</v>
      </c>
      <c r="AI1248" s="320">
        <v>52.89</v>
      </c>
      <c r="AJ1248" s="320">
        <v>20.4</v>
      </c>
      <c r="AK1248" s="320">
        <v>4.98</v>
      </c>
      <c r="AL1248" s="320">
        <v>0.1932</v>
      </c>
      <c r="AM1248" s="320">
        <v>22.32</v>
      </c>
      <c r="AN1248" s="320">
        <v>550.24</v>
      </c>
      <c r="AO1248" s="320">
        <v>73.47</v>
      </c>
      <c r="AP1248" s="320">
        <v>16.4</v>
      </c>
    </row>
    <row r="1249">
      <c r="A1249" s="319" t="s">
        <v>258</v>
      </c>
      <c r="B1249" s="328">
        <v>46137.0</v>
      </c>
      <c r="C1249" s="319" t="s">
        <v>218</v>
      </c>
      <c r="D1249" s="320">
        <v>331.0</v>
      </c>
      <c r="E1249" s="320">
        <v>0.47</v>
      </c>
      <c r="F1249" s="320">
        <v>4150.55</v>
      </c>
      <c r="G1249" s="320">
        <v>12.5394</v>
      </c>
      <c r="H1249" s="320">
        <v>45.62</v>
      </c>
      <c r="I1249" s="320">
        <v>27.4871</v>
      </c>
      <c r="J1249" s="320">
        <v>244.3</v>
      </c>
      <c r="K1249" s="320">
        <v>157.15</v>
      </c>
      <c r="L1249" s="320">
        <v>129.93</v>
      </c>
      <c r="M1249" s="320">
        <v>0.8268</v>
      </c>
      <c r="N1249" s="320">
        <v>0.2649</v>
      </c>
      <c r="O1249" s="320">
        <v>0.1692</v>
      </c>
      <c r="P1249" s="320">
        <v>1.2095</v>
      </c>
      <c r="Q1249" s="320">
        <v>1430.64</v>
      </c>
      <c r="R1249" s="320">
        <v>1164.83</v>
      </c>
      <c r="S1249" s="320">
        <v>265.82</v>
      </c>
      <c r="T1249" s="320">
        <v>746.84</v>
      </c>
      <c r="U1249" s="320">
        <v>683.8</v>
      </c>
      <c r="V1249" s="320">
        <v>1442.3</v>
      </c>
      <c r="W1249" s="320">
        <v>9.1781</v>
      </c>
      <c r="X1249" s="320">
        <v>52.2</v>
      </c>
      <c r="Y1249" s="320">
        <v>150.0</v>
      </c>
      <c r="Z1249" s="320">
        <v>575.0</v>
      </c>
      <c r="AA1249" s="320">
        <v>2013.0</v>
      </c>
      <c r="AB1249" s="320">
        <v>61.3779</v>
      </c>
      <c r="AC1249" s="320">
        <v>0.8391</v>
      </c>
      <c r="AD1249" s="320">
        <v>89.72</v>
      </c>
      <c r="AE1249" s="320">
        <v>30.0</v>
      </c>
      <c r="AF1249" s="320">
        <v>68.0</v>
      </c>
      <c r="AG1249" s="320">
        <v>127.0</v>
      </c>
      <c r="AH1249" s="320">
        <v>182.0</v>
      </c>
      <c r="AI1249" s="320">
        <v>43.5</v>
      </c>
      <c r="AJ1249" s="320">
        <v>10.88</v>
      </c>
      <c r="AK1249" s="320">
        <v>3.02</v>
      </c>
      <c r="AL1249" s="320">
        <v>0.1601</v>
      </c>
      <c r="AM1249" s="320">
        <v>18.25</v>
      </c>
      <c r="AN1249" s="320">
        <v>1146.58</v>
      </c>
      <c r="AO1249" s="320">
        <v>70.05</v>
      </c>
      <c r="AP1249" s="320">
        <v>12.78</v>
      </c>
    </row>
    <row r="1250">
      <c r="A1250" s="319" t="s">
        <v>258</v>
      </c>
      <c r="B1250" s="328">
        <v>46138.0</v>
      </c>
      <c r="C1250" s="319" t="s">
        <v>257</v>
      </c>
      <c r="D1250" s="320">
        <v>15008.0</v>
      </c>
      <c r="E1250" s="320">
        <v>21.0</v>
      </c>
      <c r="F1250" s="320">
        <v>101.36</v>
      </c>
      <c r="G1250" s="320">
        <v>0.0068</v>
      </c>
      <c r="H1250" s="320">
        <v>0.2</v>
      </c>
      <c r="I1250" s="320">
        <v>3.3787</v>
      </c>
      <c r="J1250" s="320">
        <v>6.35</v>
      </c>
      <c r="K1250" s="320">
        <v>2.86</v>
      </c>
      <c r="L1250" s="320">
        <v>0.02</v>
      </c>
      <c r="M1250" s="320">
        <v>0.0077</v>
      </c>
      <c r="N1250" s="320">
        <v>0.993</v>
      </c>
      <c r="O1250" s="320">
        <v>0.8943</v>
      </c>
      <c r="P1250" s="320">
        <v>130.4954</v>
      </c>
      <c r="Q1250" s="320">
        <v>24.21</v>
      </c>
      <c r="R1250" s="320">
        <v>24.17</v>
      </c>
      <c r="S1250" s="320">
        <v>0.04</v>
      </c>
      <c r="T1250" s="320">
        <v>0.54</v>
      </c>
      <c r="U1250" s="320">
        <v>23.67</v>
      </c>
      <c r="V1250" s="320">
        <v>1.91</v>
      </c>
      <c r="W1250" s="320">
        <v>0.6685</v>
      </c>
      <c r="X1250" s="320">
        <v>2.23</v>
      </c>
      <c r="Y1250" s="320">
        <v>148.0</v>
      </c>
      <c r="Z1250" s="320">
        <v>1214.0</v>
      </c>
      <c r="AA1250" s="320">
        <v>8002.0</v>
      </c>
      <c r="AB1250" s="320">
        <v>49.8908</v>
      </c>
      <c r="AC1250" s="320">
        <v>0.5172</v>
      </c>
      <c r="AD1250" s="329"/>
      <c r="AE1250" s="329"/>
      <c r="AF1250" s="329"/>
      <c r="AG1250" s="329"/>
      <c r="AH1250" s="329"/>
      <c r="AI1250" s="320">
        <v>0.0</v>
      </c>
      <c r="AJ1250" s="320">
        <v>0.0</v>
      </c>
      <c r="AK1250" s="320">
        <v>0.0</v>
      </c>
      <c r="AL1250" s="320">
        <v>0.2735</v>
      </c>
      <c r="AM1250" s="320">
        <v>18.29</v>
      </c>
      <c r="AN1250" s="320">
        <v>5.88</v>
      </c>
      <c r="AO1250" s="329"/>
      <c r="AP1250" s="329"/>
    </row>
    <row r="1251">
      <c r="A1251" s="319" t="s">
        <v>258</v>
      </c>
      <c r="B1251" s="328">
        <v>46138.0</v>
      </c>
      <c r="C1251" s="319" t="s">
        <v>214</v>
      </c>
      <c r="D1251" s="320">
        <v>30856.0</v>
      </c>
      <c r="E1251" s="320">
        <v>43.17</v>
      </c>
      <c r="F1251" s="320">
        <v>7216.15</v>
      </c>
      <c r="G1251" s="320">
        <v>0.2339</v>
      </c>
      <c r="H1251" s="320">
        <v>6.74</v>
      </c>
      <c r="I1251" s="320">
        <v>3.4676</v>
      </c>
      <c r="J1251" s="320">
        <v>35.57</v>
      </c>
      <c r="K1251" s="320">
        <v>19.45</v>
      </c>
      <c r="L1251" s="320">
        <v>5.52</v>
      </c>
      <c r="M1251" s="320">
        <v>0.284</v>
      </c>
      <c r="N1251" s="320">
        <v>0.7777</v>
      </c>
      <c r="O1251" s="320">
        <v>0.5273</v>
      </c>
      <c r="P1251" s="320">
        <v>3.5216</v>
      </c>
      <c r="Q1251" s="320">
        <v>65.76</v>
      </c>
      <c r="R1251" s="320">
        <v>54.71</v>
      </c>
      <c r="S1251" s="320">
        <v>11.05</v>
      </c>
      <c r="T1251" s="320">
        <v>16.95</v>
      </c>
      <c r="U1251" s="320">
        <v>48.81</v>
      </c>
      <c r="V1251" s="320">
        <v>75.2</v>
      </c>
      <c r="W1251" s="320">
        <v>3.8665</v>
      </c>
      <c r="X1251" s="320">
        <v>25.77</v>
      </c>
      <c r="Y1251" s="320">
        <v>83.0</v>
      </c>
      <c r="Z1251" s="320">
        <v>196.0</v>
      </c>
      <c r="AA1251" s="320">
        <v>843.0</v>
      </c>
      <c r="AB1251" s="320">
        <v>49.4818</v>
      </c>
      <c r="AC1251" s="320">
        <v>0.439</v>
      </c>
      <c r="AD1251" s="320">
        <v>3.55</v>
      </c>
      <c r="AE1251" s="320">
        <v>1.0</v>
      </c>
      <c r="AF1251" s="320">
        <v>2.0</v>
      </c>
      <c r="AG1251" s="320">
        <v>5.0</v>
      </c>
      <c r="AH1251" s="320">
        <v>8.0</v>
      </c>
      <c r="AI1251" s="320">
        <v>66.82</v>
      </c>
      <c r="AJ1251" s="320">
        <v>24.69</v>
      </c>
      <c r="AK1251" s="320">
        <v>7.0</v>
      </c>
      <c r="AL1251" s="320">
        <v>0.2311</v>
      </c>
      <c r="AM1251" s="320">
        <v>21.68</v>
      </c>
      <c r="AN1251" s="320">
        <v>33.04</v>
      </c>
      <c r="AO1251" s="320">
        <v>68.16</v>
      </c>
      <c r="AP1251" s="320">
        <v>14.78</v>
      </c>
    </row>
    <row r="1252">
      <c r="A1252" s="319" t="s">
        <v>258</v>
      </c>
      <c r="B1252" s="328">
        <v>46138.0</v>
      </c>
      <c r="C1252" s="319" t="s">
        <v>215</v>
      </c>
      <c r="D1252" s="320">
        <v>14724.0</v>
      </c>
      <c r="E1252" s="320">
        <v>20.6</v>
      </c>
      <c r="F1252" s="320">
        <v>15031.43</v>
      </c>
      <c r="G1252" s="320">
        <v>1.0209</v>
      </c>
      <c r="H1252" s="320">
        <v>21.81</v>
      </c>
      <c r="I1252" s="320">
        <v>4.6812</v>
      </c>
      <c r="J1252" s="320">
        <v>63.42</v>
      </c>
      <c r="K1252" s="320">
        <v>37.09</v>
      </c>
      <c r="L1252" s="320">
        <v>14.3</v>
      </c>
      <c r="M1252" s="320">
        <v>0.3855</v>
      </c>
      <c r="N1252" s="320">
        <v>0.6703</v>
      </c>
      <c r="O1252" s="320">
        <v>0.3846</v>
      </c>
      <c r="P1252" s="320">
        <v>2.5938</v>
      </c>
      <c r="Q1252" s="320">
        <v>154.47</v>
      </c>
      <c r="R1252" s="320">
        <v>125.67</v>
      </c>
      <c r="S1252" s="320">
        <v>28.8</v>
      </c>
      <c r="T1252" s="320">
        <v>69.03</v>
      </c>
      <c r="U1252" s="320">
        <v>85.43</v>
      </c>
      <c r="V1252" s="320">
        <v>171.9</v>
      </c>
      <c r="W1252" s="320">
        <v>4.6344</v>
      </c>
      <c r="X1252" s="320">
        <v>44.69</v>
      </c>
      <c r="Y1252" s="320">
        <v>80.0</v>
      </c>
      <c r="Z1252" s="320">
        <v>168.0</v>
      </c>
      <c r="AA1252" s="320">
        <v>569.0</v>
      </c>
      <c r="AB1252" s="320">
        <v>52.3711</v>
      </c>
      <c r="AC1252" s="320">
        <v>0.545</v>
      </c>
      <c r="AD1252" s="320">
        <v>8.95</v>
      </c>
      <c r="AE1252" s="320">
        <v>3.0</v>
      </c>
      <c r="AF1252" s="320">
        <v>6.0</v>
      </c>
      <c r="AG1252" s="320">
        <v>12.0</v>
      </c>
      <c r="AH1252" s="320">
        <v>20.0</v>
      </c>
      <c r="AI1252" s="320">
        <v>54.15</v>
      </c>
      <c r="AJ1252" s="320">
        <v>24.67</v>
      </c>
      <c r="AK1252" s="320">
        <v>5.09</v>
      </c>
      <c r="AL1252" s="320">
        <v>0.2035</v>
      </c>
      <c r="AM1252" s="320">
        <v>21.86</v>
      </c>
      <c r="AN1252" s="320">
        <v>103.81</v>
      </c>
      <c r="AO1252" s="320">
        <v>74.21</v>
      </c>
      <c r="AP1252" s="320">
        <v>16.22</v>
      </c>
    </row>
    <row r="1253">
      <c r="A1253" s="319" t="s">
        <v>258</v>
      </c>
      <c r="B1253" s="328">
        <v>46138.0</v>
      </c>
      <c r="C1253" s="319" t="s">
        <v>216</v>
      </c>
      <c r="D1253" s="320">
        <v>7542.0</v>
      </c>
      <c r="E1253" s="320">
        <v>10.55</v>
      </c>
      <c r="F1253" s="320">
        <v>20623.76</v>
      </c>
      <c r="G1253" s="320">
        <v>2.7345</v>
      </c>
      <c r="H1253" s="320">
        <v>33.12</v>
      </c>
      <c r="I1253" s="320">
        <v>8.2561</v>
      </c>
      <c r="J1253" s="320">
        <v>88.04</v>
      </c>
      <c r="K1253" s="320">
        <v>52.46</v>
      </c>
      <c r="L1253" s="320">
        <v>27.63</v>
      </c>
      <c r="M1253" s="320">
        <v>0.5268</v>
      </c>
      <c r="N1253" s="320">
        <v>0.5404</v>
      </c>
      <c r="O1253" s="320">
        <v>0.2934</v>
      </c>
      <c r="P1253" s="320">
        <v>1.8982</v>
      </c>
      <c r="Q1253" s="320">
        <v>316.62</v>
      </c>
      <c r="R1253" s="320">
        <v>260.57</v>
      </c>
      <c r="S1253" s="320">
        <v>56.05</v>
      </c>
      <c r="T1253" s="320">
        <v>174.48</v>
      </c>
      <c r="U1253" s="320">
        <v>142.14</v>
      </c>
      <c r="V1253" s="320">
        <v>337.24</v>
      </c>
      <c r="W1253" s="320">
        <v>6.4291</v>
      </c>
      <c r="X1253" s="320">
        <v>55.11</v>
      </c>
      <c r="Y1253" s="320">
        <v>84.0</v>
      </c>
      <c r="Z1253" s="320">
        <v>198.0</v>
      </c>
      <c r="AA1253" s="320">
        <v>630.0</v>
      </c>
      <c r="AB1253" s="320">
        <v>54.5172</v>
      </c>
      <c r="AC1253" s="320">
        <v>0.6646</v>
      </c>
      <c r="AD1253" s="320">
        <v>18.0</v>
      </c>
      <c r="AE1253" s="320">
        <v>6.0</v>
      </c>
      <c r="AF1253" s="320">
        <v>13.0</v>
      </c>
      <c r="AG1253" s="320">
        <v>25.0</v>
      </c>
      <c r="AH1253" s="320">
        <v>39.0</v>
      </c>
      <c r="AI1253" s="320">
        <v>57.13</v>
      </c>
      <c r="AJ1253" s="320">
        <v>24.73</v>
      </c>
      <c r="AK1253" s="320">
        <v>8.64</v>
      </c>
      <c r="AL1253" s="320">
        <v>0.2283</v>
      </c>
      <c r="AM1253" s="320">
        <v>21.66</v>
      </c>
      <c r="AN1253" s="320">
        <v>238.91</v>
      </c>
      <c r="AO1253" s="320">
        <v>71.84</v>
      </c>
      <c r="AP1253" s="320">
        <v>15.56</v>
      </c>
    </row>
    <row r="1254">
      <c r="A1254" s="319" t="s">
        <v>258</v>
      </c>
      <c r="B1254" s="328">
        <v>46138.0</v>
      </c>
      <c r="C1254" s="319" t="s">
        <v>217</v>
      </c>
      <c r="D1254" s="320">
        <v>3001.0</v>
      </c>
      <c r="E1254" s="320">
        <v>4.2</v>
      </c>
      <c r="F1254" s="320">
        <v>17696.63</v>
      </c>
      <c r="G1254" s="320">
        <v>5.8969</v>
      </c>
      <c r="H1254" s="320">
        <v>44.29</v>
      </c>
      <c r="I1254" s="320">
        <v>13.3157</v>
      </c>
      <c r="J1254" s="320">
        <v>133.07</v>
      </c>
      <c r="K1254" s="320">
        <v>84.09</v>
      </c>
      <c r="L1254" s="320">
        <v>56.46</v>
      </c>
      <c r="M1254" s="320">
        <v>0.6715</v>
      </c>
      <c r="N1254" s="320">
        <v>0.4083</v>
      </c>
      <c r="O1254" s="320">
        <v>0.225</v>
      </c>
      <c r="P1254" s="320">
        <v>1.4892</v>
      </c>
      <c r="Q1254" s="320">
        <v>622.05</v>
      </c>
      <c r="R1254" s="320">
        <v>508.01</v>
      </c>
      <c r="S1254" s="320">
        <v>114.05</v>
      </c>
      <c r="T1254" s="320">
        <v>368.02</v>
      </c>
      <c r="U1254" s="320">
        <v>254.04</v>
      </c>
      <c r="V1254" s="320">
        <v>667.59</v>
      </c>
      <c r="W1254" s="320">
        <v>7.9393</v>
      </c>
      <c r="X1254" s="320">
        <v>59.16</v>
      </c>
      <c r="Y1254" s="320">
        <v>93.0</v>
      </c>
      <c r="Z1254" s="320">
        <v>281.0</v>
      </c>
      <c r="AA1254" s="320">
        <v>892.0</v>
      </c>
      <c r="AB1254" s="320">
        <v>57.338</v>
      </c>
      <c r="AC1254" s="320">
        <v>0.7612</v>
      </c>
      <c r="AD1254" s="320">
        <v>37.09</v>
      </c>
      <c r="AE1254" s="320">
        <v>12.0</v>
      </c>
      <c r="AF1254" s="320">
        <v>28.0</v>
      </c>
      <c r="AG1254" s="320">
        <v>52.0</v>
      </c>
      <c r="AH1254" s="320">
        <v>80.0</v>
      </c>
      <c r="AI1254" s="320">
        <v>50.25</v>
      </c>
      <c r="AJ1254" s="320">
        <v>19.59</v>
      </c>
      <c r="AK1254" s="320">
        <v>5.3</v>
      </c>
      <c r="AL1254" s="320">
        <v>0.2129</v>
      </c>
      <c r="AM1254" s="320">
        <v>20.4</v>
      </c>
      <c r="AN1254" s="320">
        <v>487.6</v>
      </c>
      <c r="AO1254" s="320">
        <v>71.77</v>
      </c>
      <c r="AP1254" s="320">
        <v>14.64</v>
      </c>
    </row>
    <row r="1255">
      <c r="A1255" s="319" t="s">
        <v>258</v>
      </c>
      <c r="B1255" s="328">
        <v>46138.0</v>
      </c>
      <c r="C1255" s="319" t="s">
        <v>218</v>
      </c>
      <c r="D1255" s="320">
        <v>350.0</v>
      </c>
      <c r="E1255" s="320">
        <v>0.49</v>
      </c>
      <c r="F1255" s="320">
        <v>3975.88</v>
      </c>
      <c r="G1255" s="320">
        <v>11.3597</v>
      </c>
      <c r="H1255" s="320">
        <v>49.14</v>
      </c>
      <c r="I1255" s="320">
        <v>23.1156</v>
      </c>
      <c r="J1255" s="320">
        <v>248.03</v>
      </c>
      <c r="K1255" s="320">
        <v>162.45</v>
      </c>
      <c r="L1255" s="320">
        <v>131.09</v>
      </c>
      <c r="M1255" s="320">
        <v>0.8069</v>
      </c>
      <c r="N1255" s="320">
        <v>0.2802</v>
      </c>
      <c r="O1255" s="320">
        <v>0.172</v>
      </c>
      <c r="P1255" s="320">
        <v>1.2393</v>
      </c>
      <c r="Q1255" s="320">
        <v>1246.77</v>
      </c>
      <c r="R1255" s="320">
        <v>979.76</v>
      </c>
      <c r="S1255" s="320">
        <v>267.01</v>
      </c>
      <c r="T1255" s="320">
        <v>714.73</v>
      </c>
      <c r="U1255" s="320">
        <v>532.04</v>
      </c>
      <c r="V1255" s="320">
        <v>1308.43</v>
      </c>
      <c r="W1255" s="320">
        <v>8.0541</v>
      </c>
      <c r="X1255" s="320">
        <v>57.33</v>
      </c>
      <c r="Y1255" s="320">
        <v>127.0</v>
      </c>
      <c r="Z1255" s="320">
        <v>492.0</v>
      </c>
      <c r="AA1255" s="320">
        <v>2030.0</v>
      </c>
      <c r="AB1255" s="320">
        <v>61.1132</v>
      </c>
      <c r="AC1255" s="320">
        <v>0.8463</v>
      </c>
      <c r="AD1255" s="320">
        <v>85.81</v>
      </c>
      <c r="AE1255" s="320">
        <v>27.0</v>
      </c>
      <c r="AF1255" s="320">
        <v>66.0</v>
      </c>
      <c r="AG1255" s="320">
        <v>120.0</v>
      </c>
      <c r="AH1255" s="320">
        <v>182.0</v>
      </c>
      <c r="AI1255" s="320">
        <v>42.57</v>
      </c>
      <c r="AJ1255" s="320">
        <v>11.71</v>
      </c>
      <c r="AK1255" s="320">
        <v>3.14</v>
      </c>
      <c r="AL1255" s="320">
        <v>0.1714</v>
      </c>
      <c r="AM1255" s="320">
        <v>20.79</v>
      </c>
      <c r="AN1255" s="320">
        <v>958.97</v>
      </c>
      <c r="AO1255" s="320">
        <v>68.49</v>
      </c>
      <c r="AP1255" s="320">
        <v>14.24</v>
      </c>
    </row>
    <row r="1256">
      <c r="A1256" s="319" t="s">
        <v>258</v>
      </c>
      <c r="B1256" s="328">
        <v>46139.0</v>
      </c>
      <c r="C1256" s="319" t="s">
        <v>257</v>
      </c>
      <c r="D1256" s="320">
        <v>14867.0</v>
      </c>
      <c r="E1256" s="320">
        <v>19.92</v>
      </c>
      <c r="F1256" s="320">
        <v>155.62</v>
      </c>
      <c r="G1256" s="320">
        <v>0.0105</v>
      </c>
      <c r="H1256" s="320">
        <v>0.23</v>
      </c>
      <c r="I1256" s="320">
        <v>4.5771</v>
      </c>
      <c r="J1256" s="320">
        <v>5.63</v>
      </c>
      <c r="K1256" s="320">
        <v>2.43</v>
      </c>
      <c r="L1256" s="320">
        <v>0.1</v>
      </c>
      <c r="M1256" s="320">
        <v>0.0425</v>
      </c>
      <c r="N1256" s="320">
        <v>0.9625</v>
      </c>
      <c r="O1256" s="320">
        <v>0.6584</v>
      </c>
      <c r="P1256" s="320">
        <v>23.5196</v>
      </c>
      <c r="Q1256" s="320">
        <v>36.58</v>
      </c>
      <c r="R1256" s="320">
        <v>36.5</v>
      </c>
      <c r="S1256" s="320">
        <v>0.08</v>
      </c>
      <c r="T1256" s="320">
        <v>0.99</v>
      </c>
      <c r="U1256" s="320">
        <v>35.59</v>
      </c>
      <c r="V1256" s="320">
        <v>2.77</v>
      </c>
      <c r="W1256" s="320">
        <v>1.1419</v>
      </c>
      <c r="X1256" s="320">
        <v>2.72</v>
      </c>
      <c r="Y1256" s="320">
        <v>189.0</v>
      </c>
      <c r="Z1256" s="320">
        <v>1448.0</v>
      </c>
      <c r="AA1256" s="320">
        <v>8479.0</v>
      </c>
      <c r="AB1256" s="320">
        <v>50.058</v>
      </c>
      <c r="AC1256" s="320">
        <v>0.5251</v>
      </c>
      <c r="AD1256" s="329"/>
      <c r="AE1256" s="329"/>
      <c r="AF1256" s="329"/>
      <c r="AG1256" s="329"/>
      <c r="AH1256" s="329"/>
      <c r="AI1256" s="320">
        <v>0.0</v>
      </c>
      <c r="AJ1256" s="320">
        <v>0.0</v>
      </c>
      <c r="AK1256" s="320">
        <v>0.0</v>
      </c>
      <c r="AL1256" s="320">
        <v>0.2699</v>
      </c>
      <c r="AM1256" s="320">
        <v>16.13</v>
      </c>
      <c r="AN1256" s="320">
        <v>20.38</v>
      </c>
      <c r="AO1256" s="329"/>
      <c r="AP1256" s="329"/>
    </row>
    <row r="1257">
      <c r="A1257" s="319" t="s">
        <v>258</v>
      </c>
      <c r="B1257" s="328">
        <v>46139.0</v>
      </c>
      <c r="C1257" s="319" t="s">
        <v>214</v>
      </c>
      <c r="D1257" s="320">
        <v>31793.0</v>
      </c>
      <c r="E1257" s="320">
        <v>42.59</v>
      </c>
      <c r="F1257" s="320">
        <v>6211.98</v>
      </c>
      <c r="G1257" s="320">
        <v>0.1954</v>
      </c>
      <c r="H1257" s="320">
        <v>5.8</v>
      </c>
      <c r="I1257" s="320">
        <v>3.3706</v>
      </c>
      <c r="J1257" s="320">
        <v>35.8</v>
      </c>
      <c r="K1257" s="320">
        <v>19.23</v>
      </c>
      <c r="L1257" s="320">
        <v>5.52</v>
      </c>
      <c r="M1257" s="320">
        <v>0.287</v>
      </c>
      <c r="N1257" s="320">
        <v>0.7801</v>
      </c>
      <c r="O1257" s="320">
        <v>0.5363</v>
      </c>
      <c r="P1257" s="320">
        <v>3.4841</v>
      </c>
      <c r="Q1257" s="320">
        <v>94.33</v>
      </c>
      <c r="R1257" s="320">
        <v>84.18</v>
      </c>
      <c r="S1257" s="320">
        <v>10.15</v>
      </c>
      <c r="T1257" s="320">
        <v>14.55</v>
      </c>
      <c r="U1257" s="320">
        <v>79.78</v>
      </c>
      <c r="V1257" s="320">
        <v>86.53</v>
      </c>
      <c r="W1257" s="320">
        <v>4.4992</v>
      </c>
      <c r="X1257" s="320">
        <v>15.42</v>
      </c>
      <c r="Y1257" s="320">
        <v>90.0</v>
      </c>
      <c r="Z1257" s="320">
        <v>211.0</v>
      </c>
      <c r="AA1257" s="320">
        <v>806.0</v>
      </c>
      <c r="AB1257" s="320">
        <v>49.3878</v>
      </c>
      <c r="AC1257" s="320">
        <v>0.4282</v>
      </c>
      <c r="AD1257" s="320">
        <v>3.52</v>
      </c>
      <c r="AE1257" s="320">
        <v>1.0</v>
      </c>
      <c r="AF1257" s="320">
        <v>2.0</v>
      </c>
      <c r="AG1257" s="320">
        <v>4.0</v>
      </c>
      <c r="AH1257" s="320">
        <v>8.0</v>
      </c>
      <c r="AI1257" s="320">
        <v>67.32</v>
      </c>
      <c r="AJ1257" s="320">
        <v>24.71</v>
      </c>
      <c r="AK1257" s="320">
        <v>6.61</v>
      </c>
      <c r="AL1257" s="320">
        <v>0.2066</v>
      </c>
      <c r="AM1257" s="320">
        <v>18.91</v>
      </c>
      <c r="AN1257" s="320">
        <v>65.27</v>
      </c>
      <c r="AO1257" s="320">
        <v>68.65</v>
      </c>
      <c r="AP1257" s="320">
        <v>12.98</v>
      </c>
    </row>
    <row r="1258">
      <c r="A1258" s="319" t="s">
        <v>258</v>
      </c>
      <c r="B1258" s="328">
        <v>46139.0</v>
      </c>
      <c r="C1258" s="319" t="s">
        <v>215</v>
      </c>
      <c r="D1258" s="320">
        <v>16065.0</v>
      </c>
      <c r="E1258" s="320">
        <v>21.52</v>
      </c>
      <c r="F1258" s="320">
        <v>15626.55</v>
      </c>
      <c r="G1258" s="320">
        <v>0.9727</v>
      </c>
      <c r="H1258" s="320">
        <v>20.24</v>
      </c>
      <c r="I1258" s="320">
        <v>4.8067</v>
      </c>
      <c r="J1258" s="320">
        <v>64.4</v>
      </c>
      <c r="K1258" s="320">
        <v>36.51</v>
      </c>
      <c r="L1258" s="320">
        <v>14.82</v>
      </c>
      <c r="M1258" s="320">
        <v>0.406</v>
      </c>
      <c r="N1258" s="320">
        <v>0.6567</v>
      </c>
      <c r="O1258" s="320">
        <v>0.3788</v>
      </c>
      <c r="P1258" s="320">
        <v>2.4629</v>
      </c>
      <c r="Q1258" s="320">
        <v>202.27</v>
      </c>
      <c r="R1258" s="320">
        <v>176.04</v>
      </c>
      <c r="S1258" s="320">
        <v>26.24</v>
      </c>
      <c r="T1258" s="320">
        <v>64.93</v>
      </c>
      <c r="U1258" s="320">
        <v>137.35</v>
      </c>
      <c r="V1258" s="320">
        <v>198.46</v>
      </c>
      <c r="W1258" s="320">
        <v>5.4358</v>
      </c>
      <c r="X1258" s="320">
        <v>32.1</v>
      </c>
      <c r="Y1258" s="320">
        <v>86.0</v>
      </c>
      <c r="Z1258" s="320">
        <v>198.0</v>
      </c>
      <c r="AA1258" s="320">
        <v>602.0</v>
      </c>
      <c r="AB1258" s="320">
        <v>52.3274</v>
      </c>
      <c r="AC1258" s="320">
        <v>0.5079</v>
      </c>
      <c r="AD1258" s="320">
        <v>9.18</v>
      </c>
      <c r="AE1258" s="320">
        <v>3.0</v>
      </c>
      <c r="AF1258" s="320">
        <v>6.0</v>
      </c>
      <c r="AG1258" s="320">
        <v>13.0</v>
      </c>
      <c r="AH1258" s="320">
        <v>20.0</v>
      </c>
      <c r="AI1258" s="320">
        <v>54.44</v>
      </c>
      <c r="AJ1258" s="320">
        <v>25.5</v>
      </c>
      <c r="AK1258" s="320">
        <v>5.76</v>
      </c>
      <c r="AL1258" s="320">
        <v>0.1769</v>
      </c>
      <c r="AM1258" s="320">
        <v>19.64</v>
      </c>
      <c r="AN1258" s="320">
        <v>156.39</v>
      </c>
      <c r="AO1258" s="320">
        <v>72.7</v>
      </c>
      <c r="AP1258" s="320">
        <v>14.28</v>
      </c>
    </row>
    <row r="1259">
      <c r="A1259" s="319" t="s">
        <v>258</v>
      </c>
      <c r="B1259" s="328">
        <v>46139.0</v>
      </c>
      <c r="C1259" s="319" t="s">
        <v>216</v>
      </c>
      <c r="D1259" s="320">
        <v>8251.0</v>
      </c>
      <c r="E1259" s="320">
        <v>11.05</v>
      </c>
      <c r="F1259" s="320">
        <v>20967.17</v>
      </c>
      <c r="G1259" s="320">
        <v>2.5412</v>
      </c>
      <c r="H1259" s="320">
        <v>32.46</v>
      </c>
      <c r="I1259" s="320">
        <v>7.8294</v>
      </c>
      <c r="J1259" s="320">
        <v>90.81</v>
      </c>
      <c r="K1259" s="320">
        <v>53.9</v>
      </c>
      <c r="L1259" s="320">
        <v>29.94</v>
      </c>
      <c r="M1259" s="320">
        <v>0.5554</v>
      </c>
      <c r="N1259" s="320">
        <v>0.5193</v>
      </c>
      <c r="O1259" s="320">
        <v>0.2863</v>
      </c>
      <c r="P1259" s="320">
        <v>1.8004</v>
      </c>
      <c r="Q1259" s="320">
        <v>387.78</v>
      </c>
      <c r="R1259" s="320">
        <v>335.44</v>
      </c>
      <c r="S1259" s="320">
        <v>52.35</v>
      </c>
      <c r="T1259" s="320">
        <v>162.69</v>
      </c>
      <c r="U1259" s="320">
        <v>225.09</v>
      </c>
      <c r="V1259" s="320">
        <v>390.23</v>
      </c>
      <c r="W1259" s="320">
        <v>7.2404</v>
      </c>
      <c r="X1259" s="320">
        <v>41.95</v>
      </c>
      <c r="Y1259" s="320">
        <v>90.0</v>
      </c>
      <c r="Z1259" s="320">
        <v>234.0</v>
      </c>
      <c r="AA1259" s="320">
        <v>679.0</v>
      </c>
      <c r="AB1259" s="320">
        <v>54.5105</v>
      </c>
      <c r="AC1259" s="320">
        <v>0.597</v>
      </c>
      <c r="AD1259" s="320">
        <v>18.49</v>
      </c>
      <c r="AE1259" s="320">
        <v>7.0</v>
      </c>
      <c r="AF1259" s="320">
        <v>15.0</v>
      </c>
      <c r="AG1259" s="320">
        <v>26.0</v>
      </c>
      <c r="AH1259" s="320">
        <v>39.0</v>
      </c>
      <c r="AI1259" s="320">
        <v>60.66</v>
      </c>
      <c r="AJ1259" s="320">
        <v>26.54</v>
      </c>
      <c r="AK1259" s="320">
        <v>7.13</v>
      </c>
      <c r="AL1259" s="320">
        <v>0.1808</v>
      </c>
      <c r="AM1259" s="320">
        <v>19.33</v>
      </c>
      <c r="AN1259" s="320">
        <v>316.11</v>
      </c>
      <c r="AO1259" s="320">
        <v>69.31</v>
      </c>
      <c r="AP1259" s="320">
        <v>13.4</v>
      </c>
    </row>
    <row r="1260">
      <c r="A1260" s="319" t="s">
        <v>258</v>
      </c>
      <c r="B1260" s="328">
        <v>46139.0</v>
      </c>
      <c r="C1260" s="319" t="s">
        <v>217</v>
      </c>
      <c r="D1260" s="320">
        <v>3320.0</v>
      </c>
      <c r="E1260" s="320">
        <v>4.45</v>
      </c>
      <c r="F1260" s="320">
        <v>19474.26</v>
      </c>
      <c r="G1260" s="320">
        <v>5.8657</v>
      </c>
      <c r="H1260" s="320">
        <v>41.81</v>
      </c>
      <c r="I1260" s="320">
        <v>14.0304</v>
      </c>
      <c r="J1260" s="320">
        <v>145.27</v>
      </c>
      <c r="K1260" s="320">
        <v>89.49</v>
      </c>
      <c r="L1260" s="320">
        <v>60.78</v>
      </c>
      <c r="M1260" s="320">
        <v>0.6792</v>
      </c>
      <c r="N1260" s="320">
        <v>0.408</v>
      </c>
      <c r="O1260" s="320">
        <v>0.2321</v>
      </c>
      <c r="P1260" s="320">
        <v>1.4723</v>
      </c>
      <c r="Q1260" s="320">
        <v>776.4</v>
      </c>
      <c r="R1260" s="320">
        <v>673.27</v>
      </c>
      <c r="S1260" s="320">
        <v>103.13</v>
      </c>
      <c r="T1260" s="320">
        <v>376.25</v>
      </c>
      <c r="U1260" s="320">
        <v>400.15</v>
      </c>
      <c r="V1260" s="320">
        <v>771.9</v>
      </c>
      <c r="W1260" s="320">
        <v>8.6259</v>
      </c>
      <c r="X1260" s="320">
        <v>48.46</v>
      </c>
      <c r="Y1260" s="320">
        <v>105.0</v>
      </c>
      <c r="Z1260" s="320">
        <v>363.0</v>
      </c>
      <c r="AA1260" s="320">
        <v>1078.0</v>
      </c>
      <c r="AB1260" s="320">
        <v>57.0752</v>
      </c>
      <c r="AC1260" s="320">
        <v>0.6714</v>
      </c>
      <c r="AD1260" s="320">
        <v>36.38</v>
      </c>
      <c r="AE1260" s="320">
        <v>14.0</v>
      </c>
      <c r="AF1260" s="320">
        <v>29.0</v>
      </c>
      <c r="AG1260" s="320">
        <v>49.0</v>
      </c>
      <c r="AH1260" s="320">
        <v>76.0</v>
      </c>
      <c r="AI1260" s="320">
        <v>52.2</v>
      </c>
      <c r="AJ1260" s="320">
        <v>17.92</v>
      </c>
      <c r="AK1260" s="320">
        <v>4.28</v>
      </c>
      <c r="AL1260" s="320">
        <v>0.1663</v>
      </c>
      <c r="AM1260" s="320">
        <v>19.56</v>
      </c>
      <c r="AN1260" s="320">
        <v>653.71</v>
      </c>
      <c r="AO1260" s="320">
        <v>68.2</v>
      </c>
      <c r="AP1260" s="320">
        <v>13.34</v>
      </c>
    </row>
    <row r="1261">
      <c r="A1261" s="319" t="s">
        <v>258</v>
      </c>
      <c r="B1261" s="328">
        <v>46139.0</v>
      </c>
      <c r="C1261" s="319" t="s">
        <v>218</v>
      </c>
      <c r="D1261" s="320">
        <v>345.0</v>
      </c>
      <c r="E1261" s="320">
        <v>0.46</v>
      </c>
      <c r="F1261" s="320">
        <v>4383.77</v>
      </c>
      <c r="G1261" s="320">
        <v>12.7066</v>
      </c>
      <c r="H1261" s="320">
        <v>47.83</v>
      </c>
      <c r="I1261" s="320">
        <v>26.5683</v>
      </c>
      <c r="J1261" s="320">
        <v>258.48</v>
      </c>
      <c r="K1261" s="320">
        <v>166.52</v>
      </c>
      <c r="L1261" s="320">
        <v>136.74</v>
      </c>
      <c r="M1261" s="320">
        <v>0.8212</v>
      </c>
      <c r="N1261" s="320">
        <v>0.2782</v>
      </c>
      <c r="O1261" s="320">
        <v>0.1759</v>
      </c>
      <c r="P1261" s="320">
        <v>1.2178</v>
      </c>
      <c r="Q1261" s="320">
        <v>1572.11</v>
      </c>
      <c r="R1261" s="320">
        <v>1306.69</v>
      </c>
      <c r="S1261" s="320">
        <v>265.42</v>
      </c>
      <c r="T1261" s="320">
        <v>798.84</v>
      </c>
      <c r="U1261" s="320">
        <v>773.27</v>
      </c>
      <c r="V1261" s="320">
        <v>1544.06</v>
      </c>
      <c r="W1261" s="320">
        <v>9.2724</v>
      </c>
      <c r="X1261" s="320">
        <v>50.81</v>
      </c>
      <c r="Y1261" s="320">
        <v>181.0</v>
      </c>
      <c r="Z1261" s="320">
        <v>575.0</v>
      </c>
      <c r="AA1261" s="320">
        <v>2312.0</v>
      </c>
      <c r="AB1261" s="320">
        <v>62.0136</v>
      </c>
      <c r="AC1261" s="320">
        <v>0.8424</v>
      </c>
      <c r="AD1261" s="320">
        <v>93.05</v>
      </c>
      <c r="AE1261" s="320">
        <v>35.0</v>
      </c>
      <c r="AF1261" s="320">
        <v>80.0</v>
      </c>
      <c r="AG1261" s="320">
        <v>128.0</v>
      </c>
      <c r="AH1261" s="320">
        <v>191.0</v>
      </c>
      <c r="AI1261" s="320">
        <v>48.99</v>
      </c>
      <c r="AJ1261" s="320">
        <v>11.88</v>
      </c>
      <c r="AK1261" s="320">
        <v>2.32</v>
      </c>
      <c r="AL1261" s="320">
        <v>0.1681</v>
      </c>
      <c r="AM1261" s="320">
        <v>18.78</v>
      </c>
      <c r="AN1261" s="320">
        <v>1287.91</v>
      </c>
      <c r="AO1261" s="320">
        <v>70.72</v>
      </c>
      <c r="AP1261" s="320">
        <v>13.28</v>
      </c>
    </row>
    <row r="1262">
      <c r="A1262" s="319" t="s">
        <v>258</v>
      </c>
      <c r="B1262" s="328">
        <v>46140.0</v>
      </c>
      <c r="C1262" s="319" t="s">
        <v>257</v>
      </c>
      <c r="D1262" s="320">
        <v>14425.0</v>
      </c>
      <c r="E1262" s="320">
        <v>19.32</v>
      </c>
      <c r="F1262" s="320">
        <v>353.07</v>
      </c>
      <c r="G1262" s="320">
        <v>0.0245</v>
      </c>
      <c r="H1262" s="320">
        <v>0.77</v>
      </c>
      <c r="I1262" s="320">
        <v>3.1808</v>
      </c>
      <c r="J1262" s="320">
        <v>6.04</v>
      </c>
      <c r="K1262" s="320">
        <v>2.6</v>
      </c>
      <c r="L1262" s="320">
        <v>0.04</v>
      </c>
      <c r="M1262" s="320">
        <v>0.0152</v>
      </c>
      <c r="N1262" s="320">
        <v>0.9854</v>
      </c>
      <c r="O1262" s="320">
        <v>0.8304</v>
      </c>
      <c r="P1262" s="320">
        <v>65.6988</v>
      </c>
      <c r="Q1262" s="320">
        <v>32.89</v>
      </c>
      <c r="R1262" s="320">
        <v>32.84</v>
      </c>
      <c r="S1262" s="320">
        <v>0.05</v>
      </c>
      <c r="T1262" s="320">
        <v>1.33</v>
      </c>
      <c r="U1262" s="320">
        <v>31.56</v>
      </c>
      <c r="V1262" s="320">
        <v>2.22</v>
      </c>
      <c r="W1262" s="320">
        <v>0.853</v>
      </c>
      <c r="X1262" s="320">
        <v>4.05</v>
      </c>
      <c r="Y1262" s="320">
        <v>172.0</v>
      </c>
      <c r="Z1262" s="320">
        <v>1258.0</v>
      </c>
      <c r="AA1262" s="320">
        <v>8240.0</v>
      </c>
      <c r="AB1262" s="320">
        <v>49.5276</v>
      </c>
      <c r="AC1262" s="320">
        <v>0.502</v>
      </c>
      <c r="AD1262" s="329"/>
      <c r="AE1262" s="329"/>
      <c r="AF1262" s="329"/>
      <c r="AG1262" s="329"/>
      <c r="AH1262" s="329"/>
      <c r="AI1262" s="320">
        <v>0.0</v>
      </c>
      <c r="AJ1262" s="320">
        <v>0.0</v>
      </c>
      <c r="AK1262" s="320">
        <v>0.0</v>
      </c>
      <c r="AL1262" s="320">
        <v>0.2655</v>
      </c>
      <c r="AM1262" s="320">
        <v>16.5</v>
      </c>
      <c r="AN1262" s="320">
        <v>16.33</v>
      </c>
      <c r="AO1262" s="329"/>
      <c r="AP1262" s="329"/>
    </row>
    <row r="1263">
      <c r="A1263" s="319" t="s">
        <v>258</v>
      </c>
      <c r="B1263" s="328">
        <v>46140.0</v>
      </c>
      <c r="C1263" s="319" t="s">
        <v>214</v>
      </c>
      <c r="D1263" s="320">
        <v>31269.0</v>
      </c>
      <c r="E1263" s="320">
        <v>41.88</v>
      </c>
      <c r="F1263" s="320">
        <v>9799.06</v>
      </c>
      <c r="G1263" s="320">
        <v>0.3134</v>
      </c>
      <c r="H1263" s="320">
        <v>8.79</v>
      </c>
      <c r="I1263" s="320">
        <v>3.5646</v>
      </c>
      <c r="J1263" s="320">
        <v>32.45</v>
      </c>
      <c r="K1263" s="320">
        <v>17.2</v>
      </c>
      <c r="L1263" s="320">
        <v>5.71</v>
      </c>
      <c r="M1263" s="320">
        <v>0.3323</v>
      </c>
      <c r="N1263" s="320">
        <v>0.74</v>
      </c>
      <c r="O1263" s="320">
        <v>0.4841</v>
      </c>
      <c r="P1263" s="320">
        <v>3.0097</v>
      </c>
      <c r="Q1263" s="320">
        <v>86.42</v>
      </c>
      <c r="R1263" s="320">
        <v>76.57</v>
      </c>
      <c r="S1263" s="320">
        <v>9.84</v>
      </c>
      <c r="T1263" s="320">
        <v>17.72</v>
      </c>
      <c r="U1263" s="320">
        <v>68.7</v>
      </c>
      <c r="V1263" s="320">
        <v>79.94</v>
      </c>
      <c r="W1263" s="320">
        <v>4.649</v>
      </c>
      <c r="X1263" s="320">
        <v>20.5</v>
      </c>
      <c r="Y1263" s="320">
        <v>91.0</v>
      </c>
      <c r="Z1263" s="320">
        <v>220.0</v>
      </c>
      <c r="AA1263" s="320">
        <v>875.0</v>
      </c>
      <c r="AB1263" s="320">
        <v>49.2956</v>
      </c>
      <c r="AC1263" s="320">
        <v>0.4355</v>
      </c>
      <c r="AD1263" s="320">
        <v>3.95</v>
      </c>
      <c r="AE1263" s="320">
        <v>1.0</v>
      </c>
      <c r="AF1263" s="320">
        <v>2.0</v>
      </c>
      <c r="AG1263" s="320">
        <v>5.0</v>
      </c>
      <c r="AH1263" s="320">
        <v>9.0</v>
      </c>
      <c r="AI1263" s="320">
        <v>69.45</v>
      </c>
      <c r="AJ1263" s="320">
        <v>28.59</v>
      </c>
      <c r="AK1263" s="320">
        <v>9.19</v>
      </c>
      <c r="AL1263" s="320">
        <v>0.2135</v>
      </c>
      <c r="AM1263" s="320">
        <v>19.66</v>
      </c>
      <c r="AN1263" s="320">
        <v>56.91</v>
      </c>
      <c r="AO1263" s="320">
        <v>67.91</v>
      </c>
      <c r="AP1263" s="320">
        <v>13.35</v>
      </c>
    </row>
    <row r="1264">
      <c r="A1264" s="319" t="s">
        <v>258</v>
      </c>
      <c r="B1264" s="328">
        <v>46140.0</v>
      </c>
      <c r="C1264" s="319" t="s">
        <v>215</v>
      </c>
      <c r="D1264" s="320">
        <v>16680.0</v>
      </c>
      <c r="E1264" s="320">
        <v>22.34</v>
      </c>
      <c r="F1264" s="320">
        <v>20969.74</v>
      </c>
      <c r="G1264" s="320">
        <v>1.2572</v>
      </c>
      <c r="H1264" s="320">
        <v>26.01</v>
      </c>
      <c r="I1264" s="320">
        <v>4.8329</v>
      </c>
      <c r="J1264" s="320">
        <v>63.47</v>
      </c>
      <c r="K1264" s="320">
        <v>36.02</v>
      </c>
      <c r="L1264" s="320">
        <v>16.23</v>
      </c>
      <c r="M1264" s="320">
        <v>0.4506</v>
      </c>
      <c r="N1264" s="320">
        <v>0.6146</v>
      </c>
      <c r="O1264" s="320">
        <v>0.3399</v>
      </c>
      <c r="P1264" s="320">
        <v>2.2194</v>
      </c>
      <c r="Q1264" s="320">
        <v>215.31</v>
      </c>
      <c r="R1264" s="320">
        <v>187.8</v>
      </c>
      <c r="S1264" s="320">
        <v>27.51</v>
      </c>
      <c r="T1264" s="320">
        <v>74.24</v>
      </c>
      <c r="U1264" s="320">
        <v>141.07</v>
      </c>
      <c r="V1264" s="320">
        <v>198.73</v>
      </c>
      <c r="W1264" s="320">
        <v>5.5176</v>
      </c>
      <c r="X1264" s="320">
        <v>34.48</v>
      </c>
      <c r="Y1264" s="320">
        <v>90.0</v>
      </c>
      <c r="Z1264" s="320">
        <v>220.0</v>
      </c>
      <c r="AA1264" s="320">
        <v>692.0</v>
      </c>
      <c r="AB1264" s="320">
        <v>52.1333</v>
      </c>
      <c r="AC1264" s="320">
        <v>0.5094</v>
      </c>
      <c r="AD1264" s="320">
        <v>10.43</v>
      </c>
      <c r="AE1264" s="320">
        <v>3.0</v>
      </c>
      <c r="AF1264" s="320">
        <v>8.0</v>
      </c>
      <c r="AG1264" s="320">
        <v>15.0</v>
      </c>
      <c r="AH1264" s="320">
        <v>23.0</v>
      </c>
      <c r="AI1264" s="320">
        <v>61.85</v>
      </c>
      <c r="AJ1264" s="320">
        <v>31.34</v>
      </c>
      <c r="AK1264" s="320">
        <v>7.39</v>
      </c>
      <c r="AL1264" s="320">
        <v>0.1687</v>
      </c>
      <c r="AM1264" s="320">
        <v>23.22</v>
      </c>
      <c r="AN1264" s="320">
        <v>164.57</v>
      </c>
      <c r="AO1264" s="320">
        <v>72.19</v>
      </c>
      <c r="AP1264" s="320">
        <v>16.76</v>
      </c>
    </row>
    <row r="1265">
      <c r="A1265" s="319" t="s">
        <v>258</v>
      </c>
      <c r="B1265" s="328">
        <v>46140.0</v>
      </c>
      <c r="C1265" s="319" t="s">
        <v>216</v>
      </c>
      <c r="D1265" s="320">
        <v>8648.0</v>
      </c>
      <c r="E1265" s="320">
        <v>11.58</v>
      </c>
      <c r="F1265" s="320">
        <v>24126.12</v>
      </c>
      <c r="G1265" s="320">
        <v>2.7898</v>
      </c>
      <c r="H1265" s="320">
        <v>38.41</v>
      </c>
      <c r="I1265" s="320">
        <v>7.2625</v>
      </c>
      <c r="J1265" s="320">
        <v>90.04</v>
      </c>
      <c r="K1265" s="320">
        <v>53.51</v>
      </c>
      <c r="L1265" s="320">
        <v>31.72</v>
      </c>
      <c r="M1265" s="320">
        <v>0.5928</v>
      </c>
      <c r="N1265" s="320">
        <v>0.4837</v>
      </c>
      <c r="O1265" s="320">
        <v>0.2608</v>
      </c>
      <c r="P1265" s="320">
        <v>1.687</v>
      </c>
      <c r="Q1265" s="320">
        <v>425.72</v>
      </c>
      <c r="R1265" s="320">
        <v>374.26</v>
      </c>
      <c r="S1265" s="320">
        <v>51.46</v>
      </c>
      <c r="T1265" s="320">
        <v>165.98</v>
      </c>
      <c r="U1265" s="320">
        <v>259.74</v>
      </c>
      <c r="V1265" s="320">
        <v>399.02</v>
      </c>
      <c r="W1265" s="320">
        <v>7.4567</v>
      </c>
      <c r="X1265" s="320">
        <v>38.99</v>
      </c>
      <c r="Y1265" s="320">
        <v>96.0</v>
      </c>
      <c r="Z1265" s="320">
        <v>280.0</v>
      </c>
      <c r="AA1265" s="320">
        <v>762.0</v>
      </c>
      <c r="AB1265" s="320">
        <v>54.4531</v>
      </c>
      <c r="AC1265" s="320">
        <v>0.6163</v>
      </c>
      <c r="AD1265" s="320">
        <v>20.02</v>
      </c>
      <c r="AE1265" s="320">
        <v>7.0</v>
      </c>
      <c r="AF1265" s="320">
        <v>16.0</v>
      </c>
      <c r="AG1265" s="320">
        <v>28.0</v>
      </c>
      <c r="AH1265" s="320">
        <v>41.0</v>
      </c>
      <c r="AI1265" s="320">
        <v>63.73</v>
      </c>
      <c r="AJ1265" s="320">
        <v>29.94</v>
      </c>
      <c r="AK1265" s="320">
        <v>9.82</v>
      </c>
      <c r="AL1265" s="320">
        <v>0.1846</v>
      </c>
      <c r="AM1265" s="320">
        <v>25.69</v>
      </c>
      <c r="AN1265" s="320">
        <v>348.57</v>
      </c>
      <c r="AO1265" s="320">
        <v>69.79</v>
      </c>
      <c r="AP1265" s="320">
        <v>17.93</v>
      </c>
    </row>
    <row r="1266">
      <c r="A1266" s="319" t="s">
        <v>258</v>
      </c>
      <c r="B1266" s="328">
        <v>46140.0</v>
      </c>
      <c r="C1266" s="319" t="s">
        <v>217</v>
      </c>
      <c r="D1266" s="320">
        <v>3268.0</v>
      </c>
      <c r="E1266" s="320">
        <v>4.38</v>
      </c>
      <c r="F1266" s="320">
        <v>15592.72</v>
      </c>
      <c r="G1266" s="320">
        <v>4.7713</v>
      </c>
      <c r="H1266" s="320">
        <v>45.56</v>
      </c>
      <c r="I1266" s="320">
        <v>10.4719</v>
      </c>
      <c r="J1266" s="320">
        <v>136.38</v>
      </c>
      <c r="K1266" s="320">
        <v>85.76</v>
      </c>
      <c r="L1266" s="320">
        <v>60.34</v>
      </c>
      <c r="M1266" s="320">
        <v>0.7036</v>
      </c>
      <c r="N1266" s="320">
        <v>0.3832</v>
      </c>
      <c r="O1266" s="320">
        <v>0.2157</v>
      </c>
      <c r="P1266" s="320">
        <v>1.4212</v>
      </c>
      <c r="Q1266" s="320">
        <v>796.08</v>
      </c>
      <c r="R1266" s="320">
        <v>690.78</v>
      </c>
      <c r="S1266" s="320">
        <v>105.3</v>
      </c>
      <c r="T1266" s="320">
        <v>284.37</v>
      </c>
      <c r="U1266" s="320">
        <v>511.7</v>
      </c>
      <c r="V1266" s="320">
        <v>735.71</v>
      </c>
      <c r="W1266" s="320">
        <v>8.5791</v>
      </c>
      <c r="X1266" s="320">
        <v>35.72</v>
      </c>
      <c r="Y1266" s="320">
        <v>118.0</v>
      </c>
      <c r="Z1266" s="320">
        <v>403.0</v>
      </c>
      <c r="AA1266" s="320">
        <v>1052.0</v>
      </c>
      <c r="AB1266" s="320">
        <v>57.5267</v>
      </c>
      <c r="AC1266" s="320">
        <v>0.7435</v>
      </c>
      <c r="AD1266" s="320">
        <v>40.8</v>
      </c>
      <c r="AE1266" s="320">
        <v>17.0</v>
      </c>
      <c r="AF1266" s="320">
        <v>34.0</v>
      </c>
      <c r="AG1266" s="320">
        <v>56.0</v>
      </c>
      <c r="AH1266" s="320">
        <v>82.0</v>
      </c>
      <c r="AI1266" s="320">
        <v>58.11</v>
      </c>
      <c r="AJ1266" s="320">
        <v>22.4</v>
      </c>
      <c r="AK1266" s="320">
        <v>5.35</v>
      </c>
      <c r="AL1266" s="320">
        <v>0.1564</v>
      </c>
      <c r="AM1266" s="320">
        <v>25.8</v>
      </c>
      <c r="AN1266" s="320">
        <v>664.97</v>
      </c>
      <c r="AO1266" s="320">
        <v>73.72</v>
      </c>
      <c r="AP1266" s="320">
        <v>19.02</v>
      </c>
    </row>
    <row r="1267">
      <c r="A1267" s="319" t="s">
        <v>258</v>
      </c>
      <c r="B1267" s="328">
        <v>46140.0</v>
      </c>
      <c r="C1267" s="319" t="s">
        <v>218</v>
      </c>
      <c r="D1267" s="320">
        <v>365.0</v>
      </c>
      <c r="E1267" s="320">
        <v>0.49</v>
      </c>
      <c r="F1267" s="320">
        <v>2449.84</v>
      </c>
      <c r="G1267" s="320">
        <v>6.7119</v>
      </c>
      <c r="H1267" s="320">
        <v>46.85</v>
      </c>
      <c r="I1267" s="320">
        <v>14.3265</v>
      </c>
      <c r="J1267" s="320">
        <v>246.18</v>
      </c>
      <c r="K1267" s="320">
        <v>162.61</v>
      </c>
      <c r="L1267" s="320">
        <v>137.57</v>
      </c>
      <c r="M1267" s="320">
        <v>0.8461</v>
      </c>
      <c r="N1267" s="320">
        <v>0.2418</v>
      </c>
      <c r="O1267" s="320">
        <v>0.1532</v>
      </c>
      <c r="P1267" s="320">
        <v>1.182</v>
      </c>
      <c r="Q1267" s="320">
        <v>1458.81</v>
      </c>
      <c r="R1267" s="320">
        <v>1212.09</v>
      </c>
      <c r="S1267" s="320">
        <v>246.73</v>
      </c>
      <c r="T1267" s="320">
        <v>419.36</v>
      </c>
      <c r="U1267" s="320">
        <v>1039.46</v>
      </c>
      <c r="V1267" s="320">
        <v>1350.82</v>
      </c>
      <c r="W1267" s="320">
        <v>8.3074</v>
      </c>
      <c r="X1267" s="320">
        <v>28.75</v>
      </c>
      <c r="Y1267" s="320">
        <v>289.0</v>
      </c>
      <c r="Z1267" s="320">
        <v>853.0</v>
      </c>
      <c r="AA1267" s="320">
        <v>2442.0</v>
      </c>
      <c r="AB1267" s="320">
        <v>61.561</v>
      </c>
      <c r="AC1267" s="320">
        <v>0.8486</v>
      </c>
      <c r="AD1267" s="320">
        <v>98.37</v>
      </c>
      <c r="AE1267" s="320">
        <v>41.0</v>
      </c>
      <c r="AF1267" s="320">
        <v>89.0</v>
      </c>
      <c r="AG1267" s="320">
        <v>136.0</v>
      </c>
      <c r="AH1267" s="320">
        <v>189.0</v>
      </c>
      <c r="AI1267" s="320">
        <v>54.52</v>
      </c>
      <c r="AJ1267" s="320">
        <v>13.15</v>
      </c>
      <c r="AK1267" s="320">
        <v>2.74</v>
      </c>
      <c r="AL1267" s="320">
        <v>0.1562</v>
      </c>
      <c r="AM1267" s="320">
        <v>26.63</v>
      </c>
      <c r="AN1267" s="320">
        <v>1185.46</v>
      </c>
      <c r="AO1267" s="320">
        <v>68.38</v>
      </c>
      <c r="AP1267" s="320">
        <v>18.21</v>
      </c>
    </row>
    <row r="1268">
      <c r="A1268" s="319" t="s">
        <v>258</v>
      </c>
      <c r="B1268" s="328">
        <v>46141.0</v>
      </c>
      <c r="C1268" s="319" t="s">
        <v>257</v>
      </c>
      <c r="D1268" s="320">
        <v>15042.0</v>
      </c>
      <c r="E1268" s="320">
        <v>20.5</v>
      </c>
      <c r="F1268" s="320">
        <v>269.27</v>
      </c>
      <c r="G1268" s="320">
        <v>0.0179</v>
      </c>
      <c r="H1268" s="320">
        <v>0.51</v>
      </c>
      <c r="I1268" s="320">
        <v>3.543</v>
      </c>
      <c r="J1268" s="320">
        <v>6.48</v>
      </c>
      <c r="K1268" s="320">
        <v>2.93</v>
      </c>
      <c r="L1268" s="320">
        <v>0.03</v>
      </c>
      <c r="M1268" s="320">
        <v>0.0092</v>
      </c>
      <c r="N1268" s="320">
        <v>0.9913</v>
      </c>
      <c r="O1268" s="320">
        <v>0.8944</v>
      </c>
      <c r="P1268" s="320">
        <v>108.6404</v>
      </c>
      <c r="Q1268" s="320">
        <v>24.2</v>
      </c>
      <c r="R1268" s="320">
        <v>24.13</v>
      </c>
      <c r="S1268" s="320">
        <v>0.07</v>
      </c>
      <c r="T1268" s="320">
        <v>0.9</v>
      </c>
      <c r="U1268" s="320">
        <v>23.29</v>
      </c>
      <c r="V1268" s="320">
        <v>1.83</v>
      </c>
      <c r="W1268" s="320">
        <v>0.6257</v>
      </c>
      <c r="X1268" s="320">
        <v>3.73</v>
      </c>
      <c r="Y1268" s="320">
        <v>158.0</v>
      </c>
      <c r="Z1268" s="320">
        <v>1239.0</v>
      </c>
      <c r="AA1268" s="320">
        <v>7962.0</v>
      </c>
      <c r="AB1268" s="320">
        <v>49.7945</v>
      </c>
      <c r="AC1268" s="320">
        <v>0.508</v>
      </c>
      <c r="AD1268" s="329"/>
      <c r="AE1268" s="329"/>
      <c r="AF1268" s="329"/>
      <c r="AG1268" s="329"/>
      <c r="AH1268" s="329"/>
      <c r="AI1268" s="320">
        <v>0.0</v>
      </c>
      <c r="AJ1268" s="320">
        <v>0.0</v>
      </c>
      <c r="AK1268" s="320">
        <v>0.0</v>
      </c>
      <c r="AL1268" s="320">
        <v>0.2682</v>
      </c>
      <c r="AM1268" s="320">
        <v>15.05</v>
      </c>
      <c r="AN1268" s="320">
        <v>9.08</v>
      </c>
      <c r="AO1268" s="329"/>
      <c r="AP1268" s="329"/>
    </row>
    <row r="1269">
      <c r="A1269" s="319" t="s">
        <v>258</v>
      </c>
      <c r="B1269" s="328">
        <v>46141.0</v>
      </c>
      <c r="C1269" s="319" t="s">
        <v>214</v>
      </c>
      <c r="D1269" s="320">
        <v>30191.0</v>
      </c>
      <c r="E1269" s="320">
        <v>41.14</v>
      </c>
      <c r="F1269" s="320">
        <v>8174.06</v>
      </c>
      <c r="G1269" s="320">
        <v>0.2707</v>
      </c>
      <c r="H1269" s="320">
        <v>7.54</v>
      </c>
      <c r="I1269" s="320">
        <v>3.5914</v>
      </c>
      <c r="J1269" s="320">
        <v>34.4</v>
      </c>
      <c r="K1269" s="320">
        <v>18.59</v>
      </c>
      <c r="L1269" s="320">
        <v>5.58</v>
      </c>
      <c r="M1269" s="320">
        <v>0.3003</v>
      </c>
      <c r="N1269" s="320">
        <v>0.7641</v>
      </c>
      <c r="O1269" s="320">
        <v>0.5013</v>
      </c>
      <c r="P1269" s="320">
        <v>3.3305</v>
      </c>
      <c r="Q1269" s="320">
        <v>69.87</v>
      </c>
      <c r="R1269" s="320">
        <v>60.23</v>
      </c>
      <c r="S1269" s="320">
        <v>9.64</v>
      </c>
      <c r="T1269" s="320">
        <v>15.72</v>
      </c>
      <c r="U1269" s="320">
        <v>54.14</v>
      </c>
      <c r="V1269" s="320">
        <v>74.37</v>
      </c>
      <c r="W1269" s="320">
        <v>4.0005</v>
      </c>
      <c r="X1269" s="320">
        <v>22.5</v>
      </c>
      <c r="Y1269" s="320">
        <v>87.0</v>
      </c>
      <c r="Z1269" s="320">
        <v>220.0</v>
      </c>
      <c r="AA1269" s="320">
        <v>873.0</v>
      </c>
      <c r="AB1269" s="320">
        <v>49.335</v>
      </c>
      <c r="AC1269" s="320">
        <v>0.4379</v>
      </c>
      <c r="AD1269" s="320">
        <v>3.75</v>
      </c>
      <c r="AE1269" s="320">
        <v>1.0</v>
      </c>
      <c r="AF1269" s="320">
        <v>2.0</v>
      </c>
      <c r="AG1269" s="320">
        <v>5.0</v>
      </c>
      <c r="AH1269" s="320">
        <v>9.0</v>
      </c>
      <c r="AI1269" s="320">
        <v>68.17</v>
      </c>
      <c r="AJ1269" s="320">
        <v>26.75</v>
      </c>
      <c r="AK1269" s="320">
        <v>8.07</v>
      </c>
      <c r="AL1269" s="320">
        <v>0.2204</v>
      </c>
      <c r="AM1269" s="320">
        <v>19.62</v>
      </c>
      <c r="AN1269" s="320">
        <v>40.61</v>
      </c>
      <c r="AO1269" s="320">
        <v>68.36</v>
      </c>
      <c r="AP1269" s="320">
        <v>13.41</v>
      </c>
    </row>
    <row r="1270">
      <c r="A1270" s="319" t="s">
        <v>258</v>
      </c>
      <c r="B1270" s="328">
        <v>46141.0</v>
      </c>
      <c r="C1270" s="319" t="s">
        <v>215</v>
      </c>
      <c r="D1270" s="320">
        <v>16302.0</v>
      </c>
      <c r="E1270" s="320">
        <v>22.21</v>
      </c>
      <c r="F1270" s="320">
        <v>19047.35</v>
      </c>
      <c r="G1270" s="320">
        <v>1.1684</v>
      </c>
      <c r="H1270" s="320">
        <v>23.32</v>
      </c>
      <c r="I1270" s="320">
        <v>5.0098</v>
      </c>
      <c r="J1270" s="320">
        <v>63.13</v>
      </c>
      <c r="K1270" s="320">
        <v>36.11</v>
      </c>
      <c r="L1270" s="320">
        <v>14.72</v>
      </c>
      <c r="M1270" s="320">
        <v>0.4076</v>
      </c>
      <c r="N1270" s="320">
        <v>0.6512</v>
      </c>
      <c r="O1270" s="320">
        <v>0.3625</v>
      </c>
      <c r="P1270" s="320">
        <v>2.4535</v>
      </c>
      <c r="Q1270" s="320">
        <v>165.78</v>
      </c>
      <c r="R1270" s="320">
        <v>141.16</v>
      </c>
      <c r="S1270" s="320">
        <v>24.62</v>
      </c>
      <c r="T1270" s="320">
        <v>68.45</v>
      </c>
      <c r="U1270" s="320">
        <v>97.33</v>
      </c>
      <c r="V1270" s="320">
        <v>175.08</v>
      </c>
      <c r="W1270" s="320">
        <v>4.8482</v>
      </c>
      <c r="X1270" s="320">
        <v>41.29</v>
      </c>
      <c r="Y1270" s="320">
        <v>84.0</v>
      </c>
      <c r="Z1270" s="320">
        <v>190.0</v>
      </c>
      <c r="AA1270" s="320">
        <v>638.0</v>
      </c>
      <c r="AB1270" s="320">
        <v>52.2558</v>
      </c>
      <c r="AC1270" s="320">
        <v>0.5286</v>
      </c>
      <c r="AD1270" s="320">
        <v>9.15</v>
      </c>
      <c r="AE1270" s="320">
        <v>3.0</v>
      </c>
      <c r="AF1270" s="320">
        <v>7.0</v>
      </c>
      <c r="AG1270" s="320">
        <v>13.0</v>
      </c>
      <c r="AH1270" s="320">
        <v>20.0</v>
      </c>
      <c r="AI1270" s="320">
        <v>55.55</v>
      </c>
      <c r="AJ1270" s="320">
        <v>25.76</v>
      </c>
      <c r="AK1270" s="320">
        <v>5.32</v>
      </c>
      <c r="AL1270" s="320">
        <v>0.1853</v>
      </c>
      <c r="AM1270" s="320">
        <v>20.75</v>
      </c>
      <c r="AN1270" s="320">
        <v>120.41</v>
      </c>
      <c r="AO1270" s="320">
        <v>73.01</v>
      </c>
      <c r="AP1270" s="320">
        <v>15.15</v>
      </c>
    </row>
    <row r="1271">
      <c r="A1271" s="319" t="s">
        <v>258</v>
      </c>
      <c r="B1271" s="328">
        <v>46141.0</v>
      </c>
      <c r="C1271" s="319" t="s">
        <v>216</v>
      </c>
      <c r="D1271" s="320">
        <v>8250.0</v>
      </c>
      <c r="E1271" s="320">
        <v>11.24</v>
      </c>
      <c r="F1271" s="320">
        <v>20650.09</v>
      </c>
      <c r="G1271" s="320">
        <v>2.503</v>
      </c>
      <c r="H1271" s="320">
        <v>34.21</v>
      </c>
      <c r="I1271" s="320">
        <v>7.3175</v>
      </c>
      <c r="J1271" s="320">
        <v>84.39</v>
      </c>
      <c r="K1271" s="320">
        <v>50.54</v>
      </c>
      <c r="L1271" s="320">
        <v>26.99</v>
      </c>
      <c r="M1271" s="320">
        <v>0.5339</v>
      </c>
      <c r="N1271" s="320">
        <v>0.5334</v>
      </c>
      <c r="O1271" s="320">
        <v>0.2833</v>
      </c>
      <c r="P1271" s="320">
        <v>1.8729</v>
      </c>
      <c r="Q1271" s="320">
        <v>303.32</v>
      </c>
      <c r="R1271" s="320">
        <v>256.97</v>
      </c>
      <c r="S1271" s="320">
        <v>46.35</v>
      </c>
      <c r="T1271" s="320">
        <v>149.89</v>
      </c>
      <c r="U1271" s="320">
        <v>153.42</v>
      </c>
      <c r="V1271" s="320">
        <v>319.73</v>
      </c>
      <c r="W1271" s="320">
        <v>6.3258</v>
      </c>
      <c r="X1271" s="320">
        <v>49.42</v>
      </c>
      <c r="Y1271" s="320">
        <v>85.0</v>
      </c>
      <c r="Z1271" s="320">
        <v>215.0</v>
      </c>
      <c r="AA1271" s="320">
        <v>684.0</v>
      </c>
      <c r="AB1271" s="320">
        <v>54.5848</v>
      </c>
      <c r="AC1271" s="320">
        <v>0.6693</v>
      </c>
      <c r="AD1271" s="320">
        <v>17.67</v>
      </c>
      <c r="AE1271" s="320">
        <v>6.0</v>
      </c>
      <c r="AF1271" s="320">
        <v>13.0</v>
      </c>
      <c r="AG1271" s="320">
        <v>25.0</v>
      </c>
      <c r="AH1271" s="320">
        <v>38.0</v>
      </c>
      <c r="AI1271" s="320">
        <v>57.04</v>
      </c>
      <c r="AJ1271" s="320">
        <v>23.89</v>
      </c>
      <c r="AK1271" s="320">
        <v>7.83</v>
      </c>
      <c r="AL1271" s="320">
        <v>0.1943</v>
      </c>
      <c r="AM1271" s="320">
        <v>20.15</v>
      </c>
      <c r="AN1271" s="320">
        <v>236.82</v>
      </c>
      <c r="AO1271" s="320">
        <v>73.6</v>
      </c>
      <c r="AP1271" s="320">
        <v>14.83</v>
      </c>
    </row>
    <row r="1272">
      <c r="A1272" s="319" t="s">
        <v>258</v>
      </c>
      <c r="B1272" s="328">
        <v>46141.0</v>
      </c>
      <c r="C1272" s="319" t="s">
        <v>217</v>
      </c>
      <c r="D1272" s="320">
        <v>3244.0</v>
      </c>
      <c r="E1272" s="320">
        <v>4.42</v>
      </c>
      <c r="F1272" s="320">
        <v>16734.57</v>
      </c>
      <c r="G1272" s="320">
        <v>5.1586</v>
      </c>
      <c r="H1272" s="320">
        <v>43.77</v>
      </c>
      <c r="I1272" s="320">
        <v>11.7849</v>
      </c>
      <c r="J1272" s="320">
        <v>131.55</v>
      </c>
      <c r="K1272" s="320">
        <v>82.32</v>
      </c>
      <c r="L1272" s="320">
        <v>54.68</v>
      </c>
      <c r="M1272" s="320">
        <v>0.6643</v>
      </c>
      <c r="N1272" s="320">
        <v>0.4151</v>
      </c>
      <c r="O1272" s="320">
        <v>0.2258</v>
      </c>
      <c r="P1272" s="320">
        <v>1.5054</v>
      </c>
      <c r="Q1272" s="320">
        <v>594.95</v>
      </c>
      <c r="R1272" s="320">
        <v>498.88</v>
      </c>
      <c r="S1272" s="320">
        <v>96.08</v>
      </c>
      <c r="T1272" s="320">
        <v>317.88</v>
      </c>
      <c r="U1272" s="320">
        <v>277.07</v>
      </c>
      <c r="V1272" s="320">
        <v>642.56</v>
      </c>
      <c r="W1272" s="320">
        <v>7.8059</v>
      </c>
      <c r="X1272" s="320">
        <v>53.43</v>
      </c>
      <c r="Y1272" s="320">
        <v>96.0</v>
      </c>
      <c r="Z1272" s="320">
        <v>311.0</v>
      </c>
      <c r="AA1272" s="320">
        <v>898.0</v>
      </c>
      <c r="AB1272" s="320">
        <v>57.5849</v>
      </c>
      <c r="AC1272" s="320">
        <v>0.7737</v>
      </c>
      <c r="AD1272" s="320">
        <v>36.46</v>
      </c>
      <c r="AE1272" s="320">
        <v>12.0</v>
      </c>
      <c r="AF1272" s="320">
        <v>29.0</v>
      </c>
      <c r="AG1272" s="320">
        <v>51.0</v>
      </c>
      <c r="AH1272" s="320">
        <v>78.0</v>
      </c>
      <c r="AI1272" s="320">
        <v>50.77</v>
      </c>
      <c r="AJ1272" s="320">
        <v>18.8</v>
      </c>
      <c r="AK1272" s="320">
        <v>4.72</v>
      </c>
      <c r="AL1272" s="320">
        <v>0.193</v>
      </c>
      <c r="AM1272" s="320">
        <v>20.32</v>
      </c>
      <c r="AN1272" s="320">
        <v>478.55</v>
      </c>
      <c r="AO1272" s="320">
        <v>74.28</v>
      </c>
      <c r="AP1272" s="320">
        <v>15.09</v>
      </c>
    </row>
    <row r="1273">
      <c r="A1273" s="319" t="s">
        <v>258</v>
      </c>
      <c r="B1273" s="328">
        <v>46141.0</v>
      </c>
      <c r="C1273" s="319" t="s">
        <v>218</v>
      </c>
      <c r="D1273" s="320">
        <v>354.0</v>
      </c>
      <c r="E1273" s="320">
        <v>0.48</v>
      </c>
      <c r="F1273" s="320">
        <v>3017.34</v>
      </c>
      <c r="G1273" s="320">
        <v>8.5236</v>
      </c>
      <c r="H1273" s="320">
        <v>48.31</v>
      </c>
      <c r="I1273" s="320">
        <v>17.6453</v>
      </c>
      <c r="J1273" s="320">
        <v>245.99</v>
      </c>
      <c r="K1273" s="320">
        <v>159.38</v>
      </c>
      <c r="L1273" s="320">
        <v>131.1</v>
      </c>
      <c r="M1273" s="320">
        <v>0.8226</v>
      </c>
      <c r="N1273" s="320">
        <v>0.2633</v>
      </c>
      <c r="O1273" s="320">
        <v>0.1601</v>
      </c>
      <c r="P1273" s="320">
        <v>1.2157</v>
      </c>
      <c r="Q1273" s="320">
        <v>1126.94</v>
      </c>
      <c r="R1273" s="320">
        <v>897.41</v>
      </c>
      <c r="S1273" s="320">
        <v>229.53</v>
      </c>
      <c r="T1273" s="320">
        <v>539.07</v>
      </c>
      <c r="U1273" s="320">
        <v>587.87</v>
      </c>
      <c r="V1273" s="320">
        <v>1224.58</v>
      </c>
      <c r="W1273" s="320">
        <v>7.6836</v>
      </c>
      <c r="X1273" s="320">
        <v>47.83</v>
      </c>
      <c r="Y1273" s="320">
        <v>202.0</v>
      </c>
      <c r="Z1273" s="320">
        <v>669.0</v>
      </c>
      <c r="AA1273" s="320">
        <v>2541.0</v>
      </c>
      <c r="AB1273" s="320">
        <v>61.7458</v>
      </c>
      <c r="AC1273" s="320">
        <v>0.8655</v>
      </c>
      <c r="AD1273" s="320">
        <v>91.82</v>
      </c>
      <c r="AE1273" s="320">
        <v>31.0</v>
      </c>
      <c r="AF1273" s="320">
        <v>70.0</v>
      </c>
      <c r="AG1273" s="320">
        <v>130.0</v>
      </c>
      <c r="AH1273" s="320">
        <v>188.0</v>
      </c>
      <c r="AI1273" s="320">
        <v>47.18</v>
      </c>
      <c r="AJ1273" s="320">
        <v>12.99</v>
      </c>
      <c r="AK1273" s="320">
        <v>3.39</v>
      </c>
      <c r="AL1273" s="320">
        <v>0.0847</v>
      </c>
      <c r="AM1273" s="320">
        <v>21.12</v>
      </c>
      <c r="AN1273" s="320">
        <v>876.29</v>
      </c>
      <c r="AO1273" s="320">
        <v>72.56</v>
      </c>
      <c r="AP1273" s="320">
        <v>15.32</v>
      </c>
    </row>
    <row r="1274">
      <c r="A1274" s="319" t="s">
        <v>258</v>
      </c>
      <c r="B1274" s="328">
        <v>46142.0</v>
      </c>
      <c r="C1274" s="319" t="s">
        <v>257</v>
      </c>
      <c r="D1274" s="320">
        <v>15910.0</v>
      </c>
      <c r="E1274" s="320">
        <v>22.17</v>
      </c>
      <c r="F1274" s="320">
        <v>145.17</v>
      </c>
      <c r="G1274" s="320">
        <v>0.0091</v>
      </c>
      <c r="H1274" s="320">
        <v>0.28</v>
      </c>
      <c r="I1274" s="320">
        <v>3.226</v>
      </c>
      <c r="J1274" s="320">
        <v>6.57</v>
      </c>
      <c r="K1274" s="320">
        <v>2.96</v>
      </c>
      <c r="L1274" s="320">
        <v>0.05</v>
      </c>
      <c r="M1274" s="320">
        <v>0.0174</v>
      </c>
      <c r="N1274" s="320">
        <v>0.9846</v>
      </c>
      <c r="O1274" s="320">
        <v>0.802</v>
      </c>
      <c r="P1274" s="320">
        <v>57.337</v>
      </c>
      <c r="Q1274" s="320">
        <v>22.26</v>
      </c>
      <c r="R1274" s="320">
        <v>22.19</v>
      </c>
      <c r="S1274" s="320">
        <v>0.08</v>
      </c>
      <c r="T1274" s="320">
        <v>0.69</v>
      </c>
      <c r="U1274" s="320">
        <v>21.57</v>
      </c>
      <c r="V1274" s="320">
        <v>2.37</v>
      </c>
      <c r="W1274" s="320">
        <v>0.7988</v>
      </c>
      <c r="X1274" s="320">
        <v>3.1</v>
      </c>
      <c r="Y1274" s="320">
        <v>136.0</v>
      </c>
      <c r="Z1274" s="320">
        <v>1066.0</v>
      </c>
      <c r="AA1274" s="320">
        <v>7272.0</v>
      </c>
      <c r="AB1274" s="320">
        <v>49.6841</v>
      </c>
      <c r="AC1274" s="320">
        <v>0.5031</v>
      </c>
      <c r="AD1274" s="329"/>
      <c r="AE1274" s="329"/>
      <c r="AF1274" s="329"/>
      <c r="AG1274" s="329"/>
      <c r="AH1274" s="329"/>
      <c r="AI1274" s="320">
        <v>0.0</v>
      </c>
      <c r="AJ1274" s="320">
        <v>0.0</v>
      </c>
      <c r="AK1274" s="320">
        <v>0.0</v>
      </c>
      <c r="AL1274" s="320">
        <v>0.275</v>
      </c>
      <c r="AM1274" s="320">
        <v>15.14</v>
      </c>
      <c r="AN1274" s="320">
        <v>7.05</v>
      </c>
      <c r="AO1274" s="329"/>
      <c r="AP1274" s="329"/>
    </row>
    <row r="1275">
      <c r="A1275" s="319" t="s">
        <v>258</v>
      </c>
      <c r="B1275" s="328">
        <v>46142.0</v>
      </c>
      <c r="C1275" s="319" t="s">
        <v>214</v>
      </c>
      <c r="D1275" s="320">
        <v>29068.0</v>
      </c>
      <c r="E1275" s="320">
        <v>40.51</v>
      </c>
      <c r="F1275" s="320">
        <v>8019.03</v>
      </c>
      <c r="G1275" s="320">
        <v>0.2759</v>
      </c>
      <c r="H1275" s="320">
        <v>7.5</v>
      </c>
      <c r="I1275" s="320">
        <v>3.6801</v>
      </c>
      <c r="J1275" s="320">
        <v>30.33</v>
      </c>
      <c r="K1275" s="320">
        <v>15.97</v>
      </c>
      <c r="L1275" s="320">
        <v>5.19</v>
      </c>
      <c r="M1275" s="320">
        <v>0.3251</v>
      </c>
      <c r="N1275" s="320">
        <v>0.7469</v>
      </c>
      <c r="O1275" s="320">
        <v>0.4953</v>
      </c>
      <c r="P1275" s="320">
        <v>3.0759</v>
      </c>
      <c r="Q1275" s="320">
        <v>66.22</v>
      </c>
      <c r="R1275" s="320">
        <v>57.08</v>
      </c>
      <c r="S1275" s="320">
        <v>9.14</v>
      </c>
      <c r="T1275" s="320">
        <v>16.64</v>
      </c>
      <c r="U1275" s="320">
        <v>49.59</v>
      </c>
      <c r="V1275" s="320">
        <v>70.8</v>
      </c>
      <c r="W1275" s="320">
        <v>4.4335</v>
      </c>
      <c r="X1275" s="320">
        <v>25.12</v>
      </c>
      <c r="Y1275" s="320">
        <v>87.0</v>
      </c>
      <c r="Z1275" s="320">
        <v>214.0</v>
      </c>
      <c r="AA1275" s="320">
        <v>886.0</v>
      </c>
      <c r="AB1275" s="320">
        <v>49.5117</v>
      </c>
      <c r="AC1275" s="320">
        <v>0.4441</v>
      </c>
      <c r="AD1275" s="320">
        <v>3.61</v>
      </c>
      <c r="AE1275" s="320">
        <v>1.0</v>
      </c>
      <c r="AF1275" s="320">
        <v>2.0</v>
      </c>
      <c r="AG1275" s="320">
        <v>5.0</v>
      </c>
      <c r="AH1275" s="320">
        <v>8.0</v>
      </c>
      <c r="AI1275" s="320">
        <v>65.6</v>
      </c>
      <c r="AJ1275" s="320">
        <v>25.74</v>
      </c>
      <c r="AK1275" s="320">
        <v>7.59</v>
      </c>
      <c r="AL1275" s="320">
        <v>0.2388</v>
      </c>
      <c r="AM1275" s="320">
        <v>19.89</v>
      </c>
      <c r="AN1275" s="320">
        <v>37.19</v>
      </c>
      <c r="AO1275" s="320">
        <v>68.56</v>
      </c>
      <c r="AP1275" s="320">
        <v>13.64</v>
      </c>
    </row>
    <row r="1276">
      <c r="A1276" s="319" t="s">
        <v>258</v>
      </c>
      <c r="B1276" s="328">
        <v>46142.0</v>
      </c>
      <c r="C1276" s="319" t="s">
        <v>215</v>
      </c>
      <c r="D1276" s="320">
        <v>15380.0</v>
      </c>
      <c r="E1276" s="320">
        <v>21.43</v>
      </c>
      <c r="F1276" s="320">
        <v>17697.22</v>
      </c>
      <c r="G1276" s="320">
        <v>1.1507</v>
      </c>
      <c r="H1276" s="320">
        <v>22.0</v>
      </c>
      <c r="I1276" s="320">
        <v>5.2297</v>
      </c>
      <c r="J1276" s="320">
        <v>54.36</v>
      </c>
      <c r="K1276" s="320">
        <v>30.93</v>
      </c>
      <c r="L1276" s="320">
        <v>13.24</v>
      </c>
      <c r="M1276" s="320">
        <v>0.428</v>
      </c>
      <c r="N1276" s="320">
        <v>0.6374</v>
      </c>
      <c r="O1276" s="320">
        <v>0.3622</v>
      </c>
      <c r="P1276" s="320">
        <v>2.3364</v>
      </c>
      <c r="Q1276" s="320">
        <v>164.64</v>
      </c>
      <c r="R1276" s="320">
        <v>142.16</v>
      </c>
      <c r="S1276" s="320">
        <v>22.48</v>
      </c>
      <c r="T1276" s="320">
        <v>69.22</v>
      </c>
      <c r="U1276" s="320">
        <v>95.42</v>
      </c>
      <c r="V1276" s="320">
        <v>168.88</v>
      </c>
      <c r="W1276" s="320">
        <v>5.4602</v>
      </c>
      <c r="X1276" s="320">
        <v>42.04</v>
      </c>
      <c r="Y1276" s="320">
        <v>84.0</v>
      </c>
      <c r="Z1276" s="320">
        <v>184.0</v>
      </c>
      <c r="AA1276" s="320">
        <v>636.0</v>
      </c>
      <c r="AB1276" s="320">
        <v>52.3986</v>
      </c>
      <c r="AC1276" s="320">
        <v>0.5424</v>
      </c>
      <c r="AD1276" s="320">
        <v>8.65</v>
      </c>
      <c r="AE1276" s="320">
        <v>2.0</v>
      </c>
      <c r="AF1276" s="320">
        <v>6.0</v>
      </c>
      <c r="AG1276" s="320">
        <v>12.0</v>
      </c>
      <c r="AH1276" s="320">
        <v>20.0</v>
      </c>
      <c r="AI1276" s="320">
        <v>51.82</v>
      </c>
      <c r="AJ1276" s="320">
        <v>23.88</v>
      </c>
      <c r="AK1276" s="320">
        <v>4.94</v>
      </c>
      <c r="AL1276" s="320">
        <v>0.2028</v>
      </c>
      <c r="AM1276" s="320">
        <v>20.41</v>
      </c>
      <c r="AN1276" s="320">
        <v>121.75</v>
      </c>
      <c r="AO1276" s="320">
        <v>74.0</v>
      </c>
      <c r="AP1276" s="320">
        <v>15.1</v>
      </c>
    </row>
    <row r="1277">
      <c r="A1277" s="319" t="s">
        <v>258</v>
      </c>
      <c r="B1277" s="328">
        <v>46142.0</v>
      </c>
      <c r="C1277" s="319" t="s">
        <v>216</v>
      </c>
      <c r="D1277" s="320">
        <v>7909.0</v>
      </c>
      <c r="E1277" s="320">
        <v>11.02</v>
      </c>
      <c r="F1277" s="320">
        <v>18963.76</v>
      </c>
      <c r="G1277" s="320">
        <v>2.3977</v>
      </c>
      <c r="H1277" s="320">
        <v>32.56</v>
      </c>
      <c r="I1277" s="320">
        <v>7.3646</v>
      </c>
      <c r="J1277" s="320">
        <v>78.36</v>
      </c>
      <c r="K1277" s="320">
        <v>46.42</v>
      </c>
      <c r="L1277" s="320">
        <v>25.17</v>
      </c>
      <c r="M1277" s="320">
        <v>0.5421</v>
      </c>
      <c r="N1277" s="320">
        <v>0.5293</v>
      </c>
      <c r="O1277" s="320">
        <v>0.289</v>
      </c>
      <c r="P1277" s="320">
        <v>1.8446</v>
      </c>
      <c r="Q1277" s="320">
        <v>313.79</v>
      </c>
      <c r="R1277" s="320">
        <v>269.9</v>
      </c>
      <c r="S1277" s="320">
        <v>43.89</v>
      </c>
      <c r="T1277" s="320">
        <v>146.64</v>
      </c>
      <c r="U1277" s="320">
        <v>167.14</v>
      </c>
      <c r="V1277" s="320">
        <v>316.94</v>
      </c>
      <c r="W1277" s="320">
        <v>6.8276</v>
      </c>
      <c r="X1277" s="320">
        <v>46.73</v>
      </c>
      <c r="Y1277" s="320">
        <v>88.0</v>
      </c>
      <c r="Z1277" s="320">
        <v>230.0</v>
      </c>
      <c r="AA1277" s="320">
        <v>716.0</v>
      </c>
      <c r="AB1277" s="320">
        <v>54.6026</v>
      </c>
      <c r="AC1277" s="320">
        <v>0.6692</v>
      </c>
      <c r="AD1277" s="320">
        <v>16.77</v>
      </c>
      <c r="AE1277" s="320">
        <v>6.0</v>
      </c>
      <c r="AF1277" s="320">
        <v>12.0</v>
      </c>
      <c r="AG1277" s="320">
        <v>24.0</v>
      </c>
      <c r="AH1277" s="320">
        <v>36.0</v>
      </c>
      <c r="AI1277" s="320">
        <v>55.39</v>
      </c>
      <c r="AJ1277" s="320">
        <v>22.35</v>
      </c>
      <c r="AK1277" s="320">
        <v>6.5</v>
      </c>
      <c r="AL1277" s="320">
        <v>0.2128</v>
      </c>
      <c r="AM1277" s="320">
        <v>20.24</v>
      </c>
      <c r="AN1277" s="320">
        <v>249.66</v>
      </c>
      <c r="AO1277" s="320">
        <v>74.42</v>
      </c>
      <c r="AP1277" s="320">
        <v>15.06</v>
      </c>
    </row>
    <row r="1278">
      <c r="A1278" s="319" t="s">
        <v>258</v>
      </c>
      <c r="B1278" s="328">
        <v>46142.0</v>
      </c>
      <c r="C1278" s="319" t="s">
        <v>217</v>
      </c>
      <c r="D1278" s="320">
        <v>3137.0</v>
      </c>
      <c r="E1278" s="320">
        <v>4.37</v>
      </c>
      <c r="F1278" s="320">
        <v>17142.46</v>
      </c>
      <c r="G1278" s="320">
        <v>5.4646</v>
      </c>
      <c r="H1278" s="320">
        <v>43.42</v>
      </c>
      <c r="I1278" s="320">
        <v>12.5862</v>
      </c>
      <c r="J1278" s="320">
        <v>129.86</v>
      </c>
      <c r="K1278" s="320">
        <v>80.16</v>
      </c>
      <c r="L1278" s="320">
        <v>54.73</v>
      </c>
      <c r="M1278" s="320">
        <v>0.6827</v>
      </c>
      <c r="N1278" s="320">
        <v>0.4022</v>
      </c>
      <c r="O1278" s="320">
        <v>0.2258</v>
      </c>
      <c r="P1278" s="320">
        <v>1.4647</v>
      </c>
      <c r="Q1278" s="320">
        <v>669.92</v>
      </c>
      <c r="R1278" s="320">
        <v>574.44</v>
      </c>
      <c r="S1278" s="320">
        <v>95.48</v>
      </c>
      <c r="T1278" s="320">
        <v>341.1</v>
      </c>
      <c r="U1278" s="320">
        <v>328.82</v>
      </c>
      <c r="V1278" s="320">
        <v>678.88</v>
      </c>
      <c r="W1278" s="320">
        <v>8.469</v>
      </c>
      <c r="X1278" s="320">
        <v>50.92</v>
      </c>
      <c r="Y1278" s="320">
        <v>98.0</v>
      </c>
      <c r="Z1278" s="320">
        <v>315.0</v>
      </c>
      <c r="AA1278" s="320">
        <v>896.0</v>
      </c>
      <c r="AB1278" s="320">
        <v>57.6994</v>
      </c>
      <c r="AC1278" s="320">
        <v>0.7576</v>
      </c>
      <c r="AD1278" s="320">
        <v>36.51</v>
      </c>
      <c r="AE1278" s="320">
        <v>12.0</v>
      </c>
      <c r="AF1278" s="320">
        <v>28.0</v>
      </c>
      <c r="AG1278" s="320">
        <v>52.0</v>
      </c>
      <c r="AH1278" s="320">
        <v>78.0</v>
      </c>
      <c r="AI1278" s="320">
        <v>50.78</v>
      </c>
      <c r="AJ1278" s="320">
        <v>19.29</v>
      </c>
      <c r="AK1278" s="320">
        <v>4.3</v>
      </c>
      <c r="AL1278" s="320">
        <v>0.1792</v>
      </c>
      <c r="AM1278" s="320">
        <v>20.72</v>
      </c>
      <c r="AN1278" s="320">
        <v>553.72</v>
      </c>
      <c r="AO1278" s="320">
        <v>76.26</v>
      </c>
      <c r="AP1278" s="320">
        <v>15.8</v>
      </c>
    </row>
    <row r="1279">
      <c r="A1279" s="319" t="s">
        <v>258</v>
      </c>
      <c r="B1279" s="328">
        <v>46142.0</v>
      </c>
      <c r="C1279" s="319" t="s">
        <v>218</v>
      </c>
      <c r="D1279" s="320">
        <v>357.0</v>
      </c>
      <c r="E1279" s="320">
        <v>0.5</v>
      </c>
      <c r="F1279" s="320">
        <v>3619.56</v>
      </c>
      <c r="G1279" s="320">
        <v>10.1388</v>
      </c>
      <c r="H1279" s="320">
        <v>49.3</v>
      </c>
      <c r="I1279" s="320">
        <v>20.5657</v>
      </c>
      <c r="J1279" s="320">
        <v>232.68</v>
      </c>
      <c r="K1279" s="320">
        <v>154.75</v>
      </c>
      <c r="L1279" s="320">
        <v>125.15</v>
      </c>
      <c r="M1279" s="320">
        <v>0.8088</v>
      </c>
      <c r="N1279" s="320">
        <v>0.2785</v>
      </c>
      <c r="O1279" s="320">
        <v>0.1666</v>
      </c>
      <c r="P1279" s="320">
        <v>1.2365</v>
      </c>
      <c r="Q1279" s="320">
        <v>1238.04</v>
      </c>
      <c r="R1279" s="320">
        <v>1018.59</v>
      </c>
      <c r="S1279" s="320">
        <v>219.45</v>
      </c>
      <c r="T1279" s="320">
        <v>636.82</v>
      </c>
      <c r="U1279" s="320">
        <v>601.22</v>
      </c>
      <c r="V1279" s="320">
        <v>1256.72</v>
      </c>
      <c r="W1279" s="320">
        <v>8.1211</v>
      </c>
      <c r="X1279" s="320">
        <v>51.44</v>
      </c>
      <c r="Y1279" s="320">
        <v>143.0</v>
      </c>
      <c r="Z1279" s="320">
        <v>529.0</v>
      </c>
      <c r="AA1279" s="320">
        <v>2226.0</v>
      </c>
      <c r="AB1279" s="320">
        <v>61.7314</v>
      </c>
      <c r="AC1279" s="320">
        <v>0.8574</v>
      </c>
      <c r="AD1279" s="320">
        <v>85.13</v>
      </c>
      <c r="AE1279" s="320">
        <v>30.0</v>
      </c>
      <c r="AF1279" s="320">
        <v>69.0</v>
      </c>
      <c r="AG1279" s="320">
        <v>115.0</v>
      </c>
      <c r="AH1279" s="320">
        <v>181.0</v>
      </c>
      <c r="AI1279" s="320">
        <v>43.98</v>
      </c>
      <c r="AJ1279" s="320">
        <v>10.64</v>
      </c>
      <c r="AK1279" s="320">
        <v>3.08</v>
      </c>
      <c r="AL1279" s="320">
        <v>0.1485</v>
      </c>
      <c r="AM1279" s="320">
        <v>24.89</v>
      </c>
      <c r="AN1279" s="320">
        <v>993.7</v>
      </c>
      <c r="AO1279" s="320">
        <v>71.35</v>
      </c>
      <c r="AP1279" s="320">
        <v>17.76</v>
      </c>
    </row>
    <row r="1280">
      <c r="A1280" s="319" t="s">
        <v>258</v>
      </c>
      <c r="B1280" s="328">
        <v>46143.0</v>
      </c>
      <c r="C1280" s="319" t="s">
        <v>257</v>
      </c>
      <c r="D1280" s="320">
        <v>13664.0</v>
      </c>
      <c r="E1280" s="320">
        <v>19.55</v>
      </c>
      <c r="F1280" s="320">
        <v>240.59</v>
      </c>
      <c r="G1280" s="320">
        <v>0.0176</v>
      </c>
      <c r="H1280" s="320">
        <v>0.48</v>
      </c>
      <c r="I1280" s="320">
        <v>3.6453</v>
      </c>
      <c r="J1280" s="320">
        <v>5.58</v>
      </c>
      <c r="K1280" s="320">
        <v>2.32</v>
      </c>
      <c r="L1280" s="320">
        <v>0.04</v>
      </c>
      <c r="M1280" s="320">
        <v>0.0175</v>
      </c>
      <c r="N1280" s="320">
        <v>0.9839</v>
      </c>
      <c r="O1280" s="320">
        <v>0.8182</v>
      </c>
      <c r="P1280" s="320">
        <v>57.13</v>
      </c>
      <c r="Q1280" s="320">
        <v>31.18</v>
      </c>
      <c r="R1280" s="320">
        <v>31.11</v>
      </c>
      <c r="S1280" s="320">
        <v>0.07</v>
      </c>
      <c r="T1280" s="320">
        <v>1.21</v>
      </c>
      <c r="U1280" s="320">
        <v>29.97</v>
      </c>
      <c r="V1280" s="320">
        <v>2.02</v>
      </c>
      <c r="W1280" s="320">
        <v>0.872</v>
      </c>
      <c r="X1280" s="320">
        <v>3.87</v>
      </c>
      <c r="Y1280" s="320">
        <v>185.0</v>
      </c>
      <c r="Z1280" s="320">
        <v>1496.0</v>
      </c>
      <c r="AA1280" s="320">
        <v>8510.0</v>
      </c>
      <c r="AB1280" s="320">
        <v>49.817</v>
      </c>
      <c r="AC1280" s="320">
        <v>0.5157</v>
      </c>
      <c r="AD1280" s="329"/>
      <c r="AE1280" s="329"/>
      <c r="AF1280" s="329"/>
      <c r="AG1280" s="329"/>
      <c r="AH1280" s="329"/>
      <c r="AI1280" s="320">
        <v>0.0</v>
      </c>
      <c r="AJ1280" s="320">
        <v>0.0</v>
      </c>
      <c r="AK1280" s="320">
        <v>0.0</v>
      </c>
      <c r="AL1280" s="320">
        <v>0.2993</v>
      </c>
      <c r="AM1280" s="320">
        <v>16.63</v>
      </c>
      <c r="AN1280" s="320">
        <v>14.48</v>
      </c>
      <c r="AO1280" s="329"/>
      <c r="AP1280" s="329"/>
    </row>
    <row r="1281">
      <c r="A1281" s="319" t="s">
        <v>258</v>
      </c>
      <c r="B1281" s="328">
        <v>46143.0</v>
      </c>
      <c r="C1281" s="319" t="s">
        <v>214</v>
      </c>
      <c r="D1281" s="320">
        <v>29279.0</v>
      </c>
      <c r="E1281" s="320">
        <v>41.89</v>
      </c>
      <c r="F1281" s="320">
        <v>8523.33</v>
      </c>
      <c r="G1281" s="320">
        <v>0.2911</v>
      </c>
      <c r="H1281" s="320">
        <v>7.73</v>
      </c>
      <c r="I1281" s="320">
        <v>3.7647</v>
      </c>
      <c r="J1281" s="320">
        <v>33.76</v>
      </c>
      <c r="K1281" s="320">
        <v>18.04</v>
      </c>
      <c r="L1281" s="320">
        <v>5.79</v>
      </c>
      <c r="M1281" s="320">
        <v>0.321</v>
      </c>
      <c r="N1281" s="320">
        <v>0.7495</v>
      </c>
      <c r="O1281" s="320">
        <v>0.495</v>
      </c>
      <c r="P1281" s="320">
        <v>3.1153</v>
      </c>
      <c r="Q1281" s="320">
        <v>90.38</v>
      </c>
      <c r="R1281" s="320">
        <v>80.42</v>
      </c>
      <c r="S1281" s="320">
        <v>9.96</v>
      </c>
      <c r="T1281" s="320">
        <v>18.19</v>
      </c>
      <c r="U1281" s="320">
        <v>72.19</v>
      </c>
      <c r="V1281" s="320">
        <v>83.19</v>
      </c>
      <c r="W1281" s="320">
        <v>4.6124</v>
      </c>
      <c r="X1281" s="320">
        <v>20.13</v>
      </c>
      <c r="Y1281" s="320">
        <v>90.0</v>
      </c>
      <c r="Z1281" s="320">
        <v>222.0</v>
      </c>
      <c r="AA1281" s="320">
        <v>897.0</v>
      </c>
      <c r="AB1281" s="320">
        <v>49.4752</v>
      </c>
      <c r="AC1281" s="320">
        <v>0.4429</v>
      </c>
      <c r="AD1281" s="320">
        <v>3.88</v>
      </c>
      <c r="AE1281" s="320">
        <v>1.0</v>
      </c>
      <c r="AF1281" s="320">
        <v>2.0</v>
      </c>
      <c r="AG1281" s="320">
        <v>5.0</v>
      </c>
      <c r="AH1281" s="320">
        <v>9.0</v>
      </c>
      <c r="AI1281" s="320">
        <v>70.54</v>
      </c>
      <c r="AJ1281" s="320">
        <v>28.83</v>
      </c>
      <c r="AK1281" s="320">
        <v>8.59</v>
      </c>
      <c r="AL1281" s="320">
        <v>0.2321</v>
      </c>
      <c r="AM1281" s="320">
        <v>21.15</v>
      </c>
      <c r="AN1281" s="320">
        <v>59.27</v>
      </c>
      <c r="AO1281" s="320">
        <v>68.75</v>
      </c>
      <c r="AP1281" s="320">
        <v>14.54</v>
      </c>
    </row>
    <row r="1282">
      <c r="A1282" s="319" t="s">
        <v>258</v>
      </c>
      <c r="B1282" s="328">
        <v>46143.0</v>
      </c>
      <c r="C1282" s="319" t="s">
        <v>215</v>
      </c>
      <c r="D1282" s="320">
        <v>15312.0</v>
      </c>
      <c r="E1282" s="320">
        <v>21.91</v>
      </c>
      <c r="F1282" s="320">
        <v>17089.81</v>
      </c>
      <c r="G1282" s="320">
        <v>1.1161</v>
      </c>
      <c r="H1282" s="320">
        <v>21.99</v>
      </c>
      <c r="I1282" s="320">
        <v>5.0757</v>
      </c>
      <c r="J1282" s="320">
        <v>61.49</v>
      </c>
      <c r="K1282" s="320">
        <v>34.98</v>
      </c>
      <c r="L1282" s="320">
        <v>14.38</v>
      </c>
      <c r="M1282" s="320">
        <v>0.411</v>
      </c>
      <c r="N1282" s="320">
        <v>0.6523</v>
      </c>
      <c r="O1282" s="320">
        <v>0.3751</v>
      </c>
      <c r="P1282" s="320">
        <v>2.4333</v>
      </c>
      <c r="Q1282" s="320">
        <v>188.01</v>
      </c>
      <c r="R1282" s="320">
        <v>163.1</v>
      </c>
      <c r="S1282" s="320">
        <v>24.91</v>
      </c>
      <c r="T1282" s="320">
        <v>69.82</v>
      </c>
      <c r="U1282" s="320">
        <v>118.19</v>
      </c>
      <c r="V1282" s="320">
        <v>186.23</v>
      </c>
      <c r="W1282" s="320">
        <v>5.3232</v>
      </c>
      <c r="X1282" s="320">
        <v>37.14</v>
      </c>
      <c r="Y1282" s="320">
        <v>85.0</v>
      </c>
      <c r="Z1282" s="320">
        <v>194.0</v>
      </c>
      <c r="AA1282" s="320">
        <v>609.0</v>
      </c>
      <c r="AB1282" s="320">
        <v>52.2607</v>
      </c>
      <c r="AC1282" s="320">
        <v>0.5455</v>
      </c>
      <c r="AD1282" s="320">
        <v>9.21</v>
      </c>
      <c r="AE1282" s="320">
        <v>3.0</v>
      </c>
      <c r="AF1282" s="320">
        <v>7.0</v>
      </c>
      <c r="AG1282" s="320">
        <v>13.0</v>
      </c>
      <c r="AH1282" s="320">
        <v>20.0</v>
      </c>
      <c r="AI1282" s="320">
        <v>56.91</v>
      </c>
      <c r="AJ1282" s="320">
        <v>25.35</v>
      </c>
      <c r="AK1282" s="320">
        <v>5.05</v>
      </c>
      <c r="AL1282" s="320">
        <v>0.2013</v>
      </c>
      <c r="AM1282" s="320">
        <v>21.75</v>
      </c>
      <c r="AN1282" s="320">
        <v>141.35</v>
      </c>
      <c r="AO1282" s="320">
        <v>74.48</v>
      </c>
      <c r="AP1282" s="320">
        <v>16.2</v>
      </c>
    </row>
    <row r="1283">
      <c r="A1283" s="319" t="s">
        <v>258</v>
      </c>
      <c r="B1283" s="328">
        <v>46143.0</v>
      </c>
      <c r="C1283" s="319" t="s">
        <v>216</v>
      </c>
      <c r="D1283" s="320">
        <v>8105.0</v>
      </c>
      <c r="E1283" s="320">
        <v>11.6</v>
      </c>
      <c r="F1283" s="320">
        <v>21238.47</v>
      </c>
      <c r="G1283" s="320">
        <v>2.6204</v>
      </c>
      <c r="H1283" s="320">
        <v>34.04</v>
      </c>
      <c r="I1283" s="320">
        <v>7.6979</v>
      </c>
      <c r="J1283" s="320">
        <v>87.26</v>
      </c>
      <c r="K1283" s="320">
        <v>51.56</v>
      </c>
      <c r="L1283" s="320">
        <v>26.98</v>
      </c>
      <c r="M1283" s="320">
        <v>0.5234</v>
      </c>
      <c r="N1283" s="320">
        <v>0.5466</v>
      </c>
      <c r="O1283" s="320">
        <v>0.3002</v>
      </c>
      <c r="P1283" s="320">
        <v>1.9108</v>
      </c>
      <c r="Q1283" s="320">
        <v>336.41</v>
      </c>
      <c r="R1283" s="320">
        <v>289.49</v>
      </c>
      <c r="S1283" s="320">
        <v>46.92</v>
      </c>
      <c r="T1283" s="320">
        <v>161.33</v>
      </c>
      <c r="U1283" s="320">
        <v>175.08</v>
      </c>
      <c r="V1283" s="320">
        <v>346.47</v>
      </c>
      <c r="W1283" s="320">
        <v>6.7198</v>
      </c>
      <c r="X1283" s="320">
        <v>47.96</v>
      </c>
      <c r="Y1283" s="320">
        <v>86.0</v>
      </c>
      <c r="Z1283" s="320">
        <v>211.0</v>
      </c>
      <c r="AA1283" s="320">
        <v>643.0</v>
      </c>
      <c r="AB1283" s="320">
        <v>54.452</v>
      </c>
      <c r="AC1283" s="320">
        <v>0.6594</v>
      </c>
      <c r="AD1283" s="320">
        <v>17.41</v>
      </c>
      <c r="AE1283" s="320">
        <v>6.0</v>
      </c>
      <c r="AF1283" s="320">
        <v>13.0</v>
      </c>
      <c r="AG1283" s="320">
        <v>24.0</v>
      </c>
      <c r="AH1283" s="320">
        <v>37.0</v>
      </c>
      <c r="AI1283" s="320">
        <v>57.09</v>
      </c>
      <c r="AJ1283" s="320">
        <v>22.96</v>
      </c>
      <c r="AK1283" s="320">
        <v>7.0</v>
      </c>
      <c r="AL1283" s="320">
        <v>0.2149</v>
      </c>
      <c r="AM1283" s="320">
        <v>21.3</v>
      </c>
      <c r="AN1283" s="320">
        <v>268.2</v>
      </c>
      <c r="AO1283" s="320">
        <v>74.49</v>
      </c>
      <c r="AP1283" s="320">
        <v>15.87</v>
      </c>
    </row>
    <row r="1284">
      <c r="A1284" s="319" t="s">
        <v>258</v>
      </c>
      <c r="B1284" s="328">
        <v>46143.0</v>
      </c>
      <c r="C1284" s="319" t="s">
        <v>217</v>
      </c>
      <c r="D1284" s="320">
        <v>3177.0</v>
      </c>
      <c r="E1284" s="320">
        <v>4.55</v>
      </c>
      <c r="F1284" s="320">
        <v>18897.99</v>
      </c>
      <c r="G1284" s="320">
        <v>5.9484</v>
      </c>
      <c r="H1284" s="320">
        <v>44.82</v>
      </c>
      <c r="I1284" s="320">
        <v>13.2711</v>
      </c>
      <c r="J1284" s="320">
        <v>135.4</v>
      </c>
      <c r="K1284" s="320">
        <v>82.02</v>
      </c>
      <c r="L1284" s="320">
        <v>54.06</v>
      </c>
      <c r="M1284" s="320">
        <v>0.6591</v>
      </c>
      <c r="N1284" s="320">
        <v>0.4229</v>
      </c>
      <c r="O1284" s="320">
        <v>0.2351</v>
      </c>
      <c r="P1284" s="320">
        <v>1.5171</v>
      </c>
      <c r="Q1284" s="320">
        <v>657.51</v>
      </c>
      <c r="R1284" s="320">
        <v>562.41</v>
      </c>
      <c r="S1284" s="320">
        <v>95.1</v>
      </c>
      <c r="T1284" s="320">
        <v>375.68</v>
      </c>
      <c r="U1284" s="320">
        <v>281.83</v>
      </c>
      <c r="V1284" s="320">
        <v>669.88</v>
      </c>
      <c r="W1284" s="320">
        <v>8.1677</v>
      </c>
      <c r="X1284" s="320">
        <v>57.14</v>
      </c>
      <c r="Y1284" s="320">
        <v>94.0</v>
      </c>
      <c r="Z1284" s="320">
        <v>292.0</v>
      </c>
      <c r="AA1284" s="320">
        <v>900.0</v>
      </c>
      <c r="AB1284" s="320">
        <v>57.4817</v>
      </c>
      <c r="AC1284" s="320">
        <v>0.7551</v>
      </c>
      <c r="AD1284" s="320">
        <v>35.47</v>
      </c>
      <c r="AE1284" s="320">
        <v>11.0</v>
      </c>
      <c r="AF1284" s="320">
        <v>26.0</v>
      </c>
      <c r="AG1284" s="320">
        <v>50.0</v>
      </c>
      <c r="AH1284" s="320">
        <v>79.0</v>
      </c>
      <c r="AI1284" s="320">
        <v>47.53</v>
      </c>
      <c r="AJ1284" s="320">
        <v>19.01</v>
      </c>
      <c r="AK1284" s="320">
        <v>4.91</v>
      </c>
      <c r="AL1284" s="320">
        <v>0.1722</v>
      </c>
      <c r="AM1284" s="320">
        <v>20.79</v>
      </c>
      <c r="AN1284" s="320">
        <v>541.62</v>
      </c>
      <c r="AO1284" s="320">
        <v>76.72</v>
      </c>
      <c r="AP1284" s="320">
        <v>15.95</v>
      </c>
    </row>
    <row r="1285">
      <c r="A1285" s="319" t="s">
        <v>258</v>
      </c>
      <c r="B1285" s="328">
        <v>46143.0</v>
      </c>
      <c r="C1285" s="319" t="s">
        <v>218</v>
      </c>
      <c r="D1285" s="320">
        <v>358.0</v>
      </c>
      <c r="E1285" s="320">
        <v>0.51</v>
      </c>
      <c r="F1285" s="320">
        <v>4105.04</v>
      </c>
      <c r="G1285" s="320">
        <v>11.4666</v>
      </c>
      <c r="H1285" s="320">
        <v>52.51</v>
      </c>
      <c r="I1285" s="320">
        <v>21.8353</v>
      </c>
      <c r="J1285" s="320">
        <v>243.26</v>
      </c>
      <c r="K1285" s="320">
        <v>157.03</v>
      </c>
      <c r="L1285" s="320">
        <v>123.7</v>
      </c>
      <c r="M1285" s="320">
        <v>0.7877</v>
      </c>
      <c r="N1285" s="320">
        <v>0.2977</v>
      </c>
      <c r="O1285" s="320">
        <v>0.1794</v>
      </c>
      <c r="P1285" s="320">
        <v>1.2694</v>
      </c>
      <c r="Q1285" s="320">
        <v>1254.4</v>
      </c>
      <c r="R1285" s="320">
        <v>1038.29</v>
      </c>
      <c r="S1285" s="320">
        <v>216.1</v>
      </c>
      <c r="T1285" s="320">
        <v>746.1</v>
      </c>
      <c r="U1285" s="320">
        <v>508.29</v>
      </c>
      <c r="V1285" s="320">
        <v>1329.19</v>
      </c>
      <c r="W1285" s="320">
        <v>8.4648</v>
      </c>
      <c r="X1285" s="320">
        <v>59.48</v>
      </c>
      <c r="Y1285" s="320">
        <v>136.0</v>
      </c>
      <c r="Z1285" s="320">
        <v>483.0</v>
      </c>
      <c r="AA1285" s="320">
        <v>2199.0</v>
      </c>
      <c r="AB1285" s="320">
        <v>62.0867</v>
      </c>
      <c r="AC1285" s="320">
        <v>0.8518</v>
      </c>
      <c r="AD1285" s="320">
        <v>80.99</v>
      </c>
      <c r="AE1285" s="320">
        <v>26.0</v>
      </c>
      <c r="AF1285" s="320">
        <v>61.0</v>
      </c>
      <c r="AG1285" s="320">
        <v>116.0</v>
      </c>
      <c r="AH1285" s="320">
        <v>173.0</v>
      </c>
      <c r="AI1285" s="320">
        <v>39.94</v>
      </c>
      <c r="AJ1285" s="320">
        <v>10.06</v>
      </c>
      <c r="AK1285" s="320">
        <v>1.12</v>
      </c>
      <c r="AL1285" s="320">
        <v>0.1369</v>
      </c>
      <c r="AM1285" s="320">
        <v>21.1</v>
      </c>
      <c r="AN1285" s="320">
        <v>1017.19</v>
      </c>
      <c r="AO1285" s="320">
        <v>72.27</v>
      </c>
      <c r="AP1285" s="320">
        <v>15.25</v>
      </c>
    </row>
    <row r="1286">
      <c r="A1286" s="319" t="s">
        <v>258</v>
      </c>
      <c r="B1286" s="328">
        <v>46144.0</v>
      </c>
      <c r="C1286" s="319" t="s">
        <v>257</v>
      </c>
      <c r="D1286" s="320">
        <v>14493.0</v>
      </c>
      <c r="E1286" s="320">
        <v>20.94</v>
      </c>
      <c r="F1286" s="320">
        <v>144.65</v>
      </c>
      <c r="G1286" s="320">
        <v>0.01</v>
      </c>
      <c r="H1286" s="320">
        <v>0.28</v>
      </c>
      <c r="I1286" s="320">
        <v>3.6162</v>
      </c>
      <c r="J1286" s="320">
        <v>5.77</v>
      </c>
      <c r="K1286" s="320">
        <v>2.59</v>
      </c>
      <c r="L1286" s="320">
        <v>0.03</v>
      </c>
      <c r="M1286" s="320">
        <v>0.012</v>
      </c>
      <c r="N1286" s="320">
        <v>0.9888</v>
      </c>
      <c r="O1286" s="320">
        <v>0.8626</v>
      </c>
      <c r="P1286" s="320">
        <v>83.3689</v>
      </c>
      <c r="Q1286" s="320">
        <v>27.28</v>
      </c>
      <c r="R1286" s="320">
        <v>27.22</v>
      </c>
      <c r="S1286" s="320">
        <v>0.05</v>
      </c>
      <c r="T1286" s="320">
        <v>0.73</v>
      </c>
      <c r="U1286" s="320">
        <v>26.55</v>
      </c>
      <c r="V1286" s="320">
        <v>2.57</v>
      </c>
      <c r="W1286" s="320">
        <v>0.9929</v>
      </c>
      <c r="X1286" s="320">
        <v>2.69</v>
      </c>
      <c r="Y1286" s="320">
        <v>156.0</v>
      </c>
      <c r="Z1286" s="320">
        <v>1227.0</v>
      </c>
      <c r="AA1286" s="320">
        <v>7940.0</v>
      </c>
      <c r="AB1286" s="320">
        <v>49.7905</v>
      </c>
      <c r="AC1286" s="320">
        <v>0.5068</v>
      </c>
      <c r="AD1286" s="329"/>
      <c r="AE1286" s="329"/>
      <c r="AF1286" s="329"/>
      <c r="AG1286" s="329"/>
      <c r="AH1286" s="329"/>
      <c r="AI1286" s="320">
        <v>0.0</v>
      </c>
      <c r="AJ1286" s="320">
        <v>0.0</v>
      </c>
      <c r="AK1286" s="320">
        <v>0.0</v>
      </c>
      <c r="AL1286" s="320">
        <v>0.2713</v>
      </c>
      <c r="AM1286" s="320">
        <v>17.48</v>
      </c>
      <c r="AN1286" s="320">
        <v>9.75</v>
      </c>
      <c r="AO1286" s="329"/>
      <c r="AP1286" s="329"/>
    </row>
    <row r="1287">
      <c r="A1287" s="319" t="s">
        <v>258</v>
      </c>
      <c r="B1287" s="328">
        <v>46144.0</v>
      </c>
      <c r="C1287" s="319" t="s">
        <v>214</v>
      </c>
      <c r="D1287" s="320">
        <v>28225.0</v>
      </c>
      <c r="E1287" s="320">
        <v>40.78</v>
      </c>
      <c r="F1287" s="320">
        <v>7036.11</v>
      </c>
      <c r="G1287" s="320">
        <v>0.2493</v>
      </c>
      <c r="H1287" s="320">
        <v>7.19</v>
      </c>
      <c r="I1287" s="320">
        <v>3.4678</v>
      </c>
      <c r="J1287" s="320">
        <v>31.45</v>
      </c>
      <c r="K1287" s="320">
        <v>16.65</v>
      </c>
      <c r="L1287" s="320">
        <v>5.41</v>
      </c>
      <c r="M1287" s="320">
        <v>0.3248</v>
      </c>
      <c r="N1287" s="320">
        <v>0.7481</v>
      </c>
      <c r="O1287" s="320">
        <v>0.5027</v>
      </c>
      <c r="P1287" s="320">
        <v>3.0785</v>
      </c>
      <c r="Q1287" s="320">
        <v>73.78</v>
      </c>
      <c r="R1287" s="320">
        <v>64.41</v>
      </c>
      <c r="S1287" s="320">
        <v>9.37</v>
      </c>
      <c r="T1287" s="320">
        <v>16.02</v>
      </c>
      <c r="U1287" s="320">
        <v>57.77</v>
      </c>
      <c r="V1287" s="320">
        <v>77.87</v>
      </c>
      <c r="W1287" s="320">
        <v>4.6755</v>
      </c>
      <c r="X1287" s="320">
        <v>21.71</v>
      </c>
      <c r="Y1287" s="320">
        <v>90.0</v>
      </c>
      <c r="Z1287" s="320">
        <v>224.0</v>
      </c>
      <c r="AA1287" s="320">
        <v>951.0</v>
      </c>
      <c r="AB1287" s="320">
        <v>49.5046</v>
      </c>
      <c r="AC1287" s="320">
        <v>0.4478</v>
      </c>
      <c r="AD1287" s="320">
        <v>3.68</v>
      </c>
      <c r="AE1287" s="320">
        <v>1.0</v>
      </c>
      <c r="AF1287" s="320">
        <v>2.0</v>
      </c>
      <c r="AG1287" s="320">
        <v>5.0</v>
      </c>
      <c r="AH1287" s="320">
        <v>8.0</v>
      </c>
      <c r="AI1287" s="320">
        <v>67.55</v>
      </c>
      <c r="AJ1287" s="320">
        <v>26.11</v>
      </c>
      <c r="AK1287" s="320">
        <v>7.71</v>
      </c>
      <c r="AL1287" s="320">
        <v>0.22</v>
      </c>
      <c r="AM1287" s="320">
        <v>23.02</v>
      </c>
      <c r="AN1287" s="320">
        <v>41.39</v>
      </c>
      <c r="AO1287" s="320">
        <v>68.61</v>
      </c>
      <c r="AP1287" s="320">
        <v>15.79</v>
      </c>
    </row>
    <row r="1288">
      <c r="A1288" s="319" t="s">
        <v>258</v>
      </c>
      <c r="B1288" s="328">
        <v>46144.0</v>
      </c>
      <c r="C1288" s="319" t="s">
        <v>215</v>
      </c>
      <c r="D1288" s="320">
        <v>15013.0</v>
      </c>
      <c r="E1288" s="320">
        <v>21.69</v>
      </c>
      <c r="F1288" s="320">
        <v>16133.92</v>
      </c>
      <c r="G1288" s="320">
        <v>1.0747</v>
      </c>
      <c r="H1288" s="320">
        <v>21.67</v>
      </c>
      <c r="I1288" s="320">
        <v>4.9597</v>
      </c>
      <c r="J1288" s="320">
        <v>56.83</v>
      </c>
      <c r="K1288" s="320">
        <v>32.11</v>
      </c>
      <c r="L1288" s="320">
        <v>13.33</v>
      </c>
      <c r="M1288" s="320">
        <v>0.4151</v>
      </c>
      <c r="N1288" s="320">
        <v>0.6495</v>
      </c>
      <c r="O1288" s="320">
        <v>0.375</v>
      </c>
      <c r="P1288" s="320">
        <v>2.4093</v>
      </c>
      <c r="Q1288" s="320">
        <v>169.35</v>
      </c>
      <c r="R1288" s="320">
        <v>146.31</v>
      </c>
      <c r="S1288" s="320">
        <v>23.05</v>
      </c>
      <c r="T1288" s="320">
        <v>67.93</v>
      </c>
      <c r="U1288" s="320">
        <v>101.42</v>
      </c>
      <c r="V1288" s="320">
        <v>174.07</v>
      </c>
      <c r="W1288" s="320">
        <v>5.4212</v>
      </c>
      <c r="X1288" s="320">
        <v>40.11</v>
      </c>
      <c r="Y1288" s="320">
        <v>83.0</v>
      </c>
      <c r="Z1288" s="320">
        <v>188.0</v>
      </c>
      <c r="AA1288" s="320">
        <v>626.0</v>
      </c>
      <c r="AB1288" s="320">
        <v>52.4035</v>
      </c>
      <c r="AC1288" s="320">
        <v>0.5506</v>
      </c>
      <c r="AD1288" s="320">
        <v>8.77</v>
      </c>
      <c r="AE1288" s="320">
        <v>3.0</v>
      </c>
      <c r="AF1288" s="320">
        <v>6.0</v>
      </c>
      <c r="AG1288" s="320">
        <v>13.0</v>
      </c>
      <c r="AH1288" s="320">
        <v>19.0</v>
      </c>
      <c r="AI1288" s="320">
        <v>53.73</v>
      </c>
      <c r="AJ1288" s="320">
        <v>24.5</v>
      </c>
      <c r="AK1288" s="320">
        <v>4.66</v>
      </c>
      <c r="AL1288" s="320">
        <v>0.1943</v>
      </c>
      <c r="AM1288" s="320">
        <v>23.23</v>
      </c>
      <c r="AN1288" s="320">
        <v>123.07</v>
      </c>
      <c r="AO1288" s="320">
        <v>73.92</v>
      </c>
      <c r="AP1288" s="320">
        <v>17.17</v>
      </c>
    </row>
    <row r="1289">
      <c r="A1289" s="319" t="s">
        <v>258</v>
      </c>
      <c r="B1289" s="328">
        <v>46144.0</v>
      </c>
      <c r="C1289" s="319" t="s">
        <v>216</v>
      </c>
      <c r="D1289" s="320">
        <v>7867.0</v>
      </c>
      <c r="E1289" s="320">
        <v>11.37</v>
      </c>
      <c r="F1289" s="320">
        <v>19327.17</v>
      </c>
      <c r="G1289" s="320">
        <v>2.4567</v>
      </c>
      <c r="H1289" s="320">
        <v>32.88</v>
      </c>
      <c r="I1289" s="320">
        <v>7.4709</v>
      </c>
      <c r="J1289" s="320">
        <v>82.59</v>
      </c>
      <c r="K1289" s="320">
        <v>48.56</v>
      </c>
      <c r="L1289" s="320">
        <v>26.24</v>
      </c>
      <c r="M1289" s="320">
        <v>0.5404</v>
      </c>
      <c r="N1289" s="320">
        <v>0.5312</v>
      </c>
      <c r="O1289" s="320">
        <v>0.2929</v>
      </c>
      <c r="P1289" s="320">
        <v>1.8505</v>
      </c>
      <c r="Q1289" s="320">
        <v>326.32</v>
      </c>
      <c r="R1289" s="320">
        <v>280.45</v>
      </c>
      <c r="S1289" s="320">
        <v>45.88</v>
      </c>
      <c r="T1289" s="320">
        <v>153.42</v>
      </c>
      <c r="U1289" s="320">
        <v>172.9</v>
      </c>
      <c r="V1289" s="320">
        <v>332.32</v>
      </c>
      <c r="W1289" s="320">
        <v>6.8437</v>
      </c>
      <c r="X1289" s="320">
        <v>47.02</v>
      </c>
      <c r="Y1289" s="320">
        <v>88.0</v>
      </c>
      <c r="Z1289" s="320">
        <v>223.0</v>
      </c>
      <c r="AA1289" s="320">
        <v>634.0</v>
      </c>
      <c r="AB1289" s="320">
        <v>54.4965</v>
      </c>
      <c r="AC1289" s="320">
        <v>0.6577</v>
      </c>
      <c r="AD1289" s="320">
        <v>17.38</v>
      </c>
      <c r="AE1289" s="320">
        <v>6.0</v>
      </c>
      <c r="AF1289" s="320">
        <v>13.0</v>
      </c>
      <c r="AG1289" s="320">
        <v>24.0</v>
      </c>
      <c r="AH1289" s="320">
        <v>37.0</v>
      </c>
      <c r="AI1289" s="320">
        <v>55.85</v>
      </c>
      <c r="AJ1289" s="320">
        <v>23.3</v>
      </c>
      <c r="AK1289" s="320">
        <v>7.21</v>
      </c>
      <c r="AL1289" s="320">
        <v>0.2003</v>
      </c>
      <c r="AM1289" s="320">
        <v>22.48</v>
      </c>
      <c r="AN1289" s="320">
        <v>257.97</v>
      </c>
      <c r="AO1289" s="320">
        <v>74.07</v>
      </c>
      <c r="AP1289" s="320">
        <v>16.65</v>
      </c>
    </row>
    <row r="1290">
      <c r="A1290" s="319" t="s">
        <v>258</v>
      </c>
      <c r="B1290" s="328">
        <v>46144.0</v>
      </c>
      <c r="C1290" s="319" t="s">
        <v>217</v>
      </c>
      <c r="D1290" s="320">
        <v>3270.0</v>
      </c>
      <c r="E1290" s="320">
        <v>4.72</v>
      </c>
      <c r="F1290" s="320">
        <v>18148.68</v>
      </c>
      <c r="G1290" s="320">
        <v>5.5501</v>
      </c>
      <c r="H1290" s="320">
        <v>44.34</v>
      </c>
      <c r="I1290" s="320">
        <v>12.5163</v>
      </c>
      <c r="J1290" s="320">
        <v>130.33</v>
      </c>
      <c r="K1290" s="320">
        <v>79.92</v>
      </c>
      <c r="L1290" s="320">
        <v>54.16</v>
      </c>
      <c r="M1290" s="320">
        <v>0.6777</v>
      </c>
      <c r="N1290" s="320">
        <v>0.408</v>
      </c>
      <c r="O1290" s="320">
        <v>0.2299</v>
      </c>
      <c r="P1290" s="320">
        <v>1.4756</v>
      </c>
      <c r="Q1290" s="320">
        <v>670.63</v>
      </c>
      <c r="R1290" s="320">
        <v>577.11</v>
      </c>
      <c r="S1290" s="320">
        <v>93.52</v>
      </c>
      <c r="T1290" s="320">
        <v>356.14</v>
      </c>
      <c r="U1290" s="320">
        <v>314.5</v>
      </c>
      <c r="V1290" s="320">
        <v>691.87</v>
      </c>
      <c r="W1290" s="320">
        <v>8.6569</v>
      </c>
      <c r="X1290" s="320">
        <v>53.1</v>
      </c>
      <c r="Y1290" s="320">
        <v>96.0</v>
      </c>
      <c r="Z1290" s="320">
        <v>288.0</v>
      </c>
      <c r="AA1290" s="320">
        <v>938.0</v>
      </c>
      <c r="AB1290" s="320">
        <v>57.5973</v>
      </c>
      <c r="AC1290" s="320">
        <v>0.7591</v>
      </c>
      <c r="AD1290" s="320">
        <v>36.09</v>
      </c>
      <c r="AE1290" s="320">
        <v>13.0</v>
      </c>
      <c r="AF1290" s="320">
        <v>27.0</v>
      </c>
      <c r="AG1290" s="320">
        <v>51.0</v>
      </c>
      <c r="AH1290" s="320">
        <v>77.0</v>
      </c>
      <c r="AI1290" s="320">
        <v>49.69</v>
      </c>
      <c r="AJ1290" s="320">
        <v>18.44</v>
      </c>
      <c r="AK1290" s="320">
        <v>4.74</v>
      </c>
      <c r="AL1290" s="320">
        <v>0.1587</v>
      </c>
      <c r="AM1290" s="320">
        <v>22.41</v>
      </c>
      <c r="AN1290" s="320">
        <v>554.7</v>
      </c>
      <c r="AO1290" s="320">
        <v>76.12</v>
      </c>
      <c r="AP1290" s="320">
        <v>17.06</v>
      </c>
    </row>
    <row r="1291">
      <c r="A1291" s="319" t="s">
        <v>258</v>
      </c>
      <c r="B1291" s="328">
        <v>46144.0</v>
      </c>
      <c r="C1291" s="319" t="s">
        <v>218</v>
      </c>
      <c r="D1291" s="320">
        <v>352.0</v>
      </c>
      <c r="E1291" s="320">
        <v>0.51</v>
      </c>
      <c r="F1291" s="320">
        <v>3576.88</v>
      </c>
      <c r="G1291" s="320">
        <v>10.1616</v>
      </c>
      <c r="H1291" s="320">
        <v>49.15</v>
      </c>
      <c r="I1291" s="320">
        <v>20.6756</v>
      </c>
      <c r="J1291" s="320">
        <v>240.62</v>
      </c>
      <c r="K1291" s="320">
        <v>156.23</v>
      </c>
      <c r="L1291" s="320">
        <v>122.37</v>
      </c>
      <c r="M1291" s="320">
        <v>0.7833</v>
      </c>
      <c r="N1291" s="320">
        <v>0.2987</v>
      </c>
      <c r="O1291" s="320">
        <v>0.179</v>
      </c>
      <c r="P1291" s="320">
        <v>1.2767</v>
      </c>
      <c r="Q1291" s="320">
        <v>1245.41</v>
      </c>
      <c r="R1291" s="320">
        <v>1026.3</v>
      </c>
      <c r="S1291" s="320">
        <v>219.12</v>
      </c>
      <c r="T1291" s="320">
        <v>675.26</v>
      </c>
      <c r="U1291" s="320">
        <v>570.16</v>
      </c>
      <c r="V1291" s="320">
        <v>1226.99</v>
      </c>
      <c r="W1291" s="320">
        <v>7.8537</v>
      </c>
      <c r="X1291" s="320">
        <v>54.22</v>
      </c>
      <c r="Y1291" s="320">
        <v>110.0</v>
      </c>
      <c r="Z1291" s="320">
        <v>517.0</v>
      </c>
      <c r="AA1291" s="320">
        <v>1762.0</v>
      </c>
      <c r="AB1291" s="320">
        <v>60.9802</v>
      </c>
      <c r="AC1291" s="320">
        <v>0.8386</v>
      </c>
      <c r="AD1291" s="320">
        <v>76.42</v>
      </c>
      <c r="AE1291" s="320">
        <v>27.0</v>
      </c>
      <c r="AF1291" s="320">
        <v>58.0</v>
      </c>
      <c r="AG1291" s="320">
        <v>110.0</v>
      </c>
      <c r="AH1291" s="320">
        <v>161.0</v>
      </c>
      <c r="AI1291" s="320">
        <v>39.49</v>
      </c>
      <c r="AJ1291" s="320">
        <v>7.39</v>
      </c>
      <c r="AK1291" s="320">
        <v>1.7</v>
      </c>
      <c r="AL1291" s="320">
        <v>0.1591</v>
      </c>
      <c r="AM1291" s="320">
        <v>23.82</v>
      </c>
      <c r="AN1291" s="320">
        <v>1002.47</v>
      </c>
      <c r="AO1291" s="320">
        <v>71.83</v>
      </c>
      <c r="AP1291" s="320">
        <v>17.11</v>
      </c>
    </row>
    <row r="1292">
      <c r="A1292" s="319" t="s">
        <v>258</v>
      </c>
      <c r="B1292" s="328">
        <v>46145.0</v>
      </c>
      <c r="C1292" s="319" t="s">
        <v>257</v>
      </c>
      <c r="D1292" s="320">
        <v>14701.0</v>
      </c>
      <c r="E1292" s="320">
        <v>20.68</v>
      </c>
      <c r="F1292" s="320">
        <v>66.49</v>
      </c>
      <c r="G1292" s="320">
        <v>0.0045</v>
      </c>
      <c r="H1292" s="320">
        <v>0.13</v>
      </c>
      <c r="I1292" s="320">
        <v>3.4995</v>
      </c>
      <c r="J1292" s="320">
        <v>6.58</v>
      </c>
      <c r="K1292" s="320">
        <v>2.87</v>
      </c>
      <c r="L1292" s="320">
        <v>0.02</v>
      </c>
      <c r="M1292" s="320">
        <v>0.0085</v>
      </c>
      <c r="N1292" s="320">
        <v>0.9921</v>
      </c>
      <c r="O1292" s="320">
        <v>0.8951</v>
      </c>
      <c r="P1292" s="320">
        <v>118.2997</v>
      </c>
      <c r="Q1292" s="320">
        <v>23.83</v>
      </c>
      <c r="R1292" s="320">
        <v>23.76</v>
      </c>
      <c r="S1292" s="320">
        <v>0.07</v>
      </c>
      <c r="T1292" s="320">
        <v>0.47</v>
      </c>
      <c r="U1292" s="320">
        <v>23.36</v>
      </c>
      <c r="V1292" s="320">
        <v>1.92</v>
      </c>
      <c r="W1292" s="320">
        <v>0.6677</v>
      </c>
      <c r="X1292" s="320">
        <v>1.96</v>
      </c>
      <c r="Y1292" s="320">
        <v>152.0</v>
      </c>
      <c r="Z1292" s="320">
        <v>1326.0</v>
      </c>
      <c r="AA1292" s="320">
        <v>8072.0</v>
      </c>
      <c r="AB1292" s="320">
        <v>50.0124</v>
      </c>
      <c r="AC1292" s="320">
        <v>0.5226</v>
      </c>
      <c r="AD1292" s="329"/>
      <c r="AE1292" s="329"/>
      <c r="AF1292" s="329"/>
      <c r="AG1292" s="329"/>
      <c r="AH1292" s="329"/>
      <c r="AI1292" s="320">
        <v>0.0</v>
      </c>
      <c r="AJ1292" s="320">
        <v>0.0</v>
      </c>
      <c r="AK1292" s="320">
        <v>0.0</v>
      </c>
      <c r="AL1292" s="320">
        <v>0.274</v>
      </c>
      <c r="AM1292" s="320">
        <v>17.54</v>
      </c>
      <c r="AN1292" s="320">
        <v>6.21</v>
      </c>
      <c r="AO1292" s="329"/>
      <c r="AP1292" s="329"/>
    </row>
    <row r="1293">
      <c r="A1293" s="319" t="s">
        <v>258</v>
      </c>
      <c r="B1293" s="328">
        <v>46145.0</v>
      </c>
      <c r="C1293" s="319" t="s">
        <v>214</v>
      </c>
      <c r="D1293" s="320">
        <v>29002.0</v>
      </c>
      <c r="E1293" s="320">
        <v>40.8</v>
      </c>
      <c r="F1293" s="320">
        <v>6704.38</v>
      </c>
      <c r="G1293" s="320">
        <v>0.2312</v>
      </c>
      <c r="H1293" s="320">
        <v>6.75</v>
      </c>
      <c r="I1293" s="320">
        <v>3.4241</v>
      </c>
      <c r="J1293" s="320">
        <v>35.11</v>
      </c>
      <c r="K1293" s="320">
        <v>19.07</v>
      </c>
      <c r="L1293" s="320">
        <v>5.42</v>
      </c>
      <c r="M1293" s="320">
        <v>0.2842</v>
      </c>
      <c r="N1293" s="320">
        <v>0.7779</v>
      </c>
      <c r="O1293" s="320">
        <v>0.528</v>
      </c>
      <c r="P1293" s="320">
        <v>3.5184</v>
      </c>
      <c r="Q1293" s="320">
        <v>64.64</v>
      </c>
      <c r="R1293" s="320">
        <v>55.27</v>
      </c>
      <c r="S1293" s="320">
        <v>9.38</v>
      </c>
      <c r="T1293" s="320">
        <v>15.36</v>
      </c>
      <c r="U1293" s="320">
        <v>49.28</v>
      </c>
      <c r="V1293" s="320">
        <v>72.72</v>
      </c>
      <c r="W1293" s="320">
        <v>3.8126</v>
      </c>
      <c r="X1293" s="320">
        <v>23.77</v>
      </c>
      <c r="Y1293" s="320">
        <v>85.0</v>
      </c>
      <c r="Z1293" s="320">
        <v>207.0</v>
      </c>
      <c r="AA1293" s="320">
        <v>890.0</v>
      </c>
      <c r="AB1293" s="320">
        <v>49.5213</v>
      </c>
      <c r="AC1293" s="320">
        <v>0.4456</v>
      </c>
      <c r="AD1293" s="320">
        <v>3.53</v>
      </c>
      <c r="AE1293" s="320">
        <v>1.0</v>
      </c>
      <c r="AF1293" s="320">
        <v>2.0</v>
      </c>
      <c r="AG1293" s="320">
        <v>5.0</v>
      </c>
      <c r="AH1293" s="320">
        <v>8.0</v>
      </c>
      <c r="AI1293" s="320">
        <v>67.55</v>
      </c>
      <c r="AJ1293" s="320">
        <v>25.12</v>
      </c>
      <c r="AK1293" s="320">
        <v>6.6</v>
      </c>
      <c r="AL1293" s="320">
        <v>0.2359</v>
      </c>
      <c r="AM1293" s="320">
        <v>21.69</v>
      </c>
      <c r="AN1293" s="320">
        <v>33.58</v>
      </c>
      <c r="AO1293" s="320">
        <v>67.93</v>
      </c>
      <c r="AP1293" s="320">
        <v>14.73</v>
      </c>
    </row>
    <row r="1294">
      <c r="A1294" s="319" t="s">
        <v>258</v>
      </c>
      <c r="B1294" s="328">
        <v>46145.0</v>
      </c>
      <c r="C1294" s="319" t="s">
        <v>215</v>
      </c>
      <c r="D1294" s="320">
        <v>15309.0</v>
      </c>
      <c r="E1294" s="320">
        <v>21.54</v>
      </c>
      <c r="F1294" s="320">
        <v>15765.33</v>
      </c>
      <c r="G1294" s="320">
        <v>1.0298</v>
      </c>
      <c r="H1294" s="320">
        <v>21.12</v>
      </c>
      <c r="I1294" s="320">
        <v>4.8764</v>
      </c>
      <c r="J1294" s="320">
        <v>62.37</v>
      </c>
      <c r="K1294" s="320">
        <v>35.9</v>
      </c>
      <c r="L1294" s="320">
        <v>13.65</v>
      </c>
      <c r="M1294" s="320">
        <v>0.3802</v>
      </c>
      <c r="N1294" s="320">
        <v>0.6755</v>
      </c>
      <c r="O1294" s="320">
        <v>0.3891</v>
      </c>
      <c r="P1294" s="320">
        <v>2.6299</v>
      </c>
      <c r="Q1294" s="320">
        <v>146.48</v>
      </c>
      <c r="R1294" s="320">
        <v>122.89</v>
      </c>
      <c r="S1294" s="320">
        <v>23.59</v>
      </c>
      <c r="T1294" s="320">
        <v>63.91</v>
      </c>
      <c r="U1294" s="320">
        <v>82.57</v>
      </c>
      <c r="V1294" s="320">
        <v>163.15</v>
      </c>
      <c r="W1294" s="320">
        <v>4.5447</v>
      </c>
      <c r="X1294" s="320">
        <v>43.63</v>
      </c>
      <c r="Y1294" s="320">
        <v>80.0</v>
      </c>
      <c r="Z1294" s="320">
        <v>169.0</v>
      </c>
      <c r="AA1294" s="320">
        <v>598.0</v>
      </c>
      <c r="AB1294" s="320">
        <v>52.3049</v>
      </c>
      <c r="AC1294" s="320">
        <v>0.5528</v>
      </c>
      <c r="AD1294" s="320">
        <v>8.6</v>
      </c>
      <c r="AE1294" s="320">
        <v>3.0</v>
      </c>
      <c r="AF1294" s="320">
        <v>6.0</v>
      </c>
      <c r="AG1294" s="320">
        <v>12.0</v>
      </c>
      <c r="AH1294" s="320">
        <v>19.0</v>
      </c>
      <c r="AI1294" s="320">
        <v>52.84</v>
      </c>
      <c r="AJ1294" s="320">
        <v>23.91</v>
      </c>
      <c r="AK1294" s="320">
        <v>4.2</v>
      </c>
      <c r="AL1294" s="320">
        <v>0.2148</v>
      </c>
      <c r="AM1294" s="320">
        <v>21.56</v>
      </c>
      <c r="AN1294" s="320">
        <v>101.32</v>
      </c>
      <c r="AO1294" s="320">
        <v>72.85</v>
      </c>
      <c r="AP1294" s="320">
        <v>15.71</v>
      </c>
    </row>
    <row r="1295">
      <c r="A1295" s="319" t="s">
        <v>258</v>
      </c>
      <c r="B1295" s="328">
        <v>46145.0</v>
      </c>
      <c r="C1295" s="319" t="s">
        <v>216</v>
      </c>
      <c r="D1295" s="320">
        <v>8226.0</v>
      </c>
      <c r="E1295" s="320">
        <v>11.57</v>
      </c>
      <c r="F1295" s="320">
        <v>21743.26</v>
      </c>
      <c r="G1295" s="320">
        <v>2.6432</v>
      </c>
      <c r="H1295" s="320">
        <v>34.39</v>
      </c>
      <c r="I1295" s="320">
        <v>7.6858</v>
      </c>
      <c r="J1295" s="320">
        <v>88.48</v>
      </c>
      <c r="K1295" s="320">
        <v>53.03</v>
      </c>
      <c r="L1295" s="320">
        <v>27.05</v>
      </c>
      <c r="M1295" s="320">
        <v>0.51</v>
      </c>
      <c r="N1295" s="320">
        <v>0.5552</v>
      </c>
      <c r="O1295" s="320">
        <v>0.3009</v>
      </c>
      <c r="P1295" s="320">
        <v>1.9609</v>
      </c>
      <c r="Q1295" s="320">
        <v>303.92</v>
      </c>
      <c r="R1295" s="320">
        <v>257.03</v>
      </c>
      <c r="S1295" s="320">
        <v>46.88</v>
      </c>
      <c r="T1295" s="320">
        <v>167.68</v>
      </c>
      <c r="U1295" s="320">
        <v>136.24</v>
      </c>
      <c r="V1295" s="320">
        <v>331.69</v>
      </c>
      <c r="W1295" s="320">
        <v>6.2543</v>
      </c>
      <c r="X1295" s="320">
        <v>55.17</v>
      </c>
      <c r="Y1295" s="320">
        <v>82.0</v>
      </c>
      <c r="Z1295" s="320">
        <v>190.0</v>
      </c>
      <c r="AA1295" s="320">
        <v>607.0</v>
      </c>
      <c r="AB1295" s="320">
        <v>54.5543</v>
      </c>
      <c r="AC1295" s="320">
        <v>0.6644</v>
      </c>
      <c r="AD1295" s="320">
        <v>17.19</v>
      </c>
      <c r="AE1295" s="320">
        <v>6.0</v>
      </c>
      <c r="AF1295" s="320">
        <v>12.0</v>
      </c>
      <c r="AG1295" s="320">
        <v>24.0</v>
      </c>
      <c r="AH1295" s="320">
        <v>38.0</v>
      </c>
      <c r="AI1295" s="320">
        <v>54.69</v>
      </c>
      <c r="AJ1295" s="320">
        <v>22.77</v>
      </c>
      <c r="AK1295" s="320">
        <v>7.43</v>
      </c>
      <c r="AL1295" s="320">
        <v>0.2192</v>
      </c>
      <c r="AM1295" s="320">
        <v>21.3</v>
      </c>
      <c r="AN1295" s="320">
        <v>235.74</v>
      </c>
      <c r="AO1295" s="320">
        <v>73.08</v>
      </c>
      <c r="AP1295" s="320">
        <v>15.57</v>
      </c>
    </row>
    <row r="1296">
      <c r="A1296" s="319" t="s">
        <v>258</v>
      </c>
      <c r="B1296" s="328">
        <v>46145.0</v>
      </c>
      <c r="C1296" s="319" t="s">
        <v>217</v>
      </c>
      <c r="D1296" s="320">
        <v>3476.0</v>
      </c>
      <c r="E1296" s="320">
        <v>4.89</v>
      </c>
      <c r="F1296" s="320">
        <v>20227.77</v>
      </c>
      <c r="G1296" s="320">
        <v>5.8193</v>
      </c>
      <c r="H1296" s="320">
        <v>45.37</v>
      </c>
      <c r="I1296" s="320">
        <v>12.8267</v>
      </c>
      <c r="J1296" s="320">
        <v>136.08</v>
      </c>
      <c r="K1296" s="320">
        <v>84.71</v>
      </c>
      <c r="L1296" s="320">
        <v>54.52</v>
      </c>
      <c r="M1296" s="320">
        <v>0.6436</v>
      </c>
      <c r="N1296" s="320">
        <v>0.4332</v>
      </c>
      <c r="O1296" s="320">
        <v>0.2336</v>
      </c>
      <c r="P1296" s="320">
        <v>1.5538</v>
      </c>
      <c r="Q1296" s="320">
        <v>593.29</v>
      </c>
      <c r="R1296" s="320">
        <v>498.09</v>
      </c>
      <c r="S1296" s="320">
        <v>95.2</v>
      </c>
      <c r="T1296" s="320">
        <v>363.02</v>
      </c>
      <c r="U1296" s="320">
        <v>230.27</v>
      </c>
      <c r="V1296" s="320">
        <v>645.24</v>
      </c>
      <c r="W1296" s="320">
        <v>7.6167</v>
      </c>
      <c r="X1296" s="320">
        <v>61.19</v>
      </c>
      <c r="Y1296" s="320">
        <v>89.0</v>
      </c>
      <c r="Z1296" s="320">
        <v>244.0</v>
      </c>
      <c r="AA1296" s="320">
        <v>829.0</v>
      </c>
      <c r="AB1296" s="320">
        <v>57.5806</v>
      </c>
      <c r="AC1296" s="320">
        <v>0.7578</v>
      </c>
      <c r="AD1296" s="320">
        <v>35.65</v>
      </c>
      <c r="AE1296" s="320">
        <v>12.0</v>
      </c>
      <c r="AF1296" s="320">
        <v>26.0</v>
      </c>
      <c r="AG1296" s="320">
        <v>50.0</v>
      </c>
      <c r="AH1296" s="320">
        <v>76.0</v>
      </c>
      <c r="AI1296" s="320">
        <v>47.87</v>
      </c>
      <c r="AJ1296" s="320">
        <v>18.21</v>
      </c>
      <c r="AK1296" s="320">
        <v>4.86</v>
      </c>
      <c r="AL1296" s="320">
        <v>0.2109</v>
      </c>
      <c r="AM1296" s="320">
        <v>21.26</v>
      </c>
      <c r="AN1296" s="320">
        <v>476.82</v>
      </c>
      <c r="AO1296" s="320">
        <v>74.31</v>
      </c>
      <c r="AP1296" s="320">
        <v>15.8</v>
      </c>
    </row>
    <row r="1297">
      <c r="A1297" s="319" t="s">
        <v>258</v>
      </c>
      <c r="B1297" s="328">
        <v>46145.0</v>
      </c>
      <c r="C1297" s="319" t="s">
        <v>218</v>
      </c>
      <c r="D1297" s="320">
        <v>361.0</v>
      </c>
      <c r="E1297" s="320">
        <v>0.51</v>
      </c>
      <c r="F1297" s="320">
        <v>4316.19</v>
      </c>
      <c r="G1297" s="320">
        <v>11.9562</v>
      </c>
      <c r="H1297" s="320">
        <v>53.19</v>
      </c>
      <c r="I1297" s="320">
        <v>22.4802</v>
      </c>
      <c r="J1297" s="320">
        <v>242.33</v>
      </c>
      <c r="K1297" s="320">
        <v>163.77</v>
      </c>
      <c r="L1297" s="320">
        <v>127.87</v>
      </c>
      <c r="M1297" s="320">
        <v>0.7808</v>
      </c>
      <c r="N1297" s="320">
        <v>0.3001</v>
      </c>
      <c r="O1297" s="320">
        <v>0.1763</v>
      </c>
      <c r="P1297" s="320">
        <v>1.2808</v>
      </c>
      <c r="Q1297" s="320">
        <v>1200.88</v>
      </c>
      <c r="R1297" s="320">
        <v>975.32</v>
      </c>
      <c r="S1297" s="320">
        <v>225.55</v>
      </c>
      <c r="T1297" s="320">
        <v>777.33</v>
      </c>
      <c r="U1297" s="320">
        <v>423.55</v>
      </c>
      <c r="V1297" s="320">
        <v>1303.74</v>
      </c>
      <c r="W1297" s="320">
        <v>7.9607</v>
      </c>
      <c r="X1297" s="320">
        <v>64.73</v>
      </c>
      <c r="Y1297" s="320">
        <v>110.0</v>
      </c>
      <c r="Z1297" s="320">
        <v>411.0</v>
      </c>
      <c r="AA1297" s="320">
        <v>1555.0</v>
      </c>
      <c r="AB1297" s="320">
        <v>61.3828</v>
      </c>
      <c r="AC1297" s="320">
        <v>0.8407</v>
      </c>
      <c r="AD1297" s="320">
        <v>85.25</v>
      </c>
      <c r="AE1297" s="320">
        <v>23.0</v>
      </c>
      <c r="AF1297" s="320">
        <v>62.0</v>
      </c>
      <c r="AG1297" s="320">
        <v>119.0</v>
      </c>
      <c r="AH1297" s="320">
        <v>191.0</v>
      </c>
      <c r="AI1297" s="320">
        <v>40.72</v>
      </c>
      <c r="AJ1297" s="320">
        <v>12.19</v>
      </c>
      <c r="AK1297" s="320">
        <v>3.05</v>
      </c>
      <c r="AL1297" s="320">
        <v>0.1662</v>
      </c>
      <c r="AM1297" s="320">
        <v>23.09</v>
      </c>
      <c r="AN1297" s="320">
        <v>952.24</v>
      </c>
      <c r="AO1297" s="320">
        <v>70.16</v>
      </c>
      <c r="AP1297" s="320">
        <v>16.2</v>
      </c>
    </row>
    <row r="1298">
      <c r="A1298" s="319" t="s">
        <v>258</v>
      </c>
      <c r="B1298" s="328">
        <v>46146.0</v>
      </c>
      <c r="C1298" s="319" t="s">
        <v>257</v>
      </c>
      <c r="D1298" s="320">
        <v>14284.0</v>
      </c>
      <c r="E1298" s="320">
        <v>19.39</v>
      </c>
      <c r="F1298" s="320">
        <v>201.77</v>
      </c>
      <c r="G1298" s="320">
        <v>0.0141</v>
      </c>
      <c r="H1298" s="320">
        <v>0.27</v>
      </c>
      <c r="I1298" s="320">
        <v>5.1736</v>
      </c>
      <c r="J1298" s="320">
        <v>5.58</v>
      </c>
      <c r="K1298" s="320">
        <v>2.36</v>
      </c>
      <c r="L1298" s="320">
        <v>0.08</v>
      </c>
      <c r="M1298" s="320">
        <v>0.0346</v>
      </c>
      <c r="N1298" s="320">
        <v>0.9699</v>
      </c>
      <c r="O1298" s="320">
        <v>0.721</v>
      </c>
      <c r="P1298" s="320">
        <v>28.8632</v>
      </c>
      <c r="Q1298" s="320">
        <v>36.77</v>
      </c>
      <c r="R1298" s="320">
        <v>36.69</v>
      </c>
      <c r="S1298" s="320">
        <v>0.08</v>
      </c>
      <c r="T1298" s="320">
        <v>0.98</v>
      </c>
      <c r="U1298" s="320">
        <v>35.79</v>
      </c>
      <c r="V1298" s="320">
        <v>2.94</v>
      </c>
      <c r="W1298" s="320">
        <v>1.2422</v>
      </c>
      <c r="X1298" s="320">
        <v>2.67</v>
      </c>
      <c r="Y1298" s="320">
        <v>201.0</v>
      </c>
      <c r="Z1298" s="320">
        <v>1574.0</v>
      </c>
      <c r="AA1298" s="320">
        <v>8733.0</v>
      </c>
      <c r="AB1298" s="320">
        <v>50.0535</v>
      </c>
      <c r="AC1298" s="320">
        <v>0.5277</v>
      </c>
      <c r="AD1298" s="329"/>
      <c r="AE1298" s="329"/>
      <c r="AF1298" s="329"/>
      <c r="AG1298" s="329"/>
      <c r="AH1298" s="329"/>
      <c r="AI1298" s="320">
        <v>0.0</v>
      </c>
      <c r="AJ1298" s="320">
        <v>0.0</v>
      </c>
      <c r="AK1298" s="320">
        <v>0.0</v>
      </c>
      <c r="AL1298" s="320">
        <v>0.2678</v>
      </c>
      <c r="AM1298" s="320">
        <v>16.18</v>
      </c>
      <c r="AN1298" s="320">
        <v>20.52</v>
      </c>
      <c r="AO1298" s="329"/>
      <c r="AP1298" s="329"/>
    </row>
    <row r="1299">
      <c r="A1299" s="319" t="s">
        <v>258</v>
      </c>
      <c r="B1299" s="328">
        <v>46146.0</v>
      </c>
      <c r="C1299" s="319" t="s">
        <v>214</v>
      </c>
      <c r="D1299" s="320">
        <v>29756.0</v>
      </c>
      <c r="E1299" s="320">
        <v>40.38</v>
      </c>
      <c r="F1299" s="320">
        <v>5709.58</v>
      </c>
      <c r="G1299" s="320">
        <v>0.1919</v>
      </c>
      <c r="H1299" s="320">
        <v>5.9</v>
      </c>
      <c r="I1299" s="320">
        <v>3.2515</v>
      </c>
      <c r="J1299" s="320">
        <v>34.99</v>
      </c>
      <c r="K1299" s="320">
        <v>18.84</v>
      </c>
      <c r="L1299" s="320">
        <v>5.49</v>
      </c>
      <c r="M1299" s="320">
        <v>0.2915</v>
      </c>
      <c r="N1299" s="320">
        <v>0.7761</v>
      </c>
      <c r="O1299" s="320">
        <v>0.5339</v>
      </c>
      <c r="P1299" s="320">
        <v>3.431</v>
      </c>
      <c r="Q1299" s="320">
        <v>91.04</v>
      </c>
      <c r="R1299" s="320">
        <v>81.75</v>
      </c>
      <c r="S1299" s="320">
        <v>9.29</v>
      </c>
      <c r="T1299" s="320">
        <v>13.18</v>
      </c>
      <c r="U1299" s="320">
        <v>77.86</v>
      </c>
      <c r="V1299" s="320">
        <v>83.28</v>
      </c>
      <c r="W1299" s="320">
        <v>4.4215</v>
      </c>
      <c r="X1299" s="320">
        <v>14.47</v>
      </c>
      <c r="Y1299" s="320">
        <v>90.0</v>
      </c>
      <c r="Z1299" s="320">
        <v>220.0</v>
      </c>
      <c r="AA1299" s="320">
        <v>890.0</v>
      </c>
      <c r="AB1299" s="320">
        <v>49.6456</v>
      </c>
      <c r="AC1299" s="320">
        <v>0.4414</v>
      </c>
      <c r="AD1299" s="320">
        <v>3.54</v>
      </c>
      <c r="AE1299" s="320">
        <v>1.0</v>
      </c>
      <c r="AF1299" s="320">
        <v>2.0</v>
      </c>
      <c r="AG1299" s="320">
        <v>5.0</v>
      </c>
      <c r="AH1299" s="320">
        <v>8.0</v>
      </c>
      <c r="AI1299" s="320">
        <v>68.45</v>
      </c>
      <c r="AJ1299" s="320">
        <v>25.32</v>
      </c>
      <c r="AK1299" s="320">
        <v>6.64</v>
      </c>
      <c r="AL1299" s="320">
        <v>0.207</v>
      </c>
      <c r="AM1299" s="320">
        <v>18.5</v>
      </c>
      <c r="AN1299" s="320">
        <v>63.25</v>
      </c>
      <c r="AO1299" s="320">
        <v>68.29</v>
      </c>
      <c r="AP1299" s="320">
        <v>12.63</v>
      </c>
    </row>
    <row r="1300">
      <c r="A1300" s="319" t="s">
        <v>258</v>
      </c>
      <c r="B1300" s="328">
        <v>46146.0</v>
      </c>
      <c r="C1300" s="319" t="s">
        <v>215</v>
      </c>
      <c r="D1300" s="320">
        <v>16598.0</v>
      </c>
      <c r="E1300" s="320">
        <v>22.53</v>
      </c>
      <c r="F1300" s="320">
        <v>15665.29</v>
      </c>
      <c r="G1300" s="320">
        <v>0.9438</v>
      </c>
      <c r="H1300" s="320">
        <v>19.2</v>
      </c>
      <c r="I1300" s="320">
        <v>4.9154</v>
      </c>
      <c r="J1300" s="320">
        <v>64.84</v>
      </c>
      <c r="K1300" s="320">
        <v>36.86</v>
      </c>
      <c r="L1300" s="320">
        <v>14.24</v>
      </c>
      <c r="M1300" s="320">
        <v>0.3863</v>
      </c>
      <c r="N1300" s="320">
        <v>0.6737</v>
      </c>
      <c r="O1300" s="320">
        <v>0.3989</v>
      </c>
      <c r="P1300" s="320">
        <v>2.589</v>
      </c>
      <c r="Q1300" s="320">
        <v>192.11</v>
      </c>
      <c r="R1300" s="320">
        <v>168.95</v>
      </c>
      <c r="S1300" s="320">
        <v>23.17</v>
      </c>
      <c r="T1300" s="320">
        <v>60.58</v>
      </c>
      <c r="U1300" s="320">
        <v>131.53</v>
      </c>
      <c r="V1300" s="320">
        <v>186.65</v>
      </c>
      <c r="W1300" s="320">
        <v>5.0641</v>
      </c>
      <c r="X1300" s="320">
        <v>31.53</v>
      </c>
      <c r="Y1300" s="320">
        <v>85.0</v>
      </c>
      <c r="Z1300" s="320">
        <v>190.0</v>
      </c>
      <c r="AA1300" s="320">
        <v>590.0</v>
      </c>
      <c r="AB1300" s="320">
        <v>52.153</v>
      </c>
      <c r="AC1300" s="320">
        <v>0.5029</v>
      </c>
      <c r="AD1300" s="320">
        <v>8.56</v>
      </c>
      <c r="AE1300" s="320">
        <v>3.0</v>
      </c>
      <c r="AF1300" s="320">
        <v>6.0</v>
      </c>
      <c r="AG1300" s="320">
        <v>12.0</v>
      </c>
      <c r="AH1300" s="320">
        <v>19.0</v>
      </c>
      <c r="AI1300" s="320">
        <v>53.74</v>
      </c>
      <c r="AJ1300" s="320">
        <v>23.27</v>
      </c>
      <c r="AK1300" s="320">
        <v>3.93</v>
      </c>
      <c r="AL1300" s="320">
        <v>0.178</v>
      </c>
      <c r="AM1300" s="320">
        <v>18.88</v>
      </c>
      <c r="AN1300" s="320">
        <v>150.06</v>
      </c>
      <c r="AO1300" s="320">
        <v>71.46</v>
      </c>
      <c r="AP1300" s="320">
        <v>13.49</v>
      </c>
    </row>
    <row r="1301">
      <c r="A1301" s="319" t="s">
        <v>258</v>
      </c>
      <c r="B1301" s="328">
        <v>46146.0</v>
      </c>
      <c r="C1301" s="319" t="s">
        <v>216</v>
      </c>
      <c r="D1301" s="320">
        <v>8947.0</v>
      </c>
      <c r="E1301" s="320">
        <v>12.14</v>
      </c>
      <c r="F1301" s="320">
        <v>22534.41</v>
      </c>
      <c r="G1301" s="320">
        <v>2.5187</v>
      </c>
      <c r="H1301" s="320">
        <v>32.19</v>
      </c>
      <c r="I1301" s="320">
        <v>7.8244</v>
      </c>
      <c r="J1301" s="320">
        <v>91.93</v>
      </c>
      <c r="K1301" s="320">
        <v>54.07</v>
      </c>
      <c r="L1301" s="320">
        <v>28.15</v>
      </c>
      <c r="M1301" s="320">
        <v>0.5206</v>
      </c>
      <c r="N1301" s="320">
        <v>0.5511</v>
      </c>
      <c r="O1301" s="320">
        <v>0.3099</v>
      </c>
      <c r="P1301" s="320">
        <v>1.9208</v>
      </c>
      <c r="Q1301" s="320">
        <v>375.67</v>
      </c>
      <c r="R1301" s="320">
        <v>329.99</v>
      </c>
      <c r="S1301" s="320">
        <v>45.69</v>
      </c>
      <c r="T1301" s="320">
        <v>160.22</v>
      </c>
      <c r="U1301" s="320">
        <v>215.45</v>
      </c>
      <c r="V1301" s="320">
        <v>381.45</v>
      </c>
      <c r="W1301" s="320">
        <v>7.0554</v>
      </c>
      <c r="X1301" s="320">
        <v>42.65</v>
      </c>
      <c r="Y1301" s="320">
        <v>86.0</v>
      </c>
      <c r="Z1301" s="320">
        <v>220.0</v>
      </c>
      <c r="AA1301" s="320">
        <v>676.0</v>
      </c>
      <c r="AB1301" s="320">
        <v>54.2976</v>
      </c>
      <c r="AC1301" s="320">
        <v>0.5888</v>
      </c>
      <c r="AD1301" s="320">
        <v>16.83</v>
      </c>
      <c r="AE1301" s="320">
        <v>6.0</v>
      </c>
      <c r="AF1301" s="320">
        <v>13.0</v>
      </c>
      <c r="AG1301" s="320">
        <v>24.0</v>
      </c>
      <c r="AH1301" s="320">
        <v>36.0</v>
      </c>
      <c r="AI1301" s="320">
        <v>56.24</v>
      </c>
      <c r="AJ1301" s="320">
        <v>22.09</v>
      </c>
      <c r="AK1301" s="320">
        <v>5.36</v>
      </c>
      <c r="AL1301" s="320">
        <v>0.1718</v>
      </c>
      <c r="AM1301" s="320">
        <v>18.55</v>
      </c>
      <c r="AN1301" s="320">
        <v>311.44</v>
      </c>
      <c r="AO1301" s="320">
        <v>70.23</v>
      </c>
      <c r="AP1301" s="320">
        <v>13.03</v>
      </c>
    </row>
    <row r="1302">
      <c r="A1302" s="319" t="s">
        <v>258</v>
      </c>
      <c r="B1302" s="328">
        <v>46146.0</v>
      </c>
      <c r="C1302" s="319" t="s">
        <v>217</v>
      </c>
      <c r="D1302" s="320">
        <v>3748.0</v>
      </c>
      <c r="E1302" s="320">
        <v>5.09</v>
      </c>
      <c r="F1302" s="320">
        <v>22476.19</v>
      </c>
      <c r="G1302" s="320">
        <v>5.9968</v>
      </c>
      <c r="H1302" s="320">
        <v>43.68</v>
      </c>
      <c r="I1302" s="320">
        <v>13.7301</v>
      </c>
      <c r="J1302" s="320">
        <v>146.21</v>
      </c>
      <c r="K1302" s="320">
        <v>89.03</v>
      </c>
      <c r="L1302" s="320">
        <v>58.39</v>
      </c>
      <c r="M1302" s="320">
        <v>0.6558</v>
      </c>
      <c r="N1302" s="320">
        <v>0.4301</v>
      </c>
      <c r="O1302" s="320">
        <v>0.2425</v>
      </c>
      <c r="P1302" s="320">
        <v>1.5248</v>
      </c>
      <c r="Q1302" s="320">
        <v>737.16</v>
      </c>
      <c r="R1302" s="320">
        <v>646.3</v>
      </c>
      <c r="S1302" s="320">
        <v>90.86</v>
      </c>
      <c r="T1302" s="320">
        <v>379.08</v>
      </c>
      <c r="U1302" s="320">
        <v>358.08</v>
      </c>
      <c r="V1302" s="320">
        <v>764.75</v>
      </c>
      <c r="W1302" s="320">
        <v>8.5901</v>
      </c>
      <c r="X1302" s="320">
        <v>51.42</v>
      </c>
      <c r="Y1302" s="320">
        <v>93.0</v>
      </c>
      <c r="Z1302" s="320">
        <v>295.0</v>
      </c>
      <c r="AA1302" s="320">
        <v>1046.0</v>
      </c>
      <c r="AB1302" s="320">
        <v>56.9144</v>
      </c>
      <c r="AC1302" s="320">
        <v>0.6715</v>
      </c>
      <c r="AD1302" s="320">
        <v>34.3</v>
      </c>
      <c r="AE1302" s="320">
        <v>12.0</v>
      </c>
      <c r="AF1302" s="320">
        <v>26.0</v>
      </c>
      <c r="AG1302" s="320">
        <v>46.0</v>
      </c>
      <c r="AH1302" s="320">
        <v>72.0</v>
      </c>
      <c r="AI1302" s="320">
        <v>48.69</v>
      </c>
      <c r="AJ1302" s="320">
        <v>15.26</v>
      </c>
      <c r="AK1302" s="320">
        <v>4.0</v>
      </c>
      <c r="AL1302" s="320">
        <v>0.1425</v>
      </c>
      <c r="AM1302" s="320">
        <v>19.61</v>
      </c>
      <c r="AN1302" s="320">
        <v>626.7</v>
      </c>
      <c r="AO1302" s="320">
        <v>70.75</v>
      </c>
      <c r="AP1302" s="320">
        <v>13.87</v>
      </c>
    </row>
    <row r="1303">
      <c r="A1303" s="319" t="s">
        <v>258</v>
      </c>
      <c r="B1303" s="328">
        <v>46146.0</v>
      </c>
      <c r="C1303" s="319" t="s">
        <v>218</v>
      </c>
      <c r="D1303" s="320">
        <v>349.0</v>
      </c>
      <c r="E1303" s="320">
        <v>0.47</v>
      </c>
      <c r="F1303" s="320">
        <v>3901.52</v>
      </c>
      <c r="G1303" s="320">
        <v>11.1791</v>
      </c>
      <c r="H1303" s="320">
        <v>52.15</v>
      </c>
      <c r="I1303" s="320">
        <v>21.4369</v>
      </c>
      <c r="J1303" s="320">
        <v>260.26</v>
      </c>
      <c r="K1303" s="320">
        <v>168.4</v>
      </c>
      <c r="L1303" s="320">
        <v>133.34</v>
      </c>
      <c r="M1303" s="320">
        <v>0.7918</v>
      </c>
      <c r="N1303" s="320">
        <v>0.2953</v>
      </c>
      <c r="O1303" s="320">
        <v>0.1792</v>
      </c>
      <c r="P1303" s="320">
        <v>1.2629</v>
      </c>
      <c r="Q1303" s="320">
        <v>1386.39</v>
      </c>
      <c r="R1303" s="320">
        <v>1153.05</v>
      </c>
      <c r="S1303" s="320">
        <v>233.34</v>
      </c>
      <c r="T1303" s="320">
        <v>736.09</v>
      </c>
      <c r="U1303" s="320">
        <v>650.3</v>
      </c>
      <c r="V1303" s="320">
        <v>1409.31</v>
      </c>
      <c r="W1303" s="320">
        <v>8.3691</v>
      </c>
      <c r="X1303" s="320">
        <v>53.09</v>
      </c>
      <c r="Y1303" s="320">
        <v>126.0</v>
      </c>
      <c r="Z1303" s="320">
        <v>462.0</v>
      </c>
      <c r="AA1303" s="320">
        <v>1527.0</v>
      </c>
      <c r="AB1303" s="320">
        <v>61.2077</v>
      </c>
      <c r="AC1303" s="320">
        <v>0.8098</v>
      </c>
      <c r="AD1303" s="320">
        <v>89.11</v>
      </c>
      <c r="AE1303" s="320">
        <v>29.0</v>
      </c>
      <c r="AF1303" s="320">
        <v>72.0</v>
      </c>
      <c r="AG1303" s="320">
        <v>126.0</v>
      </c>
      <c r="AH1303" s="320">
        <v>189.0</v>
      </c>
      <c r="AI1303" s="320">
        <v>47.85</v>
      </c>
      <c r="AJ1303" s="320">
        <v>12.32</v>
      </c>
      <c r="AK1303" s="320">
        <v>2.58</v>
      </c>
      <c r="AL1303" s="320">
        <v>0.1146</v>
      </c>
      <c r="AM1303" s="320">
        <v>20.14</v>
      </c>
      <c r="AN1303" s="320">
        <v>1132.91</v>
      </c>
      <c r="AO1303" s="320">
        <v>72.08</v>
      </c>
      <c r="AP1303" s="320">
        <v>14.52</v>
      </c>
    </row>
    <row r="1304">
      <c r="A1304" s="319" t="s">
        <v>258</v>
      </c>
      <c r="B1304" s="328">
        <v>46147.0</v>
      </c>
      <c r="C1304" s="319" t="s">
        <v>257</v>
      </c>
      <c r="D1304" s="320">
        <v>15223.0</v>
      </c>
      <c r="E1304" s="320">
        <v>20.63</v>
      </c>
      <c r="F1304" s="320">
        <v>28.19</v>
      </c>
      <c r="G1304" s="320">
        <v>0.0019</v>
      </c>
      <c r="H1304" s="320">
        <v>0.09</v>
      </c>
      <c r="I1304" s="320">
        <v>2.1685</v>
      </c>
      <c r="J1304" s="320">
        <v>5.82</v>
      </c>
      <c r="K1304" s="320">
        <v>2.63</v>
      </c>
      <c r="L1304" s="320">
        <v>0.02</v>
      </c>
      <c r="M1304" s="320">
        <v>0.0082</v>
      </c>
      <c r="N1304" s="320">
        <v>0.9923</v>
      </c>
      <c r="O1304" s="320">
        <v>0.8964</v>
      </c>
      <c r="P1304" s="320">
        <v>122.2324</v>
      </c>
      <c r="Q1304" s="320">
        <v>26.11</v>
      </c>
      <c r="R1304" s="320">
        <v>26.05</v>
      </c>
      <c r="S1304" s="320">
        <v>0.06</v>
      </c>
      <c r="T1304" s="320">
        <v>0.27</v>
      </c>
      <c r="U1304" s="320">
        <v>25.84</v>
      </c>
      <c r="V1304" s="320">
        <v>1.98</v>
      </c>
      <c r="W1304" s="320">
        <v>0.7543</v>
      </c>
      <c r="X1304" s="320">
        <v>1.02</v>
      </c>
      <c r="Y1304" s="320">
        <v>164.0</v>
      </c>
      <c r="Z1304" s="320">
        <v>1238.0</v>
      </c>
      <c r="AA1304" s="320">
        <v>8064.0</v>
      </c>
      <c r="AB1304" s="320">
        <v>49.7908</v>
      </c>
      <c r="AC1304" s="320">
        <v>0.5099</v>
      </c>
      <c r="AD1304" s="329"/>
      <c r="AE1304" s="329"/>
      <c r="AF1304" s="329"/>
      <c r="AG1304" s="329"/>
      <c r="AH1304" s="329"/>
      <c r="AI1304" s="320">
        <v>0.0</v>
      </c>
      <c r="AJ1304" s="320">
        <v>0.0</v>
      </c>
      <c r="AK1304" s="320">
        <v>0.0</v>
      </c>
      <c r="AL1304" s="320">
        <v>0.2544</v>
      </c>
      <c r="AM1304" s="320">
        <v>15.15</v>
      </c>
      <c r="AN1304" s="320">
        <v>10.91</v>
      </c>
      <c r="AO1304" s="329"/>
      <c r="AP1304" s="329"/>
    </row>
    <row r="1305">
      <c r="A1305" s="319" t="s">
        <v>258</v>
      </c>
      <c r="B1305" s="328">
        <v>46147.0</v>
      </c>
      <c r="C1305" s="319" t="s">
        <v>214</v>
      </c>
      <c r="D1305" s="320">
        <v>30366.0</v>
      </c>
      <c r="E1305" s="320">
        <v>41.14</v>
      </c>
      <c r="F1305" s="320">
        <v>6064.82</v>
      </c>
      <c r="G1305" s="320">
        <v>0.1997</v>
      </c>
      <c r="H1305" s="320">
        <v>6.11</v>
      </c>
      <c r="I1305" s="320">
        <v>3.2677</v>
      </c>
      <c r="J1305" s="320">
        <v>29.72</v>
      </c>
      <c r="K1305" s="320">
        <v>15.65</v>
      </c>
      <c r="L1305" s="320">
        <v>5.02</v>
      </c>
      <c r="M1305" s="320">
        <v>0.3206</v>
      </c>
      <c r="N1305" s="320">
        <v>0.7536</v>
      </c>
      <c r="O1305" s="320">
        <v>0.5251</v>
      </c>
      <c r="P1305" s="320">
        <v>3.1188</v>
      </c>
      <c r="Q1305" s="320">
        <v>66.62</v>
      </c>
      <c r="R1305" s="320">
        <v>57.93</v>
      </c>
      <c r="S1305" s="320">
        <v>8.68</v>
      </c>
      <c r="T1305" s="320">
        <v>13.59</v>
      </c>
      <c r="U1305" s="320">
        <v>53.02</v>
      </c>
      <c r="V1305" s="320">
        <v>71.93</v>
      </c>
      <c r="W1305" s="320">
        <v>4.597</v>
      </c>
      <c r="X1305" s="320">
        <v>20.41</v>
      </c>
      <c r="Y1305" s="320">
        <v>89.0</v>
      </c>
      <c r="Z1305" s="320">
        <v>217.0</v>
      </c>
      <c r="AA1305" s="320">
        <v>915.0</v>
      </c>
      <c r="AB1305" s="320">
        <v>49.711</v>
      </c>
      <c r="AC1305" s="320">
        <v>0.4448</v>
      </c>
      <c r="AD1305" s="320">
        <v>3.43</v>
      </c>
      <c r="AE1305" s="320">
        <v>1.0</v>
      </c>
      <c r="AF1305" s="320">
        <v>2.0</v>
      </c>
      <c r="AG1305" s="320">
        <v>4.0</v>
      </c>
      <c r="AH1305" s="320">
        <v>8.0</v>
      </c>
      <c r="AI1305" s="320">
        <v>65.31</v>
      </c>
      <c r="AJ1305" s="320">
        <v>23.77</v>
      </c>
      <c r="AK1305" s="320">
        <v>6.59</v>
      </c>
      <c r="AL1305" s="320">
        <v>0.2059</v>
      </c>
      <c r="AM1305" s="320">
        <v>18.06</v>
      </c>
      <c r="AN1305" s="320">
        <v>39.88</v>
      </c>
      <c r="AO1305" s="320">
        <v>68.06</v>
      </c>
      <c r="AP1305" s="320">
        <v>12.29</v>
      </c>
    </row>
    <row r="1306">
      <c r="A1306" s="319" t="s">
        <v>258</v>
      </c>
      <c r="B1306" s="328">
        <v>46147.0</v>
      </c>
      <c r="C1306" s="319" t="s">
        <v>215</v>
      </c>
      <c r="D1306" s="320">
        <v>16271.0</v>
      </c>
      <c r="E1306" s="320">
        <v>22.05</v>
      </c>
      <c r="F1306" s="320">
        <v>15296.82</v>
      </c>
      <c r="G1306" s="320">
        <v>0.9401</v>
      </c>
      <c r="H1306" s="320">
        <v>19.89</v>
      </c>
      <c r="I1306" s="320">
        <v>4.7271</v>
      </c>
      <c r="J1306" s="320">
        <v>54.51</v>
      </c>
      <c r="K1306" s="320">
        <v>30.52</v>
      </c>
      <c r="L1306" s="320">
        <v>13.01</v>
      </c>
      <c r="M1306" s="320">
        <v>0.4263</v>
      </c>
      <c r="N1306" s="320">
        <v>0.6408</v>
      </c>
      <c r="O1306" s="320">
        <v>0.3774</v>
      </c>
      <c r="P1306" s="320">
        <v>2.3458</v>
      </c>
      <c r="Q1306" s="320">
        <v>161.17</v>
      </c>
      <c r="R1306" s="320">
        <v>139.38</v>
      </c>
      <c r="S1306" s="320">
        <v>21.8</v>
      </c>
      <c r="T1306" s="320">
        <v>61.74</v>
      </c>
      <c r="U1306" s="320">
        <v>99.43</v>
      </c>
      <c r="V1306" s="320">
        <v>172.05</v>
      </c>
      <c r="W1306" s="320">
        <v>5.6372</v>
      </c>
      <c r="X1306" s="320">
        <v>38.31</v>
      </c>
      <c r="Y1306" s="320">
        <v>83.0</v>
      </c>
      <c r="Z1306" s="320">
        <v>198.0</v>
      </c>
      <c r="AA1306" s="320">
        <v>625.0</v>
      </c>
      <c r="AB1306" s="320">
        <v>52.3391</v>
      </c>
      <c r="AC1306" s="320">
        <v>0.5156</v>
      </c>
      <c r="AD1306" s="320">
        <v>8.3</v>
      </c>
      <c r="AE1306" s="320">
        <v>2.0</v>
      </c>
      <c r="AF1306" s="320">
        <v>6.0</v>
      </c>
      <c r="AG1306" s="320">
        <v>12.0</v>
      </c>
      <c r="AH1306" s="320">
        <v>19.0</v>
      </c>
      <c r="AI1306" s="320">
        <v>51.1</v>
      </c>
      <c r="AJ1306" s="320">
        <v>22.66</v>
      </c>
      <c r="AK1306" s="320">
        <v>3.74</v>
      </c>
      <c r="AL1306" s="320">
        <v>0.1825</v>
      </c>
      <c r="AM1306" s="320">
        <v>18.64</v>
      </c>
      <c r="AN1306" s="320">
        <v>120.73</v>
      </c>
      <c r="AO1306" s="320">
        <v>71.14</v>
      </c>
      <c r="AP1306" s="320">
        <v>13.26</v>
      </c>
    </row>
    <row r="1307">
      <c r="A1307" s="319" t="s">
        <v>258</v>
      </c>
      <c r="B1307" s="328">
        <v>46147.0</v>
      </c>
      <c r="C1307" s="319" t="s">
        <v>216</v>
      </c>
      <c r="D1307" s="320">
        <v>8310.0</v>
      </c>
      <c r="E1307" s="320">
        <v>11.26</v>
      </c>
      <c r="F1307" s="320">
        <v>21023.43</v>
      </c>
      <c r="G1307" s="320">
        <v>2.5299</v>
      </c>
      <c r="H1307" s="320">
        <v>33.04</v>
      </c>
      <c r="I1307" s="320">
        <v>7.656</v>
      </c>
      <c r="J1307" s="320">
        <v>82.42</v>
      </c>
      <c r="K1307" s="320">
        <v>48.62</v>
      </c>
      <c r="L1307" s="320">
        <v>26.77</v>
      </c>
      <c r="M1307" s="320">
        <v>0.5506</v>
      </c>
      <c r="N1307" s="320">
        <v>0.5235</v>
      </c>
      <c r="O1307" s="320">
        <v>0.2904</v>
      </c>
      <c r="P1307" s="320">
        <v>1.8164</v>
      </c>
      <c r="Q1307" s="320">
        <v>342.33</v>
      </c>
      <c r="R1307" s="320">
        <v>300.6</v>
      </c>
      <c r="S1307" s="320">
        <v>41.72</v>
      </c>
      <c r="T1307" s="320">
        <v>167.13</v>
      </c>
      <c r="U1307" s="320">
        <v>175.2</v>
      </c>
      <c r="V1307" s="320">
        <v>351.47</v>
      </c>
      <c r="W1307" s="320">
        <v>7.2291</v>
      </c>
      <c r="X1307" s="320">
        <v>48.82</v>
      </c>
      <c r="Y1307" s="320">
        <v>90.0</v>
      </c>
      <c r="Z1307" s="320">
        <v>229.0</v>
      </c>
      <c r="AA1307" s="320">
        <v>730.0</v>
      </c>
      <c r="AB1307" s="320">
        <v>54.5071</v>
      </c>
      <c r="AC1307" s="320">
        <v>0.6092</v>
      </c>
      <c r="AD1307" s="320">
        <v>15.94</v>
      </c>
      <c r="AE1307" s="320">
        <v>5.0</v>
      </c>
      <c r="AF1307" s="320">
        <v>11.0</v>
      </c>
      <c r="AG1307" s="320">
        <v>23.0</v>
      </c>
      <c r="AH1307" s="320">
        <v>35.0</v>
      </c>
      <c r="AI1307" s="320">
        <v>52.11</v>
      </c>
      <c r="AJ1307" s="320">
        <v>20.52</v>
      </c>
      <c r="AK1307" s="320">
        <v>5.75</v>
      </c>
      <c r="AL1307" s="320">
        <v>0.1703</v>
      </c>
      <c r="AM1307" s="320">
        <v>18.81</v>
      </c>
      <c r="AN1307" s="320">
        <v>281.79</v>
      </c>
      <c r="AO1307" s="320">
        <v>71.0</v>
      </c>
      <c r="AP1307" s="320">
        <v>13.36</v>
      </c>
    </row>
    <row r="1308">
      <c r="A1308" s="319" t="s">
        <v>258</v>
      </c>
      <c r="B1308" s="328">
        <v>46147.0</v>
      </c>
      <c r="C1308" s="319" t="s">
        <v>217</v>
      </c>
      <c r="D1308" s="320">
        <v>3310.0</v>
      </c>
      <c r="E1308" s="320">
        <v>4.48</v>
      </c>
      <c r="F1308" s="320">
        <v>18011.25</v>
      </c>
      <c r="G1308" s="320">
        <v>5.4415</v>
      </c>
      <c r="H1308" s="320">
        <v>44.74</v>
      </c>
      <c r="I1308" s="320">
        <v>12.1615</v>
      </c>
      <c r="J1308" s="320">
        <v>127.15</v>
      </c>
      <c r="K1308" s="320">
        <v>77.57</v>
      </c>
      <c r="L1308" s="320">
        <v>52.09</v>
      </c>
      <c r="M1308" s="320">
        <v>0.6716</v>
      </c>
      <c r="N1308" s="320">
        <v>0.4144</v>
      </c>
      <c r="O1308" s="320">
        <v>0.2328</v>
      </c>
      <c r="P1308" s="320">
        <v>1.489</v>
      </c>
      <c r="Q1308" s="320">
        <v>653.24</v>
      </c>
      <c r="R1308" s="320">
        <v>563.15</v>
      </c>
      <c r="S1308" s="320">
        <v>90.09</v>
      </c>
      <c r="T1308" s="320">
        <v>344.16</v>
      </c>
      <c r="U1308" s="320">
        <v>309.07</v>
      </c>
      <c r="V1308" s="320">
        <v>669.38</v>
      </c>
      <c r="W1308" s="320">
        <v>8.6296</v>
      </c>
      <c r="X1308" s="320">
        <v>52.69</v>
      </c>
      <c r="Y1308" s="320">
        <v>95.0</v>
      </c>
      <c r="Z1308" s="320">
        <v>281.0</v>
      </c>
      <c r="AA1308" s="320">
        <v>881.0</v>
      </c>
      <c r="AB1308" s="320">
        <v>57.4677</v>
      </c>
      <c r="AC1308" s="320">
        <v>0.743</v>
      </c>
      <c r="AD1308" s="320">
        <v>34.75</v>
      </c>
      <c r="AE1308" s="320">
        <v>11.0</v>
      </c>
      <c r="AF1308" s="320">
        <v>25.0</v>
      </c>
      <c r="AG1308" s="320">
        <v>49.0</v>
      </c>
      <c r="AH1308" s="320">
        <v>75.0</v>
      </c>
      <c r="AI1308" s="320">
        <v>46.98</v>
      </c>
      <c r="AJ1308" s="320">
        <v>17.22</v>
      </c>
      <c r="AK1308" s="320">
        <v>4.62</v>
      </c>
      <c r="AL1308" s="320">
        <v>0.1574</v>
      </c>
      <c r="AM1308" s="320">
        <v>19.96</v>
      </c>
      <c r="AN1308" s="320">
        <v>543.18</v>
      </c>
      <c r="AO1308" s="320">
        <v>76.24</v>
      </c>
      <c r="AP1308" s="320">
        <v>15.22</v>
      </c>
    </row>
    <row r="1309">
      <c r="A1309" s="319" t="s">
        <v>258</v>
      </c>
      <c r="B1309" s="328">
        <v>46147.0</v>
      </c>
      <c r="C1309" s="319" t="s">
        <v>218</v>
      </c>
      <c r="D1309" s="320">
        <v>326.0</v>
      </c>
      <c r="E1309" s="320">
        <v>0.44</v>
      </c>
      <c r="F1309" s="320">
        <v>3795.63</v>
      </c>
      <c r="G1309" s="320">
        <v>11.643</v>
      </c>
      <c r="H1309" s="320">
        <v>52.15</v>
      </c>
      <c r="I1309" s="320">
        <v>22.3272</v>
      </c>
      <c r="J1309" s="320">
        <v>235.92</v>
      </c>
      <c r="K1309" s="320">
        <v>151.92</v>
      </c>
      <c r="L1309" s="320">
        <v>120.54</v>
      </c>
      <c r="M1309" s="320">
        <v>0.7934</v>
      </c>
      <c r="N1309" s="320">
        <v>0.2939</v>
      </c>
      <c r="O1309" s="320">
        <v>0.1767</v>
      </c>
      <c r="P1309" s="320">
        <v>1.2603</v>
      </c>
      <c r="Q1309" s="320">
        <v>1256.86</v>
      </c>
      <c r="R1309" s="320">
        <v>1042.99</v>
      </c>
      <c r="S1309" s="320">
        <v>213.87</v>
      </c>
      <c r="T1309" s="320">
        <v>672.76</v>
      </c>
      <c r="U1309" s="320">
        <v>584.1</v>
      </c>
      <c r="V1309" s="320">
        <v>1315.49</v>
      </c>
      <c r="W1309" s="320">
        <v>8.6593</v>
      </c>
      <c r="X1309" s="320">
        <v>53.53</v>
      </c>
      <c r="Y1309" s="320">
        <v>137.0</v>
      </c>
      <c r="Z1309" s="320">
        <v>546.0</v>
      </c>
      <c r="AA1309" s="320">
        <v>2094.0</v>
      </c>
      <c r="AB1309" s="320">
        <v>61.4218</v>
      </c>
      <c r="AC1309" s="320">
        <v>0.827</v>
      </c>
      <c r="AD1309" s="320">
        <v>80.6</v>
      </c>
      <c r="AE1309" s="320">
        <v>28.0</v>
      </c>
      <c r="AF1309" s="320">
        <v>66.0</v>
      </c>
      <c r="AG1309" s="320">
        <v>115.0</v>
      </c>
      <c r="AH1309" s="320">
        <v>165.0</v>
      </c>
      <c r="AI1309" s="320">
        <v>43.56</v>
      </c>
      <c r="AJ1309" s="320">
        <v>8.9</v>
      </c>
      <c r="AK1309" s="320">
        <v>0.92</v>
      </c>
      <c r="AL1309" s="320">
        <v>0.1411</v>
      </c>
      <c r="AM1309" s="320">
        <v>19.26</v>
      </c>
      <c r="AN1309" s="320">
        <v>1023.73</v>
      </c>
      <c r="AO1309" s="320">
        <v>70.9</v>
      </c>
      <c r="AP1309" s="320">
        <v>13.66</v>
      </c>
    </row>
    <row r="1310">
      <c r="A1310" s="319" t="s">
        <v>258</v>
      </c>
      <c r="B1310" s="328">
        <v>46148.0</v>
      </c>
      <c r="C1310" s="319" t="s">
        <v>257</v>
      </c>
      <c r="D1310" s="320">
        <v>15688.0</v>
      </c>
      <c r="E1310" s="320">
        <v>21.41</v>
      </c>
      <c r="F1310" s="320">
        <v>180.63</v>
      </c>
      <c r="G1310" s="320">
        <v>0.0115</v>
      </c>
      <c r="H1310" s="320">
        <v>0.18</v>
      </c>
      <c r="I1310" s="320">
        <v>6.2286</v>
      </c>
      <c r="J1310" s="320">
        <v>6.37</v>
      </c>
      <c r="K1310" s="320">
        <v>2.87</v>
      </c>
      <c r="L1310" s="320">
        <v>0.03</v>
      </c>
      <c r="M1310" s="320">
        <v>0.0105</v>
      </c>
      <c r="N1310" s="320">
        <v>0.9912</v>
      </c>
      <c r="O1310" s="320">
        <v>0.87</v>
      </c>
      <c r="P1310" s="320">
        <v>95.6008</v>
      </c>
      <c r="Q1310" s="320">
        <v>22.9</v>
      </c>
      <c r="R1310" s="320">
        <v>22.85</v>
      </c>
      <c r="S1310" s="320">
        <v>0.05</v>
      </c>
      <c r="T1310" s="320">
        <v>0.85</v>
      </c>
      <c r="U1310" s="320">
        <v>22.04</v>
      </c>
      <c r="V1310" s="320">
        <v>2.07</v>
      </c>
      <c r="W1310" s="320">
        <v>0.7196</v>
      </c>
      <c r="X1310" s="320">
        <v>3.73</v>
      </c>
      <c r="Y1310" s="320">
        <v>154.0</v>
      </c>
      <c r="Z1310" s="320">
        <v>1206.0</v>
      </c>
      <c r="AA1310" s="320">
        <v>7459.0</v>
      </c>
      <c r="AB1310" s="320">
        <v>49.9617</v>
      </c>
      <c r="AC1310" s="320">
        <v>0.5159</v>
      </c>
      <c r="AD1310" s="329"/>
      <c r="AE1310" s="329"/>
      <c r="AF1310" s="329"/>
      <c r="AG1310" s="329"/>
      <c r="AH1310" s="329"/>
      <c r="AI1310" s="320">
        <v>0.0</v>
      </c>
      <c r="AJ1310" s="320">
        <v>0.0</v>
      </c>
      <c r="AK1310" s="320">
        <v>0.0</v>
      </c>
      <c r="AL1310" s="320">
        <v>0.2631</v>
      </c>
      <c r="AM1310" s="320">
        <v>15.46</v>
      </c>
      <c r="AN1310" s="320">
        <v>7.38</v>
      </c>
      <c r="AO1310" s="329"/>
      <c r="AP1310" s="329"/>
    </row>
    <row r="1311">
      <c r="A1311" s="319" t="s">
        <v>258</v>
      </c>
      <c r="B1311" s="328">
        <v>46148.0</v>
      </c>
      <c r="C1311" s="319" t="s">
        <v>214</v>
      </c>
      <c r="D1311" s="320">
        <v>30748.0</v>
      </c>
      <c r="E1311" s="320">
        <v>41.97</v>
      </c>
      <c r="F1311" s="320">
        <v>6957.59</v>
      </c>
      <c r="G1311" s="320">
        <v>0.2263</v>
      </c>
      <c r="H1311" s="320">
        <v>6.45</v>
      </c>
      <c r="I1311" s="320">
        <v>3.5104</v>
      </c>
      <c r="J1311" s="320">
        <v>32.52</v>
      </c>
      <c r="K1311" s="320">
        <v>17.54</v>
      </c>
      <c r="L1311" s="320">
        <v>5.05</v>
      </c>
      <c r="M1311" s="320">
        <v>0.2882</v>
      </c>
      <c r="N1311" s="320">
        <v>0.7764</v>
      </c>
      <c r="O1311" s="320">
        <v>0.5358</v>
      </c>
      <c r="P1311" s="320">
        <v>3.4696</v>
      </c>
      <c r="Q1311" s="320">
        <v>60.18</v>
      </c>
      <c r="R1311" s="320">
        <v>51.39</v>
      </c>
      <c r="S1311" s="320">
        <v>8.79</v>
      </c>
      <c r="T1311" s="320">
        <v>14.86</v>
      </c>
      <c r="U1311" s="320">
        <v>45.32</v>
      </c>
      <c r="V1311" s="320">
        <v>67.52</v>
      </c>
      <c r="W1311" s="320">
        <v>3.8504</v>
      </c>
      <c r="X1311" s="320">
        <v>24.69</v>
      </c>
      <c r="Y1311" s="320">
        <v>86.0</v>
      </c>
      <c r="Z1311" s="320">
        <v>211.0</v>
      </c>
      <c r="AA1311" s="320">
        <v>903.0</v>
      </c>
      <c r="AB1311" s="320">
        <v>49.7272</v>
      </c>
      <c r="AC1311" s="320">
        <v>0.4471</v>
      </c>
      <c r="AD1311" s="320">
        <v>3.36</v>
      </c>
      <c r="AE1311" s="320">
        <v>1.0</v>
      </c>
      <c r="AF1311" s="320">
        <v>2.0</v>
      </c>
      <c r="AG1311" s="320">
        <v>4.0</v>
      </c>
      <c r="AH1311" s="320">
        <v>7.0</v>
      </c>
      <c r="AI1311" s="320">
        <v>65.36</v>
      </c>
      <c r="AJ1311" s="320">
        <v>23.01</v>
      </c>
      <c r="AK1311" s="320">
        <v>6.19</v>
      </c>
      <c r="AL1311" s="320">
        <v>0.2107</v>
      </c>
      <c r="AM1311" s="320">
        <v>19.05</v>
      </c>
      <c r="AN1311" s="320">
        <v>32.34</v>
      </c>
      <c r="AO1311" s="320">
        <v>68.0</v>
      </c>
      <c r="AP1311" s="320">
        <v>12.95</v>
      </c>
    </row>
    <row r="1312">
      <c r="A1312" s="319" t="s">
        <v>258</v>
      </c>
      <c r="B1312" s="328">
        <v>46148.0</v>
      </c>
      <c r="C1312" s="319" t="s">
        <v>215</v>
      </c>
      <c r="D1312" s="320">
        <v>15664.0</v>
      </c>
      <c r="E1312" s="320">
        <v>21.38</v>
      </c>
      <c r="F1312" s="320">
        <v>17284.33</v>
      </c>
      <c r="G1312" s="320">
        <v>1.1034</v>
      </c>
      <c r="H1312" s="320">
        <v>21.43</v>
      </c>
      <c r="I1312" s="320">
        <v>5.1487</v>
      </c>
      <c r="J1312" s="320">
        <v>59.52</v>
      </c>
      <c r="K1312" s="320">
        <v>34.05</v>
      </c>
      <c r="L1312" s="320">
        <v>13.55</v>
      </c>
      <c r="M1312" s="320">
        <v>0.3979</v>
      </c>
      <c r="N1312" s="320">
        <v>0.6608</v>
      </c>
      <c r="O1312" s="320">
        <v>0.3818</v>
      </c>
      <c r="P1312" s="320">
        <v>2.5129</v>
      </c>
      <c r="Q1312" s="320">
        <v>149.27</v>
      </c>
      <c r="R1312" s="320">
        <v>127.45</v>
      </c>
      <c r="S1312" s="320">
        <v>21.82</v>
      </c>
      <c r="T1312" s="320">
        <v>71.0</v>
      </c>
      <c r="U1312" s="320">
        <v>78.27</v>
      </c>
      <c r="V1312" s="320">
        <v>163.11</v>
      </c>
      <c r="W1312" s="320">
        <v>4.7909</v>
      </c>
      <c r="X1312" s="320">
        <v>47.57</v>
      </c>
      <c r="Y1312" s="320">
        <v>81.0</v>
      </c>
      <c r="Z1312" s="320">
        <v>169.0</v>
      </c>
      <c r="AA1312" s="320">
        <v>572.0</v>
      </c>
      <c r="AB1312" s="320">
        <v>52.3376</v>
      </c>
      <c r="AC1312" s="320">
        <v>0.5194</v>
      </c>
      <c r="AD1312" s="320">
        <v>8.08</v>
      </c>
      <c r="AE1312" s="320">
        <v>2.0</v>
      </c>
      <c r="AF1312" s="320">
        <v>6.0</v>
      </c>
      <c r="AG1312" s="320">
        <v>11.0</v>
      </c>
      <c r="AH1312" s="320">
        <v>18.0</v>
      </c>
      <c r="AI1312" s="320">
        <v>50.38</v>
      </c>
      <c r="AJ1312" s="320">
        <v>21.37</v>
      </c>
      <c r="AK1312" s="320">
        <v>3.54</v>
      </c>
      <c r="AL1312" s="320">
        <v>0.1826</v>
      </c>
      <c r="AM1312" s="320">
        <v>19.29</v>
      </c>
      <c r="AN1312" s="320">
        <v>108.15</v>
      </c>
      <c r="AO1312" s="320">
        <v>71.96</v>
      </c>
      <c r="AP1312" s="320">
        <v>13.88</v>
      </c>
    </row>
    <row r="1313">
      <c r="A1313" s="319" t="s">
        <v>258</v>
      </c>
      <c r="B1313" s="328">
        <v>46148.0</v>
      </c>
      <c r="C1313" s="319" t="s">
        <v>216</v>
      </c>
      <c r="D1313" s="320">
        <v>7738.0</v>
      </c>
      <c r="E1313" s="320">
        <v>10.56</v>
      </c>
      <c r="F1313" s="320">
        <v>20752.21</v>
      </c>
      <c r="G1313" s="320">
        <v>2.6819</v>
      </c>
      <c r="H1313" s="320">
        <v>33.29</v>
      </c>
      <c r="I1313" s="320">
        <v>8.056</v>
      </c>
      <c r="J1313" s="320">
        <v>83.66</v>
      </c>
      <c r="K1313" s="320">
        <v>49.34</v>
      </c>
      <c r="L1313" s="320">
        <v>25.33</v>
      </c>
      <c r="M1313" s="320">
        <v>0.5133</v>
      </c>
      <c r="N1313" s="320">
        <v>0.5543</v>
      </c>
      <c r="O1313" s="320">
        <v>0.3029</v>
      </c>
      <c r="P1313" s="320">
        <v>1.9482</v>
      </c>
      <c r="Q1313" s="320">
        <v>299.73</v>
      </c>
      <c r="R1313" s="320">
        <v>256.7</v>
      </c>
      <c r="S1313" s="320">
        <v>43.03</v>
      </c>
      <c r="T1313" s="320">
        <v>172.64</v>
      </c>
      <c r="U1313" s="320">
        <v>127.09</v>
      </c>
      <c r="V1313" s="320">
        <v>319.37</v>
      </c>
      <c r="W1313" s="320">
        <v>6.4723</v>
      </c>
      <c r="X1313" s="320">
        <v>57.6</v>
      </c>
      <c r="Y1313" s="320">
        <v>83.0</v>
      </c>
      <c r="Z1313" s="320">
        <v>188.0</v>
      </c>
      <c r="AA1313" s="320">
        <v>628.0</v>
      </c>
      <c r="AB1313" s="320">
        <v>54.727</v>
      </c>
      <c r="AC1313" s="320">
        <v>0.6472</v>
      </c>
      <c r="AD1313" s="320">
        <v>16.16</v>
      </c>
      <c r="AE1313" s="320">
        <v>5.0</v>
      </c>
      <c r="AF1313" s="320">
        <v>11.0</v>
      </c>
      <c r="AG1313" s="320">
        <v>23.0</v>
      </c>
      <c r="AH1313" s="320">
        <v>36.0</v>
      </c>
      <c r="AI1313" s="320">
        <v>52.35</v>
      </c>
      <c r="AJ1313" s="320">
        <v>21.05</v>
      </c>
      <c r="AK1313" s="320">
        <v>6.35</v>
      </c>
      <c r="AL1313" s="320">
        <v>0.1898</v>
      </c>
      <c r="AM1313" s="320">
        <v>19.79</v>
      </c>
      <c r="AN1313" s="320">
        <v>236.92</v>
      </c>
      <c r="AO1313" s="320">
        <v>73.69</v>
      </c>
      <c r="AP1313" s="320">
        <v>14.58</v>
      </c>
    </row>
    <row r="1314">
      <c r="A1314" s="319" t="s">
        <v>258</v>
      </c>
      <c r="B1314" s="328">
        <v>46148.0</v>
      </c>
      <c r="C1314" s="319" t="s">
        <v>217</v>
      </c>
      <c r="D1314" s="320">
        <v>3093.0</v>
      </c>
      <c r="E1314" s="320">
        <v>4.22</v>
      </c>
      <c r="F1314" s="320">
        <v>19648.62</v>
      </c>
      <c r="G1314" s="320">
        <v>6.3526</v>
      </c>
      <c r="H1314" s="320">
        <v>46.27</v>
      </c>
      <c r="I1314" s="320">
        <v>13.7307</v>
      </c>
      <c r="J1314" s="320">
        <v>130.33</v>
      </c>
      <c r="K1314" s="320">
        <v>80.03</v>
      </c>
      <c r="L1314" s="320">
        <v>52.04</v>
      </c>
      <c r="M1314" s="320">
        <v>0.6502</v>
      </c>
      <c r="N1314" s="320">
        <v>0.4296</v>
      </c>
      <c r="O1314" s="320">
        <v>0.2371</v>
      </c>
      <c r="P1314" s="320">
        <v>1.5379</v>
      </c>
      <c r="Q1314" s="320">
        <v>609.19</v>
      </c>
      <c r="R1314" s="320">
        <v>518.41</v>
      </c>
      <c r="S1314" s="320">
        <v>90.78</v>
      </c>
      <c r="T1314" s="320">
        <v>397.52</v>
      </c>
      <c r="U1314" s="320">
        <v>211.67</v>
      </c>
      <c r="V1314" s="320">
        <v>642.61</v>
      </c>
      <c r="W1314" s="320">
        <v>8.0298</v>
      </c>
      <c r="X1314" s="320">
        <v>65.25</v>
      </c>
      <c r="Y1314" s="320">
        <v>88.0</v>
      </c>
      <c r="Z1314" s="320">
        <v>229.0</v>
      </c>
      <c r="AA1314" s="320">
        <v>788.0</v>
      </c>
      <c r="AB1314" s="320">
        <v>57.5736</v>
      </c>
      <c r="AC1314" s="320">
        <v>0.7502</v>
      </c>
      <c r="AD1314" s="320">
        <v>34.67</v>
      </c>
      <c r="AE1314" s="320">
        <v>10.0</v>
      </c>
      <c r="AF1314" s="320">
        <v>24.0</v>
      </c>
      <c r="AG1314" s="320">
        <v>50.0</v>
      </c>
      <c r="AH1314" s="320">
        <v>78.0</v>
      </c>
      <c r="AI1314" s="320">
        <v>45.43</v>
      </c>
      <c r="AJ1314" s="320">
        <v>18.3</v>
      </c>
      <c r="AK1314" s="320">
        <v>5.21</v>
      </c>
      <c r="AL1314" s="320">
        <v>0.1497</v>
      </c>
      <c r="AM1314" s="320">
        <v>20.27</v>
      </c>
      <c r="AN1314" s="320">
        <v>498.14</v>
      </c>
      <c r="AO1314" s="320">
        <v>77.62</v>
      </c>
      <c r="AP1314" s="320">
        <v>15.73</v>
      </c>
    </row>
    <row r="1315">
      <c r="A1315" s="319" t="s">
        <v>258</v>
      </c>
      <c r="B1315" s="328">
        <v>46148.0</v>
      </c>
      <c r="C1315" s="319" t="s">
        <v>218</v>
      </c>
      <c r="D1315" s="320">
        <v>331.0</v>
      </c>
      <c r="E1315" s="320">
        <v>0.45</v>
      </c>
      <c r="F1315" s="320">
        <v>4762.35</v>
      </c>
      <c r="G1315" s="320">
        <v>14.3878</v>
      </c>
      <c r="H1315" s="320">
        <v>56.8</v>
      </c>
      <c r="I1315" s="320">
        <v>25.3316</v>
      </c>
      <c r="J1315" s="320">
        <v>247.68</v>
      </c>
      <c r="K1315" s="320">
        <v>158.51</v>
      </c>
      <c r="L1315" s="320">
        <v>125.28</v>
      </c>
      <c r="M1315" s="320">
        <v>0.7903</v>
      </c>
      <c r="N1315" s="320">
        <v>0.2959</v>
      </c>
      <c r="O1315" s="320">
        <v>0.1797</v>
      </c>
      <c r="P1315" s="320">
        <v>1.2653</v>
      </c>
      <c r="Q1315" s="320">
        <v>1304.22</v>
      </c>
      <c r="R1315" s="320">
        <v>1079.81</v>
      </c>
      <c r="S1315" s="320">
        <v>224.41</v>
      </c>
      <c r="T1315" s="320">
        <v>884.17</v>
      </c>
      <c r="U1315" s="320">
        <v>420.05</v>
      </c>
      <c r="V1315" s="320">
        <v>1368.73</v>
      </c>
      <c r="W1315" s="320">
        <v>8.6348</v>
      </c>
      <c r="X1315" s="320">
        <v>67.79</v>
      </c>
      <c r="Y1315" s="320">
        <v>127.0</v>
      </c>
      <c r="Z1315" s="320">
        <v>520.0</v>
      </c>
      <c r="AA1315" s="320">
        <v>2659.0</v>
      </c>
      <c r="AB1315" s="320">
        <v>61.5413</v>
      </c>
      <c r="AC1315" s="320">
        <v>0.8357</v>
      </c>
      <c r="AD1315" s="320">
        <v>81.94</v>
      </c>
      <c r="AE1315" s="320">
        <v>25.0</v>
      </c>
      <c r="AF1315" s="320">
        <v>67.0</v>
      </c>
      <c r="AG1315" s="320">
        <v>122.0</v>
      </c>
      <c r="AH1315" s="320">
        <v>176.0</v>
      </c>
      <c r="AI1315" s="320">
        <v>43.5</v>
      </c>
      <c r="AJ1315" s="320">
        <v>9.97</v>
      </c>
      <c r="AK1315" s="320">
        <v>0.91</v>
      </c>
      <c r="AL1315" s="320">
        <v>0.1239</v>
      </c>
      <c r="AM1315" s="320">
        <v>20.14</v>
      </c>
      <c r="AN1315" s="320">
        <v>1059.68</v>
      </c>
      <c r="AO1315" s="320">
        <v>71.73</v>
      </c>
      <c r="AP1315" s="320">
        <v>14.45</v>
      </c>
    </row>
    <row r="1316">
      <c r="A1316" s="319" t="s">
        <v>258</v>
      </c>
      <c r="B1316" s="328">
        <v>46149.0</v>
      </c>
      <c r="C1316" s="319" t="s">
        <v>257</v>
      </c>
      <c r="D1316" s="320">
        <v>16359.0</v>
      </c>
      <c r="E1316" s="320">
        <v>22.68</v>
      </c>
      <c r="F1316" s="320">
        <v>61.1</v>
      </c>
      <c r="G1316" s="320">
        <v>0.0037</v>
      </c>
      <c r="H1316" s="320">
        <v>0.15</v>
      </c>
      <c r="I1316" s="320">
        <v>2.444</v>
      </c>
      <c r="J1316" s="320">
        <v>6.36</v>
      </c>
      <c r="K1316" s="320">
        <v>2.83</v>
      </c>
      <c r="L1316" s="320">
        <v>0.03</v>
      </c>
      <c r="M1316" s="320">
        <v>0.0099</v>
      </c>
      <c r="N1316" s="320">
        <v>0.9909</v>
      </c>
      <c r="O1316" s="320">
        <v>0.8767</v>
      </c>
      <c r="P1316" s="320">
        <v>101.2188</v>
      </c>
      <c r="Q1316" s="320">
        <v>23.81</v>
      </c>
      <c r="R1316" s="320">
        <v>23.75</v>
      </c>
      <c r="S1316" s="320">
        <v>0.05</v>
      </c>
      <c r="T1316" s="320">
        <v>0.65</v>
      </c>
      <c r="U1316" s="320">
        <v>23.16</v>
      </c>
      <c r="V1316" s="320">
        <v>2.11</v>
      </c>
      <c r="W1316" s="320">
        <v>0.7448</v>
      </c>
      <c r="X1316" s="320">
        <v>2.72</v>
      </c>
      <c r="Y1316" s="320">
        <v>138.0</v>
      </c>
      <c r="Z1316" s="320">
        <v>1101.0</v>
      </c>
      <c r="AA1316" s="320">
        <v>7420.0</v>
      </c>
      <c r="AB1316" s="320">
        <v>49.7435</v>
      </c>
      <c r="AC1316" s="320">
        <v>0.5067</v>
      </c>
      <c r="AD1316" s="329"/>
      <c r="AE1316" s="329"/>
      <c r="AF1316" s="329"/>
      <c r="AG1316" s="329"/>
      <c r="AH1316" s="329"/>
      <c r="AI1316" s="320">
        <v>0.0</v>
      </c>
      <c r="AJ1316" s="320">
        <v>0.0</v>
      </c>
      <c r="AK1316" s="320">
        <v>0.0</v>
      </c>
      <c r="AL1316" s="320">
        <v>0.2677</v>
      </c>
      <c r="AM1316" s="320">
        <v>16.07</v>
      </c>
      <c r="AN1316" s="320">
        <v>7.68</v>
      </c>
      <c r="AO1316" s="329"/>
      <c r="AP1316" s="329"/>
    </row>
    <row r="1317">
      <c r="A1317" s="319" t="s">
        <v>258</v>
      </c>
      <c r="B1317" s="328">
        <v>46149.0</v>
      </c>
      <c r="C1317" s="319" t="s">
        <v>214</v>
      </c>
      <c r="D1317" s="320">
        <v>30278.0</v>
      </c>
      <c r="E1317" s="320">
        <v>41.97</v>
      </c>
      <c r="F1317" s="320">
        <v>6897.84</v>
      </c>
      <c r="G1317" s="320">
        <v>0.2278</v>
      </c>
      <c r="H1317" s="320">
        <v>6.54</v>
      </c>
      <c r="I1317" s="320">
        <v>3.4838</v>
      </c>
      <c r="J1317" s="320">
        <v>28.86</v>
      </c>
      <c r="K1317" s="320">
        <v>15.14</v>
      </c>
      <c r="L1317" s="320">
        <v>4.85</v>
      </c>
      <c r="M1317" s="320">
        <v>0.3203</v>
      </c>
      <c r="N1317" s="320">
        <v>0.7532</v>
      </c>
      <c r="O1317" s="320">
        <v>0.523</v>
      </c>
      <c r="P1317" s="320">
        <v>3.1218</v>
      </c>
      <c r="Q1317" s="320">
        <v>61.24</v>
      </c>
      <c r="R1317" s="320">
        <v>52.92</v>
      </c>
      <c r="S1317" s="320">
        <v>8.32</v>
      </c>
      <c r="T1317" s="320">
        <v>15.19</v>
      </c>
      <c r="U1317" s="320">
        <v>46.05</v>
      </c>
      <c r="V1317" s="320">
        <v>66.29</v>
      </c>
      <c r="W1317" s="320">
        <v>4.3789</v>
      </c>
      <c r="X1317" s="320">
        <v>24.8</v>
      </c>
      <c r="Y1317" s="320">
        <v>85.0</v>
      </c>
      <c r="Z1317" s="320">
        <v>197.0</v>
      </c>
      <c r="AA1317" s="320">
        <v>835.0</v>
      </c>
      <c r="AB1317" s="320">
        <v>49.7657</v>
      </c>
      <c r="AC1317" s="320">
        <v>0.447</v>
      </c>
      <c r="AD1317" s="320">
        <v>3.33</v>
      </c>
      <c r="AE1317" s="320">
        <v>1.0</v>
      </c>
      <c r="AF1317" s="320">
        <v>2.0</v>
      </c>
      <c r="AG1317" s="320">
        <v>4.0</v>
      </c>
      <c r="AH1317" s="320">
        <v>7.0</v>
      </c>
      <c r="AI1317" s="320">
        <v>63.48</v>
      </c>
      <c r="AJ1317" s="320">
        <v>22.92</v>
      </c>
      <c r="AK1317" s="320">
        <v>6.36</v>
      </c>
      <c r="AL1317" s="320">
        <v>0.2212</v>
      </c>
      <c r="AM1317" s="320">
        <v>20.09</v>
      </c>
      <c r="AN1317" s="320">
        <v>32.83</v>
      </c>
      <c r="AO1317" s="320">
        <v>68.38</v>
      </c>
      <c r="AP1317" s="320">
        <v>13.74</v>
      </c>
    </row>
    <row r="1318">
      <c r="A1318" s="319" t="s">
        <v>258</v>
      </c>
      <c r="B1318" s="328">
        <v>46149.0</v>
      </c>
      <c r="C1318" s="319" t="s">
        <v>215</v>
      </c>
      <c r="D1318" s="320">
        <v>14520.0</v>
      </c>
      <c r="E1318" s="320">
        <v>20.13</v>
      </c>
      <c r="F1318" s="320">
        <v>15146.74</v>
      </c>
      <c r="G1318" s="320">
        <v>1.0432</v>
      </c>
      <c r="H1318" s="320">
        <v>20.79</v>
      </c>
      <c r="I1318" s="320">
        <v>5.0171</v>
      </c>
      <c r="J1318" s="320">
        <v>52.1</v>
      </c>
      <c r="K1318" s="320">
        <v>29.28</v>
      </c>
      <c r="L1318" s="320">
        <v>12.88</v>
      </c>
      <c r="M1318" s="320">
        <v>0.4397</v>
      </c>
      <c r="N1318" s="320">
        <v>0.6273</v>
      </c>
      <c r="O1318" s="320">
        <v>0.3635</v>
      </c>
      <c r="P1318" s="320">
        <v>2.2741</v>
      </c>
      <c r="Q1318" s="320">
        <v>163.73</v>
      </c>
      <c r="R1318" s="320">
        <v>142.53</v>
      </c>
      <c r="S1318" s="320">
        <v>21.2</v>
      </c>
      <c r="T1318" s="320">
        <v>67.76</v>
      </c>
      <c r="U1318" s="320">
        <v>95.96</v>
      </c>
      <c r="V1318" s="320">
        <v>165.46</v>
      </c>
      <c r="W1318" s="320">
        <v>5.6507</v>
      </c>
      <c r="X1318" s="320">
        <v>41.39</v>
      </c>
      <c r="Y1318" s="320">
        <v>83.0</v>
      </c>
      <c r="Z1318" s="320">
        <v>188.0</v>
      </c>
      <c r="AA1318" s="320">
        <v>592.0</v>
      </c>
      <c r="AB1318" s="320">
        <v>52.3954</v>
      </c>
      <c r="AC1318" s="320">
        <v>0.5339</v>
      </c>
      <c r="AD1318" s="320">
        <v>8.27</v>
      </c>
      <c r="AE1318" s="320">
        <v>2.0</v>
      </c>
      <c r="AF1318" s="320">
        <v>6.0</v>
      </c>
      <c r="AG1318" s="320">
        <v>11.0</v>
      </c>
      <c r="AH1318" s="320">
        <v>19.0</v>
      </c>
      <c r="AI1318" s="320">
        <v>49.85</v>
      </c>
      <c r="AJ1318" s="320">
        <v>21.91</v>
      </c>
      <c r="AK1318" s="320">
        <v>4.38</v>
      </c>
      <c r="AL1318" s="320">
        <v>0.1988</v>
      </c>
      <c r="AM1318" s="320">
        <v>20.34</v>
      </c>
      <c r="AN1318" s="320">
        <v>122.19</v>
      </c>
      <c r="AO1318" s="320">
        <v>73.16</v>
      </c>
      <c r="AP1318" s="320">
        <v>14.88</v>
      </c>
    </row>
    <row r="1319">
      <c r="A1319" s="319" t="s">
        <v>258</v>
      </c>
      <c r="B1319" s="328">
        <v>46149.0</v>
      </c>
      <c r="C1319" s="319" t="s">
        <v>216</v>
      </c>
      <c r="D1319" s="320">
        <v>7536.0</v>
      </c>
      <c r="E1319" s="320">
        <v>10.45</v>
      </c>
      <c r="F1319" s="320">
        <v>17102.68</v>
      </c>
      <c r="G1319" s="320">
        <v>2.2695</v>
      </c>
      <c r="H1319" s="320">
        <v>31.05</v>
      </c>
      <c r="I1319" s="320">
        <v>7.3088</v>
      </c>
      <c r="J1319" s="320">
        <v>77.95</v>
      </c>
      <c r="K1319" s="320">
        <v>45.73</v>
      </c>
      <c r="L1319" s="320">
        <v>25.34</v>
      </c>
      <c r="M1319" s="320">
        <v>0.554</v>
      </c>
      <c r="N1319" s="320">
        <v>0.5211</v>
      </c>
      <c r="O1319" s="320">
        <v>0.2861</v>
      </c>
      <c r="P1319" s="320">
        <v>1.805</v>
      </c>
      <c r="Q1319" s="320">
        <v>332.04</v>
      </c>
      <c r="R1319" s="320">
        <v>288.27</v>
      </c>
      <c r="S1319" s="320">
        <v>43.77</v>
      </c>
      <c r="T1319" s="320">
        <v>146.76</v>
      </c>
      <c r="U1319" s="320">
        <v>185.28</v>
      </c>
      <c r="V1319" s="320">
        <v>330.41</v>
      </c>
      <c r="W1319" s="320">
        <v>7.2253</v>
      </c>
      <c r="X1319" s="320">
        <v>44.2</v>
      </c>
      <c r="Y1319" s="320">
        <v>90.0</v>
      </c>
      <c r="Z1319" s="320">
        <v>226.0</v>
      </c>
      <c r="AA1319" s="320">
        <v>700.0</v>
      </c>
      <c r="AB1319" s="320">
        <v>54.7605</v>
      </c>
      <c r="AC1319" s="320">
        <v>0.6484</v>
      </c>
      <c r="AD1319" s="320">
        <v>17.21</v>
      </c>
      <c r="AE1319" s="320">
        <v>5.0</v>
      </c>
      <c r="AF1319" s="320">
        <v>12.0</v>
      </c>
      <c r="AG1319" s="320">
        <v>24.0</v>
      </c>
      <c r="AH1319" s="320">
        <v>39.0</v>
      </c>
      <c r="AI1319" s="320">
        <v>54.59</v>
      </c>
      <c r="AJ1319" s="320">
        <v>23.12</v>
      </c>
      <c r="AK1319" s="320">
        <v>8.05</v>
      </c>
      <c r="AL1319" s="320">
        <v>0.1932</v>
      </c>
      <c r="AM1319" s="320">
        <v>19.77</v>
      </c>
      <c r="AN1319" s="320">
        <v>268.5</v>
      </c>
      <c r="AO1319" s="320">
        <v>74.63</v>
      </c>
      <c r="AP1319" s="320">
        <v>14.75</v>
      </c>
    </row>
    <row r="1320">
      <c r="A1320" s="319" t="s">
        <v>258</v>
      </c>
      <c r="B1320" s="328">
        <v>46149.0</v>
      </c>
      <c r="C1320" s="319" t="s">
        <v>217</v>
      </c>
      <c r="D1320" s="320">
        <v>3119.0</v>
      </c>
      <c r="E1320" s="320">
        <v>4.32</v>
      </c>
      <c r="F1320" s="320">
        <v>16392.47</v>
      </c>
      <c r="G1320" s="320">
        <v>5.2557</v>
      </c>
      <c r="H1320" s="320">
        <v>42.48</v>
      </c>
      <c r="I1320" s="320">
        <v>12.3717</v>
      </c>
      <c r="J1320" s="320">
        <v>123.53</v>
      </c>
      <c r="K1320" s="320">
        <v>75.74</v>
      </c>
      <c r="L1320" s="320">
        <v>52.72</v>
      </c>
      <c r="M1320" s="320">
        <v>0.6961</v>
      </c>
      <c r="N1320" s="320">
        <v>0.3932</v>
      </c>
      <c r="O1320" s="320">
        <v>0.2234</v>
      </c>
      <c r="P1320" s="320">
        <v>1.4367</v>
      </c>
      <c r="Q1320" s="320">
        <v>713.56</v>
      </c>
      <c r="R1320" s="320">
        <v>621.69</v>
      </c>
      <c r="S1320" s="320">
        <v>91.87</v>
      </c>
      <c r="T1320" s="320">
        <v>327.88</v>
      </c>
      <c r="U1320" s="320">
        <v>385.68</v>
      </c>
      <c r="V1320" s="320">
        <v>685.08</v>
      </c>
      <c r="W1320" s="320">
        <v>9.0448</v>
      </c>
      <c r="X1320" s="320">
        <v>45.95</v>
      </c>
      <c r="Y1320" s="320">
        <v>100.0</v>
      </c>
      <c r="Z1320" s="320">
        <v>319.0</v>
      </c>
      <c r="AA1320" s="320">
        <v>873.0</v>
      </c>
      <c r="AB1320" s="320">
        <v>57.5784</v>
      </c>
      <c r="AC1320" s="320">
        <v>0.7483</v>
      </c>
      <c r="AD1320" s="320">
        <v>36.98</v>
      </c>
      <c r="AE1320" s="320">
        <v>12.0</v>
      </c>
      <c r="AF1320" s="320">
        <v>30.0</v>
      </c>
      <c r="AG1320" s="320">
        <v>53.0</v>
      </c>
      <c r="AH1320" s="320">
        <v>79.0</v>
      </c>
      <c r="AI1320" s="320">
        <v>51.97</v>
      </c>
      <c r="AJ1320" s="320">
        <v>19.91</v>
      </c>
      <c r="AK1320" s="320">
        <v>4.81</v>
      </c>
      <c r="AL1320" s="320">
        <v>0.1642</v>
      </c>
      <c r="AM1320" s="320">
        <v>20.04</v>
      </c>
      <c r="AN1320" s="320">
        <v>601.65</v>
      </c>
      <c r="AO1320" s="320">
        <v>76.77</v>
      </c>
      <c r="AP1320" s="320">
        <v>15.38</v>
      </c>
    </row>
    <row r="1321">
      <c r="A1321" s="319" t="s">
        <v>258</v>
      </c>
      <c r="B1321" s="328">
        <v>46149.0</v>
      </c>
      <c r="C1321" s="319" t="s">
        <v>218</v>
      </c>
      <c r="D1321" s="320">
        <v>326.0</v>
      </c>
      <c r="E1321" s="320">
        <v>0.45</v>
      </c>
      <c r="F1321" s="320">
        <v>3516.54</v>
      </c>
      <c r="G1321" s="320">
        <v>10.7869</v>
      </c>
      <c r="H1321" s="320">
        <v>46.63</v>
      </c>
      <c r="I1321" s="320">
        <v>23.1351</v>
      </c>
      <c r="J1321" s="320">
        <v>226.66</v>
      </c>
      <c r="K1321" s="320">
        <v>151.76</v>
      </c>
      <c r="L1321" s="320">
        <v>124.25</v>
      </c>
      <c r="M1321" s="320">
        <v>0.8187</v>
      </c>
      <c r="N1321" s="320">
        <v>0.2728</v>
      </c>
      <c r="O1321" s="320">
        <v>0.1715</v>
      </c>
      <c r="P1321" s="320">
        <v>1.2215</v>
      </c>
      <c r="Q1321" s="320">
        <v>1382.23</v>
      </c>
      <c r="R1321" s="320">
        <v>1160.51</v>
      </c>
      <c r="S1321" s="320">
        <v>221.72</v>
      </c>
      <c r="T1321" s="320">
        <v>631.72</v>
      </c>
      <c r="U1321" s="320">
        <v>750.51</v>
      </c>
      <c r="V1321" s="320">
        <v>1406.75</v>
      </c>
      <c r="W1321" s="320">
        <v>9.2693</v>
      </c>
      <c r="X1321" s="320">
        <v>45.7</v>
      </c>
      <c r="Y1321" s="320">
        <v>152.0</v>
      </c>
      <c r="Z1321" s="320">
        <v>565.0</v>
      </c>
      <c r="AA1321" s="320">
        <v>2774.0</v>
      </c>
      <c r="AB1321" s="320">
        <v>61.2834</v>
      </c>
      <c r="AC1321" s="320">
        <v>0.8224</v>
      </c>
      <c r="AD1321" s="320">
        <v>88.58</v>
      </c>
      <c r="AE1321" s="320">
        <v>29.0</v>
      </c>
      <c r="AF1321" s="320">
        <v>76.0</v>
      </c>
      <c r="AG1321" s="320">
        <v>125.0</v>
      </c>
      <c r="AH1321" s="320">
        <v>179.0</v>
      </c>
      <c r="AI1321" s="320">
        <v>48.47</v>
      </c>
      <c r="AJ1321" s="320">
        <v>11.04</v>
      </c>
      <c r="AK1321" s="320">
        <v>2.45</v>
      </c>
      <c r="AL1321" s="320">
        <v>0.0982</v>
      </c>
      <c r="AM1321" s="320">
        <v>16.13</v>
      </c>
      <c r="AN1321" s="320">
        <v>1144.37</v>
      </c>
      <c r="AO1321" s="320">
        <v>72.83</v>
      </c>
      <c r="AP1321" s="320">
        <v>11.75</v>
      </c>
    </row>
    <row r="1322">
      <c r="A1322" s="319" t="s">
        <v>258</v>
      </c>
      <c r="B1322" s="328">
        <v>46150.0</v>
      </c>
      <c r="C1322" s="319" t="s">
        <v>257</v>
      </c>
      <c r="D1322" s="320">
        <v>14610.0</v>
      </c>
      <c r="E1322" s="320">
        <v>20.63</v>
      </c>
      <c r="F1322" s="320">
        <v>192.09</v>
      </c>
      <c r="G1322" s="320">
        <v>0.0131</v>
      </c>
      <c r="H1322" s="320">
        <v>0.36</v>
      </c>
      <c r="I1322" s="320">
        <v>3.6243</v>
      </c>
      <c r="J1322" s="320">
        <v>5.73</v>
      </c>
      <c r="K1322" s="320">
        <v>2.42</v>
      </c>
      <c r="L1322" s="320">
        <v>0.08</v>
      </c>
      <c r="M1322" s="320">
        <v>0.0314</v>
      </c>
      <c r="N1322" s="320">
        <v>0.9703</v>
      </c>
      <c r="O1322" s="320">
        <v>0.7059</v>
      </c>
      <c r="P1322" s="320">
        <v>31.8475</v>
      </c>
      <c r="Q1322" s="320">
        <v>30.73</v>
      </c>
      <c r="R1322" s="320">
        <v>30.67</v>
      </c>
      <c r="S1322" s="320">
        <v>0.07</v>
      </c>
      <c r="T1322" s="320">
        <v>1.04</v>
      </c>
      <c r="U1322" s="320">
        <v>29.7</v>
      </c>
      <c r="V1322" s="320">
        <v>2.07</v>
      </c>
      <c r="W1322" s="320">
        <v>0.8573</v>
      </c>
      <c r="X1322" s="320">
        <v>3.38</v>
      </c>
      <c r="Y1322" s="320">
        <v>184.0</v>
      </c>
      <c r="Z1322" s="320">
        <v>1432.0</v>
      </c>
      <c r="AA1322" s="320">
        <v>8354.0</v>
      </c>
      <c r="AB1322" s="320">
        <v>49.9749</v>
      </c>
      <c r="AC1322" s="320">
        <v>0.5228</v>
      </c>
      <c r="AD1322" s="329"/>
      <c r="AE1322" s="329"/>
      <c r="AF1322" s="329"/>
      <c r="AG1322" s="329"/>
      <c r="AH1322" s="329"/>
      <c r="AI1322" s="320">
        <v>0.0</v>
      </c>
      <c r="AJ1322" s="320">
        <v>0.0</v>
      </c>
      <c r="AK1322" s="320">
        <v>0.0</v>
      </c>
      <c r="AL1322" s="320">
        <v>0.2925</v>
      </c>
      <c r="AM1322" s="320">
        <v>17.29</v>
      </c>
      <c r="AN1322" s="320">
        <v>13.38</v>
      </c>
      <c r="AO1322" s="329"/>
      <c r="AP1322" s="329"/>
    </row>
    <row r="1323">
      <c r="A1323" s="319" t="s">
        <v>258</v>
      </c>
      <c r="B1323" s="328">
        <v>46150.0</v>
      </c>
      <c r="C1323" s="319" t="s">
        <v>214</v>
      </c>
      <c r="D1323" s="320">
        <v>30982.0</v>
      </c>
      <c r="E1323" s="320">
        <v>43.75</v>
      </c>
      <c r="F1323" s="320">
        <v>7835.52</v>
      </c>
      <c r="G1323" s="320">
        <v>0.2529</v>
      </c>
      <c r="H1323" s="320">
        <v>6.88</v>
      </c>
      <c r="I1323" s="320">
        <v>3.6735</v>
      </c>
      <c r="J1323" s="320">
        <v>33.59</v>
      </c>
      <c r="K1323" s="320">
        <v>17.8</v>
      </c>
      <c r="L1323" s="320">
        <v>5.52</v>
      </c>
      <c r="M1323" s="320">
        <v>0.3098</v>
      </c>
      <c r="N1323" s="320">
        <v>0.7593</v>
      </c>
      <c r="O1323" s="320">
        <v>0.5124</v>
      </c>
      <c r="P1323" s="320">
        <v>3.2276</v>
      </c>
      <c r="Q1323" s="320">
        <v>87.17</v>
      </c>
      <c r="R1323" s="320">
        <v>77.71</v>
      </c>
      <c r="S1323" s="320">
        <v>9.46</v>
      </c>
      <c r="T1323" s="320">
        <v>17.32</v>
      </c>
      <c r="U1323" s="320">
        <v>69.86</v>
      </c>
      <c r="V1323" s="320">
        <v>80.13</v>
      </c>
      <c r="W1323" s="320">
        <v>4.501</v>
      </c>
      <c r="X1323" s="320">
        <v>19.87</v>
      </c>
      <c r="Y1323" s="320">
        <v>89.0</v>
      </c>
      <c r="Z1323" s="320">
        <v>212.0</v>
      </c>
      <c r="AA1323" s="320">
        <v>853.0</v>
      </c>
      <c r="AB1323" s="320">
        <v>49.6511</v>
      </c>
      <c r="AC1323" s="320">
        <v>0.4452</v>
      </c>
      <c r="AD1323" s="320">
        <v>3.62</v>
      </c>
      <c r="AE1323" s="320">
        <v>1.0</v>
      </c>
      <c r="AF1323" s="320">
        <v>2.0</v>
      </c>
      <c r="AG1323" s="320">
        <v>5.0</v>
      </c>
      <c r="AH1323" s="320">
        <v>8.0</v>
      </c>
      <c r="AI1323" s="320">
        <v>67.34</v>
      </c>
      <c r="AJ1323" s="320">
        <v>25.82</v>
      </c>
      <c r="AK1323" s="320">
        <v>7.27</v>
      </c>
      <c r="AL1323" s="320">
        <v>0.2335</v>
      </c>
      <c r="AM1323" s="320">
        <v>21.23</v>
      </c>
      <c r="AN1323" s="320">
        <v>56.49</v>
      </c>
      <c r="AO1323" s="320">
        <v>68.69</v>
      </c>
      <c r="AP1323" s="320">
        <v>14.58</v>
      </c>
    </row>
    <row r="1324">
      <c r="A1324" s="319" t="s">
        <v>258</v>
      </c>
      <c r="B1324" s="328">
        <v>46150.0</v>
      </c>
      <c r="C1324" s="319" t="s">
        <v>215</v>
      </c>
      <c r="D1324" s="320">
        <v>14379.0</v>
      </c>
      <c r="E1324" s="320">
        <v>20.31</v>
      </c>
      <c r="F1324" s="320">
        <v>15597.45</v>
      </c>
      <c r="G1324" s="320">
        <v>1.0847</v>
      </c>
      <c r="H1324" s="320">
        <v>22.09</v>
      </c>
      <c r="I1324" s="320">
        <v>4.911</v>
      </c>
      <c r="J1324" s="320">
        <v>60.4</v>
      </c>
      <c r="K1324" s="320">
        <v>34.03</v>
      </c>
      <c r="L1324" s="320">
        <v>14.31</v>
      </c>
      <c r="M1324" s="320">
        <v>0.4206</v>
      </c>
      <c r="N1324" s="320">
        <v>0.6437</v>
      </c>
      <c r="O1324" s="320">
        <v>0.3688</v>
      </c>
      <c r="P1324" s="320">
        <v>2.3778</v>
      </c>
      <c r="Q1324" s="320">
        <v>190.11</v>
      </c>
      <c r="R1324" s="320">
        <v>165.75</v>
      </c>
      <c r="S1324" s="320">
        <v>24.36</v>
      </c>
      <c r="T1324" s="320">
        <v>71.58</v>
      </c>
      <c r="U1324" s="320">
        <v>118.53</v>
      </c>
      <c r="V1324" s="320">
        <v>185.8</v>
      </c>
      <c r="W1324" s="320">
        <v>5.4599</v>
      </c>
      <c r="X1324" s="320">
        <v>37.65</v>
      </c>
      <c r="Y1324" s="320">
        <v>86.0</v>
      </c>
      <c r="Z1324" s="320">
        <v>197.0</v>
      </c>
      <c r="AA1324" s="320">
        <v>595.0</v>
      </c>
      <c r="AB1324" s="320">
        <v>52.4256</v>
      </c>
      <c r="AC1324" s="320">
        <v>0.5373</v>
      </c>
      <c r="AD1324" s="320">
        <v>9.1</v>
      </c>
      <c r="AE1324" s="320">
        <v>3.0</v>
      </c>
      <c r="AF1324" s="320">
        <v>6.0</v>
      </c>
      <c r="AG1324" s="320">
        <v>13.0</v>
      </c>
      <c r="AH1324" s="320">
        <v>20.0</v>
      </c>
      <c r="AI1324" s="320">
        <v>55.33</v>
      </c>
      <c r="AJ1324" s="320">
        <v>25.77</v>
      </c>
      <c r="AK1324" s="320">
        <v>5.24</v>
      </c>
      <c r="AL1324" s="320">
        <v>0.2113</v>
      </c>
      <c r="AM1324" s="320">
        <v>21.29</v>
      </c>
      <c r="AN1324" s="320">
        <v>144.47</v>
      </c>
      <c r="AO1324" s="320">
        <v>73.78</v>
      </c>
      <c r="AP1324" s="320">
        <v>15.71</v>
      </c>
    </row>
    <row r="1325">
      <c r="A1325" s="319" t="s">
        <v>258</v>
      </c>
      <c r="B1325" s="328">
        <v>46150.0</v>
      </c>
      <c r="C1325" s="319" t="s">
        <v>216</v>
      </c>
      <c r="D1325" s="320">
        <v>7465.0</v>
      </c>
      <c r="E1325" s="320">
        <v>10.54</v>
      </c>
      <c r="F1325" s="320">
        <v>17698.86</v>
      </c>
      <c r="G1325" s="320">
        <v>2.3709</v>
      </c>
      <c r="H1325" s="320">
        <v>33.29</v>
      </c>
      <c r="I1325" s="320">
        <v>7.1223</v>
      </c>
      <c r="J1325" s="320">
        <v>86.65</v>
      </c>
      <c r="K1325" s="320">
        <v>50.72</v>
      </c>
      <c r="L1325" s="320">
        <v>26.91</v>
      </c>
      <c r="M1325" s="320">
        <v>0.5306</v>
      </c>
      <c r="N1325" s="320">
        <v>0.5393</v>
      </c>
      <c r="O1325" s="320">
        <v>0.2934</v>
      </c>
      <c r="P1325" s="320">
        <v>1.8847</v>
      </c>
      <c r="Q1325" s="320">
        <v>333.99</v>
      </c>
      <c r="R1325" s="320">
        <v>287.12</v>
      </c>
      <c r="S1325" s="320">
        <v>46.87</v>
      </c>
      <c r="T1325" s="320">
        <v>153.22</v>
      </c>
      <c r="U1325" s="320">
        <v>180.77</v>
      </c>
      <c r="V1325" s="320">
        <v>340.61</v>
      </c>
      <c r="W1325" s="320">
        <v>6.7161</v>
      </c>
      <c r="X1325" s="320">
        <v>45.88</v>
      </c>
      <c r="Y1325" s="320">
        <v>90.0</v>
      </c>
      <c r="Z1325" s="320">
        <v>233.0</v>
      </c>
      <c r="AA1325" s="320">
        <v>628.0</v>
      </c>
      <c r="AB1325" s="320">
        <v>54.8567</v>
      </c>
      <c r="AC1325" s="320">
        <v>0.6541</v>
      </c>
      <c r="AD1325" s="320">
        <v>17.7</v>
      </c>
      <c r="AE1325" s="320">
        <v>6.0</v>
      </c>
      <c r="AF1325" s="320">
        <v>13.0</v>
      </c>
      <c r="AG1325" s="320">
        <v>25.0</v>
      </c>
      <c r="AH1325" s="320">
        <v>38.0</v>
      </c>
      <c r="AI1325" s="320">
        <v>57.15</v>
      </c>
      <c r="AJ1325" s="320">
        <v>24.42</v>
      </c>
      <c r="AK1325" s="320">
        <v>8.02</v>
      </c>
      <c r="AL1325" s="320">
        <v>0.2135</v>
      </c>
      <c r="AM1325" s="320">
        <v>21.01</v>
      </c>
      <c r="AN1325" s="320">
        <v>266.1</v>
      </c>
      <c r="AO1325" s="320">
        <v>74.92</v>
      </c>
      <c r="AP1325" s="320">
        <v>15.74</v>
      </c>
    </row>
    <row r="1326">
      <c r="A1326" s="319" t="s">
        <v>258</v>
      </c>
      <c r="B1326" s="328">
        <v>46150.0</v>
      </c>
      <c r="C1326" s="319" t="s">
        <v>217</v>
      </c>
      <c r="D1326" s="320">
        <v>3049.0</v>
      </c>
      <c r="E1326" s="320">
        <v>4.31</v>
      </c>
      <c r="F1326" s="320">
        <v>17161.01</v>
      </c>
      <c r="G1326" s="320">
        <v>5.6284</v>
      </c>
      <c r="H1326" s="320">
        <v>45.49</v>
      </c>
      <c r="I1326" s="320">
        <v>12.3728</v>
      </c>
      <c r="J1326" s="320">
        <v>132.06</v>
      </c>
      <c r="K1326" s="320">
        <v>80.61</v>
      </c>
      <c r="L1326" s="320">
        <v>53.13</v>
      </c>
      <c r="M1326" s="320">
        <v>0.6591</v>
      </c>
      <c r="N1326" s="320">
        <v>0.4221</v>
      </c>
      <c r="O1326" s="320">
        <v>0.2341</v>
      </c>
      <c r="P1326" s="320">
        <v>1.5173</v>
      </c>
      <c r="Q1326" s="320">
        <v>633.04</v>
      </c>
      <c r="R1326" s="320">
        <v>540.43</v>
      </c>
      <c r="S1326" s="320">
        <v>92.6</v>
      </c>
      <c r="T1326" s="320">
        <v>345.82</v>
      </c>
      <c r="U1326" s="320">
        <v>287.21</v>
      </c>
      <c r="V1326" s="320">
        <v>668.43</v>
      </c>
      <c r="W1326" s="320">
        <v>8.2922</v>
      </c>
      <c r="X1326" s="320">
        <v>54.63</v>
      </c>
      <c r="Y1326" s="320">
        <v>96.0</v>
      </c>
      <c r="Z1326" s="320">
        <v>296.0</v>
      </c>
      <c r="AA1326" s="320">
        <v>907.0</v>
      </c>
      <c r="AB1326" s="320">
        <v>57.6792</v>
      </c>
      <c r="AC1326" s="320">
        <v>0.7556</v>
      </c>
      <c r="AD1326" s="320">
        <v>34.85</v>
      </c>
      <c r="AE1326" s="320">
        <v>12.0</v>
      </c>
      <c r="AF1326" s="320">
        <v>26.0</v>
      </c>
      <c r="AG1326" s="320">
        <v>49.0</v>
      </c>
      <c r="AH1326" s="320">
        <v>77.0</v>
      </c>
      <c r="AI1326" s="320">
        <v>48.47</v>
      </c>
      <c r="AJ1326" s="320">
        <v>17.15</v>
      </c>
      <c r="AK1326" s="320">
        <v>4.03</v>
      </c>
      <c r="AL1326" s="320">
        <v>0.1797</v>
      </c>
      <c r="AM1326" s="320">
        <v>21.86</v>
      </c>
      <c r="AN1326" s="320">
        <v>518.57</v>
      </c>
      <c r="AO1326" s="320">
        <v>77.06</v>
      </c>
      <c r="AP1326" s="320">
        <v>16.85</v>
      </c>
    </row>
    <row r="1327">
      <c r="A1327" s="319" t="s">
        <v>258</v>
      </c>
      <c r="B1327" s="328">
        <v>46150.0</v>
      </c>
      <c r="C1327" s="319" t="s">
        <v>218</v>
      </c>
      <c r="D1327" s="320">
        <v>329.0</v>
      </c>
      <c r="E1327" s="320">
        <v>0.46</v>
      </c>
      <c r="F1327" s="320">
        <v>3854.91</v>
      </c>
      <c r="G1327" s="320">
        <v>11.7171</v>
      </c>
      <c r="H1327" s="320">
        <v>51.98</v>
      </c>
      <c r="I1327" s="320">
        <v>22.5433</v>
      </c>
      <c r="J1327" s="320">
        <v>236.34</v>
      </c>
      <c r="K1327" s="320">
        <v>153.9</v>
      </c>
      <c r="L1327" s="320">
        <v>122.59</v>
      </c>
      <c r="M1327" s="320">
        <v>0.7966</v>
      </c>
      <c r="N1327" s="320">
        <v>0.2907</v>
      </c>
      <c r="O1327" s="320">
        <v>0.1755</v>
      </c>
      <c r="P1327" s="320">
        <v>1.2554</v>
      </c>
      <c r="Q1327" s="320">
        <v>1265.54</v>
      </c>
      <c r="R1327" s="320">
        <v>1052.4</v>
      </c>
      <c r="S1327" s="320">
        <v>213.15</v>
      </c>
      <c r="T1327" s="320">
        <v>709.95</v>
      </c>
      <c r="U1327" s="320">
        <v>555.59</v>
      </c>
      <c r="V1327" s="320">
        <v>1326.29</v>
      </c>
      <c r="W1327" s="320">
        <v>8.6179</v>
      </c>
      <c r="X1327" s="320">
        <v>56.1</v>
      </c>
      <c r="Y1327" s="320">
        <v>149.0</v>
      </c>
      <c r="Z1327" s="320">
        <v>569.0</v>
      </c>
      <c r="AA1327" s="320">
        <v>2163.0</v>
      </c>
      <c r="AB1327" s="320">
        <v>61.6098</v>
      </c>
      <c r="AC1327" s="320">
        <v>0.8285</v>
      </c>
      <c r="AD1327" s="320">
        <v>85.98</v>
      </c>
      <c r="AE1327" s="320">
        <v>26.0</v>
      </c>
      <c r="AF1327" s="320">
        <v>65.0</v>
      </c>
      <c r="AG1327" s="320">
        <v>124.0</v>
      </c>
      <c r="AH1327" s="320">
        <v>184.0</v>
      </c>
      <c r="AI1327" s="320">
        <v>44.07</v>
      </c>
      <c r="AJ1327" s="320">
        <v>12.77</v>
      </c>
      <c r="AK1327" s="320">
        <v>2.43</v>
      </c>
      <c r="AL1327" s="320">
        <v>0.1641</v>
      </c>
      <c r="AM1327" s="320">
        <v>24.97</v>
      </c>
      <c r="AN1327" s="320">
        <v>1027.43</v>
      </c>
      <c r="AO1327" s="320">
        <v>71.52</v>
      </c>
      <c r="AP1327" s="320">
        <v>17.86</v>
      </c>
    </row>
    <row r="1328">
      <c r="A1328" s="319" t="s">
        <v>258</v>
      </c>
      <c r="B1328" s="328">
        <v>46151.0</v>
      </c>
      <c r="C1328" s="319" t="s">
        <v>257</v>
      </c>
      <c r="D1328" s="320">
        <v>14806.0</v>
      </c>
      <c r="E1328" s="320">
        <v>21.29</v>
      </c>
      <c r="F1328" s="320">
        <v>109.1</v>
      </c>
      <c r="G1328" s="320">
        <v>0.0074</v>
      </c>
      <c r="H1328" s="320">
        <v>0.21</v>
      </c>
      <c r="I1328" s="320">
        <v>3.5194</v>
      </c>
      <c r="J1328" s="320">
        <v>5.98</v>
      </c>
      <c r="K1328" s="320">
        <v>2.64</v>
      </c>
      <c r="L1328" s="320">
        <v>0.05</v>
      </c>
      <c r="M1328" s="320">
        <v>0.0185</v>
      </c>
      <c r="N1328" s="320">
        <v>0.9832</v>
      </c>
      <c r="O1328" s="320">
        <v>0.8003</v>
      </c>
      <c r="P1328" s="320">
        <v>54.0747</v>
      </c>
      <c r="Q1328" s="320">
        <v>26.6</v>
      </c>
      <c r="R1328" s="320">
        <v>26.53</v>
      </c>
      <c r="S1328" s="320">
        <v>0.07</v>
      </c>
      <c r="T1328" s="320">
        <v>0.69</v>
      </c>
      <c r="U1328" s="320">
        <v>25.91</v>
      </c>
      <c r="V1328" s="320">
        <v>2.53</v>
      </c>
      <c r="W1328" s="320">
        <v>0.9566</v>
      </c>
      <c r="X1328" s="320">
        <v>2.61</v>
      </c>
      <c r="Y1328" s="320">
        <v>154.0</v>
      </c>
      <c r="Z1328" s="320">
        <v>1164.0</v>
      </c>
      <c r="AA1328" s="320">
        <v>7818.0</v>
      </c>
      <c r="AB1328" s="320">
        <v>49.7381</v>
      </c>
      <c r="AC1328" s="320">
        <v>0.5066</v>
      </c>
      <c r="AD1328" s="329"/>
      <c r="AE1328" s="329"/>
      <c r="AF1328" s="329"/>
      <c r="AG1328" s="329"/>
      <c r="AH1328" s="329"/>
      <c r="AI1328" s="320">
        <v>0.0</v>
      </c>
      <c r="AJ1328" s="320">
        <v>0.0</v>
      </c>
      <c r="AK1328" s="320">
        <v>0.0</v>
      </c>
      <c r="AL1328" s="320">
        <v>0.2757</v>
      </c>
      <c r="AM1328" s="320">
        <v>17.62</v>
      </c>
      <c r="AN1328" s="320">
        <v>8.91</v>
      </c>
      <c r="AO1328" s="329"/>
      <c r="AP1328" s="329"/>
    </row>
    <row r="1329">
      <c r="A1329" s="319" t="s">
        <v>258</v>
      </c>
      <c r="B1329" s="328">
        <v>46151.0</v>
      </c>
      <c r="C1329" s="319" t="s">
        <v>214</v>
      </c>
      <c r="D1329" s="320">
        <v>30059.0</v>
      </c>
      <c r="E1329" s="320">
        <v>43.21</v>
      </c>
      <c r="F1329" s="320">
        <v>7263.42</v>
      </c>
      <c r="G1329" s="320">
        <v>0.2416</v>
      </c>
      <c r="H1329" s="320">
        <v>7.01</v>
      </c>
      <c r="I1329" s="320">
        <v>3.4489</v>
      </c>
      <c r="J1329" s="320">
        <v>31.11</v>
      </c>
      <c r="K1329" s="320">
        <v>16.54</v>
      </c>
      <c r="L1329" s="320">
        <v>5.43</v>
      </c>
      <c r="M1329" s="320">
        <v>0.3283</v>
      </c>
      <c r="N1329" s="320">
        <v>0.7448</v>
      </c>
      <c r="O1329" s="320">
        <v>0.4998</v>
      </c>
      <c r="P1329" s="320">
        <v>3.0463</v>
      </c>
      <c r="Q1329" s="320">
        <v>73.7</v>
      </c>
      <c r="R1329" s="320">
        <v>64.54</v>
      </c>
      <c r="S1329" s="320">
        <v>9.16</v>
      </c>
      <c r="T1329" s="320">
        <v>16.64</v>
      </c>
      <c r="U1329" s="320">
        <v>57.06</v>
      </c>
      <c r="V1329" s="320">
        <v>77.76</v>
      </c>
      <c r="W1329" s="320">
        <v>4.7023</v>
      </c>
      <c r="X1329" s="320">
        <v>22.57</v>
      </c>
      <c r="Y1329" s="320">
        <v>86.0</v>
      </c>
      <c r="Z1329" s="320">
        <v>214.0</v>
      </c>
      <c r="AA1329" s="320">
        <v>862.0</v>
      </c>
      <c r="AB1329" s="320">
        <v>49.6728</v>
      </c>
      <c r="AC1329" s="320">
        <v>0.4509</v>
      </c>
      <c r="AD1329" s="320">
        <v>3.66</v>
      </c>
      <c r="AE1329" s="320">
        <v>1.0</v>
      </c>
      <c r="AF1329" s="320">
        <v>2.0</v>
      </c>
      <c r="AG1329" s="320">
        <v>5.0</v>
      </c>
      <c r="AH1329" s="320">
        <v>8.0</v>
      </c>
      <c r="AI1329" s="320">
        <v>66.73</v>
      </c>
      <c r="AJ1329" s="320">
        <v>25.84</v>
      </c>
      <c r="AK1329" s="320">
        <v>7.64</v>
      </c>
      <c r="AL1329" s="320">
        <v>0.2249</v>
      </c>
      <c r="AM1329" s="320">
        <v>23.23</v>
      </c>
      <c r="AN1329" s="320">
        <v>41.31</v>
      </c>
      <c r="AO1329" s="320">
        <v>68.38</v>
      </c>
      <c r="AP1329" s="320">
        <v>15.88</v>
      </c>
    </row>
    <row r="1330">
      <c r="A1330" s="319" t="s">
        <v>258</v>
      </c>
      <c r="B1330" s="328">
        <v>46151.0</v>
      </c>
      <c r="C1330" s="319" t="s">
        <v>215</v>
      </c>
      <c r="D1330" s="320">
        <v>13938.0</v>
      </c>
      <c r="E1330" s="320">
        <v>20.04</v>
      </c>
      <c r="F1330" s="320">
        <v>14161.62</v>
      </c>
      <c r="G1330" s="320">
        <v>1.016</v>
      </c>
      <c r="H1330" s="320">
        <v>21.25</v>
      </c>
      <c r="I1330" s="320">
        <v>4.7811</v>
      </c>
      <c r="J1330" s="320">
        <v>57.17</v>
      </c>
      <c r="K1330" s="320">
        <v>32.39</v>
      </c>
      <c r="L1330" s="320">
        <v>14.01</v>
      </c>
      <c r="M1330" s="320">
        <v>0.4327</v>
      </c>
      <c r="N1330" s="320">
        <v>0.6322</v>
      </c>
      <c r="O1330" s="320">
        <v>0.3611</v>
      </c>
      <c r="P1330" s="320">
        <v>2.3112</v>
      </c>
      <c r="Q1330" s="320">
        <v>173.02</v>
      </c>
      <c r="R1330" s="320">
        <v>148.98</v>
      </c>
      <c r="S1330" s="320">
        <v>24.03</v>
      </c>
      <c r="T1330" s="320">
        <v>66.37</v>
      </c>
      <c r="U1330" s="320">
        <v>106.64</v>
      </c>
      <c r="V1330" s="320">
        <v>180.35</v>
      </c>
      <c r="W1330" s="320">
        <v>5.5687</v>
      </c>
      <c r="X1330" s="320">
        <v>38.36</v>
      </c>
      <c r="Y1330" s="320">
        <v>85.0</v>
      </c>
      <c r="Z1330" s="320">
        <v>196.0</v>
      </c>
      <c r="AA1330" s="320">
        <v>628.0</v>
      </c>
      <c r="AB1330" s="320">
        <v>52.5437</v>
      </c>
      <c r="AC1330" s="320">
        <v>0.5515</v>
      </c>
      <c r="AD1330" s="320">
        <v>9.3</v>
      </c>
      <c r="AE1330" s="320">
        <v>3.0</v>
      </c>
      <c r="AF1330" s="320">
        <v>6.0</v>
      </c>
      <c r="AG1330" s="320">
        <v>13.0</v>
      </c>
      <c r="AH1330" s="320">
        <v>21.0</v>
      </c>
      <c r="AI1330" s="320">
        <v>55.11</v>
      </c>
      <c r="AJ1330" s="320">
        <v>26.28</v>
      </c>
      <c r="AK1330" s="320">
        <v>5.94</v>
      </c>
      <c r="AL1330" s="320">
        <v>0.2023</v>
      </c>
      <c r="AM1330" s="320">
        <v>22.98</v>
      </c>
      <c r="AN1330" s="320">
        <v>126.0</v>
      </c>
      <c r="AO1330" s="320">
        <v>73.12</v>
      </c>
      <c r="AP1330" s="320">
        <v>16.8</v>
      </c>
    </row>
    <row r="1331">
      <c r="A1331" s="319" t="s">
        <v>258</v>
      </c>
      <c r="B1331" s="328">
        <v>46151.0</v>
      </c>
      <c r="C1331" s="319" t="s">
        <v>216</v>
      </c>
      <c r="D1331" s="320">
        <v>7362.0</v>
      </c>
      <c r="E1331" s="320">
        <v>10.58</v>
      </c>
      <c r="F1331" s="320">
        <v>18777.52</v>
      </c>
      <c r="G1331" s="320">
        <v>2.5506</v>
      </c>
      <c r="H1331" s="320">
        <v>33.47</v>
      </c>
      <c r="I1331" s="320">
        <v>7.6207</v>
      </c>
      <c r="J1331" s="320">
        <v>83.44</v>
      </c>
      <c r="K1331" s="320">
        <v>49.26</v>
      </c>
      <c r="L1331" s="320">
        <v>27.21</v>
      </c>
      <c r="M1331" s="320">
        <v>0.5523</v>
      </c>
      <c r="N1331" s="320">
        <v>0.5206</v>
      </c>
      <c r="O1331" s="320">
        <v>0.2853</v>
      </c>
      <c r="P1331" s="320">
        <v>1.8105</v>
      </c>
      <c r="Q1331" s="320">
        <v>345.62</v>
      </c>
      <c r="R1331" s="320">
        <v>298.53</v>
      </c>
      <c r="S1331" s="320">
        <v>47.09</v>
      </c>
      <c r="T1331" s="320">
        <v>163.44</v>
      </c>
      <c r="U1331" s="320">
        <v>182.18</v>
      </c>
      <c r="V1331" s="320">
        <v>349.9</v>
      </c>
      <c r="W1331" s="320">
        <v>7.1028</v>
      </c>
      <c r="X1331" s="320">
        <v>47.29</v>
      </c>
      <c r="Y1331" s="320">
        <v>92.0</v>
      </c>
      <c r="Z1331" s="320">
        <v>236.0</v>
      </c>
      <c r="AA1331" s="320">
        <v>706.0</v>
      </c>
      <c r="AB1331" s="320">
        <v>54.7683</v>
      </c>
      <c r="AC1331" s="320">
        <v>0.6628</v>
      </c>
      <c r="AD1331" s="320">
        <v>18.08</v>
      </c>
      <c r="AE1331" s="320">
        <v>6.0</v>
      </c>
      <c r="AF1331" s="320">
        <v>13.0</v>
      </c>
      <c r="AG1331" s="320">
        <v>25.0</v>
      </c>
      <c r="AH1331" s="320">
        <v>39.0</v>
      </c>
      <c r="AI1331" s="320">
        <v>56.51</v>
      </c>
      <c r="AJ1331" s="320">
        <v>24.93</v>
      </c>
      <c r="AK1331" s="320">
        <v>8.69</v>
      </c>
      <c r="AL1331" s="320">
        <v>0.1945</v>
      </c>
      <c r="AM1331" s="320">
        <v>22.9</v>
      </c>
      <c r="AN1331" s="320">
        <v>275.64</v>
      </c>
      <c r="AO1331" s="320">
        <v>74.75</v>
      </c>
      <c r="AP1331" s="320">
        <v>17.12</v>
      </c>
    </row>
    <row r="1332">
      <c r="A1332" s="319" t="s">
        <v>258</v>
      </c>
      <c r="B1332" s="328">
        <v>46151.0</v>
      </c>
      <c r="C1332" s="319" t="s">
        <v>217</v>
      </c>
      <c r="D1332" s="320">
        <v>3058.0</v>
      </c>
      <c r="E1332" s="320">
        <v>4.4</v>
      </c>
      <c r="F1332" s="320">
        <v>16974.79</v>
      </c>
      <c r="G1332" s="320">
        <v>5.5509</v>
      </c>
      <c r="H1332" s="320">
        <v>43.07</v>
      </c>
      <c r="I1332" s="320">
        <v>12.889</v>
      </c>
      <c r="J1332" s="320">
        <v>127.15</v>
      </c>
      <c r="K1332" s="320">
        <v>78.77</v>
      </c>
      <c r="L1332" s="320">
        <v>53.57</v>
      </c>
      <c r="M1332" s="320">
        <v>0.6801</v>
      </c>
      <c r="N1332" s="320">
        <v>0.4032</v>
      </c>
      <c r="O1332" s="320">
        <v>0.2224</v>
      </c>
      <c r="P1332" s="320">
        <v>1.4704</v>
      </c>
      <c r="Q1332" s="320">
        <v>662.43</v>
      </c>
      <c r="R1332" s="320">
        <v>568.88</v>
      </c>
      <c r="S1332" s="320">
        <v>93.56</v>
      </c>
      <c r="T1332" s="320">
        <v>339.02</v>
      </c>
      <c r="U1332" s="320">
        <v>323.41</v>
      </c>
      <c r="V1332" s="320">
        <v>677.44</v>
      </c>
      <c r="W1332" s="320">
        <v>8.5999</v>
      </c>
      <c r="X1332" s="320">
        <v>51.18</v>
      </c>
      <c r="Y1332" s="320">
        <v>96.0</v>
      </c>
      <c r="Z1332" s="320">
        <v>316.0</v>
      </c>
      <c r="AA1332" s="320">
        <v>894.0</v>
      </c>
      <c r="AB1332" s="320">
        <v>57.5624</v>
      </c>
      <c r="AC1332" s="320">
        <v>0.7536</v>
      </c>
      <c r="AD1332" s="320">
        <v>36.53</v>
      </c>
      <c r="AE1332" s="320">
        <v>11.0</v>
      </c>
      <c r="AF1332" s="320">
        <v>28.0</v>
      </c>
      <c r="AG1332" s="320">
        <v>51.0</v>
      </c>
      <c r="AH1332" s="320">
        <v>79.0</v>
      </c>
      <c r="AI1332" s="320">
        <v>49.97</v>
      </c>
      <c r="AJ1332" s="320">
        <v>19.78</v>
      </c>
      <c r="AK1332" s="320">
        <v>5.33</v>
      </c>
      <c r="AL1332" s="320">
        <v>0.191</v>
      </c>
      <c r="AM1332" s="320">
        <v>21.94</v>
      </c>
      <c r="AN1332" s="320">
        <v>546.94</v>
      </c>
      <c r="AO1332" s="320">
        <v>74.41</v>
      </c>
      <c r="AP1332" s="320">
        <v>16.33</v>
      </c>
    </row>
    <row r="1333">
      <c r="A1333" s="319" t="s">
        <v>258</v>
      </c>
      <c r="B1333" s="328">
        <v>46151.0</v>
      </c>
      <c r="C1333" s="319" t="s">
        <v>218</v>
      </c>
      <c r="D1333" s="320">
        <v>335.0</v>
      </c>
      <c r="E1333" s="320">
        <v>0.48</v>
      </c>
      <c r="F1333" s="320">
        <v>3701.67</v>
      </c>
      <c r="G1333" s="320">
        <v>11.0498</v>
      </c>
      <c r="H1333" s="320">
        <v>49.55</v>
      </c>
      <c r="I1333" s="320">
        <v>22.2992</v>
      </c>
      <c r="J1333" s="320">
        <v>237.78</v>
      </c>
      <c r="K1333" s="320">
        <v>159.08</v>
      </c>
      <c r="L1333" s="320">
        <v>131.19</v>
      </c>
      <c r="M1333" s="320">
        <v>0.8247</v>
      </c>
      <c r="N1333" s="320">
        <v>0.2633</v>
      </c>
      <c r="O1333" s="320">
        <v>0.1631</v>
      </c>
      <c r="P1333" s="320">
        <v>1.2126</v>
      </c>
      <c r="Q1333" s="320">
        <v>1397.65</v>
      </c>
      <c r="R1333" s="320">
        <v>1159.74</v>
      </c>
      <c r="S1333" s="320">
        <v>237.91</v>
      </c>
      <c r="T1333" s="320">
        <v>711.63</v>
      </c>
      <c r="U1333" s="320">
        <v>686.02</v>
      </c>
      <c r="V1333" s="320">
        <v>1383.88</v>
      </c>
      <c r="W1333" s="320">
        <v>8.6992</v>
      </c>
      <c r="X1333" s="320">
        <v>50.92</v>
      </c>
      <c r="Y1333" s="320">
        <v>171.0</v>
      </c>
      <c r="Z1333" s="320">
        <v>700.0</v>
      </c>
      <c r="AA1333" s="320">
        <v>2670.0</v>
      </c>
      <c r="AB1333" s="320">
        <v>60.903</v>
      </c>
      <c r="AC1333" s="320">
        <v>0.8515</v>
      </c>
      <c r="AD1333" s="320">
        <v>92.19</v>
      </c>
      <c r="AE1333" s="320">
        <v>34.0</v>
      </c>
      <c r="AF1333" s="320">
        <v>75.0</v>
      </c>
      <c r="AG1333" s="320">
        <v>132.0</v>
      </c>
      <c r="AH1333" s="320">
        <v>191.0</v>
      </c>
      <c r="AI1333" s="320">
        <v>48.66</v>
      </c>
      <c r="AJ1333" s="320">
        <v>13.43</v>
      </c>
      <c r="AK1333" s="320">
        <v>2.69</v>
      </c>
      <c r="AL1333" s="320">
        <v>0.1642</v>
      </c>
      <c r="AM1333" s="320">
        <v>23.28</v>
      </c>
      <c r="AN1333" s="320">
        <v>1136.46</v>
      </c>
      <c r="AO1333" s="320">
        <v>70.45</v>
      </c>
      <c r="AP1333" s="320">
        <v>16.4</v>
      </c>
    </row>
    <row r="1334">
      <c r="A1334" s="319" t="s">
        <v>258</v>
      </c>
      <c r="B1334" s="328">
        <v>46152.0</v>
      </c>
      <c r="C1334" s="319" t="s">
        <v>257</v>
      </c>
      <c r="D1334" s="320">
        <v>14993.0</v>
      </c>
      <c r="E1334" s="320">
        <v>21.26</v>
      </c>
      <c r="F1334" s="320">
        <v>154.73</v>
      </c>
      <c r="G1334" s="320">
        <v>0.0103</v>
      </c>
      <c r="H1334" s="320">
        <v>0.16</v>
      </c>
      <c r="I1334" s="320">
        <v>6.4471</v>
      </c>
      <c r="J1334" s="320">
        <v>6.35</v>
      </c>
      <c r="K1334" s="320">
        <v>2.8</v>
      </c>
      <c r="L1334" s="320">
        <v>0.05</v>
      </c>
      <c r="M1334" s="320">
        <v>0.0161</v>
      </c>
      <c r="N1334" s="320">
        <v>0.9852</v>
      </c>
      <c r="O1334" s="320">
        <v>0.8237</v>
      </c>
      <c r="P1334" s="320">
        <v>62.2178</v>
      </c>
      <c r="Q1334" s="320">
        <v>24.01</v>
      </c>
      <c r="R1334" s="320">
        <v>23.95</v>
      </c>
      <c r="S1334" s="320">
        <v>0.06</v>
      </c>
      <c r="T1334" s="320">
        <v>0.71</v>
      </c>
      <c r="U1334" s="320">
        <v>23.3</v>
      </c>
      <c r="V1334" s="320">
        <v>2.27</v>
      </c>
      <c r="W1334" s="320">
        <v>0.8108</v>
      </c>
      <c r="X1334" s="320">
        <v>2.96</v>
      </c>
      <c r="Y1334" s="320">
        <v>148.0</v>
      </c>
      <c r="Z1334" s="320">
        <v>1242.0</v>
      </c>
      <c r="AA1334" s="320">
        <v>7847.0</v>
      </c>
      <c r="AB1334" s="320">
        <v>49.9076</v>
      </c>
      <c r="AC1334" s="320">
        <v>0.522</v>
      </c>
      <c r="AD1334" s="329"/>
      <c r="AE1334" s="329"/>
      <c r="AF1334" s="329"/>
      <c r="AG1334" s="329"/>
      <c r="AH1334" s="329"/>
      <c r="AI1334" s="320">
        <v>0.0</v>
      </c>
      <c r="AJ1334" s="320">
        <v>0.0</v>
      </c>
      <c r="AK1334" s="320">
        <v>0.0</v>
      </c>
      <c r="AL1334" s="320">
        <v>0.2795</v>
      </c>
      <c r="AM1334" s="320">
        <v>17.76</v>
      </c>
      <c r="AN1334" s="320">
        <v>6.19</v>
      </c>
      <c r="AO1334" s="329"/>
      <c r="AP1334" s="329"/>
    </row>
    <row r="1335">
      <c r="A1335" s="319" t="s">
        <v>258</v>
      </c>
      <c r="B1335" s="328">
        <v>46152.0</v>
      </c>
      <c r="C1335" s="319" t="s">
        <v>214</v>
      </c>
      <c r="D1335" s="320">
        <v>30460.0</v>
      </c>
      <c r="E1335" s="320">
        <v>43.2</v>
      </c>
      <c r="F1335" s="320">
        <v>7457.33</v>
      </c>
      <c r="G1335" s="320">
        <v>0.2448</v>
      </c>
      <c r="H1335" s="320">
        <v>7.04</v>
      </c>
      <c r="I1335" s="320">
        <v>3.4782</v>
      </c>
      <c r="J1335" s="320">
        <v>36.64</v>
      </c>
      <c r="K1335" s="320">
        <v>20.11</v>
      </c>
      <c r="L1335" s="320">
        <v>5.55</v>
      </c>
      <c r="M1335" s="320">
        <v>0.2759</v>
      </c>
      <c r="N1335" s="320">
        <v>0.7833</v>
      </c>
      <c r="O1335" s="320">
        <v>0.5238</v>
      </c>
      <c r="P1335" s="320">
        <v>3.6249</v>
      </c>
      <c r="Q1335" s="320">
        <v>65.31</v>
      </c>
      <c r="R1335" s="320">
        <v>55.88</v>
      </c>
      <c r="S1335" s="320">
        <v>9.44</v>
      </c>
      <c r="T1335" s="320">
        <v>16.58</v>
      </c>
      <c r="U1335" s="320">
        <v>48.74</v>
      </c>
      <c r="V1335" s="320">
        <v>73.45</v>
      </c>
      <c r="W1335" s="320">
        <v>3.6517</v>
      </c>
      <c r="X1335" s="320">
        <v>25.38</v>
      </c>
      <c r="Y1335" s="320">
        <v>84.0</v>
      </c>
      <c r="Z1335" s="320">
        <v>201.0</v>
      </c>
      <c r="AA1335" s="320">
        <v>879.0</v>
      </c>
      <c r="AB1335" s="320">
        <v>49.6825</v>
      </c>
      <c r="AC1335" s="320">
        <v>0.4487</v>
      </c>
      <c r="AD1335" s="320">
        <v>3.55</v>
      </c>
      <c r="AE1335" s="320">
        <v>1.0</v>
      </c>
      <c r="AF1335" s="320">
        <v>2.0</v>
      </c>
      <c r="AG1335" s="320">
        <v>5.0</v>
      </c>
      <c r="AH1335" s="320">
        <v>8.0</v>
      </c>
      <c r="AI1335" s="320">
        <v>67.06</v>
      </c>
      <c r="AJ1335" s="320">
        <v>24.81</v>
      </c>
      <c r="AK1335" s="320">
        <v>6.95</v>
      </c>
      <c r="AL1335" s="320">
        <v>0.2297</v>
      </c>
      <c r="AM1335" s="320">
        <v>21.53</v>
      </c>
      <c r="AN1335" s="320">
        <v>34.35</v>
      </c>
      <c r="AO1335" s="320">
        <v>68.06</v>
      </c>
      <c r="AP1335" s="320">
        <v>14.65</v>
      </c>
    </row>
    <row r="1336">
      <c r="A1336" s="319" t="s">
        <v>258</v>
      </c>
      <c r="B1336" s="328">
        <v>46152.0</v>
      </c>
      <c r="C1336" s="319" t="s">
        <v>215</v>
      </c>
      <c r="D1336" s="320">
        <v>14056.0</v>
      </c>
      <c r="E1336" s="320">
        <v>19.93</v>
      </c>
      <c r="F1336" s="320">
        <v>14409.95</v>
      </c>
      <c r="G1336" s="320">
        <v>1.0252</v>
      </c>
      <c r="H1336" s="320">
        <v>21.65</v>
      </c>
      <c r="I1336" s="320">
        <v>4.7354</v>
      </c>
      <c r="J1336" s="320">
        <v>65.19</v>
      </c>
      <c r="K1336" s="320">
        <v>37.87</v>
      </c>
      <c r="L1336" s="320">
        <v>14.3</v>
      </c>
      <c r="M1336" s="320">
        <v>0.3776</v>
      </c>
      <c r="N1336" s="320">
        <v>0.6766</v>
      </c>
      <c r="O1336" s="320">
        <v>0.3832</v>
      </c>
      <c r="P1336" s="320">
        <v>2.6482</v>
      </c>
      <c r="Q1336" s="320">
        <v>154.15</v>
      </c>
      <c r="R1336" s="320">
        <v>129.53</v>
      </c>
      <c r="S1336" s="320">
        <v>24.62</v>
      </c>
      <c r="T1336" s="320">
        <v>67.01</v>
      </c>
      <c r="U1336" s="320">
        <v>87.14</v>
      </c>
      <c r="V1336" s="320">
        <v>170.09</v>
      </c>
      <c r="W1336" s="320">
        <v>4.4917</v>
      </c>
      <c r="X1336" s="320">
        <v>43.47</v>
      </c>
      <c r="Y1336" s="320">
        <v>81.0</v>
      </c>
      <c r="Z1336" s="320">
        <v>176.0</v>
      </c>
      <c r="AA1336" s="320">
        <v>620.0</v>
      </c>
      <c r="AB1336" s="320">
        <v>52.461</v>
      </c>
      <c r="AC1336" s="320">
        <v>0.5505</v>
      </c>
      <c r="AD1336" s="320">
        <v>8.93</v>
      </c>
      <c r="AE1336" s="320">
        <v>3.0</v>
      </c>
      <c r="AF1336" s="320">
        <v>6.0</v>
      </c>
      <c r="AG1336" s="320">
        <v>12.0</v>
      </c>
      <c r="AH1336" s="320">
        <v>20.0</v>
      </c>
      <c r="AI1336" s="320">
        <v>54.27</v>
      </c>
      <c r="AJ1336" s="320">
        <v>24.74</v>
      </c>
      <c r="AK1336" s="320">
        <v>4.87</v>
      </c>
      <c r="AL1336" s="320">
        <v>0.2202</v>
      </c>
      <c r="AM1336" s="320">
        <v>21.84</v>
      </c>
      <c r="AN1336" s="320">
        <v>107.69</v>
      </c>
      <c r="AO1336" s="320">
        <v>72.72</v>
      </c>
      <c r="AP1336" s="320">
        <v>15.88</v>
      </c>
    </row>
    <row r="1337">
      <c r="A1337" s="319" t="s">
        <v>258</v>
      </c>
      <c r="B1337" s="328">
        <v>46152.0</v>
      </c>
      <c r="C1337" s="319" t="s">
        <v>216</v>
      </c>
      <c r="D1337" s="320">
        <v>7573.0</v>
      </c>
      <c r="E1337" s="320">
        <v>10.74</v>
      </c>
      <c r="F1337" s="320">
        <v>20583.24</v>
      </c>
      <c r="G1337" s="320">
        <v>2.718</v>
      </c>
      <c r="H1337" s="320">
        <v>33.94</v>
      </c>
      <c r="I1337" s="320">
        <v>8.009</v>
      </c>
      <c r="J1337" s="320">
        <v>92.41</v>
      </c>
      <c r="K1337" s="320">
        <v>55.44</v>
      </c>
      <c r="L1337" s="320">
        <v>28.33</v>
      </c>
      <c r="M1337" s="320">
        <v>0.511</v>
      </c>
      <c r="N1337" s="320">
        <v>0.554</v>
      </c>
      <c r="O1337" s="320">
        <v>0.2958</v>
      </c>
      <c r="P1337" s="320">
        <v>1.9571</v>
      </c>
      <c r="Q1337" s="320">
        <v>316.79</v>
      </c>
      <c r="R1337" s="320">
        <v>268.32</v>
      </c>
      <c r="S1337" s="320">
        <v>48.47</v>
      </c>
      <c r="T1337" s="320">
        <v>172.5</v>
      </c>
      <c r="U1337" s="320">
        <v>144.29</v>
      </c>
      <c r="V1337" s="320">
        <v>347.55</v>
      </c>
      <c r="W1337" s="320">
        <v>6.2695</v>
      </c>
      <c r="X1337" s="320">
        <v>54.45</v>
      </c>
      <c r="Y1337" s="320">
        <v>84.0</v>
      </c>
      <c r="Z1337" s="320">
        <v>194.0</v>
      </c>
      <c r="AA1337" s="320">
        <v>640.0</v>
      </c>
      <c r="AB1337" s="320">
        <v>54.7029</v>
      </c>
      <c r="AC1337" s="320">
        <v>0.667</v>
      </c>
      <c r="AD1337" s="320">
        <v>18.37</v>
      </c>
      <c r="AE1337" s="320">
        <v>6.0</v>
      </c>
      <c r="AF1337" s="320">
        <v>14.0</v>
      </c>
      <c r="AG1337" s="320">
        <v>26.0</v>
      </c>
      <c r="AH1337" s="320">
        <v>40.0</v>
      </c>
      <c r="AI1337" s="320">
        <v>56.9</v>
      </c>
      <c r="AJ1337" s="320">
        <v>25.8</v>
      </c>
      <c r="AK1337" s="320">
        <v>8.99</v>
      </c>
      <c r="AL1337" s="320">
        <v>0.2209</v>
      </c>
      <c r="AM1337" s="320">
        <v>21.18</v>
      </c>
      <c r="AN1337" s="320">
        <v>247.14</v>
      </c>
      <c r="AO1337" s="320">
        <v>73.64</v>
      </c>
      <c r="AP1337" s="320">
        <v>15.6</v>
      </c>
    </row>
    <row r="1338">
      <c r="A1338" s="319" t="s">
        <v>258</v>
      </c>
      <c r="B1338" s="328">
        <v>46152.0</v>
      </c>
      <c r="C1338" s="319" t="s">
        <v>217</v>
      </c>
      <c r="D1338" s="320">
        <v>3083.0</v>
      </c>
      <c r="E1338" s="320">
        <v>4.37</v>
      </c>
      <c r="F1338" s="320">
        <v>17794.2</v>
      </c>
      <c r="G1338" s="320">
        <v>5.7717</v>
      </c>
      <c r="H1338" s="320">
        <v>44.76</v>
      </c>
      <c r="I1338" s="320">
        <v>12.8943</v>
      </c>
      <c r="J1338" s="320">
        <v>133.95</v>
      </c>
      <c r="K1338" s="320">
        <v>84.19</v>
      </c>
      <c r="L1338" s="320">
        <v>54.95</v>
      </c>
      <c r="M1338" s="320">
        <v>0.6527</v>
      </c>
      <c r="N1338" s="320">
        <v>0.4236</v>
      </c>
      <c r="O1338" s="320">
        <v>0.2276</v>
      </c>
      <c r="P1338" s="320">
        <v>1.5321</v>
      </c>
      <c r="Q1338" s="320">
        <v>602.95</v>
      </c>
      <c r="R1338" s="320">
        <v>507.65</v>
      </c>
      <c r="S1338" s="320">
        <v>95.3</v>
      </c>
      <c r="T1338" s="320">
        <v>356.04</v>
      </c>
      <c r="U1338" s="320">
        <v>246.91</v>
      </c>
      <c r="V1338" s="320">
        <v>645.18</v>
      </c>
      <c r="W1338" s="320">
        <v>7.6634</v>
      </c>
      <c r="X1338" s="320">
        <v>59.05</v>
      </c>
      <c r="Y1338" s="320">
        <v>91.0</v>
      </c>
      <c r="Z1338" s="320">
        <v>274.0</v>
      </c>
      <c r="AA1338" s="320">
        <v>859.0</v>
      </c>
      <c r="AB1338" s="320">
        <v>57.7093</v>
      </c>
      <c r="AC1338" s="320">
        <v>0.763</v>
      </c>
      <c r="AD1338" s="320">
        <v>36.21</v>
      </c>
      <c r="AE1338" s="320">
        <v>12.0</v>
      </c>
      <c r="AF1338" s="320">
        <v>28.0</v>
      </c>
      <c r="AG1338" s="320">
        <v>50.0</v>
      </c>
      <c r="AH1338" s="320">
        <v>79.0</v>
      </c>
      <c r="AI1338" s="320">
        <v>50.41</v>
      </c>
      <c r="AJ1338" s="320">
        <v>18.59</v>
      </c>
      <c r="AK1338" s="320">
        <v>4.67</v>
      </c>
      <c r="AL1338" s="320">
        <v>0.2105</v>
      </c>
      <c r="AM1338" s="320">
        <v>21.22</v>
      </c>
      <c r="AN1338" s="320">
        <v>486.43</v>
      </c>
      <c r="AO1338" s="320">
        <v>72.73</v>
      </c>
      <c r="AP1338" s="320">
        <v>15.43</v>
      </c>
    </row>
    <row r="1339">
      <c r="A1339" s="319" t="s">
        <v>258</v>
      </c>
      <c r="B1339" s="328">
        <v>46152.0</v>
      </c>
      <c r="C1339" s="319" t="s">
        <v>218</v>
      </c>
      <c r="D1339" s="320">
        <v>350.0</v>
      </c>
      <c r="E1339" s="320">
        <v>0.5</v>
      </c>
      <c r="F1339" s="320">
        <v>4825.92</v>
      </c>
      <c r="G1339" s="320">
        <v>13.7883</v>
      </c>
      <c r="H1339" s="320">
        <v>50.57</v>
      </c>
      <c r="I1339" s="320">
        <v>27.2651</v>
      </c>
      <c r="J1339" s="320">
        <v>255.79</v>
      </c>
      <c r="K1339" s="320">
        <v>169.23</v>
      </c>
      <c r="L1339" s="320">
        <v>136.64</v>
      </c>
      <c r="M1339" s="320">
        <v>0.8074</v>
      </c>
      <c r="N1339" s="320">
        <v>0.2809</v>
      </c>
      <c r="O1339" s="320">
        <v>0.1705</v>
      </c>
      <c r="P1339" s="320">
        <v>1.2385</v>
      </c>
      <c r="Q1339" s="320">
        <v>1351.27</v>
      </c>
      <c r="R1339" s="320">
        <v>1109.32</v>
      </c>
      <c r="S1339" s="320">
        <v>241.96</v>
      </c>
      <c r="T1339" s="320">
        <v>817.86</v>
      </c>
      <c r="U1339" s="320">
        <v>533.42</v>
      </c>
      <c r="V1339" s="320">
        <v>1475.43</v>
      </c>
      <c r="W1339" s="320">
        <v>8.7186</v>
      </c>
      <c r="X1339" s="320">
        <v>60.52</v>
      </c>
      <c r="Y1339" s="320">
        <v>135.0</v>
      </c>
      <c r="Z1339" s="320">
        <v>572.0</v>
      </c>
      <c r="AA1339" s="320">
        <v>2614.0</v>
      </c>
      <c r="AB1339" s="320">
        <v>61.2211</v>
      </c>
      <c r="AC1339" s="320">
        <v>0.8619</v>
      </c>
      <c r="AD1339" s="320">
        <v>92.02</v>
      </c>
      <c r="AE1339" s="320">
        <v>33.0</v>
      </c>
      <c r="AF1339" s="320">
        <v>77.0</v>
      </c>
      <c r="AG1339" s="320">
        <v>130.0</v>
      </c>
      <c r="AH1339" s="320">
        <v>201.0</v>
      </c>
      <c r="AI1339" s="320">
        <v>48.57</v>
      </c>
      <c r="AJ1339" s="320">
        <v>13.71</v>
      </c>
      <c r="AK1339" s="320">
        <v>1.43</v>
      </c>
      <c r="AL1339" s="320">
        <v>0.1714</v>
      </c>
      <c r="AM1339" s="320">
        <v>21.57</v>
      </c>
      <c r="AN1339" s="320">
        <v>1087.75</v>
      </c>
      <c r="AO1339" s="320">
        <v>67.63</v>
      </c>
      <c r="AP1339" s="320">
        <v>14.59</v>
      </c>
    </row>
    <row r="1340">
      <c r="A1340" s="319" t="s">
        <v>258</v>
      </c>
      <c r="B1340" s="328">
        <v>46153.0</v>
      </c>
      <c r="C1340" s="319" t="s">
        <v>257</v>
      </c>
      <c r="D1340" s="320">
        <v>14382.0</v>
      </c>
      <c r="E1340" s="320">
        <v>19.5</v>
      </c>
      <c r="F1340" s="320">
        <v>163.47</v>
      </c>
      <c r="G1340" s="320">
        <v>0.0114</v>
      </c>
      <c r="H1340" s="320">
        <v>0.26</v>
      </c>
      <c r="I1340" s="320">
        <v>4.4181</v>
      </c>
      <c r="J1340" s="320">
        <v>5.48</v>
      </c>
      <c r="K1340" s="320">
        <v>2.41</v>
      </c>
      <c r="L1340" s="320">
        <v>0.11</v>
      </c>
      <c r="M1340" s="320">
        <v>0.0439</v>
      </c>
      <c r="N1340" s="320">
        <v>0.962</v>
      </c>
      <c r="O1340" s="320">
        <v>0.6528</v>
      </c>
      <c r="P1340" s="320">
        <v>22.7661</v>
      </c>
      <c r="Q1340" s="320">
        <v>37.9</v>
      </c>
      <c r="R1340" s="320">
        <v>37.83</v>
      </c>
      <c r="S1340" s="320">
        <v>0.07</v>
      </c>
      <c r="T1340" s="320">
        <v>1.75</v>
      </c>
      <c r="U1340" s="320">
        <v>36.15</v>
      </c>
      <c r="V1340" s="320">
        <v>3.36</v>
      </c>
      <c r="W1340" s="320">
        <v>1.3954</v>
      </c>
      <c r="X1340" s="320">
        <v>4.61</v>
      </c>
      <c r="Y1340" s="320">
        <v>192.0</v>
      </c>
      <c r="Z1340" s="320">
        <v>1556.0</v>
      </c>
      <c r="AA1340" s="320">
        <v>8704.0</v>
      </c>
      <c r="AB1340" s="320">
        <v>50.0839</v>
      </c>
      <c r="AC1340" s="320">
        <v>0.5265</v>
      </c>
      <c r="AD1340" s="329"/>
      <c r="AE1340" s="329"/>
      <c r="AF1340" s="329"/>
      <c r="AG1340" s="329"/>
      <c r="AH1340" s="329"/>
      <c r="AI1340" s="320">
        <v>0.0</v>
      </c>
      <c r="AJ1340" s="320">
        <v>0.0</v>
      </c>
      <c r="AK1340" s="320">
        <v>0.0</v>
      </c>
      <c r="AL1340" s="320">
        <v>0.2648</v>
      </c>
      <c r="AM1340" s="320">
        <v>16.49</v>
      </c>
      <c r="AN1340" s="320">
        <v>21.34</v>
      </c>
      <c r="AO1340" s="329"/>
      <c r="AP1340" s="329"/>
    </row>
    <row r="1341">
      <c r="A1341" s="319" t="s">
        <v>258</v>
      </c>
      <c r="B1341" s="328">
        <v>46153.0</v>
      </c>
      <c r="C1341" s="319" t="s">
        <v>214</v>
      </c>
      <c r="D1341" s="320">
        <v>32105.0</v>
      </c>
      <c r="E1341" s="320">
        <v>43.53</v>
      </c>
      <c r="F1341" s="320">
        <v>6243.41</v>
      </c>
      <c r="G1341" s="320">
        <v>0.1945</v>
      </c>
      <c r="H1341" s="320">
        <v>5.85</v>
      </c>
      <c r="I1341" s="320">
        <v>3.3245</v>
      </c>
      <c r="J1341" s="320">
        <v>35.97</v>
      </c>
      <c r="K1341" s="320">
        <v>19.36</v>
      </c>
      <c r="L1341" s="320">
        <v>5.62</v>
      </c>
      <c r="M1341" s="320">
        <v>0.2903</v>
      </c>
      <c r="N1341" s="320">
        <v>0.7758</v>
      </c>
      <c r="O1341" s="320">
        <v>0.5268</v>
      </c>
      <c r="P1341" s="320">
        <v>3.4452</v>
      </c>
      <c r="Q1341" s="320">
        <v>92.95</v>
      </c>
      <c r="R1341" s="320">
        <v>83.63</v>
      </c>
      <c r="S1341" s="320">
        <v>9.32</v>
      </c>
      <c r="T1341" s="320">
        <v>13.4</v>
      </c>
      <c r="U1341" s="320">
        <v>79.55</v>
      </c>
      <c r="V1341" s="320">
        <v>84.63</v>
      </c>
      <c r="W1341" s="320">
        <v>4.3711</v>
      </c>
      <c r="X1341" s="320">
        <v>14.41</v>
      </c>
      <c r="Y1341" s="320">
        <v>91.0</v>
      </c>
      <c r="Z1341" s="320">
        <v>214.0</v>
      </c>
      <c r="AA1341" s="320">
        <v>842.0</v>
      </c>
      <c r="AB1341" s="320">
        <v>49.636</v>
      </c>
      <c r="AC1341" s="320">
        <v>0.4373</v>
      </c>
      <c r="AD1341" s="320">
        <v>3.57</v>
      </c>
      <c r="AE1341" s="320">
        <v>1.0</v>
      </c>
      <c r="AF1341" s="320">
        <v>2.0</v>
      </c>
      <c r="AG1341" s="320">
        <v>5.0</v>
      </c>
      <c r="AH1341" s="320">
        <v>8.0</v>
      </c>
      <c r="AI1341" s="320">
        <v>67.9</v>
      </c>
      <c r="AJ1341" s="320">
        <v>25.18</v>
      </c>
      <c r="AK1341" s="320">
        <v>6.71</v>
      </c>
      <c r="AL1341" s="320">
        <v>0.2061</v>
      </c>
      <c r="AM1341" s="320">
        <v>18.78</v>
      </c>
      <c r="AN1341" s="320">
        <v>64.85</v>
      </c>
      <c r="AO1341" s="320">
        <v>68.0</v>
      </c>
      <c r="AP1341" s="320">
        <v>12.77</v>
      </c>
    </row>
    <row r="1342">
      <c r="A1342" s="319" t="s">
        <v>258</v>
      </c>
      <c r="B1342" s="328">
        <v>46153.0</v>
      </c>
      <c r="C1342" s="319" t="s">
        <v>215</v>
      </c>
      <c r="D1342" s="320">
        <v>15335.0</v>
      </c>
      <c r="E1342" s="320">
        <v>20.79</v>
      </c>
      <c r="F1342" s="320">
        <v>14715.75</v>
      </c>
      <c r="G1342" s="320">
        <v>0.9596</v>
      </c>
      <c r="H1342" s="320">
        <v>19.92</v>
      </c>
      <c r="I1342" s="320">
        <v>4.8185</v>
      </c>
      <c r="J1342" s="320">
        <v>66.31</v>
      </c>
      <c r="K1342" s="320">
        <v>37.79</v>
      </c>
      <c r="L1342" s="320">
        <v>15.02</v>
      </c>
      <c r="M1342" s="320">
        <v>0.3975</v>
      </c>
      <c r="N1342" s="320">
        <v>0.6632</v>
      </c>
      <c r="O1342" s="320">
        <v>0.3806</v>
      </c>
      <c r="P1342" s="320">
        <v>2.5155</v>
      </c>
      <c r="Q1342" s="320">
        <v>205.14</v>
      </c>
      <c r="R1342" s="320">
        <v>181.2</v>
      </c>
      <c r="S1342" s="320">
        <v>23.94</v>
      </c>
      <c r="T1342" s="320">
        <v>63.65</v>
      </c>
      <c r="U1342" s="320">
        <v>141.49</v>
      </c>
      <c r="V1342" s="320">
        <v>197.54</v>
      </c>
      <c r="W1342" s="320">
        <v>5.2275</v>
      </c>
      <c r="X1342" s="320">
        <v>31.03</v>
      </c>
      <c r="Y1342" s="320">
        <v>87.0</v>
      </c>
      <c r="Z1342" s="320">
        <v>201.0</v>
      </c>
      <c r="AA1342" s="320">
        <v>620.0</v>
      </c>
      <c r="AB1342" s="320">
        <v>52.3329</v>
      </c>
      <c r="AC1342" s="320">
        <v>0.5021</v>
      </c>
      <c r="AD1342" s="320">
        <v>9.22</v>
      </c>
      <c r="AE1342" s="320">
        <v>3.0</v>
      </c>
      <c r="AF1342" s="320">
        <v>6.0</v>
      </c>
      <c r="AG1342" s="320">
        <v>13.0</v>
      </c>
      <c r="AH1342" s="320">
        <v>21.0</v>
      </c>
      <c r="AI1342" s="320">
        <v>55.02</v>
      </c>
      <c r="AJ1342" s="320">
        <v>25.93</v>
      </c>
      <c r="AK1342" s="320">
        <v>5.78</v>
      </c>
      <c r="AL1342" s="320">
        <v>0.1732</v>
      </c>
      <c r="AM1342" s="320">
        <v>19.47</v>
      </c>
      <c r="AN1342" s="320">
        <v>161.73</v>
      </c>
      <c r="AO1342" s="320">
        <v>71.35</v>
      </c>
      <c r="AP1342" s="320">
        <v>13.89</v>
      </c>
    </row>
    <row r="1343">
      <c r="A1343" s="319" t="s">
        <v>258</v>
      </c>
      <c r="B1343" s="328">
        <v>46153.0</v>
      </c>
      <c r="C1343" s="319" t="s">
        <v>216</v>
      </c>
      <c r="D1343" s="320">
        <v>8309.0</v>
      </c>
      <c r="E1343" s="320">
        <v>11.27</v>
      </c>
      <c r="F1343" s="320">
        <v>20065.5</v>
      </c>
      <c r="G1343" s="320">
        <v>2.4149</v>
      </c>
      <c r="H1343" s="320">
        <v>31.23</v>
      </c>
      <c r="I1343" s="320">
        <v>7.7324</v>
      </c>
      <c r="J1343" s="320">
        <v>92.23</v>
      </c>
      <c r="K1343" s="320">
        <v>54.44</v>
      </c>
      <c r="L1343" s="320">
        <v>29.33</v>
      </c>
      <c r="M1343" s="320">
        <v>0.5387</v>
      </c>
      <c r="N1343" s="320">
        <v>0.5334</v>
      </c>
      <c r="O1343" s="320">
        <v>0.2898</v>
      </c>
      <c r="P1343" s="320">
        <v>1.8564</v>
      </c>
      <c r="Q1343" s="320">
        <v>384.56</v>
      </c>
      <c r="R1343" s="320">
        <v>338.11</v>
      </c>
      <c r="S1343" s="320">
        <v>46.45</v>
      </c>
      <c r="T1343" s="320">
        <v>154.84</v>
      </c>
      <c r="U1343" s="320">
        <v>229.72</v>
      </c>
      <c r="V1343" s="320">
        <v>381.99</v>
      </c>
      <c r="W1343" s="320">
        <v>7.0163</v>
      </c>
      <c r="X1343" s="320">
        <v>40.26</v>
      </c>
      <c r="Y1343" s="320">
        <v>91.0</v>
      </c>
      <c r="Z1343" s="320">
        <v>248.0</v>
      </c>
      <c r="AA1343" s="320">
        <v>736.0</v>
      </c>
      <c r="AB1343" s="320">
        <v>54.6738</v>
      </c>
      <c r="AC1343" s="320">
        <v>0.6038</v>
      </c>
      <c r="AD1343" s="320">
        <v>18.06</v>
      </c>
      <c r="AE1343" s="320">
        <v>6.0</v>
      </c>
      <c r="AF1343" s="320">
        <v>14.0</v>
      </c>
      <c r="AG1343" s="320">
        <v>26.0</v>
      </c>
      <c r="AH1343" s="320">
        <v>39.0</v>
      </c>
      <c r="AI1343" s="320">
        <v>57.4</v>
      </c>
      <c r="AJ1343" s="320">
        <v>25.8</v>
      </c>
      <c r="AK1343" s="320">
        <v>7.57</v>
      </c>
      <c r="AL1343" s="320">
        <v>0.1697</v>
      </c>
      <c r="AM1343" s="320">
        <v>19.22</v>
      </c>
      <c r="AN1343" s="320">
        <v>318.89</v>
      </c>
      <c r="AO1343" s="320">
        <v>70.99</v>
      </c>
      <c r="AP1343" s="320">
        <v>13.64</v>
      </c>
    </row>
    <row r="1344">
      <c r="A1344" s="319" t="s">
        <v>258</v>
      </c>
      <c r="B1344" s="328">
        <v>46153.0</v>
      </c>
      <c r="C1344" s="319" t="s">
        <v>217</v>
      </c>
      <c r="D1344" s="320">
        <v>3275.0</v>
      </c>
      <c r="E1344" s="320">
        <v>4.44</v>
      </c>
      <c r="F1344" s="320">
        <v>17743.35</v>
      </c>
      <c r="G1344" s="320">
        <v>5.4178</v>
      </c>
      <c r="H1344" s="320">
        <v>41.56</v>
      </c>
      <c r="I1344" s="320">
        <v>13.037</v>
      </c>
      <c r="J1344" s="320">
        <v>138.8</v>
      </c>
      <c r="K1344" s="320">
        <v>85.73</v>
      </c>
      <c r="L1344" s="320">
        <v>58.85</v>
      </c>
      <c r="M1344" s="320">
        <v>0.6865</v>
      </c>
      <c r="N1344" s="320">
        <v>0.3978</v>
      </c>
      <c r="O1344" s="320">
        <v>0.2204</v>
      </c>
      <c r="P1344" s="320">
        <v>1.4566</v>
      </c>
      <c r="Q1344" s="320">
        <v>732.24</v>
      </c>
      <c r="R1344" s="320">
        <v>639.19</v>
      </c>
      <c r="S1344" s="320">
        <v>93.05</v>
      </c>
      <c r="T1344" s="320">
        <v>346.55</v>
      </c>
      <c r="U1344" s="320">
        <v>385.69</v>
      </c>
      <c r="V1344" s="320">
        <v>749.4</v>
      </c>
      <c r="W1344" s="320">
        <v>8.7414</v>
      </c>
      <c r="X1344" s="320">
        <v>47.33</v>
      </c>
      <c r="Y1344" s="320">
        <v>103.0</v>
      </c>
      <c r="Z1344" s="320">
        <v>351.0</v>
      </c>
      <c r="AA1344" s="320">
        <v>1159.0</v>
      </c>
      <c r="AB1344" s="320">
        <v>57.4038</v>
      </c>
      <c r="AC1344" s="320">
        <v>0.6801</v>
      </c>
      <c r="AD1344" s="320">
        <v>36.78</v>
      </c>
      <c r="AE1344" s="320">
        <v>13.0</v>
      </c>
      <c r="AF1344" s="320">
        <v>29.0</v>
      </c>
      <c r="AG1344" s="320">
        <v>48.0</v>
      </c>
      <c r="AH1344" s="320">
        <v>77.0</v>
      </c>
      <c r="AI1344" s="320">
        <v>52.37</v>
      </c>
      <c r="AJ1344" s="320">
        <v>17.92</v>
      </c>
      <c r="AK1344" s="320">
        <v>4.82</v>
      </c>
      <c r="AL1344" s="320">
        <v>0.1582</v>
      </c>
      <c r="AM1344" s="320">
        <v>18.76</v>
      </c>
      <c r="AN1344" s="320">
        <v>620.43</v>
      </c>
      <c r="AO1344" s="320">
        <v>69.23</v>
      </c>
      <c r="AP1344" s="320">
        <v>12.99</v>
      </c>
    </row>
    <row r="1345">
      <c r="A1345" s="319" t="s">
        <v>258</v>
      </c>
      <c r="B1345" s="328">
        <v>46153.0</v>
      </c>
      <c r="C1345" s="319" t="s">
        <v>218</v>
      </c>
      <c r="D1345" s="320">
        <v>348.0</v>
      </c>
      <c r="E1345" s="320">
        <v>0.47</v>
      </c>
      <c r="F1345" s="320">
        <v>4325.73</v>
      </c>
      <c r="G1345" s="320">
        <v>12.4303</v>
      </c>
      <c r="H1345" s="320">
        <v>45.98</v>
      </c>
      <c r="I1345" s="320">
        <v>27.0358</v>
      </c>
      <c r="J1345" s="320">
        <v>249.16</v>
      </c>
      <c r="K1345" s="320">
        <v>161.74</v>
      </c>
      <c r="L1345" s="320">
        <v>133.76</v>
      </c>
      <c r="M1345" s="320">
        <v>0.827</v>
      </c>
      <c r="N1345" s="320">
        <v>0.2632</v>
      </c>
      <c r="O1345" s="320">
        <v>0.1633</v>
      </c>
      <c r="P1345" s="320">
        <v>1.2092</v>
      </c>
      <c r="Q1345" s="320">
        <v>1499.81</v>
      </c>
      <c r="R1345" s="320">
        <v>1264.87</v>
      </c>
      <c r="S1345" s="320">
        <v>234.94</v>
      </c>
      <c r="T1345" s="320">
        <v>758.97</v>
      </c>
      <c r="U1345" s="320">
        <v>740.85</v>
      </c>
      <c r="V1345" s="320">
        <v>1451.29</v>
      </c>
      <c r="W1345" s="320">
        <v>8.9732</v>
      </c>
      <c r="X1345" s="320">
        <v>50.6</v>
      </c>
      <c r="Y1345" s="320">
        <v>210.0</v>
      </c>
      <c r="Z1345" s="320">
        <v>719.0</v>
      </c>
      <c r="AA1345" s="320">
        <v>2294.0</v>
      </c>
      <c r="AB1345" s="320">
        <v>61.8765</v>
      </c>
      <c r="AC1345" s="320">
        <v>0.8517</v>
      </c>
      <c r="AD1345" s="320">
        <v>93.03</v>
      </c>
      <c r="AE1345" s="320">
        <v>33.0</v>
      </c>
      <c r="AF1345" s="320">
        <v>72.0</v>
      </c>
      <c r="AG1345" s="320">
        <v>129.0</v>
      </c>
      <c r="AH1345" s="320">
        <v>194.0</v>
      </c>
      <c r="AI1345" s="320">
        <v>46.84</v>
      </c>
      <c r="AJ1345" s="320">
        <v>13.79</v>
      </c>
      <c r="AK1345" s="320">
        <v>3.16</v>
      </c>
      <c r="AL1345" s="320">
        <v>0.1236</v>
      </c>
      <c r="AM1345" s="320">
        <v>20.3</v>
      </c>
      <c r="AN1345" s="320">
        <v>1244.57</v>
      </c>
      <c r="AO1345" s="320">
        <v>72.04</v>
      </c>
      <c r="AP1345" s="320">
        <v>14.62</v>
      </c>
    </row>
    <row r="1346">
      <c r="A1346" s="319" t="s">
        <v>258</v>
      </c>
      <c r="B1346" s="328">
        <v>46154.0</v>
      </c>
      <c r="C1346" s="319" t="s">
        <v>257</v>
      </c>
      <c r="D1346" s="320">
        <v>15735.0</v>
      </c>
      <c r="E1346" s="320">
        <v>21.25</v>
      </c>
      <c r="F1346" s="320">
        <v>96.68</v>
      </c>
      <c r="G1346" s="320">
        <v>0.0061</v>
      </c>
      <c r="H1346" s="320">
        <v>0.12</v>
      </c>
      <c r="I1346" s="320">
        <v>5.0884</v>
      </c>
      <c r="J1346" s="320">
        <v>6.34</v>
      </c>
      <c r="K1346" s="320">
        <v>2.86</v>
      </c>
      <c r="L1346" s="320">
        <v>0.02</v>
      </c>
      <c r="M1346" s="320">
        <v>0.0087</v>
      </c>
      <c r="N1346" s="320">
        <v>0.992</v>
      </c>
      <c r="O1346" s="320">
        <v>0.8756</v>
      </c>
      <c r="P1346" s="320">
        <v>114.4555</v>
      </c>
      <c r="Q1346" s="320">
        <v>26.75</v>
      </c>
      <c r="R1346" s="320">
        <v>26.69</v>
      </c>
      <c r="S1346" s="320">
        <v>0.06</v>
      </c>
      <c r="T1346" s="320">
        <v>0.68</v>
      </c>
      <c r="U1346" s="320">
        <v>26.07</v>
      </c>
      <c r="V1346" s="320">
        <v>2.12</v>
      </c>
      <c r="W1346" s="320">
        <v>0.7414</v>
      </c>
      <c r="X1346" s="320">
        <v>2.54</v>
      </c>
      <c r="Y1346" s="320">
        <v>159.0</v>
      </c>
      <c r="Z1346" s="320">
        <v>1196.0</v>
      </c>
      <c r="AA1346" s="320">
        <v>7814.0</v>
      </c>
      <c r="AB1346" s="320">
        <v>49.7266</v>
      </c>
      <c r="AC1346" s="320">
        <v>0.5084</v>
      </c>
      <c r="AD1346" s="329"/>
      <c r="AE1346" s="329"/>
      <c r="AF1346" s="329"/>
      <c r="AG1346" s="329"/>
      <c r="AH1346" s="329"/>
      <c r="AI1346" s="320">
        <v>0.0</v>
      </c>
      <c r="AJ1346" s="320">
        <v>0.0</v>
      </c>
      <c r="AK1346" s="320">
        <v>0.0</v>
      </c>
      <c r="AL1346" s="320">
        <v>0.2616</v>
      </c>
      <c r="AM1346" s="320">
        <v>15.31</v>
      </c>
      <c r="AN1346" s="320">
        <v>11.38</v>
      </c>
      <c r="AO1346" s="329"/>
      <c r="AP1346" s="329"/>
    </row>
    <row r="1347">
      <c r="A1347" s="319" t="s">
        <v>258</v>
      </c>
      <c r="B1347" s="328">
        <v>46154.0</v>
      </c>
      <c r="C1347" s="319" t="s">
        <v>214</v>
      </c>
      <c r="D1347" s="320">
        <v>31693.0</v>
      </c>
      <c r="E1347" s="320">
        <v>42.8</v>
      </c>
      <c r="F1347" s="320">
        <v>6382.93</v>
      </c>
      <c r="G1347" s="320">
        <v>0.2014</v>
      </c>
      <c r="H1347" s="320">
        <v>6.05</v>
      </c>
      <c r="I1347" s="320">
        <v>3.3296</v>
      </c>
      <c r="J1347" s="320">
        <v>30.23</v>
      </c>
      <c r="K1347" s="320">
        <v>16.05</v>
      </c>
      <c r="L1347" s="320">
        <v>5.08</v>
      </c>
      <c r="M1347" s="320">
        <v>0.3163</v>
      </c>
      <c r="N1347" s="320">
        <v>0.7576</v>
      </c>
      <c r="O1347" s="320">
        <v>0.5169</v>
      </c>
      <c r="P1347" s="320">
        <v>3.162</v>
      </c>
      <c r="Q1347" s="320">
        <v>68.91</v>
      </c>
      <c r="R1347" s="320">
        <v>60.2</v>
      </c>
      <c r="S1347" s="320">
        <v>8.71</v>
      </c>
      <c r="T1347" s="320">
        <v>14.44</v>
      </c>
      <c r="U1347" s="320">
        <v>54.47</v>
      </c>
      <c r="V1347" s="320">
        <v>74.19</v>
      </c>
      <c r="W1347" s="320">
        <v>4.6223</v>
      </c>
      <c r="X1347" s="320">
        <v>20.95</v>
      </c>
      <c r="Y1347" s="320">
        <v>88.0</v>
      </c>
      <c r="Z1347" s="320">
        <v>213.0</v>
      </c>
      <c r="AA1347" s="320">
        <v>844.0</v>
      </c>
      <c r="AB1347" s="320">
        <v>49.6317</v>
      </c>
      <c r="AC1347" s="320">
        <v>0.4378</v>
      </c>
      <c r="AD1347" s="320">
        <v>3.51</v>
      </c>
      <c r="AE1347" s="320">
        <v>1.0</v>
      </c>
      <c r="AF1347" s="320">
        <v>2.0</v>
      </c>
      <c r="AG1347" s="320">
        <v>4.0</v>
      </c>
      <c r="AH1347" s="320">
        <v>8.0</v>
      </c>
      <c r="AI1347" s="320">
        <v>64.88</v>
      </c>
      <c r="AJ1347" s="320">
        <v>24.24</v>
      </c>
      <c r="AK1347" s="320">
        <v>7.09</v>
      </c>
      <c r="AL1347" s="320">
        <v>0.2147</v>
      </c>
      <c r="AM1347" s="320">
        <v>18.47</v>
      </c>
      <c r="AN1347" s="320">
        <v>41.74</v>
      </c>
      <c r="AO1347" s="320">
        <v>67.7</v>
      </c>
      <c r="AP1347" s="320">
        <v>12.5</v>
      </c>
    </row>
    <row r="1348">
      <c r="A1348" s="319" t="s">
        <v>258</v>
      </c>
      <c r="B1348" s="328">
        <v>46154.0</v>
      </c>
      <c r="C1348" s="319" t="s">
        <v>215</v>
      </c>
      <c r="D1348" s="320">
        <v>15195.0</v>
      </c>
      <c r="E1348" s="320">
        <v>20.52</v>
      </c>
      <c r="F1348" s="320">
        <v>15058.99</v>
      </c>
      <c r="G1348" s="320">
        <v>0.991</v>
      </c>
      <c r="H1348" s="320">
        <v>20.71</v>
      </c>
      <c r="I1348" s="320">
        <v>4.7852</v>
      </c>
      <c r="J1348" s="320">
        <v>57.45</v>
      </c>
      <c r="K1348" s="320">
        <v>32.72</v>
      </c>
      <c r="L1348" s="320">
        <v>14.14</v>
      </c>
      <c r="M1348" s="320">
        <v>0.432</v>
      </c>
      <c r="N1348" s="320">
        <v>0.6333</v>
      </c>
      <c r="O1348" s="320">
        <v>0.3552</v>
      </c>
      <c r="P1348" s="320">
        <v>2.3146</v>
      </c>
      <c r="Q1348" s="320">
        <v>174.09</v>
      </c>
      <c r="R1348" s="320">
        <v>150.74</v>
      </c>
      <c r="S1348" s="320">
        <v>23.35</v>
      </c>
      <c r="T1348" s="320">
        <v>66.58</v>
      </c>
      <c r="U1348" s="320">
        <v>107.51</v>
      </c>
      <c r="V1348" s="320">
        <v>182.36</v>
      </c>
      <c r="W1348" s="320">
        <v>5.5732</v>
      </c>
      <c r="X1348" s="320">
        <v>38.25</v>
      </c>
      <c r="Y1348" s="320">
        <v>86.0</v>
      </c>
      <c r="Z1348" s="320">
        <v>204.0</v>
      </c>
      <c r="AA1348" s="320">
        <v>678.0</v>
      </c>
      <c r="AB1348" s="320">
        <v>52.4387</v>
      </c>
      <c r="AC1348" s="320">
        <v>0.5145</v>
      </c>
      <c r="AD1348" s="320">
        <v>9.13</v>
      </c>
      <c r="AE1348" s="320">
        <v>3.0</v>
      </c>
      <c r="AF1348" s="320">
        <v>6.0</v>
      </c>
      <c r="AG1348" s="320">
        <v>13.0</v>
      </c>
      <c r="AH1348" s="320">
        <v>21.0</v>
      </c>
      <c r="AI1348" s="320">
        <v>53.8</v>
      </c>
      <c r="AJ1348" s="320">
        <v>25.89</v>
      </c>
      <c r="AK1348" s="320">
        <v>5.6</v>
      </c>
      <c r="AL1348" s="320">
        <v>0.1756</v>
      </c>
      <c r="AM1348" s="320">
        <v>18.86</v>
      </c>
      <c r="AN1348" s="320">
        <v>131.88</v>
      </c>
      <c r="AO1348" s="320">
        <v>71.74</v>
      </c>
      <c r="AP1348" s="320">
        <v>13.53</v>
      </c>
    </row>
    <row r="1349">
      <c r="A1349" s="319" t="s">
        <v>258</v>
      </c>
      <c r="B1349" s="328">
        <v>46154.0</v>
      </c>
      <c r="C1349" s="319" t="s">
        <v>216</v>
      </c>
      <c r="D1349" s="320">
        <v>8110.0</v>
      </c>
      <c r="E1349" s="320">
        <v>10.95</v>
      </c>
      <c r="F1349" s="320">
        <v>18874.39</v>
      </c>
      <c r="G1349" s="320">
        <v>2.3273</v>
      </c>
      <c r="H1349" s="320">
        <v>31.6</v>
      </c>
      <c r="I1349" s="320">
        <v>7.3642</v>
      </c>
      <c r="J1349" s="320">
        <v>80.37</v>
      </c>
      <c r="K1349" s="320">
        <v>47.91</v>
      </c>
      <c r="L1349" s="320">
        <v>27.15</v>
      </c>
      <c r="M1349" s="320">
        <v>0.5666</v>
      </c>
      <c r="N1349" s="320">
        <v>0.5074</v>
      </c>
      <c r="O1349" s="320">
        <v>0.2725</v>
      </c>
      <c r="P1349" s="320">
        <v>1.7649</v>
      </c>
      <c r="Q1349" s="320">
        <v>340.0</v>
      </c>
      <c r="R1349" s="320">
        <v>296.22</v>
      </c>
      <c r="S1349" s="320">
        <v>43.78</v>
      </c>
      <c r="T1349" s="320">
        <v>151.27</v>
      </c>
      <c r="U1349" s="320">
        <v>188.72</v>
      </c>
      <c r="V1349" s="320">
        <v>342.6</v>
      </c>
      <c r="W1349" s="320">
        <v>7.1503</v>
      </c>
      <c r="X1349" s="320">
        <v>44.49</v>
      </c>
      <c r="Y1349" s="320">
        <v>93.0</v>
      </c>
      <c r="Z1349" s="320">
        <v>258.0</v>
      </c>
      <c r="AA1349" s="320">
        <v>752.0</v>
      </c>
      <c r="AB1349" s="320">
        <v>54.7647</v>
      </c>
      <c r="AC1349" s="320">
        <v>0.6245</v>
      </c>
      <c r="AD1349" s="320">
        <v>17.25</v>
      </c>
      <c r="AE1349" s="320">
        <v>5.0</v>
      </c>
      <c r="AF1349" s="320">
        <v>13.0</v>
      </c>
      <c r="AG1349" s="320">
        <v>25.0</v>
      </c>
      <c r="AH1349" s="320">
        <v>37.0</v>
      </c>
      <c r="AI1349" s="320">
        <v>56.19</v>
      </c>
      <c r="AJ1349" s="320">
        <v>23.96</v>
      </c>
      <c r="AK1349" s="320">
        <v>7.13</v>
      </c>
      <c r="AL1349" s="320">
        <v>0.17</v>
      </c>
      <c r="AM1349" s="320">
        <v>19.1</v>
      </c>
      <c r="AN1349" s="320">
        <v>277.12</v>
      </c>
      <c r="AO1349" s="320">
        <v>72.21</v>
      </c>
      <c r="AP1349" s="320">
        <v>13.79</v>
      </c>
    </row>
    <row r="1350">
      <c r="A1350" s="319" t="s">
        <v>258</v>
      </c>
      <c r="B1350" s="328">
        <v>46154.0</v>
      </c>
      <c r="C1350" s="319" t="s">
        <v>217</v>
      </c>
      <c r="D1350" s="320">
        <v>2976.0</v>
      </c>
      <c r="E1350" s="320">
        <v>4.02</v>
      </c>
      <c r="F1350" s="320">
        <v>14060.01</v>
      </c>
      <c r="G1350" s="320">
        <v>4.7245</v>
      </c>
      <c r="H1350" s="320">
        <v>40.46</v>
      </c>
      <c r="I1350" s="320">
        <v>11.6777</v>
      </c>
      <c r="J1350" s="320">
        <v>120.36</v>
      </c>
      <c r="K1350" s="320">
        <v>75.57</v>
      </c>
      <c r="L1350" s="320">
        <v>52.13</v>
      </c>
      <c r="M1350" s="320">
        <v>0.6898</v>
      </c>
      <c r="N1350" s="320">
        <v>0.3938</v>
      </c>
      <c r="O1350" s="320">
        <v>0.2185</v>
      </c>
      <c r="P1350" s="320">
        <v>1.4497</v>
      </c>
      <c r="Q1350" s="320">
        <v>630.47</v>
      </c>
      <c r="R1350" s="320">
        <v>541.12</v>
      </c>
      <c r="S1350" s="320">
        <v>89.35</v>
      </c>
      <c r="T1350" s="320">
        <v>295.32</v>
      </c>
      <c r="U1350" s="320">
        <v>335.15</v>
      </c>
      <c r="V1350" s="320">
        <v>631.82</v>
      </c>
      <c r="W1350" s="320">
        <v>8.3607</v>
      </c>
      <c r="X1350" s="320">
        <v>46.84</v>
      </c>
      <c r="Y1350" s="320">
        <v>104.0</v>
      </c>
      <c r="Z1350" s="320">
        <v>350.0</v>
      </c>
      <c r="AA1350" s="320">
        <v>1000.0</v>
      </c>
      <c r="AB1350" s="320">
        <v>57.5765</v>
      </c>
      <c r="AC1350" s="320">
        <v>0.7472</v>
      </c>
      <c r="AD1350" s="320">
        <v>36.11</v>
      </c>
      <c r="AE1350" s="320">
        <v>12.0</v>
      </c>
      <c r="AF1350" s="320">
        <v>29.0</v>
      </c>
      <c r="AG1350" s="320">
        <v>51.0</v>
      </c>
      <c r="AH1350" s="320">
        <v>78.0</v>
      </c>
      <c r="AI1350" s="320">
        <v>51.21</v>
      </c>
      <c r="AJ1350" s="320">
        <v>19.12</v>
      </c>
      <c r="AK1350" s="320">
        <v>4.27</v>
      </c>
      <c r="AL1350" s="320">
        <v>0.1741</v>
      </c>
      <c r="AM1350" s="320">
        <v>18.89</v>
      </c>
      <c r="AN1350" s="320">
        <v>522.23</v>
      </c>
      <c r="AO1350" s="320">
        <v>73.56</v>
      </c>
      <c r="AP1350" s="320">
        <v>13.9</v>
      </c>
    </row>
    <row r="1351">
      <c r="A1351" s="319" t="s">
        <v>258</v>
      </c>
      <c r="B1351" s="328">
        <v>46154.0</v>
      </c>
      <c r="C1351" s="319" t="s">
        <v>218</v>
      </c>
      <c r="D1351" s="320">
        <v>336.0</v>
      </c>
      <c r="E1351" s="320">
        <v>0.45</v>
      </c>
      <c r="F1351" s="320">
        <v>3702.8</v>
      </c>
      <c r="G1351" s="320">
        <v>11.0202</v>
      </c>
      <c r="H1351" s="320">
        <v>47.62</v>
      </c>
      <c r="I1351" s="320">
        <v>23.1425</v>
      </c>
      <c r="J1351" s="320">
        <v>241.1</v>
      </c>
      <c r="K1351" s="320">
        <v>160.62</v>
      </c>
      <c r="L1351" s="320">
        <v>130.24</v>
      </c>
      <c r="M1351" s="320">
        <v>0.8109</v>
      </c>
      <c r="N1351" s="320">
        <v>0.2759</v>
      </c>
      <c r="O1351" s="320">
        <v>0.163</v>
      </c>
      <c r="P1351" s="320">
        <v>1.2332</v>
      </c>
      <c r="Q1351" s="320">
        <v>1368.15</v>
      </c>
      <c r="R1351" s="320">
        <v>1142.65</v>
      </c>
      <c r="S1351" s="320">
        <v>225.51</v>
      </c>
      <c r="T1351" s="320">
        <v>666.79</v>
      </c>
      <c r="U1351" s="320">
        <v>701.37</v>
      </c>
      <c r="V1351" s="320">
        <v>1368.01</v>
      </c>
      <c r="W1351" s="320">
        <v>8.5171</v>
      </c>
      <c r="X1351" s="320">
        <v>48.74</v>
      </c>
      <c r="Y1351" s="320">
        <v>211.0</v>
      </c>
      <c r="Z1351" s="320">
        <v>778.0</v>
      </c>
      <c r="AA1351" s="320">
        <v>2339.0</v>
      </c>
      <c r="AB1351" s="320">
        <v>61.2137</v>
      </c>
      <c r="AC1351" s="320">
        <v>0.8346</v>
      </c>
      <c r="AD1351" s="320">
        <v>92.07</v>
      </c>
      <c r="AE1351" s="320">
        <v>32.0</v>
      </c>
      <c r="AF1351" s="320">
        <v>72.0</v>
      </c>
      <c r="AG1351" s="320">
        <v>132.0</v>
      </c>
      <c r="AH1351" s="320">
        <v>196.0</v>
      </c>
      <c r="AI1351" s="320">
        <v>44.94</v>
      </c>
      <c r="AJ1351" s="320">
        <v>14.88</v>
      </c>
      <c r="AK1351" s="320">
        <v>2.08</v>
      </c>
      <c r="AL1351" s="320">
        <v>0.1131</v>
      </c>
      <c r="AM1351" s="320">
        <v>20.36</v>
      </c>
      <c r="AN1351" s="320">
        <v>1122.29</v>
      </c>
      <c r="AO1351" s="320">
        <v>74.28</v>
      </c>
      <c r="AP1351" s="320">
        <v>15.12</v>
      </c>
    </row>
    <row r="1352">
      <c r="A1352" s="319" t="s">
        <v>258</v>
      </c>
      <c r="B1352" s="328">
        <v>46155.0</v>
      </c>
      <c r="C1352" s="319" t="s">
        <v>257</v>
      </c>
      <c r="D1352" s="320">
        <v>16302.0</v>
      </c>
      <c r="E1352" s="320">
        <v>22.4</v>
      </c>
      <c r="F1352" s="320">
        <v>79.96</v>
      </c>
      <c r="G1352" s="320">
        <v>0.0049</v>
      </c>
      <c r="H1352" s="320">
        <v>0.15</v>
      </c>
      <c r="I1352" s="320">
        <v>3.1984</v>
      </c>
      <c r="J1352" s="320">
        <v>6.79</v>
      </c>
      <c r="K1352" s="320">
        <v>3.08</v>
      </c>
      <c r="L1352" s="320">
        <v>0.05</v>
      </c>
      <c r="M1352" s="320">
        <v>0.0165</v>
      </c>
      <c r="N1352" s="320">
        <v>0.9843</v>
      </c>
      <c r="O1352" s="320">
        <v>0.7895</v>
      </c>
      <c r="P1352" s="320">
        <v>60.4253</v>
      </c>
      <c r="Q1352" s="320">
        <v>22.19</v>
      </c>
      <c r="R1352" s="320">
        <v>22.15</v>
      </c>
      <c r="S1352" s="320">
        <v>0.05</v>
      </c>
      <c r="T1352" s="320">
        <v>0.8</v>
      </c>
      <c r="U1352" s="320">
        <v>21.4</v>
      </c>
      <c r="V1352" s="320">
        <v>1.88</v>
      </c>
      <c r="W1352" s="320">
        <v>0.6121</v>
      </c>
      <c r="X1352" s="320">
        <v>3.58</v>
      </c>
      <c r="Y1352" s="320">
        <v>145.0</v>
      </c>
      <c r="Z1352" s="320">
        <v>1141.0</v>
      </c>
      <c r="AA1352" s="320">
        <v>7730.0</v>
      </c>
      <c r="AB1352" s="320">
        <v>49.7745</v>
      </c>
      <c r="AC1352" s="320">
        <v>0.5132</v>
      </c>
      <c r="AD1352" s="329"/>
      <c r="AE1352" s="329"/>
      <c r="AF1352" s="329"/>
      <c r="AG1352" s="329"/>
      <c r="AH1352" s="329"/>
      <c r="AI1352" s="320">
        <v>0.0</v>
      </c>
      <c r="AJ1352" s="320">
        <v>0.0</v>
      </c>
      <c r="AK1352" s="320">
        <v>0.0</v>
      </c>
      <c r="AL1352" s="320">
        <v>0.2534</v>
      </c>
      <c r="AM1352" s="320">
        <v>15.13</v>
      </c>
      <c r="AN1352" s="320">
        <v>7.01</v>
      </c>
      <c r="AO1352" s="329"/>
      <c r="AP1352" s="329"/>
    </row>
    <row r="1353">
      <c r="A1353" s="319" t="s">
        <v>258</v>
      </c>
      <c r="B1353" s="328">
        <v>46155.0</v>
      </c>
      <c r="C1353" s="319" t="s">
        <v>214</v>
      </c>
      <c r="D1353" s="320">
        <v>30819.0</v>
      </c>
      <c r="E1353" s="320">
        <v>42.35</v>
      </c>
      <c r="F1353" s="320">
        <v>6191.41</v>
      </c>
      <c r="G1353" s="320">
        <v>0.2009</v>
      </c>
      <c r="H1353" s="320">
        <v>6.29</v>
      </c>
      <c r="I1353" s="320">
        <v>3.1931</v>
      </c>
      <c r="J1353" s="320">
        <v>33.26</v>
      </c>
      <c r="K1353" s="320">
        <v>18.0</v>
      </c>
      <c r="L1353" s="320">
        <v>5.1</v>
      </c>
      <c r="M1353" s="320">
        <v>0.2832</v>
      </c>
      <c r="N1353" s="320">
        <v>0.7798</v>
      </c>
      <c r="O1353" s="320">
        <v>0.5262</v>
      </c>
      <c r="P1353" s="320">
        <v>3.5312</v>
      </c>
      <c r="Q1353" s="320">
        <v>59.7</v>
      </c>
      <c r="R1353" s="320">
        <v>50.94</v>
      </c>
      <c r="S1353" s="320">
        <v>8.76</v>
      </c>
      <c r="T1353" s="320">
        <v>14.08</v>
      </c>
      <c r="U1353" s="320">
        <v>45.62</v>
      </c>
      <c r="V1353" s="320">
        <v>67.05</v>
      </c>
      <c r="W1353" s="320">
        <v>3.725</v>
      </c>
      <c r="X1353" s="320">
        <v>23.58</v>
      </c>
      <c r="Y1353" s="320">
        <v>85.0</v>
      </c>
      <c r="Z1353" s="320">
        <v>202.0</v>
      </c>
      <c r="AA1353" s="320">
        <v>845.0</v>
      </c>
      <c r="AB1353" s="320">
        <v>49.4956</v>
      </c>
      <c r="AC1353" s="320">
        <v>0.4386</v>
      </c>
      <c r="AD1353" s="320">
        <v>3.4</v>
      </c>
      <c r="AE1353" s="320">
        <v>1.0</v>
      </c>
      <c r="AF1353" s="320">
        <v>2.0</v>
      </c>
      <c r="AG1353" s="320">
        <v>4.0</v>
      </c>
      <c r="AH1353" s="320">
        <v>8.0</v>
      </c>
      <c r="AI1353" s="320">
        <v>64.54</v>
      </c>
      <c r="AJ1353" s="320">
        <v>23.41</v>
      </c>
      <c r="AK1353" s="320">
        <v>6.52</v>
      </c>
      <c r="AL1353" s="320">
        <v>0.2121</v>
      </c>
      <c r="AM1353" s="320">
        <v>19.12</v>
      </c>
      <c r="AN1353" s="320">
        <v>31.81</v>
      </c>
      <c r="AO1353" s="320">
        <v>67.97</v>
      </c>
      <c r="AP1353" s="320">
        <v>13.0</v>
      </c>
    </row>
    <row r="1354">
      <c r="A1354" s="319" t="s">
        <v>258</v>
      </c>
      <c r="B1354" s="328">
        <v>46155.0</v>
      </c>
      <c r="C1354" s="319" t="s">
        <v>215</v>
      </c>
      <c r="D1354" s="320">
        <v>14750.0</v>
      </c>
      <c r="E1354" s="320">
        <v>20.27</v>
      </c>
      <c r="F1354" s="320">
        <v>16166.8</v>
      </c>
      <c r="G1354" s="320">
        <v>1.0961</v>
      </c>
      <c r="H1354" s="320">
        <v>21.73</v>
      </c>
      <c r="I1354" s="320">
        <v>5.0442</v>
      </c>
      <c r="J1354" s="320">
        <v>61.69</v>
      </c>
      <c r="K1354" s="320">
        <v>35.66</v>
      </c>
      <c r="L1354" s="320">
        <v>14.3</v>
      </c>
      <c r="M1354" s="320">
        <v>0.4009</v>
      </c>
      <c r="N1354" s="320">
        <v>0.6567</v>
      </c>
      <c r="O1354" s="320">
        <v>0.3604</v>
      </c>
      <c r="P1354" s="320">
        <v>2.4942</v>
      </c>
      <c r="Q1354" s="320">
        <v>158.93</v>
      </c>
      <c r="R1354" s="320">
        <v>135.71</v>
      </c>
      <c r="S1354" s="320">
        <v>23.22</v>
      </c>
      <c r="T1354" s="320">
        <v>73.22</v>
      </c>
      <c r="U1354" s="320">
        <v>85.71</v>
      </c>
      <c r="V1354" s="320">
        <v>172.79</v>
      </c>
      <c r="W1354" s="320">
        <v>4.8451</v>
      </c>
      <c r="X1354" s="320">
        <v>46.07</v>
      </c>
      <c r="Y1354" s="320">
        <v>81.0</v>
      </c>
      <c r="Z1354" s="320">
        <v>182.0</v>
      </c>
      <c r="AA1354" s="320">
        <v>605.0</v>
      </c>
      <c r="AB1354" s="320">
        <v>52.4076</v>
      </c>
      <c r="AC1354" s="320">
        <v>0.5199</v>
      </c>
      <c r="AD1354" s="320">
        <v>8.66</v>
      </c>
      <c r="AE1354" s="320">
        <v>2.0</v>
      </c>
      <c r="AF1354" s="320">
        <v>6.0</v>
      </c>
      <c r="AG1354" s="320">
        <v>12.0</v>
      </c>
      <c r="AH1354" s="320">
        <v>20.0</v>
      </c>
      <c r="AI1354" s="320">
        <v>51.57</v>
      </c>
      <c r="AJ1354" s="320">
        <v>23.92</v>
      </c>
      <c r="AK1354" s="320">
        <v>4.91</v>
      </c>
      <c r="AL1354" s="320">
        <v>0.1839</v>
      </c>
      <c r="AM1354" s="320">
        <v>19.9</v>
      </c>
      <c r="AN1354" s="320">
        <v>115.81</v>
      </c>
      <c r="AO1354" s="320">
        <v>72.62</v>
      </c>
      <c r="AP1354" s="320">
        <v>14.45</v>
      </c>
    </row>
    <row r="1355">
      <c r="A1355" s="319" t="s">
        <v>258</v>
      </c>
      <c r="B1355" s="328">
        <v>46155.0</v>
      </c>
      <c r="C1355" s="319" t="s">
        <v>216</v>
      </c>
      <c r="D1355" s="320">
        <v>7617.0</v>
      </c>
      <c r="E1355" s="320">
        <v>10.47</v>
      </c>
      <c r="F1355" s="320">
        <v>18658.13</v>
      </c>
      <c r="G1355" s="320">
        <v>2.4495</v>
      </c>
      <c r="H1355" s="320">
        <v>31.93</v>
      </c>
      <c r="I1355" s="320">
        <v>7.6719</v>
      </c>
      <c r="J1355" s="320">
        <v>80.64</v>
      </c>
      <c r="K1355" s="320">
        <v>48.3</v>
      </c>
      <c r="L1355" s="320">
        <v>25.16</v>
      </c>
      <c r="M1355" s="320">
        <v>0.5208</v>
      </c>
      <c r="N1355" s="320">
        <v>0.5454</v>
      </c>
      <c r="O1355" s="320">
        <v>0.2866</v>
      </c>
      <c r="P1355" s="320">
        <v>1.9201</v>
      </c>
      <c r="Q1355" s="320">
        <v>290.52</v>
      </c>
      <c r="R1355" s="320">
        <v>247.88</v>
      </c>
      <c r="S1355" s="320">
        <v>42.63</v>
      </c>
      <c r="T1355" s="320">
        <v>157.67</v>
      </c>
      <c r="U1355" s="320">
        <v>132.85</v>
      </c>
      <c r="V1355" s="320">
        <v>302.96</v>
      </c>
      <c r="W1355" s="320">
        <v>6.2721</v>
      </c>
      <c r="X1355" s="320">
        <v>54.27</v>
      </c>
      <c r="Y1355" s="320">
        <v>85.0</v>
      </c>
      <c r="Z1355" s="320">
        <v>209.0</v>
      </c>
      <c r="AA1355" s="320">
        <v>660.0</v>
      </c>
      <c r="AB1355" s="320">
        <v>54.7704</v>
      </c>
      <c r="AC1355" s="320">
        <v>0.6555</v>
      </c>
      <c r="AD1355" s="320">
        <v>16.74</v>
      </c>
      <c r="AE1355" s="320">
        <v>5.0</v>
      </c>
      <c r="AF1355" s="320">
        <v>12.0</v>
      </c>
      <c r="AG1355" s="320">
        <v>24.0</v>
      </c>
      <c r="AH1355" s="320">
        <v>37.0</v>
      </c>
      <c r="AI1355" s="320">
        <v>53.76</v>
      </c>
      <c r="AJ1355" s="320">
        <v>23.0</v>
      </c>
      <c r="AK1355" s="320">
        <v>6.97</v>
      </c>
      <c r="AL1355" s="320">
        <v>0.1877</v>
      </c>
      <c r="AM1355" s="320">
        <v>19.42</v>
      </c>
      <c r="AN1355" s="320">
        <v>228.46</v>
      </c>
      <c r="AO1355" s="320">
        <v>74.79</v>
      </c>
      <c r="AP1355" s="320">
        <v>14.52</v>
      </c>
    </row>
    <row r="1356">
      <c r="A1356" s="319" t="s">
        <v>258</v>
      </c>
      <c r="B1356" s="328">
        <v>46155.0</v>
      </c>
      <c r="C1356" s="319" t="s">
        <v>217</v>
      </c>
      <c r="D1356" s="320">
        <v>2982.0</v>
      </c>
      <c r="E1356" s="320">
        <v>4.1</v>
      </c>
      <c r="F1356" s="320">
        <v>15886.72</v>
      </c>
      <c r="G1356" s="320">
        <v>5.3275</v>
      </c>
      <c r="H1356" s="320">
        <v>40.68</v>
      </c>
      <c r="I1356" s="320">
        <v>13.097</v>
      </c>
      <c r="J1356" s="320">
        <v>122.5</v>
      </c>
      <c r="K1356" s="320">
        <v>76.73</v>
      </c>
      <c r="L1356" s="320">
        <v>50.59</v>
      </c>
      <c r="M1356" s="320">
        <v>0.6594</v>
      </c>
      <c r="N1356" s="320">
        <v>0.4196</v>
      </c>
      <c r="O1356" s="320">
        <v>0.2245</v>
      </c>
      <c r="P1356" s="320">
        <v>1.5166</v>
      </c>
      <c r="Q1356" s="320">
        <v>560.05</v>
      </c>
      <c r="R1356" s="320">
        <v>473.08</v>
      </c>
      <c r="S1356" s="320">
        <v>86.97</v>
      </c>
      <c r="T1356" s="320">
        <v>327.86</v>
      </c>
      <c r="U1356" s="320">
        <v>232.19</v>
      </c>
      <c r="V1356" s="320">
        <v>603.29</v>
      </c>
      <c r="W1356" s="320">
        <v>7.8629</v>
      </c>
      <c r="X1356" s="320">
        <v>58.54</v>
      </c>
      <c r="Y1356" s="320">
        <v>97.0</v>
      </c>
      <c r="Z1356" s="320">
        <v>305.0</v>
      </c>
      <c r="AA1356" s="320">
        <v>891.0</v>
      </c>
      <c r="AB1356" s="320">
        <v>57.4639</v>
      </c>
      <c r="AC1356" s="320">
        <v>0.7577</v>
      </c>
      <c r="AD1356" s="320">
        <v>34.97</v>
      </c>
      <c r="AE1356" s="320">
        <v>11.0</v>
      </c>
      <c r="AF1356" s="320">
        <v>26.0</v>
      </c>
      <c r="AG1356" s="320">
        <v>50.0</v>
      </c>
      <c r="AH1356" s="320">
        <v>78.0</v>
      </c>
      <c r="AI1356" s="320">
        <v>48.05</v>
      </c>
      <c r="AJ1356" s="320">
        <v>18.81</v>
      </c>
      <c r="AK1356" s="320">
        <v>4.23</v>
      </c>
      <c r="AL1356" s="320">
        <v>0.172</v>
      </c>
      <c r="AM1356" s="320">
        <v>19.41</v>
      </c>
      <c r="AN1356" s="320">
        <v>453.67</v>
      </c>
      <c r="AO1356" s="320">
        <v>73.9</v>
      </c>
      <c r="AP1356" s="320">
        <v>14.34</v>
      </c>
    </row>
    <row r="1357">
      <c r="A1357" s="319" t="s">
        <v>258</v>
      </c>
      <c r="B1357" s="328">
        <v>46155.0</v>
      </c>
      <c r="C1357" s="319" t="s">
        <v>218</v>
      </c>
      <c r="D1357" s="320">
        <v>308.0</v>
      </c>
      <c r="E1357" s="320">
        <v>0.42</v>
      </c>
      <c r="F1357" s="320">
        <v>2865.21</v>
      </c>
      <c r="G1357" s="320">
        <v>9.3026</v>
      </c>
      <c r="H1357" s="320">
        <v>46.75</v>
      </c>
      <c r="I1357" s="320">
        <v>19.8973</v>
      </c>
      <c r="J1357" s="320">
        <v>218.31</v>
      </c>
      <c r="K1357" s="320">
        <v>143.98</v>
      </c>
      <c r="L1357" s="320">
        <v>116.77</v>
      </c>
      <c r="M1357" s="320">
        <v>0.811</v>
      </c>
      <c r="N1357" s="320">
        <v>0.2719</v>
      </c>
      <c r="O1357" s="320">
        <v>0.1606</v>
      </c>
      <c r="P1357" s="320">
        <v>1.2331</v>
      </c>
      <c r="Q1357" s="320">
        <v>1045.1</v>
      </c>
      <c r="R1357" s="320">
        <v>843.75</v>
      </c>
      <c r="S1357" s="320">
        <v>201.35</v>
      </c>
      <c r="T1357" s="320">
        <v>580.03</v>
      </c>
      <c r="U1357" s="320">
        <v>465.06</v>
      </c>
      <c r="V1357" s="320">
        <v>1139.77</v>
      </c>
      <c r="W1357" s="320">
        <v>7.916</v>
      </c>
      <c r="X1357" s="320">
        <v>55.5</v>
      </c>
      <c r="Y1357" s="320">
        <v>140.0</v>
      </c>
      <c r="Z1357" s="320">
        <v>661.0</v>
      </c>
      <c r="AA1357" s="320">
        <v>2667.0</v>
      </c>
      <c r="AB1357" s="320">
        <v>61.1975</v>
      </c>
      <c r="AC1357" s="320">
        <v>0.8544</v>
      </c>
      <c r="AD1357" s="320">
        <v>81.33</v>
      </c>
      <c r="AE1357" s="320">
        <v>33.0</v>
      </c>
      <c r="AF1357" s="320">
        <v>70.0</v>
      </c>
      <c r="AG1357" s="320">
        <v>115.0</v>
      </c>
      <c r="AH1357" s="320">
        <v>158.0</v>
      </c>
      <c r="AI1357" s="320">
        <v>44.81</v>
      </c>
      <c r="AJ1357" s="320">
        <v>6.82</v>
      </c>
      <c r="AK1357" s="320">
        <v>0.65</v>
      </c>
      <c r="AL1357" s="320">
        <v>0.1201</v>
      </c>
      <c r="AM1357" s="320">
        <v>20.02</v>
      </c>
      <c r="AN1357" s="320">
        <v>823.73</v>
      </c>
      <c r="AO1357" s="320">
        <v>74.72</v>
      </c>
      <c r="AP1357" s="320">
        <v>14.96</v>
      </c>
    </row>
    <row r="1358">
      <c r="A1358" s="319" t="s">
        <v>258</v>
      </c>
      <c r="B1358" s="328">
        <v>46156.0</v>
      </c>
      <c r="C1358" s="319" t="s">
        <v>257</v>
      </c>
      <c r="D1358" s="320">
        <v>16884.0</v>
      </c>
      <c r="E1358" s="320">
        <v>23.4</v>
      </c>
      <c r="F1358" s="320">
        <v>170.03</v>
      </c>
      <c r="G1358" s="320">
        <v>0.0101</v>
      </c>
      <c r="H1358" s="320">
        <v>0.14</v>
      </c>
      <c r="I1358" s="320">
        <v>7.0846</v>
      </c>
      <c r="J1358" s="320">
        <v>6.66</v>
      </c>
      <c r="K1358" s="320">
        <v>3.05</v>
      </c>
      <c r="L1358" s="320">
        <v>0.06</v>
      </c>
      <c r="M1358" s="320">
        <v>0.0196</v>
      </c>
      <c r="N1358" s="320">
        <v>0.9816</v>
      </c>
      <c r="O1358" s="320">
        <v>0.751</v>
      </c>
      <c r="P1358" s="320">
        <v>51.0951</v>
      </c>
      <c r="Q1358" s="320">
        <v>22.01</v>
      </c>
      <c r="R1358" s="320">
        <v>21.97</v>
      </c>
      <c r="S1358" s="320">
        <v>0.04</v>
      </c>
      <c r="T1358" s="320">
        <v>0.82</v>
      </c>
      <c r="U1358" s="320">
        <v>21.19</v>
      </c>
      <c r="V1358" s="320">
        <v>2.18</v>
      </c>
      <c r="W1358" s="320">
        <v>0.7148</v>
      </c>
      <c r="X1358" s="320">
        <v>3.74</v>
      </c>
      <c r="Y1358" s="320">
        <v>135.0</v>
      </c>
      <c r="Z1358" s="320">
        <v>1006.0</v>
      </c>
      <c r="AA1358" s="320">
        <v>7130.0</v>
      </c>
      <c r="AB1358" s="320">
        <v>49.5846</v>
      </c>
      <c r="AC1358" s="320">
        <v>0.5018</v>
      </c>
      <c r="AD1358" s="329"/>
      <c r="AE1358" s="329"/>
      <c r="AF1358" s="329"/>
      <c r="AG1358" s="329"/>
      <c r="AH1358" s="329"/>
      <c r="AI1358" s="320">
        <v>0.0</v>
      </c>
      <c r="AJ1358" s="320">
        <v>0.0</v>
      </c>
      <c r="AK1358" s="320">
        <v>0.0</v>
      </c>
      <c r="AL1358" s="320">
        <v>0.2753</v>
      </c>
      <c r="AM1358" s="320">
        <v>15.51</v>
      </c>
      <c r="AN1358" s="320">
        <v>6.46</v>
      </c>
      <c r="AO1358" s="329"/>
      <c r="AP1358" s="329"/>
    </row>
    <row r="1359">
      <c r="A1359" s="319" t="s">
        <v>258</v>
      </c>
      <c r="B1359" s="328">
        <v>46156.0</v>
      </c>
      <c r="C1359" s="319" t="s">
        <v>214</v>
      </c>
      <c r="D1359" s="320">
        <v>30289.0</v>
      </c>
      <c r="E1359" s="320">
        <v>41.97</v>
      </c>
      <c r="F1359" s="320">
        <v>6915.03</v>
      </c>
      <c r="G1359" s="320">
        <v>0.2283</v>
      </c>
      <c r="H1359" s="320">
        <v>6.67</v>
      </c>
      <c r="I1359" s="320">
        <v>3.425</v>
      </c>
      <c r="J1359" s="320">
        <v>30.02</v>
      </c>
      <c r="K1359" s="320">
        <v>15.93</v>
      </c>
      <c r="L1359" s="320">
        <v>4.94</v>
      </c>
      <c r="M1359" s="320">
        <v>0.3102</v>
      </c>
      <c r="N1359" s="320">
        <v>0.7602</v>
      </c>
      <c r="O1359" s="320">
        <v>0.5153</v>
      </c>
      <c r="P1359" s="320">
        <v>3.2235</v>
      </c>
      <c r="Q1359" s="320">
        <v>61.41</v>
      </c>
      <c r="R1359" s="320">
        <v>52.87</v>
      </c>
      <c r="S1359" s="320">
        <v>8.54</v>
      </c>
      <c r="T1359" s="320">
        <v>15.84</v>
      </c>
      <c r="U1359" s="320">
        <v>45.57</v>
      </c>
      <c r="V1359" s="320">
        <v>67.7</v>
      </c>
      <c r="W1359" s="320">
        <v>4.2493</v>
      </c>
      <c r="X1359" s="320">
        <v>25.79</v>
      </c>
      <c r="Y1359" s="320">
        <v>84.0</v>
      </c>
      <c r="Z1359" s="320">
        <v>202.0</v>
      </c>
      <c r="AA1359" s="320">
        <v>849.0</v>
      </c>
      <c r="AB1359" s="320">
        <v>49.6134</v>
      </c>
      <c r="AC1359" s="320">
        <v>0.4399</v>
      </c>
      <c r="AD1359" s="320">
        <v>3.37</v>
      </c>
      <c r="AE1359" s="320">
        <v>1.0</v>
      </c>
      <c r="AF1359" s="320">
        <v>2.0</v>
      </c>
      <c r="AG1359" s="320">
        <v>4.0</v>
      </c>
      <c r="AH1359" s="320">
        <v>8.0</v>
      </c>
      <c r="AI1359" s="320">
        <v>63.42</v>
      </c>
      <c r="AJ1359" s="320">
        <v>22.97</v>
      </c>
      <c r="AK1359" s="320">
        <v>6.3</v>
      </c>
      <c r="AL1359" s="320">
        <v>0.2259</v>
      </c>
      <c r="AM1359" s="320">
        <v>20.04</v>
      </c>
      <c r="AN1359" s="320">
        <v>32.83</v>
      </c>
      <c r="AO1359" s="320">
        <v>68.15</v>
      </c>
      <c r="AP1359" s="320">
        <v>13.66</v>
      </c>
    </row>
    <row r="1360">
      <c r="A1360" s="319" t="s">
        <v>258</v>
      </c>
      <c r="B1360" s="328">
        <v>46156.0</v>
      </c>
      <c r="C1360" s="319" t="s">
        <v>215</v>
      </c>
      <c r="D1360" s="320">
        <v>14258.0</v>
      </c>
      <c r="E1360" s="320">
        <v>19.76</v>
      </c>
      <c r="F1360" s="320">
        <v>15494.67</v>
      </c>
      <c r="G1360" s="320">
        <v>1.0867</v>
      </c>
      <c r="H1360" s="320">
        <v>20.96</v>
      </c>
      <c r="I1360" s="320">
        <v>5.1856</v>
      </c>
      <c r="J1360" s="320">
        <v>54.83</v>
      </c>
      <c r="K1360" s="320">
        <v>31.18</v>
      </c>
      <c r="L1360" s="320">
        <v>13.34</v>
      </c>
      <c r="M1360" s="320">
        <v>0.4279</v>
      </c>
      <c r="N1360" s="320">
        <v>0.6359</v>
      </c>
      <c r="O1360" s="320">
        <v>0.3556</v>
      </c>
      <c r="P1360" s="320">
        <v>2.3372</v>
      </c>
      <c r="Q1360" s="320">
        <v>165.23</v>
      </c>
      <c r="R1360" s="320">
        <v>143.01</v>
      </c>
      <c r="S1360" s="320">
        <v>22.22</v>
      </c>
      <c r="T1360" s="320">
        <v>71.7</v>
      </c>
      <c r="U1360" s="320">
        <v>93.53</v>
      </c>
      <c r="V1360" s="320">
        <v>167.14</v>
      </c>
      <c r="W1360" s="320">
        <v>5.3605</v>
      </c>
      <c r="X1360" s="320">
        <v>43.39</v>
      </c>
      <c r="Y1360" s="320">
        <v>84.0</v>
      </c>
      <c r="Z1360" s="320">
        <v>196.0</v>
      </c>
      <c r="AA1360" s="320">
        <v>646.0</v>
      </c>
      <c r="AB1360" s="320">
        <v>52.4465</v>
      </c>
      <c r="AC1360" s="320">
        <v>0.5416</v>
      </c>
      <c r="AD1360" s="320">
        <v>8.5</v>
      </c>
      <c r="AE1360" s="320">
        <v>2.0</v>
      </c>
      <c r="AF1360" s="320">
        <v>6.0</v>
      </c>
      <c r="AG1360" s="320">
        <v>12.0</v>
      </c>
      <c r="AH1360" s="320">
        <v>19.0</v>
      </c>
      <c r="AI1360" s="320">
        <v>50.98</v>
      </c>
      <c r="AJ1360" s="320">
        <v>23.58</v>
      </c>
      <c r="AK1360" s="320">
        <v>4.57</v>
      </c>
      <c r="AL1360" s="320">
        <v>0.1932</v>
      </c>
      <c r="AM1360" s="320">
        <v>20.12</v>
      </c>
      <c r="AN1360" s="320">
        <v>122.89</v>
      </c>
      <c r="AO1360" s="320">
        <v>73.63</v>
      </c>
      <c r="AP1360" s="320">
        <v>14.81</v>
      </c>
    </row>
    <row r="1361">
      <c r="A1361" s="319" t="s">
        <v>258</v>
      </c>
      <c r="B1361" s="328">
        <v>46156.0</v>
      </c>
      <c r="C1361" s="319" t="s">
        <v>216</v>
      </c>
      <c r="D1361" s="320">
        <v>7546.0</v>
      </c>
      <c r="E1361" s="320">
        <v>10.46</v>
      </c>
      <c r="F1361" s="320">
        <v>18458.88</v>
      </c>
      <c r="G1361" s="320">
        <v>2.4462</v>
      </c>
      <c r="H1361" s="320">
        <v>30.74</v>
      </c>
      <c r="I1361" s="320">
        <v>7.9564</v>
      </c>
      <c r="J1361" s="320">
        <v>76.87</v>
      </c>
      <c r="K1361" s="320">
        <v>45.47</v>
      </c>
      <c r="L1361" s="320">
        <v>24.59</v>
      </c>
      <c r="M1361" s="320">
        <v>0.5408</v>
      </c>
      <c r="N1361" s="320">
        <v>0.531</v>
      </c>
      <c r="O1361" s="320">
        <v>0.2844</v>
      </c>
      <c r="P1361" s="320">
        <v>1.849</v>
      </c>
      <c r="Q1361" s="320">
        <v>314.16</v>
      </c>
      <c r="R1361" s="320">
        <v>271.73</v>
      </c>
      <c r="S1361" s="320">
        <v>42.44</v>
      </c>
      <c r="T1361" s="320">
        <v>153.41</v>
      </c>
      <c r="U1361" s="320">
        <v>160.75</v>
      </c>
      <c r="V1361" s="320">
        <v>315.87</v>
      </c>
      <c r="W1361" s="320">
        <v>6.9464</v>
      </c>
      <c r="X1361" s="320">
        <v>48.83</v>
      </c>
      <c r="Y1361" s="320">
        <v>87.0</v>
      </c>
      <c r="Z1361" s="320">
        <v>232.0</v>
      </c>
      <c r="AA1361" s="320">
        <v>682.0</v>
      </c>
      <c r="AB1361" s="320">
        <v>54.5463</v>
      </c>
      <c r="AC1361" s="320">
        <v>0.6614</v>
      </c>
      <c r="AD1361" s="320">
        <v>16.72</v>
      </c>
      <c r="AE1361" s="320">
        <v>5.0</v>
      </c>
      <c r="AF1361" s="320">
        <v>12.0</v>
      </c>
      <c r="AG1361" s="320">
        <v>24.0</v>
      </c>
      <c r="AH1361" s="320">
        <v>37.0</v>
      </c>
      <c r="AI1361" s="320">
        <v>54.21</v>
      </c>
      <c r="AJ1361" s="320">
        <v>22.55</v>
      </c>
      <c r="AK1361" s="320">
        <v>7.08</v>
      </c>
      <c r="AL1361" s="320">
        <v>0.2102</v>
      </c>
      <c r="AM1361" s="320">
        <v>19.65</v>
      </c>
      <c r="AN1361" s="320">
        <v>252.08</v>
      </c>
      <c r="AO1361" s="320">
        <v>74.94</v>
      </c>
      <c r="AP1361" s="320">
        <v>14.73</v>
      </c>
    </row>
    <row r="1362">
      <c r="A1362" s="319" t="s">
        <v>258</v>
      </c>
      <c r="B1362" s="328">
        <v>46156.0</v>
      </c>
      <c r="C1362" s="319" t="s">
        <v>217</v>
      </c>
      <c r="D1362" s="320">
        <v>2850.0</v>
      </c>
      <c r="E1362" s="320">
        <v>3.95</v>
      </c>
      <c r="F1362" s="320">
        <v>16270.85</v>
      </c>
      <c r="G1362" s="320">
        <v>5.7091</v>
      </c>
      <c r="H1362" s="320">
        <v>42.11</v>
      </c>
      <c r="I1362" s="320">
        <v>13.559</v>
      </c>
      <c r="J1362" s="320">
        <v>122.79</v>
      </c>
      <c r="K1362" s="320">
        <v>76.6</v>
      </c>
      <c r="L1362" s="320">
        <v>52.07</v>
      </c>
      <c r="M1362" s="320">
        <v>0.6798</v>
      </c>
      <c r="N1362" s="320">
        <v>0.403</v>
      </c>
      <c r="O1362" s="320">
        <v>0.2234</v>
      </c>
      <c r="P1362" s="320">
        <v>1.4711</v>
      </c>
      <c r="Q1362" s="320">
        <v>646.82</v>
      </c>
      <c r="R1362" s="320">
        <v>556.31</v>
      </c>
      <c r="S1362" s="320">
        <v>90.51</v>
      </c>
      <c r="T1362" s="320">
        <v>344.93</v>
      </c>
      <c r="U1362" s="320">
        <v>301.89</v>
      </c>
      <c r="V1362" s="320">
        <v>644.61</v>
      </c>
      <c r="W1362" s="320">
        <v>8.4151</v>
      </c>
      <c r="X1362" s="320">
        <v>53.33</v>
      </c>
      <c r="Y1362" s="320">
        <v>95.0</v>
      </c>
      <c r="Z1362" s="320">
        <v>320.0</v>
      </c>
      <c r="AA1362" s="320">
        <v>936.0</v>
      </c>
      <c r="AB1362" s="320">
        <v>57.5914</v>
      </c>
      <c r="AC1362" s="320">
        <v>0.7522</v>
      </c>
      <c r="AD1362" s="320">
        <v>35.57</v>
      </c>
      <c r="AE1362" s="320">
        <v>12.0</v>
      </c>
      <c r="AF1362" s="320">
        <v>27.0</v>
      </c>
      <c r="AG1362" s="320">
        <v>50.0</v>
      </c>
      <c r="AH1362" s="320">
        <v>78.0</v>
      </c>
      <c r="AI1362" s="320">
        <v>49.51</v>
      </c>
      <c r="AJ1362" s="320">
        <v>18.28</v>
      </c>
      <c r="AK1362" s="320">
        <v>4.14</v>
      </c>
      <c r="AL1362" s="320">
        <v>0.1891</v>
      </c>
      <c r="AM1362" s="320">
        <v>20.22</v>
      </c>
      <c r="AN1362" s="320">
        <v>536.09</v>
      </c>
      <c r="AO1362" s="320">
        <v>74.54</v>
      </c>
      <c r="AP1362" s="320">
        <v>15.07</v>
      </c>
    </row>
    <row r="1363">
      <c r="A1363" s="319" t="s">
        <v>258</v>
      </c>
      <c r="B1363" s="328">
        <v>46156.0</v>
      </c>
      <c r="C1363" s="319" t="s">
        <v>218</v>
      </c>
      <c r="D1363" s="320">
        <v>342.0</v>
      </c>
      <c r="E1363" s="320">
        <v>0.47</v>
      </c>
      <c r="F1363" s="320">
        <v>3644.49</v>
      </c>
      <c r="G1363" s="320">
        <v>10.6564</v>
      </c>
      <c r="H1363" s="320">
        <v>46.2</v>
      </c>
      <c r="I1363" s="320">
        <v>23.0664</v>
      </c>
      <c r="J1363" s="320">
        <v>214.37</v>
      </c>
      <c r="K1363" s="320">
        <v>144.68</v>
      </c>
      <c r="L1363" s="320">
        <v>117.37</v>
      </c>
      <c r="M1363" s="320">
        <v>0.8112</v>
      </c>
      <c r="N1363" s="320">
        <v>0.2734</v>
      </c>
      <c r="O1363" s="320">
        <v>0.1652</v>
      </c>
      <c r="P1363" s="320">
        <v>1.2327</v>
      </c>
      <c r="Q1363" s="320">
        <v>1231.23</v>
      </c>
      <c r="R1363" s="320">
        <v>1023.46</v>
      </c>
      <c r="S1363" s="320">
        <v>207.76</v>
      </c>
      <c r="T1363" s="320">
        <v>674.08</v>
      </c>
      <c r="U1363" s="320">
        <v>557.15</v>
      </c>
      <c r="V1363" s="320">
        <v>1258.04</v>
      </c>
      <c r="W1363" s="320">
        <v>8.6953</v>
      </c>
      <c r="X1363" s="320">
        <v>54.75</v>
      </c>
      <c r="Y1363" s="320">
        <v>151.0</v>
      </c>
      <c r="Z1363" s="320">
        <v>578.0</v>
      </c>
      <c r="AA1363" s="320">
        <v>1980.0</v>
      </c>
      <c r="AB1363" s="320">
        <v>60.6706</v>
      </c>
      <c r="AC1363" s="320">
        <v>0.8472</v>
      </c>
      <c r="AD1363" s="320">
        <v>82.6</v>
      </c>
      <c r="AE1363" s="320">
        <v>26.0</v>
      </c>
      <c r="AF1363" s="320">
        <v>65.0</v>
      </c>
      <c r="AG1363" s="320">
        <v>115.0</v>
      </c>
      <c r="AH1363" s="320">
        <v>178.0</v>
      </c>
      <c r="AI1363" s="320">
        <v>43.27</v>
      </c>
      <c r="AJ1363" s="320">
        <v>10.82</v>
      </c>
      <c r="AK1363" s="320">
        <v>0.88</v>
      </c>
      <c r="AL1363" s="320">
        <v>0.1608</v>
      </c>
      <c r="AM1363" s="320">
        <v>18.86</v>
      </c>
      <c r="AN1363" s="320">
        <v>1004.6</v>
      </c>
      <c r="AO1363" s="320">
        <v>71.09</v>
      </c>
      <c r="AP1363" s="320">
        <v>13.41</v>
      </c>
    </row>
    <row r="1364">
      <c r="A1364" s="319" t="s">
        <v>258</v>
      </c>
      <c r="B1364" s="328">
        <v>46157.0</v>
      </c>
      <c r="C1364" s="319" t="s">
        <v>257</v>
      </c>
      <c r="D1364" s="320">
        <v>14364.0</v>
      </c>
      <c r="E1364" s="320">
        <v>20.51</v>
      </c>
      <c r="F1364" s="320">
        <v>234.35</v>
      </c>
      <c r="G1364" s="320">
        <v>0.0163</v>
      </c>
      <c r="H1364" s="320">
        <v>0.38</v>
      </c>
      <c r="I1364" s="320">
        <v>4.3398</v>
      </c>
      <c r="J1364" s="320">
        <v>5.9</v>
      </c>
      <c r="K1364" s="320">
        <v>2.6</v>
      </c>
      <c r="L1364" s="320">
        <v>0.07</v>
      </c>
      <c r="M1364" s="320">
        <v>0.0272</v>
      </c>
      <c r="N1364" s="320">
        <v>0.9742</v>
      </c>
      <c r="O1364" s="320">
        <v>0.6998</v>
      </c>
      <c r="P1364" s="320">
        <v>36.7217</v>
      </c>
      <c r="Q1364" s="320">
        <v>29.92</v>
      </c>
      <c r="R1364" s="320">
        <v>29.89</v>
      </c>
      <c r="S1364" s="320">
        <v>0.04</v>
      </c>
      <c r="T1364" s="320">
        <v>1.21</v>
      </c>
      <c r="U1364" s="320">
        <v>28.72</v>
      </c>
      <c r="V1364" s="320">
        <v>2.01</v>
      </c>
      <c r="W1364" s="320">
        <v>0.7738</v>
      </c>
      <c r="X1364" s="320">
        <v>4.03</v>
      </c>
      <c r="Y1364" s="320">
        <v>176.0</v>
      </c>
      <c r="Z1364" s="320">
        <v>1411.0</v>
      </c>
      <c r="AA1364" s="320">
        <v>8363.0</v>
      </c>
      <c r="AB1364" s="320">
        <v>49.7036</v>
      </c>
      <c r="AC1364" s="320">
        <v>0.5163</v>
      </c>
      <c r="AD1364" s="329"/>
      <c r="AE1364" s="329"/>
      <c r="AF1364" s="329"/>
      <c r="AG1364" s="329"/>
      <c r="AH1364" s="329"/>
      <c r="AI1364" s="320">
        <v>0.0</v>
      </c>
      <c r="AJ1364" s="320">
        <v>0.0</v>
      </c>
      <c r="AK1364" s="320">
        <v>0.0</v>
      </c>
      <c r="AL1364" s="320">
        <v>0.2906</v>
      </c>
      <c r="AM1364" s="320">
        <v>16.54</v>
      </c>
      <c r="AN1364" s="320">
        <v>13.34</v>
      </c>
      <c r="AO1364" s="329"/>
      <c r="AP1364" s="329"/>
    </row>
    <row r="1365">
      <c r="A1365" s="319" t="s">
        <v>258</v>
      </c>
      <c r="B1365" s="328">
        <v>46157.0</v>
      </c>
      <c r="C1365" s="319" t="s">
        <v>214</v>
      </c>
      <c r="D1365" s="320">
        <v>31098.0</v>
      </c>
      <c r="E1365" s="320">
        <v>44.41</v>
      </c>
      <c r="F1365" s="320">
        <v>7641.92</v>
      </c>
      <c r="G1365" s="320">
        <v>0.2457</v>
      </c>
      <c r="H1365" s="320">
        <v>6.74</v>
      </c>
      <c r="I1365" s="320">
        <v>3.6442</v>
      </c>
      <c r="J1365" s="320">
        <v>34.02</v>
      </c>
      <c r="K1365" s="320">
        <v>18.2</v>
      </c>
      <c r="L1365" s="320">
        <v>5.6</v>
      </c>
      <c r="M1365" s="320">
        <v>0.3078</v>
      </c>
      <c r="N1365" s="320">
        <v>0.7606</v>
      </c>
      <c r="O1365" s="320">
        <v>0.5081</v>
      </c>
      <c r="P1365" s="320">
        <v>3.2488</v>
      </c>
      <c r="Q1365" s="320">
        <v>86.39</v>
      </c>
      <c r="R1365" s="320">
        <v>76.88</v>
      </c>
      <c r="S1365" s="320">
        <v>9.51</v>
      </c>
      <c r="T1365" s="320">
        <v>17.0</v>
      </c>
      <c r="U1365" s="320">
        <v>69.39</v>
      </c>
      <c r="V1365" s="320">
        <v>80.19</v>
      </c>
      <c r="W1365" s="320">
        <v>4.405</v>
      </c>
      <c r="X1365" s="320">
        <v>19.68</v>
      </c>
      <c r="Y1365" s="320">
        <v>87.0</v>
      </c>
      <c r="Z1365" s="320">
        <v>210.0</v>
      </c>
      <c r="AA1365" s="320">
        <v>850.0</v>
      </c>
      <c r="AB1365" s="320">
        <v>49.4716</v>
      </c>
      <c r="AC1365" s="320">
        <v>0.4379</v>
      </c>
      <c r="AD1365" s="320">
        <v>3.63</v>
      </c>
      <c r="AE1365" s="320">
        <v>1.0</v>
      </c>
      <c r="AF1365" s="320">
        <v>2.0</v>
      </c>
      <c r="AG1365" s="320">
        <v>5.0</v>
      </c>
      <c r="AH1365" s="320">
        <v>8.0</v>
      </c>
      <c r="AI1365" s="320">
        <v>67.85</v>
      </c>
      <c r="AJ1365" s="320">
        <v>25.93</v>
      </c>
      <c r="AK1365" s="320">
        <v>7.22</v>
      </c>
      <c r="AL1365" s="320">
        <v>0.234</v>
      </c>
      <c r="AM1365" s="320">
        <v>21.34</v>
      </c>
      <c r="AN1365" s="320">
        <v>55.54</v>
      </c>
      <c r="AO1365" s="320">
        <v>68.19</v>
      </c>
      <c r="AP1365" s="320">
        <v>14.55</v>
      </c>
    </row>
    <row r="1366">
      <c r="A1366" s="319" t="s">
        <v>258</v>
      </c>
      <c r="B1366" s="328">
        <v>46157.0</v>
      </c>
      <c r="C1366" s="319" t="s">
        <v>215</v>
      </c>
      <c r="D1366" s="320">
        <v>14206.0</v>
      </c>
      <c r="E1366" s="320">
        <v>20.29</v>
      </c>
      <c r="F1366" s="320">
        <v>13879.93</v>
      </c>
      <c r="G1366" s="320">
        <v>0.977</v>
      </c>
      <c r="H1366" s="320">
        <v>20.39</v>
      </c>
      <c r="I1366" s="320">
        <v>4.7911</v>
      </c>
      <c r="J1366" s="320">
        <v>61.08</v>
      </c>
      <c r="K1366" s="320">
        <v>35.02</v>
      </c>
      <c r="L1366" s="320">
        <v>13.95</v>
      </c>
      <c r="M1366" s="320">
        <v>0.3984</v>
      </c>
      <c r="N1366" s="320">
        <v>0.6624</v>
      </c>
      <c r="O1366" s="320">
        <v>0.3775</v>
      </c>
      <c r="P1366" s="320">
        <v>2.5101</v>
      </c>
      <c r="Q1366" s="320">
        <v>182.02</v>
      </c>
      <c r="R1366" s="320">
        <v>158.09</v>
      </c>
      <c r="S1366" s="320">
        <v>23.93</v>
      </c>
      <c r="T1366" s="320">
        <v>65.88</v>
      </c>
      <c r="U1366" s="320">
        <v>116.14</v>
      </c>
      <c r="V1366" s="320">
        <v>179.42</v>
      </c>
      <c r="W1366" s="320">
        <v>5.1239</v>
      </c>
      <c r="X1366" s="320">
        <v>36.19</v>
      </c>
      <c r="Y1366" s="320">
        <v>83.0</v>
      </c>
      <c r="Z1366" s="320">
        <v>191.0</v>
      </c>
      <c r="AA1366" s="320">
        <v>586.0</v>
      </c>
      <c r="AB1366" s="320">
        <v>52.4431</v>
      </c>
      <c r="AC1366" s="320">
        <v>0.5428</v>
      </c>
      <c r="AD1366" s="320">
        <v>8.84</v>
      </c>
      <c r="AE1366" s="320">
        <v>3.0</v>
      </c>
      <c r="AF1366" s="320">
        <v>6.0</v>
      </c>
      <c r="AG1366" s="320">
        <v>12.0</v>
      </c>
      <c r="AH1366" s="320">
        <v>19.0</v>
      </c>
      <c r="AI1366" s="320">
        <v>55.27</v>
      </c>
      <c r="AJ1366" s="320">
        <v>24.07</v>
      </c>
      <c r="AK1366" s="320">
        <v>4.76</v>
      </c>
      <c r="AL1366" s="320">
        <v>0.2101</v>
      </c>
      <c r="AM1366" s="320">
        <v>22.04</v>
      </c>
      <c r="AN1366" s="320">
        <v>136.05</v>
      </c>
      <c r="AO1366" s="320">
        <v>74.63</v>
      </c>
      <c r="AP1366" s="320">
        <v>16.45</v>
      </c>
    </row>
    <row r="1367">
      <c r="A1367" s="319" t="s">
        <v>258</v>
      </c>
      <c r="B1367" s="328">
        <v>46157.0</v>
      </c>
      <c r="C1367" s="319" t="s">
        <v>216</v>
      </c>
      <c r="D1367" s="320">
        <v>7344.0</v>
      </c>
      <c r="E1367" s="320">
        <v>10.49</v>
      </c>
      <c r="F1367" s="320">
        <v>17984.28</v>
      </c>
      <c r="G1367" s="320">
        <v>2.4488</v>
      </c>
      <c r="H1367" s="320">
        <v>32.14</v>
      </c>
      <c r="I1367" s="320">
        <v>7.6205</v>
      </c>
      <c r="J1367" s="320">
        <v>85.18</v>
      </c>
      <c r="K1367" s="320">
        <v>50.37</v>
      </c>
      <c r="L1367" s="320">
        <v>25.38</v>
      </c>
      <c r="M1367" s="320">
        <v>0.5038</v>
      </c>
      <c r="N1367" s="320">
        <v>0.5635</v>
      </c>
      <c r="O1367" s="320">
        <v>0.3055</v>
      </c>
      <c r="P1367" s="320">
        <v>1.9848</v>
      </c>
      <c r="Q1367" s="320">
        <v>319.29</v>
      </c>
      <c r="R1367" s="320">
        <v>275.26</v>
      </c>
      <c r="S1367" s="320">
        <v>44.03</v>
      </c>
      <c r="T1367" s="320">
        <v>154.58</v>
      </c>
      <c r="U1367" s="320">
        <v>164.71</v>
      </c>
      <c r="V1367" s="320">
        <v>328.09</v>
      </c>
      <c r="W1367" s="320">
        <v>6.5133</v>
      </c>
      <c r="X1367" s="320">
        <v>48.41</v>
      </c>
      <c r="Y1367" s="320">
        <v>83.0</v>
      </c>
      <c r="Z1367" s="320">
        <v>212.0</v>
      </c>
      <c r="AA1367" s="320">
        <v>655.0</v>
      </c>
      <c r="AB1367" s="320">
        <v>54.3863</v>
      </c>
      <c r="AC1367" s="320">
        <v>0.6513</v>
      </c>
      <c r="AD1367" s="320">
        <v>16.42</v>
      </c>
      <c r="AE1367" s="320">
        <v>5.0</v>
      </c>
      <c r="AF1367" s="320">
        <v>12.0</v>
      </c>
      <c r="AG1367" s="320">
        <v>23.0</v>
      </c>
      <c r="AH1367" s="320">
        <v>36.0</v>
      </c>
      <c r="AI1367" s="320">
        <v>54.14</v>
      </c>
      <c r="AJ1367" s="320">
        <v>21.09</v>
      </c>
      <c r="AK1367" s="320">
        <v>6.33</v>
      </c>
      <c r="AL1367" s="320">
        <v>0.2077</v>
      </c>
      <c r="AM1367" s="320">
        <v>21.64</v>
      </c>
      <c r="AN1367" s="320">
        <v>253.62</v>
      </c>
      <c r="AO1367" s="320">
        <v>75.55</v>
      </c>
      <c r="AP1367" s="320">
        <v>16.35</v>
      </c>
    </row>
    <row r="1368">
      <c r="A1368" s="319" t="s">
        <v>258</v>
      </c>
      <c r="B1368" s="328">
        <v>46157.0</v>
      </c>
      <c r="C1368" s="319" t="s">
        <v>217</v>
      </c>
      <c r="D1368" s="320">
        <v>2722.0</v>
      </c>
      <c r="E1368" s="320">
        <v>3.89</v>
      </c>
      <c r="F1368" s="320">
        <v>15481.34</v>
      </c>
      <c r="G1368" s="320">
        <v>5.6875</v>
      </c>
      <c r="H1368" s="320">
        <v>42.36</v>
      </c>
      <c r="I1368" s="320">
        <v>13.427</v>
      </c>
      <c r="J1368" s="320">
        <v>128.45</v>
      </c>
      <c r="K1368" s="320">
        <v>78.91</v>
      </c>
      <c r="L1368" s="320">
        <v>51.88</v>
      </c>
      <c r="M1368" s="320">
        <v>0.6575</v>
      </c>
      <c r="N1368" s="320">
        <v>0.4238</v>
      </c>
      <c r="O1368" s="320">
        <v>0.2351</v>
      </c>
      <c r="P1368" s="320">
        <v>1.521</v>
      </c>
      <c r="Q1368" s="320">
        <v>605.91</v>
      </c>
      <c r="R1368" s="320">
        <v>515.72</v>
      </c>
      <c r="S1368" s="320">
        <v>90.2</v>
      </c>
      <c r="T1368" s="320">
        <v>346.26</v>
      </c>
      <c r="U1368" s="320">
        <v>259.65</v>
      </c>
      <c r="V1368" s="320">
        <v>646.97</v>
      </c>
      <c r="W1368" s="320">
        <v>8.1987</v>
      </c>
      <c r="X1368" s="320">
        <v>57.15</v>
      </c>
      <c r="Y1368" s="320">
        <v>96.0</v>
      </c>
      <c r="Z1368" s="320">
        <v>306.0</v>
      </c>
      <c r="AA1368" s="320">
        <v>877.0</v>
      </c>
      <c r="AB1368" s="320">
        <v>57.798</v>
      </c>
      <c r="AC1368" s="320">
        <v>0.7647</v>
      </c>
      <c r="AD1368" s="320">
        <v>34.48</v>
      </c>
      <c r="AE1368" s="320">
        <v>12.0</v>
      </c>
      <c r="AF1368" s="320">
        <v>26.0</v>
      </c>
      <c r="AG1368" s="320">
        <v>48.0</v>
      </c>
      <c r="AH1368" s="320">
        <v>75.0</v>
      </c>
      <c r="AI1368" s="320">
        <v>48.2</v>
      </c>
      <c r="AJ1368" s="320">
        <v>16.68</v>
      </c>
      <c r="AK1368" s="320">
        <v>4.0</v>
      </c>
      <c r="AL1368" s="320">
        <v>0.1877</v>
      </c>
      <c r="AM1368" s="320">
        <v>21.1</v>
      </c>
      <c r="AN1368" s="320">
        <v>494.62</v>
      </c>
      <c r="AO1368" s="320">
        <v>75.82</v>
      </c>
      <c r="AP1368" s="320">
        <v>16.0</v>
      </c>
    </row>
    <row r="1369">
      <c r="A1369" s="319" t="s">
        <v>258</v>
      </c>
      <c r="B1369" s="328">
        <v>46157.0</v>
      </c>
      <c r="C1369" s="319" t="s">
        <v>218</v>
      </c>
      <c r="D1369" s="320">
        <v>294.0</v>
      </c>
      <c r="E1369" s="320">
        <v>0.42</v>
      </c>
      <c r="F1369" s="320">
        <v>3176.64</v>
      </c>
      <c r="G1369" s="320">
        <v>10.8049</v>
      </c>
      <c r="H1369" s="320">
        <v>51.36</v>
      </c>
      <c r="I1369" s="320">
        <v>21.0374</v>
      </c>
      <c r="J1369" s="320">
        <v>234.0</v>
      </c>
      <c r="K1369" s="320">
        <v>151.18</v>
      </c>
      <c r="L1369" s="320">
        <v>119.38</v>
      </c>
      <c r="M1369" s="320">
        <v>0.7896</v>
      </c>
      <c r="N1369" s="320">
        <v>0.2911</v>
      </c>
      <c r="O1369" s="320">
        <v>0.1676</v>
      </c>
      <c r="P1369" s="320">
        <v>1.2664</v>
      </c>
      <c r="Q1369" s="320">
        <v>1162.51</v>
      </c>
      <c r="R1369" s="320">
        <v>956.53</v>
      </c>
      <c r="S1369" s="320">
        <v>205.99</v>
      </c>
      <c r="T1369" s="320">
        <v>672.81</v>
      </c>
      <c r="U1369" s="320">
        <v>489.71</v>
      </c>
      <c r="V1369" s="320">
        <v>1212.93</v>
      </c>
      <c r="W1369" s="320">
        <v>8.0229</v>
      </c>
      <c r="X1369" s="320">
        <v>57.88</v>
      </c>
      <c r="Y1369" s="320">
        <v>124.0</v>
      </c>
      <c r="Z1369" s="320">
        <v>620.0</v>
      </c>
      <c r="AA1369" s="320">
        <v>2727.0</v>
      </c>
      <c r="AB1369" s="320">
        <v>61.0776</v>
      </c>
      <c r="AC1369" s="320">
        <v>0.841</v>
      </c>
      <c r="AD1369" s="320">
        <v>82.86</v>
      </c>
      <c r="AE1369" s="320">
        <v>30.0</v>
      </c>
      <c r="AF1369" s="320">
        <v>66.0</v>
      </c>
      <c r="AG1369" s="320">
        <v>123.0</v>
      </c>
      <c r="AH1369" s="320">
        <v>169.0</v>
      </c>
      <c r="AI1369" s="320">
        <v>42.86</v>
      </c>
      <c r="AJ1369" s="320">
        <v>8.84</v>
      </c>
      <c r="AK1369" s="320">
        <v>1.36</v>
      </c>
      <c r="AL1369" s="320">
        <v>0.119</v>
      </c>
      <c r="AM1369" s="320">
        <v>23.16</v>
      </c>
      <c r="AN1369" s="320">
        <v>933.36</v>
      </c>
      <c r="AO1369" s="320">
        <v>74.59</v>
      </c>
      <c r="AP1369" s="320">
        <v>17.28</v>
      </c>
    </row>
    <row r="1370">
      <c r="A1370" s="319" t="s">
        <v>258</v>
      </c>
      <c r="B1370" s="328">
        <v>46158.0</v>
      </c>
      <c r="C1370" s="319" t="s">
        <v>257</v>
      </c>
      <c r="D1370" s="320">
        <v>15525.0</v>
      </c>
      <c r="E1370" s="320">
        <v>22.43</v>
      </c>
      <c r="F1370" s="320">
        <v>107.52</v>
      </c>
      <c r="G1370" s="320">
        <v>0.0069</v>
      </c>
      <c r="H1370" s="320">
        <v>0.19</v>
      </c>
      <c r="I1370" s="320">
        <v>3.584</v>
      </c>
      <c r="J1370" s="320">
        <v>6.44</v>
      </c>
      <c r="K1370" s="320">
        <v>2.98</v>
      </c>
      <c r="L1370" s="320">
        <v>0.06</v>
      </c>
      <c r="M1370" s="320">
        <v>0.0209</v>
      </c>
      <c r="N1370" s="320">
        <v>0.9808</v>
      </c>
      <c r="O1370" s="320">
        <v>0.7509</v>
      </c>
      <c r="P1370" s="320">
        <v>47.8758</v>
      </c>
      <c r="Q1370" s="320">
        <v>25.62</v>
      </c>
      <c r="R1370" s="320">
        <v>25.57</v>
      </c>
      <c r="S1370" s="320">
        <v>0.05</v>
      </c>
      <c r="T1370" s="320">
        <v>0.57</v>
      </c>
      <c r="U1370" s="320">
        <v>25.06</v>
      </c>
      <c r="V1370" s="320">
        <v>2.73</v>
      </c>
      <c r="W1370" s="320">
        <v>0.9157</v>
      </c>
      <c r="X1370" s="320">
        <v>2.21</v>
      </c>
      <c r="Y1370" s="320">
        <v>140.0</v>
      </c>
      <c r="Z1370" s="320">
        <v>1011.0</v>
      </c>
      <c r="AA1370" s="320">
        <v>7211.0</v>
      </c>
      <c r="AB1370" s="320">
        <v>49.3265</v>
      </c>
      <c r="AC1370" s="320">
        <v>0.4953</v>
      </c>
      <c r="AD1370" s="329"/>
      <c r="AE1370" s="329"/>
      <c r="AF1370" s="329"/>
      <c r="AG1370" s="329"/>
      <c r="AH1370" s="329"/>
      <c r="AI1370" s="320">
        <v>0.0</v>
      </c>
      <c r="AJ1370" s="320">
        <v>0.0</v>
      </c>
      <c r="AK1370" s="320">
        <v>0.0</v>
      </c>
      <c r="AL1370" s="320">
        <v>0.2753</v>
      </c>
      <c r="AM1370" s="320">
        <v>17.13</v>
      </c>
      <c r="AN1370" s="320">
        <v>8.44</v>
      </c>
      <c r="AO1370" s="329"/>
      <c r="AP1370" s="329"/>
    </row>
    <row r="1371">
      <c r="A1371" s="319" t="s">
        <v>258</v>
      </c>
      <c r="B1371" s="328">
        <v>46158.0</v>
      </c>
      <c r="C1371" s="319" t="s">
        <v>214</v>
      </c>
      <c r="D1371" s="320">
        <v>29998.0</v>
      </c>
      <c r="E1371" s="320">
        <v>43.33</v>
      </c>
      <c r="F1371" s="320">
        <v>7310.74</v>
      </c>
      <c r="G1371" s="320">
        <v>0.2437</v>
      </c>
      <c r="H1371" s="320">
        <v>7.01</v>
      </c>
      <c r="I1371" s="320">
        <v>3.4747</v>
      </c>
      <c r="J1371" s="320">
        <v>31.36</v>
      </c>
      <c r="K1371" s="320">
        <v>16.86</v>
      </c>
      <c r="L1371" s="320">
        <v>5.35</v>
      </c>
      <c r="M1371" s="320">
        <v>0.3175</v>
      </c>
      <c r="N1371" s="320">
        <v>0.755</v>
      </c>
      <c r="O1371" s="320">
        <v>0.5066</v>
      </c>
      <c r="P1371" s="320">
        <v>3.1499</v>
      </c>
      <c r="Q1371" s="320">
        <v>74.58</v>
      </c>
      <c r="R1371" s="320">
        <v>65.45</v>
      </c>
      <c r="S1371" s="320">
        <v>9.13</v>
      </c>
      <c r="T1371" s="320">
        <v>17.41</v>
      </c>
      <c r="U1371" s="320">
        <v>57.17</v>
      </c>
      <c r="V1371" s="320">
        <v>78.93</v>
      </c>
      <c r="W1371" s="320">
        <v>4.6814</v>
      </c>
      <c r="X1371" s="320">
        <v>23.34</v>
      </c>
      <c r="Y1371" s="320">
        <v>86.0</v>
      </c>
      <c r="Z1371" s="320">
        <v>212.0</v>
      </c>
      <c r="AA1371" s="320">
        <v>947.0</v>
      </c>
      <c r="AB1371" s="320">
        <v>49.6109</v>
      </c>
      <c r="AC1371" s="320">
        <v>0.4473</v>
      </c>
      <c r="AD1371" s="320">
        <v>3.57</v>
      </c>
      <c r="AE1371" s="320">
        <v>1.0</v>
      </c>
      <c r="AF1371" s="320">
        <v>2.0</v>
      </c>
      <c r="AG1371" s="320">
        <v>5.0</v>
      </c>
      <c r="AH1371" s="320">
        <v>8.0</v>
      </c>
      <c r="AI1371" s="320">
        <v>66.28</v>
      </c>
      <c r="AJ1371" s="320">
        <v>24.84</v>
      </c>
      <c r="AK1371" s="320">
        <v>7.38</v>
      </c>
      <c r="AL1371" s="320">
        <v>0.2201</v>
      </c>
      <c r="AM1371" s="320">
        <v>23.69</v>
      </c>
      <c r="AN1371" s="320">
        <v>41.76</v>
      </c>
      <c r="AO1371" s="320">
        <v>67.73</v>
      </c>
      <c r="AP1371" s="320">
        <v>16.05</v>
      </c>
    </row>
    <row r="1372">
      <c r="A1372" s="319" t="s">
        <v>258</v>
      </c>
      <c r="B1372" s="328">
        <v>46158.0</v>
      </c>
      <c r="C1372" s="319" t="s">
        <v>215</v>
      </c>
      <c r="D1372" s="320">
        <v>13654.0</v>
      </c>
      <c r="E1372" s="320">
        <v>19.72</v>
      </c>
      <c r="F1372" s="320">
        <v>14342.22</v>
      </c>
      <c r="G1372" s="320">
        <v>1.0504</v>
      </c>
      <c r="H1372" s="320">
        <v>21.63</v>
      </c>
      <c r="I1372" s="320">
        <v>4.8568</v>
      </c>
      <c r="J1372" s="320">
        <v>56.6</v>
      </c>
      <c r="K1372" s="320">
        <v>32.28</v>
      </c>
      <c r="L1372" s="320">
        <v>13.39</v>
      </c>
      <c r="M1372" s="320">
        <v>0.4148</v>
      </c>
      <c r="N1372" s="320">
        <v>0.65</v>
      </c>
      <c r="O1372" s="320">
        <v>0.3675</v>
      </c>
      <c r="P1372" s="320">
        <v>2.4108</v>
      </c>
      <c r="Q1372" s="320">
        <v>175.02</v>
      </c>
      <c r="R1372" s="320">
        <v>151.98</v>
      </c>
      <c r="S1372" s="320">
        <v>23.04</v>
      </c>
      <c r="T1372" s="320">
        <v>70.89</v>
      </c>
      <c r="U1372" s="320">
        <v>104.14</v>
      </c>
      <c r="V1372" s="320">
        <v>180.61</v>
      </c>
      <c r="W1372" s="320">
        <v>5.5959</v>
      </c>
      <c r="X1372" s="320">
        <v>40.5</v>
      </c>
      <c r="Y1372" s="320">
        <v>82.0</v>
      </c>
      <c r="Z1372" s="320">
        <v>195.0</v>
      </c>
      <c r="AA1372" s="320">
        <v>630.0</v>
      </c>
      <c r="AB1372" s="320">
        <v>52.5032</v>
      </c>
      <c r="AC1372" s="320">
        <v>0.5526</v>
      </c>
      <c r="AD1372" s="320">
        <v>8.86</v>
      </c>
      <c r="AE1372" s="320">
        <v>3.0</v>
      </c>
      <c r="AF1372" s="320">
        <v>6.0</v>
      </c>
      <c r="AG1372" s="320">
        <v>12.0</v>
      </c>
      <c r="AH1372" s="320">
        <v>20.0</v>
      </c>
      <c r="AI1372" s="320">
        <v>53.98</v>
      </c>
      <c r="AJ1372" s="320">
        <v>24.79</v>
      </c>
      <c r="AK1372" s="320">
        <v>4.72</v>
      </c>
      <c r="AL1372" s="320">
        <v>0.2034</v>
      </c>
      <c r="AM1372" s="320">
        <v>23.49</v>
      </c>
      <c r="AN1372" s="320">
        <v>128.49</v>
      </c>
      <c r="AO1372" s="320">
        <v>73.94</v>
      </c>
      <c r="AP1372" s="320">
        <v>17.37</v>
      </c>
    </row>
    <row r="1373">
      <c r="A1373" s="319" t="s">
        <v>258</v>
      </c>
      <c r="B1373" s="328">
        <v>46158.0</v>
      </c>
      <c r="C1373" s="319" t="s">
        <v>216</v>
      </c>
      <c r="D1373" s="320">
        <v>7055.0</v>
      </c>
      <c r="E1373" s="320">
        <v>10.19</v>
      </c>
      <c r="F1373" s="320">
        <v>18543.0</v>
      </c>
      <c r="G1373" s="320">
        <v>2.6283</v>
      </c>
      <c r="H1373" s="320">
        <v>33.72</v>
      </c>
      <c r="I1373" s="320">
        <v>7.7945</v>
      </c>
      <c r="J1373" s="320">
        <v>78.64</v>
      </c>
      <c r="K1373" s="320">
        <v>46.44</v>
      </c>
      <c r="L1373" s="320">
        <v>24.5</v>
      </c>
      <c r="M1373" s="320">
        <v>0.5276</v>
      </c>
      <c r="N1373" s="320">
        <v>0.5472</v>
      </c>
      <c r="O1373" s="320">
        <v>0.2958</v>
      </c>
      <c r="P1373" s="320">
        <v>1.8952</v>
      </c>
      <c r="Q1373" s="320">
        <v>331.38</v>
      </c>
      <c r="R1373" s="320">
        <v>289.05</v>
      </c>
      <c r="S1373" s="320">
        <v>42.34</v>
      </c>
      <c r="T1373" s="320">
        <v>167.17</v>
      </c>
      <c r="U1373" s="320">
        <v>164.21</v>
      </c>
      <c r="V1373" s="320">
        <v>342.27</v>
      </c>
      <c r="W1373" s="320">
        <v>7.3709</v>
      </c>
      <c r="X1373" s="320">
        <v>50.45</v>
      </c>
      <c r="Y1373" s="320">
        <v>85.0</v>
      </c>
      <c r="Z1373" s="320">
        <v>219.0</v>
      </c>
      <c r="AA1373" s="320">
        <v>679.0</v>
      </c>
      <c r="AB1373" s="320">
        <v>54.5746</v>
      </c>
      <c r="AC1373" s="320">
        <v>0.6629</v>
      </c>
      <c r="AD1373" s="320">
        <v>16.63</v>
      </c>
      <c r="AE1373" s="320">
        <v>5.0</v>
      </c>
      <c r="AF1373" s="320">
        <v>12.0</v>
      </c>
      <c r="AG1373" s="320">
        <v>24.0</v>
      </c>
      <c r="AH1373" s="320">
        <v>37.0</v>
      </c>
      <c r="AI1373" s="320">
        <v>53.75</v>
      </c>
      <c r="AJ1373" s="320">
        <v>22.18</v>
      </c>
      <c r="AK1373" s="320">
        <v>6.66</v>
      </c>
      <c r="AL1373" s="320">
        <v>0.2031</v>
      </c>
      <c r="AM1373" s="320">
        <v>23.02</v>
      </c>
      <c r="AN1373" s="320">
        <v>266.03</v>
      </c>
      <c r="AO1373" s="320">
        <v>74.68</v>
      </c>
      <c r="AP1373" s="320">
        <v>17.19</v>
      </c>
    </row>
    <row r="1374">
      <c r="A1374" s="319" t="s">
        <v>258</v>
      </c>
      <c r="B1374" s="328">
        <v>46158.0</v>
      </c>
      <c r="C1374" s="319" t="s">
        <v>217</v>
      </c>
      <c r="D1374" s="320">
        <v>2683.0</v>
      </c>
      <c r="E1374" s="320">
        <v>3.88</v>
      </c>
      <c r="F1374" s="320">
        <v>16185.22</v>
      </c>
      <c r="G1374" s="320">
        <v>6.0325</v>
      </c>
      <c r="H1374" s="320">
        <v>44.17</v>
      </c>
      <c r="I1374" s="320">
        <v>13.6584</v>
      </c>
      <c r="J1374" s="320">
        <v>124.79</v>
      </c>
      <c r="K1374" s="320">
        <v>76.9</v>
      </c>
      <c r="L1374" s="320">
        <v>52.33</v>
      </c>
      <c r="M1374" s="320">
        <v>0.6805</v>
      </c>
      <c r="N1374" s="320">
        <v>0.408</v>
      </c>
      <c r="O1374" s="320">
        <v>0.2273</v>
      </c>
      <c r="P1374" s="320">
        <v>1.4696</v>
      </c>
      <c r="Q1374" s="320">
        <v>678.32</v>
      </c>
      <c r="R1374" s="320">
        <v>586.86</v>
      </c>
      <c r="S1374" s="320">
        <v>91.46</v>
      </c>
      <c r="T1374" s="320">
        <v>375.74</v>
      </c>
      <c r="U1374" s="320">
        <v>302.58</v>
      </c>
      <c r="V1374" s="320">
        <v>693.78</v>
      </c>
      <c r="W1374" s="320">
        <v>9.0217</v>
      </c>
      <c r="X1374" s="320">
        <v>55.39</v>
      </c>
      <c r="Y1374" s="320">
        <v>96.0</v>
      </c>
      <c r="Z1374" s="320">
        <v>331.0</v>
      </c>
      <c r="AA1374" s="320">
        <v>1005.0</v>
      </c>
      <c r="AB1374" s="320">
        <v>57.74</v>
      </c>
      <c r="AC1374" s="320">
        <v>0.7606</v>
      </c>
      <c r="AD1374" s="320">
        <v>36.03</v>
      </c>
      <c r="AE1374" s="320">
        <v>11.0</v>
      </c>
      <c r="AF1374" s="320">
        <v>27.0</v>
      </c>
      <c r="AG1374" s="320">
        <v>51.0</v>
      </c>
      <c r="AH1374" s="320">
        <v>79.0</v>
      </c>
      <c r="AI1374" s="320">
        <v>48.83</v>
      </c>
      <c r="AJ1374" s="320">
        <v>18.45</v>
      </c>
      <c r="AK1374" s="320">
        <v>4.92</v>
      </c>
      <c r="AL1374" s="320">
        <v>0.1905</v>
      </c>
      <c r="AM1374" s="320">
        <v>22.65</v>
      </c>
      <c r="AN1374" s="320">
        <v>564.21</v>
      </c>
      <c r="AO1374" s="320">
        <v>73.32</v>
      </c>
      <c r="AP1374" s="320">
        <v>16.61</v>
      </c>
    </row>
    <row r="1375">
      <c r="A1375" s="319" t="s">
        <v>258</v>
      </c>
      <c r="B1375" s="328">
        <v>46158.0</v>
      </c>
      <c r="C1375" s="319" t="s">
        <v>218</v>
      </c>
      <c r="D1375" s="320">
        <v>312.0</v>
      </c>
      <c r="E1375" s="320">
        <v>0.45</v>
      </c>
      <c r="F1375" s="320">
        <v>3317.22</v>
      </c>
      <c r="G1375" s="320">
        <v>10.6321</v>
      </c>
      <c r="H1375" s="320">
        <v>48.08</v>
      </c>
      <c r="I1375" s="320">
        <v>22.1148</v>
      </c>
      <c r="J1375" s="320">
        <v>230.49</v>
      </c>
      <c r="K1375" s="320">
        <v>153.12</v>
      </c>
      <c r="L1375" s="320">
        <v>123.6</v>
      </c>
      <c r="M1375" s="320">
        <v>0.8072</v>
      </c>
      <c r="N1375" s="320">
        <v>0.2766</v>
      </c>
      <c r="O1375" s="320">
        <v>0.1657</v>
      </c>
      <c r="P1375" s="320">
        <v>1.2389</v>
      </c>
      <c r="Q1375" s="320">
        <v>1214.69</v>
      </c>
      <c r="R1375" s="320">
        <v>998.19</v>
      </c>
      <c r="S1375" s="320">
        <v>216.51</v>
      </c>
      <c r="T1375" s="320">
        <v>646.78</v>
      </c>
      <c r="U1375" s="320">
        <v>567.91</v>
      </c>
      <c r="V1375" s="320">
        <v>1307.37</v>
      </c>
      <c r="W1375" s="320">
        <v>8.5381</v>
      </c>
      <c r="X1375" s="320">
        <v>53.25</v>
      </c>
      <c r="Y1375" s="320">
        <v>134.0</v>
      </c>
      <c r="Z1375" s="320">
        <v>490.0</v>
      </c>
      <c r="AA1375" s="320">
        <v>2070.0</v>
      </c>
      <c r="AB1375" s="320">
        <v>61.4274</v>
      </c>
      <c r="AC1375" s="320">
        <v>0.8325</v>
      </c>
      <c r="AD1375" s="320">
        <v>82.95</v>
      </c>
      <c r="AE1375" s="320">
        <v>29.0</v>
      </c>
      <c r="AF1375" s="320">
        <v>67.0</v>
      </c>
      <c r="AG1375" s="320">
        <v>118.0</v>
      </c>
      <c r="AH1375" s="320">
        <v>166.0</v>
      </c>
      <c r="AI1375" s="320">
        <v>42.63</v>
      </c>
      <c r="AJ1375" s="320">
        <v>8.97</v>
      </c>
      <c r="AK1375" s="320">
        <v>2.24</v>
      </c>
      <c r="AL1375" s="320">
        <v>0.1923</v>
      </c>
      <c r="AM1375" s="320">
        <v>23.38</v>
      </c>
      <c r="AN1375" s="320">
        <v>974.8</v>
      </c>
      <c r="AO1375" s="320">
        <v>69.46</v>
      </c>
      <c r="AP1375" s="320">
        <v>16.24</v>
      </c>
    </row>
    <row r="1376">
      <c r="A1376" s="319" t="s">
        <v>258</v>
      </c>
      <c r="B1376" s="328">
        <v>46159.0</v>
      </c>
      <c r="C1376" s="319" t="s">
        <v>257</v>
      </c>
      <c r="D1376" s="320">
        <v>15728.0</v>
      </c>
      <c r="E1376" s="320">
        <v>22.4</v>
      </c>
      <c r="F1376" s="320">
        <v>70.17</v>
      </c>
      <c r="G1376" s="320">
        <v>0.0045</v>
      </c>
      <c r="H1376" s="320">
        <v>0.22</v>
      </c>
      <c r="I1376" s="320">
        <v>2.0049</v>
      </c>
      <c r="J1376" s="320">
        <v>7.12</v>
      </c>
      <c r="K1376" s="320">
        <v>3.33</v>
      </c>
      <c r="L1376" s="320">
        <v>0.05</v>
      </c>
      <c r="M1376" s="320">
        <v>0.0162</v>
      </c>
      <c r="N1376" s="320">
        <v>0.9845</v>
      </c>
      <c r="O1376" s="320">
        <v>0.7843</v>
      </c>
      <c r="P1376" s="320">
        <v>61.6584</v>
      </c>
      <c r="Q1376" s="320">
        <v>23.59</v>
      </c>
      <c r="R1376" s="320">
        <v>23.52</v>
      </c>
      <c r="S1376" s="320">
        <v>0.08</v>
      </c>
      <c r="T1376" s="320">
        <v>0.59</v>
      </c>
      <c r="U1376" s="320">
        <v>23.0</v>
      </c>
      <c r="V1376" s="320">
        <v>2.12</v>
      </c>
      <c r="W1376" s="320">
        <v>0.638</v>
      </c>
      <c r="X1376" s="320">
        <v>2.5</v>
      </c>
      <c r="Y1376" s="320">
        <v>133.0</v>
      </c>
      <c r="Z1376" s="320">
        <v>1094.0</v>
      </c>
      <c r="AA1376" s="320">
        <v>7677.0</v>
      </c>
      <c r="AB1376" s="320">
        <v>49.4606</v>
      </c>
      <c r="AC1376" s="320">
        <v>0.5115</v>
      </c>
      <c r="AD1376" s="329"/>
      <c r="AE1376" s="329"/>
      <c r="AF1376" s="329"/>
      <c r="AG1376" s="329"/>
      <c r="AH1376" s="329"/>
      <c r="AI1376" s="320">
        <v>0.0</v>
      </c>
      <c r="AJ1376" s="320">
        <v>0.0</v>
      </c>
      <c r="AK1376" s="320">
        <v>0.0</v>
      </c>
      <c r="AL1376" s="320">
        <v>0.2768</v>
      </c>
      <c r="AM1376" s="320">
        <v>17.44</v>
      </c>
      <c r="AN1376" s="320">
        <v>6.07</v>
      </c>
      <c r="AO1376" s="329"/>
      <c r="AP1376" s="329"/>
    </row>
    <row r="1377">
      <c r="A1377" s="319" t="s">
        <v>258</v>
      </c>
      <c r="B1377" s="328">
        <v>46159.0</v>
      </c>
      <c r="C1377" s="319" t="s">
        <v>214</v>
      </c>
      <c r="D1377" s="320">
        <v>30563.0</v>
      </c>
      <c r="E1377" s="320">
        <v>43.52</v>
      </c>
      <c r="F1377" s="320">
        <v>7515.78</v>
      </c>
      <c r="G1377" s="320">
        <v>0.2459</v>
      </c>
      <c r="H1377" s="320">
        <v>7.16</v>
      </c>
      <c r="I1377" s="320">
        <v>3.435</v>
      </c>
      <c r="J1377" s="320">
        <v>35.56</v>
      </c>
      <c r="K1377" s="320">
        <v>19.58</v>
      </c>
      <c r="L1377" s="320">
        <v>5.45</v>
      </c>
      <c r="M1377" s="320">
        <v>0.2785</v>
      </c>
      <c r="N1377" s="320">
        <v>0.7825</v>
      </c>
      <c r="O1377" s="320">
        <v>0.5231</v>
      </c>
      <c r="P1377" s="320">
        <v>3.5905</v>
      </c>
      <c r="Q1377" s="320">
        <v>66.62</v>
      </c>
      <c r="R1377" s="320">
        <v>57.3</v>
      </c>
      <c r="S1377" s="320">
        <v>9.33</v>
      </c>
      <c r="T1377" s="320">
        <v>17.55</v>
      </c>
      <c r="U1377" s="320">
        <v>49.08</v>
      </c>
      <c r="V1377" s="320">
        <v>74.6</v>
      </c>
      <c r="W1377" s="320">
        <v>3.8096</v>
      </c>
      <c r="X1377" s="320">
        <v>26.34</v>
      </c>
      <c r="Y1377" s="320">
        <v>84.0</v>
      </c>
      <c r="Z1377" s="320">
        <v>199.0</v>
      </c>
      <c r="AA1377" s="320">
        <v>884.0</v>
      </c>
      <c r="AB1377" s="320">
        <v>49.4696</v>
      </c>
      <c r="AC1377" s="320">
        <v>0.4457</v>
      </c>
      <c r="AD1377" s="320">
        <v>3.5</v>
      </c>
      <c r="AE1377" s="320">
        <v>1.0</v>
      </c>
      <c r="AF1377" s="320">
        <v>2.0</v>
      </c>
      <c r="AG1377" s="320">
        <v>4.0</v>
      </c>
      <c r="AH1377" s="320">
        <v>8.0</v>
      </c>
      <c r="AI1377" s="320">
        <v>66.46</v>
      </c>
      <c r="AJ1377" s="320">
        <v>24.37</v>
      </c>
      <c r="AK1377" s="320">
        <v>6.48</v>
      </c>
      <c r="AL1377" s="320">
        <v>0.2345</v>
      </c>
      <c r="AM1377" s="320">
        <v>22.05</v>
      </c>
      <c r="AN1377" s="320">
        <v>35.24</v>
      </c>
      <c r="AO1377" s="320">
        <v>67.54</v>
      </c>
      <c r="AP1377" s="320">
        <v>14.89</v>
      </c>
    </row>
    <row r="1378">
      <c r="A1378" s="319" t="s">
        <v>258</v>
      </c>
      <c r="B1378" s="328">
        <v>46159.0</v>
      </c>
      <c r="C1378" s="319" t="s">
        <v>215</v>
      </c>
      <c r="D1378" s="320">
        <v>13919.0</v>
      </c>
      <c r="E1378" s="320">
        <v>19.82</v>
      </c>
      <c r="F1378" s="320">
        <v>14782.0</v>
      </c>
      <c r="G1378" s="320">
        <v>1.062</v>
      </c>
      <c r="H1378" s="320">
        <v>22.39</v>
      </c>
      <c r="I1378" s="320">
        <v>4.7424</v>
      </c>
      <c r="J1378" s="320">
        <v>63.53</v>
      </c>
      <c r="K1378" s="320">
        <v>36.92</v>
      </c>
      <c r="L1378" s="320">
        <v>13.74</v>
      </c>
      <c r="M1378" s="320">
        <v>0.3723</v>
      </c>
      <c r="N1378" s="320">
        <v>0.6828</v>
      </c>
      <c r="O1378" s="320">
        <v>0.3852</v>
      </c>
      <c r="P1378" s="320">
        <v>2.6862</v>
      </c>
      <c r="Q1378" s="320">
        <v>155.16</v>
      </c>
      <c r="R1378" s="320">
        <v>131.54</v>
      </c>
      <c r="S1378" s="320">
        <v>23.62</v>
      </c>
      <c r="T1378" s="320">
        <v>71.47</v>
      </c>
      <c r="U1378" s="320">
        <v>83.69</v>
      </c>
      <c r="V1378" s="320">
        <v>171.0</v>
      </c>
      <c r="W1378" s="320">
        <v>4.6321</v>
      </c>
      <c r="X1378" s="320">
        <v>46.06</v>
      </c>
      <c r="Y1378" s="320">
        <v>80.0</v>
      </c>
      <c r="Z1378" s="320">
        <v>172.0</v>
      </c>
      <c r="AA1378" s="320">
        <v>562.0</v>
      </c>
      <c r="AB1378" s="320">
        <v>52.4239</v>
      </c>
      <c r="AC1378" s="320">
        <v>0.5454</v>
      </c>
      <c r="AD1378" s="320">
        <v>8.74</v>
      </c>
      <c r="AE1378" s="320">
        <v>3.0</v>
      </c>
      <c r="AF1378" s="320">
        <v>6.0</v>
      </c>
      <c r="AG1378" s="320">
        <v>12.0</v>
      </c>
      <c r="AH1378" s="320">
        <v>19.0</v>
      </c>
      <c r="AI1378" s="320">
        <v>52.85</v>
      </c>
      <c r="AJ1378" s="320">
        <v>24.49</v>
      </c>
      <c r="AK1378" s="320">
        <v>4.77</v>
      </c>
      <c r="AL1378" s="320">
        <v>0.2097</v>
      </c>
      <c r="AM1378" s="320">
        <v>22.3</v>
      </c>
      <c r="AN1378" s="320">
        <v>109.24</v>
      </c>
      <c r="AO1378" s="320">
        <v>73.5</v>
      </c>
      <c r="AP1378" s="320">
        <v>16.39</v>
      </c>
    </row>
    <row r="1379">
      <c r="A1379" s="319" t="s">
        <v>258</v>
      </c>
      <c r="B1379" s="328">
        <v>46159.0</v>
      </c>
      <c r="C1379" s="319" t="s">
        <v>216</v>
      </c>
      <c r="D1379" s="320">
        <v>7106.0</v>
      </c>
      <c r="E1379" s="320">
        <v>10.12</v>
      </c>
      <c r="F1379" s="320">
        <v>19936.76</v>
      </c>
      <c r="G1379" s="320">
        <v>2.8056</v>
      </c>
      <c r="H1379" s="320">
        <v>35.76</v>
      </c>
      <c r="I1379" s="320">
        <v>7.846</v>
      </c>
      <c r="J1379" s="320">
        <v>87.0</v>
      </c>
      <c r="K1379" s="320">
        <v>52.19</v>
      </c>
      <c r="L1379" s="320">
        <v>26.26</v>
      </c>
      <c r="M1379" s="320">
        <v>0.5032</v>
      </c>
      <c r="N1379" s="320">
        <v>0.563</v>
      </c>
      <c r="O1379" s="320">
        <v>0.2975</v>
      </c>
      <c r="P1379" s="320">
        <v>1.9872</v>
      </c>
      <c r="Q1379" s="320">
        <v>310.59</v>
      </c>
      <c r="R1379" s="320">
        <v>264.81</v>
      </c>
      <c r="S1379" s="320">
        <v>45.79</v>
      </c>
      <c r="T1379" s="320">
        <v>180.39</v>
      </c>
      <c r="U1379" s="320">
        <v>130.2</v>
      </c>
      <c r="V1379" s="320">
        <v>336.13</v>
      </c>
      <c r="W1379" s="320">
        <v>6.4411</v>
      </c>
      <c r="X1379" s="320">
        <v>58.08</v>
      </c>
      <c r="Y1379" s="320">
        <v>80.0</v>
      </c>
      <c r="Z1379" s="320">
        <v>186.0</v>
      </c>
      <c r="AA1379" s="320">
        <v>620.0</v>
      </c>
      <c r="AB1379" s="320">
        <v>54.5149</v>
      </c>
      <c r="AC1379" s="320">
        <v>0.6595</v>
      </c>
      <c r="AD1379" s="320">
        <v>17.25</v>
      </c>
      <c r="AE1379" s="320">
        <v>6.0</v>
      </c>
      <c r="AF1379" s="320">
        <v>13.0</v>
      </c>
      <c r="AG1379" s="320">
        <v>25.0</v>
      </c>
      <c r="AH1379" s="320">
        <v>37.0</v>
      </c>
      <c r="AI1379" s="320">
        <v>55.19</v>
      </c>
      <c r="AJ1379" s="320">
        <v>23.19</v>
      </c>
      <c r="AK1379" s="320">
        <v>7.54</v>
      </c>
      <c r="AL1379" s="320">
        <v>0.2226</v>
      </c>
      <c r="AM1379" s="320">
        <v>21.72</v>
      </c>
      <c r="AN1379" s="320">
        <v>243.09</v>
      </c>
      <c r="AO1379" s="320">
        <v>73.25</v>
      </c>
      <c r="AP1379" s="320">
        <v>15.91</v>
      </c>
    </row>
    <row r="1380">
      <c r="A1380" s="319" t="s">
        <v>258</v>
      </c>
      <c r="B1380" s="328">
        <v>46159.0</v>
      </c>
      <c r="C1380" s="319" t="s">
        <v>217</v>
      </c>
      <c r="D1380" s="320">
        <v>2618.0</v>
      </c>
      <c r="E1380" s="320">
        <v>3.73</v>
      </c>
      <c r="F1380" s="320">
        <v>17197.63</v>
      </c>
      <c r="G1380" s="320">
        <v>6.569</v>
      </c>
      <c r="H1380" s="320">
        <v>45.26</v>
      </c>
      <c r="I1380" s="320">
        <v>14.5128</v>
      </c>
      <c r="J1380" s="320">
        <v>126.06</v>
      </c>
      <c r="K1380" s="320">
        <v>78.07</v>
      </c>
      <c r="L1380" s="320">
        <v>52.62</v>
      </c>
      <c r="M1380" s="320">
        <v>0.6741</v>
      </c>
      <c r="N1380" s="320">
        <v>0.41</v>
      </c>
      <c r="O1380" s="320">
        <v>0.2248</v>
      </c>
      <c r="P1380" s="320">
        <v>1.4836</v>
      </c>
      <c r="Q1380" s="320">
        <v>621.01</v>
      </c>
      <c r="R1380" s="320">
        <v>530.04</v>
      </c>
      <c r="S1380" s="320">
        <v>90.96</v>
      </c>
      <c r="T1380" s="320">
        <v>407.17</v>
      </c>
      <c r="U1380" s="320">
        <v>213.84</v>
      </c>
      <c r="V1380" s="320">
        <v>668.12</v>
      </c>
      <c r="W1380" s="320">
        <v>8.558</v>
      </c>
      <c r="X1380" s="320">
        <v>65.57</v>
      </c>
      <c r="Y1380" s="320">
        <v>94.0</v>
      </c>
      <c r="Z1380" s="320">
        <v>279.0</v>
      </c>
      <c r="AA1380" s="320">
        <v>967.0</v>
      </c>
      <c r="AB1380" s="320">
        <v>57.6966</v>
      </c>
      <c r="AC1380" s="320">
        <v>0.7664</v>
      </c>
      <c r="AD1380" s="320">
        <v>36.29</v>
      </c>
      <c r="AE1380" s="320">
        <v>12.0</v>
      </c>
      <c r="AF1380" s="320">
        <v>26.0</v>
      </c>
      <c r="AG1380" s="320">
        <v>51.0</v>
      </c>
      <c r="AH1380" s="320">
        <v>80.0</v>
      </c>
      <c r="AI1380" s="320">
        <v>48.93</v>
      </c>
      <c r="AJ1380" s="320">
        <v>19.56</v>
      </c>
      <c r="AK1380" s="320">
        <v>4.81</v>
      </c>
      <c r="AL1380" s="320">
        <v>0.1967</v>
      </c>
      <c r="AM1380" s="320">
        <v>21.11</v>
      </c>
      <c r="AN1380" s="320">
        <v>508.94</v>
      </c>
      <c r="AO1380" s="320">
        <v>72.72</v>
      </c>
      <c r="AP1380" s="320">
        <v>15.35</v>
      </c>
    </row>
    <row r="1381">
      <c r="A1381" s="319" t="s">
        <v>258</v>
      </c>
      <c r="B1381" s="328">
        <v>46159.0</v>
      </c>
      <c r="C1381" s="319" t="s">
        <v>218</v>
      </c>
      <c r="D1381" s="320">
        <v>286.0</v>
      </c>
      <c r="E1381" s="320">
        <v>0.41</v>
      </c>
      <c r="F1381" s="320">
        <v>3352.89</v>
      </c>
      <c r="G1381" s="320">
        <v>11.7234</v>
      </c>
      <c r="H1381" s="320">
        <v>52.45</v>
      </c>
      <c r="I1381" s="320">
        <v>22.3526</v>
      </c>
      <c r="J1381" s="320">
        <v>246.13</v>
      </c>
      <c r="K1381" s="320">
        <v>161.06</v>
      </c>
      <c r="L1381" s="320">
        <v>126.05</v>
      </c>
      <c r="M1381" s="320">
        <v>0.7826</v>
      </c>
      <c r="N1381" s="320">
        <v>0.298</v>
      </c>
      <c r="O1381" s="320">
        <v>0.1697</v>
      </c>
      <c r="P1381" s="320">
        <v>1.2778</v>
      </c>
      <c r="Q1381" s="320">
        <v>1170.2</v>
      </c>
      <c r="R1381" s="320">
        <v>947.51</v>
      </c>
      <c r="S1381" s="320">
        <v>222.69</v>
      </c>
      <c r="T1381" s="320">
        <v>758.99</v>
      </c>
      <c r="U1381" s="320">
        <v>411.21</v>
      </c>
      <c r="V1381" s="320">
        <v>1419.76</v>
      </c>
      <c r="W1381" s="320">
        <v>8.8149</v>
      </c>
      <c r="X1381" s="320">
        <v>64.86</v>
      </c>
      <c r="Y1381" s="320">
        <v>99.0</v>
      </c>
      <c r="Z1381" s="320">
        <v>426.0</v>
      </c>
      <c r="AA1381" s="320">
        <v>1852.0</v>
      </c>
      <c r="AB1381" s="320">
        <v>61.2065</v>
      </c>
      <c r="AC1381" s="320">
        <v>0.8429</v>
      </c>
      <c r="AD1381" s="320">
        <v>80.78</v>
      </c>
      <c r="AE1381" s="320">
        <v>27.0</v>
      </c>
      <c r="AF1381" s="320">
        <v>63.0</v>
      </c>
      <c r="AG1381" s="320">
        <v>117.0</v>
      </c>
      <c r="AH1381" s="320">
        <v>156.0</v>
      </c>
      <c r="AI1381" s="320">
        <v>43.36</v>
      </c>
      <c r="AJ1381" s="320">
        <v>8.74</v>
      </c>
      <c r="AK1381" s="320">
        <v>1.75</v>
      </c>
      <c r="AL1381" s="320">
        <v>0.1399</v>
      </c>
      <c r="AM1381" s="320">
        <v>23.46</v>
      </c>
      <c r="AN1381" s="320">
        <v>924.05</v>
      </c>
      <c r="AO1381" s="320">
        <v>69.28</v>
      </c>
      <c r="AP1381" s="320">
        <v>16.25</v>
      </c>
    </row>
    <row r="1382">
      <c r="A1382" s="319" t="s">
        <v>258</v>
      </c>
      <c r="B1382" s="328">
        <v>46160.0</v>
      </c>
      <c r="C1382" s="319" t="s">
        <v>257</v>
      </c>
      <c r="D1382" s="320">
        <v>15025.0</v>
      </c>
      <c r="E1382" s="320">
        <v>20.55</v>
      </c>
      <c r="F1382" s="320">
        <v>169.58</v>
      </c>
      <c r="G1382" s="320">
        <v>0.0113</v>
      </c>
      <c r="H1382" s="320">
        <v>0.19</v>
      </c>
      <c r="I1382" s="320">
        <v>6.0564</v>
      </c>
      <c r="J1382" s="320">
        <v>5.96</v>
      </c>
      <c r="K1382" s="320">
        <v>2.7</v>
      </c>
      <c r="L1382" s="320">
        <v>0.07</v>
      </c>
      <c r="M1382" s="320">
        <v>0.0263</v>
      </c>
      <c r="N1382" s="320">
        <v>0.9774</v>
      </c>
      <c r="O1382" s="320">
        <v>0.7265</v>
      </c>
      <c r="P1382" s="320">
        <v>38.0817</v>
      </c>
      <c r="Q1382" s="320">
        <v>34.8</v>
      </c>
      <c r="R1382" s="320">
        <v>34.74</v>
      </c>
      <c r="S1382" s="320">
        <v>0.06</v>
      </c>
      <c r="T1382" s="320">
        <v>0.93</v>
      </c>
      <c r="U1382" s="320">
        <v>33.86</v>
      </c>
      <c r="V1382" s="320">
        <v>2.63</v>
      </c>
      <c r="W1382" s="320">
        <v>0.9727</v>
      </c>
      <c r="X1382" s="320">
        <v>2.68</v>
      </c>
      <c r="Y1382" s="320">
        <v>174.0</v>
      </c>
      <c r="Z1382" s="320">
        <v>1329.0</v>
      </c>
      <c r="AA1382" s="320">
        <v>8353.0</v>
      </c>
      <c r="AB1382" s="320">
        <v>49.6661</v>
      </c>
      <c r="AC1382" s="320">
        <v>0.5201</v>
      </c>
      <c r="AD1382" s="329"/>
      <c r="AE1382" s="329"/>
      <c r="AF1382" s="329"/>
      <c r="AG1382" s="329"/>
      <c r="AH1382" s="329"/>
      <c r="AI1382" s="320">
        <v>0.0</v>
      </c>
      <c r="AJ1382" s="320">
        <v>0.0</v>
      </c>
      <c r="AK1382" s="320">
        <v>0.0</v>
      </c>
      <c r="AL1382" s="320">
        <v>0.2746</v>
      </c>
      <c r="AM1382" s="320">
        <v>15.7</v>
      </c>
      <c r="AN1382" s="320">
        <v>19.04</v>
      </c>
      <c r="AO1382" s="329"/>
      <c r="AP1382" s="329"/>
    </row>
    <row r="1383">
      <c r="A1383" s="319" t="s">
        <v>258</v>
      </c>
      <c r="B1383" s="328">
        <v>46160.0</v>
      </c>
      <c r="C1383" s="319" t="s">
        <v>214</v>
      </c>
      <c r="D1383" s="320">
        <v>31924.0</v>
      </c>
      <c r="E1383" s="320">
        <v>43.67</v>
      </c>
      <c r="F1383" s="320">
        <v>5996.42</v>
      </c>
      <c r="G1383" s="320">
        <v>0.1878</v>
      </c>
      <c r="H1383" s="320">
        <v>5.87</v>
      </c>
      <c r="I1383" s="320">
        <v>3.2015</v>
      </c>
      <c r="J1383" s="320">
        <v>35.46</v>
      </c>
      <c r="K1383" s="320">
        <v>19.23</v>
      </c>
      <c r="L1383" s="320">
        <v>5.53</v>
      </c>
      <c r="M1383" s="320">
        <v>0.2876</v>
      </c>
      <c r="N1383" s="320">
        <v>0.7796</v>
      </c>
      <c r="O1383" s="320">
        <v>0.5367</v>
      </c>
      <c r="P1383" s="320">
        <v>3.4771</v>
      </c>
      <c r="Q1383" s="320">
        <v>95.55</v>
      </c>
      <c r="R1383" s="320">
        <v>85.39</v>
      </c>
      <c r="S1383" s="320">
        <v>10.17</v>
      </c>
      <c r="T1383" s="320">
        <v>14.31</v>
      </c>
      <c r="U1383" s="320">
        <v>81.24</v>
      </c>
      <c r="V1383" s="320">
        <v>86.32</v>
      </c>
      <c r="W1383" s="320">
        <v>4.4891</v>
      </c>
      <c r="X1383" s="320">
        <v>14.98</v>
      </c>
      <c r="Y1383" s="320">
        <v>90.0</v>
      </c>
      <c r="Z1383" s="320">
        <v>218.0</v>
      </c>
      <c r="AA1383" s="320">
        <v>841.0</v>
      </c>
      <c r="AB1383" s="320">
        <v>49.4334</v>
      </c>
      <c r="AC1383" s="320">
        <v>0.4336</v>
      </c>
      <c r="AD1383" s="320">
        <v>3.51</v>
      </c>
      <c r="AE1383" s="320">
        <v>1.0</v>
      </c>
      <c r="AF1383" s="320">
        <v>2.0</v>
      </c>
      <c r="AG1383" s="320">
        <v>4.0</v>
      </c>
      <c r="AH1383" s="320">
        <v>8.0</v>
      </c>
      <c r="AI1383" s="320">
        <v>67.94</v>
      </c>
      <c r="AJ1383" s="320">
        <v>24.27</v>
      </c>
      <c r="AK1383" s="320">
        <v>6.39</v>
      </c>
      <c r="AL1383" s="320">
        <v>0.2059</v>
      </c>
      <c r="AM1383" s="320">
        <v>18.94</v>
      </c>
      <c r="AN1383" s="320">
        <v>66.44</v>
      </c>
      <c r="AO1383" s="320">
        <v>67.85</v>
      </c>
      <c r="AP1383" s="320">
        <v>12.85</v>
      </c>
    </row>
    <row r="1384">
      <c r="A1384" s="319" t="s">
        <v>258</v>
      </c>
      <c r="B1384" s="328">
        <v>46160.0</v>
      </c>
      <c r="C1384" s="319" t="s">
        <v>215</v>
      </c>
      <c r="D1384" s="320">
        <v>15172.0</v>
      </c>
      <c r="E1384" s="320">
        <v>20.75</v>
      </c>
      <c r="F1384" s="320">
        <v>16129.15</v>
      </c>
      <c r="G1384" s="320">
        <v>1.0631</v>
      </c>
      <c r="H1384" s="320">
        <v>21.23</v>
      </c>
      <c r="I1384" s="320">
        <v>5.0075</v>
      </c>
      <c r="J1384" s="320">
        <v>65.36</v>
      </c>
      <c r="K1384" s="320">
        <v>37.58</v>
      </c>
      <c r="L1384" s="320">
        <v>14.73</v>
      </c>
      <c r="M1384" s="320">
        <v>0.392</v>
      </c>
      <c r="N1384" s="320">
        <v>0.6702</v>
      </c>
      <c r="O1384" s="320">
        <v>0.3904</v>
      </c>
      <c r="P1384" s="320">
        <v>2.5507</v>
      </c>
      <c r="Q1384" s="320">
        <v>211.31</v>
      </c>
      <c r="R1384" s="320">
        <v>185.21</v>
      </c>
      <c r="S1384" s="320">
        <v>26.1</v>
      </c>
      <c r="T1384" s="320">
        <v>71.66</v>
      </c>
      <c r="U1384" s="320">
        <v>139.65</v>
      </c>
      <c r="V1384" s="320">
        <v>205.33</v>
      </c>
      <c r="W1384" s="320">
        <v>5.4639</v>
      </c>
      <c r="X1384" s="320">
        <v>33.91</v>
      </c>
      <c r="Y1384" s="320">
        <v>85.0</v>
      </c>
      <c r="Z1384" s="320">
        <v>199.0</v>
      </c>
      <c r="AA1384" s="320">
        <v>611.0</v>
      </c>
      <c r="AB1384" s="320">
        <v>52.2292</v>
      </c>
      <c r="AC1384" s="320">
        <v>0.4995</v>
      </c>
      <c r="AD1384" s="320">
        <v>8.94</v>
      </c>
      <c r="AE1384" s="320">
        <v>3.0</v>
      </c>
      <c r="AF1384" s="320">
        <v>6.0</v>
      </c>
      <c r="AG1384" s="320">
        <v>12.0</v>
      </c>
      <c r="AH1384" s="320">
        <v>20.0</v>
      </c>
      <c r="AI1384" s="320">
        <v>53.91</v>
      </c>
      <c r="AJ1384" s="320">
        <v>24.92</v>
      </c>
      <c r="AK1384" s="320">
        <v>5.18</v>
      </c>
      <c r="AL1384" s="320">
        <v>0.1696</v>
      </c>
      <c r="AM1384" s="320">
        <v>19.49</v>
      </c>
      <c r="AN1384" s="320">
        <v>165.72</v>
      </c>
      <c r="AO1384" s="320">
        <v>72.15</v>
      </c>
      <c r="AP1384" s="320">
        <v>14.06</v>
      </c>
    </row>
    <row r="1385">
      <c r="A1385" s="319" t="s">
        <v>258</v>
      </c>
      <c r="B1385" s="328">
        <v>46160.0</v>
      </c>
      <c r="C1385" s="319" t="s">
        <v>216</v>
      </c>
      <c r="D1385" s="320">
        <v>7779.0</v>
      </c>
      <c r="E1385" s="320">
        <v>10.64</v>
      </c>
      <c r="F1385" s="320">
        <v>21049.53</v>
      </c>
      <c r="G1385" s="320">
        <v>2.7059</v>
      </c>
      <c r="H1385" s="320">
        <v>33.73</v>
      </c>
      <c r="I1385" s="320">
        <v>8.0219</v>
      </c>
      <c r="J1385" s="320">
        <v>89.77</v>
      </c>
      <c r="K1385" s="320">
        <v>53.19</v>
      </c>
      <c r="L1385" s="320">
        <v>28.91</v>
      </c>
      <c r="M1385" s="320">
        <v>0.5434</v>
      </c>
      <c r="N1385" s="320">
        <v>0.5317</v>
      </c>
      <c r="O1385" s="320">
        <v>0.2884</v>
      </c>
      <c r="P1385" s="320">
        <v>1.8401</v>
      </c>
      <c r="Q1385" s="320">
        <v>391.88</v>
      </c>
      <c r="R1385" s="320">
        <v>340.12</v>
      </c>
      <c r="S1385" s="320">
        <v>51.76</v>
      </c>
      <c r="T1385" s="320">
        <v>174.5</v>
      </c>
      <c r="U1385" s="320">
        <v>217.38</v>
      </c>
      <c r="V1385" s="320">
        <v>396.82</v>
      </c>
      <c r="W1385" s="320">
        <v>7.4606</v>
      </c>
      <c r="X1385" s="320">
        <v>44.53</v>
      </c>
      <c r="Y1385" s="320">
        <v>90.0</v>
      </c>
      <c r="Z1385" s="320">
        <v>232.0</v>
      </c>
      <c r="AA1385" s="320">
        <v>747.0</v>
      </c>
      <c r="AB1385" s="320">
        <v>54.5249</v>
      </c>
      <c r="AC1385" s="320">
        <v>0.6012</v>
      </c>
      <c r="AD1385" s="320">
        <v>18.16</v>
      </c>
      <c r="AE1385" s="320">
        <v>6.0</v>
      </c>
      <c r="AF1385" s="320">
        <v>14.0</v>
      </c>
      <c r="AG1385" s="320">
        <v>26.0</v>
      </c>
      <c r="AH1385" s="320">
        <v>38.0</v>
      </c>
      <c r="AI1385" s="320">
        <v>58.93</v>
      </c>
      <c r="AJ1385" s="320">
        <v>25.9</v>
      </c>
      <c r="AK1385" s="320">
        <v>7.01</v>
      </c>
      <c r="AL1385" s="320">
        <v>0.184</v>
      </c>
      <c r="AM1385" s="320">
        <v>19.85</v>
      </c>
      <c r="AN1385" s="320">
        <v>320.28</v>
      </c>
      <c r="AO1385" s="320">
        <v>69.73</v>
      </c>
      <c r="AP1385" s="320">
        <v>13.84</v>
      </c>
    </row>
    <row r="1386">
      <c r="A1386" s="319" t="s">
        <v>258</v>
      </c>
      <c r="B1386" s="328">
        <v>46160.0</v>
      </c>
      <c r="C1386" s="319" t="s">
        <v>217</v>
      </c>
      <c r="D1386" s="320">
        <v>2910.0</v>
      </c>
      <c r="E1386" s="320">
        <v>3.98</v>
      </c>
      <c r="F1386" s="320">
        <v>18696.93</v>
      </c>
      <c r="G1386" s="320">
        <v>6.4251</v>
      </c>
      <c r="H1386" s="320">
        <v>45.67</v>
      </c>
      <c r="I1386" s="320">
        <v>14.0684</v>
      </c>
      <c r="J1386" s="320">
        <v>138.33</v>
      </c>
      <c r="K1386" s="320">
        <v>84.47</v>
      </c>
      <c r="L1386" s="320">
        <v>58.49</v>
      </c>
      <c r="M1386" s="320">
        <v>0.6924</v>
      </c>
      <c r="N1386" s="320">
        <v>0.399</v>
      </c>
      <c r="O1386" s="320">
        <v>0.2281</v>
      </c>
      <c r="P1386" s="320">
        <v>1.4442</v>
      </c>
      <c r="Q1386" s="320">
        <v>774.27</v>
      </c>
      <c r="R1386" s="320">
        <v>672.45</v>
      </c>
      <c r="S1386" s="320">
        <v>101.82</v>
      </c>
      <c r="T1386" s="320">
        <v>410.62</v>
      </c>
      <c r="U1386" s="320">
        <v>363.65</v>
      </c>
      <c r="V1386" s="320">
        <v>809.05</v>
      </c>
      <c r="W1386" s="320">
        <v>9.5776</v>
      </c>
      <c r="X1386" s="320">
        <v>53.03</v>
      </c>
      <c r="Y1386" s="320">
        <v>101.0</v>
      </c>
      <c r="Z1386" s="320">
        <v>340.0</v>
      </c>
      <c r="AA1386" s="320">
        <v>1176.0</v>
      </c>
      <c r="AB1386" s="320">
        <v>57.6275</v>
      </c>
      <c r="AC1386" s="320">
        <v>0.6847</v>
      </c>
      <c r="AD1386" s="320">
        <v>36.75</v>
      </c>
      <c r="AE1386" s="320">
        <v>14.0</v>
      </c>
      <c r="AF1386" s="320">
        <v>30.0</v>
      </c>
      <c r="AG1386" s="320">
        <v>49.0</v>
      </c>
      <c r="AH1386" s="320">
        <v>76.0</v>
      </c>
      <c r="AI1386" s="320">
        <v>53.44</v>
      </c>
      <c r="AJ1386" s="320">
        <v>18.56</v>
      </c>
      <c r="AK1386" s="320">
        <v>4.81</v>
      </c>
      <c r="AL1386" s="320">
        <v>0.1639</v>
      </c>
      <c r="AM1386" s="320">
        <v>20.02</v>
      </c>
      <c r="AN1386" s="320">
        <v>652.43</v>
      </c>
      <c r="AO1386" s="320">
        <v>67.34</v>
      </c>
      <c r="AP1386" s="320">
        <v>13.48</v>
      </c>
    </row>
    <row r="1387">
      <c r="A1387" s="319" t="s">
        <v>258</v>
      </c>
      <c r="B1387" s="328">
        <v>46160.0</v>
      </c>
      <c r="C1387" s="319" t="s">
        <v>218</v>
      </c>
      <c r="D1387" s="320">
        <v>300.0</v>
      </c>
      <c r="E1387" s="320">
        <v>0.41</v>
      </c>
      <c r="F1387" s="320">
        <v>3388.24</v>
      </c>
      <c r="G1387" s="320">
        <v>11.2941</v>
      </c>
      <c r="H1387" s="320">
        <v>51.0</v>
      </c>
      <c r="I1387" s="320">
        <v>22.1454</v>
      </c>
      <c r="J1387" s="320">
        <v>251.19</v>
      </c>
      <c r="K1387" s="320">
        <v>157.96</v>
      </c>
      <c r="L1387" s="320">
        <v>126.44</v>
      </c>
      <c r="M1387" s="320">
        <v>0.8005</v>
      </c>
      <c r="N1387" s="320">
        <v>0.2838</v>
      </c>
      <c r="O1387" s="320">
        <v>0.1703</v>
      </c>
      <c r="P1387" s="320">
        <v>1.2493</v>
      </c>
      <c r="Q1387" s="320">
        <v>1359.33</v>
      </c>
      <c r="R1387" s="320">
        <v>1118.13</v>
      </c>
      <c r="S1387" s="320">
        <v>241.2</v>
      </c>
      <c r="T1387" s="320">
        <v>710.65</v>
      </c>
      <c r="U1387" s="320">
        <v>648.68</v>
      </c>
      <c r="V1387" s="320">
        <v>1362.5</v>
      </c>
      <c r="W1387" s="320">
        <v>8.6258</v>
      </c>
      <c r="X1387" s="320">
        <v>52.28</v>
      </c>
      <c r="Y1387" s="320">
        <v>135.0</v>
      </c>
      <c r="Z1387" s="320">
        <v>637.0</v>
      </c>
      <c r="AA1387" s="320">
        <v>1848.0</v>
      </c>
      <c r="AB1387" s="320">
        <v>61.4446</v>
      </c>
      <c r="AC1387" s="320">
        <v>0.83</v>
      </c>
      <c r="AD1387" s="320">
        <v>84.17</v>
      </c>
      <c r="AE1387" s="320">
        <v>31.0</v>
      </c>
      <c r="AF1387" s="320">
        <v>67.0</v>
      </c>
      <c r="AG1387" s="320">
        <v>122.0</v>
      </c>
      <c r="AH1387" s="320">
        <v>177.0</v>
      </c>
      <c r="AI1387" s="320">
        <v>44.0</v>
      </c>
      <c r="AJ1387" s="320">
        <v>11.0</v>
      </c>
      <c r="AK1387" s="320">
        <v>1.33</v>
      </c>
      <c r="AL1387" s="320">
        <v>0.1533</v>
      </c>
      <c r="AM1387" s="320">
        <v>20.15</v>
      </c>
      <c r="AN1387" s="320">
        <v>1097.98</v>
      </c>
      <c r="AO1387" s="320">
        <v>69.95</v>
      </c>
      <c r="AP1387" s="320">
        <v>14.09</v>
      </c>
    </row>
    <row r="1388">
      <c r="A1388" s="319" t="s">
        <v>258</v>
      </c>
      <c r="B1388" s="328">
        <v>46161.0</v>
      </c>
      <c r="C1388" s="319" t="s">
        <v>257</v>
      </c>
      <c r="D1388" s="320">
        <v>16198.0</v>
      </c>
      <c r="E1388" s="320">
        <v>22.2</v>
      </c>
      <c r="F1388" s="320">
        <v>256.58</v>
      </c>
      <c r="G1388" s="320">
        <v>0.0158</v>
      </c>
      <c r="H1388" s="320">
        <v>0.17</v>
      </c>
      <c r="I1388" s="320">
        <v>9.503</v>
      </c>
      <c r="J1388" s="320">
        <v>6.61</v>
      </c>
      <c r="K1388" s="320">
        <v>3.07</v>
      </c>
      <c r="L1388" s="320">
        <v>0.04</v>
      </c>
      <c r="M1388" s="320">
        <v>0.0132</v>
      </c>
      <c r="N1388" s="320">
        <v>0.9884</v>
      </c>
      <c r="O1388" s="320">
        <v>0.8298</v>
      </c>
      <c r="P1388" s="320">
        <v>76.0322</v>
      </c>
      <c r="Q1388" s="320">
        <v>25.94</v>
      </c>
      <c r="R1388" s="320">
        <v>25.89</v>
      </c>
      <c r="S1388" s="320">
        <v>0.05</v>
      </c>
      <c r="T1388" s="320">
        <v>1.11</v>
      </c>
      <c r="U1388" s="320">
        <v>24.82</v>
      </c>
      <c r="V1388" s="320">
        <v>2.71</v>
      </c>
      <c r="W1388" s="320">
        <v>0.8852</v>
      </c>
      <c r="X1388" s="320">
        <v>4.3</v>
      </c>
      <c r="Y1388" s="320">
        <v>151.0</v>
      </c>
      <c r="Z1388" s="320">
        <v>1088.0</v>
      </c>
      <c r="AA1388" s="320">
        <v>7634.0</v>
      </c>
      <c r="AB1388" s="320">
        <v>49.3746</v>
      </c>
      <c r="AC1388" s="320">
        <v>0.5019</v>
      </c>
      <c r="AD1388" s="329"/>
      <c r="AE1388" s="329"/>
      <c r="AF1388" s="329"/>
      <c r="AG1388" s="329"/>
      <c r="AH1388" s="329"/>
      <c r="AI1388" s="320">
        <v>0.0</v>
      </c>
      <c r="AJ1388" s="320">
        <v>0.0</v>
      </c>
      <c r="AK1388" s="320">
        <v>0.0</v>
      </c>
      <c r="AL1388" s="320">
        <v>0.2582</v>
      </c>
      <c r="AM1388" s="320">
        <v>14.29</v>
      </c>
      <c r="AN1388" s="320">
        <v>11.6</v>
      </c>
      <c r="AO1388" s="329"/>
      <c r="AP1388" s="329"/>
    </row>
    <row r="1389">
      <c r="A1389" s="319" t="s">
        <v>258</v>
      </c>
      <c r="B1389" s="328">
        <v>46161.0</v>
      </c>
      <c r="C1389" s="319" t="s">
        <v>214</v>
      </c>
      <c r="D1389" s="320">
        <v>31384.0</v>
      </c>
      <c r="E1389" s="320">
        <v>43.01</v>
      </c>
      <c r="F1389" s="320">
        <v>6716.59</v>
      </c>
      <c r="G1389" s="320">
        <v>0.214</v>
      </c>
      <c r="H1389" s="320">
        <v>6.5</v>
      </c>
      <c r="I1389" s="320">
        <v>3.2941</v>
      </c>
      <c r="J1389" s="320">
        <v>29.94</v>
      </c>
      <c r="K1389" s="320">
        <v>16.04</v>
      </c>
      <c r="L1389" s="320">
        <v>5.06</v>
      </c>
      <c r="M1389" s="320">
        <v>0.3156</v>
      </c>
      <c r="N1389" s="320">
        <v>0.7586</v>
      </c>
      <c r="O1389" s="320">
        <v>0.5234</v>
      </c>
      <c r="P1389" s="320">
        <v>3.1685</v>
      </c>
      <c r="Q1389" s="320">
        <v>71.34</v>
      </c>
      <c r="R1389" s="320">
        <v>61.38</v>
      </c>
      <c r="S1389" s="320">
        <v>9.96</v>
      </c>
      <c r="T1389" s="320">
        <v>15.87</v>
      </c>
      <c r="U1389" s="320">
        <v>55.47</v>
      </c>
      <c r="V1389" s="320">
        <v>75.71</v>
      </c>
      <c r="W1389" s="320">
        <v>4.7209</v>
      </c>
      <c r="X1389" s="320">
        <v>22.24</v>
      </c>
      <c r="Y1389" s="320">
        <v>89.0</v>
      </c>
      <c r="Z1389" s="320">
        <v>217.0</v>
      </c>
      <c r="AA1389" s="320">
        <v>879.0</v>
      </c>
      <c r="AB1389" s="320">
        <v>49.4741</v>
      </c>
      <c r="AC1389" s="320">
        <v>0.4383</v>
      </c>
      <c r="AD1389" s="320">
        <v>3.46</v>
      </c>
      <c r="AE1389" s="320">
        <v>1.0</v>
      </c>
      <c r="AF1389" s="320">
        <v>2.0</v>
      </c>
      <c r="AG1389" s="320">
        <v>4.0</v>
      </c>
      <c r="AH1389" s="320">
        <v>8.0</v>
      </c>
      <c r="AI1389" s="320">
        <v>65.06</v>
      </c>
      <c r="AJ1389" s="320">
        <v>23.45</v>
      </c>
      <c r="AK1389" s="320">
        <v>6.83</v>
      </c>
      <c r="AL1389" s="320">
        <v>0.207</v>
      </c>
      <c r="AM1389" s="320">
        <v>18.65</v>
      </c>
      <c r="AN1389" s="320">
        <v>42.73</v>
      </c>
      <c r="AO1389" s="320">
        <v>67.5</v>
      </c>
      <c r="AP1389" s="320">
        <v>12.59</v>
      </c>
    </row>
    <row r="1390">
      <c r="A1390" s="319" t="s">
        <v>258</v>
      </c>
      <c r="B1390" s="328">
        <v>46161.0</v>
      </c>
      <c r="C1390" s="319" t="s">
        <v>215</v>
      </c>
      <c r="D1390" s="320">
        <v>15208.0</v>
      </c>
      <c r="E1390" s="320">
        <v>20.84</v>
      </c>
      <c r="F1390" s="320">
        <v>16902.65</v>
      </c>
      <c r="G1390" s="320">
        <v>1.1114</v>
      </c>
      <c r="H1390" s="320">
        <v>22.01</v>
      </c>
      <c r="I1390" s="320">
        <v>5.0486</v>
      </c>
      <c r="J1390" s="320">
        <v>57.1</v>
      </c>
      <c r="K1390" s="320">
        <v>32.56</v>
      </c>
      <c r="L1390" s="320">
        <v>13.82</v>
      </c>
      <c r="M1390" s="320">
        <v>0.4245</v>
      </c>
      <c r="N1390" s="320">
        <v>0.6422</v>
      </c>
      <c r="O1390" s="320">
        <v>0.3685</v>
      </c>
      <c r="P1390" s="320">
        <v>2.3556</v>
      </c>
      <c r="Q1390" s="320">
        <v>181.41</v>
      </c>
      <c r="R1390" s="320">
        <v>154.44</v>
      </c>
      <c r="S1390" s="320">
        <v>26.97</v>
      </c>
      <c r="T1390" s="320">
        <v>75.86</v>
      </c>
      <c r="U1390" s="320">
        <v>105.55</v>
      </c>
      <c r="V1390" s="320">
        <v>189.18</v>
      </c>
      <c r="W1390" s="320">
        <v>5.8101</v>
      </c>
      <c r="X1390" s="320">
        <v>41.82</v>
      </c>
      <c r="Y1390" s="320">
        <v>84.0</v>
      </c>
      <c r="Z1390" s="320">
        <v>191.0</v>
      </c>
      <c r="AA1390" s="320">
        <v>637.0</v>
      </c>
      <c r="AB1390" s="320">
        <v>52.4388</v>
      </c>
      <c r="AC1390" s="320">
        <v>0.5083</v>
      </c>
      <c r="AD1390" s="320">
        <v>8.94</v>
      </c>
      <c r="AE1390" s="320">
        <v>3.0</v>
      </c>
      <c r="AF1390" s="320">
        <v>6.0</v>
      </c>
      <c r="AG1390" s="320">
        <v>12.0</v>
      </c>
      <c r="AH1390" s="320">
        <v>20.0</v>
      </c>
      <c r="AI1390" s="320">
        <v>53.69</v>
      </c>
      <c r="AJ1390" s="320">
        <v>25.12</v>
      </c>
      <c r="AK1390" s="320">
        <v>5.04</v>
      </c>
      <c r="AL1390" s="320">
        <v>0.1692</v>
      </c>
      <c r="AM1390" s="320">
        <v>19.32</v>
      </c>
      <c r="AN1390" s="320">
        <v>135.12</v>
      </c>
      <c r="AO1390" s="320">
        <v>72.32</v>
      </c>
      <c r="AP1390" s="320">
        <v>13.97</v>
      </c>
    </row>
    <row r="1391">
      <c r="A1391" s="319" t="s">
        <v>258</v>
      </c>
      <c r="B1391" s="328">
        <v>46161.0</v>
      </c>
      <c r="C1391" s="319" t="s">
        <v>216</v>
      </c>
      <c r="D1391" s="320">
        <v>7371.0</v>
      </c>
      <c r="E1391" s="320">
        <v>10.1</v>
      </c>
      <c r="F1391" s="320">
        <v>20620.13</v>
      </c>
      <c r="G1391" s="320">
        <v>2.7975</v>
      </c>
      <c r="H1391" s="320">
        <v>34.69</v>
      </c>
      <c r="I1391" s="320">
        <v>8.0642</v>
      </c>
      <c r="J1391" s="320">
        <v>80.43</v>
      </c>
      <c r="K1391" s="320">
        <v>47.42</v>
      </c>
      <c r="L1391" s="320">
        <v>27.29</v>
      </c>
      <c r="M1391" s="320">
        <v>0.5754</v>
      </c>
      <c r="N1391" s="320">
        <v>0.5031</v>
      </c>
      <c r="O1391" s="320">
        <v>0.2736</v>
      </c>
      <c r="P1391" s="320">
        <v>1.7378</v>
      </c>
      <c r="Q1391" s="320">
        <v>361.93</v>
      </c>
      <c r="R1391" s="320">
        <v>311.3</v>
      </c>
      <c r="S1391" s="320">
        <v>50.64</v>
      </c>
      <c r="T1391" s="320">
        <v>182.18</v>
      </c>
      <c r="U1391" s="320">
        <v>179.75</v>
      </c>
      <c r="V1391" s="320">
        <v>372.17</v>
      </c>
      <c r="W1391" s="320">
        <v>7.8486</v>
      </c>
      <c r="X1391" s="320">
        <v>50.34</v>
      </c>
      <c r="Y1391" s="320">
        <v>91.0</v>
      </c>
      <c r="Z1391" s="320">
        <v>261.0</v>
      </c>
      <c r="AA1391" s="320">
        <v>813.0</v>
      </c>
      <c r="AB1391" s="320">
        <v>54.7246</v>
      </c>
      <c r="AC1391" s="320">
        <v>0.6181</v>
      </c>
      <c r="AD1391" s="320">
        <v>17.2</v>
      </c>
      <c r="AE1391" s="320">
        <v>6.0</v>
      </c>
      <c r="AF1391" s="320">
        <v>13.0</v>
      </c>
      <c r="AG1391" s="320">
        <v>25.0</v>
      </c>
      <c r="AH1391" s="320">
        <v>37.0</v>
      </c>
      <c r="AI1391" s="320">
        <v>56.52</v>
      </c>
      <c r="AJ1391" s="320">
        <v>23.4</v>
      </c>
      <c r="AK1391" s="320">
        <v>7.24</v>
      </c>
      <c r="AL1391" s="320">
        <v>0.1718</v>
      </c>
      <c r="AM1391" s="320">
        <v>19.28</v>
      </c>
      <c r="AN1391" s="320">
        <v>292.01</v>
      </c>
      <c r="AO1391" s="320">
        <v>70.92</v>
      </c>
      <c r="AP1391" s="320">
        <v>13.67</v>
      </c>
    </row>
    <row r="1392">
      <c r="A1392" s="319" t="s">
        <v>258</v>
      </c>
      <c r="B1392" s="328">
        <v>46161.0</v>
      </c>
      <c r="C1392" s="319" t="s">
        <v>217</v>
      </c>
      <c r="D1392" s="320">
        <v>2548.0</v>
      </c>
      <c r="E1392" s="320">
        <v>3.49</v>
      </c>
      <c r="F1392" s="320">
        <v>14446.21</v>
      </c>
      <c r="G1392" s="320">
        <v>5.6696</v>
      </c>
      <c r="H1392" s="320">
        <v>43.76</v>
      </c>
      <c r="I1392" s="320">
        <v>12.9562</v>
      </c>
      <c r="J1392" s="320">
        <v>123.35</v>
      </c>
      <c r="K1392" s="320">
        <v>76.57</v>
      </c>
      <c r="L1392" s="320">
        <v>52.93</v>
      </c>
      <c r="M1392" s="320">
        <v>0.6913</v>
      </c>
      <c r="N1392" s="320">
        <v>0.3975</v>
      </c>
      <c r="O1392" s="320">
        <v>0.2236</v>
      </c>
      <c r="P1392" s="320">
        <v>1.4465</v>
      </c>
      <c r="Q1392" s="320">
        <v>687.91</v>
      </c>
      <c r="R1392" s="320">
        <v>582.96</v>
      </c>
      <c r="S1392" s="320">
        <v>104.95</v>
      </c>
      <c r="T1392" s="320">
        <v>365.62</v>
      </c>
      <c r="U1392" s="320">
        <v>322.29</v>
      </c>
      <c r="V1392" s="320">
        <v>711.66</v>
      </c>
      <c r="W1392" s="320">
        <v>9.2943</v>
      </c>
      <c r="X1392" s="320">
        <v>53.15</v>
      </c>
      <c r="Y1392" s="320">
        <v>99.0</v>
      </c>
      <c r="Z1392" s="320">
        <v>334.0</v>
      </c>
      <c r="AA1392" s="320">
        <v>910.0</v>
      </c>
      <c r="AB1392" s="320">
        <v>58.1508</v>
      </c>
      <c r="AC1392" s="320">
        <v>0.7597</v>
      </c>
      <c r="AD1392" s="320">
        <v>36.63</v>
      </c>
      <c r="AE1392" s="320">
        <v>12.0</v>
      </c>
      <c r="AF1392" s="320">
        <v>28.0</v>
      </c>
      <c r="AG1392" s="320">
        <v>51.0</v>
      </c>
      <c r="AH1392" s="320">
        <v>79.0</v>
      </c>
      <c r="AI1392" s="320">
        <v>51.22</v>
      </c>
      <c r="AJ1392" s="320">
        <v>19.23</v>
      </c>
      <c r="AK1392" s="320">
        <v>4.98</v>
      </c>
      <c r="AL1392" s="320">
        <v>0.1617</v>
      </c>
      <c r="AM1392" s="320">
        <v>19.5</v>
      </c>
      <c r="AN1392" s="320">
        <v>563.46</v>
      </c>
      <c r="AO1392" s="320">
        <v>73.97</v>
      </c>
      <c r="AP1392" s="320">
        <v>14.42</v>
      </c>
    </row>
    <row r="1393">
      <c r="A1393" s="319" t="s">
        <v>258</v>
      </c>
      <c r="B1393" s="328">
        <v>46161.0</v>
      </c>
      <c r="C1393" s="319" t="s">
        <v>218</v>
      </c>
      <c r="D1393" s="320">
        <v>265.0</v>
      </c>
      <c r="E1393" s="320">
        <v>0.36</v>
      </c>
      <c r="F1393" s="320">
        <v>2618.49</v>
      </c>
      <c r="G1393" s="320">
        <v>9.8811</v>
      </c>
      <c r="H1393" s="320">
        <v>44.53</v>
      </c>
      <c r="I1393" s="320">
        <v>22.1906</v>
      </c>
      <c r="J1393" s="320">
        <v>234.91</v>
      </c>
      <c r="K1393" s="320">
        <v>153.09</v>
      </c>
      <c r="L1393" s="320">
        <v>121.8</v>
      </c>
      <c r="M1393" s="320">
        <v>0.7956</v>
      </c>
      <c r="N1393" s="320">
        <v>0.2895</v>
      </c>
      <c r="O1393" s="320">
        <v>0.1718</v>
      </c>
      <c r="P1393" s="320">
        <v>1.2569</v>
      </c>
      <c r="Q1393" s="320">
        <v>1283.11</v>
      </c>
      <c r="R1393" s="320">
        <v>1043.02</v>
      </c>
      <c r="S1393" s="320">
        <v>240.09</v>
      </c>
      <c r="T1393" s="320">
        <v>676.47</v>
      </c>
      <c r="U1393" s="320">
        <v>606.64</v>
      </c>
      <c r="V1393" s="320">
        <v>1369.43</v>
      </c>
      <c r="W1393" s="320">
        <v>8.9453</v>
      </c>
      <c r="X1393" s="320">
        <v>52.72</v>
      </c>
      <c r="Y1393" s="320">
        <v>171.0</v>
      </c>
      <c r="Z1393" s="320">
        <v>581.0</v>
      </c>
      <c r="AA1393" s="320">
        <v>1952.0</v>
      </c>
      <c r="AB1393" s="320">
        <v>61.798</v>
      </c>
      <c r="AC1393" s="320">
        <v>0.8319</v>
      </c>
      <c r="AD1393" s="320">
        <v>79.83</v>
      </c>
      <c r="AE1393" s="320">
        <v>30.0</v>
      </c>
      <c r="AF1393" s="320">
        <v>71.0</v>
      </c>
      <c r="AG1393" s="320">
        <v>112.0</v>
      </c>
      <c r="AH1393" s="320">
        <v>153.0</v>
      </c>
      <c r="AI1393" s="320">
        <v>44.53</v>
      </c>
      <c r="AJ1393" s="320">
        <v>5.28</v>
      </c>
      <c r="AK1393" s="320">
        <v>1.13</v>
      </c>
      <c r="AL1393" s="320">
        <v>0.0943</v>
      </c>
      <c r="AM1393" s="320">
        <v>19.68</v>
      </c>
      <c r="AN1393" s="320">
        <v>1023.34</v>
      </c>
      <c r="AO1393" s="320">
        <v>72.51</v>
      </c>
      <c r="AP1393" s="320">
        <v>14.27</v>
      </c>
    </row>
    <row r="1394">
      <c r="A1394" s="319" t="s">
        <v>258</v>
      </c>
      <c r="B1394" s="328">
        <v>46162.0</v>
      </c>
      <c r="C1394" s="319" t="s">
        <v>257</v>
      </c>
      <c r="D1394" s="320">
        <v>16404.0</v>
      </c>
      <c r="E1394" s="320">
        <v>22.67</v>
      </c>
      <c r="F1394" s="320">
        <v>113.28</v>
      </c>
      <c r="G1394" s="320">
        <v>0.0069</v>
      </c>
      <c r="H1394" s="320">
        <v>0.15</v>
      </c>
      <c r="I1394" s="320">
        <v>4.5312</v>
      </c>
      <c r="J1394" s="320">
        <v>7.15</v>
      </c>
      <c r="K1394" s="320">
        <v>3.34</v>
      </c>
      <c r="L1394" s="320">
        <v>0.02</v>
      </c>
      <c r="M1394" s="320">
        <v>0.0049</v>
      </c>
      <c r="N1394" s="320">
        <v>0.9954</v>
      </c>
      <c r="O1394" s="320">
        <v>0.9143</v>
      </c>
      <c r="P1394" s="320">
        <v>206.1391</v>
      </c>
      <c r="Q1394" s="320">
        <v>21.77</v>
      </c>
      <c r="R1394" s="320">
        <v>21.71</v>
      </c>
      <c r="S1394" s="320">
        <v>0.06</v>
      </c>
      <c r="T1394" s="320">
        <v>0.71</v>
      </c>
      <c r="U1394" s="320">
        <v>21.06</v>
      </c>
      <c r="V1394" s="320">
        <v>1.87</v>
      </c>
      <c r="W1394" s="320">
        <v>0.5599</v>
      </c>
      <c r="X1394" s="320">
        <v>3.28</v>
      </c>
      <c r="Y1394" s="320">
        <v>144.0</v>
      </c>
      <c r="Z1394" s="320">
        <v>1086.0</v>
      </c>
      <c r="AA1394" s="320">
        <v>7527.0</v>
      </c>
      <c r="AB1394" s="320">
        <v>49.4287</v>
      </c>
      <c r="AC1394" s="320">
        <v>0.5111</v>
      </c>
      <c r="AD1394" s="329"/>
      <c r="AE1394" s="329"/>
      <c r="AF1394" s="329"/>
      <c r="AG1394" s="329"/>
      <c r="AH1394" s="329"/>
      <c r="AI1394" s="320">
        <v>0.0</v>
      </c>
      <c r="AJ1394" s="320">
        <v>0.0</v>
      </c>
      <c r="AK1394" s="320">
        <v>0.0</v>
      </c>
      <c r="AL1394" s="320">
        <v>0.2692</v>
      </c>
      <c r="AM1394" s="320">
        <v>15.01</v>
      </c>
      <c r="AN1394" s="320">
        <v>6.7</v>
      </c>
      <c r="AO1394" s="329"/>
      <c r="AP1394" s="329"/>
    </row>
    <row r="1395">
      <c r="A1395" s="319" t="s">
        <v>258</v>
      </c>
      <c r="B1395" s="328">
        <v>46162.0</v>
      </c>
      <c r="C1395" s="319" t="s">
        <v>214</v>
      </c>
      <c r="D1395" s="320">
        <v>31379.0</v>
      </c>
      <c r="E1395" s="320">
        <v>43.36</v>
      </c>
      <c r="F1395" s="320">
        <v>7542.81</v>
      </c>
      <c r="G1395" s="320">
        <v>0.2404</v>
      </c>
      <c r="H1395" s="320">
        <v>7.01</v>
      </c>
      <c r="I1395" s="320">
        <v>3.427</v>
      </c>
      <c r="J1395" s="320">
        <v>33.44</v>
      </c>
      <c r="K1395" s="320">
        <v>18.29</v>
      </c>
      <c r="L1395" s="320">
        <v>5.16</v>
      </c>
      <c r="M1395" s="320">
        <v>0.2819</v>
      </c>
      <c r="N1395" s="320">
        <v>0.7817</v>
      </c>
      <c r="O1395" s="320">
        <v>0.5323</v>
      </c>
      <c r="P1395" s="320">
        <v>3.5471</v>
      </c>
      <c r="Q1395" s="320">
        <v>62.64</v>
      </c>
      <c r="R1395" s="320">
        <v>52.96</v>
      </c>
      <c r="S1395" s="320">
        <v>9.68</v>
      </c>
      <c r="T1395" s="320">
        <v>17.13</v>
      </c>
      <c r="U1395" s="320">
        <v>45.51</v>
      </c>
      <c r="V1395" s="320">
        <v>71.03</v>
      </c>
      <c r="W1395" s="320">
        <v>3.8838</v>
      </c>
      <c r="X1395" s="320">
        <v>27.34</v>
      </c>
      <c r="Y1395" s="320">
        <v>84.0</v>
      </c>
      <c r="Z1395" s="320">
        <v>196.0</v>
      </c>
      <c r="AA1395" s="320">
        <v>823.0</v>
      </c>
      <c r="AB1395" s="320">
        <v>49.435</v>
      </c>
      <c r="AC1395" s="320">
        <v>0.4376</v>
      </c>
      <c r="AD1395" s="320">
        <v>3.41</v>
      </c>
      <c r="AE1395" s="320">
        <v>1.0</v>
      </c>
      <c r="AF1395" s="320">
        <v>2.0</v>
      </c>
      <c r="AG1395" s="320">
        <v>4.0</v>
      </c>
      <c r="AH1395" s="320">
        <v>8.0</v>
      </c>
      <c r="AI1395" s="320">
        <v>64.98</v>
      </c>
      <c r="AJ1395" s="320">
        <v>23.05</v>
      </c>
      <c r="AK1395" s="320">
        <v>6.42</v>
      </c>
      <c r="AL1395" s="320">
        <v>0.2074</v>
      </c>
      <c r="AM1395" s="320">
        <v>19.21</v>
      </c>
      <c r="AN1395" s="320">
        <v>33.75</v>
      </c>
      <c r="AO1395" s="320">
        <v>67.97</v>
      </c>
      <c r="AP1395" s="320">
        <v>13.06</v>
      </c>
    </row>
    <row r="1396">
      <c r="A1396" s="319" t="s">
        <v>258</v>
      </c>
      <c r="B1396" s="328">
        <v>46162.0</v>
      </c>
      <c r="C1396" s="319" t="s">
        <v>215</v>
      </c>
      <c r="D1396" s="320">
        <v>14877.0</v>
      </c>
      <c r="E1396" s="320">
        <v>20.56</v>
      </c>
      <c r="F1396" s="320">
        <v>17857.01</v>
      </c>
      <c r="G1396" s="320">
        <v>1.2003</v>
      </c>
      <c r="H1396" s="320">
        <v>23.24</v>
      </c>
      <c r="I1396" s="320">
        <v>5.1655</v>
      </c>
      <c r="J1396" s="320">
        <v>61.34</v>
      </c>
      <c r="K1396" s="320">
        <v>35.51</v>
      </c>
      <c r="L1396" s="320">
        <v>13.86</v>
      </c>
      <c r="M1396" s="320">
        <v>0.3904</v>
      </c>
      <c r="N1396" s="320">
        <v>0.6666</v>
      </c>
      <c r="O1396" s="320">
        <v>0.3714</v>
      </c>
      <c r="P1396" s="320">
        <v>2.5618</v>
      </c>
      <c r="Q1396" s="320">
        <v>155.8</v>
      </c>
      <c r="R1396" s="320">
        <v>131.1</v>
      </c>
      <c r="S1396" s="320">
        <v>24.7</v>
      </c>
      <c r="T1396" s="320">
        <v>77.43</v>
      </c>
      <c r="U1396" s="320">
        <v>78.37</v>
      </c>
      <c r="V1396" s="320">
        <v>170.29</v>
      </c>
      <c r="W1396" s="320">
        <v>4.7962</v>
      </c>
      <c r="X1396" s="320">
        <v>49.7</v>
      </c>
      <c r="Y1396" s="320">
        <v>80.0</v>
      </c>
      <c r="Z1396" s="320">
        <v>178.0</v>
      </c>
      <c r="AA1396" s="320">
        <v>619.0</v>
      </c>
      <c r="AB1396" s="320">
        <v>52.4391</v>
      </c>
      <c r="AC1396" s="320">
        <v>0.5134</v>
      </c>
      <c r="AD1396" s="320">
        <v>8.39</v>
      </c>
      <c r="AE1396" s="320">
        <v>2.0</v>
      </c>
      <c r="AF1396" s="320">
        <v>6.0</v>
      </c>
      <c r="AG1396" s="320">
        <v>12.0</v>
      </c>
      <c r="AH1396" s="320">
        <v>19.0</v>
      </c>
      <c r="AI1396" s="320">
        <v>50.72</v>
      </c>
      <c r="AJ1396" s="320">
        <v>22.95</v>
      </c>
      <c r="AK1396" s="320">
        <v>4.38</v>
      </c>
      <c r="AL1396" s="320">
        <v>0.1785</v>
      </c>
      <c r="AM1396" s="320">
        <v>19.87</v>
      </c>
      <c r="AN1396" s="320">
        <v>111.23</v>
      </c>
      <c r="AO1396" s="320">
        <v>72.87</v>
      </c>
      <c r="AP1396" s="320">
        <v>14.48</v>
      </c>
    </row>
    <row r="1397">
      <c r="A1397" s="319" t="s">
        <v>258</v>
      </c>
      <c r="B1397" s="328">
        <v>46162.0</v>
      </c>
      <c r="C1397" s="319" t="s">
        <v>216</v>
      </c>
      <c r="D1397" s="320">
        <v>6923.0</v>
      </c>
      <c r="E1397" s="320">
        <v>9.57</v>
      </c>
      <c r="F1397" s="320">
        <v>20024.96</v>
      </c>
      <c r="G1397" s="320">
        <v>2.8925</v>
      </c>
      <c r="H1397" s="320">
        <v>35.59</v>
      </c>
      <c r="I1397" s="320">
        <v>8.127</v>
      </c>
      <c r="J1397" s="320">
        <v>79.24</v>
      </c>
      <c r="K1397" s="320">
        <v>47.98</v>
      </c>
      <c r="L1397" s="320">
        <v>25.47</v>
      </c>
      <c r="M1397" s="320">
        <v>0.5308</v>
      </c>
      <c r="N1397" s="320">
        <v>0.5403</v>
      </c>
      <c r="O1397" s="320">
        <v>0.288</v>
      </c>
      <c r="P1397" s="320">
        <v>1.8838</v>
      </c>
      <c r="Q1397" s="320">
        <v>297.64</v>
      </c>
      <c r="R1397" s="320">
        <v>250.63</v>
      </c>
      <c r="S1397" s="320">
        <v>47.01</v>
      </c>
      <c r="T1397" s="320">
        <v>177.5</v>
      </c>
      <c r="U1397" s="320">
        <v>120.14</v>
      </c>
      <c r="V1397" s="320">
        <v>327.7</v>
      </c>
      <c r="W1397" s="320">
        <v>6.8296</v>
      </c>
      <c r="X1397" s="320">
        <v>59.63</v>
      </c>
      <c r="Y1397" s="320">
        <v>84.0</v>
      </c>
      <c r="Z1397" s="320">
        <v>208.0</v>
      </c>
      <c r="AA1397" s="320">
        <v>716.0</v>
      </c>
      <c r="AB1397" s="320">
        <v>55.0156</v>
      </c>
      <c r="AC1397" s="320">
        <v>0.6592</v>
      </c>
      <c r="AD1397" s="320">
        <v>16.95</v>
      </c>
      <c r="AE1397" s="320">
        <v>5.0</v>
      </c>
      <c r="AF1397" s="320">
        <v>13.0</v>
      </c>
      <c r="AG1397" s="320">
        <v>25.0</v>
      </c>
      <c r="AH1397" s="320">
        <v>37.0</v>
      </c>
      <c r="AI1397" s="320">
        <v>55.18</v>
      </c>
      <c r="AJ1397" s="320">
        <v>23.02</v>
      </c>
      <c r="AK1397" s="320">
        <v>6.86</v>
      </c>
      <c r="AL1397" s="320">
        <v>0.1996</v>
      </c>
      <c r="AM1397" s="320">
        <v>19.81</v>
      </c>
      <c r="AN1397" s="320">
        <v>230.82</v>
      </c>
      <c r="AO1397" s="320">
        <v>73.25</v>
      </c>
      <c r="AP1397" s="320">
        <v>14.51</v>
      </c>
    </row>
    <row r="1398">
      <c r="A1398" s="319" t="s">
        <v>258</v>
      </c>
      <c r="B1398" s="328">
        <v>46162.0</v>
      </c>
      <c r="C1398" s="319" t="s">
        <v>217</v>
      </c>
      <c r="D1398" s="320">
        <v>2495.0</v>
      </c>
      <c r="E1398" s="320">
        <v>3.45</v>
      </c>
      <c r="F1398" s="320">
        <v>16740.89</v>
      </c>
      <c r="G1398" s="320">
        <v>6.7098</v>
      </c>
      <c r="H1398" s="320">
        <v>46.97</v>
      </c>
      <c r="I1398" s="320">
        <v>14.284</v>
      </c>
      <c r="J1398" s="320">
        <v>121.78</v>
      </c>
      <c r="K1398" s="320">
        <v>75.56</v>
      </c>
      <c r="L1398" s="320">
        <v>51.79</v>
      </c>
      <c r="M1398" s="320">
        <v>0.6854</v>
      </c>
      <c r="N1398" s="320">
        <v>0.4022</v>
      </c>
      <c r="O1398" s="320">
        <v>0.2242</v>
      </c>
      <c r="P1398" s="320">
        <v>1.459</v>
      </c>
      <c r="Q1398" s="320">
        <v>629.46</v>
      </c>
      <c r="R1398" s="320">
        <v>532.88</v>
      </c>
      <c r="S1398" s="320">
        <v>96.58</v>
      </c>
      <c r="T1398" s="320">
        <v>430.21</v>
      </c>
      <c r="U1398" s="320">
        <v>199.25</v>
      </c>
      <c r="V1398" s="320">
        <v>685.17</v>
      </c>
      <c r="W1398" s="320">
        <v>9.0674</v>
      </c>
      <c r="X1398" s="320">
        <v>68.35</v>
      </c>
      <c r="Y1398" s="320">
        <v>90.0</v>
      </c>
      <c r="Z1398" s="320">
        <v>265.0</v>
      </c>
      <c r="AA1398" s="320">
        <v>962.0</v>
      </c>
      <c r="AB1398" s="320">
        <v>58.4257</v>
      </c>
      <c r="AC1398" s="320">
        <v>0.7711</v>
      </c>
      <c r="AD1398" s="320">
        <v>35.86</v>
      </c>
      <c r="AE1398" s="320">
        <v>12.0</v>
      </c>
      <c r="AF1398" s="320">
        <v>28.0</v>
      </c>
      <c r="AG1398" s="320">
        <v>51.0</v>
      </c>
      <c r="AH1398" s="320">
        <v>78.0</v>
      </c>
      <c r="AI1398" s="320">
        <v>49.74</v>
      </c>
      <c r="AJ1398" s="320">
        <v>19.36</v>
      </c>
      <c r="AK1398" s="320">
        <v>4.49</v>
      </c>
      <c r="AL1398" s="320">
        <v>0.176</v>
      </c>
      <c r="AM1398" s="320">
        <v>18.99</v>
      </c>
      <c r="AN1398" s="320">
        <v>513.89</v>
      </c>
      <c r="AO1398" s="320">
        <v>73.67</v>
      </c>
      <c r="AP1398" s="320">
        <v>13.99</v>
      </c>
    </row>
    <row r="1399">
      <c r="A1399" s="319" t="s">
        <v>258</v>
      </c>
      <c r="B1399" s="328">
        <v>46162.0</v>
      </c>
      <c r="C1399" s="319" t="s">
        <v>218</v>
      </c>
      <c r="D1399" s="320">
        <v>290.0</v>
      </c>
      <c r="E1399" s="320">
        <v>0.4</v>
      </c>
      <c r="F1399" s="320">
        <v>3700.97</v>
      </c>
      <c r="G1399" s="320">
        <v>12.762</v>
      </c>
      <c r="H1399" s="320">
        <v>53.1</v>
      </c>
      <c r="I1399" s="320">
        <v>24.0323</v>
      </c>
      <c r="J1399" s="320">
        <v>222.38</v>
      </c>
      <c r="K1399" s="320">
        <v>142.54</v>
      </c>
      <c r="L1399" s="320">
        <v>116.94</v>
      </c>
      <c r="M1399" s="320">
        <v>0.8204</v>
      </c>
      <c r="N1399" s="320">
        <v>0.271</v>
      </c>
      <c r="O1399" s="320">
        <v>0.1646</v>
      </c>
      <c r="P1399" s="320">
        <v>1.2189</v>
      </c>
      <c r="Q1399" s="320">
        <v>1200.99</v>
      </c>
      <c r="R1399" s="320">
        <v>985.21</v>
      </c>
      <c r="S1399" s="320">
        <v>215.78</v>
      </c>
      <c r="T1399" s="320">
        <v>820.62</v>
      </c>
      <c r="U1399" s="320">
        <v>380.37</v>
      </c>
      <c r="V1399" s="320">
        <v>1288.28</v>
      </c>
      <c r="W1399" s="320">
        <v>9.0379</v>
      </c>
      <c r="X1399" s="320">
        <v>68.33</v>
      </c>
      <c r="Y1399" s="320">
        <v>102.0</v>
      </c>
      <c r="Z1399" s="320">
        <v>502.0</v>
      </c>
      <c r="AA1399" s="320">
        <v>2629.0</v>
      </c>
      <c r="AB1399" s="320">
        <v>61.561</v>
      </c>
      <c r="AC1399" s="320">
        <v>0.8459</v>
      </c>
      <c r="AD1399" s="320">
        <v>84.26</v>
      </c>
      <c r="AE1399" s="320">
        <v>28.0</v>
      </c>
      <c r="AF1399" s="320">
        <v>68.0</v>
      </c>
      <c r="AG1399" s="320">
        <v>115.0</v>
      </c>
      <c r="AH1399" s="320">
        <v>172.0</v>
      </c>
      <c r="AI1399" s="320">
        <v>46.55</v>
      </c>
      <c r="AJ1399" s="320">
        <v>9.66</v>
      </c>
      <c r="AK1399" s="320">
        <v>1.72</v>
      </c>
      <c r="AL1399" s="320">
        <v>0.131</v>
      </c>
      <c r="AM1399" s="320">
        <v>20.09</v>
      </c>
      <c r="AN1399" s="320">
        <v>965.12</v>
      </c>
      <c r="AO1399" s="320">
        <v>71.03</v>
      </c>
      <c r="AP1399" s="320">
        <v>14.27</v>
      </c>
    </row>
    <row r="1400">
      <c r="A1400" s="319" t="s">
        <v>258</v>
      </c>
      <c r="B1400" s="328">
        <v>46163.0</v>
      </c>
      <c r="C1400" s="319" t="s">
        <v>257</v>
      </c>
      <c r="D1400" s="320">
        <v>16963.0</v>
      </c>
      <c r="E1400" s="320">
        <v>23.85</v>
      </c>
      <c r="F1400" s="320">
        <v>89.78</v>
      </c>
      <c r="G1400" s="320">
        <v>0.0053</v>
      </c>
      <c r="H1400" s="320">
        <v>0.16</v>
      </c>
      <c r="I1400" s="320">
        <v>3.3252</v>
      </c>
      <c r="J1400" s="320">
        <v>6.45</v>
      </c>
      <c r="K1400" s="320">
        <v>2.97</v>
      </c>
      <c r="L1400" s="320">
        <v>0.05</v>
      </c>
      <c r="M1400" s="320">
        <v>0.0154</v>
      </c>
      <c r="N1400" s="320">
        <v>0.9857</v>
      </c>
      <c r="O1400" s="320">
        <v>0.7961</v>
      </c>
      <c r="P1400" s="320">
        <v>64.7754</v>
      </c>
      <c r="Q1400" s="320">
        <v>22.03</v>
      </c>
      <c r="R1400" s="320">
        <v>21.98</v>
      </c>
      <c r="S1400" s="320">
        <v>0.05</v>
      </c>
      <c r="T1400" s="320">
        <v>0.5</v>
      </c>
      <c r="U1400" s="320">
        <v>21.53</v>
      </c>
      <c r="V1400" s="320">
        <v>1.92</v>
      </c>
      <c r="W1400" s="320">
        <v>0.6451</v>
      </c>
      <c r="X1400" s="320">
        <v>2.26</v>
      </c>
      <c r="Y1400" s="320">
        <v>123.0</v>
      </c>
      <c r="Z1400" s="320">
        <v>910.0</v>
      </c>
      <c r="AA1400" s="320">
        <v>7043.0</v>
      </c>
      <c r="AB1400" s="320">
        <v>49.3509</v>
      </c>
      <c r="AC1400" s="320">
        <v>0.5003</v>
      </c>
      <c r="AD1400" s="329"/>
      <c r="AE1400" s="329"/>
      <c r="AF1400" s="329"/>
      <c r="AG1400" s="329"/>
      <c r="AH1400" s="329"/>
      <c r="AI1400" s="320">
        <v>0.0</v>
      </c>
      <c r="AJ1400" s="320">
        <v>0.0</v>
      </c>
      <c r="AK1400" s="320">
        <v>0.0</v>
      </c>
      <c r="AL1400" s="320">
        <v>0.2848</v>
      </c>
      <c r="AM1400" s="320">
        <v>15.06</v>
      </c>
      <c r="AN1400" s="320">
        <v>6.92</v>
      </c>
      <c r="AO1400" s="329"/>
      <c r="AP1400" s="329"/>
    </row>
    <row r="1401">
      <c r="A1401" s="319" t="s">
        <v>258</v>
      </c>
      <c r="B1401" s="328">
        <v>46163.0</v>
      </c>
      <c r="C1401" s="319" t="s">
        <v>214</v>
      </c>
      <c r="D1401" s="320">
        <v>30495.0</v>
      </c>
      <c r="E1401" s="320">
        <v>42.87</v>
      </c>
      <c r="F1401" s="320">
        <v>7109.43</v>
      </c>
      <c r="G1401" s="320">
        <v>0.2331</v>
      </c>
      <c r="H1401" s="320">
        <v>6.67</v>
      </c>
      <c r="I1401" s="320">
        <v>3.497</v>
      </c>
      <c r="J1401" s="320">
        <v>29.68</v>
      </c>
      <c r="K1401" s="320">
        <v>15.67</v>
      </c>
      <c r="L1401" s="320">
        <v>4.95</v>
      </c>
      <c r="M1401" s="320">
        <v>0.3157</v>
      </c>
      <c r="N1401" s="320">
        <v>0.7566</v>
      </c>
      <c r="O1401" s="320">
        <v>0.5146</v>
      </c>
      <c r="P1401" s="320">
        <v>3.1673</v>
      </c>
      <c r="Q1401" s="320">
        <v>65.26</v>
      </c>
      <c r="R1401" s="320">
        <v>56.77</v>
      </c>
      <c r="S1401" s="320">
        <v>8.49</v>
      </c>
      <c r="T1401" s="320">
        <v>16.92</v>
      </c>
      <c r="U1401" s="320">
        <v>48.34</v>
      </c>
      <c r="V1401" s="320">
        <v>69.36</v>
      </c>
      <c r="W1401" s="320">
        <v>4.4258</v>
      </c>
      <c r="X1401" s="320">
        <v>25.93</v>
      </c>
      <c r="Y1401" s="320">
        <v>86.0</v>
      </c>
      <c r="Z1401" s="320">
        <v>204.0</v>
      </c>
      <c r="AA1401" s="320">
        <v>879.0</v>
      </c>
      <c r="AB1401" s="320">
        <v>49.4417</v>
      </c>
      <c r="AC1401" s="320">
        <v>0.4376</v>
      </c>
      <c r="AD1401" s="320">
        <v>3.39</v>
      </c>
      <c r="AE1401" s="320">
        <v>1.0</v>
      </c>
      <c r="AF1401" s="320">
        <v>2.0</v>
      </c>
      <c r="AG1401" s="320">
        <v>4.0</v>
      </c>
      <c r="AH1401" s="320">
        <v>8.0</v>
      </c>
      <c r="AI1401" s="320">
        <v>63.67</v>
      </c>
      <c r="AJ1401" s="320">
        <v>22.68</v>
      </c>
      <c r="AK1401" s="320">
        <v>6.77</v>
      </c>
      <c r="AL1401" s="320">
        <v>0.2268</v>
      </c>
      <c r="AM1401" s="320">
        <v>20.26</v>
      </c>
      <c r="AN1401" s="320">
        <v>36.51</v>
      </c>
      <c r="AO1401" s="320">
        <v>68.22</v>
      </c>
      <c r="AP1401" s="320">
        <v>13.82</v>
      </c>
    </row>
    <row r="1402">
      <c r="A1402" s="319" t="s">
        <v>258</v>
      </c>
      <c r="B1402" s="328">
        <v>46163.0</v>
      </c>
      <c r="C1402" s="319" t="s">
        <v>215</v>
      </c>
      <c r="D1402" s="320">
        <v>14122.0</v>
      </c>
      <c r="E1402" s="320">
        <v>19.85</v>
      </c>
      <c r="F1402" s="320">
        <v>15363.84</v>
      </c>
      <c r="G1402" s="320">
        <v>1.0879</v>
      </c>
      <c r="H1402" s="320">
        <v>22.58</v>
      </c>
      <c r="I1402" s="320">
        <v>4.8178</v>
      </c>
      <c r="J1402" s="320">
        <v>54.87</v>
      </c>
      <c r="K1402" s="320">
        <v>31.02</v>
      </c>
      <c r="L1402" s="320">
        <v>13.69</v>
      </c>
      <c r="M1402" s="320">
        <v>0.4414</v>
      </c>
      <c r="N1402" s="320">
        <v>0.6256</v>
      </c>
      <c r="O1402" s="320">
        <v>0.3493</v>
      </c>
      <c r="P1402" s="320">
        <v>2.2656</v>
      </c>
      <c r="Q1402" s="320">
        <v>178.4</v>
      </c>
      <c r="R1402" s="320">
        <v>155.84</v>
      </c>
      <c r="S1402" s="320">
        <v>22.55</v>
      </c>
      <c r="T1402" s="320">
        <v>72.98</v>
      </c>
      <c r="U1402" s="320">
        <v>105.42</v>
      </c>
      <c r="V1402" s="320">
        <v>179.45</v>
      </c>
      <c r="W1402" s="320">
        <v>5.7858</v>
      </c>
      <c r="X1402" s="320">
        <v>40.91</v>
      </c>
      <c r="Y1402" s="320">
        <v>84.0</v>
      </c>
      <c r="Z1402" s="320">
        <v>194.0</v>
      </c>
      <c r="AA1402" s="320">
        <v>644.0</v>
      </c>
      <c r="AB1402" s="320">
        <v>52.555</v>
      </c>
      <c r="AC1402" s="320">
        <v>0.5267</v>
      </c>
      <c r="AD1402" s="320">
        <v>8.81</v>
      </c>
      <c r="AE1402" s="320">
        <v>2.0</v>
      </c>
      <c r="AF1402" s="320">
        <v>6.0</v>
      </c>
      <c r="AG1402" s="320">
        <v>12.0</v>
      </c>
      <c r="AH1402" s="320">
        <v>20.0</v>
      </c>
      <c r="AI1402" s="320">
        <v>51.81</v>
      </c>
      <c r="AJ1402" s="320">
        <v>24.42</v>
      </c>
      <c r="AK1402" s="320">
        <v>5.27</v>
      </c>
      <c r="AL1402" s="320">
        <v>0.1864</v>
      </c>
      <c r="AM1402" s="320">
        <v>20.75</v>
      </c>
      <c r="AN1402" s="320">
        <v>135.09</v>
      </c>
      <c r="AO1402" s="320">
        <v>74.19</v>
      </c>
      <c r="AP1402" s="320">
        <v>15.39</v>
      </c>
    </row>
    <row r="1403">
      <c r="A1403" s="319" t="s">
        <v>258</v>
      </c>
      <c r="B1403" s="328">
        <v>46163.0</v>
      </c>
      <c r="C1403" s="319" t="s">
        <v>216</v>
      </c>
      <c r="D1403" s="320">
        <v>6676.0</v>
      </c>
      <c r="E1403" s="320">
        <v>9.38</v>
      </c>
      <c r="F1403" s="320">
        <v>17436.93</v>
      </c>
      <c r="G1403" s="320">
        <v>2.6119</v>
      </c>
      <c r="H1403" s="320">
        <v>34.71</v>
      </c>
      <c r="I1403" s="320">
        <v>7.5256</v>
      </c>
      <c r="J1403" s="320">
        <v>75.86</v>
      </c>
      <c r="K1403" s="320">
        <v>45.07</v>
      </c>
      <c r="L1403" s="320">
        <v>26.38</v>
      </c>
      <c r="M1403" s="320">
        <v>0.5854</v>
      </c>
      <c r="N1403" s="320">
        <v>0.4948</v>
      </c>
      <c r="O1403" s="320">
        <v>0.2673</v>
      </c>
      <c r="P1403" s="320">
        <v>1.7083</v>
      </c>
      <c r="Q1403" s="320">
        <v>364.32</v>
      </c>
      <c r="R1403" s="320">
        <v>318.88</v>
      </c>
      <c r="S1403" s="320">
        <v>45.44</v>
      </c>
      <c r="T1403" s="320">
        <v>166.99</v>
      </c>
      <c r="U1403" s="320">
        <v>197.33</v>
      </c>
      <c r="V1403" s="320">
        <v>360.93</v>
      </c>
      <c r="W1403" s="320">
        <v>8.0081</v>
      </c>
      <c r="X1403" s="320">
        <v>45.84</v>
      </c>
      <c r="Y1403" s="320">
        <v>90.0</v>
      </c>
      <c r="Z1403" s="320">
        <v>240.0</v>
      </c>
      <c r="AA1403" s="320">
        <v>774.0</v>
      </c>
      <c r="AB1403" s="320">
        <v>55.0842</v>
      </c>
      <c r="AC1403" s="320">
        <v>0.6636</v>
      </c>
      <c r="AD1403" s="320">
        <v>18.7</v>
      </c>
      <c r="AE1403" s="320">
        <v>6.0</v>
      </c>
      <c r="AF1403" s="320">
        <v>14.0</v>
      </c>
      <c r="AG1403" s="320">
        <v>27.0</v>
      </c>
      <c r="AH1403" s="320">
        <v>41.0</v>
      </c>
      <c r="AI1403" s="320">
        <v>57.85</v>
      </c>
      <c r="AJ1403" s="320">
        <v>26.99</v>
      </c>
      <c r="AK1403" s="320">
        <v>9.39</v>
      </c>
      <c r="AL1403" s="320">
        <v>0.2161</v>
      </c>
      <c r="AM1403" s="320">
        <v>19.81</v>
      </c>
      <c r="AN1403" s="320">
        <v>299.07</v>
      </c>
      <c r="AO1403" s="320">
        <v>73.94</v>
      </c>
      <c r="AP1403" s="320">
        <v>14.65</v>
      </c>
    </row>
    <row r="1404">
      <c r="A1404" s="319" t="s">
        <v>258</v>
      </c>
      <c r="B1404" s="328">
        <v>46163.0</v>
      </c>
      <c r="C1404" s="319" t="s">
        <v>217</v>
      </c>
      <c r="D1404" s="320">
        <v>2593.0</v>
      </c>
      <c r="E1404" s="320">
        <v>3.65</v>
      </c>
      <c r="F1404" s="320">
        <v>16138.25</v>
      </c>
      <c r="G1404" s="320">
        <v>6.2238</v>
      </c>
      <c r="H1404" s="320">
        <v>44.08</v>
      </c>
      <c r="I1404" s="320">
        <v>14.1192</v>
      </c>
      <c r="J1404" s="320">
        <v>128.27</v>
      </c>
      <c r="K1404" s="320">
        <v>79.6</v>
      </c>
      <c r="L1404" s="320">
        <v>58.07</v>
      </c>
      <c r="M1404" s="320">
        <v>0.7295</v>
      </c>
      <c r="N1404" s="320">
        <v>0.3642</v>
      </c>
      <c r="O1404" s="320">
        <v>0.2078</v>
      </c>
      <c r="P1404" s="320">
        <v>1.3708</v>
      </c>
      <c r="Q1404" s="320">
        <v>819.06</v>
      </c>
      <c r="R1404" s="320">
        <v>719.26</v>
      </c>
      <c r="S1404" s="320">
        <v>99.81</v>
      </c>
      <c r="T1404" s="320">
        <v>390.42</v>
      </c>
      <c r="U1404" s="320">
        <v>428.64</v>
      </c>
      <c r="V1404" s="320">
        <v>786.89</v>
      </c>
      <c r="W1404" s="320">
        <v>9.8852</v>
      </c>
      <c r="X1404" s="320">
        <v>47.67</v>
      </c>
      <c r="Y1404" s="320">
        <v>109.0</v>
      </c>
      <c r="Z1404" s="320">
        <v>361.0</v>
      </c>
      <c r="AA1404" s="320">
        <v>983.0</v>
      </c>
      <c r="AB1404" s="320">
        <v>58.307</v>
      </c>
      <c r="AC1404" s="320">
        <v>0.7643</v>
      </c>
      <c r="AD1404" s="320">
        <v>42.06</v>
      </c>
      <c r="AE1404" s="320">
        <v>15.0</v>
      </c>
      <c r="AF1404" s="320">
        <v>34.0</v>
      </c>
      <c r="AG1404" s="320">
        <v>59.0</v>
      </c>
      <c r="AH1404" s="320">
        <v>89.0</v>
      </c>
      <c r="AI1404" s="320">
        <v>56.85</v>
      </c>
      <c r="AJ1404" s="320">
        <v>24.37</v>
      </c>
      <c r="AK1404" s="320">
        <v>7.29</v>
      </c>
      <c r="AL1404" s="320">
        <v>0.1894</v>
      </c>
      <c r="AM1404" s="320">
        <v>20.78</v>
      </c>
      <c r="AN1404" s="320">
        <v>698.47</v>
      </c>
      <c r="AO1404" s="320">
        <v>72.84</v>
      </c>
      <c r="AP1404" s="320">
        <v>15.14</v>
      </c>
    </row>
    <row r="1405">
      <c r="A1405" s="319" t="s">
        <v>258</v>
      </c>
      <c r="B1405" s="328">
        <v>46163.0</v>
      </c>
      <c r="C1405" s="319" t="s">
        <v>218</v>
      </c>
      <c r="D1405" s="320">
        <v>287.0</v>
      </c>
      <c r="E1405" s="320">
        <v>0.4</v>
      </c>
      <c r="F1405" s="320">
        <v>2577.03</v>
      </c>
      <c r="G1405" s="320">
        <v>8.9792</v>
      </c>
      <c r="H1405" s="320">
        <v>47.74</v>
      </c>
      <c r="I1405" s="320">
        <v>18.8104</v>
      </c>
      <c r="J1405" s="320">
        <v>231.34</v>
      </c>
      <c r="K1405" s="320">
        <v>152.0</v>
      </c>
      <c r="L1405" s="320">
        <v>128.25</v>
      </c>
      <c r="M1405" s="320">
        <v>0.8438</v>
      </c>
      <c r="N1405" s="320">
        <v>0.2412</v>
      </c>
      <c r="O1405" s="320">
        <v>0.1501</v>
      </c>
      <c r="P1405" s="320">
        <v>1.1852</v>
      </c>
      <c r="Q1405" s="320">
        <v>1381.89</v>
      </c>
      <c r="R1405" s="320">
        <v>1162.6</v>
      </c>
      <c r="S1405" s="320">
        <v>219.29</v>
      </c>
      <c r="T1405" s="320">
        <v>568.38</v>
      </c>
      <c r="U1405" s="320">
        <v>813.51</v>
      </c>
      <c r="V1405" s="320">
        <v>1354.18</v>
      </c>
      <c r="W1405" s="320">
        <v>8.9093</v>
      </c>
      <c r="X1405" s="320">
        <v>41.13</v>
      </c>
      <c r="Y1405" s="320">
        <v>215.0</v>
      </c>
      <c r="Z1405" s="320">
        <v>679.0</v>
      </c>
      <c r="AA1405" s="320">
        <v>3023.0</v>
      </c>
      <c r="AB1405" s="320">
        <v>62.7599</v>
      </c>
      <c r="AC1405" s="320">
        <v>0.8255</v>
      </c>
      <c r="AD1405" s="320">
        <v>92.17</v>
      </c>
      <c r="AE1405" s="320">
        <v>37.0</v>
      </c>
      <c r="AF1405" s="320">
        <v>81.0</v>
      </c>
      <c r="AG1405" s="320">
        <v>129.0</v>
      </c>
      <c r="AH1405" s="320">
        <v>181.0</v>
      </c>
      <c r="AI1405" s="320">
        <v>50.52</v>
      </c>
      <c r="AJ1405" s="320">
        <v>12.2</v>
      </c>
      <c r="AK1405" s="320">
        <v>1.39</v>
      </c>
      <c r="AL1405" s="320">
        <v>0.1254</v>
      </c>
      <c r="AM1405" s="320">
        <v>24.02</v>
      </c>
      <c r="AN1405" s="320">
        <v>1138.57</v>
      </c>
      <c r="AO1405" s="320">
        <v>71.38</v>
      </c>
      <c r="AP1405" s="320">
        <v>17.15</v>
      </c>
    </row>
    <row r="1406">
      <c r="A1406" s="319" t="s">
        <v>258</v>
      </c>
      <c r="B1406" s="328">
        <v>46164.0</v>
      </c>
      <c r="C1406" s="319" t="s">
        <v>257</v>
      </c>
      <c r="D1406" s="320">
        <v>14754.0</v>
      </c>
      <c r="E1406" s="320">
        <v>21.31</v>
      </c>
      <c r="F1406" s="320">
        <v>256.42</v>
      </c>
      <c r="G1406" s="320">
        <v>0.0174</v>
      </c>
      <c r="H1406" s="320">
        <v>0.39</v>
      </c>
      <c r="I1406" s="320">
        <v>4.421</v>
      </c>
      <c r="J1406" s="320">
        <v>5.94</v>
      </c>
      <c r="K1406" s="320">
        <v>2.6</v>
      </c>
      <c r="L1406" s="320">
        <v>0.08</v>
      </c>
      <c r="M1406" s="320">
        <v>0.0321</v>
      </c>
      <c r="N1406" s="320">
        <v>0.971</v>
      </c>
      <c r="O1406" s="320">
        <v>0.6771</v>
      </c>
      <c r="P1406" s="320">
        <v>31.1599</v>
      </c>
      <c r="Q1406" s="320">
        <v>29.85</v>
      </c>
      <c r="R1406" s="320">
        <v>29.78</v>
      </c>
      <c r="S1406" s="320">
        <v>0.07</v>
      </c>
      <c r="T1406" s="320">
        <v>1.4</v>
      </c>
      <c r="U1406" s="320">
        <v>28.45</v>
      </c>
      <c r="V1406" s="320">
        <v>2.58</v>
      </c>
      <c r="W1406" s="320">
        <v>0.9912</v>
      </c>
      <c r="X1406" s="320">
        <v>4.68</v>
      </c>
      <c r="Y1406" s="320">
        <v>163.0</v>
      </c>
      <c r="Z1406" s="320">
        <v>1241.0</v>
      </c>
      <c r="AA1406" s="320">
        <v>7725.0</v>
      </c>
      <c r="AB1406" s="320">
        <v>49.5888</v>
      </c>
      <c r="AC1406" s="320">
        <v>0.5072</v>
      </c>
      <c r="AD1406" s="329"/>
      <c r="AE1406" s="329"/>
      <c r="AF1406" s="329"/>
      <c r="AG1406" s="329"/>
      <c r="AH1406" s="329"/>
      <c r="AI1406" s="320">
        <v>0.0</v>
      </c>
      <c r="AJ1406" s="320">
        <v>0.0</v>
      </c>
      <c r="AK1406" s="320">
        <v>0.0</v>
      </c>
      <c r="AL1406" s="320">
        <v>0.302</v>
      </c>
      <c r="AM1406" s="320">
        <v>16.11</v>
      </c>
      <c r="AN1406" s="320">
        <v>13.67</v>
      </c>
      <c r="AO1406" s="329"/>
      <c r="AP1406" s="329"/>
    </row>
    <row r="1407">
      <c r="A1407" s="319" t="s">
        <v>258</v>
      </c>
      <c r="B1407" s="328">
        <v>46164.0</v>
      </c>
      <c r="C1407" s="319" t="s">
        <v>214</v>
      </c>
      <c r="D1407" s="320">
        <v>30836.0</v>
      </c>
      <c r="E1407" s="320">
        <v>44.54</v>
      </c>
      <c r="F1407" s="320">
        <v>7884.77</v>
      </c>
      <c r="G1407" s="320">
        <v>0.2557</v>
      </c>
      <c r="H1407" s="320">
        <v>7.06</v>
      </c>
      <c r="I1407" s="320">
        <v>3.6219</v>
      </c>
      <c r="J1407" s="320">
        <v>34.42</v>
      </c>
      <c r="K1407" s="320">
        <v>18.32</v>
      </c>
      <c r="L1407" s="320">
        <v>5.68</v>
      </c>
      <c r="M1407" s="320">
        <v>0.3099</v>
      </c>
      <c r="N1407" s="320">
        <v>0.7588</v>
      </c>
      <c r="O1407" s="320">
        <v>0.5007</v>
      </c>
      <c r="P1407" s="320">
        <v>3.227</v>
      </c>
      <c r="Q1407" s="320">
        <v>90.11</v>
      </c>
      <c r="R1407" s="320">
        <v>80.54</v>
      </c>
      <c r="S1407" s="320">
        <v>9.57</v>
      </c>
      <c r="T1407" s="320">
        <v>18.25</v>
      </c>
      <c r="U1407" s="320">
        <v>71.86</v>
      </c>
      <c r="V1407" s="320">
        <v>82.75</v>
      </c>
      <c r="W1407" s="320">
        <v>4.5177</v>
      </c>
      <c r="X1407" s="320">
        <v>20.25</v>
      </c>
      <c r="Y1407" s="320">
        <v>88.0</v>
      </c>
      <c r="Z1407" s="320">
        <v>212.0</v>
      </c>
      <c r="AA1407" s="320">
        <v>860.0</v>
      </c>
      <c r="AB1407" s="320">
        <v>49.3903</v>
      </c>
      <c r="AC1407" s="320">
        <v>0.4347</v>
      </c>
      <c r="AD1407" s="320">
        <v>3.68</v>
      </c>
      <c r="AE1407" s="320">
        <v>1.0</v>
      </c>
      <c r="AF1407" s="320">
        <v>2.0</v>
      </c>
      <c r="AG1407" s="320">
        <v>5.0</v>
      </c>
      <c r="AH1407" s="320">
        <v>8.0</v>
      </c>
      <c r="AI1407" s="320">
        <v>67.69</v>
      </c>
      <c r="AJ1407" s="320">
        <v>26.6</v>
      </c>
      <c r="AK1407" s="320">
        <v>7.66</v>
      </c>
      <c r="AL1407" s="320">
        <v>0.2354</v>
      </c>
      <c r="AM1407" s="320">
        <v>21.27</v>
      </c>
      <c r="AN1407" s="320">
        <v>59.27</v>
      </c>
      <c r="AO1407" s="320">
        <v>68.3</v>
      </c>
      <c r="AP1407" s="320">
        <v>14.53</v>
      </c>
    </row>
    <row r="1408">
      <c r="A1408" s="319" t="s">
        <v>258</v>
      </c>
      <c r="B1408" s="328">
        <v>46164.0</v>
      </c>
      <c r="C1408" s="319" t="s">
        <v>215</v>
      </c>
      <c r="D1408" s="320">
        <v>14144.0</v>
      </c>
      <c r="E1408" s="320">
        <v>20.43</v>
      </c>
      <c r="F1408" s="320">
        <v>15458.04</v>
      </c>
      <c r="G1408" s="320">
        <v>1.0929</v>
      </c>
      <c r="H1408" s="320">
        <v>23.03</v>
      </c>
      <c r="I1408" s="320">
        <v>4.7461</v>
      </c>
      <c r="J1408" s="320">
        <v>62.21</v>
      </c>
      <c r="K1408" s="320">
        <v>35.43</v>
      </c>
      <c r="L1408" s="320">
        <v>14.85</v>
      </c>
      <c r="M1408" s="320">
        <v>0.4191</v>
      </c>
      <c r="N1408" s="320">
        <v>0.6442</v>
      </c>
      <c r="O1408" s="320">
        <v>0.3604</v>
      </c>
      <c r="P1408" s="320">
        <v>2.3858</v>
      </c>
      <c r="Q1408" s="320">
        <v>197.66</v>
      </c>
      <c r="R1408" s="320">
        <v>172.7</v>
      </c>
      <c r="S1408" s="320">
        <v>24.95</v>
      </c>
      <c r="T1408" s="320">
        <v>74.5</v>
      </c>
      <c r="U1408" s="320">
        <v>123.16</v>
      </c>
      <c r="V1408" s="320">
        <v>195.68</v>
      </c>
      <c r="W1408" s="320">
        <v>5.5233</v>
      </c>
      <c r="X1408" s="320">
        <v>37.69</v>
      </c>
      <c r="Y1408" s="320">
        <v>85.0</v>
      </c>
      <c r="Z1408" s="320">
        <v>197.0</v>
      </c>
      <c r="AA1408" s="320">
        <v>609.0</v>
      </c>
      <c r="AB1408" s="320">
        <v>52.5826</v>
      </c>
      <c r="AC1408" s="320">
        <v>0.5373</v>
      </c>
      <c r="AD1408" s="320">
        <v>9.56</v>
      </c>
      <c r="AE1408" s="320">
        <v>3.0</v>
      </c>
      <c r="AF1408" s="320">
        <v>7.0</v>
      </c>
      <c r="AG1408" s="320">
        <v>13.0</v>
      </c>
      <c r="AH1408" s="320">
        <v>21.0</v>
      </c>
      <c r="AI1408" s="320">
        <v>56.72</v>
      </c>
      <c r="AJ1408" s="320">
        <v>27.2</v>
      </c>
      <c r="AK1408" s="320">
        <v>6.2</v>
      </c>
      <c r="AL1408" s="320">
        <v>0.2116</v>
      </c>
      <c r="AM1408" s="320">
        <v>22.27</v>
      </c>
      <c r="AN1408" s="320">
        <v>150.43</v>
      </c>
      <c r="AO1408" s="320">
        <v>74.14</v>
      </c>
      <c r="AP1408" s="320">
        <v>16.51</v>
      </c>
    </row>
    <row r="1409">
      <c r="A1409" s="319" t="s">
        <v>258</v>
      </c>
      <c r="B1409" s="328">
        <v>46164.0</v>
      </c>
      <c r="C1409" s="319" t="s">
        <v>216</v>
      </c>
      <c r="D1409" s="320">
        <v>6674.0</v>
      </c>
      <c r="E1409" s="320">
        <v>9.64</v>
      </c>
      <c r="F1409" s="320">
        <v>18200.46</v>
      </c>
      <c r="G1409" s="320">
        <v>2.7271</v>
      </c>
      <c r="H1409" s="320">
        <v>35.57</v>
      </c>
      <c r="I1409" s="320">
        <v>7.6666</v>
      </c>
      <c r="J1409" s="320">
        <v>83.45</v>
      </c>
      <c r="K1409" s="320">
        <v>49.19</v>
      </c>
      <c r="L1409" s="320">
        <v>27.22</v>
      </c>
      <c r="M1409" s="320">
        <v>0.5533</v>
      </c>
      <c r="N1409" s="320">
        <v>0.5209</v>
      </c>
      <c r="O1409" s="320">
        <v>0.2793</v>
      </c>
      <c r="P1409" s="320">
        <v>1.8072</v>
      </c>
      <c r="Q1409" s="320">
        <v>357.41</v>
      </c>
      <c r="R1409" s="320">
        <v>310.85</v>
      </c>
      <c r="S1409" s="320">
        <v>46.56</v>
      </c>
      <c r="T1409" s="320">
        <v>173.35</v>
      </c>
      <c r="U1409" s="320">
        <v>184.06</v>
      </c>
      <c r="V1409" s="320">
        <v>361.55</v>
      </c>
      <c r="W1409" s="320">
        <v>7.3507</v>
      </c>
      <c r="X1409" s="320">
        <v>48.5</v>
      </c>
      <c r="Y1409" s="320">
        <v>91.0</v>
      </c>
      <c r="Z1409" s="320">
        <v>235.0</v>
      </c>
      <c r="AA1409" s="320">
        <v>720.0</v>
      </c>
      <c r="AB1409" s="320">
        <v>55.1786</v>
      </c>
      <c r="AC1409" s="320">
        <v>0.6701</v>
      </c>
      <c r="AD1409" s="320">
        <v>18.63</v>
      </c>
      <c r="AE1409" s="320">
        <v>6.0</v>
      </c>
      <c r="AF1409" s="320">
        <v>14.0</v>
      </c>
      <c r="AG1409" s="320">
        <v>27.0</v>
      </c>
      <c r="AH1409" s="320">
        <v>39.0</v>
      </c>
      <c r="AI1409" s="320">
        <v>59.05</v>
      </c>
      <c r="AJ1409" s="320">
        <v>26.72</v>
      </c>
      <c r="AK1409" s="320">
        <v>9.05</v>
      </c>
      <c r="AL1409" s="320">
        <v>0.2303</v>
      </c>
      <c r="AM1409" s="320">
        <v>21.29</v>
      </c>
      <c r="AN1409" s="320">
        <v>289.56</v>
      </c>
      <c r="AO1409" s="320">
        <v>73.47</v>
      </c>
      <c r="AP1409" s="320">
        <v>15.64</v>
      </c>
    </row>
    <row r="1410">
      <c r="A1410" s="319" t="s">
        <v>258</v>
      </c>
      <c r="B1410" s="328">
        <v>46164.0</v>
      </c>
      <c r="C1410" s="319" t="s">
        <v>217</v>
      </c>
      <c r="D1410" s="320">
        <v>2550.0</v>
      </c>
      <c r="E1410" s="320">
        <v>3.68</v>
      </c>
      <c r="F1410" s="320">
        <v>15403.93</v>
      </c>
      <c r="G1410" s="320">
        <v>6.0408</v>
      </c>
      <c r="H1410" s="320">
        <v>44.9</v>
      </c>
      <c r="I1410" s="320">
        <v>13.4532</v>
      </c>
      <c r="J1410" s="320">
        <v>130.0</v>
      </c>
      <c r="K1410" s="320">
        <v>79.84</v>
      </c>
      <c r="L1410" s="320">
        <v>55.24</v>
      </c>
      <c r="M1410" s="320">
        <v>0.6919</v>
      </c>
      <c r="N1410" s="320">
        <v>0.3928</v>
      </c>
      <c r="O1410" s="320">
        <v>0.216</v>
      </c>
      <c r="P1410" s="320">
        <v>1.4453</v>
      </c>
      <c r="Q1410" s="320">
        <v>696.8</v>
      </c>
      <c r="R1410" s="320">
        <v>601.87</v>
      </c>
      <c r="S1410" s="320">
        <v>94.93</v>
      </c>
      <c r="T1410" s="320">
        <v>380.95</v>
      </c>
      <c r="U1410" s="320">
        <v>315.86</v>
      </c>
      <c r="V1410" s="320">
        <v>708.82</v>
      </c>
      <c r="W1410" s="320">
        <v>8.8779</v>
      </c>
      <c r="X1410" s="320">
        <v>54.67</v>
      </c>
      <c r="Y1410" s="320">
        <v>103.0</v>
      </c>
      <c r="Z1410" s="320">
        <v>350.0</v>
      </c>
      <c r="AA1410" s="320">
        <v>977.0</v>
      </c>
      <c r="AB1410" s="320">
        <v>58.3292</v>
      </c>
      <c r="AC1410" s="320">
        <v>0.7713</v>
      </c>
      <c r="AD1410" s="320">
        <v>38.21</v>
      </c>
      <c r="AE1410" s="320">
        <v>13.0</v>
      </c>
      <c r="AF1410" s="320">
        <v>31.0</v>
      </c>
      <c r="AG1410" s="320">
        <v>55.0</v>
      </c>
      <c r="AH1410" s="320">
        <v>82.0</v>
      </c>
      <c r="AI1410" s="320">
        <v>53.06</v>
      </c>
      <c r="AJ1410" s="320">
        <v>21.65</v>
      </c>
      <c r="AK1410" s="320">
        <v>5.57</v>
      </c>
      <c r="AL1410" s="320">
        <v>0.2102</v>
      </c>
      <c r="AM1410" s="320">
        <v>20.69</v>
      </c>
      <c r="AN1410" s="320">
        <v>581.18</v>
      </c>
      <c r="AO1410" s="320">
        <v>74.28</v>
      </c>
      <c r="AP1410" s="320">
        <v>15.37</v>
      </c>
    </row>
    <row r="1411">
      <c r="A1411" s="319" t="s">
        <v>258</v>
      </c>
      <c r="B1411" s="328">
        <v>46164.0</v>
      </c>
      <c r="C1411" s="319" t="s">
        <v>218</v>
      </c>
      <c r="D1411" s="320">
        <v>269.0</v>
      </c>
      <c r="E1411" s="320">
        <v>0.39</v>
      </c>
      <c r="F1411" s="320">
        <v>2309.78</v>
      </c>
      <c r="G1411" s="320">
        <v>8.5865</v>
      </c>
      <c r="H1411" s="320">
        <v>43.12</v>
      </c>
      <c r="I1411" s="320">
        <v>19.9119</v>
      </c>
      <c r="J1411" s="320">
        <v>215.8</v>
      </c>
      <c r="K1411" s="320">
        <v>136.96</v>
      </c>
      <c r="L1411" s="320">
        <v>113.3</v>
      </c>
      <c r="M1411" s="320">
        <v>0.8273</v>
      </c>
      <c r="N1411" s="320">
        <v>0.2598</v>
      </c>
      <c r="O1411" s="320">
        <v>0.1603</v>
      </c>
      <c r="P1411" s="320">
        <v>1.2088</v>
      </c>
      <c r="Q1411" s="320">
        <v>1117.33</v>
      </c>
      <c r="R1411" s="320">
        <v>923.14</v>
      </c>
      <c r="S1411" s="320">
        <v>194.18</v>
      </c>
      <c r="T1411" s="320">
        <v>553.79</v>
      </c>
      <c r="U1411" s="320">
        <v>563.54</v>
      </c>
      <c r="V1411" s="320">
        <v>1233.46</v>
      </c>
      <c r="W1411" s="320">
        <v>9.0058</v>
      </c>
      <c r="X1411" s="320">
        <v>49.56</v>
      </c>
      <c r="Y1411" s="320">
        <v>130.0</v>
      </c>
      <c r="Z1411" s="320">
        <v>480.0</v>
      </c>
      <c r="AA1411" s="320">
        <v>2918.0</v>
      </c>
      <c r="AB1411" s="320">
        <v>63.6694</v>
      </c>
      <c r="AC1411" s="320">
        <v>0.8744</v>
      </c>
      <c r="AD1411" s="320">
        <v>81.54</v>
      </c>
      <c r="AE1411" s="320">
        <v>27.0</v>
      </c>
      <c r="AF1411" s="320">
        <v>67.0</v>
      </c>
      <c r="AG1411" s="320">
        <v>117.0</v>
      </c>
      <c r="AH1411" s="320">
        <v>181.0</v>
      </c>
      <c r="AI1411" s="320">
        <v>43.49</v>
      </c>
      <c r="AJ1411" s="320">
        <v>11.15</v>
      </c>
      <c r="AK1411" s="320">
        <v>1.12</v>
      </c>
      <c r="AL1411" s="320">
        <v>0.145</v>
      </c>
      <c r="AM1411" s="320">
        <v>19.48</v>
      </c>
      <c r="AN1411" s="320">
        <v>903.67</v>
      </c>
      <c r="AO1411" s="320">
        <v>72.01</v>
      </c>
      <c r="AP1411" s="320">
        <v>14.03</v>
      </c>
    </row>
    <row r="1412">
      <c r="A1412" s="319" t="s">
        <v>258</v>
      </c>
      <c r="B1412" s="328">
        <v>46165.0</v>
      </c>
      <c r="C1412" s="319" t="s">
        <v>257</v>
      </c>
      <c r="D1412" s="320">
        <v>15287.0</v>
      </c>
      <c r="E1412" s="320">
        <v>22.57</v>
      </c>
      <c r="F1412" s="320">
        <v>93.16</v>
      </c>
      <c r="G1412" s="320">
        <v>0.0061</v>
      </c>
      <c r="H1412" s="320">
        <v>0.23</v>
      </c>
      <c r="I1412" s="320">
        <v>2.6617</v>
      </c>
      <c r="J1412" s="320">
        <v>6.36</v>
      </c>
      <c r="K1412" s="320">
        <v>2.76</v>
      </c>
      <c r="L1412" s="320">
        <v>0.03</v>
      </c>
      <c r="M1412" s="320">
        <v>0.0113</v>
      </c>
      <c r="N1412" s="320">
        <v>0.9897</v>
      </c>
      <c r="O1412" s="320">
        <v>0.8631</v>
      </c>
      <c r="P1412" s="320">
        <v>88.2956</v>
      </c>
      <c r="Q1412" s="320">
        <v>25.7</v>
      </c>
      <c r="R1412" s="320">
        <v>25.64</v>
      </c>
      <c r="S1412" s="320">
        <v>0.07</v>
      </c>
      <c r="T1412" s="320">
        <v>0.56</v>
      </c>
      <c r="U1412" s="320">
        <v>25.14</v>
      </c>
      <c r="V1412" s="320">
        <v>2.42</v>
      </c>
      <c r="W1412" s="320">
        <v>0.8797</v>
      </c>
      <c r="X1412" s="320">
        <v>2.19</v>
      </c>
      <c r="Y1412" s="320">
        <v>146.0</v>
      </c>
      <c r="Z1412" s="320">
        <v>1089.0</v>
      </c>
      <c r="AA1412" s="320">
        <v>7578.0</v>
      </c>
      <c r="AB1412" s="320">
        <v>49.4562</v>
      </c>
      <c r="AC1412" s="320">
        <v>0.496</v>
      </c>
      <c r="AD1412" s="329"/>
      <c r="AE1412" s="329"/>
      <c r="AF1412" s="329"/>
      <c r="AG1412" s="329"/>
      <c r="AH1412" s="329"/>
      <c r="AI1412" s="320">
        <v>0.0</v>
      </c>
      <c r="AJ1412" s="320">
        <v>0.0</v>
      </c>
      <c r="AK1412" s="320">
        <v>0.0</v>
      </c>
      <c r="AL1412" s="320">
        <v>0.2798</v>
      </c>
      <c r="AM1412" s="320">
        <v>17.2</v>
      </c>
      <c r="AN1412" s="320">
        <v>8.44</v>
      </c>
      <c r="AO1412" s="329"/>
      <c r="AP1412" s="329"/>
    </row>
    <row r="1413">
      <c r="A1413" s="319" t="s">
        <v>258</v>
      </c>
      <c r="B1413" s="328">
        <v>46165.0</v>
      </c>
      <c r="C1413" s="319" t="s">
        <v>214</v>
      </c>
      <c r="D1413" s="320">
        <v>29498.0</v>
      </c>
      <c r="E1413" s="320">
        <v>43.55</v>
      </c>
      <c r="F1413" s="320">
        <v>7123.29</v>
      </c>
      <c r="G1413" s="320">
        <v>0.2415</v>
      </c>
      <c r="H1413" s="320">
        <v>7.06</v>
      </c>
      <c r="I1413" s="320">
        <v>3.4181</v>
      </c>
      <c r="J1413" s="320">
        <v>31.89</v>
      </c>
      <c r="K1413" s="320">
        <v>17.0</v>
      </c>
      <c r="L1413" s="320">
        <v>5.47</v>
      </c>
      <c r="M1413" s="320">
        <v>0.3218</v>
      </c>
      <c r="N1413" s="320">
        <v>0.7507</v>
      </c>
      <c r="O1413" s="320">
        <v>0.4988</v>
      </c>
      <c r="P1413" s="320">
        <v>3.1072</v>
      </c>
      <c r="Q1413" s="320">
        <v>76.71</v>
      </c>
      <c r="R1413" s="320">
        <v>67.51</v>
      </c>
      <c r="S1413" s="320">
        <v>9.2</v>
      </c>
      <c r="T1413" s="320">
        <v>17.55</v>
      </c>
      <c r="U1413" s="320">
        <v>59.17</v>
      </c>
      <c r="V1413" s="320">
        <v>80.41</v>
      </c>
      <c r="W1413" s="320">
        <v>4.7308</v>
      </c>
      <c r="X1413" s="320">
        <v>22.87</v>
      </c>
      <c r="Y1413" s="320">
        <v>88.0</v>
      </c>
      <c r="Z1413" s="320">
        <v>213.0</v>
      </c>
      <c r="AA1413" s="320">
        <v>896.0</v>
      </c>
      <c r="AB1413" s="320">
        <v>49.4181</v>
      </c>
      <c r="AC1413" s="320">
        <v>0.4414</v>
      </c>
      <c r="AD1413" s="320">
        <v>3.64</v>
      </c>
      <c r="AE1413" s="320">
        <v>1.0</v>
      </c>
      <c r="AF1413" s="320">
        <v>2.0</v>
      </c>
      <c r="AG1413" s="320">
        <v>5.0</v>
      </c>
      <c r="AH1413" s="320">
        <v>8.0</v>
      </c>
      <c r="AI1413" s="320">
        <v>67.02</v>
      </c>
      <c r="AJ1413" s="320">
        <v>25.5</v>
      </c>
      <c r="AK1413" s="320">
        <v>7.5</v>
      </c>
      <c r="AL1413" s="320">
        <v>0.2174</v>
      </c>
      <c r="AM1413" s="320">
        <v>23.27</v>
      </c>
      <c r="AN1413" s="320">
        <v>44.24</v>
      </c>
      <c r="AO1413" s="320">
        <v>67.95</v>
      </c>
      <c r="AP1413" s="320">
        <v>15.81</v>
      </c>
    </row>
    <row r="1414">
      <c r="A1414" s="319" t="s">
        <v>258</v>
      </c>
      <c r="B1414" s="328">
        <v>46165.0</v>
      </c>
      <c r="C1414" s="319" t="s">
        <v>215</v>
      </c>
      <c r="D1414" s="320">
        <v>13522.0</v>
      </c>
      <c r="E1414" s="320">
        <v>19.96</v>
      </c>
      <c r="F1414" s="320">
        <v>13944.21</v>
      </c>
      <c r="G1414" s="320">
        <v>1.0312</v>
      </c>
      <c r="H1414" s="320">
        <v>22.72</v>
      </c>
      <c r="I1414" s="320">
        <v>4.5391</v>
      </c>
      <c r="J1414" s="320">
        <v>57.81</v>
      </c>
      <c r="K1414" s="320">
        <v>32.63</v>
      </c>
      <c r="L1414" s="320">
        <v>14.14</v>
      </c>
      <c r="M1414" s="320">
        <v>0.4334</v>
      </c>
      <c r="N1414" s="320">
        <v>0.633</v>
      </c>
      <c r="O1414" s="320">
        <v>0.3556</v>
      </c>
      <c r="P1414" s="320">
        <v>2.3074</v>
      </c>
      <c r="Q1414" s="320">
        <v>182.99</v>
      </c>
      <c r="R1414" s="320">
        <v>158.95</v>
      </c>
      <c r="S1414" s="320">
        <v>24.04</v>
      </c>
      <c r="T1414" s="320">
        <v>70.79</v>
      </c>
      <c r="U1414" s="320">
        <v>112.21</v>
      </c>
      <c r="V1414" s="320">
        <v>189.34</v>
      </c>
      <c r="W1414" s="320">
        <v>5.802</v>
      </c>
      <c r="X1414" s="320">
        <v>38.68</v>
      </c>
      <c r="Y1414" s="320">
        <v>85.0</v>
      </c>
      <c r="Z1414" s="320">
        <v>196.0</v>
      </c>
      <c r="AA1414" s="320">
        <v>654.0</v>
      </c>
      <c r="AB1414" s="320">
        <v>52.6573</v>
      </c>
      <c r="AC1414" s="320">
        <v>0.5489</v>
      </c>
      <c r="AD1414" s="320">
        <v>9.46</v>
      </c>
      <c r="AE1414" s="320">
        <v>3.0</v>
      </c>
      <c r="AF1414" s="320">
        <v>7.0</v>
      </c>
      <c r="AG1414" s="320">
        <v>13.0</v>
      </c>
      <c r="AH1414" s="320">
        <v>21.0</v>
      </c>
      <c r="AI1414" s="320">
        <v>56.13</v>
      </c>
      <c r="AJ1414" s="320">
        <v>27.03</v>
      </c>
      <c r="AK1414" s="320">
        <v>6.09</v>
      </c>
      <c r="AL1414" s="320">
        <v>0.1964</v>
      </c>
      <c r="AM1414" s="320">
        <v>24.12</v>
      </c>
      <c r="AN1414" s="320">
        <v>134.83</v>
      </c>
      <c r="AO1414" s="320">
        <v>74.01</v>
      </c>
      <c r="AP1414" s="320">
        <v>17.85</v>
      </c>
    </row>
    <row r="1415">
      <c r="A1415" s="319" t="s">
        <v>258</v>
      </c>
      <c r="B1415" s="328">
        <v>46165.0</v>
      </c>
      <c r="C1415" s="319" t="s">
        <v>216</v>
      </c>
      <c r="D1415" s="320">
        <v>6666.0</v>
      </c>
      <c r="E1415" s="320">
        <v>9.84</v>
      </c>
      <c r="F1415" s="320">
        <v>17779.87</v>
      </c>
      <c r="G1415" s="320">
        <v>2.6672</v>
      </c>
      <c r="H1415" s="320">
        <v>35.22</v>
      </c>
      <c r="I1415" s="320">
        <v>7.5723</v>
      </c>
      <c r="J1415" s="320">
        <v>79.48</v>
      </c>
      <c r="K1415" s="320">
        <v>46.72</v>
      </c>
      <c r="L1415" s="320">
        <v>26.76</v>
      </c>
      <c r="M1415" s="320">
        <v>0.5729</v>
      </c>
      <c r="N1415" s="320">
        <v>0.5052</v>
      </c>
      <c r="O1415" s="320">
        <v>0.2723</v>
      </c>
      <c r="P1415" s="320">
        <v>1.7456</v>
      </c>
      <c r="Q1415" s="320">
        <v>356.26</v>
      </c>
      <c r="R1415" s="320">
        <v>310.7</v>
      </c>
      <c r="S1415" s="320">
        <v>45.55</v>
      </c>
      <c r="T1415" s="320">
        <v>169.81</v>
      </c>
      <c r="U1415" s="320">
        <v>186.45</v>
      </c>
      <c r="V1415" s="320">
        <v>365.66</v>
      </c>
      <c r="W1415" s="320">
        <v>7.8267</v>
      </c>
      <c r="X1415" s="320">
        <v>47.66</v>
      </c>
      <c r="Y1415" s="320">
        <v>91.0</v>
      </c>
      <c r="Z1415" s="320">
        <v>248.0</v>
      </c>
      <c r="AA1415" s="320">
        <v>695.0</v>
      </c>
      <c r="AB1415" s="320">
        <v>55.1801</v>
      </c>
      <c r="AC1415" s="320">
        <v>0.6772</v>
      </c>
      <c r="AD1415" s="320">
        <v>18.57</v>
      </c>
      <c r="AE1415" s="320">
        <v>6.0</v>
      </c>
      <c r="AF1415" s="320">
        <v>14.0</v>
      </c>
      <c r="AG1415" s="320">
        <v>26.0</v>
      </c>
      <c r="AH1415" s="320">
        <v>40.0</v>
      </c>
      <c r="AI1415" s="320">
        <v>59.02</v>
      </c>
      <c r="AJ1415" s="320">
        <v>25.85</v>
      </c>
      <c r="AK1415" s="320">
        <v>8.69</v>
      </c>
      <c r="AL1415" s="320">
        <v>0.2112</v>
      </c>
      <c r="AM1415" s="320">
        <v>23.22</v>
      </c>
      <c r="AN1415" s="320">
        <v>287.49</v>
      </c>
      <c r="AO1415" s="320">
        <v>72.73</v>
      </c>
      <c r="AP1415" s="320">
        <v>16.89</v>
      </c>
    </row>
    <row r="1416">
      <c r="A1416" s="319" t="s">
        <v>258</v>
      </c>
      <c r="B1416" s="328">
        <v>46165.0</v>
      </c>
      <c r="C1416" s="319" t="s">
        <v>217</v>
      </c>
      <c r="D1416" s="320">
        <v>2485.0</v>
      </c>
      <c r="E1416" s="320">
        <v>3.67</v>
      </c>
      <c r="F1416" s="320">
        <v>14355.19</v>
      </c>
      <c r="G1416" s="320">
        <v>5.7767</v>
      </c>
      <c r="H1416" s="320">
        <v>44.43</v>
      </c>
      <c r="I1416" s="320">
        <v>13.0029</v>
      </c>
      <c r="J1416" s="320">
        <v>120.96</v>
      </c>
      <c r="K1416" s="320">
        <v>74.34</v>
      </c>
      <c r="L1416" s="320">
        <v>53.54</v>
      </c>
      <c r="M1416" s="320">
        <v>0.7202</v>
      </c>
      <c r="N1416" s="320">
        <v>0.37</v>
      </c>
      <c r="O1416" s="320">
        <v>0.2094</v>
      </c>
      <c r="P1416" s="320">
        <v>1.3886</v>
      </c>
      <c r="Q1416" s="320">
        <v>711.4</v>
      </c>
      <c r="R1416" s="320">
        <v>619.3</v>
      </c>
      <c r="S1416" s="320">
        <v>92.09</v>
      </c>
      <c r="T1416" s="320">
        <v>363.09</v>
      </c>
      <c r="U1416" s="320">
        <v>348.31</v>
      </c>
      <c r="V1416" s="320">
        <v>708.89</v>
      </c>
      <c r="W1416" s="320">
        <v>9.5356</v>
      </c>
      <c r="X1416" s="320">
        <v>51.04</v>
      </c>
      <c r="Y1416" s="320">
        <v>112.0</v>
      </c>
      <c r="Z1416" s="320">
        <v>357.0</v>
      </c>
      <c r="AA1416" s="320">
        <v>986.0</v>
      </c>
      <c r="AB1416" s="320">
        <v>58.3101</v>
      </c>
      <c r="AC1416" s="320">
        <v>0.7846</v>
      </c>
      <c r="AD1416" s="320">
        <v>38.19</v>
      </c>
      <c r="AE1416" s="320">
        <v>13.0</v>
      </c>
      <c r="AF1416" s="320">
        <v>31.0</v>
      </c>
      <c r="AG1416" s="320">
        <v>55.0</v>
      </c>
      <c r="AH1416" s="320">
        <v>81.0</v>
      </c>
      <c r="AI1416" s="320">
        <v>53.8</v>
      </c>
      <c r="AJ1416" s="320">
        <v>20.76</v>
      </c>
      <c r="AK1416" s="320">
        <v>4.91</v>
      </c>
      <c r="AL1416" s="320">
        <v>0.2032</v>
      </c>
      <c r="AM1416" s="320">
        <v>22.3</v>
      </c>
      <c r="AN1416" s="320">
        <v>597.0</v>
      </c>
      <c r="AO1416" s="320">
        <v>72.99</v>
      </c>
      <c r="AP1416" s="320">
        <v>16.28</v>
      </c>
    </row>
    <row r="1417">
      <c r="A1417" s="319" t="s">
        <v>258</v>
      </c>
      <c r="B1417" s="328">
        <v>46165.0</v>
      </c>
      <c r="C1417" s="319" t="s">
        <v>218</v>
      </c>
      <c r="D1417" s="320">
        <v>273.0</v>
      </c>
      <c r="E1417" s="320">
        <v>0.4</v>
      </c>
      <c r="F1417" s="320">
        <v>2394.06</v>
      </c>
      <c r="G1417" s="320">
        <v>8.7695</v>
      </c>
      <c r="H1417" s="320">
        <v>50.92</v>
      </c>
      <c r="I1417" s="320">
        <v>17.2235</v>
      </c>
      <c r="J1417" s="320">
        <v>220.02</v>
      </c>
      <c r="K1417" s="320">
        <v>142.13</v>
      </c>
      <c r="L1417" s="320">
        <v>118.56</v>
      </c>
      <c r="M1417" s="320">
        <v>0.8342</v>
      </c>
      <c r="N1417" s="320">
        <v>0.2508</v>
      </c>
      <c r="O1417" s="320">
        <v>0.1558</v>
      </c>
      <c r="P1417" s="320">
        <v>1.1987</v>
      </c>
      <c r="Q1417" s="320">
        <v>1213.01</v>
      </c>
      <c r="R1417" s="320">
        <v>1004.88</v>
      </c>
      <c r="S1417" s="320">
        <v>208.13</v>
      </c>
      <c r="T1417" s="320">
        <v>552.31</v>
      </c>
      <c r="U1417" s="320">
        <v>660.71</v>
      </c>
      <c r="V1417" s="320">
        <v>1321.61</v>
      </c>
      <c r="W1417" s="320">
        <v>9.2987</v>
      </c>
      <c r="X1417" s="320">
        <v>45.53</v>
      </c>
      <c r="Y1417" s="320">
        <v>145.0</v>
      </c>
      <c r="Z1417" s="320">
        <v>633.0</v>
      </c>
      <c r="AA1417" s="320">
        <v>3306.0</v>
      </c>
      <c r="AB1417" s="320">
        <v>62.9835</v>
      </c>
      <c r="AC1417" s="320">
        <v>0.8561</v>
      </c>
      <c r="AD1417" s="320">
        <v>84.61</v>
      </c>
      <c r="AE1417" s="320">
        <v>28.0</v>
      </c>
      <c r="AF1417" s="320">
        <v>71.0</v>
      </c>
      <c r="AG1417" s="320">
        <v>124.0</v>
      </c>
      <c r="AH1417" s="320">
        <v>174.0</v>
      </c>
      <c r="AI1417" s="320">
        <v>47.62</v>
      </c>
      <c r="AJ1417" s="320">
        <v>9.52</v>
      </c>
      <c r="AK1417" s="320">
        <v>0.73</v>
      </c>
      <c r="AL1417" s="320">
        <v>0.1612</v>
      </c>
      <c r="AM1417" s="320">
        <v>22.07</v>
      </c>
      <c r="AN1417" s="320">
        <v>982.81</v>
      </c>
      <c r="AO1417" s="320">
        <v>69.23</v>
      </c>
      <c r="AP1417" s="320">
        <v>15.28</v>
      </c>
    </row>
    <row r="1418">
      <c r="A1418" s="319" t="s">
        <v>258</v>
      </c>
      <c r="B1418" s="328">
        <v>46166.0</v>
      </c>
      <c r="C1418" s="319" t="s">
        <v>257</v>
      </c>
      <c r="D1418" s="320">
        <v>15387.0</v>
      </c>
      <c r="E1418" s="320">
        <v>22.4</v>
      </c>
      <c r="F1418" s="320">
        <v>160.14</v>
      </c>
      <c r="G1418" s="320">
        <v>0.0104</v>
      </c>
      <c r="H1418" s="320">
        <v>0.21</v>
      </c>
      <c r="I1418" s="320">
        <v>4.8527</v>
      </c>
      <c r="J1418" s="320">
        <v>6.61</v>
      </c>
      <c r="K1418" s="320">
        <v>3.05</v>
      </c>
      <c r="L1418" s="320">
        <v>0.06</v>
      </c>
      <c r="M1418" s="320">
        <v>0.0184</v>
      </c>
      <c r="N1418" s="320">
        <v>0.9828</v>
      </c>
      <c r="O1418" s="320">
        <v>0.7603</v>
      </c>
      <c r="P1418" s="320">
        <v>54.338</v>
      </c>
      <c r="Q1418" s="320">
        <v>23.49</v>
      </c>
      <c r="R1418" s="320">
        <v>23.42</v>
      </c>
      <c r="S1418" s="320">
        <v>0.07</v>
      </c>
      <c r="T1418" s="320">
        <v>0.86</v>
      </c>
      <c r="U1418" s="320">
        <v>22.63</v>
      </c>
      <c r="V1418" s="320">
        <v>2.26</v>
      </c>
      <c r="W1418" s="320">
        <v>0.7391</v>
      </c>
      <c r="X1418" s="320">
        <v>3.65</v>
      </c>
      <c r="Y1418" s="320">
        <v>139.0</v>
      </c>
      <c r="Z1418" s="320">
        <v>1151.0</v>
      </c>
      <c r="AA1418" s="320">
        <v>7768.0</v>
      </c>
      <c r="AB1418" s="320">
        <v>49.6757</v>
      </c>
      <c r="AC1418" s="320">
        <v>0.5111</v>
      </c>
      <c r="AD1418" s="329"/>
      <c r="AE1418" s="329"/>
      <c r="AF1418" s="329"/>
      <c r="AG1418" s="329"/>
      <c r="AH1418" s="329"/>
      <c r="AI1418" s="320">
        <v>0.0</v>
      </c>
      <c r="AJ1418" s="320">
        <v>0.0</v>
      </c>
      <c r="AK1418" s="320">
        <v>0.0</v>
      </c>
      <c r="AL1418" s="320">
        <v>0.2747</v>
      </c>
      <c r="AM1418" s="320">
        <v>17.1</v>
      </c>
      <c r="AN1418" s="320">
        <v>6.32</v>
      </c>
      <c r="AO1418" s="329"/>
      <c r="AP1418" s="329"/>
    </row>
    <row r="1419">
      <c r="A1419" s="319" t="s">
        <v>258</v>
      </c>
      <c r="B1419" s="328">
        <v>46166.0</v>
      </c>
      <c r="C1419" s="319" t="s">
        <v>214</v>
      </c>
      <c r="D1419" s="320">
        <v>29819.0</v>
      </c>
      <c r="E1419" s="320">
        <v>43.41</v>
      </c>
      <c r="F1419" s="320">
        <v>7060.4</v>
      </c>
      <c r="G1419" s="320">
        <v>0.2368</v>
      </c>
      <c r="H1419" s="320">
        <v>7.08</v>
      </c>
      <c r="I1419" s="320">
        <v>3.3446</v>
      </c>
      <c r="J1419" s="320">
        <v>36.5</v>
      </c>
      <c r="K1419" s="320">
        <v>19.81</v>
      </c>
      <c r="L1419" s="320">
        <v>5.6</v>
      </c>
      <c r="M1419" s="320">
        <v>0.283</v>
      </c>
      <c r="N1419" s="320">
        <v>0.7778</v>
      </c>
      <c r="O1419" s="320">
        <v>0.5157</v>
      </c>
      <c r="P1419" s="320">
        <v>3.5341</v>
      </c>
      <c r="Q1419" s="320">
        <v>68.45</v>
      </c>
      <c r="R1419" s="320">
        <v>59.03</v>
      </c>
      <c r="S1419" s="320">
        <v>9.42</v>
      </c>
      <c r="T1419" s="320">
        <v>17.32</v>
      </c>
      <c r="U1419" s="320">
        <v>51.12</v>
      </c>
      <c r="V1419" s="320">
        <v>76.53</v>
      </c>
      <c r="W1419" s="320">
        <v>3.8637</v>
      </c>
      <c r="X1419" s="320">
        <v>25.31</v>
      </c>
      <c r="Y1419" s="320">
        <v>84.0</v>
      </c>
      <c r="Z1419" s="320">
        <v>195.0</v>
      </c>
      <c r="AA1419" s="320">
        <v>850.0</v>
      </c>
      <c r="AB1419" s="320">
        <v>49.401</v>
      </c>
      <c r="AC1419" s="320">
        <v>0.439</v>
      </c>
      <c r="AD1419" s="320">
        <v>3.6</v>
      </c>
      <c r="AE1419" s="320">
        <v>1.0</v>
      </c>
      <c r="AF1419" s="320">
        <v>2.0</v>
      </c>
      <c r="AG1419" s="320">
        <v>5.0</v>
      </c>
      <c r="AH1419" s="320">
        <v>8.0</v>
      </c>
      <c r="AI1419" s="320">
        <v>67.76</v>
      </c>
      <c r="AJ1419" s="320">
        <v>25.18</v>
      </c>
      <c r="AK1419" s="320">
        <v>7.11</v>
      </c>
      <c r="AL1419" s="320">
        <v>0.2154</v>
      </c>
      <c r="AM1419" s="320">
        <v>21.87</v>
      </c>
      <c r="AN1419" s="320">
        <v>37.16</v>
      </c>
      <c r="AO1419" s="320">
        <v>67.72</v>
      </c>
      <c r="AP1419" s="320">
        <v>14.81</v>
      </c>
    </row>
    <row r="1420">
      <c r="A1420" s="319" t="s">
        <v>258</v>
      </c>
      <c r="B1420" s="328">
        <v>46166.0</v>
      </c>
      <c r="C1420" s="319" t="s">
        <v>215</v>
      </c>
      <c r="D1420" s="320">
        <v>13718.0</v>
      </c>
      <c r="E1420" s="320">
        <v>19.97</v>
      </c>
      <c r="F1420" s="320">
        <v>14372.61</v>
      </c>
      <c r="G1420" s="320">
        <v>1.0477</v>
      </c>
      <c r="H1420" s="320">
        <v>22.34</v>
      </c>
      <c r="I1420" s="320">
        <v>4.6908</v>
      </c>
      <c r="J1420" s="320">
        <v>63.57</v>
      </c>
      <c r="K1420" s="320">
        <v>36.59</v>
      </c>
      <c r="L1420" s="320">
        <v>14.31</v>
      </c>
      <c r="M1420" s="320">
        <v>0.391</v>
      </c>
      <c r="N1420" s="320">
        <v>0.6656</v>
      </c>
      <c r="O1420" s="320">
        <v>0.3724</v>
      </c>
      <c r="P1420" s="320">
        <v>2.5574</v>
      </c>
      <c r="Q1420" s="320">
        <v>161.82</v>
      </c>
      <c r="R1420" s="320">
        <v>137.54</v>
      </c>
      <c r="S1420" s="320">
        <v>24.28</v>
      </c>
      <c r="T1420" s="320">
        <v>71.31</v>
      </c>
      <c r="U1420" s="320">
        <v>90.51</v>
      </c>
      <c r="V1420" s="320">
        <v>175.51</v>
      </c>
      <c r="W1420" s="320">
        <v>4.7968</v>
      </c>
      <c r="X1420" s="320">
        <v>44.07</v>
      </c>
      <c r="Y1420" s="320">
        <v>80.0</v>
      </c>
      <c r="Z1420" s="320">
        <v>174.0</v>
      </c>
      <c r="AA1420" s="320">
        <v>613.0</v>
      </c>
      <c r="AB1420" s="320">
        <v>52.6966</v>
      </c>
      <c r="AC1420" s="320">
        <v>0.552</v>
      </c>
      <c r="AD1420" s="320">
        <v>9.19</v>
      </c>
      <c r="AE1420" s="320">
        <v>3.0</v>
      </c>
      <c r="AF1420" s="320">
        <v>6.0</v>
      </c>
      <c r="AG1420" s="320">
        <v>13.0</v>
      </c>
      <c r="AH1420" s="320">
        <v>20.0</v>
      </c>
      <c r="AI1420" s="320">
        <v>55.1</v>
      </c>
      <c r="AJ1420" s="320">
        <v>25.8</v>
      </c>
      <c r="AK1420" s="320">
        <v>5.43</v>
      </c>
      <c r="AL1420" s="320">
        <v>0.1967</v>
      </c>
      <c r="AM1420" s="320">
        <v>22.2</v>
      </c>
      <c r="AN1420" s="320">
        <v>115.34</v>
      </c>
      <c r="AO1420" s="320">
        <v>73.69</v>
      </c>
      <c r="AP1420" s="320">
        <v>16.36</v>
      </c>
    </row>
    <row r="1421">
      <c r="A1421" s="319" t="s">
        <v>258</v>
      </c>
      <c r="B1421" s="328">
        <v>46166.0</v>
      </c>
      <c r="C1421" s="319" t="s">
        <v>216</v>
      </c>
      <c r="D1421" s="320">
        <v>6835.0</v>
      </c>
      <c r="E1421" s="320">
        <v>9.95</v>
      </c>
      <c r="F1421" s="320">
        <v>20259.08</v>
      </c>
      <c r="G1421" s="320">
        <v>2.964</v>
      </c>
      <c r="H1421" s="320">
        <v>36.15</v>
      </c>
      <c r="I1421" s="320">
        <v>8.1987</v>
      </c>
      <c r="J1421" s="320">
        <v>85.37</v>
      </c>
      <c r="K1421" s="320">
        <v>51.01</v>
      </c>
      <c r="L1421" s="320">
        <v>27.51</v>
      </c>
      <c r="M1421" s="320">
        <v>0.5393</v>
      </c>
      <c r="N1421" s="320">
        <v>0.5307</v>
      </c>
      <c r="O1421" s="320">
        <v>0.2821</v>
      </c>
      <c r="P1421" s="320">
        <v>1.8541</v>
      </c>
      <c r="Q1421" s="320">
        <v>335.11</v>
      </c>
      <c r="R1421" s="320">
        <v>288.25</v>
      </c>
      <c r="S1421" s="320">
        <v>46.86</v>
      </c>
      <c r="T1421" s="320">
        <v>187.69</v>
      </c>
      <c r="U1421" s="320">
        <v>147.42</v>
      </c>
      <c r="V1421" s="320">
        <v>353.86</v>
      </c>
      <c r="W1421" s="320">
        <v>6.9375</v>
      </c>
      <c r="X1421" s="320">
        <v>56.01</v>
      </c>
      <c r="Y1421" s="320">
        <v>84.0</v>
      </c>
      <c r="Z1421" s="320">
        <v>208.0</v>
      </c>
      <c r="AA1421" s="320">
        <v>738.0</v>
      </c>
      <c r="AB1421" s="320">
        <v>55.084</v>
      </c>
      <c r="AC1421" s="320">
        <v>0.6789</v>
      </c>
      <c r="AD1421" s="320">
        <v>18.39</v>
      </c>
      <c r="AE1421" s="320">
        <v>6.0</v>
      </c>
      <c r="AF1421" s="320">
        <v>14.0</v>
      </c>
      <c r="AG1421" s="320">
        <v>26.0</v>
      </c>
      <c r="AH1421" s="320">
        <v>39.0</v>
      </c>
      <c r="AI1421" s="320">
        <v>57.73</v>
      </c>
      <c r="AJ1421" s="320">
        <v>25.34</v>
      </c>
      <c r="AK1421" s="320">
        <v>8.5</v>
      </c>
      <c r="AL1421" s="320">
        <v>0.2184</v>
      </c>
      <c r="AM1421" s="320">
        <v>21.35</v>
      </c>
      <c r="AN1421" s="320">
        <v>266.9</v>
      </c>
      <c r="AO1421" s="320">
        <v>71.84</v>
      </c>
      <c r="AP1421" s="320">
        <v>15.34</v>
      </c>
    </row>
    <row r="1422">
      <c r="A1422" s="319" t="s">
        <v>258</v>
      </c>
      <c r="B1422" s="328">
        <v>46166.0</v>
      </c>
      <c r="C1422" s="319" t="s">
        <v>217</v>
      </c>
      <c r="D1422" s="320">
        <v>2659.0</v>
      </c>
      <c r="E1422" s="320">
        <v>3.87</v>
      </c>
      <c r="F1422" s="320">
        <v>16041.35</v>
      </c>
      <c r="G1422" s="320">
        <v>6.0329</v>
      </c>
      <c r="H1422" s="320">
        <v>43.47</v>
      </c>
      <c r="I1422" s="320">
        <v>13.8766</v>
      </c>
      <c r="J1422" s="320">
        <v>127.6</v>
      </c>
      <c r="K1422" s="320">
        <v>78.71</v>
      </c>
      <c r="L1422" s="320">
        <v>54.64</v>
      </c>
      <c r="M1422" s="320">
        <v>0.6942</v>
      </c>
      <c r="N1422" s="320">
        <v>0.388</v>
      </c>
      <c r="O1422" s="320">
        <v>0.2113</v>
      </c>
      <c r="P1422" s="320">
        <v>1.4404</v>
      </c>
      <c r="Q1422" s="320">
        <v>644.6</v>
      </c>
      <c r="R1422" s="320">
        <v>550.72</v>
      </c>
      <c r="S1422" s="320">
        <v>93.88</v>
      </c>
      <c r="T1422" s="320">
        <v>378.7</v>
      </c>
      <c r="U1422" s="320">
        <v>265.9</v>
      </c>
      <c r="V1422" s="320">
        <v>682.87</v>
      </c>
      <c r="W1422" s="320">
        <v>8.6758</v>
      </c>
      <c r="X1422" s="320">
        <v>58.75</v>
      </c>
      <c r="Y1422" s="320">
        <v>95.0</v>
      </c>
      <c r="Z1422" s="320">
        <v>325.0</v>
      </c>
      <c r="AA1422" s="320">
        <v>1009.0</v>
      </c>
      <c r="AB1422" s="320">
        <v>58.3589</v>
      </c>
      <c r="AC1422" s="320">
        <v>0.7873</v>
      </c>
      <c r="AD1422" s="320">
        <v>38.51</v>
      </c>
      <c r="AE1422" s="320">
        <v>12.0</v>
      </c>
      <c r="AF1422" s="320">
        <v>30.0</v>
      </c>
      <c r="AG1422" s="320">
        <v>55.0</v>
      </c>
      <c r="AH1422" s="320">
        <v>83.0</v>
      </c>
      <c r="AI1422" s="320">
        <v>53.33</v>
      </c>
      <c r="AJ1422" s="320">
        <v>21.59</v>
      </c>
      <c r="AK1422" s="320">
        <v>5.34</v>
      </c>
      <c r="AL1422" s="320">
        <v>0.2057</v>
      </c>
      <c r="AM1422" s="320">
        <v>21.86</v>
      </c>
      <c r="AN1422" s="320">
        <v>528.86</v>
      </c>
      <c r="AO1422" s="320">
        <v>69.69</v>
      </c>
      <c r="AP1422" s="320">
        <v>15.23</v>
      </c>
    </row>
    <row r="1423">
      <c r="A1423" s="319" t="s">
        <v>258</v>
      </c>
      <c r="B1423" s="328">
        <v>46166.0</v>
      </c>
      <c r="C1423" s="319" t="s">
        <v>218</v>
      </c>
      <c r="D1423" s="320">
        <v>275.0</v>
      </c>
      <c r="E1423" s="320">
        <v>0.4</v>
      </c>
      <c r="F1423" s="320">
        <v>2999.61</v>
      </c>
      <c r="G1423" s="320">
        <v>10.9077</v>
      </c>
      <c r="H1423" s="320">
        <v>56.73</v>
      </c>
      <c r="I1423" s="320">
        <v>19.2283</v>
      </c>
      <c r="J1423" s="320">
        <v>247.67</v>
      </c>
      <c r="K1423" s="320">
        <v>158.86</v>
      </c>
      <c r="L1423" s="320">
        <v>127.82</v>
      </c>
      <c r="M1423" s="320">
        <v>0.8046</v>
      </c>
      <c r="N1423" s="320">
        <v>0.2736</v>
      </c>
      <c r="O1423" s="320">
        <v>0.16</v>
      </c>
      <c r="P1423" s="320">
        <v>1.2428</v>
      </c>
      <c r="Q1423" s="320">
        <v>1266.41</v>
      </c>
      <c r="R1423" s="320">
        <v>1045.72</v>
      </c>
      <c r="S1423" s="320">
        <v>220.69</v>
      </c>
      <c r="T1423" s="320">
        <v>725.62</v>
      </c>
      <c r="U1423" s="320">
        <v>540.8</v>
      </c>
      <c r="V1423" s="320">
        <v>1298.0</v>
      </c>
      <c r="W1423" s="320">
        <v>8.1706</v>
      </c>
      <c r="X1423" s="320">
        <v>57.3</v>
      </c>
      <c r="Y1423" s="320">
        <v>161.0</v>
      </c>
      <c r="Z1423" s="320">
        <v>610.0</v>
      </c>
      <c r="AA1423" s="320">
        <v>2548.0</v>
      </c>
      <c r="AB1423" s="320">
        <v>62.0626</v>
      </c>
      <c r="AC1423" s="320">
        <v>0.836</v>
      </c>
      <c r="AD1423" s="320">
        <v>88.23</v>
      </c>
      <c r="AE1423" s="320">
        <v>30.0</v>
      </c>
      <c r="AF1423" s="320">
        <v>73.0</v>
      </c>
      <c r="AG1423" s="320">
        <v>121.0</v>
      </c>
      <c r="AH1423" s="320">
        <v>188.0</v>
      </c>
      <c r="AI1423" s="320">
        <v>45.82</v>
      </c>
      <c r="AJ1423" s="320">
        <v>11.64</v>
      </c>
      <c r="AK1423" s="320">
        <v>2.91</v>
      </c>
      <c r="AL1423" s="320">
        <v>0.1709</v>
      </c>
      <c r="AM1423" s="320">
        <v>23.93</v>
      </c>
      <c r="AN1423" s="320">
        <v>1021.8</v>
      </c>
      <c r="AO1423" s="320">
        <v>65.45</v>
      </c>
      <c r="AP1423" s="320">
        <v>15.66</v>
      </c>
    </row>
    <row r="1424">
      <c r="A1424" s="319" t="s">
        <v>258</v>
      </c>
      <c r="B1424" s="328">
        <v>46167.0</v>
      </c>
      <c r="C1424" s="319" t="s">
        <v>257</v>
      </c>
      <c r="D1424" s="320">
        <v>14655.0</v>
      </c>
      <c r="E1424" s="320">
        <v>20.2</v>
      </c>
      <c r="F1424" s="320">
        <v>93.44</v>
      </c>
      <c r="G1424" s="320">
        <v>0.0064</v>
      </c>
      <c r="H1424" s="320">
        <v>0.14</v>
      </c>
      <c r="I1424" s="320">
        <v>4.4495</v>
      </c>
      <c r="J1424" s="320">
        <v>5.95</v>
      </c>
      <c r="K1424" s="320">
        <v>2.54</v>
      </c>
      <c r="L1424" s="320">
        <v>0.07</v>
      </c>
      <c r="M1424" s="320">
        <v>0.0286</v>
      </c>
      <c r="N1424" s="320">
        <v>0.9737</v>
      </c>
      <c r="O1424" s="320">
        <v>0.714</v>
      </c>
      <c r="P1424" s="320">
        <v>34.9128</v>
      </c>
      <c r="Q1424" s="320">
        <v>35.91</v>
      </c>
      <c r="R1424" s="320">
        <v>35.84</v>
      </c>
      <c r="S1424" s="320">
        <v>0.07</v>
      </c>
      <c r="T1424" s="320">
        <v>0.57</v>
      </c>
      <c r="U1424" s="320">
        <v>35.34</v>
      </c>
      <c r="V1424" s="320">
        <v>2.18</v>
      </c>
      <c r="W1424" s="320">
        <v>0.8577</v>
      </c>
      <c r="X1424" s="320">
        <v>1.58</v>
      </c>
      <c r="Y1424" s="320">
        <v>183.0</v>
      </c>
      <c r="Z1424" s="320">
        <v>1433.0</v>
      </c>
      <c r="AA1424" s="320">
        <v>8761.0</v>
      </c>
      <c r="AB1424" s="320">
        <v>49.8953</v>
      </c>
      <c r="AC1424" s="320">
        <v>0.519</v>
      </c>
      <c r="AD1424" s="329"/>
      <c r="AE1424" s="329"/>
      <c r="AF1424" s="329"/>
      <c r="AG1424" s="329"/>
      <c r="AH1424" s="329"/>
      <c r="AI1424" s="320">
        <v>0.0</v>
      </c>
      <c r="AJ1424" s="320">
        <v>0.0</v>
      </c>
      <c r="AK1424" s="320">
        <v>0.0</v>
      </c>
      <c r="AL1424" s="320">
        <v>0.2839</v>
      </c>
      <c r="AM1424" s="320">
        <v>15.97</v>
      </c>
      <c r="AN1424" s="320">
        <v>19.87</v>
      </c>
      <c r="AO1424" s="329"/>
      <c r="AP1424" s="329"/>
    </row>
    <row r="1425">
      <c r="A1425" s="319" t="s">
        <v>258</v>
      </c>
      <c r="B1425" s="328">
        <v>46167.0</v>
      </c>
      <c r="C1425" s="319" t="s">
        <v>214</v>
      </c>
      <c r="D1425" s="320">
        <v>31252.0</v>
      </c>
      <c r="E1425" s="320">
        <v>43.07</v>
      </c>
      <c r="F1425" s="320">
        <v>5911.06</v>
      </c>
      <c r="G1425" s="320">
        <v>0.1891</v>
      </c>
      <c r="H1425" s="320">
        <v>6.14</v>
      </c>
      <c r="I1425" s="320">
        <v>3.0803</v>
      </c>
      <c r="J1425" s="320">
        <v>36.75</v>
      </c>
      <c r="K1425" s="320">
        <v>19.84</v>
      </c>
      <c r="L1425" s="320">
        <v>5.72</v>
      </c>
      <c r="M1425" s="320">
        <v>0.2881</v>
      </c>
      <c r="N1425" s="320">
        <v>0.7781</v>
      </c>
      <c r="O1425" s="320">
        <v>0.5241</v>
      </c>
      <c r="P1425" s="320">
        <v>3.4712</v>
      </c>
      <c r="Q1425" s="320">
        <v>97.23</v>
      </c>
      <c r="R1425" s="320">
        <v>87.83</v>
      </c>
      <c r="S1425" s="320">
        <v>9.41</v>
      </c>
      <c r="T1425" s="320">
        <v>14.22</v>
      </c>
      <c r="U1425" s="320">
        <v>83.01</v>
      </c>
      <c r="V1425" s="320">
        <v>89.42</v>
      </c>
      <c r="W1425" s="320">
        <v>4.5067</v>
      </c>
      <c r="X1425" s="320">
        <v>14.63</v>
      </c>
      <c r="Y1425" s="320">
        <v>91.0</v>
      </c>
      <c r="Z1425" s="320">
        <v>220.0</v>
      </c>
      <c r="AA1425" s="320">
        <v>853.0</v>
      </c>
      <c r="AB1425" s="320">
        <v>49.3264</v>
      </c>
      <c r="AC1425" s="320">
        <v>0.4269</v>
      </c>
      <c r="AD1425" s="320">
        <v>3.64</v>
      </c>
      <c r="AE1425" s="320">
        <v>1.0</v>
      </c>
      <c r="AF1425" s="320">
        <v>2.0</v>
      </c>
      <c r="AG1425" s="320">
        <v>5.0</v>
      </c>
      <c r="AH1425" s="320">
        <v>8.0</v>
      </c>
      <c r="AI1425" s="320">
        <v>68.45</v>
      </c>
      <c r="AJ1425" s="320">
        <v>25.34</v>
      </c>
      <c r="AK1425" s="320">
        <v>7.17</v>
      </c>
      <c r="AL1425" s="320">
        <v>0.2117</v>
      </c>
      <c r="AM1425" s="320">
        <v>19.28</v>
      </c>
      <c r="AN1425" s="320">
        <v>68.55</v>
      </c>
      <c r="AO1425" s="320">
        <v>67.73</v>
      </c>
      <c r="AP1425" s="320">
        <v>13.06</v>
      </c>
    </row>
    <row r="1426">
      <c r="A1426" s="319" t="s">
        <v>258</v>
      </c>
      <c r="B1426" s="328">
        <v>46167.0</v>
      </c>
      <c r="C1426" s="319" t="s">
        <v>215</v>
      </c>
      <c r="D1426" s="320">
        <v>15460.0</v>
      </c>
      <c r="E1426" s="320">
        <v>21.31</v>
      </c>
      <c r="F1426" s="320">
        <v>16409.84</v>
      </c>
      <c r="G1426" s="320">
        <v>1.0614</v>
      </c>
      <c r="H1426" s="320">
        <v>20.91</v>
      </c>
      <c r="I1426" s="320">
        <v>5.0773</v>
      </c>
      <c r="J1426" s="320">
        <v>66.27</v>
      </c>
      <c r="K1426" s="320">
        <v>37.87</v>
      </c>
      <c r="L1426" s="320">
        <v>15.56</v>
      </c>
      <c r="M1426" s="320">
        <v>0.4108</v>
      </c>
      <c r="N1426" s="320">
        <v>0.6522</v>
      </c>
      <c r="O1426" s="320">
        <v>0.3651</v>
      </c>
      <c r="P1426" s="320">
        <v>2.4342</v>
      </c>
      <c r="Q1426" s="320">
        <v>216.3</v>
      </c>
      <c r="R1426" s="320">
        <v>192.21</v>
      </c>
      <c r="S1426" s="320">
        <v>24.1</v>
      </c>
      <c r="T1426" s="320">
        <v>71.03</v>
      </c>
      <c r="U1426" s="320">
        <v>145.27</v>
      </c>
      <c r="V1426" s="320">
        <v>211.13</v>
      </c>
      <c r="W1426" s="320">
        <v>5.5759</v>
      </c>
      <c r="X1426" s="320">
        <v>32.84</v>
      </c>
      <c r="Y1426" s="320">
        <v>86.0</v>
      </c>
      <c r="Z1426" s="320">
        <v>203.0</v>
      </c>
      <c r="AA1426" s="320">
        <v>637.0</v>
      </c>
      <c r="AB1426" s="320">
        <v>52.5408</v>
      </c>
      <c r="AC1426" s="320">
        <v>0.5097</v>
      </c>
      <c r="AD1426" s="320">
        <v>9.62</v>
      </c>
      <c r="AE1426" s="320">
        <v>3.0</v>
      </c>
      <c r="AF1426" s="320">
        <v>7.0</v>
      </c>
      <c r="AG1426" s="320">
        <v>13.0</v>
      </c>
      <c r="AH1426" s="320">
        <v>22.0</v>
      </c>
      <c r="AI1426" s="320">
        <v>56.65</v>
      </c>
      <c r="AJ1426" s="320">
        <v>27.83</v>
      </c>
      <c r="AK1426" s="320">
        <v>6.57</v>
      </c>
      <c r="AL1426" s="320">
        <v>0.1816</v>
      </c>
      <c r="AM1426" s="320">
        <v>19.59</v>
      </c>
      <c r="AN1426" s="320">
        <v>172.62</v>
      </c>
      <c r="AO1426" s="320">
        <v>71.92</v>
      </c>
      <c r="AP1426" s="320">
        <v>14.09</v>
      </c>
    </row>
    <row r="1427">
      <c r="A1427" s="319" t="s">
        <v>258</v>
      </c>
      <c r="B1427" s="328">
        <v>46167.0</v>
      </c>
      <c r="C1427" s="319" t="s">
        <v>216</v>
      </c>
      <c r="D1427" s="320">
        <v>7858.0</v>
      </c>
      <c r="E1427" s="320">
        <v>10.83</v>
      </c>
      <c r="F1427" s="320">
        <v>21381.61</v>
      </c>
      <c r="G1427" s="320">
        <v>2.721</v>
      </c>
      <c r="H1427" s="320">
        <v>34.93</v>
      </c>
      <c r="I1427" s="320">
        <v>7.7893</v>
      </c>
      <c r="J1427" s="320">
        <v>94.09</v>
      </c>
      <c r="K1427" s="320">
        <v>56.34</v>
      </c>
      <c r="L1427" s="320">
        <v>32.07</v>
      </c>
      <c r="M1427" s="320">
        <v>0.5693</v>
      </c>
      <c r="N1427" s="320">
        <v>0.5063</v>
      </c>
      <c r="O1427" s="320">
        <v>0.2772</v>
      </c>
      <c r="P1427" s="320">
        <v>1.7567</v>
      </c>
      <c r="Q1427" s="320">
        <v>421.01</v>
      </c>
      <c r="R1427" s="320">
        <v>371.64</v>
      </c>
      <c r="S1427" s="320">
        <v>49.37</v>
      </c>
      <c r="T1427" s="320">
        <v>174.59</v>
      </c>
      <c r="U1427" s="320">
        <v>246.42</v>
      </c>
      <c r="V1427" s="320">
        <v>426.03</v>
      </c>
      <c r="W1427" s="320">
        <v>7.562</v>
      </c>
      <c r="X1427" s="320">
        <v>41.47</v>
      </c>
      <c r="Y1427" s="320">
        <v>92.0</v>
      </c>
      <c r="Z1427" s="320">
        <v>252.0</v>
      </c>
      <c r="AA1427" s="320">
        <v>798.0</v>
      </c>
      <c r="AB1427" s="320">
        <v>54.9316</v>
      </c>
      <c r="AC1427" s="320">
        <v>0.6117</v>
      </c>
      <c r="AD1427" s="320">
        <v>19.59</v>
      </c>
      <c r="AE1427" s="320">
        <v>7.0</v>
      </c>
      <c r="AF1427" s="320">
        <v>16.0</v>
      </c>
      <c r="AG1427" s="320">
        <v>28.0</v>
      </c>
      <c r="AH1427" s="320">
        <v>40.0</v>
      </c>
      <c r="AI1427" s="320">
        <v>62.78</v>
      </c>
      <c r="AJ1427" s="320">
        <v>28.98</v>
      </c>
      <c r="AK1427" s="320">
        <v>8.21</v>
      </c>
      <c r="AL1427" s="320">
        <v>0.2034</v>
      </c>
      <c r="AM1427" s="320">
        <v>19.36</v>
      </c>
      <c r="AN1427" s="320">
        <v>352.27</v>
      </c>
      <c r="AO1427" s="320">
        <v>68.16</v>
      </c>
      <c r="AP1427" s="320">
        <v>13.2</v>
      </c>
    </row>
    <row r="1428">
      <c r="A1428" s="319" t="s">
        <v>258</v>
      </c>
      <c r="B1428" s="328">
        <v>46167.0</v>
      </c>
      <c r="C1428" s="319" t="s">
        <v>217</v>
      </c>
      <c r="D1428" s="320">
        <v>3061.0</v>
      </c>
      <c r="E1428" s="320">
        <v>4.22</v>
      </c>
      <c r="F1428" s="320">
        <v>19412.81</v>
      </c>
      <c r="G1428" s="320">
        <v>6.342</v>
      </c>
      <c r="H1428" s="320">
        <v>44.23</v>
      </c>
      <c r="I1428" s="320">
        <v>14.3374</v>
      </c>
      <c r="J1428" s="320">
        <v>140.04</v>
      </c>
      <c r="K1428" s="320">
        <v>87.72</v>
      </c>
      <c r="L1428" s="320">
        <v>64.14</v>
      </c>
      <c r="M1428" s="320">
        <v>0.7311</v>
      </c>
      <c r="N1428" s="320">
        <v>0.3577</v>
      </c>
      <c r="O1428" s="320">
        <v>0.2114</v>
      </c>
      <c r="P1428" s="320">
        <v>1.3677</v>
      </c>
      <c r="Q1428" s="320">
        <v>837.72</v>
      </c>
      <c r="R1428" s="320">
        <v>741.1</v>
      </c>
      <c r="S1428" s="320">
        <v>96.62</v>
      </c>
      <c r="T1428" s="320">
        <v>404.81</v>
      </c>
      <c r="U1428" s="320">
        <v>432.91</v>
      </c>
      <c r="V1428" s="320">
        <v>831.97</v>
      </c>
      <c r="W1428" s="320">
        <v>9.4841</v>
      </c>
      <c r="X1428" s="320">
        <v>48.32</v>
      </c>
      <c r="Y1428" s="320">
        <v>121.0</v>
      </c>
      <c r="Z1428" s="320">
        <v>426.0</v>
      </c>
      <c r="AA1428" s="320">
        <v>1322.0</v>
      </c>
      <c r="AB1428" s="320">
        <v>58.2392</v>
      </c>
      <c r="AC1428" s="320">
        <v>0.7094</v>
      </c>
      <c r="AD1428" s="320">
        <v>40.03</v>
      </c>
      <c r="AE1428" s="320">
        <v>15.0</v>
      </c>
      <c r="AF1428" s="320">
        <v>33.0</v>
      </c>
      <c r="AG1428" s="320">
        <v>53.0</v>
      </c>
      <c r="AH1428" s="320">
        <v>84.0</v>
      </c>
      <c r="AI1428" s="320">
        <v>56.39</v>
      </c>
      <c r="AJ1428" s="320">
        <v>21.14</v>
      </c>
      <c r="AK1428" s="320">
        <v>6.27</v>
      </c>
      <c r="AL1428" s="320">
        <v>0.1927</v>
      </c>
      <c r="AM1428" s="320">
        <v>19.82</v>
      </c>
      <c r="AN1428" s="320">
        <v>721.28</v>
      </c>
      <c r="AO1428" s="320">
        <v>66.37</v>
      </c>
      <c r="AP1428" s="320">
        <v>13.15</v>
      </c>
    </row>
    <row r="1429">
      <c r="A1429" s="319" t="s">
        <v>258</v>
      </c>
      <c r="B1429" s="328">
        <v>46167.0</v>
      </c>
      <c r="C1429" s="319" t="s">
        <v>218</v>
      </c>
      <c r="D1429" s="320">
        <v>275.0</v>
      </c>
      <c r="E1429" s="320">
        <v>0.38</v>
      </c>
      <c r="F1429" s="320">
        <v>2990.47</v>
      </c>
      <c r="G1429" s="320">
        <v>10.8744</v>
      </c>
      <c r="H1429" s="320">
        <v>52.36</v>
      </c>
      <c r="I1429" s="320">
        <v>20.7672</v>
      </c>
      <c r="J1429" s="320">
        <v>249.0</v>
      </c>
      <c r="K1429" s="320">
        <v>159.62</v>
      </c>
      <c r="L1429" s="320">
        <v>134.63</v>
      </c>
      <c r="M1429" s="320">
        <v>0.8434</v>
      </c>
      <c r="N1429" s="320">
        <v>0.248</v>
      </c>
      <c r="O1429" s="320">
        <v>0.1544</v>
      </c>
      <c r="P1429" s="320">
        <v>1.1856</v>
      </c>
      <c r="Q1429" s="320">
        <v>1507.83</v>
      </c>
      <c r="R1429" s="320">
        <v>1267.65</v>
      </c>
      <c r="S1429" s="320">
        <v>240.18</v>
      </c>
      <c r="T1429" s="320">
        <v>703.35</v>
      </c>
      <c r="U1429" s="320">
        <v>804.49</v>
      </c>
      <c r="V1429" s="320">
        <v>1606.73</v>
      </c>
      <c r="W1429" s="320">
        <v>10.0658</v>
      </c>
      <c r="X1429" s="320">
        <v>46.65</v>
      </c>
      <c r="Y1429" s="320">
        <v>211.0</v>
      </c>
      <c r="Z1429" s="320">
        <v>574.0</v>
      </c>
      <c r="AA1429" s="320">
        <v>2897.0</v>
      </c>
      <c r="AB1429" s="320">
        <v>62.4408</v>
      </c>
      <c r="AC1429" s="320">
        <v>0.8392</v>
      </c>
      <c r="AD1429" s="320">
        <v>97.27</v>
      </c>
      <c r="AE1429" s="320">
        <v>32.0</v>
      </c>
      <c r="AF1429" s="320">
        <v>82.0</v>
      </c>
      <c r="AG1429" s="320">
        <v>138.0</v>
      </c>
      <c r="AH1429" s="320">
        <v>208.0</v>
      </c>
      <c r="AI1429" s="320">
        <v>51.64</v>
      </c>
      <c r="AJ1429" s="320">
        <v>14.18</v>
      </c>
      <c r="AK1429" s="320">
        <v>2.55</v>
      </c>
      <c r="AL1429" s="320">
        <v>0.1345</v>
      </c>
      <c r="AM1429" s="320">
        <v>20.4</v>
      </c>
      <c r="AN1429" s="320">
        <v>1247.25</v>
      </c>
      <c r="AO1429" s="320">
        <v>67.01</v>
      </c>
      <c r="AP1429" s="320">
        <v>13.67</v>
      </c>
    </row>
    <row r="1430">
      <c r="A1430" s="319" t="s">
        <v>258</v>
      </c>
      <c r="B1430" s="328">
        <v>46168.0</v>
      </c>
      <c r="C1430" s="319" t="s">
        <v>257</v>
      </c>
      <c r="D1430" s="320">
        <v>14328.0</v>
      </c>
      <c r="E1430" s="320">
        <v>20.03</v>
      </c>
      <c r="F1430" s="320">
        <v>272.09</v>
      </c>
      <c r="G1430" s="320">
        <v>0.019</v>
      </c>
      <c r="H1430" s="320">
        <v>0.55</v>
      </c>
      <c r="I1430" s="320">
        <v>3.4442</v>
      </c>
      <c r="J1430" s="320">
        <v>6.43</v>
      </c>
      <c r="K1430" s="320">
        <v>2.85</v>
      </c>
      <c r="L1430" s="320">
        <v>0.05</v>
      </c>
      <c r="M1430" s="320">
        <v>0.0161</v>
      </c>
      <c r="N1430" s="320">
        <v>0.985</v>
      </c>
      <c r="O1430" s="320">
        <v>0.7926</v>
      </c>
      <c r="P1430" s="320">
        <v>62.2458</v>
      </c>
      <c r="Q1430" s="320">
        <v>35.19</v>
      </c>
      <c r="R1430" s="320">
        <v>35.11</v>
      </c>
      <c r="S1430" s="320">
        <v>0.08</v>
      </c>
      <c r="T1430" s="320">
        <v>0.97</v>
      </c>
      <c r="U1430" s="320">
        <v>34.21</v>
      </c>
      <c r="V1430" s="320">
        <v>2.74</v>
      </c>
      <c r="W1430" s="320">
        <v>0.9615</v>
      </c>
      <c r="X1430" s="320">
        <v>2.77</v>
      </c>
      <c r="Y1430" s="320">
        <v>152.0</v>
      </c>
      <c r="Z1430" s="320">
        <v>1151.0</v>
      </c>
      <c r="AA1430" s="320">
        <v>8193.0</v>
      </c>
      <c r="AB1430" s="320">
        <v>49.4295</v>
      </c>
      <c r="AC1430" s="320">
        <v>0.4917</v>
      </c>
      <c r="AD1430" s="329"/>
      <c r="AE1430" s="329"/>
      <c r="AF1430" s="329"/>
      <c r="AG1430" s="329"/>
      <c r="AH1430" s="329"/>
      <c r="AI1430" s="320">
        <v>0.0</v>
      </c>
      <c r="AJ1430" s="320">
        <v>0.0</v>
      </c>
      <c r="AK1430" s="320">
        <v>0.0</v>
      </c>
      <c r="AL1430" s="320">
        <v>0.2768</v>
      </c>
      <c r="AM1430" s="320">
        <v>20.99</v>
      </c>
      <c r="AN1430" s="320">
        <v>14.12</v>
      </c>
      <c r="AO1430" s="329"/>
      <c r="AP1430" s="329"/>
    </row>
    <row r="1431">
      <c r="A1431" s="319" t="s">
        <v>258</v>
      </c>
      <c r="B1431" s="328">
        <v>46168.0</v>
      </c>
      <c r="C1431" s="319" t="s">
        <v>214</v>
      </c>
      <c r="D1431" s="320">
        <v>30206.0</v>
      </c>
      <c r="E1431" s="320">
        <v>42.23</v>
      </c>
      <c r="F1431" s="320">
        <v>8813.66</v>
      </c>
      <c r="G1431" s="320">
        <v>0.2918</v>
      </c>
      <c r="H1431" s="320">
        <v>8.85</v>
      </c>
      <c r="I1431" s="320">
        <v>3.2985</v>
      </c>
      <c r="J1431" s="320">
        <v>33.1</v>
      </c>
      <c r="K1431" s="320">
        <v>17.69</v>
      </c>
      <c r="L1431" s="320">
        <v>5.79</v>
      </c>
      <c r="M1431" s="320">
        <v>0.3275</v>
      </c>
      <c r="N1431" s="320">
        <v>0.743</v>
      </c>
      <c r="O1431" s="320">
        <v>0.4809</v>
      </c>
      <c r="P1431" s="320">
        <v>3.0533</v>
      </c>
      <c r="Q1431" s="320">
        <v>89.69</v>
      </c>
      <c r="R1431" s="320">
        <v>79.81</v>
      </c>
      <c r="S1431" s="320">
        <v>9.88</v>
      </c>
      <c r="T1431" s="320">
        <v>14.97</v>
      </c>
      <c r="U1431" s="320">
        <v>74.72</v>
      </c>
      <c r="V1431" s="320">
        <v>80.92</v>
      </c>
      <c r="W1431" s="320">
        <v>4.5744</v>
      </c>
      <c r="X1431" s="320">
        <v>16.7</v>
      </c>
      <c r="Y1431" s="320">
        <v>90.0</v>
      </c>
      <c r="Z1431" s="320">
        <v>227.0</v>
      </c>
      <c r="AA1431" s="320">
        <v>945.0</v>
      </c>
      <c r="AB1431" s="320">
        <v>49.3584</v>
      </c>
      <c r="AC1431" s="320">
        <v>0.4336</v>
      </c>
      <c r="AD1431" s="320">
        <v>3.99</v>
      </c>
      <c r="AE1431" s="320">
        <v>1.0</v>
      </c>
      <c r="AF1431" s="320">
        <v>2.0</v>
      </c>
      <c r="AG1431" s="320">
        <v>5.0</v>
      </c>
      <c r="AH1431" s="320">
        <v>9.0</v>
      </c>
      <c r="AI1431" s="320">
        <v>69.74</v>
      </c>
      <c r="AJ1431" s="320">
        <v>28.76</v>
      </c>
      <c r="AK1431" s="320">
        <v>9.29</v>
      </c>
      <c r="AL1431" s="320">
        <v>0.206</v>
      </c>
      <c r="AM1431" s="320">
        <v>29.0</v>
      </c>
      <c r="AN1431" s="320">
        <v>50.81</v>
      </c>
      <c r="AO1431" s="320">
        <v>67.42</v>
      </c>
      <c r="AP1431" s="320">
        <v>19.55</v>
      </c>
    </row>
    <row r="1432">
      <c r="A1432" s="319" t="s">
        <v>258</v>
      </c>
      <c r="B1432" s="328">
        <v>46168.0</v>
      </c>
      <c r="C1432" s="319" t="s">
        <v>215</v>
      </c>
      <c r="D1432" s="320">
        <v>15831.0</v>
      </c>
      <c r="E1432" s="320">
        <v>22.13</v>
      </c>
      <c r="F1432" s="320">
        <v>20407.45</v>
      </c>
      <c r="G1432" s="320">
        <v>1.2891</v>
      </c>
      <c r="H1432" s="320">
        <v>27.53</v>
      </c>
      <c r="I1432" s="320">
        <v>4.6817</v>
      </c>
      <c r="J1432" s="320">
        <v>63.34</v>
      </c>
      <c r="K1432" s="320">
        <v>36.24</v>
      </c>
      <c r="L1432" s="320">
        <v>16.46</v>
      </c>
      <c r="M1432" s="320">
        <v>0.4542</v>
      </c>
      <c r="N1432" s="320">
        <v>0.6107</v>
      </c>
      <c r="O1432" s="320">
        <v>0.3255</v>
      </c>
      <c r="P1432" s="320">
        <v>2.2017</v>
      </c>
      <c r="Q1432" s="320">
        <v>213.93</v>
      </c>
      <c r="R1432" s="320">
        <v>187.45</v>
      </c>
      <c r="S1432" s="320">
        <v>26.49</v>
      </c>
      <c r="T1432" s="320">
        <v>67.82</v>
      </c>
      <c r="U1432" s="320">
        <v>146.12</v>
      </c>
      <c r="V1432" s="320">
        <v>201.86</v>
      </c>
      <c r="W1432" s="320">
        <v>5.5707</v>
      </c>
      <c r="X1432" s="320">
        <v>31.7</v>
      </c>
      <c r="Y1432" s="320">
        <v>87.0</v>
      </c>
      <c r="Z1432" s="320">
        <v>225.0</v>
      </c>
      <c r="AA1432" s="320">
        <v>740.0</v>
      </c>
      <c r="AB1432" s="320">
        <v>52.4342</v>
      </c>
      <c r="AC1432" s="320">
        <v>0.5168</v>
      </c>
      <c r="AD1432" s="320">
        <v>10.44</v>
      </c>
      <c r="AE1432" s="320">
        <v>3.0</v>
      </c>
      <c r="AF1432" s="320">
        <v>8.0</v>
      </c>
      <c r="AG1432" s="320">
        <v>14.0</v>
      </c>
      <c r="AH1432" s="320">
        <v>23.0</v>
      </c>
      <c r="AI1432" s="320">
        <v>61.88</v>
      </c>
      <c r="AJ1432" s="320">
        <v>30.91</v>
      </c>
      <c r="AK1432" s="320">
        <v>7.43</v>
      </c>
      <c r="AL1432" s="320">
        <v>0.1689</v>
      </c>
      <c r="AM1432" s="320">
        <v>29.19</v>
      </c>
      <c r="AN1432" s="320">
        <v>158.25</v>
      </c>
      <c r="AO1432" s="320">
        <v>71.64</v>
      </c>
      <c r="AP1432" s="320">
        <v>20.91</v>
      </c>
    </row>
    <row r="1433">
      <c r="A1433" s="319" t="s">
        <v>258</v>
      </c>
      <c r="B1433" s="328">
        <v>46168.0</v>
      </c>
      <c r="C1433" s="319" t="s">
        <v>216</v>
      </c>
      <c r="D1433" s="320">
        <v>7890.0</v>
      </c>
      <c r="E1433" s="320">
        <v>11.03</v>
      </c>
      <c r="F1433" s="320">
        <v>22094.73</v>
      </c>
      <c r="G1433" s="320">
        <v>2.8003</v>
      </c>
      <c r="H1433" s="320">
        <v>40.16</v>
      </c>
      <c r="I1433" s="320">
        <v>6.9721</v>
      </c>
      <c r="J1433" s="320">
        <v>90.41</v>
      </c>
      <c r="K1433" s="320">
        <v>54.63</v>
      </c>
      <c r="L1433" s="320">
        <v>32.24</v>
      </c>
      <c r="M1433" s="320">
        <v>0.5901</v>
      </c>
      <c r="N1433" s="320">
        <v>0.4845</v>
      </c>
      <c r="O1433" s="320">
        <v>0.2499</v>
      </c>
      <c r="P1433" s="320">
        <v>1.6946</v>
      </c>
      <c r="Q1433" s="320">
        <v>419.95</v>
      </c>
      <c r="R1433" s="320">
        <v>369.05</v>
      </c>
      <c r="S1433" s="320">
        <v>50.9</v>
      </c>
      <c r="T1433" s="320">
        <v>152.33</v>
      </c>
      <c r="U1433" s="320">
        <v>267.62</v>
      </c>
      <c r="V1433" s="320">
        <v>403.74</v>
      </c>
      <c r="W1433" s="320">
        <v>7.3905</v>
      </c>
      <c r="X1433" s="320">
        <v>36.27</v>
      </c>
      <c r="Y1433" s="320">
        <v>94.0</v>
      </c>
      <c r="Z1433" s="320">
        <v>280.0</v>
      </c>
      <c r="AA1433" s="320">
        <v>811.0</v>
      </c>
      <c r="AB1433" s="320">
        <v>54.9666</v>
      </c>
      <c r="AC1433" s="320">
        <v>0.6269</v>
      </c>
      <c r="AD1433" s="320">
        <v>19.78</v>
      </c>
      <c r="AE1433" s="320">
        <v>8.0</v>
      </c>
      <c r="AF1433" s="320">
        <v>16.0</v>
      </c>
      <c r="AG1433" s="320">
        <v>28.0</v>
      </c>
      <c r="AH1433" s="320">
        <v>40.0</v>
      </c>
      <c r="AI1433" s="320">
        <v>64.12</v>
      </c>
      <c r="AJ1433" s="320">
        <v>28.53</v>
      </c>
      <c r="AK1433" s="320">
        <v>8.96</v>
      </c>
      <c r="AL1433" s="320">
        <v>0.1847</v>
      </c>
      <c r="AM1433" s="320">
        <v>28.26</v>
      </c>
      <c r="AN1433" s="320">
        <v>340.79</v>
      </c>
      <c r="AO1433" s="320">
        <v>69.56</v>
      </c>
      <c r="AP1433" s="320">
        <v>19.66</v>
      </c>
    </row>
    <row r="1434">
      <c r="A1434" s="319" t="s">
        <v>258</v>
      </c>
      <c r="B1434" s="328">
        <v>46168.0</v>
      </c>
      <c r="C1434" s="319" t="s">
        <v>217</v>
      </c>
      <c r="D1434" s="320">
        <v>2968.0</v>
      </c>
      <c r="E1434" s="320">
        <v>4.15</v>
      </c>
      <c r="F1434" s="320">
        <v>16007.45</v>
      </c>
      <c r="G1434" s="320">
        <v>5.3933</v>
      </c>
      <c r="H1434" s="320">
        <v>45.75</v>
      </c>
      <c r="I1434" s="320">
        <v>11.7875</v>
      </c>
      <c r="J1434" s="320">
        <v>134.72</v>
      </c>
      <c r="K1434" s="320">
        <v>84.11</v>
      </c>
      <c r="L1434" s="320">
        <v>60.41</v>
      </c>
      <c r="M1434" s="320">
        <v>0.7183</v>
      </c>
      <c r="N1434" s="320">
        <v>0.37</v>
      </c>
      <c r="O1434" s="320">
        <v>0.2057</v>
      </c>
      <c r="P1434" s="320">
        <v>1.3922</v>
      </c>
      <c r="Q1434" s="320">
        <v>816.84</v>
      </c>
      <c r="R1434" s="320">
        <v>711.15</v>
      </c>
      <c r="S1434" s="320">
        <v>105.7</v>
      </c>
      <c r="T1434" s="320">
        <v>306.76</v>
      </c>
      <c r="U1434" s="320">
        <v>510.09</v>
      </c>
      <c r="V1434" s="320">
        <v>774.73</v>
      </c>
      <c r="W1434" s="320">
        <v>9.211</v>
      </c>
      <c r="X1434" s="320">
        <v>37.55</v>
      </c>
      <c r="Y1434" s="320">
        <v>129.0</v>
      </c>
      <c r="Z1434" s="320">
        <v>436.0</v>
      </c>
      <c r="AA1434" s="320">
        <v>1187.0</v>
      </c>
      <c r="AB1434" s="320">
        <v>58.4079</v>
      </c>
      <c r="AC1434" s="320">
        <v>0.7573</v>
      </c>
      <c r="AD1434" s="320">
        <v>42.23</v>
      </c>
      <c r="AE1434" s="320">
        <v>17.0</v>
      </c>
      <c r="AF1434" s="320">
        <v>35.0</v>
      </c>
      <c r="AG1434" s="320">
        <v>58.0</v>
      </c>
      <c r="AH1434" s="320">
        <v>86.0</v>
      </c>
      <c r="AI1434" s="320">
        <v>59.16</v>
      </c>
      <c r="AJ1434" s="320">
        <v>24.12</v>
      </c>
      <c r="AK1434" s="320">
        <v>6.67</v>
      </c>
      <c r="AL1434" s="320">
        <v>0.1796</v>
      </c>
      <c r="AM1434" s="320">
        <v>27.36</v>
      </c>
      <c r="AN1434" s="320">
        <v>683.78</v>
      </c>
      <c r="AO1434" s="320">
        <v>71.41</v>
      </c>
      <c r="AP1434" s="320">
        <v>19.54</v>
      </c>
    </row>
    <row r="1435">
      <c r="A1435" s="319" t="s">
        <v>258</v>
      </c>
      <c r="B1435" s="328">
        <v>46168.0</v>
      </c>
      <c r="C1435" s="319" t="s">
        <v>218</v>
      </c>
      <c r="D1435" s="320">
        <v>300.0</v>
      </c>
      <c r="E1435" s="320">
        <v>0.42</v>
      </c>
      <c r="F1435" s="320">
        <v>2675.14</v>
      </c>
      <c r="G1435" s="320">
        <v>8.9171</v>
      </c>
      <c r="H1435" s="320">
        <v>52.0</v>
      </c>
      <c r="I1435" s="320">
        <v>17.1483</v>
      </c>
      <c r="J1435" s="320">
        <v>245.72</v>
      </c>
      <c r="K1435" s="320">
        <v>159.85</v>
      </c>
      <c r="L1435" s="320">
        <v>136.58</v>
      </c>
      <c r="M1435" s="320">
        <v>0.8544</v>
      </c>
      <c r="N1435" s="320">
        <v>0.2339</v>
      </c>
      <c r="O1435" s="320">
        <v>0.149</v>
      </c>
      <c r="P1435" s="320">
        <v>1.1704</v>
      </c>
      <c r="Q1435" s="320">
        <v>1615.96</v>
      </c>
      <c r="R1435" s="320">
        <v>1363.63</v>
      </c>
      <c r="S1435" s="320">
        <v>252.33</v>
      </c>
      <c r="T1435" s="320">
        <v>546.82</v>
      </c>
      <c r="U1435" s="320">
        <v>1069.14</v>
      </c>
      <c r="V1435" s="320">
        <v>1577.67</v>
      </c>
      <c r="W1435" s="320">
        <v>9.8697</v>
      </c>
      <c r="X1435" s="320">
        <v>33.84</v>
      </c>
      <c r="Y1435" s="320">
        <v>201.0</v>
      </c>
      <c r="Z1435" s="320">
        <v>810.0</v>
      </c>
      <c r="AA1435" s="320">
        <v>2968.0</v>
      </c>
      <c r="AB1435" s="320">
        <v>62.1391</v>
      </c>
      <c r="AC1435" s="320">
        <v>0.8568</v>
      </c>
      <c r="AD1435" s="320">
        <v>99.96</v>
      </c>
      <c r="AE1435" s="320">
        <v>44.0</v>
      </c>
      <c r="AF1435" s="320">
        <v>88.0</v>
      </c>
      <c r="AG1435" s="320">
        <v>133.0</v>
      </c>
      <c r="AH1435" s="320">
        <v>187.0</v>
      </c>
      <c r="AI1435" s="320">
        <v>55.0</v>
      </c>
      <c r="AJ1435" s="320">
        <v>13.33</v>
      </c>
      <c r="AK1435" s="320">
        <v>3.0</v>
      </c>
      <c r="AL1435" s="320">
        <v>0.15</v>
      </c>
      <c r="AM1435" s="320">
        <v>24.47</v>
      </c>
      <c r="AN1435" s="320">
        <v>1339.16</v>
      </c>
      <c r="AO1435" s="320">
        <v>68.0</v>
      </c>
      <c r="AP1435" s="320">
        <v>16.64</v>
      </c>
    </row>
    <row r="1436">
      <c r="A1436" s="319" t="s">
        <v>258</v>
      </c>
      <c r="B1436" s="328">
        <v>46169.0</v>
      </c>
      <c r="C1436" s="319" t="s">
        <v>257</v>
      </c>
      <c r="D1436" s="320">
        <v>14651.0</v>
      </c>
      <c r="E1436" s="320">
        <v>20.7</v>
      </c>
      <c r="F1436" s="320">
        <v>267.14</v>
      </c>
      <c r="G1436" s="320">
        <v>0.0182</v>
      </c>
      <c r="H1436" s="320">
        <v>0.47</v>
      </c>
      <c r="I1436" s="320">
        <v>3.8716</v>
      </c>
      <c r="J1436" s="320">
        <v>7.48</v>
      </c>
      <c r="K1436" s="320">
        <v>3.47</v>
      </c>
      <c r="L1436" s="320">
        <v>0.09</v>
      </c>
      <c r="M1436" s="320">
        <v>0.0249</v>
      </c>
      <c r="N1436" s="320">
        <v>0.9769</v>
      </c>
      <c r="O1436" s="320">
        <v>0.681</v>
      </c>
      <c r="P1436" s="320">
        <v>40.1438</v>
      </c>
      <c r="Q1436" s="320">
        <v>26.76</v>
      </c>
      <c r="R1436" s="320">
        <v>26.68</v>
      </c>
      <c r="S1436" s="320">
        <v>0.08</v>
      </c>
      <c r="T1436" s="320">
        <v>0.93</v>
      </c>
      <c r="U1436" s="320">
        <v>25.83</v>
      </c>
      <c r="V1436" s="320">
        <v>2.47</v>
      </c>
      <c r="W1436" s="320">
        <v>0.7133</v>
      </c>
      <c r="X1436" s="320">
        <v>3.48</v>
      </c>
      <c r="Y1436" s="320">
        <v>135.0</v>
      </c>
      <c r="Z1436" s="320">
        <v>1113.0</v>
      </c>
      <c r="AA1436" s="320">
        <v>8006.0</v>
      </c>
      <c r="AB1436" s="320">
        <v>49.5589</v>
      </c>
      <c r="AC1436" s="320">
        <v>0.496</v>
      </c>
      <c r="AD1436" s="329"/>
      <c r="AE1436" s="329"/>
      <c r="AF1436" s="329"/>
      <c r="AG1436" s="329"/>
      <c r="AH1436" s="329"/>
      <c r="AI1436" s="320">
        <v>0.0</v>
      </c>
      <c r="AJ1436" s="320">
        <v>0.0</v>
      </c>
      <c r="AK1436" s="320">
        <v>0.0</v>
      </c>
      <c r="AL1436" s="329"/>
      <c r="AM1436" s="320">
        <v>18.28</v>
      </c>
      <c r="AN1436" s="320">
        <v>8.4</v>
      </c>
      <c r="AO1436" s="329"/>
      <c r="AP1436" s="329"/>
    </row>
    <row r="1437">
      <c r="A1437" s="319" t="s">
        <v>258</v>
      </c>
      <c r="B1437" s="328">
        <v>46169.0</v>
      </c>
      <c r="C1437" s="319" t="s">
        <v>214</v>
      </c>
      <c r="D1437" s="320">
        <v>29328.0</v>
      </c>
      <c r="E1437" s="320">
        <v>41.44</v>
      </c>
      <c r="F1437" s="320">
        <v>8144.82</v>
      </c>
      <c r="G1437" s="320">
        <v>0.2777</v>
      </c>
      <c r="H1437" s="320">
        <v>7.97</v>
      </c>
      <c r="I1437" s="320">
        <v>3.4852</v>
      </c>
      <c r="J1437" s="320">
        <v>35.6</v>
      </c>
      <c r="K1437" s="320">
        <v>19.2</v>
      </c>
      <c r="L1437" s="320">
        <v>5.72</v>
      </c>
      <c r="M1437" s="320">
        <v>0.2979</v>
      </c>
      <c r="N1437" s="320">
        <v>0.7646</v>
      </c>
      <c r="O1437" s="320">
        <v>0.4933</v>
      </c>
      <c r="P1437" s="320">
        <v>3.357</v>
      </c>
      <c r="Q1437" s="320">
        <v>71.54</v>
      </c>
      <c r="R1437" s="320">
        <v>61.75</v>
      </c>
      <c r="S1437" s="320">
        <v>9.78</v>
      </c>
      <c r="T1437" s="320">
        <v>14.87</v>
      </c>
      <c r="U1437" s="320">
        <v>56.67</v>
      </c>
      <c r="V1437" s="320">
        <v>74.8</v>
      </c>
      <c r="W1437" s="320">
        <v>3.8959</v>
      </c>
      <c r="X1437" s="320">
        <v>20.78</v>
      </c>
      <c r="Y1437" s="320">
        <v>86.0</v>
      </c>
      <c r="Z1437" s="320">
        <v>217.0</v>
      </c>
      <c r="AA1437" s="320">
        <v>944.0</v>
      </c>
      <c r="AB1437" s="320">
        <v>49.4149</v>
      </c>
      <c r="AC1437" s="320">
        <v>0.4387</v>
      </c>
      <c r="AD1437" s="320">
        <v>3.81</v>
      </c>
      <c r="AE1437" s="320">
        <v>1.0</v>
      </c>
      <c r="AF1437" s="320">
        <v>2.0</v>
      </c>
      <c r="AG1437" s="320">
        <v>5.0</v>
      </c>
      <c r="AH1437" s="320">
        <v>9.0</v>
      </c>
      <c r="AI1437" s="320">
        <v>68.68</v>
      </c>
      <c r="AJ1437" s="320">
        <v>27.39</v>
      </c>
      <c r="AK1437" s="320">
        <v>8.57</v>
      </c>
      <c r="AL1437" s="329"/>
      <c r="AM1437" s="320">
        <v>23.93</v>
      </c>
      <c r="AN1437" s="320">
        <v>37.82</v>
      </c>
      <c r="AO1437" s="320">
        <v>67.51</v>
      </c>
      <c r="AP1437" s="320">
        <v>16.16</v>
      </c>
    </row>
    <row r="1438">
      <c r="A1438" s="319" t="s">
        <v>258</v>
      </c>
      <c r="B1438" s="328">
        <v>46169.0</v>
      </c>
      <c r="C1438" s="319" t="s">
        <v>215</v>
      </c>
      <c r="D1438" s="320">
        <v>15673.0</v>
      </c>
      <c r="E1438" s="320">
        <v>22.15</v>
      </c>
      <c r="F1438" s="320">
        <v>18263.82</v>
      </c>
      <c r="G1438" s="320">
        <v>1.1653</v>
      </c>
      <c r="H1438" s="320">
        <v>23.48</v>
      </c>
      <c r="I1438" s="320">
        <v>4.963</v>
      </c>
      <c r="J1438" s="320">
        <v>64.37</v>
      </c>
      <c r="K1438" s="320">
        <v>37.6</v>
      </c>
      <c r="L1438" s="320">
        <v>15.29</v>
      </c>
      <c r="M1438" s="320">
        <v>0.4066</v>
      </c>
      <c r="N1438" s="320">
        <v>0.6488</v>
      </c>
      <c r="O1438" s="320">
        <v>0.3414</v>
      </c>
      <c r="P1438" s="320">
        <v>2.4592</v>
      </c>
      <c r="Q1438" s="320">
        <v>162.15</v>
      </c>
      <c r="R1438" s="320">
        <v>137.93</v>
      </c>
      <c r="S1438" s="320">
        <v>24.22</v>
      </c>
      <c r="T1438" s="320">
        <v>62.48</v>
      </c>
      <c r="U1438" s="320">
        <v>99.67</v>
      </c>
      <c r="V1438" s="320">
        <v>173.51</v>
      </c>
      <c r="W1438" s="320">
        <v>4.6146</v>
      </c>
      <c r="X1438" s="320">
        <v>38.53</v>
      </c>
      <c r="Y1438" s="320">
        <v>80.0</v>
      </c>
      <c r="Z1438" s="320">
        <v>185.0</v>
      </c>
      <c r="AA1438" s="320">
        <v>683.0</v>
      </c>
      <c r="AB1438" s="320">
        <v>52.5807</v>
      </c>
      <c r="AC1438" s="320">
        <v>0.5316</v>
      </c>
      <c r="AD1438" s="320">
        <v>9.16</v>
      </c>
      <c r="AE1438" s="320">
        <v>3.0</v>
      </c>
      <c r="AF1438" s="320">
        <v>6.0</v>
      </c>
      <c r="AG1438" s="320">
        <v>13.0</v>
      </c>
      <c r="AH1438" s="320">
        <v>20.0</v>
      </c>
      <c r="AI1438" s="320">
        <v>55.57</v>
      </c>
      <c r="AJ1438" s="320">
        <v>25.62</v>
      </c>
      <c r="AK1438" s="320">
        <v>5.46</v>
      </c>
      <c r="AL1438" s="329"/>
      <c r="AM1438" s="320">
        <v>23.81</v>
      </c>
      <c r="AN1438" s="320">
        <v>114.12</v>
      </c>
      <c r="AO1438" s="320">
        <v>72.36</v>
      </c>
      <c r="AP1438" s="320">
        <v>17.23</v>
      </c>
    </row>
    <row r="1439">
      <c r="A1439" s="319" t="s">
        <v>258</v>
      </c>
      <c r="B1439" s="328">
        <v>46169.0</v>
      </c>
      <c r="C1439" s="319" t="s">
        <v>216</v>
      </c>
      <c r="D1439" s="320">
        <v>7840.0</v>
      </c>
      <c r="E1439" s="320">
        <v>11.08</v>
      </c>
      <c r="F1439" s="320">
        <v>20886.53</v>
      </c>
      <c r="G1439" s="320">
        <v>2.6641</v>
      </c>
      <c r="H1439" s="320">
        <v>37.41</v>
      </c>
      <c r="I1439" s="320">
        <v>7.1212</v>
      </c>
      <c r="J1439" s="320">
        <v>85.36</v>
      </c>
      <c r="K1439" s="320">
        <v>51.73</v>
      </c>
      <c r="L1439" s="320">
        <v>27.94</v>
      </c>
      <c r="M1439" s="320">
        <v>0.5402</v>
      </c>
      <c r="N1439" s="320">
        <v>0.5267</v>
      </c>
      <c r="O1439" s="320">
        <v>0.2683</v>
      </c>
      <c r="P1439" s="320">
        <v>1.8512</v>
      </c>
      <c r="Q1439" s="320">
        <v>316.07</v>
      </c>
      <c r="R1439" s="320">
        <v>268.35</v>
      </c>
      <c r="S1439" s="320">
        <v>47.73</v>
      </c>
      <c r="T1439" s="320">
        <v>153.99</v>
      </c>
      <c r="U1439" s="320">
        <v>162.08</v>
      </c>
      <c r="V1439" s="320">
        <v>331.91</v>
      </c>
      <c r="W1439" s="320">
        <v>6.4166</v>
      </c>
      <c r="X1439" s="320">
        <v>48.72</v>
      </c>
      <c r="Y1439" s="320">
        <v>85.0</v>
      </c>
      <c r="Z1439" s="320">
        <v>216.0</v>
      </c>
      <c r="AA1439" s="320">
        <v>673.0</v>
      </c>
      <c r="AB1439" s="320">
        <v>55.2458</v>
      </c>
      <c r="AC1439" s="320">
        <v>0.6731</v>
      </c>
      <c r="AD1439" s="320">
        <v>18.49</v>
      </c>
      <c r="AE1439" s="320">
        <v>6.0</v>
      </c>
      <c r="AF1439" s="320">
        <v>14.0</v>
      </c>
      <c r="AG1439" s="320">
        <v>26.0</v>
      </c>
      <c r="AH1439" s="320">
        <v>40.0</v>
      </c>
      <c r="AI1439" s="320">
        <v>58.53</v>
      </c>
      <c r="AJ1439" s="320">
        <v>26.22</v>
      </c>
      <c r="AK1439" s="320">
        <v>8.76</v>
      </c>
      <c r="AL1439" s="329"/>
      <c r="AM1439" s="320">
        <v>22.85</v>
      </c>
      <c r="AN1439" s="320">
        <v>245.49</v>
      </c>
      <c r="AO1439" s="320">
        <v>72.17</v>
      </c>
      <c r="AP1439" s="320">
        <v>16.49</v>
      </c>
    </row>
    <row r="1440">
      <c r="A1440" s="319" t="s">
        <v>258</v>
      </c>
      <c r="B1440" s="328">
        <v>46169.0</v>
      </c>
      <c r="C1440" s="319" t="s">
        <v>217</v>
      </c>
      <c r="D1440" s="320">
        <v>2967.0</v>
      </c>
      <c r="E1440" s="320">
        <v>4.19</v>
      </c>
      <c r="F1440" s="320">
        <v>16900.66</v>
      </c>
      <c r="G1440" s="320">
        <v>5.6962</v>
      </c>
      <c r="H1440" s="320">
        <v>45.67</v>
      </c>
      <c r="I1440" s="320">
        <v>12.4728</v>
      </c>
      <c r="J1440" s="320">
        <v>132.27</v>
      </c>
      <c r="K1440" s="320">
        <v>82.08</v>
      </c>
      <c r="L1440" s="320">
        <v>56.06</v>
      </c>
      <c r="M1440" s="320">
        <v>0.6831</v>
      </c>
      <c r="N1440" s="320">
        <v>0.3963</v>
      </c>
      <c r="O1440" s="320">
        <v>0.2099</v>
      </c>
      <c r="P1440" s="320">
        <v>1.464</v>
      </c>
      <c r="Q1440" s="320">
        <v>626.05</v>
      </c>
      <c r="R1440" s="320">
        <v>526.57</v>
      </c>
      <c r="S1440" s="320">
        <v>99.49</v>
      </c>
      <c r="T1440" s="320">
        <v>327.83</v>
      </c>
      <c r="U1440" s="320">
        <v>298.23</v>
      </c>
      <c r="V1440" s="320">
        <v>675.08</v>
      </c>
      <c r="W1440" s="320">
        <v>8.2249</v>
      </c>
      <c r="X1440" s="320">
        <v>52.36</v>
      </c>
      <c r="Y1440" s="320">
        <v>102.0</v>
      </c>
      <c r="Z1440" s="320">
        <v>352.0</v>
      </c>
      <c r="AA1440" s="320">
        <v>980.0</v>
      </c>
      <c r="AB1440" s="320">
        <v>58.5053</v>
      </c>
      <c r="AC1440" s="320">
        <v>0.781</v>
      </c>
      <c r="AD1440" s="320">
        <v>38.6</v>
      </c>
      <c r="AE1440" s="320">
        <v>14.0</v>
      </c>
      <c r="AF1440" s="320">
        <v>30.0</v>
      </c>
      <c r="AG1440" s="320">
        <v>53.0</v>
      </c>
      <c r="AH1440" s="320">
        <v>82.0</v>
      </c>
      <c r="AI1440" s="320">
        <v>52.95</v>
      </c>
      <c r="AJ1440" s="320">
        <v>20.32</v>
      </c>
      <c r="AK1440" s="320">
        <v>5.63</v>
      </c>
      <c r="AL1440" s="329"/>
      <c r="AM1440" s="320">
        <v>22.05</v>
      </c>
      <c r="AN1440" s="320">
        <v>504.52</v>
      </c>
      <c r="AO1440" s="320">
        <v>72.3</v>
      </c>
      <c r="AP1440" s="320">
        <v>15.94</v>
      </c>
    </row>
    <row r="1441">
      <c r="A1441" s="319" t="s">
        <v>258</v>
      </c>
      <c r="B1441" s="328">
        <v>46169.0</v>
      </c>
      <c r="C1441" s="319" t="s">
        <v>218</v>
      </c>
      <c r="D1441" s="320">
        <v>312.0</v>
      </c>
      <c r="E1441" s="320">
        <v>0.44</v>
      </c>
      <c r="F1441" s="320">
        <v>2834.19</v>
      </c>
      <c r="G1441" s="320">
        <v>9.0839</v>
      </c>
      <c r="H1441" s="320">
        <v>54.49</v>
      </c>
      <c r="I1441" s="320">
        <v>16.6717</v>
      </c>
      <c r="J1441" s="320">
        <v>243.43</v>
      </c>
      <c r="K1441" s="320">
        <v>155.14</v>
      </c>
      <c r="L1441" s="320">
        <v>126.35</v>
      </c>
      <c r="M1441" s="320">
        <v>0.8144</v>
      </c>
      <c r="N1441" s="320">
        <v>0.2629</v>
      </c>
      <c r="O1441" s="320">
        <v>0.1505</v>
      </c>
      <c r="P1441" s="320">
        <v>1.2278</v>
      </c>
      <c r="Q1441" s="320">
        <v>1165.04</v>
      </c>
      <c r="R1441" s="320">
        <v>932.0</v>
      </c>
      <c r="S1441" s="320">
        <v>233.04</v>
      </c>
      <c r="T1441" s="320">
        <v>551.67</v>
      </c>
      <c r="U1441" s="320">
        <v>613.38</v>
      </c>
      <c r="V1441" s="320">
        <v>1261.06</v>
      </c>
      <c r="W1441" s="320">
        <v>8.1286</v>
      </c>
      <c r="X1441" s="320">
        <v>47.35</v>
      </c>
      <c r="Y1441" s="320">
        <v>162.0</v>
      </c>
      <c r="Z1441" s="320">
        <v>740.0</v>
      </c>
      <c r="AA1441" s="320">
        <v>2349.0</v>
      </c>
      <c r="AB1441" s="320">
        <v>62.0053</v>
      </c>
      <c r="AC1441" s="320">
        <v>0.8687</v>
      </c>
      <c r="AD1441" s="320">
        <v>93.33</v>
      </c>
      <c r="AE1441" s="320">
        <v>34.0</v>
      </c>
      <c r="AF1441" s="320">
        <v>83.0</v>
      </c>
      <c r="AG1441" s="320">
        <v>130.0</v>
      </c>
      <c r="AH1441" s="320">
        <v>182.0</v>
      </c>
      <c r="AI1441" s="320">
        <v>51.6</v>
      </c>
      <c r="AJ1441" s="320">
        <v>11.86</v>
      </c>
      <c r="AK1441" s="320">
        <v>2.56</v>
      </c>
      <c r="AL1441" s="329"/>
      <c r="AM1441" s="320">
        <v>23.93</v>
      </c>
      <c r="AN1441" s="320">
        <v>908.07</v>
      </c>
      <c r="AO1441" s="320">
        <v>68.86</v>
      </c>
      <c r="AP1441" s="320">
        <v>16.48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1.0"/>
    <col customWidth="1" min="5" max="5" width="13.43"/>
    <col customWidth="1" min="6" max="6" width="7.57"/>
    <col customWidth="1" min="7" max="7" width="14.29"/>
    <col customWidth="1" min="8" max="8" width="8.0"/>
    <col customWidth="1" min="9" max="9" width="20.29"/>
    <col customWidth="1" min="10" max="10" width="18.14"/>
    <col customWidth="1" min="11" max="11" width="19.29"/>
    <col customWidth="1" min="12" max="12" width="9.43"/>
    <col customWidth="1" min="13" max="13" width="9.57"/>
    <col customWidth="1" min="14" max="14" width="10.29"/>
    <col customWidth="1" min="15" max="15" width="8.14"/>
    <col customWidth="1" min="16" max="16" width="17.0"/>
    <col customWidth="1" min="17" max="17" width="28.14"/>
    <col customWidth="1" min="18" max="19" width="16.71"/>
    <col customWidth="1" min="20" max="20" width="16.43"/>
    <col customWidth="1" min="21" max="21" width="13.0"/>
    <col customWidth="1" min="22" max="22" width="21.0"/>
    <col customWidth="1" min="23" max="23" width="21.29"/>
    <col customWidth="1" min="24" max="26" width="15.29"/>
    <col customWidth="1" min="27" max="27" width="22.86"/>
    <col customWidth="1" min="28" max="28" width="20.29"/>
    <col customWidth="1" min="29" max="29" width="15.71"/>
    <col customWidth="1" min="30" max="33" width="16.0"/>
    <col customWidth="1" min="34" max="34" width="26.86"/>
    <col customWidth="1" min="35" max="36" width="27.86"/>
    <col customWidth="1" min="37" max="41" width="13.86"/>
  </cols>
  <sheetData>
    <row r="1" ht="15.0" customHeight="1">
      <c r="A1" s="319" t="s">
        <v>222</v>
      </c>
      <c r="B1" s="319" t="s">
        <v>223</v>
      </c>
      <c r="C1" s="319" t="s">
        <v>224</v>
      </c>
      <c r="D1" s="319" t="s">
        <v>166</v>
      </c>
      <c r="E1" s="319" t="s">
        <v>157</v>
      </c>
      <c r="F1" s="319" t="s">
        <v>159</v>
      </c>
      <c r="G1" s="319" t="s">
        <v>169</v>
      </c>
      <c r="H1" s="319" t="s">
        <v>225</v>
      </c>
      <c r="I1" s="319" t="s">
        <v>226</v>
      </c>
      <c r="J1" s="319" t="s">
        <v>227</v>
      </c>
      <c r="K1" s="319" t="s">
        <v>228</v>
      </c>
      <c r="L1" s="319" t="s">
        <v>173</v>
      </c>
      <c r="M1" s="319" t="s">
        <v>229</v>
      </c>
      <c r="N1" s="319" t="s">
        <v>230</v>
      </c>
      <c r="O1" s="319" t="s">
        <v>231</v>
      </c>
      <c r="P1" s="319" t="s">
        <v>232</v>
      </c>
      <c r="Q1" s="319" t="s">
        <v>233</v>
      </c>
      <c r="R1" s="319" t="s">
        <v>234</v>
      </c>
      <c r="S1" s="319" t="s">
        <v>235</v>
      </c>
      <c r="T1" s="319" t="s">
        <v>236</v>
      </c>
      <c r="U1" s="319" t="s">
        <v>237</v>
      </c>
      <c r="V1" s="319" t="s">
        <v>171</v>
      </c>
      <c r="W1" s="319" t="s">
        <v>172</v>
      </c>
      <c r="X1" s="319" t="s">
        <v>238</v>
      </c>
      <c r="Y1" s="319" t="s">
        <v>239</v>
      </c>
      <c r="Z1" s="319" t="s">
        <v>240</v>
      </c>
      <c r="AA1" s="319" t="s">
        <v>241</v>
      </c>
      <c r="AB1" s="319" t="s">
        <v>242</v>
      </c>
      <c r="AC1" s="319" t="s">
        <v>243</v>
      </c>
      <c r="AD1" s="319" t="s">
        <v>244</v>
      </c>
      <c r="AE1" s="319" t="s">
        <v>245</v>
      </c>
      <c r="AF1" s="319" t="s">
        <v>246</v>
      </c>
      <c r="AG1" s="319" t="s">
        <v>247</v>
      </c>
      <c r="AH1" s="319" t="s">
        <v>248</v>
      </c>
      <c r="AI1" s="319" t="s">
        <v>249</v>
      </c>
      <c r="AJ1" s="319" t="s">
        <v>250</v>
      </c>
      <c r="AK1" s="319" t="s">
        <v>251</v>
      </c>
      <c r="AL1" s="319" t="s">
        <v>252</v>
      </c>
      <c r="AM1" s="319" t="s">
        <v>253</v>
      </c>
      <c r="AN1" s="319" t="s">
        <v>254</v>
      </c>
      <c r="AO1" s="319" t="s">
        <v>255</v>
      </c>
    </row>
    <row r="2" ht="15.0" customHeight="1">
      <c r="A2" s="330">
        <f>IFERROR(__xludf.DUMMYFUNCTION("filter(data_raw_seg_cp_pst!B2:AP2000, data_raw_seg_cp_pst!A2:A2000=""Non-payer"")"),46050.0)</f>
        <v>46050</v>
      </c>
      <c r="B2" s="319" t="str">
        <f>IFERROR(__xludf.DUMMYFUNCTION("""COMPUTED_VALUE"""),"A. 0")</f>
        <v>A. 0</v>
      </c>
      <c r="C2" s="320">
        <f>IFERROR(__xludf.DUMMYFUNCTION("""COMPUTED_VALUE"""),22724.0)</f>
        <v>22724</v>
      </c>
      <c r="D2" s="320">
        <f>IFERROR(__xludf.DUMMYFUNCTION("""COMPUTED_VALUE"""),19.42)</f>
        <v>19.42</v>
      </c>
      <c r="E2" s="320">
        <f>IFERROR(__xludf.DUMMYFUNCTION("""COMPUTED_VALUE"""),0.0)</f>
        <v>0</v>
      </c>
      <c r="F2" s="320">
        <f>IFERROR(__xludf.DUMMYFUNCTION("""COMPUTED_VALUE"""),0.0)</f>
        <v>0</v>
      </c>
      <c r="G2" s="320">
        <f>IFERROR(__xludf.DUMMYFUNCTION("""COMPUTED_VALUE"""),0.0)</f>
        <v>0</v>
      </c>
      <c r="H2" s="106"/>
      <c r="I2" s="320">
        <f>IFERROR(__xludf.DUMMYFUNCTION("""COMPUTED_VALUE"""),6.36)</f>
        <v>6.36</v>
      </c>
      <c r="J2" s="320">
        <f>IFERROR(__xludf.DUMMYFUNCTION("""COMPUTED_VALUE"""),2.61)</f>
        <v>2.61</v>
      </c>
      <c r="K2" s="320">
        <f>IFERROR(__xludf.DUMMYFUNCTION("""COMPUTED_VALUE"""),0.05)</f>
        <v>0.05</v>
      </c>
      <c r="L2" s="320">
        <f>IFERROR(__xludf.DUMMYFUNCTION("""COMPUTED_VALUE"""),0.0205)</f>
        <v>0.0205</v>
      </c>
      <c r="M2" s="320">
        <f>IFERROR(__xludf.DUMMYFUNCTION("""COMPUTED_VALUE"""),0.9847)</f>
        <v>0.9847</v>
      </c>
      <c r="N2" s="320">
        <f>IFERROR(__xludf.DUMMYFUNCTION("""COMPUTED_VALUE"""),0.8222)</f>
        <v>0.8222</v>
      </c>
      <c r="O2" s="320">
        <f>IFERROR(__xludf.DUMMYFUNCTION("""COMPUTED_VALUE"""),48.726)</f>
        <v>48.726</v>
      </c>
      <c r="P2" s="320">
        <f>IFERROR(__xludf.DUMMYFUNCTION("""COMPUTED_VALUE"""),20.72)</f>
        <v>20.72</v>
      </c>
      <c r="Q2" s="320">
        <f>IFERROR(__xludf.DUMMYFUNCTION("""COMPUTED_VALUE"""),20.58)</f>
        <v>20.58</v>
      </c>
      <c r="R2" s="320">
        <f>IFERROR(__xludf.DUMMYFUNCTION("""COMPUTED_VALUE"""),0.14)</f>
        <v>0.14</v>
      </c>
      <c r="S2" s="320">
        <f>IFERROR(__xludf.DUMMYFUNCTION("""COMPUTED_VALUE"""),0.0)</f>
        <v>0</v>
      </c>
      <c r="T2" s="320">
        <f>IFERROR(__xludf.DUMMYFUNCTION("""COMPUTED_VALUE"""),20.72)</f>
        <v>20.72</v>
      </c>
      <c r="U2" s="320">
        <f>IFERROR(__xludf.DUMMYFUNCTION("""COMPUTED_VALUE"""),2.25)</f>
        <v>2.25</v>
      </c>
      <c r="V2" s="320">
        <f>IFERROR(__xludf.DUMMYFUNCTION("""COMPUTED_VALUE"""),0.8612)</f>
        <v>0.8612</v>
      </c>
      <c r="W2" s="320">
        <f>IFERROR(__xludf.DUMMYFUNCTION("""COMPUTED_VALUE"""),0.0)</f>
        <v>0</v>
      </c>
      <c r="X2" s="320">
        <f>IFERROR(__xludf.DUMMYFUNCTION("""COMPUTED_VALUE"""),249.0)</f>
        <v>249</v>
      </c>
      <c r="Y2" s="320">
        <f>IFERROR(__xludf.DUMMYFUNCTION("""COMPUTED_VALUE"""),2999.0)</f>
        <v>2999</v>
      </c>
      <c r="Z2" s="320">
        <f>IFERROR(__xludf.DUMMYFUNCTION("""COMPUTED_VALUE"""),13498.0)</f>
        <v>13498</v>
      </c>
      <c r="AA2" s="320">
        <f>IFERROR(__xludf.DUMMYFUNCTION("""COMPUTED_VALUE"""),49.0528)</f>
        <v>49.0528</v>
      </c>
      <c r="AB2" s="320">
        <f>IFERROR(__xludf.DUMMYFUNCTION("""COMPUTED_VALUE"""),0.5513)</f>
        <v>0.5513</v>
      </c>
      <c r="AC2" s="106"/>
      <c r="AD2" s="106"/>
      <c r="AE2" s="106"/>
      <c r="AF2" s="106"/>
      <c r="AG2" s="106"/>
      <c r="AH2" s="320">
        <f>IFERROR(__xludf.DUMMYFUNCTION("""COMPUTED_VALUE"""),0.0)</f>
        <v>0</v>
      </c>
      <c r="AI2" s="320">
        <f>IFERROR(__xludf.DUMMYFUNCTION("""COMPUTED_VALUE"""),0.0)</f>
        <v>0</v>
      </c>
      <c r="AJ2" s="320">
        <f>IFERROR(__xludf.DUMMYFUNCTION("""COMPUTED_VALUE"""),0.0)</f>
        <v>0</v>
      </c>
      <c r="AK2" s="320">
        <f>IFERROR(__xludf.DUMMYFUNCTION("""COMPUTED_VALUE"""),0.3058)</f>
        <v>0.3058</v>
      </c>
      <c r="AL2" s="320">
        <f>IFERROR(__xludf.DUMMYFUNCTION("""COMPUTED_VALUE"""),15.43)</f>
        <v>15.43</v>
      </c>
      <c r="AM2" s="320">
        <f>IFERROR(__xludf.DUMMYFUNCTION("""COMPUTED_VALUE"""),5.15)</f>
        <v>5.15</v>
      </c>
      <c r="AN2" s="331"/>
      <c r="AO2" s="331"/>
    </row>
    <row r="3" ht="15.0" customHeight="1">
      <c r="A3" s="330">
        <f>IFERROR(__xludf.DUMMYFUNCTION("""COMPUTED_VALUE"""),46050.0)</f>
        <v>46050</v>
      </c>
      <c r="B3" s="319" t="str">
        <f>IFERROR(__xludf.DUMMYFUNCTION("""COMPUTED_VALUE"""),"B. 1-9")</f>
        <v>B. 1-9</v>
      </c>
      <c r="C3" s="320">
        <f>IFERROR(__xludf.DUMMYFUNCTION("""COMPUTED_VALUE"""),48248.0)</f>
        <v>48248</v>
      </c>
      <c r="D3" s="320">
        <f>IFERROR(__xludf.DUMMYFUNCTION("""COMPUTED_VALUE"""),41.22)</f>
        <v>41.22</v>
      </c>
      <c r="E3" s="320">
        <f>IFERROR(__xludf.DUMMYFUNCTION("""COMPUTED_VALUE"""),0.0)</f>
        <v>0</v>
      </c>
      <c r="F3" s="320">
        <f>IFERROR(__xludf.DUMMYFUNCTION("""COMPUTED_VALUE"""),0.0)</f>
        <v>0</v>
      </c>
      <c r="G3" s="320">
        <f>IFERROR(__xludf.DUMMYFUNCTION("""COMPUTED_VALUE"""),0.0)</f>
        <v>0</v>
      </c>
      <c r="H3" s="106"/>
      <c r="I3" s="320">
        <f>IFERROR(__xludf.DUMMYFUNCTION("""COMPUTED_VALUE"""),27.01)</f>
        <v>27.01</v>
      </c>
      <c r="J3" s="320">
        <f>IFERROR(__xludf.DUMMYFUNCTION("""COMPUTED_VALUE"""),12.12)</f>
        <v>12.12</v>
      </c>
      <c r="K3" s="320">
        <f>IFERROR(__xludf.DUMMYFUNCTION("""COMPUTED_VALUE"""),4.56)</f>
        <v>4.56</v>
      </c>
      <c r="L3" s="320">
        <f>IFERROR(__xludf.DUMMYFUNCTION("""COMPUTED_VALUE"""),0.3761)</f>
        <v>0.3761</v>
      </c>
      <c r="M3" s="320">
        <f>IFERROR(__xludf.DUMMYFUNCTION("""COMPUTED_VALUE"""),0.7778)</f>
        <v>0.7778</v>
      </c>
      <c r="N3" s="320">
        <f>IFERROR(__xludf.DUMMYFUNCTION("""COMPUTED_VALUE"""),0.5753)</f>
        <v>0.5753</v>
      </c>
      <c r="O3" s="320">
        <f>IFERROR(__xludf.DUMMYFUNCTION("""COMPUTED_VALUE"""),2.6587)</f>
        <v>2.6587</v>
      </c>
      <c r="P3" s="320">
        <f>IFERROR(__xludf.DUMMYFUNCTION("""COMPUTED_VALUE"""),42.33)</f>
        <v>42.33</v>
      </c>
      <c r="Q3" s="320">
        <f>IFERROR(__xludf.DUMMYFUNCTION("""COMPUTED_VALUE"""),33.34)</f>
        <v>33.34</v>
      </c>
      <c r="R3" s="320">
        <f>IFERROR(__xludf.DUMMYFUNCTION("""COMPUTED_VALUE"""),8.99)</f>
        <v>8.99</v>
      </c>
      <c r="S3" s="320">
        <f>IFERROR(__xludf.DUMMYFUNCTION("""COMPUTED_VALUE"""),1.26)</f>
        <v>1.26</v>
      </c>
      <c r="T3" s="320">
        <f>IFERROR(__xludf.DUMMYFUNCTION("""COMPUTED_VALUE"""),41.07)</f>
        <v>41.07</v>
      </c>
      <c r="U3" s="320">
        <f>IFERROR(__xludf.DUMMYFUNCTION("""COMPUTED_VALUE"""),43.99)</f>
        <v>43.99</v>
      </c>
      <c r="V3" s="320">
        <f>IFERROR(__xludf.DUMMYFUNCTION("""COMPUTED_VALUE"""),3.6279)</f>
        <v>3.6279</v>
      </c>
      <c r="W3" s="320">
        <f>IFERROR(__xludf.DUMMYFUNCTION("""COMPUTED_VALUE"""),2.98)</f>
        <v>2.98</v>
      </c>
      <c r="X3" s="320">
        <f>IFERROR(__xludf.DUMMYFUNCTION("""COMPUTED_VALUE"""),137.0)</f>
        <v>137</v>
      </c>
      <c r="Y3" s="320">
        <f>IFERROR(__xludf.DUMMYFUNCTION("""COMPUTED_VALUE"""),823.0)</f>
        <v>823</v>
      </c>
      <c r="Z3" s="320">
        <f>IFERROR(__xludf.DUMMYFUNCTION("""COMPUTED_VALUE"""),5558.0)</f>
        <v>5558</v>
      </c>
      <c r="AA3" s="320">
        <f>IFERROR(__xludf.DUMMYFUNCTION("""COMPUTED_VALUE"""),49.9508)</f>
        <v>49.9508</v>
      </c>
      <c r="AB3" s="320">
        <f>IFERROR(__xludf.DUMMYFUNCTION("""COMPUTED_VALUE"""),0.5809)</f>
        <v>0.5809</v>
      </c>
      <c r="AC3" s="320">
        <f>IFERROR(__xludf.DUMMYFUNCTION("""COMPUTED_VALUE"""),3.07)</f>
        <v>3.07</v>
      </c>
      <c r="AD3" s="320">
        <f>IFERROR(__xludf.DUMMYFUNCTION("""COMPUTED_VALUE"""),1.0)</f>
        <v>1</v>
      </c>
      <c r="AE3" s="320">
        <f>IFERROR(__xludf.DUMMYFUNCTION("""COMPUTED_VALUE"""),2.0)</f>
        <v>2</v>
      </c>
      <c r="AF3" s="320">
        <f>IFERROR(__xludf.DUMMYFUNCTION("""COMPUTED_VALUE"""),4.0)</f>
        <v>4</v>
      </c>
      <c r="AG3" s="320">
        <f>IFERROR(__xludf.DUMMYFUNCTION("""COMPUTED_VALUE"""),6.0)</f>
        <v>6</v>
      </c>
      <c r="AH3" s="320">
        <f>IFERROR(__xludf.DUMMYFUNCTION("""COMPUTED_VALUE"""),70.69)</f>
        <v>70.69</v>
      </c>
      <c r="AI3" s="320">
        <f>IFERROR(__xludf.DUMMYFUNCTION("""COMPUTED_VALUE"""),22.93)</f>
        <v>22.93</v>
      </c>
      <c r="AJ3" s="320">
        <f>IFERROR(__xludf.DUMMYFUNCTION("""COMPUTED_VALUE"""),0.0)</f>
        <v>0</v>
      </c>
      <c r="AK3" s="320">
        <f>IFERROR(__xludf.DUMMYFUNCTION("""COMPUTED_VALUE"""),0.2521)</f>
        <v>0.2521</v>
      </c>
      <c r="AL3" s="320">
        <f>IFERROR(__xludf.DUMMYFUNCTION("""COMPUTED_VALUE"""),17.26)</f>
        <v>17.26</v>
      </c>
      <c r="AM3" s="320">
        <f>IFERROR(__xludf.DUMMYFUNCTION("""COMPUTED_VALUE"""),16.08)</f>
        <v>16.08</v>
      </c>
      <c r="AN3" s="320">
        <f>IFERROR(__xludf.DUMMYFUNCTION("""COMPUTED_VALUE"""),14.29)</f>
        <v>14.29</v>
      </c>
      <c r="AO3" s="320">
        <f>IFERROR(__xludf.DUMMYFUNCTION("""COMPUTED_VALUE"""),2.47)</f>
        <v>2.47</v>
      </c>
    </row>
    <row r="4" ht="15.0" customHeight="1">
      <c r="A4" s="330">
        <f>IFERROR(__xludf.DUMMYFUNCTION("""COMPUTED_VALUE"""),46050.0)</f>
        <v>46050</v>
      </c>
      <c r="B4" s="319" t="str">
        <f>IFERROR(__xludf.DUMMYFUNCTION("""COMPUTED_VALUE"""),"C. 10-19")</f>
        <v>C. 10-19</v>
      </c>
      <c r="C4" s="320">
        <f>IFERROR(__xludf.DUMMYFUNCTION("""COMPUTED_VALUE"""),22737.0)</f>
        <v>22737</v>
      </c>
      <c r="D4" s="320">
        <f>IFERROR(__xludf.DUMMYFUNCTION("""COMPUTED_VALUE"""),19.43)</f>
        <v>19.43</v>
      </c>
      <c r="E4" s="320">
        <f>IFERROR(__xludf.DUMMYFUNCTION("""COMPUTED_VALUE"""),0.0)</f>
        <v>0</v>
      </c>
      <c r="F4" s="320">
        <f>IFERROR(__xludf.DUMMYFUNCTION("""COMPUTED_VALUE"""),0.0)</f>
        <v>0</v>
      </c>
      <c r="G4" s="320">
        <f>IFERROR(__xludf.DUMMYFUNCTION("""COMPUTED_VALUE"""),0.0)</f>
        <v>0</v>
      </c>
      <c r="H4" s="106"/>
      <c r="I4" s="320">
        <f>IFERROR(__xludf.DUMMYFUNCTION("""COMPUTED_VALUE"""),57.13)</f>
        <v>57.13</v>
      </c>
      <c r="J4" s="320">
        <f>IFERROR(__xludf.DUMMYFUNCTION("""COMPUTED_VALUE"""),27.02)</f>
        <v>27.02</v>
      </c>
      <c r="K4" s="320">
        <f>IFERROR(__xludf.DUMMYFUNCTION("""COMPUTED_VALUE"""),14.01)</f>
        <v>14.01</v>
      </c>
      <c r="L4" s="320">
        <f>IFERROR(__xludf.DUMMYFUNCTION("""COMPUTED_VALUE"""),0.5185)</f>
        <v>0.5185</v>
      </c>
      <c r="M4" s="320">
        <f>IFERROR(__xludf.DUMMYFUNCTION("""COMPUTED_VALUE"""),0.6683)</f>
        <v>0.6683</v>
      </c>
      <c r="N4" s="320">
        <f>IFERROR(__xludf.DUMMYFUNCTION("""COMPUTED_VALUE"""),0.4685)</f>
        <v>0.4685</v>
      </c>
      <c r="O4" s="320">
        <f>IFERROR(__xludf.DUMMYFUNCTION("""COMPUTED_VALUE"""),1.9285)</f>
        <v>1.9285</v>
      </c>
      <c r="P4" s="320">
        <f>IFERROR(__xludf.DUMMYFUNCTION("""COMPUTED_VALUE"""),84.4)</f>
        <v>84.4</v>
      </c>
      <c r="Q4" s="320">
        <f>IFERROR(__xludf.DUMMYFUNCTION("""COMPUTED_VALUE"""),55.39)</f>
        <v>55.39</v>
      </c>
      <c r="R4" s="320">
        <f>IFERROR(__xludf.DUMMYFUNCTION("""COMPUTED_VALUE"""),29.01)</f>
        <v>29.01</v>
      </c>
      <c r="S4" s="320">
        <f>IFERROR(__xludf.DUMMYFUNCTION("""COMPUTED_VALUE"""),5.12)</f>
        <v>5.12</v>
      </c>
      <c r="T4" s="320">
        <f>IFERROR(__xludf.DUMMYFUNCTION("""COMPUTED_VALUE"""),79.28)</f>
        <v>79.28</v>
      </c>
      <c r="U4" s="320">
        <f>IFERROR(__xludf.DUMMYFUNCTION("""COMPUTED_VALUE"""),99.11)</f>
        <v>99.11</v>
      </c>
      <c r="V4" s="320">
        <f>IFERROR(__xludf.DUMMYFUNCTION("""COMPUTED_VALUE"""),3.6677)</f>
        <v>3.6677</v>
      </c>
      <c r="W4" s="320">
        <f>IFERROR(__xludf.DUMMYFUNCTION("""COMPUTED_VALUE"""),6.07)</f>
        <v>6.07</v>
      </c>
      <c r="X4" s="320">
        <f>IFERROR(__xludf.DUMMYFUNCTION("""COMPUTED_VALUE"""),129.0)</f>
        <v>129</v>
      </c>
      <c r="Y4" s="320">
        <f>IFERROR(__xludf.DUMMYFUNCTION("""COMPUTED_VALUE"""),828.0)</f>
        <v>828</v>
      </c>
      <c r="Z4" s="320">
        <f>IFERROR(__xludf.DUMMYFUNCTION("""COMPUTED_VALUE"""),5665.0)</f>
        <v>5665</v>
      </c>
      <c r="AA4" s="320">
        <f>IFERROR(__xludf.DUMMYFUNCTION("""COMPUTED_VALUE"""),52.0122)</f>
        <v>52.0122</v>
      </c>
      <c r="AB4" s="320">
        <f>IFERROR(__xludf.DUMMYFUNCTION("""COMPUTED_VALUE"""),0.6243)</f>
        <v>0.6243</v>
      </c>
      <c r="AC4" s="320">
        <f>IFERROR(__xludf.DUMMYFUNCTION("""COMPUTED_VALUE"""),9.32)</f>
        <v>9.32</v>
      </c>
      <c r="AD4" s="320">
        <f>IFERROR(__xludf.DUMMYFUNCTION("""COMPUTED_VALUE"""),5.0)</f>
        <v>5</v>
      </c>
      <c r="AE4" s="320">
        <f>IFERROR(__xludf.DUMMYFUNCTION("""COMPUTED_VALUE"""),10.0)</f>
        <v>10</v>
      </c>
      <c r="AF4" s="320">
        <f>IFERROR(__xludf.DUMMYFUNCTION("""COMPUTED_VALUE"""),12.0)</f>
        <v>12</v>
      </c>
      <c r="AG4" s="320">
        <f>IFERROR(__xludf.DUMMYFUNCTION("""COMPUTED_VALUE"""),16.0)</f>
        <v>16</v>
      </c>
      <c r="AH4" s="320">
        <f>IFERROR(__xludf.DUMMYFUNCTION("""COMPUTED_VALUE"""),75.19)</f>
        <v>75.19</v>
      </c>
      <c r="AI4" s="320">
        <f>IFERROR(__xludf.DUMMYFUNCTION("""COMPUTED_VALUE"""),24.41)</f>
        <v>24.41</v>
      </c>
      <c r="AJ4" s="320">
        <f>IFERROR(__xludf.DUMMYFUNCTION("""COMPUTED_VALUE"""),0.0)</f>
        <v>0</v>
      </c>
      <c r="AK4" s="320">
        <f>IFERROR(__xludf.DUMMYFUNCTION("""COMPUTED_VALUE"""),0.1972)</f>
        <v>0.1972</v>
      </c>
      <c r="AL4" s="320">
        <f>IFERROR(__xludf.DUMMYFUNCTION("""COMPUTED_VALUE"""),20.3)</f>
        <v>20.3</v>
      </c>
      <c r="AM4" s="320">
        <f>IFERROR(__xludf.DUMMYFUNCTION("""COMPUTED_VALUE"""),35.09)</f>
        <v>35.09</v>
      </c>
      <c r="AN4" s="320">
        <f>IFERROR(__xludf.DUMMYFUNCTION("""COMPUTED_VALUE"""),14.29)</f>
        <v>14.29</v>
      </c>
      <c r="AO4" s="320">
        <f>IFERROR(__xludf.DUMMYFUNCTION("""COMPUTED_VALUE"""),2.9)</f>
        <v>2.9</v>
      </c>
    </row>
    <row r="5" ht="15.0" customHeight="1">
      <c r="A5" s="330">
        <f>IFERROR(__xludf.DUMMYFUNCTION("""COMPUTED_VALUE"""),46050.0)</f>
        <v>46050</v>
      </c>
      <c r="B5" s="319" t="str">
        <f>IFERROR(__xludf.DUMMYFUNCTION("""COMPUTED_VALUE"""),"D. 20-39")</f>
        <v>D. 20-39</v>
      </c>
      <c r="C5" s="320">
        <f>IFERROR(__xludf.DUMMYFUNCTION("""COMPUTED_VALUE"""),15469.0)</f>
        <v>15469</v>
      </c>
      <c r="D5" s="320">
        <f>IFERROR(__xludf.DUMMYFUNCTION("""COMPUTED_VALUE"""),13.22)</f>
        <v>13.22</v>
      </c>
      <c r="E5" s="320">
        <f>IFERROR(__xludf.DUMMYFUNCTION("""COMPUTED_VALUE"""),0.0)</f>
        <v>0</v>
      </c>
      <c r="F5" s="320">
        <f>IFERROR(__xludf.DUMMYFUNCTION("""COMPUTED_VALUE"""),0.0)</f>
        <v>0</v>
      </c>
      <c r="G5" s="320">
        <f>IFERROR(__xludf.DUMMYFUNCTION("""COMPUTED_VALUE"""),0.0)</f>
        <v>0</v>
      </c>
      <c r="H5" s="106"/>
      <c r="I5" s="320">
        <f>IFERROR(__xludf.DUMMYFUNCTION("""COMPUTED_VALUE"""),87.78)</f>
        <v>87.78</v>
      </c>
      <c r="J5" s="320">
        <f>IFERROR(__xludf.DUMMYFUNCTION("""COMPUTED_VALUE"""),43.3)</f>
        <v>43.3</v>
      </c>
      <c r="K5" s="320">
        <f>IFERROR(__xludf.DUMMYFUNCTION("""COMPUTED_VALUE"""),27.4)</f>
        <v>27.4</v>
      </c>
      <c r="L5" s="320">
        <f>IFERROR(__xludf.DUMMYFUNCTION("""COMPUTED_VALUE"""),0.6328)</f>
        <v>0.6328</v>
      </c>
      <c r="M5" s="320">
        <f>IFERROR(__xludf.DUMMYFUNCTION("""COMPUTED_VALUE"""),0.5606)</f>
        <v>0.5606</v>
      </c>
      <c r="N5" s="320">
        <f>IFERROR(__xludf.DUMMYFUNCTION("""COMPUTED_VALUE"""),0.3917)</f>
        <v>0.3917</v>
      </c>
      <c r="O5" s="320">
        <f>IFERROR(__xludf.DUMMYFUNCTION("""COMPUTED_VALUE"""),1.5803)</f>
        <v>1.5803</v>
      </c>
      <c r="P5" s="320">
        <f>IFERROR(__xludf.DUMMYFUNCTION("""COMPUTED_VALUE"""),136.8)</f>
        <v>136.8</v>
      </c>
      <c r="Q5" s="320">
        <f>IFERROR(__xludf.DUMMYFUNCTION("""COMPUTED_VALUE"""),78.98)</f>
        <v>78.98</v>
      </c>
      <c r="R5" s="320">
        <f>IFERROR(__xludf.DUMMYFUNCTION("""COMPUTED_VALUE"""),57.83)</f>
        <v>57.83</v>
      </c>
      <c r="S5" s="320">
        <f>IFERROR(__xludf.DUMMYFUNCTION("""COMPUTED_VALUE"""),7.41)</f>
        <v>7.41</v>
      </c>
      <c r="T5" s="320">
        <f>IFERROR(__xludf.DUMMYFUNCTION("""COMPUTED_VALUE"""),129.39)</f>
        <v>129.39</v>
      </c>
      <c r="U5" s="320">
        <f>IFERROR(__xludf.DUMMYFUNCTION("""COMPUTED_VALUE"""),168.26)</f>
        <v>168.26</v>
      </c>
      <c r="V5" s="320">
        <f>IFERROR(__xludf.DUMMYFUNCTION("""COMPUTED_VALUE"""),3.8858)</f>
        <v>3.8858</v>
      </c>
      <c r="W5" s="320">
        <f>IFERROR(__xludf.DUMMYFUNCTION("""COMPUTED_VALUE"""),5.42)</f>
        <v>5.42</v>
      </c>
      <c r="X5" s="320">
        <f>IFERROR(__xludf.DUMMYFUNCTION("""COMPUTED_VALUE"""),138.0)</f>
        <v>138</v>
      </c>
      <c r="Y5" s="320">
        <f>IFERROR(__xludf.DUMMYFUNCTION("""COMPUTED_VALUE"""),986.0)</f>
        <v>986</v>
      </c>
      <c r="Z5" s="320">
        <f>IFERROR(__xludf.DUMMYFUNCTION("""COMPUTED_VALUE"""),6169.0)</f>
        <v>6169</v>
      </c>
      <c r="AA5" s="320">
        <f>IFERROR(__xludf.DUMMYFUNCTION("""COMPUTED_VALUE"""),54.0374)</f>
        <v>54.0374</v>
      </c>
      <c r="AB5" s="320">
        <f>IFERROR(__xludf.DUMMYFUNCTION("""COMPUTED_VALUE"""),0.6854)</f>
        <v>0.6854</v>
      </c>
      <c r="AC5" s="320">
        <f>IFERROR(__xludf.DUMMYFUNCTION("""COMPUTED_VALUE"""),17.98)</f>
        <v>17.98</v>
      </c>
      <c r="AD5" s="320">
        <f>IFERROR(__xludf.DUMMYFUNCTION("""COMPUTED_VALUE"""),10.0)</f>
        <v>10</v>
      </c>
      <c r="AE5" s="320">
        <f>IFERROR(__xludf.DUMMYFUNCTION("""COMPUTED_VALUE"""),18.0)</f>
        <v>18</v>
      </c>
      <c r="AF5" s="320">
        <f>IFERROR(__xludf.DUMMYFUNCTION("""COMPUTED_VALUE"""),24.0)</f>
        <v>24</v>
      </c>
      <c r="AG5" s="320">
        <f>IFERROR(__xludf.DUMMYFUNCTION("""COMPUTED_VALUE"""),31.0)</f>
        <v>31</v>
      </c>
      <c r="AH5" s="320">
        <f>IFERROR(__xludf.DUMMYFUNCTION("""COMPUTED_VALUE"""),72.14)</f>
        <v>72.14</v>
      </c>
      <c r="AI5" s="320">
        <f>IFERROR(__xludf.DUMMYFUNCTION("""COMPUTED_VALUE"""),21.73)</f>
        <v>21.73</v>
      </c>
      <c r="AJ5" s="320">
        <f>IFERROR(__xludf.DUMMYFUNCTION("""COMPUTED_VALUE"""),0.0)</f>
        <v>0</v>
      </c>
      <c r="AK5" s="320">
        <f>IFERROR(__xludf.DUMMYFUNCTION("""COMPUTED_VALUE"""),0.1724)</f>
        <v>0.1724</v>
      </c>
      <c r="AL5" s="320">
        <f>IFERROR(__xludf.DUMMYFUNCTION("""COMPUTED_VALUE"""),22.96)</f>
        <v>22.96</v>
      </c>
      <c r="AM5" s="320">
        <f>IFERROR(__xludf.DUMMYFUNCTION("""COMPUTED_VALUE"""),56.02)</f>
        <v>56.02</v>
      </c>
      <c r="AN5" s="320">
        <f>IFERROR(__xludf.DUMMYFUNCTION("""COMPUTED_VALUE"""),14.29)</f>
        <v>14.29</v>
      </c>
      <c r="AO5" s="320">
        <f>IFERROR(__xludf.DUMMYFUNCTION("""COMPUTED_VALUE"""),3.28)</f>
        <v>3.28</v>
      </c>
    </row>
    <row r="6" ht="15.0" customHeight="1">
      <c r="A6" s="330">
        <f>IFERROR(__xludf.DUMMYFUNCTION("""COMPUTED_VALUE"""),46050.0)</f>
        <v>46050</v>
      </c>
      <c r="B6" s="319" t="str">
        <f>IFERROR(__xludf.DUMMYFUNCTION("""COMPUTED_VALUE"""),"E. 40-99")</f>
        <v>E. 40-99</v>
      </c>
      <c r="C6" s="320">
        <f>IFERROR(__xludf.DUMMYFUNCTION("""COMPUTED_VALUE"""),6833.0)</f>
        <v>6833</v>
      </c>
      <c r="D6" s="320">
        <f>IFERROR(__xludf.DUMMYFUNCTION("""COMPUTED_VALUE"""),5.84)</f>
        <v>5.84</v>
      </c>
      <c r="E6" s="320">
        <f>IFERROR(__xludf.DUMMYFUNCTION("""COMPUTED_VALUE"""),0.0)</f>
        <v>0</v>
      </c>
      <c r="F6" s="320">
        <f>IFERROR(__xludf.DUMMYFUNCTION("""COMPUTED_VALUE"""),0.0)</f>
        <v>0</v>
      </c>
      <c r="G6" s="320">
        <f>IFERROR(__xludf.DUMMYFUNCTION("""COMPUTED_VALUE"""),0.0)</f>
        <v>0</v>
      </c>
      <c r="H6" s="106"/>
      <c r="I6" s="320">
        <f>IFERROR(__xludf.DUMMYFUNCTION("""COMPUTED_VALUE"""),145.95)</f>
        <v>145.95</v>
      </c>
      <c r="J6" s="320">
        <f>IFERROR(__xludf.DUMMYFUNCTION("""COMPUTED_VALUE"""),76.86)</f>
        <v>76.86</v>
      </c>
      <c r="K6" s="320">
        <f>IFERROR(__xludf.DUMMYFUNCTION("""COMPUTED_VALUE"""),57.52)</f>
        <v>57.52</v>
      </c>
      <c r="L6" s="320">
        <f>IFERROR(__xludf.DUMMYFUNCTION("""COMPUTED_VALUE"""),0.7484)</f>
        <v>0.7484</v>
      </c>
      <c r="M6" s="320">
        <f>IFERROR(__xludf.DUMMYFUNCTION("""COMPUTED_VALUE"""),0.4363)</f>
        <v>0.4363</v>
      </c>
      <c r="N6" s="320">
        <f>IFERROR(__xludf.DUMMYFUNCTION("""COMPUTED_VALUE"""),0.31)</f>
        <v>0.31</v>
      </c>
      <c r="O6" s="320">
        <f>IFERROR(__xludf.DUMMYFUNCTION("""COMPUTED_VALUE"""),1.3362)</f>
        <v>1.3362</v>
      </c>
      <c r="P6" s="320">
        <f>IFERROR(__xludf.DUMMYFUNCTION("""COMPUTED_VALUE"""),243.59)</f>
        <v>243.59</v>
      </c>
      <c r="Q6" s="320">
        <f>IFERROR(__xludf.DUMMYFUNCTION("""COMPUTED_VALUE"""),121.51)</f>
        <v>121.51</v>
      </c>
      <c r="R6" s="320">
        <f>IFERROR(__xludf.DUMMYFUNCTION("""COMPUTED_VALUE"""),122.08)</f>
        <v>122.08</v>
      </c>
      <c r="S6" s="320">
        <f>IFERROR(__xludf.DUMMYFUNCTION("""COMPUTED_VALUE"""),16.27)</f>
        <v>16.27</v>
      </c>
      <c r="T6" s="320">
        <f>IFERROR(__xludf.DUMMYFUNCTION("""COMPUTED_VALUE"""),227.32)</f>
        <v>227.32</v>
      </c>
      <c r="U6" s="320">
        <f>IFERROR(__xludf.DUMMYFUNCTION("""COMPUTED_VALUE"""),323.84)</f>
        <v>323.84</v>
      </c>
      <c r="V6" s="320">
        <f>IFERROR(__xludf.DUMMYFUNCTION("""COMPUTED_VALUE"""),4.2131)</f>
        <v>4.2131</v>
      </c>
      <c r="W6" s="320">
        <f>IFERROR(__xludf.DUMMYFUNCTION("""COMPUTED_VALUE"""),6.68)</f>
        <v>6.68</v>
      </c>
      <c r="X6" s="320">
        <f>IFERROR(__xludf.DUMMYFUNCTION("""COMPUTED_VALUE"""),191.0)</f>
        <v>191</v>
      </c>
      <c r="Y6" s="320">
        <f>IFERROR(__xludf.DUMMYFUNCTION("""COMPUTED_VALUE"""),1964.0)</f>
        <v>1964</v>
      </c>
      <c r="Z6" s="320">
        <f>IFERROR(__xludf.DUMMYFUNCTION("""COMPUTED_VALUE"""),8950.0)</f>
        <v>8950</v>
      </c>
      <c r="AA6" s="320">
        <f>IFERROR(__xludf.DUMMYFUNCTION("""COMPUTED_VALUE"""),57.4882)</f>
        <v>57.4882</v>
      </c>
      <c r="AB6" s="320">
        <f>IFERROR(__xludf.DUMMYFUNCTION("""COMPUTED_VALUE"""),0.7812)</f>
        <v>0.7812</v>
      </c>
      <c r="AC6" s="320">
        <f>IFERROR(__xludf.DUMMYFUNCTION("""COMPUTED_VALUE"""),37.32)</f>
        <v>37.32</v>
      </c>
      <c r="AD6" s="320">
        <f>IFERROR(__xludf.DUMMYFUNCTION("""COMPUTED_VALUE"""),19.0)</f>
        <v>19</v>
      </c>
      <c r="AE6" s="320">
        <f>IFERROR(__xludf.DUMMYFUNCTION("""COMPUTED_VALUE"""),35.0)</f>
        <v>35</v>
      </c>
      <c r="AF6" s="320">
        <f>IFERROR(__xludf.DUMMYFUNCTION("""COMPUTED_VALUE"""),51.0)</f>
        <v>51</v>
      </c>
      <c r="AG6" s="320">
        <f>IFERROR(__xludf.DUMMYFUNCTION("""COMPUTED_VALUE"""),68.0)</f>
        <v>68</v>
      </c>
      <c r="AH6" s="320">
        <f>IFERROR(__xludf.DUMMYFUNCTION("""COMPUTED_VALUE"""),59.96)</f>
        <v>59.96</v>
      </c>
      <c r="AI6" s="320">
        <f>IFERROR(__xludf.DUMMYFUNCTION("""COMPUTED_VALUE"""),15.91)</f>
        <v>15.91</v>
      </c>
      <c r="AJ6" s="320">
        <f>IFERROR(__xludf.DUMMYFUNCTION("""COMPUTED_VALUE"""),0.0)</f>
        <v>0</v>
      </c>
      <c r="AK6" s="320">
        <f>IFERROR(__xludf.DUMMYFUNCTION("""COMPUTED_VALUE"""),0.1244)</f>
        <v>0.1244</v>
      </c>
      <c r="AL6" s="320">
        <f>IFERROR(__xludf.DUMMYFUNCTION("""COMPUTED_VALUE"""),24.12)</f>
        <v>24.12</v>
      </c>
      <c r="AM6" s="320">
        <f>IFERROR(__xludf.DUMMYFUNCTION("""COMPUTED_VALUE"""),97.39)</f>
        <v>97.39</v>
      </c>
      <c r="AN6" s="320">
        <f>IFERROR(__xludf.DUMMYFUNCTION("""COMPUTED_VALUE"""),14.29)</f>
        <v>14.29</v>
      </c>
      <c r="AO6" s="320">
        <f>IFERROR(__xludf.DUMMYFUNCTION("""COMPUTED_VALUE"""),3.45)</f>
        <v>3.45</v>
      </c>
    </row>
    <row r="7" ht="15.0" customHeight="1">
      <c r="A7" s="330">
        <f>IFERROR(__xludf.DUMMYFUNCTION("""COMPUTED_VALUE"""),46050.0)</f>
        <v>46050</v>
      </c>
      <c r="B7" s="319" t="str">
        <f>IFERROR(__xludf.DUMMYFUNCTION("""COMPUTED_VALUE"""),"F. 100+")</f>
        <v>F. 100+</v>
      </c>
      <c r="C7" s="320">
        <f>IFERROR(__xludf.DUMMYFUNCTION("""COMPUTED_VALUE"""),1028.0)</f>
        <v>1028</v>
      </c>
      <c r="D7" s="320">
        <f>IFERROR(__xludf.DUMMYFUNCTION("""COMPUTED_VALUE"""),0.88)</f>
        <v>0.88</v>
      </c>
      <c r="E7" s="320">
        <f>IFERROR(__xludf.DUMMYFUNCTION("""COMPUTED_VALUE"""),0.0)</f>
        <v>0</v>
      </c>
      <c r="F7" s="320">
        <f>IFERROR(__xludf.DUMMYFUNCTION("""COMPUTED_VALUE"""),0.0)</f>
        <v>0</v>
      </c>
      <c r="G7" s="320">
        <f>IFERROR(__xludf.DUMMYFUNCTION("""COMPUTED_VALUE"""),0.0)</f>
        <v>0</v>
      </c>
      <c r="H7" s="106"/>
      <c r="I7" s="320">
        <f>IFERROR(__xludf.DUMMYFUNCTION("""COMPUTED_VALUE"""),279.52)</f>
        <v>279.52</v>
      </c>
      <c r="J7" s="320">
        <f>IFERROR(__xludf.DUMMYFUNCTION("""COMPUTED_VALUE"""),161.42)</f>
        <v>161.42</v>
      </c>
      <c r="K7" s="320">
        <f>IFERROR(__xludf.DUMMYFUNCTION("""COMPUTED_VALUE"""),139.09)</f>
        <v>139.09</v>
      </c>
      <c r="L7" s="320">
        <f>IFERROR(__xludf.DUMMYFUNCTION("""COMPUTED_VALUE"""),0.8616)</f>
        <v>0.8616</v>
      </c>
      <c r="M7" s="320">
        <f>IFERROR(__xludf.DUMMYFUNCTION("""COMPUTED_VALUE"""),0.2962)</f>
        <v>0.2962</v>
      </c>
      <c r="N7" s="320">
        <f>IFERROR(__xludf.DUMMYFUNCTION("""COMPUTED_VALUE"""),0.2223)</f>
        <v>0.2223</v>
      </c>
      <c r="O7" s="320">
        <f>IFERROR(__xludf.DUMMYFUNCTION("""COMPUTED_VALUE"""),1.1606)</f>
        <v>1.1606</v>
      </c>
      <c r="P7" s="320">
        <f>IFERROR(__xludf.DUMMYFUNCTION("""COMPUTED_VALUE"""),486.61)</f>
        <v>486.61</v>
      </c>
      <c r="Q7" s="320">
        <f>IFERROR(__xludf.DUMMYFUNCTION("""COMPUTED_VALUE"""),192.2)</f>
        <v>192.2</v>
      </c>
      <c r="R7" s="320">
        <f>IFERROR(__xludf.DUMMYFUNCTION("""COMPUTED_VALUE"""),294.41)</f>
        <v>294.41</v>
      </c>
      <c r="S7" s="320">
        <f>IFERROR(__xludf.DUMMYFUNCTION("""COMPUTED_VALUE"""),3.84)</f>
        <v>3.84</v>
      </c>
      <c r="T7" s="320">
        <f>IFERROR(__xludf.DUMMYFUNCTION("""COMPUTED_VALUE"""),482.77)</f>
        <v>482.77</v>
      </c>
      <c r="U7" s="320">
        <f>IFERROR(__xludf.DUMMYFUNCTION("""COMPUTED_VALUE"""),720.14)</f>
        <v>720.14</v>
      </c>
      <c r="V7" s="320">
        <f>IFERROR(__xludf.DUMMYFUNCTION("""COMPUTED_VALUE"""),4.4611)</f>
        <v>4.4611</v>
      </c>
      <c r="W7" s="320">
        <f>IFERROR(__xludf.DUMMYFUNCTION("""COMPUTED_VALUE"""),0.79)</f>
        <v>0.79</v>
      </c>
      <c r="X7" s="320">
        <f>IFERROR(__xludf.DUMMYFUNCTION("""COMPUTED_VALUE"""),675.0)</f>
        <v>675</v>
      </c>
      <c r="Y7" s="320">
        <f>IFERROR(__xludf.DUMMYFUNCTION("""COMPUTED_VALUE"""),4040.0)</f>
        <v>4040</v>
      </c>
      <c r="Z7" s="320">
        <f>IFERROR(__xludf.DUMMYFUNCTION("""COMPUTED_VALUE"""),11373.0)</f>
        <v>11373</v>
      </c>
      <c r="AA7" s="320">
        <f>IFERROR(__xludf.DUMMYFUNCTION("""COMPUTED_VALUE"""),62.4799)</f>
        <v>62.4799</v>
      </c>
      <c r="AB7" s="320">
        <f>IFERROR(__xludf.DUMMYFUNCTION("""COMPUTED_VALUE"""),0.8877)</f>
        <v>0.8877</v>
      </c>
      <c r="AC7" s="320">
        <f>IFERROR(__xludf.DUMMYFUNCTION("""COMPUTED_VALUE"""),94.25)</f>
        <v>94.25</v>
      </c>
      <c r="AD7" s="320">
        <f>IFERROR(__xludf.DUMMYFUNCTION("""COMPUTED_VALUE"""),44.0)</f>
        <v>44</v>
      </c>
      <c r="AE7" s="320">
        <f>IFERROR(__xludf.DUMMYFUNCTION("""COMPUTED_VALUE"""),97.0)</f>
        <v>97</v>
      </c>
      <c r="AF7" s="320">
        <f>IFERROR(__xludf.DUMMYFUNCTION("""COMPUTED_VALUE"""),127.0)</f>
        <v>127</v>
      </c>
      <c r="AG7" s="320">
        <f>IFERROR(__xludf.DUMMYFUNCTION("""COMPUTED_VALUE"""),162.0)</f>
        <v>162</v>
      </c>
      <c r="AH7" s="320">
        <f>IFERROR(__xludf.DUMMYFUNCTION("""COMPUTED_VALUE"""),57.68)</f>
        <v>57.68</v>
      </c>
      <c r="AI7" s="320">
        <f>IFERROR(__xludf.DUMMYFUNCTION("""COMPUTED_VALUE"""),7.39)</f>
        <v>7.39</v>
      </c>
      <c r="AJ7" s="320">
        <f>IFERROR(__xludf.DUMMYFUNCTION("""COMPUTED_VALUE"""),1.07)</f>
        <v>1.07</v>
      </c>
      <c r="AK7" s="320">
        <f>IFERROR(__xludf.DUMMYFUNCTION("""COMPUTED_VALUE"""),0.07)</f>
        <v>0.07</v>
      </c>
      <c r="AL7" s="320">
        <f>IFERROR(__xludf.DUMMYFUNCTION("""COMPUTED_VALUE"""),24.89)</f>
        <v>24.89</v>
      </c>
      <c r="AM7" s="320">
        <f>IFERROR(__xludf.DUMMYFUNCTION("""COMPUTED_VALUE"""),167.3)</f>
        <v>167.3</v>
      </c>
      <c r="AN7" s="320">
        <f>IFERROR(__xludf.DUMMYFUNCTION("""COMPUTED_VALUE"""),14.29)</f>
        <v>14.29</v>
      </c>
      <c r="AO7" s="320">
        <f>IFERROR(__xludf.DUMMYFUNCTION("""COMPUTED_VALUE"""),3.56)</f>
        <v>3.56</v>
      </c>
    </row>
    <row r="8" ht="15.0" customHeight="1">
      <c r="A8" s="330">
        <f>IFERROR(__xludf.DUMMYFUNCTION("""COMPUTED_VALUE"""),46051.0)</f>
        <v>46051</v>
      </c>
      <c r="B8" s="319" t="str">
        <f>IFERROR(__xludf.DUMMYFUNCTION("""COMPUTED_VALUE"""),"A. 0")</f>
        <v>A. 0</v>
      </c>
      <c r="C8" s="320">
        <f>IFERROR(__xludf.DUMMYFUNCTION("""COMPUTED_VALUE"""),22997.0)</f>
        <v>22997</v>
      </c>
      <c r="D8" s="320">
        <f>IFERROR(__xludf.DUMMYFUNCTION("""COMPUTED_VALUE"""),20.0)</f>
        <v>20</v>
      </c>
      <c r="E8" s="320">
        <f>IFERROR(__xludf.DUMMYFUNCTION("""COMPUTED_VALUE"""),0.0)</f>
        <v>0</v>
      </c>
      <c r="F8" s="320">
        <f>IFERROR(__xludf.DUMMYFUNCTION("""COMPUTED_VALUE"""),0.0)</f>
        <v>0</v>
      </c>
      <c r="G8" s="320">
        <f>IFERROR(__xludf.DUMMYFUNCTION("""COMPUTED_VALUE"""),0.0)</f>
        <v>0</v>
      </c>
      <c r="H8" s="106"/>
      <c r="I8" s="320">
        <f>IFERROR(__xludf.DUMMYFUNCTION("""COMPUTED_VALUE"""),6.35)</f>
        <v>6.35</v>
      </c>
      <c r="J8" s="320">
        <f>IFERROR(__xludf.DUMMYFUNCTION("""COMPUTED_VALUE"""),2.61)</f>
        <v>2.61</v>
      </c>
      <c r="K8" s="320">
        <f>IFERROR(__xludf.DUMMYFUNCTION("""COMPUTED_VALUE"""),0.04)</f>
        <v>0.04</v>
      </c>
      <c r="L8" s="320">
        <f>IFERROR(__xludf.DUMMYFUNCTION("""COMPUTED_VALUE"""),0.0142)</f>
        <v>0.0142</v>
      </c>
      <c r="M8" s="320">
        <f>IFERROR(__xludf.DUMMYFUNCTION("""COMPUTED_VALUE"""),0.9896)</f>
        <v>0.9896</v>
      </c>
      <c r="N8" s="320">
        <f>IFERROR(__xludf.DUMMYFUNCTION("""COMPUTED_VALUE"""),0.8678)</f>
        <v>0.8678</v>
      </c>
      <c r="O8" s="320">
        <f>IFERROR(__xludf.DUMMYFUNCTION("""COMPUTED_VALUE"""),70.6353)</f>
        <v>70.6353</v>
      </c>
      <c r="P8" s="320">
        <f>IFERROR(__xludf.DUMMYFUNCTION("""COMPUTED_VALUE"""),22.97)</f>
        <v>22.97</v>
      </c>
      <c r="Q8" s="320">
        <f>IFERROR(__xludf.DUMMYFUNCTION("""COMPUTED_VALUE"""),22.84)</f>
        <v>22.84</v>
      </c>
      <c r="R8" s="320">
        <f>IFERROR(__xludf.DUMMYFUNCTION("""COMPUTED_VALUE"""),0.13)</f>
        <v>0.13</v>
      </c>
      <c r="S8" s="320">
        <f>IFERROR(__xludf.DUMMYFUNCTION("""COMPUTED_VALUE"""),0.0)</f>
        <v>0</v>
      </c>
      <c r="T8" s="320">
        <f>IFERROR(__xludf.DUMMYFUNCTION("""COMPUTED_VALUE"""),22.97)</f>
        <v>22.97</v>
      </c>
      <c r="U8" s="320">
        <f>IFERROR(__xludf.DUMMYFUNCTION("""COMPUTED_VALUE"""),2.12)</f>
        <v>2.12</v>
      </c>
      <c r="V8" s="320">
        <f>IFERROR(__xludf.DUMMYFUNCTION("""COMPUTED_VALUE"""),0.8128)</f>
        <v>0.8128</v>
      </c>
      <c r="W8" s="320">
        <f>IFERROR(__xludf.DUMMYFUNCTION("""COMPUTED_VALUE"""),0.02)</f>
        <v>0.02</v>
      </c>
      <c r="X8" s="320">
        <f>IFERROR(__xludf.DUMMYFUNCTION("""COMPUTED_VALUE"""),252.0)</f>
        <v>252</v>
      </c>
      <c r="Y8" s="320">
        <f>IFERROR(__xludf.DUMMYFUNCTION("""COMPUTED_VALUE"""),2823.0)</f>
        <v>2823</v>
      </c>
      <c r="Z8" s="320">
        <f>IFERROR(__xludf.DUMMYFUNCTION("""COMPUTED_VALUE"""),12998.0)</f>
        <v>12998</v>
      </c>
      <c r="AA8" s="320">
        <f>IFERROR(__xludf.DUMMYFUNCTION("""COMPUTED_VALUE"""),48.8513)</f>
        <v>48.8513</v>
      </c>
      <c r="AB8" s="320">
        <f>IFERROR(__xludf.DUMMYFUNCTION("""COMPUTED_VALUE"""),0.5432)</f>
        <v>0.5432</v>
      </c>
      <c r="AC8" s="106"/>
      <c r="AD8" s="106"/>
      <c r="AE8" s="106"/>
      <c r="AF8" s="106"/>
      <c r="AG8" s="106"/>
      <c r="AH8" s="320">
        <f>IFERROR(__xludf.DUMMYFUNCTION("""COMPUTED_VALUE"""),0.0)</f>
        <v>0</v>
      </c>
      <c r="AI8" s="320">
        <f>IFERROR(__xludf.DUMMYFUNCTION("""COMPUTED_VALUE"""),0.0)</f>
        <v>0</v>
      </c>
      <c r="AJ8" s="320">
        <f>IFERROR(__xludf.DUMMYFUNCTION("""COMPUTED_VALUE"""),0.0)</f>
        <v>0</v>
      </c>
      <c r="AK8" s="320">
        <f>IFERROR(__xludf.DUMMYFUNCTION("""COMPUTED_VALUE"""),0.3118)</f>
        <v>0.3118</v>
      </c>
      <c r="AL8" s="320">
        <f>IFERROR(__xludf.DUMMYFUNCTION("""COMPUTED_VALUE"""),16.44)</f>
        <v>16.44</v>
      </c>
      <c r="AM8" s="320">
        <f>IFERROR(__xludf.DUMMYFUNCTION("""COMPUTED_VALUE"""),6.41)</f>
        <v>6.41</v>
      </c>
      <c r="AN8" s="331"/>
      <c r="AO8" s="331"/>
    </row>
    <row r="9" ht="15.0" customHeight="1">
      <c r="A9" s="330">
        <f>IFERROR(__xludf.DUMMYFUNCTION("""COMPUTED_VALUE"""),46051.0)</f>
        <v>46051</v>
      </c>
      <c r="B9" s="319" t="str">
        <f>IFERROR(__xludf.DUMMYFUNCTION("""COMPUTED_VALUE"""),"B. 1-9")</f>
        <v>B. 1-9</v>
      </c>
      <c r="C9" s="320">
        <f>IFERROR(__xludf.DUMMYFUNCTION("""COMPUTED_VALUE"""),45445.0)</f>
        <v>45445</v>
      </c>
      <c r="D9" s="320">
        <f>IFERROR(__xludf.DUMMYFUNCTION("""COMPUTED_VALUE"""),39.53)</f>
        <v>39.53</v>
      </c>
      <c r="E9" s="320">
        <f>IFERROR(__xludf.DUMMYFUNCTION("""COMPUTED_VALUE"""),0.0)</f>
        <v>0</v>
      </c>
      <c r="F9" s="320">
        <f>IFERROR(__xludf.DUMMYFUNCTION("""COMPUTED_VALUE"""),0.0)</f>
        <v>0</v>
      </c>
      <c r="G9" s="320">
        <f>IFERROR(__xludf.DUMMYFUNCTION("""COMPUTED_VALUE"""),0.0)</f>
        <v>0</v>
      </c>
      <c r="H9" s="106"/>
      <c r="I9" s="320">
        <f>IFERROR(__xludf.DUMMYFUNCTION("""COMPUTED_VALUE"""),26.49)</f>
        <v>26.49</v>
      </c>
      <c r="J9" s="320">
        <f>IFERROR(__xludf.DUMMYFUNCTION("""COMPUTED_VALUE"""),11.85)</f>
        <v>11.85</v>
      </c>
      <c r="K9" s="320">
        <f>IFERROR(__xludf.DUMMYFUNCTION("""COMPUTED_VALUE"""),4.81)</f>
        <v>4.81</v>
      </c>
      <c r="L9" s="320">
        <f>IFERROR(__xludf.DUMMYFUNCTION("""COMPUTED_VALUE"""),0.4056)</f>
        <v>0.4056</v>
      </c>
      <c r="M9" s="320">
        <f>IFERROR(__xludf.DUMMYFUNCTION("""COMPUTED_VALUE"""),0.7604)</f>
        <v>0.7604</v>
      </c>
      <c r="N9" s="320">
        <f>IFERROR(__xludf.DUMMYFUNCTION("""COMPUTED_VALUE"""),0.5695)</f>
        <v>0.5695</v>
      </c>
      <c r="O9" s="320">
        <f>IFERROR(__xludf.DUMMYFUNCTION("""COMPUTED_VALUE"""),2.4657)</f>
        <v>2.4657</v>
      </c>
      <c r="P9" s="320">
        <f>IFERROR(__xludf.DUMMYFUNCTION("""COMPUTED_VALUE"""),45.88)</f>
        <v>45.88</v>
      </c>
      <c r="Q9" s="320">
        <f>IFERROR(__xludf.DUMMYFUNCTION("""COMPUTED_VALUE"""),36.06)</f>
        <v>36.06</v>
      </c>
      <c r="R9" s="320">
        <f>IFERROR(__xludf.DUMMYFUNCTION("""COMPUTED_VALUE"""),9.82)</f>
        <v>9.82</v>
      </c>
      <c r="S9" s="320">
        <f>IFERROR(__xludf.DUMMYFUNCTION("""COMPUTED_VALUE"""),1.17)</f>
        <v>1.17</v>
      </c>
      <c r="T9" s="320">
        <f>IFERROR(__xludf.DUMMYFUNCTION("""COMPUTED_VALUE"""),44.7)</f>
        <v>44.7</v>
      </c>
      <c r="U9" s="320">
        <f>IFERROR(__xludf.DUMMYFUNCTION("""COMPUTED_VALUE"""),45.99)</f>
        <v>45.99</v>
      </c>
      <c r="V9" s="320">
        <f>IFERROR(__xludf.DUMMYFUNCTION("""COMPUTED_VALUE"""),3.8817)</f>
        <v>3.8817</v>
      </c>
      <c r="W9" s="320">
        <f>IFERROR(__xludf.DUMMYFUNCTION("""COMPUTED_VALUE"""),2.56)</f>
        <v>2.56</v>
      </c>
      <c r="X9" s="320">
        <f>IFERROR(__xludf.DUMMYFUNCTION("""COMPUTED_VALUE"""),137.0)</f>
        <v>137</v>
      </c>
      <c r="Y9" s="320">
        <f>IFERROR(__xludf.DUMMYFUNCTION("""COMPUTED_VALUE"""),814.0)</f>
        <v>814</v>
      </c>
      <c r="Z9" s="320">
        <f>IFERROR(__xludf.DUMMYFUNCTION("""COMPUTED_VALUE"""),5349.0)</f>
        <v>5349</v>
      </c>
      <c r="AA9" s="320">
        <f>IFERROR(__xludf.DUMMYFUNCTION("""COMPUTED_VALUE"""),49.5182)</f>
        <v>49.5182</v>
      </c>
      <c r="AB9" s="320">
        <f>IFERROR(__xludf.DUMMYFUNCTION("""COMPUTED_VALUE"""),0.5684)</f>
        <v>0.5684</v>
      </c>
      <c r="AC9" s="320">
        <f>IFERROR(__xludf.DUMMYFUNCTION("""COMPUTED_VALUE"""),3.37)</f>
        <v>3.37</v>
      </c>
      <c r="AD9" s="320">
        <f>IFERROR(__xludf.DUMMYFUNCTION("""COMPUTED_VALUE"""),1.0)</f>
        <v>1</v>
      </c>
      <c r="AE9" s="320">
        <f>IFERROR(__xludf.DUMMYFUNCTION("""COMPUTED_VALUE"""),2.0)</f>
        <v>2</v>
      </c>
      <c r="AF9" s="320">
        <f>IFERROR(__xludf.DUMMYFUNCTION("""COMPUTED_VALUE"""),5.0)</f>
        <v>5</v>
      </c>
      <c r="AG9" s="320">
        <f>IFERROR(__xludf.DUMMYFUNCTION("""COMPUTED_VALUE"""),7.0)</f>
        <v>7</v>
      </c>
      <c r="AH9" s="320">
        <f>IFERROR(__xludf.DUMMYFUNCTION("""COMPUTED_VALUE"""),70.55)</f>
        <v>70.55</v>
      </c>
      <c r="AI9" s="320">
        <f>IFERROR(__xludf.DUMMYFUNCTION("""COMPUTED_VALUE"""),25.99)</f>
        <v>25.99</v>
      </c>
      <c r="AJ9" s="320">
        <f>IFERROR(__xludf.DUMMYFUNCTION("""COMPUTED_VALUE"""),4.05)</f>
        <v>4.05</v>
      </c>
      <c r="AK9" s="320">
        <f>IFERROR(__xludf.DUMMYFUNCTION("""COMPUTED_VALUE"""),0.2663)</f>
        <v>0.2663</v>
      </c>
      <c r="AL9" s="320">
        <f>IFERROR(__xludf.DUMMYFUNCTION("""COMPUTED_VALUE"""),18.87)</f>
        <v>18.87</v>
      </c>
      <c r="AM9" s="320">
        <f>IFERROR(__xludf.DUMMYFUNCTION("""COMPUTED_VALUE"""),17.19)</f>
        <v>17.19</v>
      </c>
      <c r="AN9" s="320">
        <f>IFERROR(__xludf.DUMMYFUNCTION("""COMPUTED_VALUE"""),23.39)</f>
        <v>23.39</v>
      </c>
      <c r="AO9" s="320">
        <f>IFERROR(__xludf.DUMMYFUNCTION("""COMPUTED_VALUE"""),4.41)</f>
        <v>4.41</v>
      </c>
    </row>
    <row r="10" ht="15.0" customHeight="1">
      <c r="A10" s="330">
        <f>IFERROR(__xludf.DUMMYFUNCTION("""COMPUTED_VALUE"""),46051.0)</f>
        <v>46051</v>
      </c>
      <c r="B10" s="319" t="str">
        <f>IFERROR(__xludf.DUMMYFUNCTION("""COMPUTED_VALUE"""),"C. 10-19")</f>
        <v>C. 10-19</v>
      </c>
      <c r="C10" s="320">
        <f>IFERROR(__xludf.DUMMYFUNCTION("""COMPUTED_VALUE"""),24538.0)</f>
        <v>24538</v>
      </c>
      <c r="D10" s="320">
        <f>IFERROR(__xludf.DUMMYFUNCTION("""COMPUTED_VALUE"""),21.34)</f>
        <v>21.34</v>
      </c>
      <c r="E10" s="320">
        <f>IFERROR(__xludf.DUMMYFUNCTION("""COMPUTED_VALUE"""),0.0)</f>
        <v>0</v>
      </c>
      <c r="F10" s="320">
        <f>IFERROR(__xludf.DUMMYFUNCTION("""COMPUTED_VALUE"""),0.0)</f>
        <v>0</v>
      </c>
      <c r="G10" s="320">
        <f>IFERROR(__xludf.DUMMYFUNCTION("""COMPUTED_VALUE"""),0.0)</f>
        <v>0</v>
      </c>
      <c r="H10" s="106"/>
      <c r="I10" s="320">
        <f>IFERROR(__xludf.DUMMYFUNCTION("""COMPUTED_VALUE"""),52.26)</f>
        <v>52.26</v>
      </c>
      <c r="J10" s="320">
        <f>IFERROR(__xludf.DUMMYFUNCTION("""COMPUTED_VALUE"""),24.34)</f>
        <v>24.34</v>
      </c>
      <c r="K10" s="320">
        <f>IFERROR(__xludf.DUMMYFUNCTION("""COMPUTED_VALUE"""),13.73)</f>
        <v>13.73</v>
      </c>
      <c r="L10" s="320">
        <f>IFERROR(__xludf.DUMMYFUNCTION("""COMPUTED_VALUE"""),0.564)</f>
        <v>0.564</v>
      </c>
      <c r="M10" s="320">
        <f>IFERROR(__xludf.DUMMYFUNCTION("""COMPUTED_VALUE"""),0.6337)</f>
        <v>0.6337</v>
      </c>
      <c r="N10" s="320">
        <f>IFERROR(__xludf.DUMMYFUNCTION("""COMPUTED_VALUE"""),0.4503)</f>
        <v>0.4503</v>
      </c>
      <c r="O10" s="320">
        <f>IFERROR(__xludf.DUMMYFUNCTION("""COMPUTED_VALUE"""),1.7729)</f>
        <v>1.7729</v>
      </c>
      <c r="P10" s="320">
        <f>IFERROR(__xludf.DUMMYFUNCTION("""COMPUTED_VALUE"""),101.09)</f>
        <v>101.09</v>
      </c>
      <c r="Q10" s="320">
        <f>IFERROR(__xludf.DUMMYFUNCTION("""COMPUTED_VALUE"""),72.64)</f>
        <v>72.64</v>
      </c>
      <c r="R10" s="320">
        <f>IFERROR(__xludf.DUMMYFUNCTION("""COMPUTED_VALUE"""),28.45)</f>
        <v>28.45</v>
      </c>
      <c r="S10" s="320">
        <f>IFERROR(__xludf.DUMMYFUNCTION("""COMPUTED_VALUE"""),5.15)</f>
        <v>5.15</v>
      </c>
      <c r="T10" s="320">
        <f>IFERROR(__xludf.DUMMYFUNCTION("""COMPUTED_VALUE"""),95.94)</f>
        <v>95.94</v>
      </c>
      <c r="U10" s="320">
        <f>IFERROR(__xludf.DUMMYFUNCTION("""COMPUTED_VALUE"""),96.04)</f>
        <v>96.04</v>
      </c>
      <c r="V10" s="320">
        <f>IFERROR(__xludf.DUMMYFUNCTION("""COMPUTED_VALUE"""),3.9465)</f>
        <v>3.9465</v>
      </c>
      <c r="W10" s="320">
        <f>IFERROR(__xludf.DUMMYFUNCTION("""COMPUTED_VALUE"""),5.09)</f>
        <v>5.09</v>
      </c>
      <c r="X10" s="320">
        <f>IFERROR(__xludf.DUMMYFUNCTION("""COMPUTED_VALUE"""),137.0)</f>
        <v>137</v>
      </c>
      <c r="Y10" s="320">
        <f>IFERROR(__xludf.DUMMYFUNCTION("""COMPUTED_VALUE"""),890.0)</f>
        <v>890</v>
      </c>
      <c r="Z10" s="320">
        <f>IFERROR(__xludf.DUMMYFUNCTION("""COMPUTED_VALUE"""),6099.0)</f>
        <v>6099</v>
      </c>
      <c r="AA10" s="320">
        <f>IFERROR(__xludf.DUMMYFUNCTION("""COMPUTED_VALUE"""),52.3029)</f>
        <v>52.3029</v>
      </c>
      <c r="AB10" s="320">
        <f>IFERROR(__xludf.DUMMYFUNCTION("""COMPUTED_VALUE"""),0.6348)</f>
        <v>0.6348</v>
      </c>
      <c r="AC10" s="320">
        <f>IFERROR(__xludf.DUMMYFUNCTION("""COMPUTED_VALUE"""),9.33)</f>
        <v>9.33</v>
      </c>
      <c r="AD10" s="320">
        <f>IFERROR(__xludf.DUMMYFUNCTION("""COMPUTED_VALUE"""),4.0)</f>
        <v>4</v>
      </c>
      <c r="AE10" s="320">
        <f>IFERROR(__xludf.DUMMYFUNCTION("""COMPUTED_VALUE"""),9.0)</f>
        <v>9</v>
      </c>
      <c r="AF10" s="320">
        <f>IFERROR(__xludf.DUMMYFUNCTION("""COMPUTED_VALUE"""),13.0)</f>
        <v>13</v>
      </c>
      <c r="AG10" s="320">
        <f>IFERROR(__xludf.DUMMYFUNCTION("""COMPUTED_VALUE"""),17.0)</f>
        <v>17</v>
      </c>
      <c r="AH10" s="320">
        <f>IFERROR(__xludf.DUMMYFUNCTION("""COMPUTED_VALUE"""),68.15)</f>
        <v>68.15</v>
      </c>
      <c r="AI10" s="320">
        <f>IFERROR(__xludf.DUMMYFUNCTION("""COMPUTED_VALUE"""),26.09)</f>
        <v>26.09</v>
      </c>
      <c r="AJ10" s="320">
        <f>IFERROR(__xludf.DUMMYFUNCTION("""COMPUTED_VALUE"""),1.65)</f>
        <v>1.65</v>
      </c>
      <c r="AK10" s="320">
        <f>IFERROR(__xludf.DUMMYFUNCTION("""COMPUTED_VALUE"""),0.204)</f>
        <v>0.204</v>
      </c>
      <c r="AL10" s="320">
        <f>IFERROR(__xludf.DUMMYFUNCTION("""COMPUTED_VALUE"""),20.79)</f>
        <v>20.79</v>
      </c>
      <c r="AM10" s="320">
        <f>IFERROR(__xludf.DUMMYFUNCTION("""COMPUTED_VALUE"""),51.84)</f>
        <v>51.84</v>
      </c>
      <c r="AN10" s="320">
        <f>IFERROR(__xludf.DUMMYFUNCTION("""COMPUTED_VALUE"""),25.16)</f>
        <v>25.16</v>
      </c>
      <c r="AO10" s="320">
        <f>IFERROR(__xludf.DUMMYFUNCTION("""COMPUTED_VALUE"""),5.23)</f>
        <v>5.23</v>
      </c>
    </row>
    <row r="11" ht="15.0" customHeight="1">
      <c r="A11" s="330">
        <f>IFERROR(__xludf.DUMMYFUNCTION("""COMPUTED_VALUE"""),46051.0)</f>
        <v>46051</v>
      </c>
      <c r="B11" s="319" t="str">
        <f>IFERROR(__xludf.DUMMYFUNCTION("""COMPUTED_VALUE"""),"D. 20-39")</f>
        <v>D. 20-39</v>
      </c>
      <c r="C11" s="320">
        <f>IFERROR(__xludf.DUMMYFUNCTION("""COMPUTED_VALUE"""),14754.0)</f>
        <v>14754</v>
      </c>
      <c r="D11" s="320">
        <f>IFERROR(__xludf.DUMMYFUNCTION("""COMPUTED_VALUE"""),12.83)</f>
        <v>12.83</v>
      </c>
      <c r="E11" s="320">
        <f>IFERROR(__xludf.DUMMYFUNCTION("""COMPUTED_VALUE"""),0.0)</f>
        <v>0</v>
      </c>
      <c r="F11" s="320">
        <f>IFERROR(__xludf.DUMMYFUNCTION("""COMPUTED_VALUE"""),0.0)</f>
        <v>0</v>
      </c>
      <c r="G11" s="320">
        <f>IFERROR(__xludf.DUMMYFUNCTION("""COMPUTED_VALUE"""),0.0)</f>
        <v>0</v>
      </c>
      <c r="H11" s="106"/>
      <c r="I11" s="320">
        <f>IFERROR(__xludf.DUMMYFUNCTION("""COMPUTED_VALUE"""),79.85)</f>
        <v>79.85</v>
      </c>
      <c r="J11" s="320">
        <f>IFERROR(__xludf.DUMMYFUNCTION("""COMPUTED_VALUE"""),39.23)</f>
        <v>39.23</v>
      </c>
      <c r="K11" s="320">
        <f>IFERROR(__xludf.DUMMYFUNCTION("""COMPUTED_VALUE"""),26.77)</f>
        <v>26.77</v>
      </c>
      <c r="L11" s="320">
        <f>IFERROR(__xludf.DUMMYFUNCTION("""COMPUTED_VALUE"""),0.6824)</f>
        <v>0.6824</v>
      </c>
      <c r="M11" s="320">
        <f>IFERROR(__xludf.DUMMYFUNCTION("""COMPUTED_VALUE"""),0.5183)</f>
        <v>0.5183</v>
      </c>
      <c r="N11" s="320">
        <f>IFERROR(__xludf.DUMMYFUNCTION("""COMPUTED_VALUE"""),0.3696)</f>
        <v>0.3696</v>
      </c>
      <c r="O11" s="320">
        <f>IFERROR(__xludf.DUMMYFUNCTION("""COMPUTED_VALUE"""),1.4655)</f>
        <v>1.4655</v>
      </c>
      <c r="P11" s="320">
        <f>IFERROR(__xludf.DUMMYFUNCTION("""COMPUTED_VALUE"""),186.84)</f>
        <v>186.84</v>
      </c>
      <c r="Q11" s="320">
        <f>IFERROR(__xludf.DUMMYFUNCTION("""COMPUTED_VALUE"""),130.03)</f>
        <v>130.03</v>
      </c>
      <c r="R11" s="320">
        <f>IFERROR(__xludf.DUMMYFUNCTION("""COMPUTED_VALUE"""),56.81)</f>
        <v>56.81</v>
      </c>
      <c r="S11" s="320">
        <f>IFERROR(__xludf.DUMMYFUNCTION("""COMPUTED_VALUE"""),5.11)</f>
        <v>5.11</v>
      </c>
      <c r="T11" s="320">
        <f>IFERROR(__xludf.DUMMYFUNCTION("""COMPUTED_VALUE"""),181.73)</f>
        <v>181.73</v>
      </c>
      <c r="U11" s="320">
        <f>IFERROR(__xludf.DUMMYFUNCTION("""COMPUTED_VALUE"""),176.73)</f>
        <v>176.73</v>
      </c>
      <c r="V11" s="320">
        <f>IFERROR(__xludf.DUMMYFUNCTION("""COMPUTED_VALUE"""),4.5045)</f>
        <v>4.5045</v>
      </c>
      <c r="W11" s="320">
        <f>IFERROR(__xludf.DUMMYFUNCTION("""COMPUTED_VALUE"""),2.74)</f>
        <v>2.74</v>
      </c>
      <c r="X11" s="320">
        <f>IFERROR(__xludf.DUMMYFUNCTION("""COMPUTED_VALUE"""),165.0)</f>
        <v>165</v>
      </c>
      <c r="Y11" s="320">
        <f>IFERROR(__xludf.DUMMYFUNCTION("""COMPUTED_VALUE"""),1091.0)</f>
        <v>1091</v>
      </c>
      <c r="Z11" s="320">
        <f>IFERROR(__xludf.DUMMYFUNCTION("""COMPUTED_VALUE"""),6611.0)</f>
        <v>6611</v>
      </c>
      <c r="AA11" s="320">
        <f>IFERROR(__xludf.DUMMYFUNCTION("""COMPUTED_VALUE"""),54.9018)</f>
        <v>54.9018</v>
      </c>
      <c r="AB11" s="320">
        <f>IFERROR(__xludf.DUMMYFUNCTION("""COMPUTED_VALUE"""),0.7198)</f>
        <v>0.7198</v>
      </c>
      <c r="AC11" s="320">
        <f>IFERROR(__xludf.DUMMYFUNCTION("""COMPUTED_VALUE"""),18.3)</f>
        <v>18.3</v>
      </c>
      <c r="AD11" s="320">
        <f>IFERROR(__xludf.DUMMYFUNCTION("""COMPUTED_VALUE"""),9.0)</f>
        <v>9</v>
      </c>
      <c r="AE11" s="320">
        <f>IFERROR(__xludf.DUMMYFUNCTION("""COMPUTED_VALUE"""),16.0)</f>
        <v>16</v>
      </c>
      <c r="AF11" s="320">
        <f>IFERROR(__xludf.DUMMYFUNCTION("""COMPUTED_VALUE"""),25.0)</f>
        <v>25</v>
      </c>
      <c r="AG11" s="320">
        <f>IFERROR(__xludf.DUMMYFUNCTION("""COMPUTED_VALUE"""),35.0)</f>
        <v>35</v>
      </c>
      <c r="AH11" s="320">
        <f>IFERROR(__xludf.DUMMYFUNCTION("""COMPUTED_VALUE"""),67.71)</f>
        <v>67.71</v>
      </c>
      <c r="AI11" s="320">
        <f>IFERROR(__xludf.DUMMYFUNCTION("""COMPUTED_VALUE"""),24.25)</f>
        <v>24.25</v>
      </c>
      <c r="AJ11" s="320">
        <f>IFERROR(__xludf.DUMMYFUNCTION("""COMPUTED_VALUE"""),4.22)</f>
        <v>4.22</v>
      </c>
      <c r="AK11" s="320">
        <f>IFERROR(__xludf.DUMMYFUNCTION("""COMPUTED_VALUE"""),0.19)</f>
        <v>0.19</v>
      </c>
      <c r="AL11" s="320">
        <f>IFERROR(__xludf.DUMMYFUNCTION("""COMPUTED_VALUE"""),22.32)</f>
        <v>22.32</v>
      </c>
      <c r="AM11" s="320">
        <f>IFERROR(__xludf.DUMMYFUNCTION("""COMPUTED_VALUE"""),107.71)</f>
        <v>107.71</v>
      </c>
      <c r="AN11" s="320">
        <f>IFERROR(__xludf.DUMMYFUNCTION("""COMPUTED_VALUE"""),25.31)</f>
        <v>25.31</v>
      </c>
      <c r="AO11" s="320">
        <f>IFERROR(__xludf.DUMMYFUNCTION("""COMPUTED_VALUE"""),5.65)</f>
        <v>5.65</v>
      </c>
    </row>
    <row r="12" ht="15.0" customHeight="1">
      <c r="A12" s="330">
        <f>IFERROR(__xludf.DUMMYFUNCTION("""COMPUTED_VALUE"""),46051.0)</f>
        <v>46051</v>
      </c>
      <c r="B12" s="319" t="str">
        <f>IFERROR(__xludf.DUMMYFUNCTION("""COMPUTED_VALUE"""),"E. 40-99")</f>
        <v>E. 40-99</v>
      </c>
      <c r="C12" s="320">
        <f>IFERROR(__xludf.DUMMYFUNCTION("""COMPUTED_VALUE"""),6404.0)</f>
        <v>6404</v>
      </c>
      <c r="D12" s="320">
        <f>IFERROR(__xludf.DUMMYFUNCTION("""COMPUTED_VALUE"""),5.57)</f>
        <v>5.57</v>
      </c>
      <c r="E12" s="320">
        <f>IFERROR(__xludf.DUMMYFUNCTION("""COMPUTED_VALUE"""),0.0)</f>
        <v>0</v>
      </c>
      <c r="F12" s="320">
        <f>IFERROR(__xludf.DUMMYFUNCTION("""COMPUTED_VALUE"""),0.0)</f>
        <v>0</v>
      </c>
      <c r="G12" s="320">
        <f>IFERROR(__xludf.DUMMYFUNCTION("""COMPUTED_VALUE"""),0.0)</f>
        <v>0</v>
      </c>
      <c r="H12" s="106"/>
      <c r="I12" s="320">
        <f>IFERROR(__xludf.DUMMYFUNCTION("""COMPUTED_VALUE"""),133.13)</f>
        <v>133.13</v>
      </c>
      <c r="J12" s="320">
        <f>IFERROR(__xludf.DUMMYFUNCTION("""COMPUTED_VALUE"""),71.0)</f>
        <v>71</v>
      </c>
      <c r="K12" s="320">
        <f>IFERROR(__xludf.DUMMYFUNCTION("""COMPUTED_VALUE"""),57.23)</f>
        <v>57.23</v>
      </c>
      <c r="L12" s="320">
        <f>IFERROR(__xludf.DUMMYFUNCTION("""COMPUTED_VALUE"""),0.806)</f>
        <v>0.806</v>
      </c>
      <c r="M12" s="320">
        <f>IFERROR(__xludf.DUMMYFUNCTION("""COMPUTED_VALUE"""),0.3791)</f>
        <v>0.3791</v>
      </c>
      <c r="N12" s="320">
        <f>IFERROR(__xludf.DUMMYFUNCTION("""COMPUTED_VALUE"""),0.2779)</f>
        <v>0.2779</v>
      </c>
      <c r="O12" s="320">
        <f>IFERROR(__xludf.DUMMYFUNCTION("""COMPUTED_VALUE"""),1.2408)</f>
        <v>1.2408</v>
      </c>
      <c r="P12" s="320">
        <f>IFERROR(__xludf.DUMMYFUNCTION("""COMPUTED_VALUE"""),402.55)</f>
        <v>402.55</v>
      </c>
      <c r="Q12" s="320">
        <f>IFERROR(__xludf.DUMMYFUNCTION("""COMPUTED_VALUE"""),281.62)</f>
        <v>281.62</v>
      </c>
      <c r="R12" s="320">
        <f>IFERROR(__xludf.DUMMYFUNCTION("""COMPUTED_VALUE"""),120.93)</f>
        <v>120.93</v>
      </c>
      <c r="S12" s="320">
        <f>IFERROR(__xludf.DUMMYFUNCTION("""COMPUTED_VALUE"""),10.76)</f>
        <v>10.76</v>
      </c>
      <c r="T12" s="320">
        <f>IFERROR(__xludf.DUMMYFUNCTION("""COMPUTED_VALUE"""),391.8)</f>
        <v>391.8</v>
      </c>
      <c r="U12" s="320">
        <f>IFERROR(__xludf.DUMMYFUNCTION("""COMPUTED_VALUE"""),347.89)</f>
        <v>347.89</v>
      </c>
      <c r="V12" s="320">
        <f>IFERROR(__xludf.DUMMYFUNCTION("""COMPUTED_VALUE"""),4.8997)</f>
        <v>4.8997</v>
      </c>
      <c r="W12" s="320">
        <f>IFERROR(__xludf.DUMMYFUNCTION("""COMPUTED_VALUE"""),2.67)</f>
        <v>2.67</v>
      </c>
      <c r="X12" s="320">
        <f>IFERROR(__xludf.DUMMYFUNCTION("""COMPUTED_VALUE"""),280.0)</f>
        <v>280</v>
      </c>
      <c r="Y12" s="320">
        <f>IFERROR(__xludf.DUMMYFUNCTION("""COMPUTED_VALUE"""),2136.0)</f>
        <v>2136</v>
      </c>
      <c r="Z12" s="320">
        <f>IFERROR(__xludf.DUMMYFUNCTION("""COMPUTED_VALUE"""),8756.0)</f>
        <v>8756</v>
      </c>
      <c r="AA12" s="320">
        <f>IFERROR(__xludf.DUMMYFUNCTION("""COMPUTED_VALUE"""),58.7333)</f>
        <v>58.7333</v>
      </c>
      <c r="AB12" s="320">
        <f>IFERROR(__xludf.DUMMYFUNCTION("""COMPUTED_VALUE"""),0.814)</f>
        <v>0.814</v>
      </c>
      <c r="AC12" s="320">
        <f>IFERROR(__xludf.DUMMYFUNCTION("""COMPUTED_VALUE"""),40.11)</f>
        <v>40.11</v>
      </c>
      <c r="AD12" s="320">
        <f>IFERROR(__xludf.DUMMYFUNCTION("""COMPUTED_VALUE"""),19.0)</f>
        <v>19</v>
      </c>
      <c r="AE12" s="320">
        <f>IFERROR(__xludf.DUMMYFUNCTION("""COMPUTED_VALUE"""),36.0)</f>
        <v>36</v>
      </c>
      <c r="AF12" s="320">
        <f>IFERROR(__xludf.DUMMYFUNCTION("""COMPUTED_VALUE"""),56.0)</f>
        <v>56</v>
      </c>
      <c r="AG12" s="320">
        <f>IFERROR(__xludf.DUMMYFUNCTION("""COMPUTED_VALUE"""),76.0)</f>
        <v>76</v>
      </c>
      <c r="AH12" s="320">
        <f>IFERROR(__xludf.DUMMYFUNCTION("""COMPUTED_VALUE"""),60.76)</f>
        <v>60.76</v>
      </c>
      <c r="AI12" s="320">
        <f>IFERROR(__xludf.DUMMYFUNCTION("""COMPUTED_VALUE"""),21.42)</f>
        <v>21.42</v>
      </c>
      <c r="AJ12" s="320">
        <f>IFERROR(__xludf.DUMMYFUNCTION("""COMPUTED_VALUE"""),2.89)</f>
        <v>2.89</v>
      </c>
      <c r="AK12" s="320">
        <f>IFERROR(__xludf.DUMMYFUNCTION("""COMPUTED_VALUE"""),0.1419)</f>
        <v>0.1419</v>
      </c>
      <c r="AL12" s="320">
        <f>IFERROR(__xludf.DUMMYFUNCTION("""COMPUTED_VALUE"""),22.27)</f>
        <v>22.27</v>
      </c>
      <c r="AM12" s="320">
        <f>IFERROR(__xludf.DUMMYFUNCTION("""COMPUTED_VALUE"""),259.35)</f>
        <v>259.35</v>
      </c>
      <c r="AN12" s="320">
        <f>IFERROR(__xludf.DUMMYFUNCTION("""COMPUTED_VALUE"""),26.01)</f>
        <v>26.01</v>
      </c>
      <c r="AO12" s="320">
        <f>IFERROR(__xludf.DUMMYFUNCTION("""COMPUTED_VALUE"""),5.79)</f>
        <v>5.79</v>
      </c>
    </row>
    <row r="13" ht="15.0" customHeight="1">
      <c r="A13" s="330">
        <f>IFERROR(__xludf.DUMMYFUNCTION("""COMPUTED_VALUE"""),46051.0)</f>
        <v>46051</v>
      </c>
      <c r="B13" s="319" t="str">
        <f>IFERROR(__xludf.DUMMYFUNCTION("""COMPUTED_VALUE"""),"F. 100+")</f>
        <v>F. 100+</v>
      </c>
      <c r="C13" s="320">
        <f>IFERROR(__xludf.DUMMYFUNCTION("""COMPUTED_VALUE"""),828.0)</f>
        <v>828</v>
      </c>
      <c r="D13" s="320">
        <f>IFERROR(__xludf.DUMMYFUNCTION("""COMPUTED_VALUE"""),0.72)</f>
        <v>0.72</v>
      </c>
      <c r="E13" s="320">
        <f>IFERROR(__xludf.DUMMYFUNCTION("""COMPUTED_VALUE"""),0.0)</f>
        <v>0</v>
      </c>
      <c r="F13" s="320">
        <f>IFERROR(__xludf.DUMMYFUNCTION("""COMPUTED_VALUE"""),0.0)</f>
        <v>0</v>
      </c>
      <c r="G13" s="320">
        <f>IFERROR(__xludf.DUMMYFUNCTION("""COMPUTED_VALUE"""),0.0)</f>
        <v>0</v>
      </c>
      <c r="H13" s="106"/>
      <c r="I13" s="320">
        <f>IFERROR(__xludf.DUMMYFUNCTION("""COMPUTED_VALUE"""),260.08)</f>
        <v>260.08</v>
      </c>
      <c r="J13" s="320">
        <f>IFERROR(__xludf.DUMMYFUNCTION("""COMPUTED_VALUE"""),151.22)</f>
        <v>151.22</v>
      </c>
      <c r="K13" s="320">
        <f>IFERROR(__xludf.DUMMYFUNCTION("""COMPUTED_VALUE"""),133.59)</f>
        <v>133.59</v>
      </c>
      <c r="L13" s="320">
        <f>IFERROR(__xludf.DUMMYFUNCTION("""COMPUTED_VALUE"""),0.8835)</f>
        <v>0.8835</v>
      </c>
      <c r="M13" s="320">
        <f>IFERROR(__xludf.DUMMYFUNCTION("""COMPUTED_VALUE"""),0.2756)</f>
        <v>0.2756</v>
      </c>
      <c r="N13" s="320">
        <f>IFERROR(__xludf.DUMMYFUNCTION("""COMPUTED_VALUE"""),0.2135)</f>
        <v>0.2135</v>
      </c>
      <c r="O13" s="320">
        <f>IFERROR(__xludf.DUMMYFUNCTION("""COMPUTED_VALUE"""),1.1319)</f>
        <v>1.1319</v>
      </c>
      <c r="P13" s="320">
        <f>IFERROR(__xludf.DUMMYFUNCTION("""COMPUTED_VALUE"""),803.55)</f>
        <v>803.55</v>
      </c>
      <c r="Q13" s="320">
        <f>IFERROR(__xludf.DUMMYFUNCTION("""COMPUTED_VALUE"""),521.11)</f>
        <v>521.11</v>
      </c>
      <c r="R13" s="320">
        <f>IFERROR(__xludf.DUMMYFUNCTION("""COMPUTED_VALUE"""),282.43)</f>
        <v>282.43</v>
      </c>
      <c r="S13" s="320">
        <f>IFERROR(__xludf.DUMMYFUNCTION("""COMPUTED_VALUE"""),5.43)</f>
        <v>5.43</v>
      </c>
      <c r="T13" s="320">
        <f>IFERROR(__xludf.DUMMYFUNCTION("""COMPUTED_VALUE"""),798.11)</f>
        <v>798.11</v>
      </c>
      <c r="U13" s="320">
        <f>IFERROR(__xludf.DUMMYFUNCTION("""COMPUTED_VALUE"""),696.2)</f>
        <v>696.2</v>
      </c>
      <c r="V13" s="320">
        <f>IFERROR(__xludf.DUMMYFUNCTION("""COMPUTED_VALUE"""),4.604)</f>
        <v>4.604</v>
      </c>
      <c r="W13" s="320">
        <f>IFERROR(__xludf.DUMMYFUNCTION("""COMPUTED_VALUE"""),0.68)</f>
        <v>0.68</v>
      </c>
      <c r="X13" s="320">
        <f>IFERROR(__xludf.DUMMYFUNCTION("""COMPUTED_VALUE"""),773.0)</f>
        <v>773</v>
      </c>
      <c r="Y13" s="320">
        <f>IFERROR(__xludf.DUMMYFUNCTION("""COMPUTED_VALUE"""),4190.0)</f>
        <v>4190</v>
      </c>
      <c r="Z13" s="320">
        <f>IFERROR(__xludf.DUMMYFUNCTION("""COMPUTED_VALUE"""),11363.0)</f>
        <v>11363</v>
      </c>
      <c r="AA13" s="320">
        <f>IFERROR(__xludf.DUMMYFUNCTION("""COMPUTED_VALUE"""),62.9365)</f>
        <v>62.9365</v>
      </c>
      <c r="AB13" s="320">
        <f>IFERROR(__xludf.DUMMYFUNCTION("""COMPUTED_VALUE"""),0.8846)</f>
        <v>0.8846</v>
      </c>
      <c r="AC13" s="320">
        <f>IFERROR(__xludf.DUMMYFUNCTION("""COMPUTED_VALUE"""),91.99)</f>
        <v>91.99</v>
      </c>
      <c r="AD13" s="320">
        <f>IFERROR(__xludf.DUMMYFUNCTION("""COMPUTED_VALUE"""),46.0)</f>
        <v>46</v>
      </c>
      <c r="AE13" s="320">
        <f>IFERROR(__xludf.DUMMYFUNCTION("""COMPUTED_VALUE"""),83.0)</f>
        <v>83</v>
      </c>
      <c r="AF13" s="320">
        <f>IFERROR(__xludf.DUMMYFUNCTION("""COMPUTED_VALUE"""),128.0)</f>
        <v>128</v>
      </c>
      <c r="AG13" s="320">
        <f>IFERROR(__xludf.DUMMYFUNCTION("""COMPUTED_VALUE"""),167.0)</f>
        <v>167</v>
      </c>
      <c r="AH13" s="320">
        <f>IFERROR(__xludf.DUMMYFUNCTION("""COMPUTED_VALUE"""),52.05)</f>
        <v>52.05</v>
      </c>
      <c r="AI13" s="320">
        <f>IFERROR(__xludf.DUMMYFUNCTION("""COMPUTED_VALUE"""),8.45)</f>
        <v>8.45</v>
      </c>
      <c r="AJ13" s="320">
        <f>IFERROR(__xludf.DUMMYFUNCTION("""COMPUTED_VALUE"""),0.85)</f>
        <v>0.85</v>
      </c>
      <c r="AK13" s="320">
        <f>IFERROR(__xludf.DUMMYFUNCTION("""COMPUTED_VALUE"""),0.0954)</f>
        <v>0.0954</v>
      </c>
      <c r="AL13" s="320">
        <f>IFERROR(__xludf.DUMMYFUNCTION("""COMPUTED_VALUE"""),20.6)</f>
        <v>20.6</v>
      </c>
      <c r="AM13" s="320">
        <f>IFERROR(__xludf.DUMMYFUNCTION("""COMPUTED_VALUE"""),500.51)</f>
        <v>500.51</v>
      </c>
      <c r="AN13" s="320">
        <f>IFERROR(__xludf.DUMMYFUNCTION("""COMPUTED_VALUE"""),26.9)</f>
        <v>26.9</v>
      </c>
      <c r="AO13" s="320">
        <f>IFERROR(__xludf.DUMMYFUNCTION("""COMPUTED_VALUE"""),5.54)</f>
        <v>5.54</v>
      </c>
    </row>
    <row r="14" ht="15.0" customHeight="1">
      <c r="A14" s="330">
        <f>IFERROR(__xludf.DUMMYFUNCTION("""COMPUTED_VALUE"""),46052.0)</f>
        <v>46052</v>
      </c>
      <c r="B14" s="319" t="str">
        <f>IFERROR(__xludf.DUMMYFUNCTION("""COMPUTED_VALUE"""),"A. 0")</f>
        <v>A. 0</v>
      </c>
      <c r="C14" s="320">
        <f>IFERROR(__xludf.DUMMYFUNCTION("""COMPUTED_VALUE"""),21240.0)</f>
        <v>21240</v>
      </c>
      <c r="D14" s="320">
        <f>IFERROR(__xludf.DUMMYFUNCTION("""COMPUTED_VALUE"""),18.89)</f>
        <v>18.89</v>
      </c>
      <c r="E14" s="320">
        <f>IFERROR(__xludf.DUMMYFUNCTION("""COMPUTED_VALUE"""),0.0)</f>
        <v>0</v>
      </c>
      <c r="F14" s="320">
        <f>IFERROR(__xludf.DUMMYFUNCTION("""COMPUTED_VALUE"""),0.0)</f>
        <v>0</v>
      </c>
      <c r="G14" s="320">
        <f>IFERROR(__xludf.DUMMYFUNCTION("""COMPUTED_VALUE"""),0.0)</f>
        <v>0</v>
      </c>
      <c r="H14" s="106"/>
      <c r="I14" s="320">
        <f>IFERROR(__xludf.DUMMYFUNCTION("""COMPUTED_VALUE"""),5.96)</f>
        <v>5.96</v>
      </c>
      <c r="J14" s="320">
        <f>IFERROR(__xludf.DUMMYFUNCTION("""COMPUTED_VALUE"""),2.39)</f>
        <v>2.39</v>
      </c>
      <c r="K14" s="320">
        <f>IFERROR(__xludf.DUMMYFUNCTION("""COMPUTED_VALUE"""),0.02)</f>
        <v>0.02</v>
      </c>
      <c r="L14" s="320">
        <f>IFERROR(__xludf.DUMMYFUNCTION("""COMPUTED_VALUE"""),0.0067)</f>
        <v>0.0067</v>
      </c>
      <c r="M14" s="320">
        <f>IFERROR(__xludf.DUMMYFUNCTION("""COMPUTED_VALUE"""),0.9952)</f>
        <v>0.9952</v>
      </c>
      <c r="N14" s="320">
        <f>IFERROR(__xludf.DUMMYFUNCTION("""COMPUTED_VALUE"""),0.9358)</f>
        <v>0.9358</v>
      </c>
      <c r="O14" s="320">
        <f>IFERROR(__xludf.DUMMYFUNCTION("""COMPUTED_VALUE"""),149.0323)</f>
        <v>149.0323</v>
      </c>
      <c r="P14" s="320">
        <f>IFERROR(__xludf.DUMMYFUNCTION("""COMPUTED_VALUE"""),26.05)</f>
        <v>26.05</v>
      </c>
      <c r="Q14" s="320">
        <f>IFERROR(__xludf.DUMMYFUNCTION("""COMPUTED_VALUE"""),25.88)</f>
        <v>25.88</v>
      </c>
      <c r="R14" s="320">
        <f>IFERROR(__xludf.DUMMYFUNCTION("""COMPUTED_VALUE"""),0.17)</f>
        <v>0.17</v>
      </c>
      <c r="S14" s="320">
        <f>IFERROR(__xludf.DUMMYFUNCTION("""COMPUTED_VALUE"""),0.0)</f>
        <v>0</v>
      </c>
      <c r="T14" s="320">
        <f>IFERROR(__xludf.DUMMYFUNCTION("""COMPUTED_VALUE"""),26.05)</f>
        <v>26.05</v>
      </c>
      <c r="U14" s="320">
        <f>IFERROR(__xludf.DUMMYFUNCTION("""COMPUTED_VALUE"""),1.93)</f>
        <v>1.93</v>
      </c>
      <c r="V14" s="320">
        <f>IFERROR(__xludf.DUMMYFUNCTION("""COMPUTED_VALUE"""),0.8058)</f>
        <v>0.8058</v>
      </c>
      <c r="W14" s="320">
        <f>IFERROR(__xludf.DUMMYFUNCTION("""COMPUTED_VALUE"""),0.0)</f>
        <v>0</v>
      </c>
      <c r="X14" s="320">
        <f>IFERROR(__xludf.DUMMYFUNCTION("""COMPUTED_VALUE"""),316.0)</f>
        <v>316</v>
      </c>
      <c r="Y14" s="320">
        <f>IFERROR(__xludf.DUMMYFUNCTION("""COMPUTED_VALUE"""),3149.0)</f>
        <v>3149</v>
      </c>
      <c r="Z14" s="320">
        <f>IFERROR(__xludf.DUMMYFUNCTION("""COMPUTED_VALUE"""),13316.0)</f>
        <v>13316</v>
      </c>
      <c r="AA14" s="320">
        <f>IFERROR(__xludf.DUMMYFUNCTION("""COMPUTED_VALUE"""),49.0736)</f>
        <v>49.0736</v>
      </c>
      <c r="AB14" s="320">
        <f>IFERROR(__xludf.DUMMYFUNCTION("""COMPUTED_VALUE"""),0.5482)</f>
        <v>0.5482</v>
      </c>
      <c r="AC14" s="106"/>
      <c r="AD14" s="106"/>
      <c r="AE14" s="106"/>
      <c r="AF14" s="106"/>
      <c r="AG14" s="106"/>
      <c r="AH14" s="320">
        <f>IFERROR(__xludf.DUMMYFUNCTION("""COMPUTED_VALUE"""),0.0)</f>
        <v>0</v>
      </c>
      <c r="AI14" s="320">
        <f>IFERROR(__xludf.DUMMYFUNCTION("""COMPUTED_VALUE"""),0.0)</f>
        <v>0</v>
      </c>
      <c r="AJ14" s="320">
        <f>IFERROR(__xludf.DUMMYFUNCTION("""COMPUTED_VALUE"""),0.0)</f>
        <v>0</v>
      </c>
      <c r="AK14" s="320">
        <f>IFERROR(__xludf.DUMMYFUNCTION("""COMPUTED_VALUE"""),0.3265)</f>
        <v>0.3265</v>
      </c>
      <c r="AL14" s="320">
        <f>IFERROR(__xludf.DUMMYFUNCTION("""COMPUTED_VALUE"""),16.82)</f>
        <v>16.82</v>
      </c>
      <c r="AM14" s="320">
        <f>IFERROR(__xludf.DUMMYFUNCTION("""COMPUTED_VALUE"""),9.06)</f>
        <v>9.06</v>
      </c>
      <c r="AN14" s="331"/>
      <c r="AO14" s="331"/>
    </row>
    <row r="15" ht="15.0" customHeight="1">
      <c r="A15" s="330">
        <f>IFERROR(__xludf.DUMMYFUNCTION("""COMPUTED_VALUE"""),46052.0)</f>
        <v>46052</v>
      </c>
      <c r="B15" s="319" t="str">
        <f>IFERROR(__xludf.DUMMYFUNCTION("""COMPUTED_VALUE"""),"B. 1-9")</f>
        <v>B. 1-9</v>
      </c>
      <c r="C15" s="320">
        <f>IFERROR(__xludf.DUMMYFUNCTION("""COMPUTED_VALUE"""),43576.0)</f>
        <v>43576</v>
      </c>
      <c r="D15" s="320">
        <f>IFERROR(__xludf.DUMMYFUNCTION("""COMPUTED_VALUE"""),38.75)</f>
        <v>38.75</v>
      </c>
      <c r="E15" s="320">
        <f>IFERROR(__xludf.DUMMYFUNCTION("""COMPUTED_VALUE"""),0.0)</f>
        <v>0</v>
      </c>
      <c r="F15" s="320">
        <f>IFERROR(__xludf.DUMMYFUNCTION("""COMPUTED_VALUE"""),0.0)</f>
        <v>0</v>
      </c>
      <c r="G15" s="320">
        <f>IFERROR(__xludf.DUMMYFUNCTION("""COMPUTED_VALUE"""),0.0)</f>
        <v>0</v>
      </c>
      <c r="H15" s="106"/>
      <c r="I15" s="320">
        <f>IFERROR(__xludf.DUMMYFUNCTION("""COMPUTED_VALUE"""),29.06)</f>
        <v>29.06</v>
      </c>
      <c r="J15" s="320">
        <f>IFERROR(__xludf.DUMMYFUNCTION("""COMPUTED_VALUE"""),13.02)</f>
        <v>13.02</v>
      </c>
      <c r="K15" s="320">
        <f>IFERROR(__xludf.DUMMYFUNCTION("""COMPUTED_VALUE"""),5.25)</f>
        <v>5.25</v>
      </c>
      <c r="L15" s="320">
        <f>IFERROR(__xludf.DUMMYFUNCTION("""COMPUTED_VALUE"""),0.4033)</f>
        <v>0.4033</v>
      </c>
      <c r="M15" s="320">
        <f>IFERROR(__xludf.DUMMYFUNCTION("""COMPUTED_VALUE"""),0.7614)</f>
        <v>0.7614</v>
      </c>
      <c r="N15" s="320">
        <f>IFERROR(__xludf.DUMMYFUNCTION("""COMPUTED_VALUE"""),0.5617)</f>
        <v>0.5617</v>
      </c>
      <c r="O15" s="320">
        <f>IFERROR(__xludf.DUMMYFUNCTION("""COMPUTED_VALUE"""),2.4796)</f>
        <v>2.4796</v>
      </c>
      <c r="P15" s="320">
        <f>IFERROR(__xludf.DUMMYFUNCTION("""COMPUTED_VALUE"""),57.45)</f>
        <v>57.45</v>
      </c>
      <c r="Q15" s="320">
        <f>IFERROR(__xludf.DUMMYFUNCTION("""COMPUTED_VALUE"""),46.6)</f>
        <v>46.6</v>
      </c>
      <c r="R15" s="320">
        <f>IFERROR(__xludf.DUMMYFUNCTION("""COMPUTED_VALUE"""),10.85)</f>
        <v>10.85</v>
      </c>
      <c r="S15" s="320">
        <f>IFERROR(__xludf.DUMMYFUNCTION("""COMPUTED_VALUE"""),1.17)</f>
        <v>1.17</v>
      </c>
      <c r="T15" s="320">
        <f>IFERROR(__xludf.DUMMYFUNCTION("""COMPUTED_VALUE"""),56.28)</f>
        <v>56.28</v>
      </c>
      <c r="U15" s="320">
        <f>IFERROR(__xludf.DUMMYFUNCTION("""COMPUTED_VALUE"""),50.82)</f>
        <v>50.82</v>
      </c>
      <c r="V15" s="320">
        <f>IFERROR(__xludf.DUMMYFUNCTION("""COMPUTED_VALUE"""),3.9023)</f>
        <v>3.9023</v>
      </c>
      <c r="W15" s="320">
        <f>IFERROR(__xludf.DUMMYFUNCTION("""COMPUTED_VALUE"""),2.04)</f>
        <v>2.04</v>
      </c>
      <c r="X15" s="320">
        <f>IFERROR(__xludf.DUMMYFUNCTION("""COMPUTED_VALUE"""),148.0)</f>
        <v>148</v>
      </c>
      <c r="Y15" s="320">
        <f>IFERROR(__xludf.DUMMYFUNCTION("""COMPUTED_VALUE"""),847.0)</f>
        <v>847</v>
      </c>
      <c r="Z15" s="320">
        <f>IFERROR(__xludf.DUMMYFUNCTION("""COMPUTED_VALUE"""),5398.0)</f>
        <v>5398</v>
      </c>
      <c r="AA15" s="320">
        <f>IFERROR(__xludf.DUMMYFUNCTION("""COMPUTED_VALUE"""),49.1559)</f>
        <v>49.1559</v>
      </c>
      <c r="AB15" s="320">
        <f>IFERROR(__xludf.DUMMYFUNCTION("""COMPUTED_VALUE"""),0.5607)</f>
        <v>0.5607</v>
      </c>
      <c r="AC15" s="320">
        <f>IFERROR(__xludf.DUMMYFUNCTION("""COMPUTED_VALUE"""),3.67)</f>
        <v>3.67</v>
      </c>
      <c r="AD15" s="320">
        <f>IFERROR(__xludf.DUMMYFUNCTION("""COMPUTED_VALUE"""),1.0)</f>
        <v>1</v>
      </c>
      <c r="AE15" s="320">
        <f>IFERROR(__xludf.DUMMYFUNCTION("""COMPUTED_VALUE"""),3.0)</f>
        <v>3</v>
      </c>
      <c r="AF15" s="320">
        <f>IFERROR(__xludf.DUMMYFUNCTION("""COMPUTED_VALUE"""),5.0)</f>
        <v>5</v>
      </c>
      <c r="AG15" s="320">
        <f>IFERROR(__xludf.DUMMYFUNCTION("""COMPUTED_VALUE"""),8.0)</f>
        <v>8</v>
      </c>
      <c r="AH15" s="320">
        <f>IFERROR(__xludf.DUMMYFUNCTION("""COMPUTED_VALUE"""),72.4)</f>
        <v>72.4</v>
      </c>
      <c r="AI15" s="320">
        <f>IFERROR(__xludf.DUMMYFUNCTION("""COMPUTED_VALUE"""),28.78)</f>
        <v>28.78</v>
      </c>
      <c r="AJ15" s="320">
        <f>IFERROR(__xludf.DUMMYFUNCTION("""COMPUTED_VALUE"""),5.92)</f>
        <v>5.92</v>
      </c>
      <c r="AK15" s="320">
        <f>IFERROR(__xludf.DUMMYFUNCTION("""COMPUTED_VALUE"""),0.2758)</f>
        <v>0.2758</v>
      </c>
      <c r="AL15" s="320">
        <f>IFERROR(__xludf.DUMMYFUNCTION("""COMPUTED_VALUE"""),19.45)</f>
        <v>19.45</v>
      </c>
      <c r="AM15" s="320">
        <f>IFERROR(__xludf.DUMMYFUNCTION("""COMPUTED_VALUE"""),27.15)</f>
        <v>27.15</v>
      </c>
      <c r="AN15" s="320">
        <f>IFERROR(__xludf.DUMMYFUNCTION("""COMPUTED_VALUE"""),31.85)</f>
        <v>31.85</v>
      </c>
      <c r="AO15" s="320">
        <f>IFERROR(__xludf.DUMMYFUNCTION("""COMPUTED_VALUE"""),6.19)</f>
        <v>6.19</v>
      </c>
    </row>
    <row r="16" ht="15.0" customHeight="1">
      <c r="A16" s="330">
        <f>IFERROR(__xludf.DUMMYFUNCTION("""COMPUTED_VALUE"""),46052.0)</f>
        <v>46052</v>
      </c>
      <c r="B16" s="319" t="str">
        <f>IFERROR(__xludf.DUMMYFUNCTION("""COMPUTED_VALUE"""),"C. 10-19")</f>
        <v>C. 10-19</v>
      </c>
      <c r="C16" s="320">
        <f>IFERROR(__xludf.DUMMYFUNCTION("""COMPUTED_VALUE"""),25588.0)</f>
        <v>25588</v>
      </c>
      <c r="D16" s="320">
        <f>IFERROR(__xludf.DUMMYFUNCTION("""COMPUTED_VALUE"""),22.75)</f>
        <v>22.75</v>
      </c>
      <c r="E16" s="320">
        <f>IFERROR(__xludf.DUMMYFUNCTION("""COMPUTED_VALUE"""),0.0)</f>
        <v>0</v>
      </c>
      <c r="F16" s="320">
        <f>IFERROR(__xludf.DUMMYFUNCTION("""COMPUTED_VALUE"""),0.0)</f>
        <v>0</v>
      </c>
      <c r="G16" s="320">
        <f>IFERROR(__xludf.DUMMYFUNCTION("""COMPUTED_VALUE"""),0.0)</f>
        <v>0</v>
      </c>
      <c r="H16" s="106"/>
      <c r="I16" s="320">
        <f>IFERROR(__xludf.DUMMYFUNCTION("""COMPUTED_VALUE"""),57.76)</f>
        <v>57.76</v>
      </c>
      <c r="J16" s="320">
        <f>IFERROR(__xludf.DUMMYFUNCTION("""COMPUTED_VALUE"""),27.05)</f>
        <v>27.05</v>
      </c>
      <c r="K16" s="320">
        <f>IFERROR(__xludf.DUMMYFUNCTION("""COMPUTED_VALUE"""),14.42)</f>
        <v>14.42</v>
      </c>
      <c r="L16" s="320">
        <f>IFERROR(__xludf.DUMMYFUNCTION("""COMPUTED_VALUE"""),0.5333)</f>
        <v>0.5333</v>
      </c>
      <c r="M16" s="320">
        <f>IFERROR(__xludf.DUMMYFUNCTION("""COMPUTED_VALUE"""),0.6543)</f>
        <v>0.6543</v>
      </c>
      <c r="N16" s="320">
        <f>IFERROR(__xludf.DUMMYFUNCTION("""COMPUTED_VALUE"""),0.4561)</f>
        <v>0.4561</v>
      </c>
      <c r="O16" s="320">
        <f>IFERROR(__xludf.DUMMYFUNCTION("""COMPUTED_VALUE"""),1.8753)</f>
        <v>1.8753</v>
      </c>
      <c r="P16" s="320">
        <f>IFERROR(__xludf.DUMMYFUNCTION("""COMPUTED_VALUE"""),108.07)</f>
        <v>108.07</v>
      </c>
      <c r="Q16" s="320">
        <f>IFERROR(__xludf.DUMMYFUNCTION("""COMPUTED_VALUE"""),77.84)</f>
        <v>77.84</v>
      </c>
      <c r="R16" s="320">
        <f>IFERROR(__xludf.DUMMYFUNCTION("""COMPUTED_VALUE"""),30.24)</f>
        <v>30.24</v>
      </c>
      <c r="S16" s="320">
        <f>IFERROR(__xludf.DUMMYFUNCTION("""COMPUTED_VALUE"""),5.84)</f>
        <v>5.84</v>
      </c>
      <c r="T16" s="320">
        <f>IFERROR(__xludf.DUMMYFUNCTION("""COMPUTED_VALUE"""),102.23)</f>
        <v>102.23</v>
      </c>
      <c r="U16" s="320">
        <f>IFERROR(__xludf.DUMMYFUNCTION("""COMPUTED_VALUE"""),104.18)</f>
        <v>104.18</v>
      </c>
      <c r="V16" s="320">
        <f>IFERROR(__xludf.DUMMYFUNCTION("""COMPUTED_VALUE"""),3.8513)</f>
        <v>3.8513</v>
      </c>
      <c r="W16" s="320">
        <f>IFERROR(__xludf.DUMMYFUNCTION("""COMPUTED_VALUE"""),5.41)</f>
        <v>5.41</v>
      </c>
      <c r="X16" s="320">
        <f>IFERROR(__xludf.DUMMYFUNCTION("""COMPUTED_VALUE"""),129.0)</f>
        <v>129</v>
      </c>
      <c r="Y16" s="320">
        <f>IFERROR(__xludf.DUMMYFUNCTION("""COMPUTED_VALUE"""),758.0)</f>
        <v>758</v>
      </c>
      <c r="Z16" s="320">
        <f>IFERROR(__xludf.DUMMYFUNCTION("""COMPUTED_VALUE"""),5465.0)</f>
        <v>5465</v>
      </c>
      <c r="AA16" s="320">
        <f>IFERROR(__xludf.DUMMYFUNCTION("""COMPUTED_VALUE"""),52.2147)</f>
        <v>52.2147</v>
      </c>
      <c r="AB16" s="320">
        <f>IFERROR(__xludf.DUMMYFUNCTION("""COMPUTED_VALUE"""),0.6316)</f>
        <v>0.6316</v>
      </c>
      <c r="AC16" s="320">
        <f>IFERROR(__xludf.DUMMYFUNCTION("""COMPUTED_VALUE"""),9.66)</f>
        <v>9.66</v>
      </c>
      <c r="AD16" s="320">
        <f>IFERROR(__xludf.DUMMYFUNCTION("""COMPUTED_VALUE"""),4.0)</f>
        <v>4</v>
      </c>
      <c r="AE16" s="320">
        <f>IFERROR(__xludf.DUMMYFUNCTION("""COMPUTED_VALUE"""),8.0)</f>
        <v>8</v>
      </c>
      <c r="AF16" s="320">
        <f>IFERROR(__xludf.DUMMYFUNCTION("""COMPUTED_VALUE"""),13.0)</f>
        <v>13</v>
      </c>
      <c r="AG16" s="320">
        <f>IFERROR(__xludf.DUMMYFUNCTION("""COMPUTED_VALUE"""),19.0)</f>
        <v>19</v>
      </c>
      <c r="AH16" s="320">
        <f>IFERROR(__xludf.DUMMYFUNCTION("""COMPUTED_VALUE"""),67.32)</f>
        <v>67.32</v>
      </c>
      <c r="AI16" s="320">
        <f>IFERROR(__xludf.DUMMYFUNCTION("""COMPUTED_VALUE"""),27.35)</f>
        <v>27.35</v>
      </c>
      <c r="AJ16" s="320">
        <f>IFERROR(__xludf.DUMMYFUNCTION("""COMPUTED_VALUE"""),3.21)</f>
        <v>3.21</v>
      </c>
      <c r="AK16" s="320">
        <f>IFERROR(__xludf.DUMMYFUNCTION("""COMPUTED_VALUE"""),0.2144)</f>
        <v>0.2144</v>
      </c>
      <c r="AL16" s="320">
        <f>IFERROR(__xludf.DUMMYFUNCTION("""COMPUTED_VALUE"""),21.72)</f>
        <v>21.72</v>
      </c>
      <c r="AM16" s="320">
        <f>IFERROR(__xludf.DUMMYFUNCTION("""COMPUTED_VALUE"""),56.12)</f>
        <v>56.12</v>
      </c>
      <c r="AN16" s="320">
        <f>IFERROR(__xludf.DUMMYFUNCTION("""COMPUTED_VALUE"""),35.43)</f>
        <v>35.43</v>
      </c>
      <c r="AO16" s="320">
        <f>IFERROR(__xludf.DUMMYFUNCTION("""COMPUTED_VALUE"""),7.7)</f>
        <v>7.7</v>
      </c>
    </row>
    <row r="17" ht="15.0" customHeight="1">
      <c r="A17" s="330">
        <f>IFERROR(__xludf.DUMMYFUNCTION("""COMPUTED_VALUE"""),46052.0)</f>
        <v>46052</v>
      </c>
      <c r="B17" s="319" t="str">
        <f>IFERROR(__xludf.DUMMYFUNCTION("""COMPUTED_VALUE"""),"D. 20-39")</f>
        <v>D. 20-39</v>
      </c>
      <c r="C17" s="320">
        <f>IFERROR(__xludf.DUMMYFUNCTION("""COMPUTED_VALUE"""),15147.0)</f>
        <v>15147</v>
      </c>
      <c r="D17" s="320">
        <f>IFERROR(__xludf.DUMMYFUNCTION("""COMPUTED_VALUE"""),13.47)</f>
        <v>13.47</v>
      </c>
      <c r="E17" s="320">
        <f>IFERROR(__xludf.DUMMYFUNCTION("""COMPUTED_VALUE"""),0.0)</f>
        <v>0</v>
      </c>
      <c r="F17" s="320">
        <f>IFERROR(__xludf.DUMMYFUNCTION("""COMPUTED_VALUE"""),0.0)</f>
        <v>0</v>
      </c>
      <c r="G17" s="320">
        <f>IFERROR(__xludf.DUMMYFUNCTION("""COMPUTED_VALUE"""),0.0)</f>
        <v>0</v>
      </c>
      <c r="H17" s="106"/>
      <c r="I17" s="320">
        <f>IFERROR(__xludf.DUMMYFUNCTION("""COMPUTED_VALUE"""),86.54)</f>
        <v>86.54</v>
      </c>
      <c r="J17" s="320">
        <f>IFERROR(__xludf.DUMMYFUNCTION("""COMPUTED_VALUE"""),42.65)</f>
        <v>42.65</v>
      </c>
      <c r="K17" s="320">
        <f>IFERROR(__xludf.DUMMYFUNCTION("""COMPUTED_VALUE"""),27.54)</f>
        <v>27.54</v>
      </c>
      <c r="L17" s="320">
        <f>IFERROR(__xludf.DUMMYFUNCTION("""COMPUTED_VALUE"""),0.6457)</f>
        <v>0.6457</v>
      </c>
      <c r="M17" s="320">
        <f>IFERROR(__xludf.DUMMYFUNCTION("""COMPUTED_VALUE"""),0.5439)</f>
        <v>0.5439</v>
      </c>
      <c r="N17" s="320">
        <f>IFERROR(__xludf.DUMMYFUNCTION("""COMPUTED_VALUE"""),0.3753)</f>
        <v>0.3753</v>
      </c>
      <c r="O17" s="320">
        <f>IFERROR(__xludf.DUMMYFUNCTION("""COMPUTED_VALUE"""),1.5488)</f>
        <v>1.5488</v>
      </c>
      <c r="P17" s="320">
        <f>IFERROR(__xludf.DUMMYFUNCTION("""COMPUTED_VALUE"""),167.41)</f>
        <v>167.41</v>
      </c>
      <c r="Q17" s="320">
        <f>IFERROR(__xludf.DUMMYFUNCTION("""COMPUTED_VALUE"""),109.08)</f>
        <v>109.08</v>
      </c>
      <c r="R17" s="320">
        <f>IFERROR(__xludf.DUMMYFUNCTION("""COMPUTED_VALUE"""),58.33)</f>
        <v>58.33</v>
      </c>
      <c r="S17" s="320">
        <f>IFERROR(__xludf.DUMMYFUNCTION("""COMPUTED_VALUE"""),6.24)</f>
        <v>6.24</v>
      </c>
      <c r="T17" s="320">
        <f>IFERROR(__xludf.DUMMYFUNCTION("""COMPUTED_VALUE"""),161.17)</f>
        <v>161.17</v>
      </c>
      <c r="U17" s="320">
        <f>IFERROR(__xludf.DUMMYFUNCTION("""COMPUTED_VALUE"""),175.32)</f>
        <v>175.32</v>
      </c>
      <c r="V17" s="320">
        <f>IFERROR(__xludf.DUMMYFUNCTION("""COMPUTED_VALUE"""),4.1108)</f>
        <v>4.1108</v>
      </c>
      <c r="W17" s="320">
        <f>IFERROR(__xludf.DUMMYFUNCTION("""COMPUTED_VALUE"""),3.73)</f>
        <v>3.73</v>
      </c>
      <c r="X17" s="320">
        <f>IFERROR(__xludf.DUMMYFUNCTION("""COMPUTED_VALUE"""),155.0)</f>
        <v>155</v>
      </c>
      <c r="Y17" s="320">
        <f>IFERROR(__xludf.DUMMYFUNCTION("""COMPUTED_VALUE"""),1022.0)</f>
        <v>1022</v>
      </c>
      <c r="Z17" s="320">
        <f>IFERROR(__xludf.DUMMYFUNCTION("""COMPUTED_VALUE"""),6585.0)</f>
        <v>6585</v>
      </c>
      <c r="AA17" s="320">
        <f>IFERROR(__xludf.DUMMYFUNCTION("""COMPUTED_VALUE"""),55.0005)</f>
        <v>55.0005</v>
      </c>
      <c r="AB17" s="320">
        <f>IFERROR(__xludf.DUMMYFUNCTION("""COMPUTED_VALUE"""),0.7294)</f>
        <v>0.7294</v>
      </c>
      <c r="AC17" s="320">
        <f>IFERROR(__xludf.DUMMYFUNCTION("""COMPUTED_VALUE"""),18.2)</f>
        <v>18.2</v>
      </c>
      <c r="AD17" s="320">
        <f>IFERROR(__xludf.DUMMYFUNCTION("""COMPUTED_VALUE"""),9.0)</f>
        <v>9</v>
      </c>
      <c r="AE17" s="320">
        <f>IFERROR(__xludf.DUMMYFUNCTION("""COMPUTED_VALUE"""),15.0)</f>
        <v>15</v>
      </c>
      <c r="AF17" s="320">
        <f>IFERROR(__xludf.DUMMYFUNCTION("""COMPUTED_VALUE"""),25.0)</f>
        <v>25</v>
      </c>
      <c r="AG17" s="320">
        <f>IFERROR(__xludf.DUMMYFUNCTION("""COMPUTED_VALUE"""),36.0)</f>
        <v>36</v>
      </c>
      <c r="AH17" s="320">
        <f>IFERROR(__xludf.DUMMYFUNCTION("""COMPUTED_VALUE"""),65.33)</f>
        <v>65.33</v>
      </c>
      <c r="AI17" s="320">
        <f>IFERROR(__xludf.DUMMYFUNCTION("""COMPUTED_VALUE"""),24.47)</f>
        <v>24.47</v>
      </c>
      <c r="AJ17" s="320">
        <f>IFERROR(__xludf.DUMMYFUNCTION("""COMPUTED_VALUE"""),5.41)</f>
        <v>5.41</v>
      </c>
      <c r="AK17" s="320">
        <f>IFERROR(__xludf.DUMMYFUNCTION("""COMPUTED_VALUE"""),0.2019)</f>
        <v>0.2019</v>
      </c>
      <c r="AL17" s="320">
        <f>IFERROR(__xludf.DUMMYFUNCTION("""COMPUTED_VALUE"""),22.1)</f>
        <v>22.1</v>
      </c>
      <c r="AM17" s="320">
        <f>IFERROR(__xludf.DUMMYFUNCTION("""COMPUTED_VALUE"""),86.98)</f>
        <v>86.98</v>
      </c>
      <c r="AN17" s="320">
        <f>IFERROR(__xludf.DUMMYFUNCTION("""COMPUTED_VALUE"""),36.28)</f>
        <v>36.28</v>
      </c>
      <c r="AO17" s="320">
        <f>IFERROR(__xludf.DUMMYFUNCTION("""COMPUTED_VALUE"""),8.02)</f>
        <v>8.02</v>
      </c>
    </row>
    <row r="18" ht="15.0" customHeight="1">
      <c r="A18" s="330">
        <f>IFERROR(__xludf.DUMMYFUNCTION("""COMPUTED_VALUE"""),46052.0)</f>
        <v>46052</v>
      </c>
      <c r="B18" s="319" t="str">
        <f>IFERROR(__xludf.DUMMYFUNCTION("""COMPUTED_VALUE"""),"E. 40-99")</f>
        <v>E. 40-99</v>
      </c>
      <c r="C18" s="320">
        <f>IFERROR(__xludf.DUMMYFUNCTION("""COMPUTED_VALUE"""),6161.0)</f>
        <v>6161</v>
      </c>
      <c r="D18" s="320">
        <f>IFERROR(__xludf.DUMMYFUNCTION("""COMPUTED_VALUE"""),5.48)</f>
        <v>5.48</v>
      </c>
      <c r="E18" s="320">
        <f>IFERROR(__xludf.DUMMYFUNCTION("""COMPUTED_VALUE"""),0.0)</f>
        <v>0</v>
      </c>
      <c r="F18" s="320">
        <f>IFERROR(__xludf.DUMMYFUNCTION("""COMPUTED_VALUE"""),0.0)</f>
        <v>0</v>
      </c>
      <c r="G18" s="320">
        <f>IFERROR(__xludf.DUMMYFUNCTION("""COMPUTED_VALUE"""),0.0)</f>
        <v>0</v>
      </c>
      <c r="H18" s="106"/>
      <c r="I18" s="320">
        <f>IFERROR(__xludf.DUMMYFUNCTION("""COMPUTED_VALUE"""),139.6)</f>
        <v>139.6</v>
      </c>
      <c r="J18" s="320">
        <f>IFERROR(__xludf.DUMMYFUNCTION("""COMPUTED_VALUE"""),73.35)</f>
        <v>73.35</v>
      </c>
      <c r="K18" s="320">
        <f>IFERROR(__xludf.DUMMYFUNCTION("""COMPUTED_VALUE"""),56.49)</f>
        <v>56.49</v>
      </c>
      <c r="L18" s="320">
        <f>IFERROR(__xludf.DUMMYFUNCTION("""COMPUTED_VALUE"""),0.7702)</f>
        <v>0.7702</v>
      </c>
      <c r="M18" s="320">
        <f>IFERROR(__xludf.DUMMYFUNCTION("""COMPUTED_VALUE"""),0.4074)</f>
        <v>0.4074</v>
      </c>
      <c r="N18" s="320">
        <f>IFERROR(__xludf.DUMMYFUNCTION("""COMPUTED_VALUE"""),0.2884)</f>
        <v>0.2884</v>
      </c>
      <c r="O18" s="320">
        <f>IFERROR(__xludf.DUMMYFUNCTION("""COMPUTED_VALUE"""),1.2983)</f>
        <v>1.2983</v>
      </c>
      <c r="P18" s="320">
        <f>IFERROR(__xludf.DUMMYFUNCTION("""COMPUTED_VALUE"""),289.57)</f>
        <v>289.57</v>
      </c>
      <c r="Q18" s="320">
        <f>IFERROR(__xludf.DUMMYFUNCTION("""COMPUTED_VALUE"""),170.3)</f>
        <v>170.3</v>
      </c>
      <c r="R18" s="320">
        <f>IFERROR(__xludf.DUMMYFUNCTION("""COMPUTED_VALUE"""),119.27)</f>
        <v>119.27</v>
      </c>
      <c r="S18" s="320">
        <f>IFERROR(__xludf.DUMMYFUNCTION("""COMPUTED_VALUE"""),9.52)</f>
        <v>9.52</v>
      </c>
      <c r="T18" s="320">
        <f>IFERROR(__xludf.DUMMYFUNCTION("""COMPUTED_VALUE"""),280.05)</f>
        <v>280.05</v>
      </c>
      <c r="U18" s="320">
        <f>IFERROR(__xludf.DUMMYFUNCTION("""COMPUTED_VALUE"""),330.38)</f>
        <v>330.38</v>
      </c>
      <c r="V18" s="320">
        <f>IFERROR(__xludf.DUMMYFUNCTION("""COMPUTED_VALUE"""),4.5044)</f>
        <v>4.5044</v>
      </c>
      <c r="W18" s="320">
        <f>IFERROR(__xludf.DUMMYFUNCTION("""COMPUTED_VALUE"""),3.29)</f>
        <v>3.29</v>
      </c>
      <c r="X18" s="320">
        <f>IFERROR(__xludf.DUMMYFUNCTION("""COMPUTED_VALUE"""),254.0)</f>
        <v>254</v>
      </c>
      <c r="Y18" s="320">
        <f>IFERROR(__xludf.DUMMYFUNCTION("""COMPUTED_VALUE"""),2257.0)</f>
        <v>2257</v>
      </c>
      <c r="Z18" s="320">
        <f>IFERROR(__xludf.DUMMYFUNCTION("""COMPUTED_VALUE"""),9428.0)</f>
        <v>9428</v>
      </c>
      <c r="AA18" s="320">
        <f>IFERROR(__xludf.DUMMYFUNCTION("""COMPUTED_VALUE"""),59.1326)</f>
        <v>59.1326</v>
      </c>
      <c r="AB18" s="320">
        <f>IFERROR(__xludf.DUMMYFUNCTION("""COMPUTED_VALUE"""),0.8334)</f>
        <v>0.8334</v>
      </c>
      <c r="AC18" s="320">
        <f>IFERROR(__xludf.DUMMYFUNCTION("""COMPUTED_VALUE"""),37.92)</f>
        <v>37.92</v>
      </c>
      <c r="AD18" s="320">
        <f>IFERROR(__xludf.DUMMYFUNCTION("""COMPUTED_VALUE"""),16.0)</f>
        <v>16</v>
      </c>
      <c r="AE18" s="320">
        <f>IFERROR(__xludf.DUMMYFUNCTION("""COMPUTED_VALUE"""),32.0)</f>
        <v>32</v>
      </c>
      <c r="AF18" s="320">
        <f>IFERROR(__xludf.DUMMYFUNCTION("""COMPUTED_VALUE"""),52.0)</f>
        <v>52</v>
      </c>
      <c r="AG18" s="320">
        <f>IFERROR(__xludf.DUMMYFUNCTION("""COMPUTED_VALUE"""),76.0)</f>
        <v>76</v>
      </c>
      <c r="AH18" s="320">
        <f>IFERROR(__xludf.DUMMYFUNCTION("""COMPUTED_VALUE"""),55.8)</f>
        <v>55.8</v>
      </c>
      <c r="AI18" s="320">
        <f>IFERROR(__xludf.DUMMYFUNCTION("""COMPUTED_VALUE"""),19.32)</f>
        <v>19.32</v>
      </c>
      <c r="AJ18" s="320">
        <f>IFERROR(__xludf.DUMMYFUNCTION("""COMPUTED_VALUE"""),3.49)</f>
        <v>3.49</v>
      </c>
      <c r="AK18" s="320">
        <f>IFERROR(__xludf.DUMMYFUNCTION("""COMPUTED_VALUE"""),0.1621)</f>
        <v>0.1621</v>
      </c>
      <c r="AL18" s="320">
        <f>IFERROR(__xludf.DUMMYFUNCTION("""COMPUTED_VALUE"""),22.62)</f>
        <v>22.62</v>
      </c>
      <c r="AM18" s="320">
        <f>IFERROR(__xludf.DUMMYFUNCTION("""COMPUTED_VALUE"""),147.68)</f>
        <v>147.68</v>
      </c>
      <c r="AN18" s="320">
        <f>IFERROR(__xludf.DUMMYFUNCTION("""COMPUTED_VALUE"""),37.64)</f>
        <v>37.64</v>
      </c>
      <c r="AO18" s="320">
        <f>IFERROR(__xludf.DUMMYFUNCTION("""COMPUTED_VALUE"""),8.51)</f>
        <v>8.51</v>
      </c>
    </row>
    <row r="19" ht="15.0" customHeight="1">
      <c r="A19" s="330">
        <f>IFERROR(__xludf.DUMMYFUNCTION("""COMPUTED_VALUE"""),46052.0)</f>
        <v>46052</v>
      </c>
      <c r="B19" s="319" t="str">
        <f>IFERROR(__xludf.DUMMYFUNCTION("""COMPUTED_VALUE"""),"F. 100+")</f>
        <v>F. 100+</v>
      </c>
      <c r="C19" s="320">
        <f>IFERROR(__xludf.DUMMYFUNCTION("""COMPUTED_VALUE"""),739.0)</f>
        <v>739</v>
      </c>
      <c r="D19" s="320">
        <f>IFERROR(__xludf.DUMMYFUNCTION("""COMPUTED_VALUE"""),0.66)</f>
        <v>0.66</v>
      </c>
      <c r="E19" s="320">
        <f>IFERROR(__xludf.DUMMYFUNCTION("""COMPUTED_VALUE"""),0.0)</f>
        <v>0</v>
      </c>
      <c r="F19" s="320">
        <f>IFERROR(__xludf.DUMMYFUNCTION("""COMPUTED_VALUE"""),0.0)</f>
        <v>0</v>
      </c>
      <c r="G19" s="320">
        <f>IFERROR(__xludf.DUMMYFUNCTION("""COMPUTED_VALUE"""),0.0)</f>
        <v>0</v>
      </c>
      <c r="H19" s="106"/>
      <c r="I19" s="320">
        <f>IFERROR(__xludf.DUMMYFUNCTION("""COMPUTED_VALUE"""),268.46)</f>
        <v>268.46</v>
      </c>
      <c r="J19" s="320">
        <f>IFERROR(__xludf.DUMMYFUNCTION("""COMPUTED_VALUE"""),157.52)</f>
        <v>157.52</v>
      </c>
      <c r="K19" s="320">
        <f>IFERROR(__xludf.DUMMYFUNCTION("""COMPUTED_VALUE"""),134.28)</f>
        <v>134.28</v>
      </c>
      <c r="L19" s="320">
        <f>IFERROR(__xludf.DUMMYFUNCTION("""COMPUTED_VALUE"""),0.8525)</f>
        <v>0.8525</v>
      </c>
      <c r="M19" s="320">
        <f>IFERROR(__xludf.DUMMYFUNCTION("""COMPUTED_VALUE"""),0.2948)</f>
        <v>0.2948</v>
      </c>
      <c r="N19" s="320">
        <f>IFERROR(__xludf.DUMMYFUNCTION("""COMPUTED_VALUE"""),0.2142)</f>
        <v>0.2142</v>
      </c>
      <c r="O19" s="320">
        <f>IFERROR(__xludf.DUMMYFUNCTION("""COMPUTED_VALUE"""),1.1731)</f>
        <v>1.1731</v>
      </c>
      <c r="P19" s="320">
        <f>IFERROR(__xludf.DUMMYFUNCTION("""COMPUTED_VALUE"""),599.14)</f>
        <v>599.14</v>
      </c>
      <c r="Q19" s="320">
        <f>IFERROR(__xludf.DUMMYFUNCTION("""COMPUTED_VALUE"""),317.97)</f>
        <v>317.97</v>
      </c>
      <c r="R19" s="320">
        <f>IFERROR(__xludf.DUMMYFUNCTION("""COMPUTED_VALUE"""),281.17)</f>
        <v>281.17</v>
      </c>
      <c r="S19" s="320">
        <f>IFERROR(__xludf.DUMMYFUNCTION("""COMPUTED_VALUE"""),0.0)</f>
        <v>0</v>
      </c>
      <c r="T19" s="320">
        <f>IFERROR(__xludf.DUMMYFUNCTION("""COMPUTED_VALUE"""),599.14)</f>
        <v>599.14</v>
      </c>
      <c r="U19" s="320">
        <f>IFERROR(__xludf.DUMMYFUNCTION("""COMPUTED_VALUE"""),706.9)</f>
        <v>706.9</v>
      </c>
      <c r="V19" s="320">
        <f>IFERROR(__xludf.DUMMYFUNCTION("""COMPUTED_VALUE"""),4.4877)</f>
        <v>4.4877</v>
      </c>
      <c r="W19" s="320">
        <f>IFERROR(__xludf.DUMMYFUNCTION("""COMPUTED_VALUE"""),0.0)</f>
        <v>0</v>
      </c>
      <c r="X19" s="320">
        <f>IFERROR(__xludf.DUMMYFUNCTION("""COMPUTED_VALUE"""),813.0)</f>
        <v>813</v>
      </c>
      <c r="Y19" s="320">
        <f>IFERROR(__xludf.DUMMYFUNCTION("""COMPUTED_VALUE"""),3791.0)</f>
        <v>3791</v>
      </c>
      <c r="Z19" s="320">
        <f>IFERROR(__xludf.DUMMYFUNCTION("""COMPUTED_VALUE"""),10527.0)</f>
        <v>10527</v>
      </c>
      <c r="AA19" s="320">
        <f>IFERROR(__xludf.DUMMYFUNCTION("""COMPUTED_VALUE"""),62.5294)</f>
        <v>62.5294</v>
      </c>
      <c r="AB19" s="320">
        <f>IFERROR(__xludf.DUMMYFUNCTION("""COMPUTED_VALUE"""),0.8901)</f>
        <v>0.8901</v>
      </c>
      <c r="AC19" s="320">
        <f>IFERROR(__xludf.DUMMYFUNCTION("""COMPUTED_VALUE"""),88.73)</f>
        <v>88.73</v>
      </c>
      <c r="AD19" s="320">
        <f>IFERROR(__xludf.DUMMYFUNCTION("""COMPUTED_VALUE"""),37.0)</f>
        <v>37</v>
      </c>
      <c r="AE19" s="320">
        <f>IFERROR(__xludf.DUMMYFUNCTION("""COMPUTED_VALUE"""),77.0)</f>
        <v>77</v>
      </c>
      <c r="AF19" s="320">
        <f>IFERROR(__xludf.DUMMYFUNCTION("""COMPUTED_VALUE"""),124.0)</f>
        <v>124</v>
      </c>
      <c r="AG19" s="320">
        <f>IFERROR(__xludf.DUMMYFUNCTION("""COMPUTED_VALUE"""),170.0)</f>
        <v>170</v>
      </c>
      <c r="AH19" s="320">
        <f>IFERROR(__xludf.DUMMYFUNCTION("""COMPUTED_VALUE"""),48.85)</f>
        <v>48.85</v>
      </c>
      <c r="AI19" s="320">
        <f>IFERROR(__xludf.DUMMYFUNCTION("""COMPUTED_VALUE"""),9.2)</f>
        <v>9.2</v>
      </c>
      <c r="AJ19" s="320">
        <f>IFERROR(__xludf.DUMMYFUNCTION("""COMPUTED_VALUE"""),1.22)</f>
        <v>1.22</v>
      </c>
      <c r="AK19" s="320">
        <f>IFERROR(__xludf.DUMMYFUNCTION("""COMPUTED_VALUE"""),0.1096)</f>
        <v>0.1096</v>
      </c>
      <c r="AL19" s="320">
        <f>IFERROR(__xludf.DUMMYFUNCTION("""COMPUTED_VALUE"""),24.01)</f>
        <v>24.01</v>
      </c>
      <c r="AM19" s="320">
        <f>IFERROR(__xludf.DUMMYFUNCTION("""COMPUTED_VALUE"""),293.97)</f>
        <v>293.97</v>
      </c>
      <c r="AN19" s="320">
        <f>IFERROR(__xludf.DUMMYFUNCTION("""COMPUTED_VALUE"""),38.82)</f>
        <v>38.82</v>
      </c>
      <c r="AO19" s="320">
        <f>IFERROR(__xludf.DUMMYFUNCTION("""COMPUTED_VALUE"""),9.32)</f>
        <v>9.32</v>
      </c>
    </row>
    <row r="20" ht="15.0" customHeight="1">
      <c r="A20" s="330">
        <f>IFERROR(__xludf.DUMMYFUNCTION("""COMPUTED_VALUE"""),46053.0)</f>
        <v>46053</v>
      </c>
      <c r="B20" s="319" t="str">
        <f>IFERROR(__xludf.DUMMYFUNCTION("""COMPUTED_VALUE"""),"A. 0")</f>
        <v>A. 0</v>
      </c>
      <c r="C20" s="320">
        <f>IFERROR(__xludf.DUMMYFUNCTION("""COMPUTED_VALUE"""),21448.0)</f>
        <v>21448</v>
      </c>
      <c r="D20" s="320">
        <f>IFERROR(__xludf.DUMMYFUNCTION("""COMPUTED_VALUE"""),19.23)</f>
        <v>19.23</v>
      </c>
      <c r="E20" s="320">
        <f>IFERROR(__xludf.DUMMYFUNCTION("""COMPUTED_VALUE"""),0.0)</f>
        <v>0</v>
      </c>
      <c r="F20" s="320">
        <f>IFERROR(__xludf.DUMMYFUNCTION("""COMPUTED_VALUE"""),0.0)</f>
        <v>0</v>
      </c>
      <c r="G20" s="320">
        <f>IFERROR(__xludf.DUMMYFUNCTION("""COMPUTED_VALUE"""),0.0)</f>
        <v>0</v>
      </c>
      <c r="H20" s="106"/>
      <c r="I20" s="320">
        <f>IFERROR(__xludf.DUMMYFUNCTION("""COMPUTED_VALUE"""),6.06)</f>
        <v>6.06</v>
      </c>
      <c r="J20" s="320">
        <f>IFERROR(__xludf.DUMMYFUNCTION("""COMPUTED_VALUE"""),2.46)</f>
        <v>2.46</v>
      </c>
      <c r="K20" s="320">
        <f>IFERROR(__xludf.DUMMYFUNCTION("""COMPUTED_VALUE"""),0.06)</f>
        <v>0.06</v>
      </c>
      <c r="L20" s="320">
        <f>IFERROR(__xludf.DUMMYFUNCTION("""COMPUTED_VALUE"""),0.0224)</f>
        <v>0.0224</v>
      </c>
      <c r="M20" s="320">
        <f>IFERROR(__xludf.DUMMYFUNCTION("""COMPUTED_VALUE"""),0.9829)</f>
        <v>0.9829</v>
      </c>
      <c r="N20" s="320">
        <f>IFERROR(__xludf.DUMMYFUNCTION("""COMPUTED_VALUE"""),0.8077)</f>
        <v>0.8077</v>
      </c>
      <c r="O20" s="320">
        <f>IFERROR(__xludf.DUMMYFUNCTION("""COMPUTED_VALUE"""),44.6746)</f>
        <v>44.6746</v>
      </c>
      <c r="P20" s="320">
        <f>IFERROR(__xludf.DUMMYFUNCTION("""COMPUTED_VALUE"""),24.25)</f>
        <v>24.25</v>
      </c>
      <c r="Q20" s="320">
        <f>IFERROR(__xludf.DUMMYFUNCTION("""COMPUTED_VALUE"""),24.11)</f>
        <v>24.11</v>
      </c>
      <c r="R20" s="320">
        <f>IFERROR(__xludf.DUMMYFUNCTION("""COMPUTED_VALUE"""),0.14)</f>
        <v>0.14</v>
      </c>
      <c r="S20" s="320">
        <f>IFERROR(__xludf.DUMMYFUNCTION("""COMPUTED_VALUE"""),0.0)</f>
        <v>0</v>
      </c>
      <c r="T20" s="320">
        <f>IFERROR(__xludf.DUMMYFUNCTION("""COMPUTED_VALUE"""),24.25)</f>
        <v>24.25</v>
      </c>
      <c r="U20" s="320">
        <f>IFERROR(__xludf.DUMMYFUNCTION("""COMPUTED_VALUE"""),2.37)</f>
        <v>2.37</v>
      </c>
      <c r="V20" s="320">
        <f>IFERROR(__xludf.DUMMYFUNCTION("""COMPUTED_VALUE"""),0.9622)</f>
        <v>0.9622</v>
      </c>
      <c r="W20" s="320">
        <f>IFERROR(__xludf.DUMMYFUNCTION("""COMPUTED_VALUE"""),0.0)</f>
        <v>0</v>
      </c>
      <c r="X20" s="320">
        <f>IFERROR(__xludf.DUMMYFUNCTION("""COMPUTED_VALUE"""),291.0)</f>
        <v>291</v>
      </c>
      <c r="Y20" s="320">
        <f>IFERROR(__xludf.DUMMYFUNCTION("""COMPUTED_VALUE"""),3004.0)</f>
        <v>3004</v>
      </c>
      <c r="Z20" s="320">
        <f>IFERROR(__xludf.DUMMYFUNCTION("""COMPUTED_VALUE"""),12848.0)</f>
        <v>12848</v>
      </c>
      <c r="AA20" s="320">
        <f>IFERROR(__xludf.DUMMYFUNCTION("""COMPUTED_VALUE"""),48.7359)</f>
        <v>48.7359</v>
      </c>
      <c r="AB20" s="320">
        <f>IFERROR(__xludf.DUMMYFUNCTION("""COMPUTED_VALUE"""),0.5387)</f>
        <v>0.5387</v>
      </c>
      <c r="AC20" s="106"/>
      <c r="AD20" s="106"/>
      <c r="AE20" s="106"/>
      <c r="AF20" s="106"/>
      <c r="AG20" s="106"/>
      <c r="AH20" s="320">
        <f>IFERROR(__xludf.DUMMYFUNCTION("""COMPUTED_VALUE"""),0.0)</f>
        <v>0</v>
      </c>
      <c r="AI20" s="320">
        <f>IFERROR(__xludf.DUMMYFUNCTION("""COMPUTED_VALUE"""),0.0)</f>
        <v>0</v>
      </c>
      <c r="AJ20" s="320">
        <f>IFERROR(__xludf.DUMMYFUNCTION("""COMPUTED_VALUE"""),0.0)</f>
        <v>0</v>
      </c>
      <c r="AK20" s="320">
        <f>IFERROR(__xludf.DUMMYFUNCTION("""COMPUTED_VALUE"""),0.3127)</f>
        <v>0.3127</v>
      </c>
      <c r="AL20" s="320">
        <f>IFERROR(__xludf.DUMMYFUNCTION("""COMPUTED_VALUE"""),17.8)</f>
        <v>17.8</v>
      </c>
      <c r="AM20" s="320">
        <f>IFERROR(__xludf.DUMMYFUNCTION("""COMPUTED_VALUE"""),6.31)</f>
        <v>6.31</v>
      </c>
      <c r="AN20" s="331"/>
      <c r="AO20" s="331"/>
    </row>
    <row r="21" ht="15.75" customHeight="1">
      <c r="A21" s="330">
        <f>IFERROR(__xludf.DUMMYFUNCTION("""COMPUTED_VALUE"""),46053.0)</f>
        <v>46053</v>
      </c>
      <c r="B21" s="319" t="str">
        <f>IFERROR(__xludf.DUMMYFUNCTION("""COMPUTED_VALUE"""),"B. 1-9")</f>
        <v>B. 1-9</v>
      </c>
      <c r="C21" s="320">
        <f>IFERROR(__xludf.DUMMYFUNCTION("""COMPUTED_VALUE"""),41738.0)</f>
        <v>41738</v>
      </c>
      <c r="D21" s="320">
        <f>IFERROR(__xludf.DUMMYFUNCTION("""COMPUTED_VALUE"""),37.42)</f>
        <v>37.42</v>
      </c>
      <c r="E21" s="320">
        <f>IFERROR(__xludf.DUMMYFUNCTION("""COMPUTED_VALUE"""),0.0)</f>
        <v>0</v>
      </c>
      <c r="F21" s="320">
        <f>IFERROR(__xludf.DUMMYFUNCTION("""COMPUTED_VALUE"""),0.0)</f>
        <v>0</v>
      </c>
      <c r="G21" s="320">
        <f>IFERROR(__xludf.DUMMYFUNCTION("""COMPUTED_VALUE"""),0.0)</f>
        <v>0</v>
      </c>
      <c r="H21" s="106"/>
      <c r="I21" s="320">
        <f>IFERROR(__xludf.DUMMYFUNCTION("""COMPUTED_VALUE"""),28.76)</f>
        <v>28.76</v>
      </c>
      <c r="J21" s="320">
        <f>IFERROR(__xludf.DUMMYFUNCTION("""COMPUTED_VALUE"""),12.93)</f>
        <v>12.93</v>
      </c>
      <c r="K21" s="320">
        <f>IFERROR(__xludf.DUMMYFUNCTION("""COMPUTED_VALUE"""),5.43)</f>
        <v>5.43</v>
      </c>
      <c r="L21" s="320">
        <f>IFERROR(__xludf.DUMMYFUNCTION("""COMPUTED_VALUE"""),0.4201)</f>
        <v>0.4201</v>
      </c>
      <c r="M21" s="320">
        <f>IFERROR(__xludf.DUMMYFUNCTION("""COMPUTED_VALUE"""),0.7513)</f>
        <v>0.7513</v>
      </c>
      <c r="N21" s="320">
        <f>IFERROR(__xludf.DUMMYFUNCTION("""COMPUTED_VALUE"""),0.5573)</f>
        <v>0.5573</v>
      </c>
      <c r="O21" s="320">
        <f>IFERROR(__xludf.DUMMYFUNCTION("""COMPUTED_VALUE"""),2.3802)</f>
        <v>2.3802</v>
      </c>
      <c r="P21" s="320">
        <f>IFERROR(__xludf.DUMMYFUNCTION("""COMPUTED_VALUE"""),52.58)</f>
        <v>52.58</v>
      </c>
      <c r="Q21" s="320">
        <f>IFERROR(__xludf.DUMMYFUNCTION("""COMPUTED_VALUE"""),41.38)</f>
        <v>41.38</v>
      </c>
      <c r="R21" s="320">
        <f>IFERROR(__xludf.DUMMYFUNCTION("""COMPUTED_VALUE"""),11.2)</f>
        <v>11.2</v>
      </c>
      <c r="S21" s="320">
        <f>IFERROR(__xludf.DUMMYFUNCTION("""COMPUTED_VALUE"""),1.49)</f>
        <v>1.49</v>
      </c>
      <c r="T21" s="320">
        <f>IFERROR(__xludf.DUMMYFUNCTION("""COMPUTED_VALUE"""),51.09)</f>
        <v>51.09</v>
      </c>
      <c r="U21" s="320">
        <f>IFERROR(__xludf.DUMMYFUNCTION("""COMPUTED_VALUE"""),53.7)</f>
        <v>53.7</v>
      </c>
      <c r="V21" s="320">
        <f>IFERROR(__xludf.DUMMYFUNCTION("""COMPUTED_VALUE"""),4.153)</f>
        <v>4.153</v>
      </c>
      <c r="W21" s="320">
        <f>IFERROR(__xludf.DUMMYFUNCTION("""COMPUTED_VALUE"""),2.84)</f>
        <v>2.84</v>
      </c>
      <c r="X21" s="320">
        <f>IFERROR(__xludf.DUMMYFUNCTION("""COMPUTED_VALUE"""),142.0)</f>
        <v>142</v>
      </c>
      <c r="Y21" s="320">
        <f>IFERROR(__xludf.DUMMYFUNCTION("""COMPUTED_VALUE"""),820.0)</f>
        <v>820</v>
      </c>
      <c r="Z21" s="320">
        <f>IFERROR(__xludf.DUMMYFUNCTION("""COMPUTED_VALUE"""),5293.0)</f>
        <v>5293</v>
      </c>
      <c r="AA21" s="320">
        <f>IFERROR(__xludf.DUMMYFUNCTION("""COMPUTED_VALUE"""),48.9334)</f>
        <v>48.9334</v>
      </c>
      <c r="AB21" s="320">
        <f>IFERROR(__xludf.DUMMYFUNCTION("""COMPUTED_VALUE"""),0.5568)</f>
        <v>0.5568</v>
      </c>
      <c r="AC21" s="320">
        <f>IFERROR(__xludf.DUMMYFUNCTION("""COMPUTED_VALUE"""),3.85)</f>
        <v>3.85</v>
      </c>
      <c r="AD21" s="320">
        <f>IFERROR(__xludf.DUMMYFUNCTION("""COMPUTED_VALUE"""),1.0)</f>
        <v>1</v>
      </c>
      <c r="AE21" s="320">
        <f>IFERROR(__xludf.DUMMYFUNCTION("""COMPUTED_VALUE"""),3.0)</f>
        <v>3</v>
      </c>
      <c r="AF21" s="320">
        <f>IFERROR(__xludf.DUMMYFUNCTION("""COMPUTED_VALUE"""),5.0)</f>
        <v>5</v>
      </c>
      <c r="AG21" s="320">
        <f>IFERROR(__xludf.DUMMYFUNCTION("""COMPUTED_VALUE"""),8.0)</f>
        <v>8</v>
      </c>
      <c r="AH21" s="320">
        <f>IFERROR(__xludf.DUMMYFUNCTION("""COMPUTED_VALUE"""),72.59)</f>
        <v>72.59</v>
      </c>
      <c r="AI21" s="320">
        <f>IFERROR(__xludf.DUMMYFUNCTION("""COMPUTED_VALUE"""),30.36)</f>
        <v>30.36</v>
      </c>
      <c r="AJ21" s="320">
        <f>IFERROR(__xludf.DUMMYFUNCTION("""COMPUTED_VALUE"""),7.42)</f>
        <v>7.42</v>
      </c>
      <c r="AK21" s="320">
        <f>IFERROR(__xludf.DUMMYFUNCTION("""COMPUTED_VALUE"""),0.2705)</f>
        <v>0.2705</v>
      </c>
      <c r="AL21" s="320">
        <f>IFERROR(__xludf.DUMMYFUNCTION("""COMPUTED_VALUE"""),20.98)</f>
        <v>20.98</v>
      </c>
      <c r="AM21" s="320">
        <f>IFERROR(__xludf.DUMMYFUNCTION("""COMPUTED_VALUE"""),20.41)</f>
        <v>20.41</v>
      </c>
      <c r="AN21" s="320">
        <f>IFERROR(__xludf.DUMMYFUNCTION("""COMPUTED_VALUE"""),39.78)</f>
        <v>39.78</v>
      </c>
      <c r="AO21" s="320">
        <f>IFERROR(__xludf.DUMMYFUNCTION("""COMPUTED_VALUE"""),8.35)</f>
        <v>8.35</v>
      </c>
    </row>
    <row r="22" ht="15.75" customHeight="1">
      <c r="A22" s="330">
        <f>IFERROR(__xludf.DUMMYFUNCTION("""COMPUTED_VALUE"""),46053.0)</f>
        <v>46053</v>
      </c>
      <c r="B22" s="319" t="str">
        <f>IFERROR(__xludf.DUMMYFUNCTION("""COMPUTED_VALUE"""),"C. 10-19")</f>
        <v>C. 10-19</v>
      </c>
      <c r="C22" s="320">
        <f>IFERROR(__xludf.DUMMYFUNCTION("""COMPUTED_VALUE"""),26301.0)</f>
        <v>26301</v>
      </c>
      <c r="D22" s="320">
        <f>IFERROR(__xludf.DUMMYFUNCTION("""COMPUTED_VALUE"""),23.58)</f>
        <v>23.58</v>
      </c>
      <c r="E22" s="320">
        <f>IFERROR(__xludf.DUMMYFUNCTION("""COMPUTED_VALUE"""),0.0)</f>
        <v>0</v>
      </c>
      <c r="F22" s="320">
        <f>IFERROR(__xludf.DUMMYFUNCTION("""COMPUTED_VALUE"""),0.0)</f>
        <v>0</v>
      </c>
      <c r="G22" s="320">
        <f>IFERROR(__xludf.DUMMYFUNCTION("""COMPUTED_VALUE"""),0.0)</f>
        <v>0</v>
      </c>
      <c r="H22" s="106"/>
      <c r="I22" s="320">
        <f>IFERROR(__xludf.DUMMYFUNCTION("""COMPUTED_VALUE"""),55.16)</f>
        <v>55.16</v>
      </c>
      <c r="J22" s="320">
        <f>IFERROR(__xludf.DUMMYFUNCTION("""COMPUTED_VALUE"""),25.74)</f>
        <v>25.74</v>
      </c>
      <c r="K22" s="320">
        <f>IFERROR(__xludf.DUMMYFUNCTION("""COMPUTED_VALUE"""),14.19)</f>
        <v>14.19</v>
      </c>
      <c r="L22" s="320">
        <f>IFERROR(__xludf.DUMMYFUNCTION("""COMPUTED_VALUE"""),0.5511)</f>
        <v>0.5511</v>
      </c>
      <c r="M22" s="320">
        <f>IFERROR(__xludf.DUMMYFUNCTION("""COMPUTED_VALUE"""),0.6435)</f>
        <v>0.6435</v>
      </c>
      <c r="N22" s="320">
        <f>IFERROR(__xludf.DUMMYFUNCTION("""COMPUTED_VALUE"""),0.4535)</f>
        <v>0.4535</v>
      </c>
      <c r="O22" s="320">
        <f>IFERROR(__xludf.DUMMYFUNCTION("""COMPUTED_VALUE"""),1.8147)</f>
        <v>1.8147</v>
      </c>
      <c r="P22" s="320">
        <f>IFERROR(__xludf.DUMMYFUNCTION("""COMPUTED_VALUE"""),101.14)</f>
        <v>101.14</v>
      </c>
      <c r="Q22" s="320">
        <f>IFERROR(__xludf.DUMMYFUNCTION("""COMPUTED_VALUE"""),71.1)</f>
        <v>71.1</v>
      </c>
      <c r="R22" s="320">
        <f>IFERROR(__xludf.DUMMYFUNCTION("""COMPUTED_VALUE"""),30.04)</f>
        <v>30.04</v>
      </c>
      <c r="S22" s="320">
        <f>IFERROR(__xludf.DUMMYFUNCTION("""COMPUTED_VALUE"""),3.96)</f>
        <v>3.96</v>
      </c>
      <c r="T22" s="320">
        <f>IFERROR(__xludf.DUMMYFUNCTION("""COMPUTED_VALUE"""),97.18)</f>
        <v>97.18</v>
      </c>
      <c r="U22" s="320">
        <f>IFERROR(__xludf.DUMMYFUNCTION("""COMPUTED_VALUE"""),102.17)</f>
        <v>102.17</v>
      </c>
      <c r="V22" s="320">
        <f>IFERROR(__xludf.DUMMYFUNCTION("""COMPUTED_VALUE"""),3.9684)</f>
        <v>3.9684</v>
      </c>
      <c r="W22" s="320">
        <f>IFERROR(__xludf.DUMMYFUNCTION("""COMPUTED_VALUE"""),3.92)</f>
        <v>3.92</v>
      </c>
      <c r="X22" s="320">
        <f>IFERROR(__xludf.DUMMYFUNCTION("""COMPUTED_VALUE"""),136.0)</f>
        <v>136</v>
      </c>
      <c r="Y22" s="320">
        <f>IFERROR(__xludf.DUMMYFUNCTION("""COMPUTED_VALUE"""),855.0)</f>
        <v>855</v>
      </c>
      <c r="Z22" s="320">
        <f>IFERROR(__xludf.DUMMYFUNCTION("""COMPUTED_VALUE"""),5573.0)</f>
        <v>5573</v>
      </c>
      <c r="AA22" s="320">
        <f>IFERROR(__xludf.DUMMYFUNCTION("""COMPUTED_VALUE"""),52.2089)</f>
        <v>52.2089</v>
      </c>
      <c r="AB22" s="320">
        <f>IFERROR(__xludf.DUMMYFUNCTION("""COMPUTED_VALUE"""),0.6393)</f>
        <v>0.6393</v>
      </c>
      <c r="AC22" s="320">
        <f>IFERROR(__xludf.DUMMYFUNCTION("""COMPUTED_VALUE"""),9.71)</f>
        <v>9.71</v>
      </c>
      <c r="AD22" s="320">
        <f>IFERROR(__xludf.DUMMYFUNCTION("""COMPUTED_VALUE"""),4.0)</f>
        <v>4</v>
      </c>
      <c r="AE22" s="320">
        <f>IFERROR(__xludf.DUMMYFUNCTION("""COMPUTED_VALUE"""),8.0)</f>
        <v>8</v>
      </c>
      <c r="AF22" s="320">
        <f>IFERROR(__xludf.DUMMYFUNCTION("""COMPUTED_VALUE"""),13.0)</f>
        <v>13</v>
      </c>
      <c r="AG22" s="320">
        <f>IFERROR(__xludf.DUMMYFUNCTION("""COMPUTED_VALUE"""),19.0)</f>
        <v>19</v>
      </c>
      <c r="AH22" s="320">
        <f>IFERROR(__xludf.DUMMYFUNCTION("""COMPUTED_VALUE"""),65.05)</f>
        <v>65.05</v>
      </c>
      <c r="AI22" s="320">
        <f>IFERROR(__xludf.DUMMYFUNCTION("""COMPUTED_VALUE"""),27.81)</f>
        <v>27.81</v>
      </c>
      <c r="AJ22" s="320">
        <f>IFERROR(__xludf.DUMMYFUNCTION("""COMPUTED_VALUE"""),3.86)</f>
        <v>3.86</v>
      </c>
      <c r="AK22" s="320">
        <f>IFERROR(__xludf.DUMMYFUNCTION("""COMPUTED_VALUE"""),0.2074)</f>
        <v>0.2074</v>
      </c>
      <c r="AL22" s="320">
        <f>IFERROR(__xludf.DUMMYFUNCTION("""COMPUTED_VALUE"""),22.49)</f>
        <v>22.49</v>
      </c>
      <c r="AM22" s="320">
        <f>IFERROR(__xludf.DUMMYFUNCTION("""COMPUTED_VALUE"""),48.62)</f>
        <v>48.62</v>
      </c>
      <c r="AN22" s="320">
        <f>IFERROR(__xludf.DUMMYFUNCTION("""COMPUTED_VALUE"""),45.03)</f>
        <v>45.03</v>
      </c>
      <c r="AO22" s="320">
        <f>IFERROR(__xludf.DUMMYFUNCTION("""COMPUTED_VALUE"""),10.13)</f>
        <v>10.13</v>
      </c>
    </row>
    <row r="23" ht="15.75" customHeight="1">
      <c r="A23" s="330">
        <f>IFERROR(__xludf.DUMMYFUNCTION("""COMPUTED_VALUE"""),46053.0)</f>
        <v>46053</v>
      </c>
      <c r="B23" s="319" t="str">
        <f>IFERROR(__xludf.DUMMYFUNCTION("""COMPUTED_VALUE"""),"D. 20-39")</f>
        <v>D. 20-39</v>
      </c>
      <c r="C23" s="320">
        <f>IFERROR(__xludf.DUMMYFUNCTION("""COMPUTED_VALUE"""),15301.0)</f>
        <v>15301</v>
      </c>
      <c r="D23" s="320">
        <f>IFERROR(__xludf.DUMMYFUNCTION("""COMPUTED_VALUE"""),13.72)</f>
        <v>13.72</v>
      </c>
      <c r="E23" s="320">
        <f>IFERROR(__xludf.DUMMYFUNCTION("""COMPUTED_VALUE"""),0.0)</f>
        <v>0</v>
      </c>
      <c r="F23" s="320">
        <f>IFERROR(__xludf.DUMMYFUNCTION("""COMPUTED_VALUE"""),0.0)</f>
        <v>0</v>
      </c>
      <c r="G23" s="320">
        <f>IFERROR(__xludf.DUMMYFUNCTION("""COMPUTED_VALUE"""),0.0)</f>
        <v>0</v>
      </c>
      <c r="H23" s="106"/>
      <c r="I23" s="320">
        <f>IFERROR(__xludf.DUMMYFUNCTION("""COMPUTED_VALUE"""),82.3)</f>
        <v>82.3</v>
      </c>
      <c r="J23" s="320">
        <f>IFERROR(__xludf.DUMMYFUNCTION("""COMPUTED_VALUE"""),40.54)</f>
        <v>40.54</v>
      </c>
      <c r="K23" s="320">
        <f>IFERROR(__xludf.DUMMYFUNCTION("""COMPUTED_VALUE"""),27.03)</f>
        <v>27.03</v>
      </c>
      <c r="L23" s="320">
        <f>IFERROR(__xludf.DUMMYFUNCTION("""COMPUTED_VALUE"""),0.6667)</f>
        <v>0.6667</v>
      </c>
      <c r="M23" s="320">
        <f>IFERROR(__xludf.DUMMYFUNCTION("""COMPUTED_VALUE"""),0.5288)</f>
        <v>0.5288</v>
      </c>
      <c r="N23" s="320">
        <f>IFERROR(__xludf.DUMMYFUNCTION("""COMPUTED_VALUE"""),0.3715)</f>
        <v>0.3715</v>
      </c>
      <c r="O23" s="320">
        <f>IFERROR(__xludf.DUMMYFUNCTION("""COMPUTED_VALUE"""),1.5)</f>
        <v>1.5</v>
      </c>
      <c r="P23" s="320">
        <f>IFERROR(__xludf.DUMMYFUNCTION("""COMPUTED_VALUE"""),169.69)</f>
        <v>169.69</v>
      </c>
      <c r="Q23" s="320">
        <f>IFERROR(__xludf.DUMMYFUNCTION("""COMPUTED_VALUE"""),112.7)</f>
        <v>112.7</v>
      </c>
      <c r="R23" s="320">
        <f>IFERROR(__xludf.DUMMYFUNCTION("""COMPUTED_VALUE"""),56.99)</f>
        <v>56.99</v>
      </c>
      <c r="S23" s="320">
        <f>IFERROR(__xludf.DUMMYFUNCTION("""COMPUTED_VALUE"""),5.09)</f>
        <v>5.09</v>
      </c>
      <c r="T23" s="320">
        <f>IFERROR(__xludf.DUMMYFUNCTION("""COMPUTED_VALUE"""),164.6)</f>
        <v>164.6</v>
      </c>
      <c r="U23" s="320">
        <f>IFERROR(__xludf.DUMMYFUNCTION("""COMPUTED_VALUE"""),176.57)</f>
        <v>176.57</v>
      </c>
      <c r="V23" s="320">
        <f>IFERROR(__xludf.DUMMYFUNCTION("""COMPUTED_VALUE"""),4.3552)</f>
        <v>4.3552</v>
      </c>
      <c r="W23" s="320">
        <f>IFERROR(__xludf.DUMMYFUNCTION("""COMPUTED_VALUE"""),3.0)</f>
        <v>3</v>
      </c>
      <c r="X23" s="320">
        <f>IFERROR(__xludf.DUMMYFUNCTION("""COMPUTED_VALUE"""),152.0)</f>
        <v>152</v>
      </c>
      <c r="Y23" s="320">
        <f>IFERROR(__xludf.DUMMYFUNCTION("""COMPUTED_VALUE"""),1091.0)</f>
        <v>1091</v>
      </c>
      <c r="Z23" s="320">
        <f>IFERROR(__xludf.DUMMYFUNCTION("""COMPUTED_VALUE"""),6459.0)</f>
        <v>6459</v>
      </c>
      <c r="AA23" s="320">
        <f>IFERROR(__xludf.DUMMYFUNCTION("""COMPUTED_VALUE"""),55.2173)</f>
        <v>55.2173</v>
      </c>
      <c r="AB23" s="320">
        <f>IFERROR(__xludf.DUMMYFUNCTION("""COMPUTED_VALUE"""),0.74)</f>
        <v>0.74</v>
      </c>
      <c r="AC23" s="320">
        <f>IFERROR(__xludf.DUMMYFUNCTION("""COMPUTED_VALUE"""),18.14)</f>
        <v>18.14</v>
      </c>
      <c r="AD23" s="320">
        <f>IFERROR(__xludf.DUMMYFUNCTION("""COMPUTED_VALUE"""),8.0)</f>
        <v>8</v>
      </c>
      <c r="AE23" s="320">
        <f>IFERROR(__xludf.DUMMYFUNCTION("""COMPUTED_VALUE"""),15.0)</f>
        <v>15</v>
      </c>
      <c r="AF23" s="320">
        <f>IFERROR(__xludf.DUMMYFUNCTION("""COMPUTED_VALUE"""),25.0)</f>
        <v>25</v>
      </c>
      <c r="AG23" s="320">
        <f>IFERROR(__xludf.DUMMYFUNCTION("""COMPUTED_VALUE"""),37.0)</f>
        <v>37</v>
      </c>
      <c r="AH23" s="320">
        <f>IFERROR(__xludf.DUMMYFUNCTION("""COMPUTED_VALUE"""),62.65)</f>
        <v>62.65</v>
      </c>
      <c r="AI23" s="320">
        <f>IFERROR(__xludf.DUMMYFUNCTION("""COMPUTED_VALUE"""),24.19)</f>
        <v>24.19</v>
      </c>
      <c r="AJ23" s="320">
        <f>IFERROR(__xludf.DUMMYFUNCTION("""COMPUTED_VALUE"""),6.45)</f>
        <v>6.45</v>
      </c>
      <c r="AK23" s="320">
        <f>IFERROR(__xludf.DUMMYFUNCTION("""COMPUTED_VALUE"""),0.1923)</f>
        <v>0.1923</v>
      </c>
      <c r="AL23" s="320">
        <f>IFERROR(__xludf.DUMMYFUNCTION("""COMPUTED_VALUE"""),22.86)</f>
        <v>22.86</v>
      </c>
      <c r="AM23" s="320">
        <f>IFERROR(__xludf.DUMMYFUNCTION("""COMPUTED_VALUE"""),89.84)</f>
        <v>89.84</v>
      </c>
      <c r="AN23" s="320">
        <f>IFERROR(__xludf.DUMMYFUNCTION("""COMPUTED_VALUE"""),46.23)</f>
        <v>46.23</v>
      </c>
      <c r="AO23" s="320">
        <f>IFERROR(__xludf.DUMMYFUNCTION("""COMPUTED_VALUE"""),10.57)</f>
        <v>10.57</v>
      </c>
    </row>
    <row r="24" ht="15.75" customHeight="1">
      <c r="A24" s="330">
        <f>IFERROR(__xludf.DUMMYFUNCTION("""COMPUTED_VALUE"""),46053.0)</f>
        <v>46053</v>
      </c>
      <c r="B24" s="319" t="str">
        <f>IFERROR(__xludf.DUMMYFUNCTION("""COMPUTED_VALUE"""),"E. 40-99")</f>
        <v>E. 40-99</v>
      </c>
      <c r="C24" s="320">
        <f>IFERROR(__xludf.DUMMYFUNCTION("""COMPUTED_VALUE"""),6026.0)</f>
        <v>6026</v>
      </c>
      <c r="D24" s="320">
        <f>IFERROR(__xludf.DUMMYFUNCTION("""COMPUTED_VALUE"""),5.4)</f>
        <v>5.4</v>
      </c>
      <c r="E24" s="320">
        <f>IFERROR(__xludf.DUMMYFUNCTION("""COMPUTED_VALUE"""),0.0)</f>
        <v>0</v>
      </c>
      <c r="F24" s="320">
        <f>IFERROR(__xludf.DUMMYFUNCTION("""COMPUTED_VALUE"""),0.0)</f>
        <v>0</v>
      </c>
      <c r="G24" s="320">
        <f>IFERROR(__xludf.DUMMYFUNCTION("""COMPUTED_VALUE"""),0.0)</f>
        <v>0</v>
      </c>
      <c r="H24" s="106"/>
      <c r="I24" s="320">
        <f>IFERROR(__xludf.DUMMYFUNCTION("""COMPUTED_VALUE"""),133.53)</f>
        <v>133.53</v>
      </c>
      <c r="J24" s="320">
        <f>IFERROR(__xludf.DUMMYFUNCTION("""COMPUTED_VALUE"""),70.76)</f>
        <v>70.76</v>
      </c>
      <c r="K24" s="320">
        <f>IFERROR(__xludf.DUMMYFUNCTION("""COMPUTED_VALUE"""),56.23)</f>
        <v>56.23</v>
      </c>
      <c r="L24" s="320">
        <f>IFERROR(__xludf.DUMMYFUNCTION("""COMPUTED_VALUE"""),0.7947)</f>
        <v>0.7947</v>
      </c>
      <c r="M24" s="320">
        <f>IFERROR(__xludf.DUMMYFUNCTION("""COMPUTED_VALUE"""),0.3857)</f>
        <v>0.3857</v>
      </c>
      <c r="N24" s="320">
        <f>IFERROR(__xludf.DUMMYFUNCTION("""COMPUTED_VALUE"""),0.2781)</f>
        <v>0.2781</v>
      </c>
      <c r="O24" s="320">
        <f>IFERROR(__xludf.DUMMYFUNCTION("""COMPUTED_VALUE"""),1.2584)</f>
        <v>1.2584</v>
      </c>
      <c r="P24" s="320">
        <f>IFERROR(__xludf.DUMMYFUNCTION("""COMPUTED_VALUE"""),331.1)</f>
        <v>331.1</v>
      </c>
      <c r="Q24" s="320">
        <f>IFERROR(__xludf.DUMMYFUNCTION("""COMPUTED_VALUE"""),212.18)</f>
        <v>212.18</v>
      </c>
      <c r="R24" s="320">
        <f>IFERROR(__xludf.DUMMYFUNCTION("""COMPUTED_VALUE"""),118.93)</f>
        <v>118.93</v>
      </c>
      <c r="S24" s="320">
        <f>IFERROR(__xludf.DUMMYFUNCTION("""COMPUTED_VALUE"""),6.86)</f>
        <v>6.86</v>
      </c>
      <c r="T24" s="320">
        <f>IFERROR(__xludf.DUMMYFUNCTION("""COMPUTED_VALUE"""),324.24)</f>
        <v>324.24</v>
      </c>
      <c r="U24" s="320">
        <f>IFERROR(__xludf.DUMMYFUNCTION("""COMPUTED_VALUE"""),321.74)</f>
        <v>321.74</v>
      </c>
      <c r="V24" s="320">
        <f>IFERROR(__xludf.DUMMYFUNCTION("""COMPUTED_VALUE"""),4.5471)</f>
        <v>4.5471</v>
      </c>
      <c r="W24" s="320">
        <f>IFERROR(__xludf.DUMMYFUNCTION("""COMPUTED_VALUE"""),2.07)</f>
        <v>2.07</v>
      </c>
      <c r="X24" s="320">
        <f>IFERROR(__xludf.DUMMYFUNCTION("""COMPUTED_VALUE"""),293.0)</f>
        <v>293</v>
      </c>
      <c r="Y24" s="320">
        <f>IFERROR(__xludf.DUMMYFUNCTION("""COMPUTED_VALUE"""),2403.0)</f>
        <v>2403</v>
      </c>
      <c r="Z24" s="320">
        <f>IFERROR(__xludf.DUMMYFUNCTION("""COMPUTED_VALUE"""),9213.0)</f>
        <v>9213</v>
      </c>
      <c r="AA24" s="320">
        <f>IFERROR(__xludf.DUMMYFUNCTION("""COMPUTED_VALUE"""),59.1654)</f>
        <v>59.1654</v>
      </c>
      <c r="AB24" s="320">
        <f>IFERROR(__xludf.DUMMYFUNCTION("""COMPUTED_VALUE"""),0.8278)</f>
        <v>0.8278</v>
      </c>
      <c r="AC24" s="320">
        <f>IFERROR(__xludf.DUMMYFUNCTION("""COMPUTED_VALUE"""),38.7)</f>
        <v>38.7</v>
      </c>
      <c r="AD24" s="320">
        <f>IFERROR(__xludf.DUMMYFUNCTION("""COMPUTED_VALUE"""),16.0)</f>
        <v>16</v>
      </c>
      <c r="AE24" s="320">
        <f>IFERROR(__xludf.DUMMYFUNCTION("""COMPUTED_VALUE"""),31.0)</f>
        <v>31</v>
      </c>
      <c r="AF24" s="320">
        <f>IFERROR(__xludf.DUMMYFUNCTION("""COMPUTED_VALUE"""),53.0)</f>
        <v>53</v>
      </c>
      <c r="AG24" s="320">
        <f>IFERROR(__xludf.DUMMYFUNCTION("""COMPUTED_VALUE"""),79.0)</f>
        <v>79</v>
      </c>
      <c r="AH24" s="320">
        <f>IFERROR(__xludf.DUMMYFUNCTION("""COMPUTED_VALUE"""),54.98)</f>
        <v>54.98</v>
      </c>
      <c r="AI24" s="320">
        <f>IFERROR(__xludf.DUMMYFUNCTION("""COMPUTED_VALUE"""),20.43)</f>
        <v>20.43</v>
      </c>
      <c r="AJ24" s="320">
        <f>IFERROR(__xludf.DUMMYFUNCTION("""COMPUTED_VALUE"""),4.6)</f>
        <v>4.6</v>
      </c>
      <c r="AK24" s="320">
        <f>IFERROR(__xludf.DUMMYFUNCTION("""COMPUTED_VALUE"""),0.1497)</f>
        <v>0.1497</v>
      </c>
      <c r="AL24" s="320">
        <f>IFERROR(__xludf.DUMMYFUNCTION("""COMPUTED_VALUE"""),23.38)</f>
        <v>23.38</v>
      </c>
      <c r="AM24" s="320">
        <f>IFERROR(__xludf.DUMMYFUNCTION("""COMPUTED_VALUE"""),188.79)</f>
        <v>188.79</v>
      </c>
      <c r="AN24" s="320">
        <f>IFERROR(__xludf.DUMMYFUNCTION("""COMPUTED_VALUE"""),47.81)</f>
        <v>47.81</v>
      </c>
      <c r="AO24" s="320">
        <f>IFERROR(__xludf.DUMMYFUNCTION("""COMPUTED_VALUE"""),11.18)</f>
        <v>11.18</v>
      </c>
    </row>
    <row r="25" ht="15.75" customHeight="1">
      <c r="A25" s="330">
        <f>IFERROR(__xludf.DUMMYFUNCTION("""COMPUTED_VALUE"""),46053.0)</f>
        <v>46053</v>
      </c>
      <c r="B25" s="319" t="str">
        <f>IFERROR(__xludf.DUMMYFUNCTION("""COMPUTED_VALUE"""),"F. 100+")</f>
        <v>F. 100+</v>
      </c>
      <c r="C25" s="320">
        <f>IFERROR(__xludf.DUMMYFUNCTION("""COMPUTED_VALUE"""),735.0)</f>
        <v>735</v>
      </c>
      <c r="D25" s="320">
        <f>IFERROR(__xludf.DUMMYFUNCTION("""COMPUTED_VALUE"""),0.66)</f>
        <v>0.66</v>
      </c>
      <c r="E25" s="320">
        <f>IFERROR(__xludf.DUMMYFUNCTION("""COMPUTED_VALUE"""),0.0)</f>
        <v>0</v>
      </c>
      <c r="F25" s="320">
        <f>IFERROR(__xludf.DUMMYFUNCTION("""COMPUTED_VALUE"""),0.0)</f>
        <v>0</v>
      </c>
      <c r="G25" s="320">
        <f>IFERROR(__xludf.DUMMYFUNCTION("""COMPUTED_VALUE"""),0.0)</f>
        <v>0</v>
      </c>
      <c r="H25" s="106"/>
      <c r="I25" s="320">
        <f>IFERROR(__xludf.DUMMYFUNCTION("""COMPUTED_VALUE"""),246.36)</f>
        <v>246.36</v>
      </c>
      <c r="J25" s="320">
        <f>IFERROR(__xludf.DUMMYFUNCTION("""COMPUTED_VALUE"""),146.54)</f>
        <v>146.54</v>
      </c>
      <c r="K25" s="320">
        <f>IFERROR(__xludf.DUMMYFUNCTION("""COMPUTED_VALUE"""),127.72)</f>
        <v>127.72</v>
      </c>
      <c r="L25" s="320">
        <f>IFERROR(__xludf.DUMMYFUNCTION("""COMPUTED_VALUE"""),0.8716)</f>
        <v>0.8716</v>
      </c>
      <c r="M25" s="320">
        <f>IFERROR(__xludf.DUMMYFUNCTION("""COMPUTED_VALUE"""),0.2767)</f>
        <v>0.2767</v>
      </c>
      <c r="N25" s="320">
        <f>IFERROR(__xludf.DUMMYFUNCTION("""COMPUTED_VALUE"""),0.2074)</f>
        <v>0.2074</v>
      </c>
      <c r="O25" s="320">
        <f>IFERROR(__xludf.DUMMYFUNCTION("""COMPUTED_VALUE"""),1.1474)</f>
        <v>1.1474</v>
      </c>
      <c r="P25" s="320">
        <f>IFERROR(__xludf.DUMMYFUNCTION("""COMPUTED_VALUE"""),651.36)</f>
        <v>651.36</v>
      </c>
      <c r="Q25" s="320">
        <f>IFERROR(__xludf.DUMMYFUNCTION("""COMPUTED_VALUE"""),380.66)</f>
        <v>380.66</v>
      </c>
      <c r="R25" s="320">
        <f>IFERROR(__xludf.DUMMYFUNCTION("""COMPUTED_VALUE"""),270.7)</f>
        <v>270.7</v>
      </c>
      <c r="S25" s="320">
        <f>IFERROR(__xludf.DUMMYFUNCTION("""COMPUTED_VALUE"""),0.5)</f>
        <v>0.5</v>
      </c>
      <c r="T25" s="320">
        <f>IFERROR(__xludf.DUMMYFUNCTION("""COMPUTED_VALUE"""),650.87)</f>
        <v>650.87</v>
      </c>
      <c r="U25" s="320">
        <f>IFERROR(__xludf.DUMMYFUNCTION("""COMPUTED_VALUE"""),660.75)</f>
        <v>660.75</v>
      </c>
      <c r="V25" s="320">
        <f>IFERROR(__xludf.DUMMYFUNCTION("""COMPUTED_VALUE"""),4.5089)</f>
        <v>4.5089</v>
      </c>
      <c r="W25" s="320">
        <f>IFERROR(__xludf.DUMMYFUNCTION("""COMPUTED_VALUE"""),0.08)</f>
        <v>0.08</v>
      </c>
      <c r="X25" s="320">
        <f>IFERROR(__xludf.DUMMYFUNCTION("""COMPUTED_VALUE"""),829.0)</f>
        <v>829</v>
      </c>
      <c r="Y25" s="320">
        <f>IFERROR(__xludf.DUMMYFUNCTION("""COMPUTED_VALUE"""),3679.0)</f>
        <v>3679</v>
      </c>
      <c r="Z25" s="320">
        <f>IFERROR(__xludf.DUMMYFUNCTION("""COMPUTED_VALUE"""),10853.0)</f>
        <v>10853</v>
      </c>
      <c r="AA25" s="320">
        <f>IFERROR(__xludf.DUMMYFUNCTION("""COMPUTED_VALUE"""),62.8769)</f>
        <v>62.8769</v>
      </c>
      <c r="AB25" s="320">
        <f>IFERROR(__xludf.DUMMYFUNCTION("""COMPUTED_VALUE"""),0.893)</f>
        <v>0.893</v>
      </c>
      <c r="AC25" s="320">
        <f>IFERROR(__xludf.DUMMYFUNCTION("""COMPUTED_VALUE"""),86.41)</f>
        <v>86.41</v>
      </c>
      <c r="AD25" s="320">
        <f>IFERROR(__xludf.DUMMYFUNCTION("""COMPUTED_VALUE"""),40.0)</f>
        <v>40</v>
      </c>
      <c r="AE25" s="320">
        <f>IFERROR(__xludf.DUMMYFUNCTION("""COMPUTED_VALUE"""),72.0)</f>
        <v>72</v>
      </c>
      <c r="AF25" s="320">
        <f>IFERROR(__xludf.DUMMYFUNCTION("""COMPUTED_VALUE"""),119.0)</f>
        <v>119</v>
      </c>
      <c r="AG25" s="320">
        <f>IFERROR(__xludf.DUMMYFUNCTION("""COMPUTED_VALUE"""),165.0)</f>
        <v>165</v>
      </c>
      <c r="AH25" s="320">
        <f>IFERROR(__xludf.DUMMYFUNCTION("""COMPUTED_VALUE"""),46.12)</f>
        <v>46.12</v>
      </c>
      <c r="AI25" s="320">
        <f>IFERROR(__xludf.DUMMYFUNCTION("""COMPUTED_VALUE"""),8.3)</f>
        <v>8.3</v>
      </c>
      <c r="AJ25" s="320">
        <f>IFERROR(__xludf.DUMMYFUNCTION("""COMPUTED_VALUE"""),1.77)</f>
        <v>1.77</v>
      </c>
      <c r="AK25" s="320">
        <f>IFERROR(__xludf.DUMMYFUNCTION("""COMPUTED_VALUE"""),0.102)</f>
        <v>0.102</v>
      </c>
      <c r="AL25" s="320">
        <f>IFERROR(__xludf.DUMMYFUNCTION("""COMPUTED_VALUE"""),24.0)</f>
        <v>24</v>
      </c>
      <c r="AM25" s="320">
        <f>IFERROR(__xludf.DUMMYFUNCTION("""COMPUTED_VALUE"""),356.66)</f>
        <v>356.66</v>
      </c>
      <c r="AN25" s="320">
        <f>IFERROR(__xludf.DUMMYFUNCTION("""COMPUTED_VALUE"""),48.9)</f>
        <v>48.9</v>
      </c>
      <c r="AO25" s="320">
        <f>IFERROR(__xludf.DUMMYFUNCTION("""COMPUTED_VALUE"""),11.74)</f>
        <v>11.74</v>
      </c>
    </row>
    <row r="26" ht="15.75" customHeight="1">
      <c r="A26" s="330">
        <f>IFERROR(__xludf.DUMMYFUNCTION("""COMPUTED_VALUE"""),46054.0)</f>
        <v>46054</v>
      </c>
      <c r="B26" s="319" t="str">
        <f>IFERROR(__xludf.DUMMYFUNCTION("""COMPUTED_VALUE"""),"A. 0")</f>
        <v>A. 0</v>
      </c>
      <c r="C26" s="320">
        <f>IFERROR(__xludf.DUMMYFUNCTION("""COMPUTED_VALUE"""),21640.0)</f>
        <v>21640</v>
      </c>
      <c r="D26" s="320">
        <f>IFERROR(__xludf.DUMMYFUNCTION("""COMPUTED_VALUE"""),19.25)</f>
        <v>19.25</v>
      </c>
      <c r="E26" s="320">
        <f>IFERROR(__xludf.DUMMYFUNCTION("""COMPUTED_VALUE"""),0.0)</f>
        <v>0</v>
      </c>
      <c r="F26" s="320">
        <f>IFERROR(__xludf.DUMMYFUNCTION("""COMPUTED_VALUE"""),0.0)</f>
        <v>0</v>
      </c>
      <c r="G26" s="320">
        <f>IFERROR(__xludf.DUMMYFUNCTION("""COMPUTED_VALUE"""),0.0)</f>
        <v>0</v>
      </c>
      <c r="H26" s="106"/>
      <c r="I26" s="320">
        <f>IFERROR(__xludf.DUMMYFUNCTION("""COMPUTED_VALUE"""),6.4)</f>
        <v>6.4</v>
      </c>
      <c r="J26" s="320">
        <f>IFERROR(__xludf.DUMMYFUNCTION("""COMPUTED_VALUE"""),2.65)</f>
        <v>2.65</v>
      </c>
      <c r="K26" s="320">
        <f>IFERROR(__xludf.DUMMYFUNCTION("""COMPUTED_VALUE"""),0.04)</f>
        <v>0.04</v>
      </c>
      <c r="L26" s="320">
        <f>IFERROR(__xludf.DUMMYFUNCTION("""COMPUTED_VALUE"""),0.0141)</f>
        <v>0.0141</v>
      </c>
      <c r="M26" s="320">
        <f>IFERROR(__xludf.DUMMYFUNCTION("""COMPUTED_VALUE"""),0.9893)</f>
        <v>0.9893</v>
      </c>
      <c r="N26" s="320">
        <f>IFERROR(__xludf.DUMMYFUNCTION("""COMPUTED_VALUE"""),0.8601)</f>
        <v>0.8601</v>
      </c>
      <c r="O26" s="320">
        <f>IFERROR(__xludf.DUMMYFUNCTION("""COMPUTED_VALUE"""),71.1266)</f>
        <v>71.1266</v>
      </c>
      <c r="P26" s="320">
        <f>IFERROR(__xludf.DUMMYFUNCTION("""COMPUTED_VALUE"""),22.19)</f>
        <v>22.19</v>
      </c>
      <c r="Q26" s="320">
        <f>IFERROR(__xludf.DUMMYFUNCTION("""COMPUTED_VALUE"""),22.05)</f>
        <v>22.05</v>
      </c>
      <c r="R26" s="320">
        <f>IFERROR(__xludf.DUMMYFUNCTION("""COMPUTED_VALUE"""),0.15)</f>
        <v>0.15</v>
      </c>
      <c r="S26" s="320">
        <f>IFERROR(__xludf.DUMMYFUNCTION("""COMPUTED_VALUE"""),0.02)</f>
        <v>0.02</v>
      </c>
      <c r="T26" s="320">
        <f>IFERROR(__xludf.DUMMYFUNCTION("""COMPUTED_VALUE"""),22.17)</f>
        <v>22.17</v>
      </c>
      <c r="U26" s="320">
        <f>IFERROR(__xludf.DUMMYFUNCTION("""COMPUTED_VALUE"""),2.05)</f>
        <v>2.05</v>
      </c>
      <c r="V26" s="320">
        <f>IFERROR(__xludf.DUMMYFUNCTION("""COMPUTED_VALUE"""),0.7745)</f>
        <v>0.7745</v>
      </c>
      <c r="W26" s="320">
        <f>IFERROR(__xludf.DUMMYFUNCTION("""COMPUTED_VALUE"""),0.11)</f>
        <v>0.11</v>
      </c>
      <c r="X26" s="320">
        <f>IFERROR(__xludf.DUMMYFUNCTION("""COMPUTED_VALUE"""),265.0)</f>
        <v>265</v>
      </c>
      <c r="Y26" s="320">
        <f>IFERROR(__xludf.DUMMYFUNCTION("""COMPUTED_VALUE"""),3065.0)</f>
        <v>3065</v>
      </c>
      <c r="Z26" s="320">
        <f>IFERROR(__xludf.DUMMYFUNCTION("""COMPUTED_VALUE"""),13321.0)</f>
        <v>13321</v>
      </c>
      <c r="AA26" s="320">
        <f>IFERROR(__xludf.DUMMYFUNCTION("""COMPUTED_VALUE"""),48.977)</f>
        <v>48.977</v>
      </c>
      <c r="AB26" s="320">
        <f>IFERROR(__xludf.DUMMYFUNCTION("""COMPUTED_VALUE"""),0.5523)</f>
        <v>0.5523</v>
      </c>
      <c r="AC26" s="106"/>
      <c r="AD26" s="106"/>
      <c r="AE26" s="106"/>
      <c r="AF26" s="106"/>
      <c r="AG26" s="106"/>
      <c r="AH26" s="320">
        <f>IFERROR(__xludf.DUMMYFUNCTION("""COMPUTED_VALUE"""),0.0)</f>
        <v>0</v>
      </c>
      <c r="AI26" s="320">
        <f>IFERROR(__xludf.DUMMYFUNCTION("""COMPUTED_VALUE"""),0.0)</f>
        <v>0</v>
      </c>
      <c r="AJ26" s="320">
        <f>IFERROR(__xludf.DUMMYFUNCTION("""COMPUTED_VALUE"""),0.0)</f>
        <v>0</v>
      </c>
      <c r="AK26" s="320">
        <f>IFERROR(__xludf.DUMMYFUNCTION("""COMPUTED_VALUE"""),0.3116)</f>
        <v>0.3116</v>
      </c>
      <c r="AL26" s="320">
        <f>IFERROR(__xludf.DUMMYFUNCTION("""COMPUTED_VALUE"""),17.74)</f>
        <v>17.74</v>
      </c>
      <c r="AM26" s="320">
        <f>IFERROR(__xludf.DUMMYFUNCTION("""COMPUTED_VALUE"""),4.3)</f>
        <v>4.3</v>
      </c>
      <c r="AN26" s="331"/>
      <c r="AO26" s="331"/>
    </row>
    <row r="27" ht="15.75" customHeight="1">
      <c r="A27" s="330">
        <f>IFERROR(__xludf.DUMMYFUNCTION("""COMPUTED_VALUE"""),46054.0)</f>
        <v>46054</v>
      </c>
      <c r="B27" s="319" t="str">
        <f>IFERROR(__xludf.DUMMYFUNCTION("""COMPUTED_VALUE"""),"B. 1-9")</f>
        <v>B. 1-9</v>
      </c>
      <c r="C27" s="320">
        <f>IFERROR(__xludf.DUMMYFUNCTION("""COMPUTED_VALUE"""),40946.0)</f>
        <v>40946</v>
      </c>
      <c r="D27" s="320">
        <f>IFERROR(__xludf.DUMMYFUNCTION("""COMPUTED_VALUE"""),36.42)</f>
        <v>36.42</v>
      </c>
      <c r="E27" s="320">
        <f>IFERROR(__xludf.DUMMYFUNCTION("""COMPUTED_VALUE"""),0.0)</f>
        <v>0</v>
      </c>
      <c r="F27" s="320">
        <f>IFERROR(__xludf.DUMMYFUNCTION("""COMPUTED_VALUE"""),0.0)</f>
        <v>0</v>
      </c>
      <c r="G27" s="320">
        <f>IFERROR(__xludf.DUMMYFUNCTION("""COMPUTED_VALUE"""),0.0)</f>
        <v>0</v>
      </c>
      <c r="H27" s="106"/>
      <c r="I27" s="320">
        <f>IFERROR(__xludf.DUMMYFUNCTION("""COMPUTED_VALUE"""),30.93)</f>
        <v>30.93</v>
      </c>
      <c r="J27" s="320">
        <f>IFERROR(__xludf.DUMMYFUNCTION("""COMPUTED_VALUE"""),14.12)</f>
        <v>14.12</v>
      </c>
      <c r="K27" s="320">
        <f>IFERROR(__xludf.DUMMYFUNCTION("""COMPUTED_VALUE"""),5.56)</f>
        <v>5.56</v>
      </c>
      <c r="L27" s="320">
        <f>IFERROR(__xludf.DUMMYFUNCTION("""COMPUTED_VALUE"""),0.3941)</f>
        <v>0.3941</v>
      </c>
      <c r="M27" s="320">
        <f>IFERROR(__xludf.DUMMYFUNCTION("""COMPUTED_VALUE"""),0.7682)</f>
        <v>0.7682</v>
      </c>
      <c r="N27" s="320">
        <f>IFERROR(__xludf.DUMMYFUNCTION("""COMPUTED_VALUE"""),0.5665)</f>
        <v>0.5665</v>
      </c>
      <c r="O27" s="320">
        <f>IFERROR(__xludf.DUMMYFUNCTION("""COMPUTED_VALUE"""),2.5373)</f>
        <v>2.5373</v>
      </c>
      <c r="P27" s="320">
        <f>IFERROR(__xludf.DUMMYFUNCTION("""COMPUTED_VALUE"""),47.22)</f>
        <v>47.22</v>
      </c>
      <c r="Q27" s="320">
        <f>IFERROR(__xludf.DUMMYFUNCTION("""COMPUTED_VALUE"""),35.67)</f>
        <v>35.67</v>
      </c>
      <c r="R27" s="320">
        <f>IFERROR(__xludf.DUMMYFUNCTION("""COMPUTED_VALUE"""),11.55)</f>
        <v>11.55</v>
      </c>
      <c r="S27" s="320">
        <f>IFERROR(__xludf.DUMMYFUNCTION("""COMPUTED_VALUE"""),0.68)</f>
        <v>0.68</v>
      </c>
      <c r="T27" s="320">
        <f>IFERROR(__xludf.DUMMYFUNCTION("""COMPUTED_VALUE"""),46.54)</f>
        <v>46.54</v>
      </c>
      <c r="U27" s="320">
        <f>IFERROR(__xludf.DUMMYFUNCTION("""COMPUTED_VALUE"""),52.5)</f>
        <v>52.5</v>
      </c>
      <c r="V27" s="320">
        <f>IFERROR(__xludf.DUMMYFUNCTION("""COMPUTED_VALUE"""),3.7186)</f>
        <v>3.7186</v>
      </c>
      <c r="W27" s="320">
        <f>IFERROR(__xludf.DUMMYFUNCTION("""COMPUTED_VALUE"""),1.45)</f>
        <v>1.45</v>
      </c>
      <c r="X27" s="320">
        <f>IFERROR(__xludf.DUMMYFUNCTION("""COMPUTED_VALUE"""),136.0)</f>
        <v>136</v>
      </c>
      <c r="Y27" s="320">
        <f>IFERROR(__xludf.DUMMYFUNCTION("""COMPUTED_VALUE"""),802.0)</f>
        <v>802</v>
      </c>
      <c r="Z27" s="320">
        <f>IFERROR(__xludf.DUMMYFUNCTION("""COMPUTED_VALUE"""),5321.0)</f>
        <v>5321</v>
      </c>
      <c r="AA27" s="320">
        <f>IFERROR(__xludf.DUMMYFUNCTION("""COMPUTED_VALUE"""),48.7516)</f>
        <v>48.7516</v>
      </c>
      <c r="AB27" s="320">
        <f>IFERROR(__xludf.DUMMYFUNCTION("""COMPUTED_VALUE"""),0.5476)</f>
        <v>0.5476</v>
      </c>
      <c r="AC27" s="320">
        <f>IFERROR(__xludf.DUMMYFUNCTION("""COMPUTED_VALUE"""),3.86)</f>
        <v>3.86</v>
      </c>
      <c r="AD27" s="320">
        <f>IFERROR(__xludf.DUMMYFUNCTION("""COMPUTED_VALUE"""),1.0)</f>
        <v>1</v>
      </c>
      <c r="AE27" s="320">
        <f>IFERROR(__xludf.DUMMYFUNCTION("""COMPUTED_VALUE"""),3.0)</f>
        <v>3</v>
      </c>
      <c r="AF27" s="320">
        <f>IFERROR(__xludf.DUMMYFUNCTION("""COMPUTED_VALUE"""),5.0)</f>
        <v>5</v>
      </c>
      <c r="AG27" s="320">
        <f>IFERROR(__xludf.DUMMYFUNCTION("""COMPUTED_VALUE"""),9.0)</f>
        <v>9</v>
      </c>
      <c r="AH27" s="320">
        <f>IFERROR(__xludf.DUMMYFUNCTION("""COMPUTED_VALUE"""),73.15)</f>
        <v>73.15</v>
      </c>
      <c r="AI27" s="320">
        <f>IFERROR(__xludf.DUMMYFUNCTION("""COMPUTED_VALUE"""),30.01)</f>
        <v>30.01</v>
      </c>
      <c r="AJ27" s="320">
        <f>IFERROR(__xludf.DUMMYFUNCTION("""COMPUTED_VALUE"""),7.4)</f>
        <v>7.4</v>
      </c>
      <c r="AK27" s="320">
        <f>IFERROR(__xludf.DUMMYFUNCTION("""COMPUTED_VALUE"""),0.2801)</f>
        <v>0.2801</v>
      </c>
      <c r="AL27" s="320">
        <f>IFERROR(__xludf.DUMMYFUNCTION("""COMPUTED_VALUE"""),20.33)</f>
        <v>20.33</v>
      </c>
      <c r="AM27" s="320">
        <f>IFERROR(__xludf.DUMMYFUNCTION("""COMPUTED_VALUE"""),15.34)</f>
        <v>15.34</v>
      </c>
      <c r="AN27" s="320">
        <f>IFERROR(__xludf.DUMMYFUNCTION("""COMPUTED_VALUE"""),47.88)</f>
        <v>47.88</v>
      </c>
      <c r="AO27" s="320">
        <f>IFERROR(__xludf.DUMMYFUNCTION("""COMPUTED_VALUE"""),9.73)</f>
        <v>9.73</v>
      </c>
    </row>
    <row r="28" ht="15.75" customHeight="1">
      <c r="A28" s="330">
        <f>IFERROR(__xludf.DUMMYFUNCTION("""COMPUTED_VALUE"""),46054.0)</f>
        <v>46054</v>
      </c>
      <c r="B28" s="319" t="str">
        <f>IFERROR(__xludf.DUMMYFUNCTION("""COMPUTED_VALUE"""),"C. 10-19")</f>
        <v>C. 10-19</v>
      </c>
      <c r="C28" s="320">
        <f>IFERROR(__xludf.DUMMYFUNCTION("""COMPUTED_VALUE"""),27108.0)</f>
        <v>27108</v>
      </c>
      <c r="D28" s="320">
        <f>IFERROR(__xludf.DUMMYFUNCTION("""COMPUTED_VALUE"""),24.11)</f>
        <v>24.11</v>
      </c>
      <c r="E28" s="320">
        <f>IFERROR(__xludf.DUMMYFUNCTION("""COMPUTED_VALUE"""),0.0)</f>
        <v>0</v>
      </c>
      <c r="F28" s="320">
        <f>IFERROR(__xludf.DUMMYFUNCTION("""COMPUTED_VALUE"""),0.0)</f>
        <v>0</v>
      </c>
      <c r="G28" s="320">
        <f>IFERROR(__xludf.DUMMYFUNCTION("""COMPUTED_VALUE"""),0.0)</f>
        <v>0</v>
      </c>
      <c r="H28" s="106"/>
      <c r="I28" s="320">
        <f>IFERROR(__xludf.DUMMYFUNCTION("""COMPUTED_VALUE"""),59.08)</f>
        <v>59.08</v>
      </c>
      <c r="J28" s="320">
        <f>IFERROR(__xludf.DUMMYFUNCTION("""COMPUTED_VALUE"""),27.87)</f>
        <v>27.87</v>
      </c>
      <c r="K28" s="320">
        <f>IFERROR(__xludf.DUMMYFUNCTION("""COMPUTED_VALUE"""),14.29)</f>
        <v>14.29</v>
      </c>
      <c r="L28" s="320">
        <f>IFERROR(__xludf.DUMMYFUNCTION("""COMPUTED_VALUE"""),0.5129)</f>
        <v>0.5129</v>
      </c>
      <c r="M28" s="320">
        <f>IFERROR(__xludf.DUMMYFUNCTION("""COMPUTED_VALUE"""),0.6699)</f>
        <v>0.6699</v>
      </c>
      <c r="N28" s="320">
        <f>IFERROR(__xludf.DUMMYFUNCTION("""COMPUTED_VALUE"""),0.467)</f>
        <v>0.467</v>
      </c>
      <c r="O28" s="320">
        <f>IFERROR(__xludf.DUMMYFUNCTION("""COMPUTED_VALUE"""),1.9497)</f>
        <v>1.9497</v>
      </c>
      <c r="P28" s="320">
        <f>IFERROR(__xludf.DUMMYFUNCTION("""COMPUTED_VALUE"""),83.67)</f>
        <v>83.67</v>
      </c>
      <c r="Q28" s="320">
        <f>IFERROR(__xludf.DUMMYFUNCTION("""COMPUTED_VALUE"""),53.59)</f>
        <v>53.59</v>
      </c>
      <c r="R28" s="320">
        <f>IFERROR(__xludf.DUMMYFUNCTION("""COMPUTED_VALUE"""),30.08)</f>
        <v>30.08</v>
      </c>
      <c r="S28" s="320">
        <f>IFERROR(__xludf.DUMMYFUNCTION("""COMPUTED_VALUE"""),2.74)</f>
        <v>2.74</v>
      </c>
      <c r="T28" s="320">
        <f>IFERROR(__xludf.DUMMYFUNCTION("""COMPUTED_VALUE"""),80.94)</f>
        <v>80.94</v>
      </c>
      <c r="U28" s="320">
        <f>IFERROR(__xludf.DUMMYFUNCTION("""COMPUTED_VALUE"""),96.01)</f>
        <v>96.01</v>
      </c>
      <c r="V28" s="320">
        <f>IFERROR(__xludf.DUMMYFUNCTION("""COMPUTED_VALUE"""),3.4454)</f>
        <v>3.4454</v>
      </c>
      <c r="W28" s="320">
        <f>IFERROR(__xludf.DUMMYFUNCTION("""COMPUTED_VALUE"""),3.27)</f>
        <v>3.27</v>
      </c>
      <c r="X28" s="320">
        <f>IFERROR(__xludf.DUMMYFUNCTION("""COMPUTED_VALUE"""),124.0)</f>
        <v>124</v>
      </c>
      <c r="Y28" s="320">
        <f>IFERROR(__xludf.DUMMYFUNCTION("""COMPUTED_VALUE"""),718.0)</f>
        <v>718</v>
      </c>
      <c r="Z28" s="320">
        <f>IFERROR(__xludf.DUMMYFUNCTION("""COMPUTED_VALUE"""),5149.0)</f>
        <v>5149</v>
      </c>
      <c r="AA28" s="320">
        <f>IFERROR(__xludf.DUMMYFUNCTION("""COMPUTED_VALUE"""),52.1319)</f>
        <v>52.1319</v>
      </c>
      <c r="AB28" s="320">
        <f>IFERROR(__xludf.DUMMYFUNCTION("""COMPUTED_VALUE"""),0.6373)</f>
        <v>0.6373</v>
      </c>
      <c r="AC28" s="320">
        <f>IFERROR(__xludf.DUMMYFUNCTION("""COMPUTED_VALUE"""),9.42)</f>
        <v>9.42</v>
      </c>
      <c r="AD28" s="320">
        <f>IFERROR(__xludf.DUMMYFUNCTION("""COMPUTED_VALUE"""),4.0)</f>
        <v>4</v>
      </c>
      <c r="AE28" s="320">
        <f>IFERROR(__xludf.DUMMYFUNCTION("""COMPUTED_VALUE"""),8.0)</f>
        <v>8</v>
      </c>
      <c r="AF28" s="320">
        <f>IFERROR(__xludf.DUMMYFUNCTION("""COMPUTED_VALUE"""),13.0)</f>
        <v>13</v>
      </c>
      <c r="AG28" s="320">
        <f>IFERROR(__xludf.DUMMYFUNCTION("""COMPUTED_VALUE"""),19.0)</f>
        <v>19</v>
      </c>
      <c r="AH28" s="320">
        <f>IFERROR(__xludf.DUMMYFUNCTION("""COMPUTED_VALUE"""),62.57)</f>
        <v>62.57</v>
      </c>
      <c r="AI28" s="320">
        <f>IFERROR(__xludf.DUMMYFUNCTION("""COMPUTED_VALUE"""),25.97)</f>
        <v>25.97</v>
      </c>
      <c r="AJ28" s="320">
        <f>IFERROR(__xludf.DUMMYFUNCTION("""COMPUTED_VALUE"""),4.08)</f>
        <v>4.08</v>
      </c>
      <c r="AK28" s="320">
        <f>IFERROR(__xludf.DUMMYFUNCTION("""COMPUTED_VALUE"""),0.2168)</f>
        <v>0.2168</v>
      </c>
      <c r="AL28" s="320">
        <f>IFERROR(__xludf.DUMMYFUNCTION("""COMPUTED_VALUE"""),21.57)</f>
        <v>21.57</v>
      </c>
      <c r="AM28" s="320">
        <f>IFERROR(__xludf.DUMMYFUNCTION("""COMPUTED_VALUE"""),32.02)</f>
        <v>32.02</v>
      </c>
      <c r="AN28" s="320">
        <f>IFERROR(__xludf.DUMMYFUNCTION("""COMPUTED_VALUE"""),54.67)</f>
        <v>54.67</v>
      </c>
      <c r="AO28" s="320">
        <f>IFERROR(__xludf.DUMMYFUNCTION("""COMPUTED_VALUE"""),11.79)</f>
        <v>11.79</v>
      </c>
    </row>
    <row r="29" ht="15.75" customHeight="1">
      <c r="A29" s="330">
        <f>IFERROR(__xludf.DUMMYFUNCTION("""COMPUTED_VALUE"""),46054.0)</f>
        <v>46054</v>
      </c>
      <c r="B29" s="319" t="str">
        <f>IFERROR(__xludf.DUMMYFUNCTION("""COMPUTED_VALUE"""),"D. 20-39")</f>
        <v>D. 20-39</v>
      </c>
      <c r="C29" s="320">
        <f>IFERROR(__xludf.DUMMYFUNCTION("""COMPUTED_VALUE"""),15802.0)</f>
        <v>15802</v>
      </c>
      <c r="D29" s="320">
        <f>IFERROR(__xludf.DUMMYFUNCTION("""COMPUTED_VALUE"""),14.05)</f>
        <v>14.05</v>
      </c>
      <c r="E29" s="320">
        <f>IFERROR(__xludf.DUMMYFUNCTION("""COMPUTED_VALUE"""),0.0)</f>
        <v>0</v>
      </c>
      <c r="F29" s="320">
        <f>IFERROR(__xludf.DUMMYFUNCTION("""COMPUTED_VALUE"""),0.0)</f>
        <v>0</v>
      </c>
      <c r="G29" s="320">
        <f>IFERROR(__xludf.DUMMYFUNCTION("""COMPUTED_VALUE"""),0.0)</f>
        <v>0</v>
      </c>
      <c r="H29" s="106"/>
      <c r="I29" s="320">
        <f>IFERROR(__xludf.DUMMYFUNCTION("""COMPUTED_VALUE"""),87.67)</f>
        <v>87.67</v>
      </c>
      <c r="J29" s="320">
        <f>IFERROR(__xludf.DUMMYFUNCTION("""COMPUTED_VALUE"""),43.6)</f>
        <v>43.6</v>
      </c>
      <c r="K29" s="320">
        <f>IFERROR(__xludf.DUMMYFUNCTION("""COMPUTED_VALUE"""),27.91)</f>
        <v>27.91</v>
      </c>
      <c r="L29" s="320">
        <f>IFERROR(__xludf.DUMMYFUNCTION("""COMPUTED_VALUE"""),0.6402)</f>
        <v>0.6402</v>
      </c>
      <c r="M29" s="320">
        <f>IFERROR(__xludf.DUMMYFUNCTION("""COMPUTED_VALUE"""),0.5465)</f>
        <v>0.5465</v>
      </c>
      <c r="N29" s="320">
        <f>IFERROR(__xludf.DUMMYFUNCTION("""COMPUTED_VALUE"""),0.376)</f>
        <v>0.376</v>
      </c>
      <c r="O29" s="320">
        <f>IFERROR(__xludf.DUMMYFUNCTION("""COMPUTED_VALUE"""),1.5621)</f>
        <v>1.5621</v>
      </c>
      <c r="P29" s="320">
        <f>IFERROR(__xludf.DUMMYFUNCTION("""COMPUTED_VALUE"""),136.15)</f>
        <v>136.15</v>
      </c>
      <c r="Q29" s="320">
        <f>IFERROR(__xludf.DUMMYFUNCTION("""COMPUTED_VALUE"""),77.07)</f>
        <v>77.07</v>
      </c>
      <c r="R29" s="320">
        <f>IFERROR(__xludf.DUMMYFUNCTION("""COMPUTED_VALUE"""),59.08)</f>
        <v>59.08</v>
      </c>
      <c r="S29" s="320">
        <f>IFERROR(__xludf.DUMMYFUNCTION("""COMPUTED_VALUE"""),3.49)</f>
        <v>3.49</v>
      </c>
      <c r="T29" s="320">
        <f>IFERROR(__xludf.DUMMYFUNCTION("""COMPUTED_VALUE"""),132.66)</f>
        <v>132.66</v>
      </c>
      <c r="U29" s="320">
        <f>IFERROR(__xludf.DUMMYFUNCTION("""COMPUTED_VALUE"""),167.76)</f>
        <v>167.76</v>
      </c>
      <c r="V29" s="320">
        <f>IFERROR(__xludf.DUMMYFUNCTION("""COMPUTED_VALUE"""),3.8474)</f>
        <v>3.8474</v>
      </c>
      <c r="W29" s="320">
        <f>IFERROR(__xludf.DUMMYFUNCTION("""COMPUTED_VALUE"""),2.56)</f>
        <v>2.56</v>
      </c>
      <c r="X29" s="320">
        <f>IFERROR(__xludf.DUMMYFUNCTION("""COMPUTED_VALUE"""),139.0)</f>
        <v>139</v>
      </c>
      <c r="Y29" s="320">
        <f>IFERROR(__xludf.DUMMYFUNCTION("""COMPUTED_VALUE"""),1081.0)</f>
        <v>1081</v>
      </c>
      <c r="Z29" s="320">
        <f>IFERROR(__xludf.DUMMYFUNCTION("""COMPUTED_VALUE"""),6349.0)</f>
        <v>6349</v>
      </c>
      <c r="AA29" s="320">
        <f>IFERROR(__xludf.DUMMYFUNCTION("""COMPUTED_VALUE"""),55.2325)</f>
        <v>55.2325</v>
      </c>
      <c r="AB29" s="320">
        <f>IFERROR(__xludf.DUMMYFUNCTION("""COMPUTED_VALUE"""),0.7422)</f>
        <v>0.7422</v>
      </c>
      <c r="AC29" s="320">
        <f>IFERROR(__xludf.DUMMYFUNCTION("""COMPUTED_VALUE"""),18.2)</f>
        <v>18.2</v>
      </c>
      <c r="AD29" s="320">
        <f>IFERROR(__xludf.DUMMYFUNCTION("""COMPUTED_VALUE"""),8.0)</f>
        <v>8</v>
      </c>
      <c r="AE29" s="320">
        <f>IFERROR(__xludf.DUMMYFUNCTION("""COMPUTED_VALUE"""),14.0)</f>
        <v>14</v>
      </c>
      <c r="AF29" s="320">
        <f>IFERROR(__xludf.DUMMYFUNCTION("""COMPUTED_VALUE"""),25.0)</f>
        <v>25</v>
      </c>
      <c r="AG29" s="320">
        <f>IFERROR(__xludf.DUMMYFUNCTION("""COMPUTED_VALUE"""),37.0)</f>
        <v>37</v>
      </c>
      <c r="AH29" s="320">
        <f>IFERROR(__xludf.DUMMYFUNCTION("""COMPUTED_VALUE"""),61.43)</f>
        <v>61.43</v>
      </c>
      <c r="AI29" s="320">
        <f>IFERROR(__xludf.DUMMYFUNCTION("""COMPUTED_VALUE"""),23.82)</f>
        <v>23.82</v>
      </c>
      <c r="AJ29" s="320">
        <f>IFERROR(__xludf.DUMMYFUNCTION("""COMPUTED_VALUE"""),7.42)</f>
        <v>7.42</v>
      </c>
      <c r="AK29" s="320">
        <f>IFERROR(__xludf.DUMMYFUNCTION("""COMPUTED_VALUE"""),0.2114)</f>
        <v>0.2114</v>
      </c>
      <c r="AL29" s="320">
        <f>IFERROR(__xludf.DUMMYFUNCTION("""COMPUTED_VALUE"""),20.96)</f>
        <v>20.96</v>
      </c>
      <c r="AM29" s="320">
        <f>IFERROR(__xludf.DUMMYFUNCTION("""COMPUTED_VALUE"""),56.11)</f>
        <v>56.11</v>
      </c>
      <c r="AN29" s="320">
        <f>IFERROR(__xludf.DUMMYFUNCTION("""COMPUTED_VALUE"""),55.83)</f>
        <v>55.83</v>
      </c>
      <c r="AO29" s="320">
        <f>IFERROR(__xludf.DUMMYFUNCTION("""COMPUTED_VALUE"""),11.7)</f>
        <v>11.7</v>
      </c>
    </row>
    <row r="30" ht="15.75" customHeight="1">
      <c r="A30" s="330">
        <f>IFERROR(__xludf.DUMMYFUNCTION("""COMPUTED_VALUE"""),46054.0)</f>
        <v>46054</v>
      </c>
      <c r="B30" s="319" t="str">
        <f>IFERROR(__xludf.DUMMYFUNCTION("""COMPUTED_VALUE"""),"E. 40-99")</f>
        <v>E. 40-99</v>
      </c>
      <c r="C30" s="320">
        <f>IFERROR(__xludf.DUMMYFUNCTION("""COMPUTED_VALUE"""),6227.0)</f>
        <v>6227</v>
      </c>
      <c r="D30" s="320">
        <f>IFERROR(__xludf.DUMMYFUNCTION("""COMPUTED_VALUE"""),5.54)</f>
        <v>5.54</v>
      </c>
      <c r="E30" s="320">
        <f>IFERROR(__xludf.DUMMYFUNCTION("""COMPUTED_VALUE"""),0.0)</f>
        <v>0</v>
      </c>
      <c r="F30" s="320">
        <f>IFERROR(__xludf.DUMMYFUNCTION("""COMPUTED_VALUE"""),0.0)</f>
        <v>0</v>
      </c>
      <c r="G30" s="320">
        <f>IFERROR(__xludf.DUMMYFUNCTION("""COMPUTED_VALUE"""),0.0)</f>
        <v>0</v>
      </c>
      <c r="H30" s="106"/>
      <c r="I30" s="320">
        <f>IFERROR(__xludf.DUMMYFUNCTION("""COMPUTED_VALUE"""),136.96)</f>
        <v>136.96</v>
      </c>
      <c r="J30" s="320">
        <f>IFERROR(__xludf.DUMMYFUNCTION("""COMPUTED_VALUE"""),73.5)</f>
        <v>73.5</v>
      </c>
      <c r="K30" s="320">
        <f>IFERROR(__xludf.DUMMYFUNCTION("""COMPUTED_VALUE"""),56.81)</f>
        <v>56.81</v>
      </c>
      <c r="L30" s="320">
        <f>IFERROR(__xludf.DUMMYFUNCTION("""COMPUTED_VALUE"""),0.7729)</f>
        <v>0.7729</v>
      </c>
      <c r="M30" s="320">
        <f>IFERROR(__xludf.DUMMYFUNCTION("""COMPUTED_VALUE"""),0.4018)</f>
        <v>0.4018</v>
      </c>
      <c r="N30" s="320">
        <f>IFERROR(__xludf.DUMMYFUNCTION("""COMPUTED_VALUE"""),0.2822)</f>
        <v>0.2822</v>
      </c>
      <c r="O30" s="320">
        <f>IFERROR(__xludf.DUMMYFUNCTION("""COMPUTED_VALUE"""),1.2939)</f>
        <v>1.2939</v>
      </c>
      <c r="P30" s="320">
        <f>IFERROR(__xludf.DUMMYFUNCTION("""COMPUTED_VALUE"""),244.41)</f>
        <v>244.41</v>
      </c>
      <c r="Q30" s="320">
        <f>IFERROR(__xludf.DUMMYFUNCTION("""COMPUTED_VALUE"""),124.5)</f>
        <v>124.5</v>
      </c>
      <c r="R30" s="320">
        <f>IFERROR(__xludf.DUMMYFUNCTION("""COMPUTED_VALUE"""),119.91)</f>
        <v>119.91</v>
      </c>
      <c r="S30" s="320">
        <f>IFERROR(__xludf.DUMMYFUNCTION("""COMPUTED_VALUE"""),1.47)</f>
        <v>1.47</v>
      </c>
      <c r="T30" s="320">
        <f>IFERROR(__xludf.DUMMYFUNCTION("""COMPUTED_VALUE"""),242.94)</f>
        <v>242.94</v>
      </c>
      <c r="U30" s="320">
        <f>IFERROR(__xludf.DUMMYFUNCTION("""COMPUTED_VALUE"""),319.2)</f>
        <v>319.2</v>
      </c>
      <c r="V30" s="320">
        <f>IFERROR(__xludf.DUMMYFUNCTION("""COMPUTED_VALUE"""),4.3428)</f>
        <v>4.3428</v>
      </c>
      <c r="W30" s="320">
        <f>IFERROR(__xludf.DUMMYFUNCTION("""COMPUTED_VALUE"""),0.6)</f>
        <v>0.6</v>
      </c>
      <c r="X30" s="320">
        <f>IFERROR(__xludf.DUMMYFUNCTION("""COMPUTED_VALUE"""),267.0)</f>
        <v>267</v>
      </c>
      <c r="Y30" s="320">
        <f>IFERROR(__xludf.DUMMYFUNCTION("""COMPUTED_VALUE"""),2440.0)</f>
        <v>2440</v>
      </c>
      <c r="Z30" s="320">
        <f>IFERROR(__xludf.DUMMYFUNCTION("""COMPUTED_VALUE"""),9746.0)</f>
        <v>9746</v>
      </c>
      <c r="AA30" s="320">
        <f>IFERROR(__xludf.DUMMYFUNCTION("""COMPUTED_VALUE"""),59.4944)</f>
        <v>59.4944</v>
      </c>
      <c r="AB30" s="320">
        <f>IFERROR(__xludf.DUMMYFUNCTION("""COMPUTED_VALUE"""),0.837)</f>
        <v>0.837</v>
      </c>
      <c r="AC30" s="320">
        <f>IFERROR(__xludf.DUMMYFUNCTION("""COMPUTED_VALUE"""),37.95)</f>
        <v>37.95</v>
      </c>
      <c r="AD30" s="320">
        <f>IFERROR(__xludf.DUMMYFUNCTION("""COMPUTED_VALUE"""),15.0)</f>
        <v>15</v>
      </c>
      <c r="AE30" s="320">
        <f>IFERROR(__xludf.DUMMYFUNCTION("""COMPUTED_VALUE"""),29.0)</f>
        <v>29</v>
      </c>
      <c r="AF30" s="320">
        <f>IFERROR(__xludf.DUMMYFUNCTION("""COMPUTED_VALUE"""),52.0)</f>
        <v>52</v>
      </c>
      <c r="AG30" s="320">
        <f>IFERROR(__xludf.DUMMYFUNCTION("""COMPUTED_VALUE"""),80.0)</f>
        <v>80</v>
      </c>
      <c r="AH30" s="320">
        <f>IFERROR(__xludf.DUMMYFUNCTION("""COMPUTED_VALUE"""),52.22)</f>
        <v>52.22</v>
      </c>
      <c r="AI30" s="320">
        <f>IFERROR(__xludf.DUMMYFUNCTION("""COMPUTED_VALUE"""),19.8)</f>
        <v>19.8</v>
      </c>
      <c r="AJ30" s="320">
        <f>IFERROR(__xludf.DUMMYFUNCTION("""COMPUTED_VALUE"""),5.12)</f>
        <v>5.12</v>
      </c>
      <c r="AK30" s="320">
        <f>IFERROR(__xludf.DUMMYFUNCTION("""COMPUTED_VALUE"""),0.1744)</f>
        <v>0.1744</v>
      </c>
      <c r="AL30" s="320">
        <f>IFERROR(__xludf.DUMMYFUNCTION("""COMPUTED_VALUE"""),21.36)</f>
        <v>21.36</v>
      </c>
      <c r="AM30" s="320">
        <f>IFERROR(__xludf.DUMMYFUNCTION("""COMPUTED_VALUE"""),103.14)</f>
        <v>103.14</v>
      </c>
      <c r="AN30" s="320">
        <f>IFERROR(__xludf.DUMMYFUNCTION("""COMPUTED_VALUE"""),58.19)</f>
        <v>58.19</v>
      </c>
      <c r="AO30" s="320">
        <f>IFERROR(__xludf.DUMMYFUNCTION("""COMPUTED_VALUE"""),12.43)</f>
        <v>12.43</v>
      </c>
    </row>
    <row r="31" ht="15.75" customHeight="1">
      <c r="A31" s="330">
        <f>IFERROR(__xludf.DUMMYFUNCTION("""COMPUTED_VALUE"""),46054.0)</f>
        <v>46054</v>
      </c>
      <c r="B31" s="319" t="str">
        <f>IFERROR(__xludf.DUMMYFUNCTION("""COMPUTED_VALUE"""),"F. 100+")</f>
        <v>F. 100+</v>
      </c>
      <c r="C31" s="320">
        <f>IFERROR(__xludf.DUMMYFUNCTION("""COMPUTED_VALUE"""),712.0)</f>
        <v>712</v>
      </c>
      <c r="D31" s="320">
        <f>IFERROR(__xludf.DUMMYFUNCTION("""COMPUTED_VALUE"""),0.63)</f>
        <v>0.63</v>
      </c>
      <c r="E31" s="320">
        <f>IFERROR(__xludf.DUMMYFUNCTION("""COMPUTED_VALUE"""),0.0)</f>
        <v>0</v>
      </c>
      <c r="F31" s="320">
        <f>IFERROR(__xludf.DUMMYFUNCTION("""COMPUTED_VALUE"""),0.0)</f>
        <v>0</v>
      </c>
      <c r="G31" s="320">
        <f>IFERROR(__xludf.DUMMYFUNCTION("""COMPUTED_VALUE"""),0.0)</f>
        <v>0</v>
      </c>
      <c r="H31" s="106"/>
      <c r="I31" s="320">
        <f>IFERROR(__xludf.DUMMYFUNCTION("""COMPUTED_VALUE"""),249.7)</f>
        <v>249.7</v>
      </c>
      <c r="J31" s="320">
        <f>IFERROR(__xludf.DUMMYFUNCTION("""COMPUTED_VALUE"""),148.56)</f>
        <v>148.56</v>
      </c>
      <c r="K31" s="320">
        <f>IFERROR(__xludf.DUMMYFUNCTION("""COMPUTED_VALUE"""),128.82)</f>
        <v>128.82</v>
      </c>
      <c r="L31" s="320">
        <f>IFERROR(__xludf.DUMMYFUNCTION("""COMPUTED_VALUE"""),0.8672)</f>
        <v>0.8672</v>
      </c>
      <c r="M31" s="320">
        <f>IFERROR(__xludf.DUMMYFUNCTION("""COMPUTED_VALUE"""),0.2764)</f>
        <v>0.2764</v>
      </c>
      <c r="N31" s="320">
        <f>IFERROR(__xludf.DUMMYFUNCTION("""COMPUTED_VALUE"""),0.2039)</f>
        <v>0.2039</v>
      </c>
      <c r="O31" s="320">
        <f>IFERROR(__xludf.DUMMYFUNCTION("""COMPUTED_VALUE"""),1.1532)</f>
        <v>1.1532</v>
      </c>
      <c r="P31" s="320">
        <f>IFERROR(__xludf.DUMMYFUNCTION("""COMPUTED_VALUE"""),503.77)</f>
        <v>503.77</v>
      </c>
      <c r="Q31" s="320">
        <f>IFERROR(__xludf.DUMMYFUNCTION("""COMPUTED_VALUE"""),230.86)</f>
        <v>230.86</v>
      </c>
      <c r="R31" s="320">
        <f>IFERROR(__xludf.DUMMYFUNCTION("""COMPUTED_VALUE"""),272.91)</f>
        <v>272.91</v>
      </c>
      <c r="S31" s="320">
        <f>IFERROR(__xludf.DUMMYFUNCTION("""COMPUTED_VALUE"""),0.0)</f>
        <v>0</v>
      </c>
      <c r="T31" s="320">
        <f>IFERROR(__xludf.DUMMYFUNCTION("""COMPUTED_VALUE"""),503.77)</f>
        <v>503.77</v>
      </c>
      <c r="U31" s="320">
        <f>IFERROR(__xludf.DUMMYFUNCTION("""COMPUTED_VALUE"""),628.16)</f>
        <v>628.16</v>
      </c>
      <c r="V31" s="320">
        <f>IFERROR(__xludf.DUMMYFUNCTION("""COMPUTED_VALUE"""),4.2284)</f>
        <v>4.2284</v>
      </c>
      <c r="W31" s="320">
        <f>IFERROR(__xludf.DUMMYFUNCTION("""COMPUTED_VALUE"""),0.0)</f>
        <v>0</v>
      </c>
      <c r="X31" s="320">
        <f>IFERROR(__xludf.DUMMYFUNCTION("""COMPUTED_VALUE"""),905.0)</f>
        <v>905</v>
      </c>
      <c r="Y31" s="320">
        <f>IFERROR(__xludf.DUMMYFUNCTION("""COMPUTED_VALUE"""),4313.0)</f>
        <v>4313</v>
      </c>
      <c r="Z31" s="320">
        <f>IFERROR(__xludf.DUMMYFUNCTION("""COMPUTED_VALUE"""),11119.0)</f>
        <v>11119</v>
      </c>
      <c r="AA31" s="320">
        <f>IFERROR(__xludf.DUMMYFUNCTION("""COMPUTED_VALUE"""),63.4562)</f>
        <v>63.4562</v>
      </c>
      <c r="AB31" s="320">
        <f>IFERROR(__xludf.DUMMYFUNCTION("""COMPUTED_VALUE"""),0.8936)</f>
        <v>0.8936</v>
      </c>
      <c r="AC31" s="320">
        <f>IFERROR(__xludf.DUMMYFUNCTION("""COMPUTED_VALUE"""),90.41)</f>
        <v>90.41</v>
      </c>
      <c r="AD31" s="320">
        <f>IFERROR(__xludf.DUMMYFUNCTION("""COMPUTED_VALUE"""),35.0)</f>
        <v>35</v>
      </c>
      <c r="AE31" s="320">
        <f>IFERROR(__xludf.DUMMYFUNCTION("""COMPUTED_VALUE"""),72.0)</f>
        <v>72</v>
      </c>
      <c r="AF31" s="320">
        <f>IFERROR(__xludf.DUMMYFUNCTION("""COMPUTED_VALUE"""),130.0)</f>
        <v>130</v>
      </c>
      <c r="AG31" s="320">
        <f>IFERROR(__xludf.DUMMYFUNCTION("""COMPUTED_VALUE"""),185.0)</f>
        <v>185</v>
      </c>
      <c r="AH31" s="320">
        <f>IFERROR(__xludf.DUMMYFUNCTION("""COMPUTED_VALUE"""),47.05)</f>
        <v>47.05</v>
      </c>
      <c r="AI31" s="320">
        <f>IFERROR(__xludf.DUMMYFUNCTION("""COMPUTED_VALUE"""),11.8)</f>
        <v>11.8</v>
      </c>
      <c r="AJ31" s="320">
        <f>IFERROR(__xludf.DUMMYFUNCTION("""COMPUTED_VALUE"""),1.97)</f>
        <v>1.97</v>
      </c>
      <c r="AK31" s="320">
        <f>IFERROR(__xludf.DUMMYFUNCTION("""COMPUTED_VALUE"""),0.1194)</f>
        <v>0.1194</v>
      </c>
      <c r="AL31" s="320">
        <f>IFERROR(__xludf.DUMMYFUNCTION("""COMPUTED_VALUE"""),22.73)</f>
        <v>22.73</v>
      </c>
      <c r="AM31" s="320">
        <f>IFERROR(__xludf.DUMMYFUNCTION("""COMPUTED_VALUE"""),208.13)</f>
        <v>208.13</v>
      </c>
      <c r="AN31" s="320">
        <f>IFERROR(__xludf.DUMMYFUNCTION("""COMPUTED_VALUE"""),59.59)</f>
        <v>59.59</v>
      </c>
      <c r="AO31" s="320">
        <f>IFERROR(__xludf.DUMMYFUNCTION("""COMPUTED_VALUE"""),13.54)</f>
        <v>13.54</v>
      </c>
    </row>
    <row r="32" ht="15.75" customHeight="1">
      <c r="A32" s="330">
        <f>IFERROR(__xludf.DUMMYFUNCTION("""COMPUTED_VALUE"""),46055.0)</f>
        <v>46055</v>
      </c>
      <c r="B32" s="319" t="str">
        <f>IFERROR(__xludf.DUMMYFUNCTION("""COMPUTED_VALUE"""),"A. 0")</f>
        <v>A. 0</v>
      </c>
      <c r="C32" s="320">
        <f>IFERROR(__xludf.DUMMYFUNCTION("""COMPUTED_VALUE"""),21772.0)</f>
        <v>21772</v>
      </c>
      <c r="D32" s="320">
        <f>IFERROR(__xludf.DUMMYFUNCTION("""COMPUTED_VALUE"""),18.69)</f>
        <v>18.69</v>
      </c>
      <c r="E32" s="320">
        <f>IFERROR(__xludf.DUMMYFUNCTION("""COMPUTED_VALUE"""),0.0)</f>
        <v>0</v>
      </c>
      <c r="F32" s="320">
        <f>IFERROR(__xludf.DUMMYFUNCTION("""COMPUTED_VALUE"""),0.0)</f>
        <v>0</v>
      </c>
      <c r="G32" s="320">
        <f>IFERROR(__xludf.DUMMYFUNCTION("""COMPUTED_VALUE"""),0.0)</f>
        <v>0</v>
      </c>
      <c r="H32" s="106"/>
      <c r="I32" s="320">
        <f>IFERROR(__xludf.DUMMYFUNCTION("""COMPUTED_VALUE"""),5.82)</f>
        <v>5.82</v>
      </c>
      <c r="J32" s="320">
        <f>IFERROR(__xludf.DUMMYFUNCTION("""COMPUTED_VALUE"""),2.37)</f>
        <v>2.37</v>
      </c>
      <c r="K32" s="320">
        <f>IFERROR(__xludf.DUMMYFUNCTION("""COMPUTED_VALUE"""),0.07)</f>
        <v>0.07</v>
      </c>
      <c r="L32" s="320">
        <f>IFERROR(__xludf.DUMMYFUNCTION("""COMPUTED_VALUE"""),0.031)</f>
        <v>0.031</v>
      </c>
      <c r="M32" s="320">
        <f>IFERROR(__xludf.DUMMYFUNCTION("""COMPUTED_VALUE"""),0.9746)</f>
        <v>0.9746</v>
      </c>
      <c r="N32" s="320">
        <f>IFERROR(__xludf.DUMMYFUNCTION("""COMPUTED_VALUE"""),0.7575)</f>
        <v>0.7575</v>
      </c>
      <c r="O32" s="320">
        <f>IFERROR(__xludf.DUMMYFUNCTION("""COMPUTED_VALUE"""),32.2983)</f>
        <v>32.2983</v>
      </c>
      <c r="P32" s="320">
        <f>IFERROR(__xludf.DUMMYFUNCTION("""COMPUTED_VALUE"""),32.06)</f>
        <v>32.06</v>
      </c>
      <c r="Q32" s="320">
        <f>IFERROR(__xludf.DUMMYFUNCTION("""COMPUTED_VALUE"""),31.95)</f>
        <v>31.95</v>
      </c>
      <c r="R32" s="320">
        <f>IFERROR(__xludf.DUMMYFUNCTION("""COMPUTED_VALUE"""),0.11)</f>
        <v>0.11</v>
      </c>
      <c r="S32" s="320">
        <f>IFERROR(__xludf.DUMMYFUNCTION("""COMPUTED_VALUE"""),0.03)</f>
        <v>0.03</v>
      </c>
      <c r="T32" s="320">
        <f>IFERROR(__xludf.DUMMYFUNCTION("""COMPUTED_VALUE"""),32.03)</f>
        <v>32.03</v>
      </c>
      <c r="U32" s="320">
        <f>IFERROR(__xludf.DUMMYFUNCTION("""COMPUTED_VALUE"""),2.1)</f>
        <v>2.1</v>
      </c>
      <c r="V32" s="320">
        <f>IFERROR(__xludf.DUMMYFUNCTION("""COMPUTED_VALUE"""),0.8839)</f>
        <v>0.8839</v>
      </c>
      <c r="W32" s="320">
        <f>IFERROR(__xludf.DUMMYFUNCTION("""COMPUTED_VALUE"""),0.11)</f>
        <v>0.11</v>
      </c>
      <c r="X32" s="320">
        <f>IFERROR(__xludf.DUMMYFUNCTION("""COMPUTED_VALUE"""),346.0)</f>
        <v>346</v>
      </c>
      <c r="Y32" s="320">
        <f>IFERROR(__xludf.DUMMYFUNCTION("""COMPUTED_VALUE"""),3536.0)</f>
        <v>3536</v>
      </c>
      <c r="Z32" s="320">
        <f>IFERROR(__xludf.DUMMYFUNCTION("""COMPUTED_VALUE"""),14180.0)</f>
        <v>14180</v>
      </c>
      <c r="AA32" s="320">
        <f>IFERROR(__xludf.DUMMYFUNCTION("""COMPUTED_VALUE"""),49.1012)</f>
        <v>49.1012</v>
      </c>
      <c r="AB32" s="320">
        <f>IFERROR(__xludf.DUMMYFUNCTION("""COMPUTED_VALUE"""),0.5584)</f>
        <v>0.5584</v>
      </c>
      <c r="AC32" s="106"/>
      <c r="AD32" s="106"/>
      <c r="AE32" s="106"/>
      <c r="AF32" s="106"/>
      <c r="AG32" s="106"/>
      <c r="AH32" s="320">
        <f>IFERROR(__xludf.DUMMYFUNCTION("""COMPUTED_VALUE"""),0.0)</f>
        <v>0</v>
      </c>
      <c r="AI32" s="320">
        <f>IFERROR(__xludf.DUMMYFUNCTION("""COMPUTED_VALUE"""),0.0)</f>
        <v>0</v>
      </c>
      <c r="AJ32" s="320">
        <f>IFERROR(__xludf.DUMMYFUNCTION("""COMPUTED_VALUE"""),0.0)</f>
        <v>0</v>
      </c>
      <c r="AK32" s="320">
        <f>IFERROR(__xludf.DUMMYFUNCTION("""COMPUTED_VALUE"""),0.295)</f>
        <v>0.295</v>
      </c>
      <c r="AL32" s="320">
        <f>IFERROR(__xludf.DUMMYFUNCTION("""COMPUTED_VALUE"""),16.23)</f>
        <v>16.23</v>
      </c>
      <c r="AM32" s="320">
        <f>IFERROR(__xludf.DUMMYFUNCTION("""COMPUTED_VALUE"""),15.72)</f>
        <v>15.72</v>
      </c>
      <c r="AN32" s="331"/>
      <c r="AO32" s="331"/>
    </row>
    <row r="33" ht="15.75" customHeight="1">
      <c r="A33" s="330">
        <f>IFERROR(__xludf.DUMMYFUNCTION("""COMPUTED_VALUE"""),46055.0)</f>
        <v>46055</v>
      </c>
      <c r="B33" s="319" t="str">
        <f>IFERROR(__xludf.DUMMYFUNCTION("""COMPUTED_VALUE"""),"B. 1-9")</f>
        <v>B. 1-9</v>
      </c>
      <c r="C33" s="320">
        <f>IFERROR(__xludf.DUMMYFUNCTION("""COMPUTED_VALUE"""),41655.0)</f>
        <v>41655</v>
      </c>
      <c r="D33" s="320">
        <f>IFERROR(__xludf.DUMMYFUNCTION("""COMPUTED_VALUE"""),35.76)</f>
        <v>35.76</v>
      </c>
      <c r="E33" s="320">
        <f>IFERROR(__xludf.DUMMYFUNCTION("""COMPUTED_VALUE"""),0.0)</f>
        <v>0</v>
      </c>
      <c r="F33" s="320">
        <f>IFERROR(__xludf.DUMMYFUNCTION("""COMPUTED_VALUE"""),0.0)</f>
        <v>0</v>
      </c>
      <c r="G33" s="320">
        <f>IFERROR(__xludf.DUMMYFUNCTION("""COMPUTED_VALUE"""),0.0)</f>
        <v>0</v>
      </c>
      <c r="H33" s="106"/>
      <c r="I33" s="320">
        <f>IFERROR(__xludf.DUMMYFUNCTION("""COMPUTED_VALUE"""),32.2)</f>
        <v>32.2</v>
      </c>
      <c r="J33" s="320">
        <f>IFERROR(__xludf.DUMMYFUNCTION("""COMPUTED_VALUE"""),14.43)</f>
        <v>14.43</v>
      </c>
      <c r="K33" s="320">
        <f>IFERROR(__xludf.DUMMYFUNCTION("""COMPUTED_VALUE"""),5.76)</f>
        <v>5.76</v>
      </c>
      <c r="L33" s="320">
        <f>IFERROR(__xludf.DUMMYFUNCTION("""COMPUTED_VALUE"""),0.3996)</f>
        <v>0.3996</v>
      </c>
      <c r="M33" s="320">
        <f>IFERROR(__xludf.DUMMYFUNCTION("""COMPUTED_VALUE"""),0.7706)</f>
        <v>0.7706</v>
      </c>
      <c r="N33" s="320">
        <f>IFERROR(__xludf.DUMMYFUNCTION("""COMPUTED_VALUE"""),0.5719)</f>
        <v>0.5719</v>
      </c>
      <c r="O33" s="320">
        <f>IFERROR(__xludf.DUMMYFUNCTION("""COMPUTED_VALUE"""),2.5027)</f>
        <v>2.5027</v>
      </c>
      <c r="P33" s="320">
        <f>IFERROR(__xludf.DUMMYFUNCTION("""COMPUTED_VALUE"""),73.67)</f>
        <v>73.67</v>
      </c>
      <c r="Q33" s="320">
        <f>IFERROR(__xludf.DUMMYFUNCTION("""COMPUTED_VALUE"""),62.34)</f>
        <v>62.34</v>
      </c>
      <c r="R33" s="320">
        <f>IFERROR(__xludf.DUMMYFUNCTION("""COMPUTED_VALUE"""),11.33)</f>
        <v>11.33</v>
      </c>
      <c r="S33" s="320">
        <f>IFERROR(__xludf.DUMMYFUNCTION("""COMPUTED_VALUE"""),1.16)</f>
        <v>1.16</v>
      </c>
      <c r="T33" s="320">
        <f>IFERROR(__xludf.DUMMYFUNCTION("""COMPUTED_VALUE"""),72.51)</f>
        <v>72.51</v>
      </c>
      <c r="U33" s="320">
        <f>IFERROR(__xludf.DUMMYFUNCTION("""COMPUTED_VALUE"""),61.78)</f>
        <v>61.78</v>
      </c>
      <c r="V33" s="320">
        <f>IFERROR(__xludf.DUMMYFUNCTION("""COMPUTED_VALUE"""),4.2825)</f>
        <v>4.2825</v>
      </c>
      <c r="W33" s="320">
        <f>IFERROR(__xludf.DUMMYFUNCTION("""COMPUTED_VALUE"""),1.57)</f>
        <v>1.57</v>
      </c>
      <c r="X33" s="320">
        <f>IFERROR(__xludf.DUMMYFUNCTION("""COMPUTED_VALUE"""),155.0)</f>
        <v>155</v>
      </c>
      <c r="Y33" s="320">
        <f>IFERROR(__xludf.DUMMYFUNCTION("""COMPUTED_VALUE"""),831.0)</f>
        <v>831</v>
      </c>
      <c r="Z33" s="320">
        <f>IFERROR(__xludf.DUMMYFUNCTION("""COMPUTED_VALUE"""),5461.0)</f>
        <v>5461</v>
      </c>
      <c r="AA33" s="320">
        <f>IFERROR(__xludf.DUMMYFUNCTION("""COMPUTED_VALUE"""),48.669)</f>
        <v>48.669</v>
      </c>
      <c r="AB33" s="320">
        <f>IFERROR(__xludf.DUMMYFUNCTION("""COMPUTED_VALUE"""),0.5272)</f>
        <v>0.5272</v>
      </c>
      <c r="AC33" s="320">
        <f>IFERROR(__xludf.DUMMYFUNCTION("""COMPUTED_VALUE"""),3.91)</f>
        <v>3.91</v>
      </c>
      <c r="AD33" s="320">
        <f>IFERROR(__xludf.DUMMYFUNCTION("""COMPUTED_VALUE"""),1.0)</f>
        <v>1</v>
      </c>
      <c r="AE33" s="320">
        <f>IFERROR(__xludf.DUMMYFUNCTION("""COMPUTED_VALUE"""),3.0)</f>
        <v>3</v>
      </c>
      <c r="AF33" s="320">
        <f>IFERROR(__xludf.DUMMYFUNCTION("""COMPUTED_VALUE"""),5.0)</f>
        <v>5</v>
      </c>
      <c r="AG33" s="320">
        <f>IFERROR(__xludf.DUMMYFUNCTION("""COMPUTED_VALUE"""),9.0)</f>
        <v>9</v>
      </c>
      <c r="AH33" s="320">
        <f>IFERROR(__xludf.DUMMYFUNCTION("""COMPUTED_VALUE"""),73.29)</f>
        <v>73.29</v>
      </c>
      <c r="AI33" s="320">
        <f>IFERROR(__xludf.DUMMYFUNCTION("""COMPUTED_VALUE"""),29.85)</f>
        <v>29.85</v>
      </c>
      <c r="AJ33" s="320">
        <f>IFERROR(__xludf.DUMMYFUNCTION("""COMPUTED_VALUE"""),7.81)</f>
        <v>7.81</v>
      </c>
      <c r="AK33" s="320">
        <f>IFERROR(__xludf.DUMMYFUNCTION("""COMPUTED_VALUE"""),0.2513)</f>
        <v>0.2513</v>
      </c>
      <c r="AL33" s="320">
        <f>IFERROR(__xludf.DUMMYFUNCTION("""COMPUTED_VALUE"""),18.33)</f>
        <v>18.33</v>
      </c>
      <c r="AM33" s="320">
        <f>IFERROR(__xludf.DUMMYFUNCTION("""COMPUTED_VALUE"""),44.01)</f>
        <v>44.01</v>
      </c>
      <c r="AN33" s="320">
        <f>IFERROR(__xludf.DUMMYFUNCTION("""COMPUTED_VALUE"""),56.0)</f>
        <v>56</v>
      </c>
      <c r="AO33" s="320">
        <f>IFERROR(__xludf.DUMMYFUNCTION("""COMPUTED_VALUE"""),10.26)</f>
        <v>10.26</v>
      </c>
    </row>
    <row r="34" ht="15.75" customHeight="1">
      <c r="A34" s="330">
        <f>IFERROR(__xludf.DUMMYFUNCTION("""COMPUTED_VALUE"""),46055.0)</f>
        <v>46055</v>
      </c>
      <c r="B34" s="319" t="str">
        <f>IFERROR(__xludf.DUMMYFUNCTION("""COMPUTED_VALUE"""),"C. 10-19")</f>
        <v>C. 10-19</v>
      </c>
      <c r="C34" s="320">
        <f>IFERROR(__xludf.DUMMYFUNCTION("""COMPUTED_VALUE"""),28655.0)</f>
        <v>28655</v>
      </c>
      <c r="D34" s="320">
        <f>IFERROR(__xludf.DUMMYFUNCTION("""COMPUTED_VALUE"""),24.6)</f>
        <v>24.6</v>
      </c>
      <c r="E34" s="320">
        <f>IFERROR(__xludf.DUMMYFUNCTION("""COMPUTED_VALUE"""),0.0)</f>
        <v>0</v>
      </c>
      <c r="F34" s="320">
        <f>IFERROR(__xludf.DUMMYFUNCTION("""COMPUTED_VALUE"""),0.0)</f>
        <v>0</v>
      </c>
      <c r="G34" s="320">
        <f>IFERROR(__xludf.DUMMYFUNCTION("""COMPUTED_VALUE"""),0.0)</f>
        <v>0</v>
      </c>
      <c r="H34" s="106"/>
      <c r="I34" s="320">
        <f>IFERROR(__xludf.DUMMYFUNCTION("""COMPUTED_VALUE"""),59.86)</f>
        <v>59.86</v>
      </c>
      <c r="J34" s="320">
        <f>IFERROR(__xludf.DUMMYFUNCTION("""COMPUTED_VALUE"""),27.69)</f>
        <v>27.69</v>
      </c>
      <c r="K34" s="320">
        <f>IFERROR(__xludf.DUMMYFUNCTION("""COMPUTED_VALUE"""),14.58)</f>
        <v>14.58</v>
      </c>
      <c r="L34" s="320">
        <f>IFERROR(__xludf.DUMMYFUNCTION("""COMPUTED_VALUE"""),0.5265)</f>
        <v>0.5265</v>
      </c>
      <c r="M34" s="320">
        <f>IFERROR(__xludf.DUMMYFUNCTION("""COMPUTED_VALUE"""),0.6694)</f>
        <v>0.6694</v>
      </c>
      <c r="N34" s="320">
        <f>IFERROR(__xludf.DUMMYFUNCTION("""COMPUTED_VALUE"""),0.4733)</f>
        <v>0.4733</v>
      </c>
      <c r="O34" s="320">
        <f>IFERROR(__xludf.DUMMYFUNCTION("""COMPUTED_VALUE"""),1.8992)</f>
        <v>1.8992</v>
      </c>
      <c r="P34" s="320">
        <f>IFERROR(__xludf.DUMMYFUNCTION("""COMPUTED_VALUE"""),132.86)</f>
        <v>132.86</v>
      </c>
      <c r="Q34" s="320">
        <f>IFERROR(__xludf.DUMMYFUNCTION("""COMPUTED_VALUE"""),103.29)</f>
        <v>103.29</v>
      </c>
      <c r="R34" s="320">
        <f>IFERROR(__xludf.DUMMYFUNCTION("""COMPUTED_VALUE"""),29.57)</f>
        <v>29.57</v>
      </c>
      <c r="S34" s="320">
        <f>IFERROR(__xludf.DUMMYFUNCTION("""COMPUTED_VALUE"""),4.17)</f>
        <v>4.17</v>
      </c>
      <c r="T34" s="320">
        <f>IFERROR(__xludf.DUMMYFUNCTION("""COMPUTED_VALUE"""),128.69)</f>
        <v>128.69</v>
      </c>
      <c r="U34" s="320">
        <f>IFERROR(__xludf.DUMMYFUNCTION("""COMPUTED_VALUE"""),117.88)</f>
        <v>117.88</v>
      </c>
      <c r="V34" s="320">
        <f>IFERROR(__xludf.DUMMYFUNCTION("""COMPUTED_VALUE"""),4.2569)</f>
        <v>4.2569</v>
      </c>
      <c r="W34" s="320">
        <f>IFERROR(__xludf.DUMMYFUNCTION("""COMPUTED_VALUE"""),3.14)</f>
        <v>3.14</v>
      </c>
      <c r="X34" s="320">
        <f>IFERROR(__xludf.DUMMYFUNCTION("""COMPUTED_VALUE"""),140.0)</f>
        <v>140</v>
      </c>
      <c r="Y34" s="320">
        <f>IFERROR(__xludf.DUMMYFUNCTION("""COMPUTED_VALUE"""),739.0)</f>
        <v>739</v>
      </c>
      <c r="Z34" s="320">
        <f>IFERROR(__xludf.DUMMYFUNCTION("""COMPUTED_VALUE"""),5559.0)</f>
        <v>5559</v>
      </c>
      <c r="AA34" s="320">
        <f>IFERROR(__xludf.DUMMYFUNCTION("""COMPUTED_VALUE"""),51.9586)</f>
        <v>51.9586</v>
      </c>
      <c r="AB34" s="320">
        <f>IFERROR(__xludf.DUMMYFUNCTION("""COMPUTED_VALUE"""),0.6051)</f>
        <v>0.6051</v>
      </c>
      <c r="AC34" s="320">
        <f>IFERROR(__xludf.DUMMYFUNCTION("""COMPUTED_VALUE"""),9.52)</f>
        <v>9.52</v>
      </c>
      <c r="AD34" s="320">
        <f>IFERROR(__xludf.DUMMYFUNCTION("""COMPUTED_VALUE"""),4.0)</f>
        <v>4</v>
      </c>
      <c r="AE34" s="320">
        <f>IFERROR(__xludf.DUMMYFUNCTION("""COMPUTED_VALUE"""),7.0)</f>
        <v>7</v>
      </c>
      <c r="AF34" s="320">
        <f>IFERROR(__xludf.DUMMYFUNCTION("""COMPUTED_VALUE"""),13.0)</f>
        <v>13</v>
      </c>
      <c r="AG34" s="320">
        <f>IFERROR(__xludf.DUMMYFUNCTION("""COMPUTED_VALUE"""),20.0)</f>
        <v>20</v>
      </c>
      <c r="AH34" s="320">
        <f>IFERROR(__xludf.DUMMYFUNCTION("""COMPUTED_VALUE"""),61.72)</f>
        <v>61.72</v>
      </c>
      <c r="AI34" s="320">
        <f>IFERROR(__xludf.DUMMYFUNCTION("""COMPUTED_VALUE"""),26.67)</f>
        <v>26.67</v>
      </c>
      <c r="AJ34" s="320">
        <f>IFERROR(__xludf.DUMMYFUNCTION("""COMPUTED_VALUE"""),4.71)</f>
        <v>4.71</v>
      </c>
      <c r="AK34" s="320">
        <f>IFERROR(__xludf.DUMMYFUNCTION("""COMPUTED_VALUE"""),0.1824)</f>
        <v>0.1824</v>
      </c>
      <c r="AL34" s="320">
        <f>IFERROR(__xludf.DUMMYFUNCTION("""COMPUTED_VALUE"""),19.16)</f>
        <v>19.16</v>
      </c>
      <c r="AM34" s="320">
        <f>IFERROR(__xludf.DUMMYFUNCTION("""COMPUTED_VALUE"""),84.13)</f>
        <v>84.13</v>
      </c>
      <c r="AN34" s="320">
        <f>IFERROR(__xludf.DUMMYFUNCTION("""COMPUTED_VALUE"""),63.76)</f>
        <v>63.76</v>
      </c>
      <c r="AO34" s="320">
        <f>IFERROR(__xludf.DUMMYFUNCTION("""COMPUTED_VALUE"""),12.22)</f>
        <v>12.22</v>
      </c>
    </row>
    <row r="35" ht="15.75" customHeight="1">
      <c r="A35" s="330">
        <f>IFERROR(__xludf.DUMMYFUNCTION("""COMPUTED_VALUE"""),46055.0)</f>
        <v>46055</v>
      </c>
      <c r="B35" s="319" t="str">
        <f>IFERROR(__xludf.DUMMYFUNCTION("""COMPUTED_VALUE"""),"D. 20-39")</f>
        <v>D. 20-39</v>
      </c>
      <c r="C35" s="320">
        <f>IFERROR(__xludf.DUMMYFUNCTION("""COMPUTED_VALUE"""),16644.0)</f>
        <v>16644</v>
      </c>
      <c r="D35" s="320">
        <f>IFERROR(__xludf.DUMMYFUNCTION("""COMPUTED_VALUE"""),14.29)</f>
        <v>14.29</v>
      </c>
      <c r="E35" s="320">
        <f>IFERROR(__xludf.DUMMYFUNCTION("""COMPUTED_VALUE"""),0.0)</f>
        <v>0</v>
      </c>
      <c r="F35" s="320">
        <f>IFERROR(__xludf.DUMMYFUNCTION("""COMPUTED_VALUE"""),0.0)</f>
        <v>0</v>
      </c>
      <c r="G35" s="320">
        <f>IFERROR(__xludf.DUMMYFUNCTION("""COMPUTED_VALUE"""),0.0)</f>
        <v>0</v>
      </c>
      <c r="H35" s="106"/>
      <c r="I35" s="320">
        <f>IFERROR(__xludf.DUMMYFUNCTION("""COMPUTED_VALUE"""),88.71)</f>
        <v>88.71</v>
      </c>
      <c r="J35" s="320">
        <f>IFERROR(__xludf.DUMMYFUNCTION("""COMPUTED_VALUE"""),43.37)</f>
        <v>43.37</v>
      </c>
      <c r="K35" s="320">
        <f>IFERROR(__xludf.DUMMYFUNCTION("""COMPUTED_VALUE"""),28.83)</f>
        <v>28.83</v>
      </c>
      <c r="L35" s="320">
        <f>IFERROR(__xludf.DUMMYFUNCTION("""COMPUTED_VALUE"""),0.6646)</f>
        <v>0.6646</v>
      </c>
      <c r="M35" s="320">
        <f>IFERROR(__xludf.DUMMYFUNCTION("""COMPUTED_VALUE"""),0.5338)</f>
        <v>0.5338</v>
      </c>
      <c r="N35" s="320">
        <f>IFERROR(__xludf.DUMMYFUNCTION("""COMPUTED_VALUE"""),0.3737)</f>
        <v>0.3737</v>
      </c>
      <c r="O35" s="320">
        <f>IFERROR(__xludf.DUMMYFUNCTION("""COMPUTED_VALUE"""),1.5047)</f>
        <v>1.5047</v>
      </c>
      <c r="P35" s="320">
        <f>IFERROR(__xludf.DUMMYFUNCTION("""COMPUTED_VALUE"""),218.3)</f>
        <v>218.3</v>
      </c>
      <c r="Q35" s="320">
        <f>IFERROR(__xludf.DUMMYFUNCTION("""COMPUTED_VALUE"""),159.19)</f>
        <v>159.19</v>
      </c>
      <c r="R35" s="320">
        <f>IFERROR(__xludf.DUMMYFUNCTION("""COMPUTED_VALUE"""),59.1)</f>
        <v>59.1</v>
      </c>
      <c r="S35" s="320">
        <f>IFERROR(__xludf.DUMMYFUNCTION("""COMPUTED_VALUE"""),2.64)</f>
        <v>2.64</v>
      </c>
      <c r="T35" s="320">
        <f>IFERROR(__xludf.DUMMYFUNCTION("""COMPUTED_VALUE"""),215.66)</f>
        <v>215.66</v>
      </c>
      <c r="U35" s="320">
        <f>IFERROR(__xludf.DUMMYFUNCTION("""COMPUTED_VALUE"""),200.36)</f>
        <v>200.36</v>
      </c>
      <c r="V35" s="320">
        <f>IFERROR(__xludf.DUMMYFUNCTION("""COMPUTED_VALUE"""),4.6192)</f>
        <v>4.6192</v>
      </c>
      <c r="W35" s="320">
        <f>IFERROR(__xludf.DUMMYFUNCTION("""COMPUTED_VALUE"""),1.21)</f>
        <v>1.21</v>
      </c>
      <c r="X35" s="320">
        <f>IFERROR(__xludf.DUMMYFUNCTION("""COMPUTED_VALUE"""),184.0)</f>
        <v>184</v>
      </c>
      <c r="Y35" s="320">
        <f>IFERROR(__xludf.DUMMYFUNCTION("""COMPUTED_VALUE"""),1214.0)</f>
        <v>1214</v>
      </c>
      <c r="Z35" s="320">
        <f>IFERROR(__xludf.DUMMYFUNCTION("""COMPUTED_VALUE"""),7291.0)</f>
        <v>7291</v>
      </c>
      <c r="AA35" s="320">
        <f>IFERROR(__xludf.DUMMYFUNCTION("""COMPUTED_VALUE"""),55.1454)</f>
        <v>55.1454</v>
      </c>
      <c r="AB35" s="320">
        <f>IFERROR(__xludf.DUMMYFUNCTION("""COMPUTED_VALUE"""),0.6892)</f>
        <v>0.6892</v>
      </c>
      <c r="AC35" s="320">
        <f>IFERROR(__xludf.DUMMYFUNCTION("""COMPUTED_VALUE"""),18.65)</f>
        <v>18.65</v>
      </c>
      <c r="AD35" s="320">
        <f>IFERROR(__xludf.DUMMYFUNCTION("""COMPUTED_VALUE"""),8.0)</f>
        <v>8</v>
      </c>
      <c r="AE35" s="320">
        <f>IFERROR(__xludf.DUMMYFUNCTION("""COMPUTED_VALUE"""),15.0)</f>
        <v>15</v>
      </c>
      <c r="AF35" s="320">
        <f>IFERROR(__xludf.DUMMYFUNCTION("""COMPUTED_VALUE"""),26.0)</f>
        <v>26</v>
      </c>
      <c r="AG35" s="320">
        <f>IFERROR(__xludf.DUMMYFUNCTION("""COMPUTED_VALUE"""),38.0)</f>
        <v>38</v>
      </c>
      <c r="AH35" s="320">
        <f>IFERROR(__xludf.DUMMYFUNCTION("""COMPUTED_VALUE"""),63.67)</f>
        <v>63.67</v>
      </c>
      <c r="AI35" s="320">
        <f>IFERROR(__xludf.DUMMYFUNCTION("""COMPUTED_VALUE"""),25.91)</f>
        <v>25.91</v>
      </c>
      <c r="AJ35" s="320">
        <f>IFERROR(__xludf.DUMMYFUNCTION("""COMPUTED_VALUE"""),6.66)</f>
        <v>6.66</v>
      </c>
      <c r="AK35" s="320">
        <f>IFERROR(__xludf.DUMMYFUNCTION("""COMPUTED_VALUE"""),0.1704)</f>
        <v>0.1704</v>
      </c>
      <c r="AL35" s="320">
        <f>IFERROR(__xludf.DUMMYFUNCTION("""COMPUTED_VALUE"""),19.46)</f>
        <v>19.46</v>
      </c>
      <c r="AM35" s="320">
        <f>IFERROR(__xludf.DUMMYFUNCTION("""COMPUTED_VALUE"""),139.73)</f>
        <v>139.73</v>
      </c>
      <c r="AN35" s="320">
        <f>IFERROR(__xludf.DUMMYFUNCTION("""COMPUTED_VALUE"""),64.39)</f>
        <v>64.39</v>
      </c>
      <c r="AO35" s="320">
        <f>IFERROR(__xludf.DUMMYFUNCTION("""COMPUTED_VALUE"""),12.53)</f>
        <v>12.53</v>
      </c>
    </row>
    <row r="36" ht="15.75" customHeight="1">
      <c r="A36" s="330">
        <f>IFERROR(__xludf.DUMMYFUNCTION("""COMPUTED_VALUE"""),46055.0)</f>
        <v>46055</v>
      </c>
      <c r="B36" s="319" t="str">
        <f>IFERROR(__xludf.DUMMYFUNCTION("""COMPUTED_VALUE"""),"E. 40-99")</f>
        <v>E. 40-99</v>
      </c>
      <c r="C36" s="320">
        <f>IFERROR(__xludf.DUMMYFUNCTION("""COMPUTED_VALUE"""),7064.0)</f>
        <v>7064</v>
      </c>
      <c r="D36" s="320">
        <f>IFERROR(__xludf.DUMMYFUNCTION("""COMPUTED_VALUE"""),6.06)</f>
        <v>6.06</v>
      </c>
      <c r="E36" s="320">
        <f>IFERROR(__xludf.DUMMYFUNCTION("""COMPUTED_VALUE"""),0.0)</f>
        <v>0</v>
      </c>
      <c r="F36" s="320">
        <f>IFERROR(__xludf.DUMMYFUNCTION("""COMPUTED_VALUE"""),0.0)</f>
        <v>0</v>
      </c>
      <c r="G36" s="320">
        <f>IFERROR(__xludf.DUMMYFUNCTION("""COMPUTED_VALUE"""),0.0)</f>
        <v>0</v>
      </c>
      <c r="H36" s="106"/>
      <c r="I36" s="320">
        <f>IFERROR(__xludf.DUMMYFUNCTION("""COMPUTED_VALUE"""),145.09)</f>
        <v>145.09</v>
      </c>
      <c r="J36" s="320">
        <f>IFERROR(__xludf.DUMMYFUNCTION("""COMPUTED_VALUE"""),76.58)</f>
        <v>76.58</v>
      </c>
      <c r="K36" s="320">
        <f>IFERROR(__xludf.DUMMYFUNCTION("""COMPUTED_VALUE"""),62.29)</f>
        <v>62.29</v>
      </c>
      <c r="L36" s="320">
        <f>IFERROR(__xludf.DUMMYFUNCTION("""COMPUTED_VALUE"""),0.8134)</f>
        <v>0.8134</v>
      </c>
      <c r="M36" s="320">
        <f>IFERROR(__xludf.DUMMYFUNCTION("""COMPUTED_VALUE"""),0.3766)</f>
        <v>0.3766</v>
      </c>
      <c r="N36" s="320">
        <f>IFERROR(__xludf.DUMMYFUNCTION("""COMPUTED_VALUE"""),0.2767)</f>
        <v>0.2767</v>
      </c>
      <c r="O36" s="320">
        <f>IFERROR(__xludf.DUMMYFUNCTION("""COMPUTED_VALUE"""),1.2293)</f>
        <v>1.2293</v>
      </c>
      <c r="P36" s="320">
        <f>IFERROR(__xludf.DUMMYFUNCTION("""COMPUTED_VALUE"""),414.3)</f>
        <v>414.3</v>
      </c>
      <c r="Q36" s="320">
        <f>IFERROR(__xludf.DUMMYFUNCTION("""COMPUTED_VALUE"""),298.34)</f>
        <v>298.34</v>
      </c>
      <c r="R36" s="320">
        <f>IFERROR(__xludf.DUMMYFUNCTION("""COMPUTED_VALUE"""),115.96)</f>
        <v>115.96</v>
      </c>
      <c r="S36" s="320">
        <f>IFERROR(__xludf.DUMMYFUNCTION("""COMPUTED_VALUE"""),3.03)</f>
        <v>3.03</v>
      </c>
      <c r="T36" s="320">
        <f>IFERROR(__xludf.DUMMYFUNCTION("""COMPUTED_VALUE"""),411.28)</f>
        <v>411.28</v>
      </c>
      <c r="U36" s="320">
        <f>IFERROR(__xludf.DUMMYFUNCTION("""COMPUTED_VALUE"""),407.45)</f>
        <v>407.45</v>
      </c>
      <c r="V36" s="320">
        <f>IFERROR(__xludf.DUMMYFUNCTION("""COMPUTED_VALUE"""),5.321)</f>
        <v>5.321</v>
      </c>
      <c r="W36" s="320">
        <f>IFERROR(__xludf.DUMMYFUNCTION("""COMPUTED_VALUE"""),0.73)</f>
        <v>0.73</v>
      </c>
      <c r="X36" s="320">
        <f>IFERROR(__xludf.DUMMYFUNCTION("""COMPUTED_VALUE"""),418.0)</f>
        <v>418</v>
      </c>
      <c r="Y36" s="320">
        <f>IFERROR(__xludf.DUMMYFUNCTION("""COMPUTED_VALUE"""),3026.0)</f>
        <v>3026</v>
      </c>
      <c r="Z36" s="320">
        <f>IFERROR(__xludf.DUMMYFUNCTION("""COMPUTED_VALUE"""),12667.0)</f>
        <v>12667</v>
      </c>
      <c r="AA36" s="320">
        <f>IFERROR(__xludf.DUMMYFUNCTION("""COMPUTED_VALUE"""),58.723)</f>
        <v>58.723</v>
      </c>
      <c r="AB36" s="320">
        <f>IFERROR(__xludf.DUMMYFUNCTION("""COMPUTED_VALUE"""),0.7152)</f>
        <v>0.7152</v>
      </c>
      <c r="AC36" s="320">
        <f>IFERROR(__xludf.DUMMYFUNCTION("""COMPUTED_VALUE"""),38.8)</f>
        <v>38.8</v>
      </c>
      <c r="AD36" s="320">
        <f>IFERROR(__xludf.DUMMYFUNCTION("""COMPUTED_VALUE"""),17.0)</f>
        <v>17</v>
      </c>
      <c r="AE36" s="320">
        <f>IFERROR(__xludf.DUMMYFUNCTION("""COMPUTED_VALUE"""),33.0)</f>
        <v>33</v>
      </c>
      <c r="AF36" s="320">
        <f>IFERROR(__xludf.DUMMYFUNCTION("""COMPUTED_VALUE"""),49.0)</f>
        <v>49</v>
      </c>
      <c r="AG36" s="320">
        <f>IFERROR(__xludf.DUMMYFUNCTION("""COMPUTED_VALUE"""),78.0)</f>
        <v>78</v>
      </c>
      <c r="AH36" s="320">
        <f>IFERROR(__xludf.DUMMYFUNCTION("""COMPUTED_VALUE"""),58.22)</f>
        <v>58.22</v>
      </c>
      <c r="AI36" s="320">
        <f>IFERROR(__xludf.DUMMYFUNCTION("""COMPUTED_VALUE"""),18.33)</f>
        <v>18.33</v>
      </c>
      <c r="AJ36" s="320">
        <f>IFERROR(__xludf.DUMMYFUNCTION("""COMPUTED_VALUE"""),4.74)</f>
        <v>4.74</v>
      </c>
      <c r="AK36" s="320">
        <f>IFERROR(__xludf.DUMMYFUNCTION("""COMPUTED_VALUE"""),0.1183)</f>
        <v>0.1183</v>
      </c>
      <c r="AL36" s="320">
        <f>IFERROR(__xludf.DUMMYFUNCTION("""COMPUTED_VALUE"""),20.7)</f>
        <v>20.7</v>
      </c>
      <c r="AM36" s="320">
        <f>IFERROR(__xludf.DUMMYFUNCTION("""COMPUTED_VALUE"""),277.64)</f>
        <v>277.64</v>
      </c>
      <c r="AN36" s="320">
        <f>IFERROR(__xludf.DUMMYFUNCTION("""COMPUTED_VALUE"""),62.61)</f>
        <v>62.61</v>
      </c>
      <c r="AO36" s="320">
        <f>IFERROR(__xludf.DUMMYFUNCTION("""COMPUTED_VALUE"""),12.96)</f>
        <v>12.96</v>
      </c>
    </row>
    <row r="37" ht="15.75" customHeight="1">
      <c r="A37" s="330">
        <f>IFERROR(__xludf.DUMMYFUNCTION("""COMPUTED_VALUE"""),46055.0)</f>
        <v>46055</v>
      </c>
      <c r="B37" s="319" t="str">
        <f>IFERROR(__xludf.DUMMYFUNCTION("""COMPUTED_VALUE"""),"F. 100+")</f>
        <v>F. 100+</v>
      </c>
      <c r="C37" s="320">
        <f>IFERROR(__xludf.DUMMYFUNCTION("""COMPUTED_VALUE"""),682.0)</f>
        <v>682</v>
      </c>
      <c r="D37" s="320">
        <f>IFERROR(__xludf.DUMMYFUNCTION("""COMPUTED_VALUE"""),0.59)</f>
        <v>0.59</v>
      </c>
      <c r="E37" s="320">
        <f>IFERROR(__xludf.DUMMYFUNCTION("""COMPUTED_VALUE"""),0.0)</f>
        <v>0</v>
      </c>
      <c r="F37" s="320">
        <f>IFERROR(__xludf.DUMMYFUNCTION("""COMPUTED_VALUE"""),0.0)</f>
        <v>0</v>
      </c>
      <c r="G37" s="320">
        <f>IFERROR(__xludf.DUMMYFUNCTION("""COMPUTED_VALUE"""),0.0)</f>
        <v>0</v>
      </c>
      <c r="H37" s="106"/>
      <c r="I37" s="320">
        <f>IFERROR(__xludf.DUMMYFUNCTION("""COMPUTED_VALUE"""),254.56)</f>
        <v>254.56</v>
      </c>
      <c r="J37" s="320">
        <f>IFERROR(__xludf.DUMMYFUNCTION("""COMPUTED_VALUE"""),150.49)</f>
        <v>150.49</v>
      </c>
      <c r="K37" s="320">
        <f>IFERROR(__xludf.DUMMYFUNCTION("""COMPUTED_VALUE"""),131.64)</f>
        <v>131.64</v>
      </c>
      <c r="L37" s="320">
        <f>IFERROR(__xludf.DUMMYFUNCTION("""COMPUTED_VALUE"""),0.8747)</f>
        <v>0.8747</v>
      </c>
      <c r="M37" s="320">
        <f>IFERROR(__xludf.DUMMYFUNCTION("""COMPUTED_VALUE"""),0.2704)</f>
        <v>0.2704</v>
      </c>
      <c r="N37" s="320">
        <f>IFERROR(__xludf.DUMMYFUNCTION("""COMPUTED_VALUE"""),0.2017)</f>
        <v>0.2017</v>
      </c>
      <c r="O37" s="320">
        <f>IFERROR(__xludf.DUMMYFUNCTION("""COMPUTED_VALUE"""),1.1432)</f>
        <v>1.1432</v>
      </c>
      <c r="P37" s="320">
        <f>IFERROR(__xludf.DUMMYFUNCTION("""COMPUTED_VALUE"""),757.61)</f>
        <v>757.61</v>
      </c>
      <c r="Q37" s="320">
        <f>IFERROR(__xludf.DUMMYFUNCTION("""COMPUTED_VALUE"""),479.55)</f>
        <v>479.55</v>
      </c>
      <c r="R37" s="320">
        <f>IFERROR(__xludf.DUMMYFUNCTION("""COMPUTED_VALUE"""),278.06)</f>
        <v>278.06</v>
      </c>
      <c r="S37" s="320">
        <f>IFERROR(__xludf.DUMMYFUNCTION("""COMPUTED_VALUE"""),0.0)</f>
        <v>0</v>
      </c>
      <c r="T37" s="320">
        <f>IFERROR(__xludf.DUMMYFUNCTION("""COMPUTED_VALUE"""),757.61)</f>
        <v>757.61</v>
      </c>
      <c r="U37" s="320">
        <f>IFERROR(__xludf.DUMMYFUNCTION("""COMPUTED_VALUE"""),677.49)</f>
        <v>677.49</v>
      </c>
      <c r="V37" s="320">
        <f>IFERROR(__xludf.DUMMYFUNCTION("""COMPUTED_VALUE"""),4.5019)</f>
        <v>4.5019</v>
      </c>
      <c r="W37" s="320">
        <f>IFERROR(__xludf.DUMMYFUNCTION("""COMPUTED_VALUE"""),0.0)</f>
        <v>0</v>
      </c>
      <c r="X37" s="320">
        <f>IFERROR(__xludf.DUMMYFUNCTION("""COMPUTED_VALUE"""),1047.0)</f>
        <v>1047</v>
      </c>
      <c r="Y37" s="320">
        <f>IFERROR(__xludf.DUMMYFUNCTION("""COMPUTED_VALUE"""),4599.0)</f>
        <v>4599</v>
      </c>
      <c r="Z37" s="320">
        <f>IFERROR(__xludf.DUMMYFUNCTION("""COMPUTED_VALUE"""),11684.0)</f>
        <v>11684</v>
      </c>
      <c r="AA37" s="320">
        <f>IFERROR(__xludf.DUMMYFUNCTION("""COMPUTED_VALUE"""),63.6232)</f>
        <v>63.6232</v>
      </c>
      <c r="AB37" s="320">
        <f>IFERROR(__xludf.DUMMYFUNCTION("""COMPUTED_VALUE"""),0.889)</f>
        <v>0.889</v>
      </c>
      <c r="AC37" s="320">
        <f>IFERROR(__xludf.DUMMYFUNCTION("""COMPUTED_VALUE"""),91.37)</f>
        <v>91.37</v>
      </c>
      <c r="AD37" s="320">
        <f>IFERROR(__xludf.DUMMYFUNCTION("""COMPUTED_VALUE"""),39.0)</f>
        <v>39</v>
      </c>
      <c r="AE37" s="320">
        <f>IFERROR(__xludf.DUMMYFUNCTION("""COMPUTED_VALUE"""),78.0)</f>
        <v>78</v>
      </c>
      <c r="AF37" s="320">
        <f>IFERROR(__xludf.DUMMYFUNCTION("""COMPUTED_VALUE"""),131.0)</f>
        <v>131</v>
      </c>
      <c r="AG37" s="320">
        <f>IFERROR(__xludf.DUMMYFUNCTION("""COMPUTED_VALUE"""),186.0)</f>
        <v>186</v>
      </c>
      <c r="AH37" s="320">
        <f>IFERROR(__xludf.DUMMYFUNCTION("""COMPUTED_VALUE"""),48.68)</f>
        <v>48.68</v>
      </c>
      <c r="AI37" s="320">
        <f>IFERROR(__xludf.DUMMYFUNCTION("""COMPUTED_VALUE"""),11.73)</f>
        <v>11.73</v>
      </c>
      <c r="AJ37" s="320">
        <f>IFERROR(__xludf.DUMMYFUNCTION("""COMPUTED_VALUE"""),1.17)</f>
        <v>1.17</v>
      </c>
      <c r="AK37" s="320">
        <f>IFERROR(__xludf.DUMMYFUNCTION("""COMPUTED_VALUE"""),0.0748)</f>
        <v>0.0748</v>
      </c>
      <c r="AL37" s="320">
        <f>IFERROR(__xludf.DUMMYFUNCTION("""COMPUTED_VALUE"""),22.24)</f>
        <v>22.24</v>
      </c>
      <c r="AM37" s="320">
        <f>IFERROR(__xludf.DUMMYFUNCTION("""COMPUTED_VALUE"""),457.31)</f>
        <v>457.31</v>
      </c>
      <c r="AN37" s="320">
        <f>IFERROR(__xludf.DUMMYFUNCTION("""COMPUTED_VALUE"""),72.37)</f>
        <v>72.37</v>
      </c>
      <c r="AO37" s="320">
        <f>IFERROR(__xludf.DUMMYFUNCTION("""COMPUTED_VALUE"""),16.1)</f>
        <v>16.1</v>
      </c>
    </row>
    <row r="38" ht="15.75" customHeight="1">
      <c r="A38" s="330">
        <f>IFERROR(__xludf.DUMMYFUNCTION("""COMPUTED_VALUE"""),46056.0)</f>
        <v>46056</v>
      </c>
      <c r="B38" s="319" t="str">
        <f>IFERROR(__xludf.DUMMYFUNCTION("""COMPUTED_VALUE"""),"A. 0")</f>
        <v>A. 0</v>
      </c>
      <c r="C38" s="320">
        <f>IFERROR(__xludf.DUMMYFUNCTION("""COMPUTED_VALUE"""),20353.0)</f>
        <v>20353</v>
      </c>
      <c r="D38" s="320">
        <f>IFERROR(__xludf.DUMMYFUNCTION("""COMPUTED_VALUE"""),17.52)</f>
        <v>17.52</v>
      </c>
      <c r="E38" s="320">
        <f>IFERROR(__xludf.DUMMYFUNCTION("""COMPUTED_VALUE"""),0.0)</f>
        <v>0</v>
      </c>
      <c r="F38" s="320">
        <f>IFERROR(__xludf.DUMMYFUNCTION("""COMPUTED_VALUE"""),0.0)</f>
        <v>0</v>
      </c>
      <c r="G38" s="320">
        <f>IFERROR(__xludf.DUMMYFUNCTION("""COMPUTED_VALUE"""),0.0)</f>
        <v>0</v>
      </c>
      <c r="H38" s="106"/>
      <c r="I38" s="320">
        <f>IFERROR(__xludf.DUMMYFUNCTION("""COMPUTED_VALUE"""),6.14)</f>
        <v>6.14</v>
      </c>
      <c r="J38" s="320">
        <f>IFERROR(__xludf.DUMMYFUNCTION("""COMPUTED_VALUE"""),2.43)</f>
        <v>2.43</v>
      </c>
      <c r="K38" s="320">
        <f>IFERROR(__xludf.DUMMYFUNCTION("""COMPUTED_VALUE"""),0.11)</f>
        <v>0.11</v>
      </c>
      <c r="L38" s="320">
        <f>IFERROR(__xludf.DUMMYFUNCTION("""COMPUTED_VALUE"""),0.0465)</f>
        <v>0.0465</v>
      </c>
      <c r="M38" s="320">
        <f>IFERROR(__xludf.DUMMYFUNCTION("""COMPUTED_VALUE"""),0.9596)</f>
        <v>0.9596</v>
      </c>
      <c r="N38" s="320">
        <f>IFERROR(__xludf.DUMMYFUNCTION("""COMPUTED_VALUE"""),0.6392)</f>
        <v>0.6392</v>
      </c>
      <c r="O38" s="320">
        <f>IFERROR(__xludf.DUMMYFUNCTION("""COMPUTED_VALUE"""),21.5126)</f>
        <v>21.5126</v>
      </c>
      <c r="P38" s="320">
        <f>IFERROR(__xludf.DUMMYFUNCTION("""COMPUTED_VALUE"""),34.74)</f>
        <v>34.74</v>
      </c>
      <c r="Q38" s="320">
        <f>IFERROR(__xludf.DUMMYFUNCTION("""COMPUTED_VALUE"""),34.51)</f>
        <v>34.51</v>
      </c>
      <c r="R38" s="320">
        <f>IFERROR(__xludf.DUMMYFUNCTION("""COMPUTED_VALUE"""),0.24)</f>
        <v>0.24</v>
      </c>
      <c r="S38" s="320">
        <f>IFERROR(__xludf.DUMMYFUNCTION("""COMPUTED_VALUE"""),0.01)</f>
        <v>0.01</v>
      </c>
      <c r="T38" s="320">
        <f>IFERROR(__xludf.DUMMYFUNCTION("""COMPUTED_VALUE"""),34.73)</f>
        <v>34.73</v>
      </c>
      <c r="U38" s="320">
        <f>IFERROR(__xludf.DUMMYFUNCTION("""COMPUTED_VALUE"""),2.28)</f>
        <v>2.28</v>
      </c>
      <c r="V38" s="320">
        <f>IFERROR(__xludf.DUMMYFUNCTION("""COMPUTED_VALUE"""),0.9376)</f>
        <v>0.9376</v>
      </c>
      <c r="W38" s="320">
        <f>IFERROR(__xludf.DUMMYFUNCTION("""COMPUTED_VALUE"""),0.03)</f>
        <v>0.03</v>
      </c>
      <c r="X38" s="320">
        <f>IFERROR(__xludf.DUMMYFUNCTION("""COMPUTED_VALUE"""),332.0)</f>
        <v>332</v>
      </c>
      <c r="Y38" s="320">
        <f>IFERROR(__xludf.DUMMYFUNCTION("""COMPUTED_VALUE"""),3296.0)</f>
        <v>3296</v>
      </c>
      <c r="Z38" s="320">
        <f>IFERROR(__xludf.DUMMYFUNCTION("""COMPUTED_VALUE"""),13708.0)</f>
        <v>13708</v>
      </c>
      <c r="AA38" s="320">
        <f>IFERROR(__xludf.DUMMYFUNCTION("""COMPUTED_VALUE"""),48.8555)</f>
        <v>48.8555</v>
      </c>
      <c r="AB38" s="320">
        <f>IFERROR(__xludf.DUMMYFUNCTION("""COMPUTED_VALUE"""),0.543)</f>
        <v>0.543</v>
      </c>
      <c r="AC38" s="106"/>
      <c r="AD38" s="106"/>
      <c r="AE38" s="106"/>
      <c r="AF38" s="106"/>
      <c r="AG38" s="106"/>
      <c r="AH38" s="320">
        <f>IFERROR(__xludf.DUMMYFUNCTION("""COMPUTED_VALUE"""),0.0)</f>
        <v>0</v>
      </c>
      <c r="AI38" s="320">
        <f>IFERROR(__xludf.DUMMYFUNCTION("""COMPUTED_VALUE"""),0.0)</f>
        <v>0</v>
      </c>
      <c r="AJ38" s="320">
        <f>IFERROR(__xludf.DUMMYFUNCTION("""COMPUTED_VALUE"""),0.0)</f>
        <v>0</v>
      </c>
      <c r="AK38" s="320">
        <f>IFERROR(__xludf.DUMMYFUNCTION("""COMPUTED_VALUE"""),0.299)</f>
        <v>0.299</v>
      </c>
      <c r="AL38" s="320">
        <f>IFERROR(__xludf.DUMMYFUNCTION("""COMPUTED_VALUE"""),17.47)</f>
        <v>17.47</v>
      </c>
      <c r="AM38" s="320">
        <f>IFERROR(__xludf.DUMMYFUNCTION("""COMPUTED_VALUE"""),17.04)</f>
        <v>17.04</v>
      </c>
      <c r="AN38" s="331"/>
      <c r="AO38" s="331"/>
    </row>
    <row r="39" ht="15.75" customHeight="1">
      <c r="A39" s="330">
        <f>IFERROR(__xludf.DUMMYFUNCTION("""COMPUTED_VALUE"""),46056.0)</f>
        <v>46056</v>
      </c>
      <c r="B39" s="319" t="str">
        <f>IFERROR(__xludf.DUMMYFUNCTION("""COMPUTED_VALUE"""),"B. 1-9")</f>
        <v>B. 1-9</v>
      </c>
      <c r="C39" s="320">
        <f>IFERROR(__xludf.DUMMYFUNCTION("""COMPUTED_VALUE"""),40664.0)</f>
        <v>40664</v>
      </c>
      <c r="D39" s="320">
        <f>IFERROR(__xludf.DUMMYFUNCTION("""COMPUTED_VALUE"""),35.01)</f>
        <v>35.01</v>
      </c>
      <c r="E39" s="320">
        <f>IFERROR(__xludf.DUMMYFUNCTION("""COMPUTED_VALUE"""),0.0)</f>
        <v>0</v>
      </c>
      <c r="F39" s="320">
        <f>IFERROR(__xludf.DUMMYFUNCTION("""COMPUTED_VALUE"""),0.0)</f>
        <v>0</v>
      </c>
      <c r="G39" s="320">
        <f>IFERROR(__xludf.DUMMYFUNCTION("""COMPUTED_VALUE"""),0.0)</f>
        <v>0</v>
      </c>
      <c r="H39" s="106"/>
      <c r="I39" s="320">
        <f>IFERROR(__xludf.DUMMYFUNCTION("""COMPUTED_VALUE"""),31.29)</f>
        <v>31.29</v>
      </c>
      <c r="J39" s="320">
        <f>IFERROR(__xludf.DUMMYFUNCTION("""COMPUTED_VALUE"""),14.05)</f>
        <v>14.05</v>
      </c>
      <c r="K39" s="320">
        <f>IFERROR(__xludf.DUMMYFUNCTION("""COMPUTED_VALUE"""),6.06)</f>
        <v>6.06</v>
      </c>
      <c r="L39" s="320">
        <f>IFERROR(__xludf.DUMMYFUNCTION("""COMPUTED_VALUE"""),0.4314)</f>
        <v>0.4314</v>
      </c>
      <c r="M39" s="320">
        <f>IFERROR(__xludf.DUMMYFUNCTION("""COMPUTED_VALUE"""),0.7372)</f>
        <v>0.7372</v>
      </c>
      <c r="N39" s="320">
        <f>IFERROR(__xludf.DUMMYFUNCTION("""COMPUTED_VALUE"""),0.5306)</f>
        <v>0.5306</v>
      </c>
      <c r="O39" s="320">
        <f>IFERROR(__xludf.DUMMYFUNCTION("""COMPUTED_VALUE"""),2.3179)</f>
        <v>2.3179</v>
      </c>
      <c r="P39" s="320">
        <f>IFERROR(__xludf.DUMMYFUNCTION("""COMPUTED_VALUE"""),81.01)</f>
        <v>81.01</v>
      </c>
      <c r="Q39" s="320">
        <f>IFERROR(__xludf.DUMMYFUNCTION("""COMPUTED_VALUE"""),68.08)</f>
        <v>68.08</v>
      </c>
      <c r="R39" s="320">
        <f>IFERROR(__xludf.DUMMYFUNCTION("""COMPUTED_VALUE"""),12.93)</f>
        <v>12.93</v>
      </c>
      <c r="S39" s="320">
        <f>IFERROR(__xludf.DUMMYFUNCTION("""COMPUTED_VALUE"""),2.13)</f>
        <v>2.13</v>
      </c>
      <c r="T39" s="320">
        <f>IFERROR(__xludf.DUMMYFUNCTION("""COMPUTED_VALUE"""),78.88)</f>
        <v>78.88</v>
      </c>
      <c r="U39" s="320">
        <f>IFERROR(__xludf.DUMMYFUNCTION("""COMPUTED_VALUE"""),58.61)</f>
        <v>58.61</v>
      </c>
      <c r="V39" s="320">
        <f>IFERROR(__xludf.DUMMYFUNCTION("""COMPUTED_VALUE"""),4.1714)</f>
        <v>4.1714</v>
      </c>
      <c r="W39" s="320">
        <f>IFERROR(__xludf.DUMMYFUNCTION("""COMPUTED_VALUE"""),2.62)</f>
        <v>2.62</v>
      </c>
      <c r="X39" s="320">
        <f>IFERROR(__xludf.DUMMYFUNCTION("""COMPUTED_VALUE"""),170.0)</f>
        <v>170</v>
      </c>
      <c r="Y39" s="320">
        <f>IFERROR(__xludf.DUMMYFUNCTION("""COMPUTED_VALUE"""),916.0)</f>
        <v>916</v>
      </c>
      <c r="Z39" s="320">
        <f>IFERROR(__xludf.DUMMYFUNCTION("""COMPUTED_VALUE"""),5827.0)</f>
        <v>5827</v>
      </c>
      <c r="AA39" s="320">
        <f>IFERROR(__xludf.DUMMYFUNCTION("""COMPUTED_VALUE"""),48.4212)</f>
        <v>48.4212</v>
      </c>
      <c r="AB39" s="320">
        <f>IFERROR(__xludf.DUMMYFUNCTION("""COMPUTED_VALUE"""),0.5321)</f>
        <v>0.5321</v>
      </c>
      <c r="AC39" s="320">
        <f>IFERROR(__xludf.DUMMYFUNCTION("""COMPUTED_VALUE"""),4.42)</f>
        <v>4.42</v>
      </c>
      <c r="AD39" s="320">
        <f>IFERROR(__xludf.DUMMYFUNCTION("""COMPUTED_VALUE"""),2.0)</f>
        <v>2</v>
      </c>
      <c r="AE39" s="320">
        <f>IFERROR(__xludf.DUMMYFUNCTION("""COMPUTED_VALUE"""),3.0)</f>
        <v>3</v>
      </c>
      <c r="AF39" s="320">
        <f>IFERROR(__xludf.DUMMYFUNCTION("""COMPUTED_VALUE"""),6.0)</f>
        <v>6</v>
      </c>
      <c r="AG39" s="320">
        <f>IFERROR(__xludf.DUMMYFUNCTION("""COMPUTED_VALUE"""),10.0)</f>
        <v>10</v>
      </c>
      <c r="AH39" s="320">
        <f>IFERROR(__xludf.DUMMYFUNCTION("""COMPUTED_VALUE"""),75.49)</f>
        <v>75.49</v>
      </c>
      <c r="AI39" s="320">
        <f>IFERROR(__xludf.DUMMYFUNCTION("""COMPUTED_VALUE"""),34.61)</f>
        <v>34.61</v>
      </c>
      <c r="AJ39" s="320">
        <f>IFERROR(__xludf.DUMMYFUNCTION("""COMPUTED_VALUE"""),11.27)</f>
        <v>11.27</v>
      </c>
      <c r="AK39" s="320">
        <f>IFERROR(__xludf.DUMMYFUNCTION("""COMPUTED_VALUE"""),0.2499)</f>
        <v>0.2499</v>
      </c>
      <c r="AL39" s="320">
        <f>IFERROR(__xludf.DUMMYFUNCTION("""COMPUTED_VALUE"""),20.11)</f>
        <v>20.11</v>
      </c>
      <c r="AM39" s="320">
        <f>IFERROR(__xludf.DUMMYFUNCTION("""COMPUTED_VALUE"""),47.97)</f>
        <v>47.97</v>
      </c>
      <c r="AN39" s="320">
        <f>IFERROR(__xludf.DUMMYFUNCTION("""COMPUTED_VALUE"""),64.28)</f>
        <v>64.28</v>
      </c>
      <c r="AO39" s="320">
        <f>IFERROR(__xludf.DUMMYFUNCTION("""COMPUTED_VALUE"""),12.93)</f>
        <v>12.93</v>
      </c>
    </row>
    <row r="40" ht="15.75" customHeight="1">
      <c r="A40" s="330">
        <f>IFERROR(__xludf.DUMMYFUNCTION("""COMPUTED_VALUE"""),46056.0)</f>
        <v>46056</v>
      </c>
      <c r="B40" s="319" t="str">
        <f>IFERROR(__xludf.DUMMYFUNCTION("""COMPUTED_VALUE"""),"C. 10-19")</f>
        <v>C. 10-19</v>
      </c>
      <c r="C40" s="320">
        <f>IFERROR(__xludf.DUMMYFUNCTION("""COMPUTED_VALUE"""),30697.0)</f>
        <v>30697</v>
      </c>
      <c r="D40" s="320">
        <f>IFERROR(__xludf.DUMMYFUNCTION("""COMPUTED_VALUE"""),26.43)</f>
        <v>26.43</v>
      </c>
      <c r="E40" s="320">
        <f>IFERROR(__xludf.DUMMYFUNCTION("""COMPUTED_VALUE"""),0.0)</f>
        <v>0</v>
      </c>
      <c r="F40" s="320">
        <f>IFERROR(__xludf.DUMMYFUNCTION("""COMPUTED_VALUE"""),0.0)</f>
        <v>0</v>
      </c>
      <c r="G40" s="320">
        <f>IFERROR(__xludf.DUMMYFUNCTION("""COMPUTED_VALUE"""),0.0)</f>
        <v>0</v>
      </c>
      <c r="H40" s="106"/>
      <c r="I40" s="320">
        <f>IFERROR(__xludf.DUMMYFUNCTION("""COMPUTED_VALUE"""),60.17)</f>
        <v>60.17</v>
      </c>
      <c r="J40" s="320">
        <f>IFERROR(__xludf.DUMMYFUNCTION("""COMPUTED_VALUE"""),28.42)</f>
        <v>28.42</v>
      </c>
      <c r="K40" s="320">
        <f>IFERROR(__xludf.DUMMYFUNCTION("""COMPUTED_VALUE"""),16.12)</f>
        <v>16.12</v>
      </c>
      <c r="L40" s="320">
        <f>IFERROR(__xludf.DUMMYFUNCTION("""COMPUTED_VALUE"""),0.5671)</f>
        <v>0.5671</v>
      </c>
      <c r="M40" s="320">
        <f>IFERROR(__xludf.DUMMYFUNCTION("""COMPUTED_VALUE"""),0.6248)</f>
        <v>0.6248</v>
      </c>
      <c r="N40" s="320">
        <f>IFERROR(__xludf.DUMMYFUNCTION("""COMPUTED_VALUE"""),0.4283)</f>
        <v>0.4283</v>
      </c>
      <c r="O40" s="320">
        <f>IFERROR(__xludf.DUMMYFUNCTION("""COMPUTED_VALUE"""),1.7633)</f>
        <v>1.7633</v>
      </c>
      <c r="P40" s="320">
        <f>IFERROR(__xludf.DUMMYFUNCTION("""COMPUTED_VALUE"""),151.51)</f>
        <v>151.51</v>
      </c>
      <c r="Q40" s="320">
        <f>IFERROR(__xludf.DUMMYFUNCTION("""COMPUTED_VALUE"""),118.7)</f>
        <v>118.7</v>
      </c>
      <c r="R40" s="320">
        <f>IFERROR(__xludf.DUMMYFUNCTION("""COMPUTED_VALUE"""),32.81)</f>
        <v>32.81</v>
      </c>
      <c r="S40" s="320">
        <f>IFERROR(__xludf.DUMMYFUNCTION("""COMPUTED_VALUE"""),4.81)</f>
        <v>4.81</v>
      </c>
      <c r="T40" s="320">
        <f>IFERROR(__xludf.DUMMYFUNCTION("""COMPUTED_VALUE"""),146.7)</f>
        <v>146.7</v>
      </c>
      <c r="U40" s="320">
        <f>IFERROR(__xludf.DUMMYFUNCTION("""COMPUTED_VALUE"""),119.99)</f>
        <v>119.99</v>
      </c>
      <c r="V40" s="320">
        <f>IFERROR(__xludf.DUMMYFUNCTION("""COMPUTED_VALUE"""),4.2221)</f>
        <v>4.2221</v>
      </c>
      <c r="W40" s="320">
        <f>IFERROR(__xludf.DUMMYFUNCTION("""COMPUTED_VALUE"""),3.18)</f>
        <v>3.18</v>
      </c>
      <c r="X40" s="320">
        <f>IFERROR(__xludf.DUMMYFUNCTION("""COMPUTED_VALUE"""),155.0)</f>
        <v>155</v>
      </c>
      <c r="Y40" s="320">
        <f>IFERROR(__xludf.DUMMYFUNCTION("""COMPUTED_VALUE"""),827.0)</f>
        <v>827</v>
      </c>
      <c r="Z40" s="320">
        <f>IFERROR(__xludf.DUMMYFUNCTION("""COMPUTED_VALUE"""),6031.0)</f>
        <v>6031</v>
      </c>
      <c r="AA40" s="320">
        <f>IFERROR(__xludf.DUMMYFUNCTION("""COMPUTED_VALUE"""),51.8958)</f>
        <v>51.8958</v>
      </c>
      <c r="AB40" s="320">
        <f>IFERROR(__xludf.DUMMYFUNCTION("""COMPUTED_VALUE"""),0.6068)</f>
        <v>0.6068</v>
      </c>
      <c r="AC40" s="320">
        <f>IFERROR(__xludf.DUMMYFUNCTION("""COMPUTED_VALUE"""),10.65)</f>
        <v>10.65</v>
      </c>
      <c r="AD40" s="320">
        <f>IFERROR(__xludf.DUMMYFUNCTION("""COMPUTED_VALUE"""),4.0)</f>
        <v>4</v>
      </c>
      <c r="AE40" s="320">
        <f>IFERROR(__xludf.DUMMYFUNCTION("""COMPUTED_VALUE"""),9.0)</f>
        <v>9</v>
      </c>
      <c r="AF40" s="320">
        <f>IFERROR(__xludf.DUMMYFUNCTION("""COMPUTED_VALUE"""),15.0)</f>
        <v>15</v>
      </c>
      <c r="AG40" s="320">
        <f>IFERROR(__xludf.DUMMYFUNCTION("""COMPUTED_VALUE"""),22.0)</f>
        <v>22</v>
      </c>
      <c r="AH40" s="320">
        <f>IFERROR(__xludf.DUMMYFUNCTION("""COMPUTED_VALUE"""),66.81)</f>
        <v>66.81</v>
      </c>
      <c r="AI40" s="320">
        <f>IFERROR(__xludf.DUMMYFUNCTION("""COMPUTED_VALUE"""),32.0)</f>
        <v>32</v>
      </c>
      <c r="AJ40" s="320">
        <f>IFERROR(__xludf.DUMMYFUNCTION("""COMPUTED_VALUE"""),6.39)</f>
        <v>6.39</v>
      </c>
      <c r="AK40" s="320">
        <f>IFERROR(__xludf.DUMMYFUNCTION("""COMPUTED_VALUE"""),0.1816)</f>
        <v>0.1816</v>
      </c>
      <c r="AL40" s="320">
        <f>IFERROR(__xludf.DUMMYFUNCTION("""COMPUTED_VALUE"""),22.92)</f>
        <v>22.92</v>
      </c>
      <c r="AM40" s="320">
        <f>IFERROR(__xludf.DUMMYFUNCTION("""COMPUTED_VALUE"""),95.78)</f>
        <v>95.78</v>
      </c>
      <c r="AN40" s="320">
        <f>IFERROR(__xludf.DUMMYFUNCTION("""COMPUTED_VALUE"""),73.1)</f>
        <v>73.1</v>
      </c>
      <c r="AO40" s="320">
        <f>IFERROR(__xludf.DUMMYFUNCTION("""COMPUTED_VALUE"""),16.75)</f>
        <v>16.75</v>
      </c>
    </row>
    <row r="41" ht="15.75" customHeight="1">
      <c r="A41" s="330">
        <f>IFERROR(__xludf.DUMMYFUNCTION("""COMPUTED_VALUE"""),46056.0)</f>
        <v>46056</v>
      </c>
      <c r="B41" s="319" t="str">
        <f>IFERROR(__xludf.DUMMYFUNCTION("""COMPUTED_VALUE"""),"D. 20-39")</f>
        <v>D. 20-39</v>
      </c>
      <c r="C41" s="320">
        <f>IFERROR(__xludf.DUMMYFUNCTION("""COMPUTED_VALUE"""),17438.0)</f>
        <v>17438</v>
      </c>
      <c r="D41" s="320">
        <f>IFERROR(__xludf.DUMMYFUNCTION("""COMPUTED_VALUE"""),15.01)</f>
        <v>15.01</v>
      </c>
      <c r="E41" s="320">
        <f>IFERROR(__xludf.DUMMYFUNCTION("""COMPUTED_VALUE"""),0.0)</f>
        <v>0</v>
      </c>
      <c r="F41" s="320">
        <f>IFERROR(__xludf.DUMMYFUNCTION("""COMPUTED_VALUE"""),0.0)</f>
        <v>0</v>
      </c>
      <c r="G41" s="320">
        <f>IFERROR(__xludf.DUMMYFUNCTION("""COMPUTED_VALUE"""),0.0)</f>
        <v>0</v>
      </c>
      <c r="H41" s="106"/>
      <c r="I41" s="320">
        <f>IFERROR(__xludf.DUMMYFUNCTION("""COMPUTED_VALUE"""),90.5)</f>
        <v>90.5</v>
      </c>
      <c r="J41" s="320">
        <f>IFERROR(__xludf.DUMMYFUNCTION("""COMPUTED_VALUE"""),45.69)</f>
        <v>45.69</v>
      </c>
      <c r="K41" s="320">
        <f>IFERROR(__xludf.DUMMYFUNCTION("""COMPUTED_VALUE"""),31.95)</f>
        <v>31.95</v>
      </c>
      <c r="L41" s="320">
        <f>IFERROR(__xludf.DUMMYFUNCTION("""COMPUTED_VALUE"""),0.6992)</f>
        <v>0.6992</v>
      </c>
      <c r="M41" s="320">
        <f>IFERROR(__xludf.DUMMYFUNCTION("""COMPUTED_VALUE"""),0.4915)</f>
        <v>0.4915</v>
      </c>
      <c r="N41" s="320">
        <f>IFERROR(__xludf.DUMMYFUNCTION("""COMPUTED_VALUE"""),0.3379)</f>
        <v>0.3379</v>
      </c>
      <c r="O41" s="320">
        <f>IFERROR(__xludf.DUMMYFUNCTION("""COMPUTED_VALUE"""),1.4301)</f>
        <v>1.4301</v>
      </c>
      <c r="P41" s="320">
        <f>IFERROR(__xludf.DUMMYFUNCTION("""COMPUTED_VALUE"""),263.75)</f>
        <v>263.75</v>
      </c>
      <c r="Q41" s="320">
        <f>IFERROR(__xludf.DUMMYFUNCTION("""COMPUTED_VALUE"""),202.31)</f>
        <v>202.31</v>
      </c>
      <c r="R41" s="320">
        <f>IFERROR(__xludf.DUMMYFUNCTION("""COMPUTED_VALUE"""),61.44)</f>
        <v>61.44</v>
      </c>
      <c r="S41" s="320">
        <f>IFERROR(__xludf.DUMMYFUNCTION("""COMPUTED_VALUE"""),3.49)</f>
        <v>3.49</v>
      </c>
      <c r="T41" s="320">
        <f>IFERROR(__xludf.DUMMYFUNCTION("""COMPUTED_VALUE"""),260.26)</f>
        <v>260.26</v>
      </c>
      <c r="U41" s="320">
        <f>IFERROR(__xludf.DUMMYFUNCTION("""COMPUTED_VALUE"""),208.1)</f>
        <v>208.1</v>
      </c>
      <c r="V41" s="320">
        <f>IFERROR(__xludf.DUMMYFUNCTION("""COMPUTED_VALUE"""),4.5546)</f>
        <v>4.5546</v>
      </c>
      <c r="W41" s="320">
        <f>IFERROR(__xludf.DUMMYFUNCTION("""COMPUTED_VALUE"""),1.32)</f>
        <v>1.32</v>
      </c>
      <c r="X41" s="320">
        <f>IFERROR(__xludf.DUMMYFUNCTION("""COMPUTED_VALUE"""),212.0)</f>
        <v>212</v>
      </c>
      <c r="Y41" s="320">
        <f>IFERROR(__xludf.DUMMYFUNCTION("""COMPUTED_VALUE"""),1197.0)</f>
        <v>1197</v>
      </c>
      <c r="Z41" s="320">
        <f>IFERROR(__xludf.DUMMYFUNCTION("""COMPUTED_VALUE"""),7408.0)</f>
        <v>7408</v>
      </c>
      <c r="AA41" s="320">
        <f>IFERROR(__xludf.DUMMYFUNCTION("""COMPUTED_VALUE"""),55.0984)</f>
        <v>55.0984</v>
      </c>
      <c r="AB41" s="320">
        <f>IFERROR(__xludf.DUMMYFUNCTION("""COMPUTED_VALUE"""),0.6905)</f>
        <v>0.6905</v>
      </c>
      <c r="AC41" s="320">
        <f>IFERROR(__xludf.DUMMYFUNCTION("""COMPUTED_VALUE"""),19.63)</f>
        <v>19.63</v>
      </c>
      <c r="AD41" s="320">
        <f>IFERROR(__xludf.DUMMYFUNCTION("""COMPUTED_VALUE"""),9.0)</f>
        <v>9</v>
      </c>
      <c r="AE41" s="320">
        <f>IFERROR(__xludf.DUMMYFUNCTION("""COMPUTED_VALUE"""),16.0)</f>
        <v>16</v>
      </c>
      <c r="AF41" s="320">
        <f>IFERROR(__xludf.DUMMYFUNCTION("""COMPUTED_VALUE"""),27.0)</f>
        <v>27</v>
      </c>
      <c r="AG41" s="320">
        <f>IFERROR(__xludf.DUMMYFUNCTION("""COMPUTED_VALUE"""),39.0)</f>
        <v>39</v>
      </c>
      <c r="AH41" s="320">
        <f>IFERROR(__xludf.DUMMYFUNCTION("""COMPUTED_VALUE"""),66.42)</f>
        <v>66.42</v>
      </c>
      <c r="AI41" s="320">
        <f>IFERROR(__xludf.DUMMYFUNCTION("""COMPUTED_VALUE"""),27.08)</f>
        <v>27.08</v>
      </c>
      <c r="AJ41" s="320">
        <f>IFERROR(__xludf.DUMMYFUNCTION("""COMPUTED_VALUE"""),8.25)</f>
        <v>8.25</v>
      </c>
      <c r="AK41" s="320">
        <f>IFERROR(__xludf.DUMMYFUNCTION("""COMPUTED_VALUE"""),0.1668)</f>
        <v>0.1668</v>
      </c>
      <c r="AL41" s="320">
        <f>IFERROR(__xludf.DUMMYFUNCTION("""COMPUTED_VALUE"""),25.0)</f>
        <v>25</v>
      </c>
      <c r="AM41" s="320">
        <f>IFERROR(__xludf.DUMMYFUNCTION("""COMPUTED_VALUE"""),177.32)</f>
        <v>177.32</v>
      </c>
      <c r="AN41" s="320">
        <f>IFERROR(__xludf.DUMMYFUNCTION("""COMPUTED_VALUE"""),74.33)</f>
        <v>74.33</v>
      </c>
      <c r="AO41" s="320">
        <f>IFERROR(__xludf.DUMMYFUNCTION("""COMPUTED_VALUE"""),18.58)</f>
        <v>18.58</v>
      </c>
    </row>
    <row r="42" ht="15.75" customHeight="1">
      <c r="A42" s="330">
        <f>IFERROR(__xludf.DUMMYFUNCTION("""COMPUTED_VALUE"""),46056.0)</f>
        <v>46056</v>
      </c>
      <c r="B42" s="319" t="str">
        <f>IFERROR(__xludf.DUMMYFUNCTION("""COMPUTED_VALUE"""),"E. 40-99")</f>
        <v>E. 40-99</v>
      </c>
      <c r="C42" s="320">
        <f>IFERROR(__xludf.DUMMYFUNCTION("""COMPUTED_VALUE"""),6289.0)</f>
        <v>6289</v>
      </c>
      <c r="D42" s="320">
        <f>IFERROR(__xludf.DUMMYFUNCTION("""COMPUTED_VALUE"""),5.41)</f>
        <v>5.41</v>
      </c>
      <c r="E42" s="320">
        <f>IFERROR(__xludf.DUMMYFUNCTION("""COMPUTED_VALUE"""),0.0)</f>
        <v>0</v>
      </c>
      <c r="F42" s="320">
        <f>IFERROR(__xludf.DUMMYFUNCTION("""COMPUTED_VALUE"""),0.0)</f>
        <v>0</v>
      </c>
      <c r="G42" s="320">
        <f>IFERROR(__xludf.DUMMYFUNCTION("""COMPUTED_VALUE"""),0.0)</f>
        <v>0</v>
      </c>
      <c r="H42" s="106"/>
      <c r="I42" s="320">
        <f>IFERROR(__xludf.DUMMYFUNCTION("""COMPUTED_VALUE"""),135.59)</f>
        <v>135.59</v>
      </c>
      <c r="J42" s="320">
        <f>IFERROR(__xludf.DUMMYFUNCTION("""COMPUTED_VALUE"""),73.52)</f>
        <v>73.52</v>
      </c>
      <c r="K42" s="320">
        <f>IFERROR(__xludf.DUMMYFUNCTION("""COMPUTED_VALUE"""),59.17)</f>
        <v>59.17</v>
      </c>
      <c r="L42" s="320">
        <f>IFERROR(__xludf.DUMMYFUNCTION("""COMPUTED_VALUE"""),0.8049)</f>
        <v>0.8049</v>
      </c>
      <c r="M42" s="320">
        <f>IFERROR(__xludf.DUMMYFUNCTION("""COMPUTED_VALUE"""),0.3747)</f>
        <v>0.3747</v>
      </c>
      <c r="N42" s="320">
        <f>IFERROR(__xludf.DUMMYFUNCTION("""COMPUTED_VALUE"""),0.2698)</f>
        <v>0.2698</v>
      </c>
      <c r="O42" s="320">
        <f>IFERROR(__xludf.DUMMYFUNCTION("""COMPUTED_VALUE"""),1.2424)</f>
        <v>1.2424</v>
      </c>
      <c r="P42" s="320">
        <f>IFERROR(__xludf.DUMMYFUNCTION("""COMPUTED_VALUE"""),525.89)</f>
        <v>525.89</v>
      </c>
      <c r="Q42" s="320">
        <f>IFERROR(__xludf.DUMMYFUNCTION("""COMPUTED_VALUE"""),401.35)</f>
        <v>401.35</v>
      </c>
      <c r="R42" s="320">
        <f>IFERROR(__xludf.DUMMYFUNCTION("""COMPUTED_VALUE"""),124.54)</f>
        <v>124.54</v>
      </c>
      <c r="S42" s="320">
        <f>IFERROR(__xludf.DUMMYFUNCTION("""COMPUTED_VALUE"""),9.67)</f>
        <v>9.67</v>
      </c>
      <c r="T42" s="320">
        <f>IFERROR(__xludf.DUMMYFUNCTION("""COMPUTED_VALUE"""),516.22)</f>
        <v>516.22</v>
      </c>
      <c r="U42" s="320">
        <f>IFERROR(__xludf.DUMMYFUNCTION("""COMPUTED_VALUE"""),395.09)</f>
        <v>395.09</v>
      </c>
      <c r="V42" s="320">
        <f>IFERROR(__xludf.DUMMYFUNCTION("""COMPUTED_VALUE"""),5.374)</f>
        <v>5.374</v>
      </c>
      <c r="W42" s="320">
        <f>IFERROR(__xludf.DUMMYFUNCTION("""COMPUTED_VALUE"""),1.84)</f>
        <v>1.84</v>
      </c>
      <c r="X42" s="320">
        <f>IFERROR(__xludf.DUMMYFUNCTION("""COMPUTED_VALUE"""),465.0)</f>
        <v>465</v>
      </c>
      <c r="Y42" s="320">
        <f>IFERROR(__xludf.DUMMYFUNCTION("""COMPUTED_VALUE"""),2646.0)</f>
        <v>2646</v>
      </c>
      <c r="Z42" s="320">
        <f>IFERROR(__xludf.DUMMYFUNCTION("""COMPUTED_VALUE"""),9954.0)</f>
        <v>9954</v>
      </c>
      <c r="AA42" s="320">
        <f>IFERROR(__xludf.DUMMYFUNCTION("""COMPUTED_VALUE"""),59.3707)</f>
        <v>59.3707</v>
      </c>
      <c r="AB42" s="320">
        <f>IFERROR(__xludf.DUMMYFUNCTION("""COMPUTED_VALUE"""),0.826)</f>
        <v>0.826</v>
      </c>
      <c r="AC42" s="320">
        <f>IFERROR(__xludf.DUMMYFUNCTION("""COMPUTED_VALUE"""),41.32)</f>
        <v>41.32</v>
      </c>
      <c r="AD42" s="320">
        <f>IFERROR(__xludf.DUMMYFUNCTION("""COMPUTED_VALUE"""),18.0)</f>
        <v>18</v>
      </c>
      <c r="AE42" s="320">
        <f>IFERROR(__xludf.DUMMYFUNCTION("""COMPUTED_VALUE"""),34.0)</f>
        <v>34</v>
      </c>
      <c r="AF42" s="320">
        <f>IFERROR(__xludf.DUMMYFUNCTION("""COMPUTED_VALUE"""),56.0)</f>
        <v>56</v>
      </c>
      <c r="AG42" s="320">
        <f>IFERROR(__xludf.DUMMYFUNCTION("""COMPUTED_VALUE"""),83.0)</f>
        <v>83</v>
      </c>
      <c r="AH42" s="320">
        <f>IFERROR(__xludf.DUMMYFUNCTION("""COMPUTED_VALUE"""),59.1)</f>
        <v>59.1</v>
      </c>
      <c r="AI42" s="320">
        <f>IFERROR(__xludf.DUMMYFUNCTION("""COMPUTED_VALUE"""),22.28)</f>
        <v>22.28</v>
      </c>
      <c r="AJ42" s="320">
        <f>IFERROR(__xludf.DUMMYFUNCTION("""COMPUTED_VALUE"""),5.53)</f>
        <v>5.53</v>
      </c>
      <c r="AK42" s="320">
        <f>IFERROR(__xludf.DUMMYFUNCTION("""COMPUTED_VALUE"""),0.1404)</f>
        <v>0.1404</v>
      </c>
      <c r="AL42" s="320">
        <f>IFERROR(__xludf.DUMMYFUNCTION("""COMPUTED_VALUE"""),26.57)</f>
        <v>26.57</v>
      </c>
      <c r="AM42" s="320">
        <f>IFERROR(__xludf.DUMMYFUNCTION("""COMPUTED_VALUE"""),374.77)</f>
        <v>374.77</v>
      </c>
      <c r="AN42" s="320">
        <f>IFERROR(__xludf.DUMMYFUNCTION("""COMPUTED_VALUE"""),81.14)</f>
        <v>81.14</v>
      </c>
      <c r="AO42" s="320">
        <f>IFERROR(__xludf.DUMMYFUNCTION("""COMPUTED_VALUE"""),21.56)</f>
        <v>21.56</v>
      </c>
    </row>
    <row r="43" ht="15.75" customHeight="1">
      <c r="A43" s="330">
        <f>IFERROR(__xludf.DUMMYFUNCTION("""COMPUTED_VALUE"""),46056.0)</f>
        <v>46056</v>
      </c>
      <c r="B43" s="319" t="str">
        <f>IFERROR(__xludf.DUMMYFUNCTION("""COMPUTED_VALUE"""),"F. 100+")</f>
        <v>F. 100+</v>
      </c>
      <c r="C43" s="320">
        <f>IFERROR(__xludf.DUMMYFUNCTION("""COMPUTED_VALUE"""),707.0)</f>
        <v>707</v>
      </c>
      <c r="D43" s="320">
        <f>IFERROR(__xludf.DUMMYFUNCTION("""COMPUTED_VALUE"""),0.61)</f>
        <v>0.61</v>
      </c>
      <c r="E43" s="320">
        <f>IFERROR(__xludf.DUMMYFUNCTION("""COMPUTED_VALUE"""),0.0)</f>
        <v>0</v>
      </c>
      <c r="F43" s="320">
        <f>IFERROR(__xludf.DUMMYFUNCTION("""COMPUTED_VALUE"""),0.0)</f>
        <v>0</v>
      </c>
      <c r="G43" s="320">
        <f>IFERROR(__xludf.DUMMYFUNCTION("""COMPUTED_VALUE"""),0.0)</f>
        <v>0</v>
      </c>
      <c r="H43" s="106"/>
      <c r="I43" s="320">
        <f>IFERROR(__xludf.DUMMYFUNCTION("""COMPUTED_VALUE"""),247.72)</f>
        <v>247.72</v>
      </c>
      <c r="J43" s="320">
        <f>IFERROR(__xludf.DUMMYFUNCTION("""COMPUTED_VALUE"""),147.73)</f>
        <v>147.73</v>
      </c>
      <c r="K43" s="320">
        <f>IFERROR(__xludf.DUMMYFUNCTION("""COMPUTED_VALUE"""),130.5)</f>
        <v>130.5</v>
      </c>
      <c r="L43" s="320">
        <f>IFERROR(__xludf.DUMMYFUNCTION("""COMPUTED_VALUE"""),0.8833)</f>
        <v>0.8833</v>
      </c>
      <c r="M43" s="320">
        <f>IFERROR(__xludf.DUMMYFUNCTION("""COMPUTED_VALUE"""),0.2629)</f>
        <v>0.2629</v>
      </c>
      <c r="N43" s="320">
        <f>IFERROR(__xludf.DUMMYFUNCTION("""COMPUTED_VALUE"""),0.1989)</f>
        <v>0.1989</v>
      </c>
      <c r="O43" s="320">
        <f>IFERROR(__xludf.DUMMYFUNCTION("""COMPUTED_VALUE"""),1.1321)</f>
        <v>1.1321</v>
      </c>
      <c r="P43" s="320">
        <f>IFERROR(__xludf.DUMMYFUNCTION("""COMPUTED_VALUE"""),1077.26)</f>
        <v>1077.26</v>
      </c>
      <c r="Q43" s="320">
        <f>IFERROR(__xludf.DUMMYFUNCTION("""COMPUTED_VALUE"""),800.39)</f>
        <v>800.39</v>
      </c>
      <c r="R43" s="320">
        <f>IFERROR(__xludf.DUMMYFUNCTION("""COMPUTED_VALUE"""),276.87)</f>
        <v>276.87</v>
      </c>
      <c r="S43" s="320">
        <f>IFERROR(__xludf.DUMMYFUNCTION("""COMPUTED_VALUE"""),0.0)</f>
        <v>0</v>
      </c>
      <c r="T43" s="320">
        <f>IFERROR(__xludf.DUMMYFUNCTION("""COMPUTED_VALUE"""),1077.26)</f>
        <v>1077.26</v>
      </c>
      <c r="U43" s="320">
        <f>IFERROR(__xludf.DUMMYFUNCTION("""COMPUTED_VALUE"""),746.82)</f>
        <v>746.82</v>
      </c>
      <c r="V43" s="320">
        <f>IFERROR(__xludf.DUMMYFUNCTION("""COMPUTED_VALUE"""),5.0553)</f>
        <v>5.0553</v>
      </c>
      <c r="W43" s="320">
        <f>IFERROR(__xludf.DUMMYFUNCTION("""COMPUTED_VALUE"""),0.0)</f>
        <v>0</v>
      </c>
      <c r="X43" s="320">
        <f>IFERROR(__xludf.DUMMYFUNCTION("""COMPUTED_VALUE"""),1239.0)</f>
        <v>1239</v>
      </c>
      <c r="Y43" s="320">
        <f>IFERROR(__xludf.DUMMYFUNCTION("""COMPUTED_VALUE"""),4393.0)</f>
        <v>4393</v>
      </c>
      <c r="Z43" s="320">
        <f>IFERROR(__xludf.DUMMYFUNCTION("""COMPUTED_VALUE"""),11265.0)</f>
        <v>11265</v>
      </c>
      <c r="AA43" s="320">
        <f>IFERROR(__xludf.DUMMYFUNCTION("""COMPUTED_VALUE"""),63.2713)</f>
        <v>63.2713</v>
      </c>
      <c r="AB43" s="320">
        <f>IFERROR(__xludf.DUMMYFUNCTION("""COMPUTED_VALUE"""),0.8914)</f>
        <v>0.8914</v>
      </c>
      <c r="AC43" s="320">
        <f>IFERROR(__xludf.DUMMYFUNCTION("""COMPUTED_VALUE"""),92.65)</f>
        <v>92.65</v>
      </c>
      <c r="AD43" s="320">
        <f>IFERROR(__xludf.DUMMYFUNCTION("""COMPUTED_VALUE"""),44.0)</f>
        <v>44</v>
      </c>
      <c r="AE43" s="320">
        <f>IFERROR(__xludf.DUMMYFUNCTION("""COMPUTED_VALUE"""),80.0)</f>
        <v>80</v>
      </c>
      <c r="AF43" s="320">
        <f>IFERROR(__xludf.DUMMYFUNCTION("""COMPUTED_VALUE"""),129.0)</f>
        <v>129</v>
      </c>
      <c r="AG43" s="320">
        <f>IFERROR(__xludf.DUMMYFUNCTION("""COMPUTED_VALUE"""),184.0)</f>
        <v>184</v>
      </c>
      <c r="AH43" s="320">
        <f>IFERROR(__xludf.DUMMYFUNCTION("""COMPUTED_VALUE"""),49.93)</f>
        <v>49.93</v>
      </c>
      <c r="AI43" s="320">
        <f>IFERROR(__xludf.DUMMYFUNCTION("""COMPUTED_VALUE"""),11.6)</f>
        <v>11.6</v>
      </c>
      <c r="AJ43" s="320">
        <f>IFERROR(__xludf.DUMMYFUNCTION("""COMPUTED_VALUE"""),1.7)</f>
        <v>1.7</v>
      </c>
      <c r="AK43" s="320">
        <f>IFERROR(__xludf.DUMMYFUNCTION("""COMPUTED_VALUE"""),0.0976)</f>
        <v>0.0976</v>
      </c>
      <c r="AL43" s="320">
        <f>IFERROR(__xludf.DUMMYFUNCTION("""COMPUTED_VALUE"""),25.72)</f>
        <v>25.72</v>
      </c>
      <c r="AM43" s="320">
        <f>IFERROR(__xludf.DUMMYFUNCTION("""COMPUTED_VALUE"""),774.67)</f>
        <v>774.67</v>
      </c>
      <c r="AN43" s="320">
        <f>IFERROR(__xludf.DUMMYFUNCTION("""COMPUTED_VALUE"""),85.01)</f>
        <v>85.01</v>
      </c>
      <c r="AO43" s="320">
        <f>IFERROR(__xludf.DUMMYFUNCTION("""COMPUTED_VALUE"""),21.86)</f>
        <v>21.86</v>
      </c>
    </row>
    <row r="44" ht="15.75" customHeight="1">
      <c r="A44" s="330">
        <f>IFERROR(__xludf.DUMMYFUNCTION("""COMPUTED_VALUE"""),46057.0)</f>
        <v>46057</v>
      </c>
      <c r="B44" s="319" t="str">
        <f>IFERROR(__xludf.DUMMYFUNCTION("""COMPUTED_VALUE"""),"A. 0")</f>
        <v>A. 0</v>
      </c>
      <c r="C44" s="320">
        <f>IFERROR(__xludf.DUMMYFUNCTION("""COMPUTED_VALUE"""),20957.0)</f>
        <v>20957</v>
      </c>
      <c r="D44" s="320">
        <f>IFERROR(__xludf.DUMMYFUNCTION("""COMPUTED_VALUE"""),18.36)</f>
        <v>18.36</v>
      </c>
      <c r="E44" s="320">
        <f>IFERROR(__xludf.DUMMYFUNCTION("""COMPUTED_VALUE"""),0.0)</f>
        <v>0</v>
      </c>
      <c r="F44" s="320">
        <f>IFERROR(__xludf.DUMMYFUNCTION("""COMPUTED_VALUE"""),0.0)</f>
        <v>0</v>
      </c>
      <c r="G44" s="320">
        <f>IFERROR(__xludf.DUMMYFUNCTION("""COMPUTED_VALUE"""),0.0)</f>
        <v>0</v>
      </c>
      <c r="H44" s="106"/>
      <c r="I44" s="320">
        <f>IFERROR(__xludf.DUMMYFUNCTION("""COMPUTED_VALUE"""),6.56)</f>
        <v>6.56</v>
      </c>
      <c r="J44" s="320">
        <f>IFERROR(__xludf.DUMMYFUNCTION("""COMPUTED_VALUE"""),2.66)</f>
        <v>2.66</v>
      </c>
      <c r="K44" s="320">
        <f>IFERROR(__xludf.DUMMYFUNCTION("""COMPUTED_VALUE"""),0.06)</f>
        <v>0.06</v>
      </c>
      <c r="L44" s="320">
        <f>IFERROR(__xludf.DUMMYFUNCTION("""COMPUTED_VALUE"""),0.022)</f>
        <v>0.022</v>
      </c>
      <c r="M44" s="320">
        <f>IFERROR(__xludf.DUMMYFUNCTION("""COMPUTED_VALUE"""),0.9822)</f>
        <v>0.9822</v>
      </c>
      <c r="N44" s="320">
        <f>IFERROR(__xludf.DUMMYFUNCTION("""COMPUTED_VALUE"""),0.7937)</f>
        <v>0.7937</v>
      </c>
      <c r="O44" s="320">
        <f>IFERROR(__xludf.DUMMYFUNCTION("""COMPUTED_VALUE"""),45.5568)</f>
        <v>45.5568</v>
      </c>
      <c r="P44" s="320">
        <f>IFERROR(__xludf.DUMMYFUNCTION("""COMPUTED_VALUE"""),24.75)</f>
        <v>24.75</v>
      </c>
      <c r="Q44" s="320">
        <f>IFERROR(__xludf.DUMMYFUNCTION("""COMPUTED_VALUE"""),24.6)</f>
        <v>24.6</v>
      </c>
      <c r="R44" s="320">
        <f>IFERROR(__xludf.DUMMYFUNCTION("""COMPUTED_VALUE"""),0.16)</f>
        <v>0.16</v>
      </c>
      <c r="S44" s="320">
        <f>IFERROR(__xludf.DUMMYFUNCTION("""COMPUTED_VALUE"""),0.04)</f>
        <v>0.04</v>
      </c>
      <c r="T44" s="320">
        <f>IFERROR(__xludf.DUMMYFUNCTION("""COMPUTED_VALUE"""),24.72)</f>
        <v>24.72</v>
      </c>
      <c r="U44" s="320">
        <f>IFERROR(__xludf.DUMMYFUNCTION("""COMPUTED_VALUE"""),2.03)</f>
        <v>2.03</v>
      </c>
      <c r="V44" s="320">
        <f>IFERROR(__xludf.DUMMYFUNCTION("""COMPUTED_VALUE"""),0.7628)</f>
        <v>0.7628</v>
      </c>
      <c r="W44" s="320">
        <f>IFERROR(__xludf.DUMMYFUNCTION("""COMPUTED_VALUE"""),0.15)</f>
        <v>0.15</v>
      </c>
      <c r="X44" s="320">
        <f>IFERROR(__xludf.DUMMYFUNCTION("""COMPUTED_VALUE"""),315.0)</f>
        <v>315</v>
      </c>
      <c r="Y44" s="320">
        <f>IFERROR(__xludf.DUMMYFUNCTION("""COMPUTED_VALUE"""),3352.0)</f>
        <v>3352</v>
      </c>
      <c r="Z44" s="320">
        <f>IFERROR(__xludf.DUMMYFUNCTION("""COMPUTED_VALUE"""),13719.0)</f>
        <v>13719</v>
      </c>
      <c r="AA44" s="320">
        <f>IFERROR(__xludf.DUMMYFUNCTION("""COMPUTED_VALUE"""),48.8978)</f>
        <v>48.8978</v>
      </c>
      <c r="AB44" s="320">
        <f>IFERROR(__xludf.DUMMYFUNCTION("""COMPUTED_VALUE"""),0.5439)</f>
        <v>0.5439</v>
      </c>
      <c r="AC44" s="106"/>
      <c r="AD44" s="106"/>
      <c r="AE44" s="106"/>
      <c r="AF44" s="106"/>
      <c r="AG44" s="106"/>
      <c r="AH44" s="320">
        <f>IFERROR(__xludf.DUMMYFUNCTION("""COMPUTED_VALUE"""),0.0)</f>
        <v>0</v>
      </c>
      <c r="AI44" s="320">
        <f>IFERROR(__xludf.DUMMYFUNCTION("""COMPUTED_VALUE"""),0.0)</f>
        <v>0</v>
      </c>
      <c r="AJ44" s="320">
        <f>IFERROR(__xludf.DUMMYFUNCTION("""COMPUTED_VALUE"""),0.0)</f>
        <v>0</v>
      </c>
      <c r="AK44" s="320">
        <f>IFERROR(__xludf.DUMMYFUNCTION("""COMPUTED_VALUE"""),0.2926)</f>
        <v>0.2926</v>
      </c>
      <c r="AL44" s="320">
        <f>IFERROR(__xludf.DUMMYFUNCTION("""COMPUTED_VALUE"""),16.01)</f>
        <v>16.01</v>
      </c>
      <c r="AM44" s="320">
        <f>IFERROR(__xludf.DUMMYFUNCTION("""COMPUTED_VALUE"""),8.59)</f>
        <v>8.59</v>
      </c>
      <c r="AN44" s="331"/>
      <c r="AO44" s="331"/>
    </row>
    <row r="45" ht="15.75" customHeight="1">
      <c r="A45" s="330">
        <f>IFERROR(__xludf.DUMMYFUNCTION("""COMPUTED_VALUE"""),46057.0)</f>
        <v>46057</v>
      </c>
      <c r="B45" s="319" t="str">
        <f>IFERROR(__xludf.DUMMYFUNCTION("""COMPUTED_VALUE"""),"B. 1-9")</f>
        <v>B. 1-9</v>
      </c>
      <c r="C45" s="320">
        <f>IFERROR(__xludf.DUMMYFUNCTION("""COMPUTED_VALUE"""),39718.0)</f>
        <v>39718</v>
      </c>
      <c r="D45" s="320">
        <f>IFERROR(__xludf.DUMMYFUNCTION("""COMPUTED_VALUE"""),34.8)</f>
        <v>34.8</v>
      </c>
      <c r="E45" s="320">
        <f>IFERROR(__xludf.DUMMYFUNCTION("""COMPUTED_VALUE"""),0.0)</f>
        <v>0</v>
      </c>
      <c r="F45" s="320">
        <f>IFERROR(__xludf.DUMMYFUNCTION("""COMPUTED_VALUE"""),0.0)</f>
        <v>0</v>
      </c>
      <c r="G45" s="320">
        <f>IFERROR(__xludf.DUMMYFUNCTION("""COMPUTED_VALUE"""),0.0)</f>
        <v>0</v>
      </c>
      <c r="H45" s="106"/>
      <c r="I45" s="320">
        <f>IFERROR(__xludf.DUMMYFUNCTION("""COMPUTED_VALUE"""),31.07)</f>
        <v>31.07</v>
      </c>
      <c r="J45" s="320">
        <f>IFERROR(__xludf.DUMMYFUNCTION("""COMPUTED_VALUE"""),14.16)</f>
        <v>14.16</v>
      </c>
      <c r="K45" s="320">
        <f>IFERROR(__xludf.DUMMYFUNCTION("""COMPUTED_VALUE"""),5.86)</f>
        <v>5.86</v>
      </c>
      <c r="L45" s="320">
        <f>IFERROR(__xludf.DUMMYFUNCTION("""COMPUTED_VALUE"""),0.4137)</f>
        <v>0.4137</v>
      </c>
      <c r="M45" s="320">
        <f>IFERROR(__xludf.DUMMYFUNCTION("""COMPUTED_VALUE"""),0.7495)</f>
        <v>0.7495</v>
      </c>
      <c r="N45" s="320">
        <f>IFERROR(__xludf.DUMMYFUNCTION("""COMPUTED_VALUE"""),0.5376)</f>
        <v>0.5376</v>
      </c>
      <c r="O45" s="320">
        <f>IFERROR(__xludf.DUMMYFUNCTION("""COMPUTED_VALUE"""),2.4171)</f>
        <v>2.4171</v>
      </c>
      <c r="P45" s="320">
        <f>IFERROR(__xludf.DUMMYFUNCTION("""COMPUTED_VALUE"""),59.58)</f>
        <v>59.58</v>
      </c>
      <c r="Q45" s="320">
        <f>IFERROR(__xludf.DUMMYFUNCTION("""COMPUTED_VALUE"""),47.1)</f>
        <v>47.1</v>
      </c>
      <c r="R45" s="320">
        <f>IFERROR(__xludf.DUMMYFUNCTION("""COMPUTED_VALUE"""),12.48)</f>
        <v>12.48</v>
      </c>
      <c r="S45" s="320">
        <f>IFERROR(__xludf.DUMMYFUNCTION("""COMPUTED_VALUE"""),1.59)</f>
        <v>1.59</v>
      </c>
      <c r="T45" s="320">
        <f>IFERROR(__xludf.DUMMYFUNCTION("""COMPUTED_VALUE"""),57.99)</f>
        <v>57.99</v>
      </c>
      <c r="U45" s="320">
        <f>IFERROR(__xludf.DUMMYFUNCTION("""COMPUTED_VALUE"""),55.25)</f>
        <v>55.25</v>
      </c>
      <c r="V45" s="320">
        <f>IFERROR(__xludf.DUMMYFUNCTION("""COMPUTED_VALUE"""),3.9022)</f>
        <v>3.9022</v>
      </c>
      <c r="W45" s="320">
        <f>IFERROR(__xludf.DUMMYFUNCTION("""COMPUTED_VALUE"""),2.67)</f>
        <v>2.67</v>
      </c>
      <c r="X45" s="320">
        <f>IFERROR(__xludf.DUMMYFUNCTION("""COMPUTED_VALUE"""),159.0)</f>
        <v>159</v>
      </c>
      <c r="Y45" s="320">
        <f>IFERROR(__xludf.DUMMYFUNCTION("""COMPUTED_VALUE"""),918.0)</f>
        <v>918</v>
      </c>
      <c r="Z45" s="320">
        <f>IFERROR(__xludf.DUMMYFUNCTION("""COMPUTED_VALUE"""),5847.0)</f>
        <v>5847</v>
      </c>
      <c r="AA45" s="320">
        <f>IFERROR(__xludf.DUMMYFUNCTION("""COMPUTED_VALUE"""),48.4253)</f>
        <v>48.4253</v>
      </c>
      <c r="AB45" s="320">
        <f>IFERROR(__xludf.DUMMYFUNCTION("""COMPUTED_VALUE"""),0.5373)</f>
        <v>0.5373</v>
      </c>
      <c r="AC45" s="320">
        <f>IFERROR(__xludf.DUMMYFUNCTION("""COMPUTED_VALUE"""),4.25)</f>
        <v>4.25</v>
      </c>
      <c r="AD45" s="320">
        <f>IFERROR(__xludf.DUMMYFUNCTION("""COMPUTED_VALUE"""),1.0)</f>
        <v>1</v>
      </c>
      <c r="AE45" s="320">
        <f>IFERROR(__xludf.DUMMYFUNCTION("""COMPUTED_VALUE"""),3.0)</f>
        <v>3</v>
      </c>
      <c r="AF45" s="320">
        <f>IFERROR(__xludf.DUMMYFUNCTION("""COMPUTED_VALUE"""),6.0)</f>
        <v>6</v>
      </c>
      <c r="AG45" s="320">
        <f>IFERROR(__xludf.DUMMYFUNCTION("""COMPUTED_VALUE"""),9.0)</f>
        <v>9</v>
      </c>
      <c r="AH45" s="320">
        <f>IFERROR(__xludf.DUMMYFUNCTION("""COMPUTED_VALUE"""),74.54)</f>
        <v>74.54</v>
      </c>
      <c r="AI45" s="320">
        <f>IFERROR(__xludf.DUMMYFUNCTION("""COMPUTED_VALUE"""),33.5)</f>
        <v>33.5</v>
      </c>
      <c r="AJ45" s="320">
        <f>IFERROR(__xludf.DUMMYFUNCTION("""COMPUTED_VALUE"""),9.98)</f>
        <v>9.98</v>
      </c>
      <c r="AK45" s="320">
        <f>IFERROR(__xludf.DUMMYFUNCTION("""COMPUTED_VALUE"""),0.2554)</f>
        <v>0.2554</v>
      </c>
      <c r="AL45" s="320">
        <f>IFERROR(__xludf.DUMMYFUNCTION("""COMPUTED_VALUE"""),19.12)</f>
        <v>19.12</v>
      </c>
      <c r="AM45" s="320">
        <f>IFERROR(__xludf.DUMMYFUNCTION("""COMPUTED_VALUE"""),27.98)</f>
        <v>27.98</v>
      </c>
      <c r="AN45" s="320">
        <f>IFERROR(__xludf.DUMMYFUNCTION("""COMPUTED_VALUE"""),64.54)</f>
        <v>64.54</v>
      </c>
      <c r="AO45" s="320">
        <f>IFERROR(__xludf.DUMMYFUNCTION("""COMPUTED_VALUE"""),12.34)</f>
        <v>12.34</v>
      </c>
    </row>
    <row r="46" ht="15.75" customHeight="1">
      <c r="A46" s="330">
        <f>IFERROR(__xludf.DUMMYFUNCTION("""COMPUTED_VALUE"""),46057.0)</f>
        <v>46057</v>
      </c>
      <c r="B46" s="319" t="str">
        <f>IFERROR(__xludf.DUMMYFUNCTION("""COMPUTED_VALUE"""),"C. 10-19")</f>
        <v>C. 10-19</v>
      </c>
      <c r="C46" s="320">
        <f>IFERROR(__xludf.DUMMYFUNCTION("""COMPUTED_VALUE"""),30058.0)</f>
        <v>30058</v>
      </c>
      <c r="D46" s="320">
        <f>IFERROR(__xludf.DUMMYFUNCTION("""COMPUTED_VALUE"""),26.33)</f>
        <v>26.33</v>
      </c>
      <c r="E46" s="320">
        <f>IFERROR(__xludf.DUMMYFUNCTION("""COMPUTED_VALUE"""),0.0)</f>
        <v>0</v>
      </c>
      <c r="F46" s="320">
        <f>IFERROR(__xludf.DUMMYFUNCTION("""COMPUTED_VALUE"""),0.0)</f>
        <v>0</v>
      </c>
      <c r="G46" s="320">
        <f>IFERROR(__xludf.DUMMYFUNCTION("""COMPUTED_VALUE"""),0.0)</f>
        <v>0</v>
      </c>
      <c r="H46" s="106"/>
      <c r="I46" s="320">
        <f>IFERROR(__xludf.DUMMYFUNCTION("""COMPUTED_VALUE"""),58.88)</f>
        <v>58.88</v>
      </c>
      <c r="J46" s="320">
        <f>IFERROR(__xludf.DUMMYFUNCTION("""COMPUTED_VALUE"""),28.1)</f>
        <v>28.1</v>
      </c>
      <c r="K46" s="320">
        <f>IFERROR(__xludf.DUMMYFUNCTION("""COMPUTED_VALUE"""),15.16)</f>
        <v>15.16</v>
      </c>
      <c r="L46" s="320">
        <f>IFERROR(__xludf.DUMMYFUNCTION("""COMPUTED_VALUE"""),0.5397)</f>
        <v>0.5397</v>
      </c>
      <c r="M46" s="320">
        <f>IFERROR(__xludf.DUMMYFUNCTION("""COMPUTED_VALUE"""),0.6435)</f>
        <v>0.6435</v>
      </c>
      <c r="N46" s="320">
        <f>IFERROR(__xludf.DUMMYFUNCTION("""COMPUTED_VALUE"""),0.4368)</f>
        <v>0.4368</v>
      </c>
      <c r="O46" s="320">
        <f>IFERROR(__xludf.DUMMYFUNCTION("""COMPUTED_VALUE"""),1.8529)</f>
        <v>1.8529</v>
      </c>
      <c r="P46" s="320">
        <f>IFERROR(__xludf.DUMMYFUNCTION("""COMPUTED_VALUE"""),97.04)</f>
        <v>97.04</v>
      </c>
      <c r="Q46" s="320">
        <f>IFERROR(__xludf.DUMMYFUNCTION("""COMPUTED_VALUE"""),66.8)</f>
        <v>66.8</v>
      </c>
      <c r="R46" s="320">
        <f>IFERROR(__xludf.DUMMYFUNCTION("""COMPUTED_VALUE"""),30.25)</f>
        <v>30.25</v>
      </c>
      <c r="S46" s="320">
        <f>IFERROR(__xludf.DUMMYFUNCTION("""COMPUTED_VALUE"""),1.92)</f>
        <v>1.92</v>
      </c>
      <c r="T46" s="320">
        <f>IFERROR(__xludf.DUMMYFUNCTION("""COMPUTED_VALUE"""),95.13)</f>
        <v>95.13</v>
      </c>
      <c r="U46" s="320">
        <f>IFERROR(__xludf.DUMMYFUNCTION("""COMPUTED_VALUE"""),99.97)</f>
        <v>99.97</v>
      </c>
      <c r="V46" s="320">
        <f>IFERROR(__xludf.DUMMYFUNCTION("""COMPUTED_VALUE"""),3.5581)</f>
        <v>3.5581</v>
      </c>
      <c r="W46" s="320">
        <f>IFERROR(__xludf.DUMMYFUNCTION("""COMPUTED_VALUE"""),1.98)</f>
        <v>1.98</v>
      </c>
      <c r="X46" s="320">
        <f>IFERROR(__xludf.DUMMYFUNCTION("""COMPUTED_VALUE"""),133.0)</f>
        <v>133</v>
      </c>
      <c r="Y46" s="320">
        <f>IFERROR(__xludf.DUMMYFUNCTION("""COMPUTED_VALUE"""),764.0)</f>
        <v>764</v>
      </c>
      <c r="Z46" s="320">
        <f>IFERROR(__xludf.DUMMYFUNCTION("""COMPUTED_VALUE"""),5517.0)</f>
        <v>5517</v>
      </c>
      <c r="AA46" s="320">
        <f>IFERROR(__xludf.DUMMYFUNCTION("""COMPUTED_VALUE"""),51.9535)</f>
        <v>51.9535</v>
      </c>
      <c r="AB46" s="320">
        <f>IFERROR(__xludf.DUMMYFUNCTION("""COMPUTED_VALUE"""),0.6194)</f>
        <v>0.6194</v>
      </c>
      <c r="AC46" s="320">
        <f>IFERROR(__xludf.DUMMYFUNCTION("""COMPUTED_VALUE"""),9.63)</f>
        <v>9.63</v>
      </c>
      <c r="AD46" s="320">
        <f>IFERROR(__xludf.DUMMYFUNCTION("""COMPUTED_VALUE"""),4.0)</f>
        <v>4</v>
      </c>
      <c r="AE46" s="320">
        <f>IFERROR(__xludf.DUMMYFUNCTION("""COMPUTED_VALUE"""),8.0)</f>
        <v>8</v>
      </c>
      <c r="AF46" s="320">
        <f>IFERROR(__xludf.DUMMYFUNCTION("""COMPUTED_VALUE"""),13.0)</f>
        <v>13</v>
      </c>
      <c r="AG46" s="320">
        <f>IFERROR(__xludf.DUMMYFUNCTION("""COMPUTED_VALUE"""),20.0)</f>
        <v>20</v>
      </c>
      <c r="AH46" s="320">
        <f>IFERROR(__xludf.DUMMYFUNCTION("""COMPUTED_VALUE"""),62.1)</f>
        <v>62.1</v>
      </c>
      <c r="AI46" s="320">
        <f>IFERROR(__xludf.DUMMYFUNCTION("""COMPUTED_VALUE"""),27.4)</f>
        <v>27.4</v>
      </c>
      <c r="AJ46" s="320">
        <f>IFERROR(__xludf.DUMMYFUNCTION("""COMPUTED_VALUE"""),4.74)</f>
        <v>4.74</v>
      </c>
      <c r="AK46" s="320">
        <f>IFERROR(__xludf.DUMMYFUNCTION("""COMPUTED_VALUE"""),0.1888)</f>
        <v>0.1888</v>
      </c>
      <c r="AL46" s="320">
        <f>IFERROR(__xludf.DUMMYFUNCTION("""COMPUTED_VALUE"""),20.26)</f>
        <v>20.26</v>
      </c>
      <c r="AM46" s="320">
        <f>IFERROR(__xludf.DUMMYFUNCTION("""COMPUTED_VALUE"""),46.54)</f>
        <v>46.54</v>
      </c>
      <c r="AN46" s="320">
        <f>IFERROR(__xludf.DUMMYFUNCTION("""COMPUTED_VALUE"""),73.84)</f>
        <v>73.84</v>
      </c>
      <c r="AO46" s="320">
        <f>IFERROR(__xludf.DUMMYFUNCTION("""COMPUTED_VALUE"""),14.96)</f>
        <v>14.96</v>
      </c>
    </row>
    <row r="47" ht="15.75" customHeight="1">
      <c r="A47" s="330">
        <f>IFERROR(__xludf.DUMMYFUNCTION("""COMPUTED_VALUE"""),46057.0)</f>
        <v>46057</v>
      </c>
      <c r="B47" s="319" t="str">
        <f>IFERROR(__xludf.DUMMYFUNCTION("""COMPUTED_VALUE"""),"D. 20-39")</f>
        <v>D. 20-39</v>
      </c>
      <c r="C47" s="320">
        <f>IFERROR(__xludf.DUMMYFUNCTION("""COMPUTED_VALUE"""),16515.0)</f>
        <v>16515</v>
      </c>
      <c r="D47" s="320">
        <f>IFERROR(__xludf.DUMMYFUNCTION("""COMPUTED_VALUE"""),14.47)</f>
        <v>14.47</v>
      </c>
      <c r="E47" s="320">
        <f>IFERROR(__xludf.DUMMYFUNCTION("""COMPUTED_VALUE"""),0.0)</f>
        <v>0</v>
      </c>
      <c r="F47" s="320">
        <f>IFERROR(__xludf.DUMMYFUNCTION("""COMPUTED_VALUE"""),0.0)</f>
        <v>0</v>
      </c>
      <c r="G47" s="320">
        <f>IFERROR(__xludf.DUMMYFUNCTION("""COMPUTED_VALUE"""),0.0)</f>
        <v>0</v>
      </c>
      <c r="H47" s="106"/>
      <c r="I47" s="320">
        <f>IFERROR(__xludf.DUMMYFUNCTION("""COMPUTED_VALUE"""),82.93)</f>
        <v>82.93</v>
      </c>
      <c r="J47" s="320">
        <f>IFERROR(__xludf.DUMMYFUNCTION("""COMPUTED_VALUE"""),41.99)</f>
        <v>41.99</v>
      </c>
      <c r="K47" s="320">
        <f>IFERROR(__xludf.DUMMYFUNCTION("""COMPUTED_VALUE"""),27.14)</f>
        <v>27.14</v>
      </c>
      <c r="L47" s="320">
        <f>IFERROR(__xludf.DUMMYFUNCTION("""COMPUTED_VALUE"""),0.6463)</f>
        <v>0.6463</v>
      </c>
      <c r="M47" s="320">
        <f>IFERROR(__xludf.DUMMYFUNCTION("""COMPUTED_VALUE"""),0.5354)</f>
        <v>0.5354</v>
      </c>
      <c r="N47" s="320">
        <f>IFERROR(__xludf.DUMMYFUNCTION("""COMPUTED_VALUE"""),0.3626)</f>
        <v>0.3626</v>
      </c>
      <c r="O47" s="320">
        <f>IFERROR(__xludf.DUMMYFUNCTION("""COMPUTED_VALUE"""),1.5472)</f>
        <v>1.5472</v>
      </c>
      <c r="P47" s="320">
        <f>IFERROR(__xludf.DUMMYFUNCTION("""COMPUTED_VALUE"""),154.2)</f>
        <v>154.2</v>
      </c>
      <c r="Q47" s="320">
        <f>IFERROR(__xludf.DUMMYFUNCTION("""COMPUTED_VALUE"""),97.41)</f>
        <v>97.41</v>
      </c>
      <c r="R47" s="320">
        <f>IFERROR(__xludf.DUMMYFUNCTION("""COMPUTED_VALUE"""),56.79)</f>
        <v>56.79</v>
      </c>
      <c r="S47" s="320">
        <f>IFERROR(__xludf.DUMMYFUNCTION("""COMPUTED_VALUE"""),5.22)</f>
        <v>5.22</v>
      </c>
      <c r="T47" s="320">
        <f>IFERROR(__xludf.DUMMYFUNCTION("""COMPUTED_VALUE"""),148.98)</f>
        <v>148.98</v>
      </c>
      <c r="U47" s="320">
        <f>IFERROR(__xludf.DUMMYFUNCTION("""COMPUTED_VALUE"""),165.62)</f>
        <v>165.62</v>
      </c>
      <c r="V47" s="320">
        <f>IFERROR(__xludf.DUMMYFUNCTION("""COMPUTED_VALUE"""),3.9444)</f>
        <v>3.9444</v>
      </c>
      <c r="W47" s="320">
        <f>IFERROR(__xludf.DUMMYFUNCTION("""COMPUTED_VALUE"""),3.39)</f>
        <v>3.39</v>
      </c>
      <c r="X47" s="320">
        <f>IFERROR(__xludf.DUMMYFUNCTION("""COMPUTED_VALUE"""),155.0)</f>
        <v>155</v>
      </c>
      <c r="Y47" s="320">
        <f>IFERROR(__xludf.DUMMYFUNCTION("""COMPUTED_VALUE"""),1005.0)</f>
        <v>1005</v>
      </c>
      <c r="Z47" s="320">
        <f>IFERROR(__xludf.DUMMYFUNCTION("""COMPUTED_VALUE"""),6199.0)</f>
        <v>6199</v>
      </c>
      <c r="AA47" s="320">
        <f>IFERROR(__xludf.DUMMYFUNCTION("""COMPUTED_VALUE"""),55.3351)</f>
        <v>55.3351</v>
      </c>
      <c r="AB47" s="320">
        <f>IFERROR(__xludf.DUMMYFUNCTION("""COMPUTED_VALUE"""),0.7427)</f>
        <v>0.7427</v>
      </c>
      <c r="AC47" s="320">
        <f>IFERROR(__xludf.DUMMYFUNCTION("""COMPUTED_VALUE"""),18.0)</f>
        <v>18</v>
      </c>
      <c r="AD47" s="320">
        <f>IFERROR(__xludf.DUMMYFUNCTION("""COMPUTED_VALUE"""),8.0)</f>
        <v>8</v>
      </c>
      <c r="AE47" s="320">
        <f>IFERROR(__xludf.DUMMYFUNCTION("""COMPUTED_VALUE"""),14.0)</f>
        <v>14</v>
      </c>
      <c r="AF47" s="320">
        <f>IFERROR(__xludf.DUMMYFUNCTION("""COMPUTED_VALUE"""),25.0)</f>
        <v>25</v>
      </c>
      <c r="AG47" s="320">
        <f>IFERROR(__xludf.DUMMYFUNCTION("""COMPUTED_VALUE"""),37.0)</f>
        <v>37</v>
      </c>
      <c r="AH47" s="320">
        <f>IFERROR(__xludf.DUMMYFUNCTION("""COMPUTED_VALUE"""),60.84)</f>
        <v>60.84</v>
      </c>
      <c r="AI47" s="320">
        <f>IFERROR(__xludf.DUMMYFUNCTION("""COMPUTED_VALUE"""),23.76)</f>
        <v>23.76</v>
      </c>
      <c r="AJ47" s="320">
        <f>IFERROR(__xludf.DUMMYFUNCTION("""COMPUTED_VALUE"""),7.37)</f>
        <v>7.37</v>
      </c>
      <c r="AK47" s="320">
        <f>IFERROR(__xludf.DUMMYFUNCTION("""COMPUTED_VALUE"""),0.1752)</f>
        <v>0.1752</v>
      </c>
      <c r="AL47" s="320">
        <f>IFERROR(__xludf.DUMMYFUNCTION("""COMPUTED_VALUE"""),21.01)</f>
        <v>21.01</v>
      </c>
      <c r="AM47" s="320">
        <f>IFERROR(__xludf.DUMMYFUNCTION("""COMPUTED_VALUE"""),76.41)</f>
        <v>76.41</v>
      </c>
      <c r="AN47" s="320">
        <f>IFERROR(__xludf.DUMMYFUNCTION("""COMPUTED_VALUE"""),77.27)</f>
        <v>77.27</v>
      </c>
      <c r="AO47" s="320">
        <f>IFERROR(__xludf.DUMMYFUNCTION("""COMPUTED_VALUE"""),16.23)</f>
        <v>16.23</v>
      </c>
    </row>
    <row r="48" ht="15.75" customHeight="1">
      <c r="A48" s="330">
        <f>IFERROR(__xludf.DUMMYFUNCTION("""COMPUTED_VALUE"""),46057.0)</f>
        <v>46057</v>
      </c>
      <c r="B48" s="319" t="str">
        <f>IFERROR(__xludf.DUMMYFUNCTION("""COMPUTED_VALUE"""),"E. 40-99")</f>
        <v>E. 40-99</v>
      </c>
      <c r="C48" s="320">
        <f>IFERROR(__xludf.DUMMYFUNCTION("""COMPUTED_VALUE"""),6235.0)</f>
        <v>6235</v>
      </c>
      <c r="D48" s="320">
        <f>IFERROR(__xludf.DUMMYFUNCTION("""COMPUTED_VALUE"""),5.46)</f>
        <v>5.46</v>
      </c>
      <c r="E48" s="320">
        <f>IFERROR(__xludf.DUMMYFUNCTION("""COMPUTED_VALUE"""),0.0)</f>
        <v>0</v>
      </c>
      <c r="F48" s="320">
        <f>IFERROR(__xludf.DUMMYFUNCTION("""COMPUTED_VALUE"""),0.0)</f>
        <v>0</v>
      </c>
      <c r="G48" s="320">
        <f>IFERROR(__xludf.DUMMYFUNCTION("""COMPUTED_VALUE"""),0.0)</f>
        <v>0</v>
      </c>
      <c r="H48" s="106"/>
      <c r="I48" s="320">
        <f>IFERROR(__xludf.DUMMYFUNCTION("""COMPUTED_VALUE"""),130.75)</f>
        <v>130.75</v>
      </c>
      <c r="J48" s="320">
        <f>IFERROR(__xludf.DUMMYFUNCTION("""COMPUTED_VALUE"""),70.72)</f>
        <v>70.72</v>
      </c>
      <c r="K48" s="320">
        <f>IFERROR(__xludf.DUMMYFUNCTION("""COMPUTED_VALUE"""),55.12)</f>
        <v>55.12</v>
      </c>
      <c r="L48" s="320">
        <f>IFERROR(__xludf.DUMMYFUNCTION("""COMPUTED_VALUE"""),0.7794)</f>
        <v>0.7794</v>
      </c>
      <c r="M48" s="320">
        <f>IFERROR(__xludf.DUMMYFUNCTION("""COMPUTED_VALUE"""),0.3956)</f>
        <v>0.3956</v>
      </c>
      <c r="N48" s="320">
        <f>IFERROR(__xludf.DUMMYFUNCTION("""COMPUTED_VALUE"""),0.2779)</f>
        <v>0.2779</v>
      </c>
      <c r="O48" s="320">
        <f>IFERROR(__xludf.DUMMYFUNCTION("""COMPUTED_VALUE"""),1.283)</f>
        <v>1.283</v>
      </c>
      <c r="P48" s="320">
        <f>IFERROR(__xludf.DUMMYFUNCTION("""COMPUTED_VALUE"""),272.36)</f>
        <v>272.36</v>
      </c>
      <c r="Q48" s="320">
        <f>IFERROR(__xludf.DUMMYFUNCTION("""COMPUTED_VALUE"""),156.15)</f>
        <v>156.15</v>
      </c>
      <c r="R48" s="320">
        <f>IFERROR(__xludf.DUMMYFUNCTION("""COMPUTED_VALUE"""),116.21)</f>
        <v>116.21</v>
      </c>
      <c r="S48" s="320">
        <f>IFERROR(__xludf.DUMMYFUNCTION("""COMPUTED_VALUE"""),0.95)</f>
        <v>0.95</v>
      </c>
      <c r="T48" s="320">
        <f>IFERROR(__xludf.DUMMYFUNCTION("""COMPUTED_VALUE"""),271.41)</f>
        <v>271.41</v>
      </c>
      <c r="U48" s="320">
        <f>IFERROR(__xludf.DUMMYFUNCTION("""COMPUTED_VALUE"""),325.02)</f>
        <v>325.02</v>
      </c>
      <c r="V48" s="320">
        <f>IFERROR(__xludf.DUMMYFUNCTION("""COMPUTED_VALUE"""),4.5961)</f>
        <v>4.5961</v>
      </c>
      <c r="W48" s="320">
        <f>IFERROR(__xludf.DUMMYFUNCTION("""COMPUTED_VALUE"""),0.35)</f>
        <v>0.35</v>
      </c>
      <c r="X48" s="320">
        <f>IFERROR(__xludf.DUMMYFUNCTION("""COMPUTED_VALUE"""),343.0)</f>
        <v>343</v>
      </c>
      <c r="Y48" s="320">
        <f>IFERROR(__xludf.DUMMYFUNCTION("""COMPUTED_VALUE"""),2464.0)</f>
        <v>2464</v>
      </c>
      <c r="Z48" s="320">
        <f>IFERROR(__xludf.DUMMYFUNCTION("""COMPUTED_VALUE"""),9444.0)</f>
        <v>9444</v>
      </c>
      <c r="AA48" s="320">
        <f>IFERROR(__xludf.DUMMYFUNCTION("""COMPUTED_VALUE"""),59.4645)</f>
        <v>59.4645</v>
      </c>
      <c r="AB48" s="320">
        <f>IFERROR(__xludf.DUMMYFUNCTION("""COMPUTED_VALUE"""),0.8485)</f>
        <v>0.8485</v>
      </c>
      <c r="AC48" s="320">
        <f>IFERROR(__xludf.DUMMYFUNCTION("""COMPUTED_VALUE"""),37.78)</f>
        <v>37.78</v>
      </c>
      <c r="AD48" s="320">
        <f>IFERROR(__xludf.DUMMYFUNCTION("""COMPUTED_VALUE"""),15.0)</f>
        <v>15</v>
      </c>
      <c r="AE48" s="320">
        <f>IFERROR(__xludf.DUMMYFUNCTION("""COMPUTED_VALUE"""),29.0)</f>
        <v>29</v>
      </c>
      <c r="AF48" s="320">
        <f>IFERROR(__xludf.DUMMYFUNCTION("""COMPUTED_VALUE"""),52.0)</f>
        <v>52</v>
      </c>
      <c r="AG48" s="320">
        <f>IFERROR(__xludf.DUMMYFUNCTION("""COMPUTED_VALUE"""),81.0)</f>
        <v>81</v>
      </c>
      <c r="AH48" s="320">
        <f>IFERROR(__xludf.DUMMYFUNCTION("""COMPUTED_VALUE"""),52.16)</f>
        <v>52.16</v>
      </c>
      <c r="AI48" s="320">
        <f>IFERROR(__xludf.DUMMYFUNCTION("""COMPUTED_VALUE"""),19.68)</f>
        <v>19.68</v>
      </c>
      <c r="AJ48" s="320">
        <f>IFERROR(__xludf.DUMMYFUNCTION("""COMPUTED_VALUE"""),5.08)</f>
        <v>5.08</v>
      </c>
      <c r="AK48" s="320">
        <f>IFERROR(__xludf.DUMMYFUNCTION("""COMPUTED_VALUE"""),0.1331)</f>
        <v>0.1331</v>
      </c>
      <c r="AL48" s="320">
        <f>IFERROR(__xludf.DUMMYFUNCTION("""COMPUTED_VALUE"""),21.92)</f>
        <v>21.92</v>
      </c>
      <c r="AM48" s="320">
        <f>IFERROR(__xludf.DUMMYFUNCTION("""COMPUTED_VALUE"""),134.23)</f>
        <v>134.23</v>
      </c>
      <c r="AN48" s="320">
        <f>IFERROR(__xludf.DUMMYFUNCTION("""COMPUTED_VALUE"""),81.37)</f>
        <v>81.37</v>
      </c>
      <c r="AO48" s="320">
        <f>IFERROR(__xludf.DUMMYFUNCTION("""COMPUTED_VALUE"""),17.84)</f>
        <v>17.84</v>
      </c>
    </row>
    <row r="49" ht="15.75" customHeight="1">
      <c r="A49" s="330">
        <f>IFERROR(__xludf.DUMMYFUNCTION("""COMPUTED_VALUE"""),46057.0)</f>
        <v>46057</v>
      </c>
      <c r="B49" s="319" t="str">
        <f>IFERROR(__xludf.DUMMYFUNCTION("""COMPUTED_VALUE"""),"F. 100+")</f>
        <v>F. 100+</v>
      </c>
      <c r="C49" s="320">
        <f>IFERROR(__xludf.DUMMYFUNCTION("""COMPUTED_VALUE"""),665.0)</f>
        <v>665</v>
      </c>
      <c r="D49" s="320">
        <f>IFERROR(__xludf.DUMMYFUNCTION("""COMPUTED_VALUE"""),0.58)</f>
        <v>0.58</v>
      </c>
      <c r="E49" s="320">
        <f>IFERROR(__xludf.DUMMYFUNCTION("""COMPUTED_VALUE"""),0.0)</f>
        <v>0</v>
      </c>
      <c r="F49" s="320">
        <f>IFERROR(__xludf.DUMMYFUNCTION("""COMPUTED_VALUE"""),0.0)</f>
        <v>0</v>
      </c>
      <c r="G49" s="320">
        <f>IFERROR(__xludf.DUMMYFUNCTION("""COMPUTED_VALUE"""),0.0)</f>
        <v>0</v>
      </c>
      <c r="H49" s="106"/>
      <c r="I49" s="320">
        <f>IFERROR(__xludf.DUMMYFUNCTION("""COMPUTED_VALUE"""),241.64)</f>
        <v>241.64</v>
      </c>
      <c r="J49" s="320">
        <f>IFERROR(__xludf.DUMMYFUNCTION("""COMPUTED_VALUE"""),141.39)</f>
        <v>141.39</v>
      </c>
      <c r="K49" s="320">
        <f>IFERROR(__xludf.DUMMYFUNCTION("""COMPUTED_VALUE"""),122.62)</f>
        <v>122.62</v>
      </c>
      <c r="L49" s="320">
        <f>IFERROR(__xludf.DUMMYFUNCTION("""COMPUTED_VALUE"""),0.8673)</f>
        <v>0.8673</v>
      </c>
      <c r="M49" s="320">
        <f>IFERROR(__xludf.DUMMYFUNCTION("""COMPUTED_VALUE"""),0.2789)</f>
        <v>0.2789</v>
      </c>
      <c r="N49" s="320">
        <f>IFERROR(__xludf.DUMMYFUNCTION("""COMPUTED_VALUE"""),0.2043)</f>
        <v>0.2043</v>
      </c>
      <c r="O49" s="320">
        <f>IFERROR(__xludf.DUMMYFUNCTION("""COMPUTED_VALUE"""),1.153)</f>
        <v>1.153</v>
      </c>
      <c r="P49" s="320">
        <f>IFERROR(__xludf.DUMMYFUNCTION("""COMPUTED_VALUE"""),516.11)</f>
        <v>516.11</v>
      </c>
      <c r="Q49" s="320">
        <f>IFERROR(__xludf.DUMMYFUNCTION("""COMPUTED_VALUE"""),256.61)</f>
        <v>256.61</v>
      </c>
      <c r="R49" s="320">
        <f>IFERROR(__xludf.DUMMYFUNCTION("""COMPUTED_VALUE"""),259.5)</f>
        <v>259.5</v>
      </c>
      <c r="S49" s="320">
        <f>IFERROR(__xludf.DUMMYFUNCTION("""COMPUTED_VALUE"""),0.08)</f>
        <v>0.08</v>
      </c>
      <c r="T49" s="320">
        <f>IFERROR(__xludf.DUMMYFUNCTION("""COMPUTED_VALUE"""),516.04)</f>
        <v>516.04</v>
      </c>
      <c r="U49" s="320">
        <f>IFERROR(__xludf.DUMMYFUNCTION("""COMPUTED_VALUE"""),660.45)</f>
        <v>660.45</v>
      </c>
      <c r="V49" s="320">
        <f>IFERROR(__xludf.DUMMYFUNCTION("""COMPUTED_VALUE"""),4.6711)</f>
        <v>4.6711</v>
      </c>
      <c r="W49" s="320">
        <f>IFERROR(__xludf.DUMMYFUNCTION("""COMPUTED_VALUE"""),0.01)</f>
        <v>0.01</v>
      </c>
      <c r="X49" s="320">
        <f>IFERROR(__xludf.DUMMYFUNCTION("""COMPUTED_VALUE"""),977.0)</f>
        <v>977</v>
      </c>
      <c r="Y49" s="320">
        <f>IFERROR(__xludf.DUMMYFUNCTION("""COMPUTED_VALUE"""),4215.0)</f>
        <v>4215</v>
      </c>
      <c r="Z49" s="320">
        <f>IFERROR(__xludf.DUMMYFUNCTION("""COMPUTED_VALUE"""),10794.0)</f>
        <v>10794</v>
      </c>
      <c r="AA49" s="320">
        <f>IFERROR(__xludf.DUMMYFUNCTION("""COMPUTED_VALUE"""),63.4224)</f>
        <v>63.4224</v>
      </c>
      <c r="AB49" s="320">
        <f>IFERROR(__xludf.DUMMYFUNCTION("""COMPUTED_VALUE"""),0.9054)</f>
        <v>0.9054</v>
      </c>
      <c r="AC49" s="320">
        <f>IFERROR(__xludf.DUMMYFUNCTION("""COMPUTED_VALUE"""),87.34)</f>
        <v>87.34</v>
      </c>
      <c r="AD49" s="320">
        <f>IFERROR(__xludf.DUMMYFUNCTION("""COMPUTED_VALUE"""),34.0)</f>
        <v>34</v>
      </c>
      <c r="AE49" s="320">
        <f>IFERROR(__xludf.DUMMYFUNCTION("""COMPUTED_VALUE"""),73.0)</f>
        <v>73</v>
      </c>
      <c r="AF49" s="320">
        <f>IFERROR(__xludf.DUMMYFUNCTION("""COMPUTED_VALUE"""),121.0)</f>
        <v>121</v>
      </c>
      <c r="AG49" s="320">
        <f>IFERROR(__xludf.DUMMYFUNCTION("""COMPUTED_VALUE"""),171.0)</f>
        <v>171</v>
      </c>
      <c r="AH49" s="320">
        <f>IFERROR(__xludf.DUMMYFUNCTION("""COMPUTED_VALUE"""),46.62)</f>
        <v>46.62</v>
      </c>
      <c r="AI49" s="320">
        <f>IFERROR(__xludf.DUMMYFUNCTION("""COMPUTED_VALUE"""),9.62)</f>
        <v>9.62</v>
      </c>
      <c r="AJ49" s="320">
        <f>IFERROR(__xludf.DUMMYFUNCTION("""COMPUTED_VALUE"""),1.95)</f>
        <v>1.95</v>
      </c>
      <c r="AK49" s="320">
        <f>IFERROR(__xludf.DUMMYFUNCTION("""COMPUTED_VALUE"""),0.0842)</f>
        <v>0.0842</v>
      </c>
      <c r="AL49" s="320">
        <f>IFERROR(__xludf.DUMMYFUNCTION("""COMPUTED_VALUE"""),22.71)</f>
        <v>22.71</v>
      </c>
      <c r="AM49" s="320">
        <f>IFERROR(__xludf.DUMMYFUNCTION("""COMPUTED_VALUE"""),233.9)</f>
        <v>233.9</v>
      </c>
      <c r="AN49" s="320">
        <f>IFERROR(__xludf.DUMMYFUNCTION("""COMPUTED_VALUE"""),85.54)</f>
        <v>85.54</v>
      </c>
      <c r="AO49" s="320">
        <f>IFERROR(__xludf.DUMMYFUNCTION("""COMPUTED_VALUE"""),19.43)</f>
        <v>19.43</v>
      </c>
    </row>
    <row r="50" ht="15.75" customHeight="1">
      <c r="A50" s="330">
        <f>IFERROR(__xludf.DUMMYFUNCTION("""COMPUTED_VALUE"""),46058.0)</f>
        <v>46058</v>
      </c>
      <c r="B50" s="319" t="str">
        <f>IFERROR(__xludf.DUMMYFUNCTION("""COMPUTED_VALUE"""),"A. 0")</f>
        <v>A. 0</v>
      </c>
      <c r="C50" s="320">
        <f>IFERROR(__xludf.DUMMYFUNCTION("""COMPUTED_VALUE"""),21570.0)</f>
        <v>21570</v>
      </c>
      <c r="D50" s="320">
        <f>IFERROR(__xludf.DUMMYFUNCTION("""COMPUTED_VALUE"""),19.13)</f>
        <v>19.13</v>
      </c>
      <c r="E50" s="320">
        <f>IFERROR(__xludf.DUMMYFUNCTION("""COMPUTED_VALUE"""),0.0)</f>
        <v>0</v>
      </c>
      <c r="F50" s="320">
        <f>IFERROR(__xludf.DUMMYFUNCTION("""COMPUTED_VALUE"""),0.0)</f>
        <v>0</v>
      </c>
      <c r="G50" s="320">
        <f>IFERROR(__xludf.DUMMYFUNCTION("""COMPUTED_VALUE"""),0.0)</f>
        <v>0</v>
      </c>
      <c r="H50" s="106"/>
      <c r="I50" s="320">
        <f>IFERROR(__xludf.DUMMYFUNCTION("""COMPUTED_VALUE"""),6.17)</f>
        <v>6.17</v>
      </c>
      <c r="J50" s="320">
        <f>IFERROR(__xludf.DUMMYFUNCTION("""COMPUTED_VALUE"""),2.54)</f>
        <v>2.54</v>
      </c>
      <c r="K50" s="320">
        <f>IFERROR(__xludf.DUMMYFUNCTION("""COMPUTED_VALUE"""),0.04)</f>
        <v>0.04</v>
      </c>
      <c r="L50" s="320">
        <f>IFERROR(__xludf.DUMMYFUNCTION("""COMPUTED_VALUE"""),0.0138)</f>
        <v>0.0138</v>
      </c>
      <c r="M50" s="320">
        <f>IFERROR(__xludf.DUMMYFUNCTION("""COMPUTED_VALUE"""),0.9888)</f>
        <v>0.9888</v>
      </c>
      <c r="N50" s="320">
        <f>IFERROR(__xludf.DUMMYFUNCTION("""COMPUTED_VALUE"""),0.8534)</f>
        <v>0.8534</v>
      </c>
      <c r="O50" s="320">
        <f>IFERROR(__xludf.DUMMYFUNCTION("""COMPUTED_VALUE"""),72.2427)</f>
        <v>72.2427</v>
      </c>
      <c r="P50" s="320">
        <f>IFERROR(__xludf.DUMMYFUNCTION("""COMPUTED_VALUE"""),23.2)</f>
        <v>23.2</v>
      </c>
      <c r="Q50" s="320">
        <f>IFERROR(__xludf.DUMMYFUNCTION("""COMPUTED_VALUE"""),23.06)</f>
        <v>23.06</v>
      </c>
      <c r="R50" s="320">
        <f>IFERROR(__xludf.DUMMYFUNCTION("""COMPUTED_VALUE"""),0.14)</f>
        <v>0.14</v>
      </c>
      <c r="S50" s="320">
        <f>IFERROR(__xludf.DUMMYFUNCTION("""COMPUTED_VALUE"""),0.0)</f>
        <v>0</v>
      </c>
      <c r="T50" s="320">
        <f>IFERROR(__xludf.DUMMYFUNCTION("""COMPUTED_VALUE"""),23.2)</f>
        <v>23.2</v>
      </c>
      <c r="U50" s="320">
        <f>IFERROR(__xludf.DUMMYFUNCTION("""COMPUTED_VALUE"""),2.03)</f>
        <v>2.03</v>
      </c>
      <c r="V50" s="320">
        <f>IFERROR(__xludf.DUMMYFUNCTION("""COMPUTED_VALUE"""),0.8008)</f>
        <v>0.8008</v>
      </c>
      <c r="W50" s="320">
        <f>IFERROR(__xludf.DUMMYFUNCTION("""COMPUTED_VALUE"""),0.0)</f>
        <v>0</v>
      </c>
      <c r="X50" s="320">
        <f>IFERROR(__xludf.DUMMYFUNCTION("""COMPUTED_VALUE"""),292.0)</f>
        <v>292</v>
      </c>
      <c r="Y50" s="320">
        <f>IFERROR(__xludf.DUMMYFUNCTION("""COMPUTED_VALUE"""),3096.0)</f>
        <v>3096</v>
      </c>
      <c r="Z50" s="320">
        <f>IFERROR(__xludf.DUMMYFUNCTION("""COMPUTED_VALUE"""),13183.0)</f>
        <v>13183</v>
      </c>
      <c r="AA50" s="320">
        <f>IFERROR(__xludf.DUMMYFUNCTION("""COMPUTED_VALUE"""),48.7857)</f>
        <v>48.7857</v>
      </c>
      <c r="AB50" s="320">
        <f>IFERROR(__xludf.DUMMYFUNCTION("""COMPUTED_VALUE"""),0.5427)</f>
        <v>0.5427</v>
      </c>
      <c r="AC50" s="106"/>
      <c r="AD50" s="106"/>
      <c r="AE50" s="106"/>
      <c r="AF50" s="106"/>
      <c r="AG50" s="106"/>
      <c r="AH50" s="320">
        <f>IFERROR(__xludf.DUMMYFUNCTION("""COMPUTED_VALUE"""),0.0)</f>
        <v>0</v>
      </c>
      <c r="AI50" s="320">
        <f>IFERROR(__xludf.DUMMYFUNCTION("""COMPUTED_VALUE"""),0.0)</f>
        <v>0</v>
      </c>
      <c r="AJ50" s="320">
        <f>IFERROR(__xludf.DUMMYFUNCTION("""COMPUTED_VALUE"""),0.0)</f>
        <v>0</v>
      </c>
      <c r="AK50" s="320">
        <f>IFERROR(__xludf.DUMMYFUNCTION("""COMPUTED_VALUE"""),0.2986)</f>
        <v>0.2986</v>
      </c>
      <c r="AL50" s="320">
        <f>IFERROR(__xludf.DUMMYFUNCTION("""COMPUTED_VALUE"""),16.5)</f>
        <v>16.5</v>
      </c>
      <c r="AM50" s="320">
        <f>IFERROR(__xludf.DUMMYFUNCTION("""COMPUTED_VALUE"""),6.55)</f>
        <v>6.55</v>
      </c>
      <c r="AN50" s="331"/>
      <c r="AO50" s="331"/>
    </row>
    <row r="51" ht="15.75" customHeight="1">
      <c r="A51" s="330">
        <f>IFERROR(__xludf.DUMMYFUNCTION("""COMPUTED_VALUE"""),46058.0)</f>
        <v>46058</v>
      </c>
      <c r="B51" s="319" t="str">
        <f>IFERROR(__xludf.DUMMYFUNCTION("""COMPUTED_VALUE"""),"B. 1-9")</f>
        <v>B. 1-9</v>
      </c>
      <c r="C51" s="320">
        <f>IFERROR(__xludf.DUMMYFUNCTION("""COMPUTED_VALUE"""),38981.0)</f>
        <v>38981</v>
      </c>
      <c r="D51" s="320">
        <f>IFERROR(__xludf.DUMMYFUNCTION("""COMPUTED_VALUE"""),34.57)</f>
        <v>34.57</v>
      </c>
      <c r="E51" s="320">
        <f>IFERROR(__xludf.DUMMYFUNCTION("""COMPUTED_VALUE"""),0.0)</f>
        <v>0</v>
      </c>
      <c r="F51" s="320">
        <f>IFERROR(__xludf.DUMMYFUNCTION("""COMPUTED_VALUE"""),0.0)</f>
        <v>0</v>
      </c>
      <c r="G51" s="320">
        <f>IFERROR(__xludf.DUMMYFUNCTION("""COMPUTED_VALUE"""),0.0)</f>
        <v>0</v>
      </c>
      <c r="H51" s="106"/>
      <c r="I51" s="320">
        <f>IFERROR(__xludf.DUMMYFUNCTION("""COMPUTED_VALUE"""),28.65)</f>
        <v>28.65</v>
      </c>
      <c r="J51" s="320">
        <f>IFERROR(__xludf.DUMMYFUNCTION("""COMPUTED_VALUE"""),12.92)</f>
        <v>12.92</v>
      </c>
      <c r="K51" s="320">
        <f>IFERROR(__xludf.DUMMYFUNCTION("""COMPUTED_VALUE"""),5.54)</f>
        <v>5.54</v>
      </c>
      <c r="L51" s="320">
        <f>IFERROR(__xludf.DUMMYFUNCTION("""COMPUTED_VALUE"""),0.4287)</f>
        <v>0.4287</v>
      </c>
      <c r="M51" s="320">
        <f>IFERROR(__xludf.DUMMYFUNCTION("""COMPUTED_VALUE"""),0.7415)</f>
        <v>0.7415</v>
      </c>
      <c r="N51" s="320">
        <f>IFERROR(__xludf.DUMMYFUNCTION("""COMPUTED_VALUE"""),0.5381)</f>
        <v>0.5381</v>
      </c>
      <c r="O51" s="320">
        <f>IFERROR(__xludf.DUMMYFUNCTION("""COMPUTED_VALUE"""),2.3324)</f>
        <v>2.3324</v>
      </c>
      <c r="P51" s="320">
        <f>IFERROR(__xludf.DUMMYFUNCTION("""COMPUTED_VALUE"""),51.98)</f>
        <v>51.98</v>
      </c>
      <c r="Q51" s="320">
        <f>IFERROR(__xludf.DUMMYFUNCTION("""COMPUTED_VALUE"""),40.15)</f>
        <v>40.15</v>
      </c>
      <c r="R51" s="320">
        <f>IFERROR(__xludf.DUMMYFUNCTION("""COMPUTED_VALUE"""),11.83)</f>
        <v>11.83</v>
      </c>
      <c r="S51" s="320">
        <f>IFERROR(__xludf.DUMMYFUNCTION("""COMPUTED_VALUE"""),1.16)</f>
        <v>1.16</v>
      </c>
      <c r="T51" s="320">
        <f>IFERROR(__xludf.DUMMYFUNCTION("""COMPUTED_VALUE"""),50.82)</f>
        <v>50.82</v>
      </c>
      <c r="U51" s="320">
        <f>IFERROR(__xludf.DUMMYFUNCTION("""COMPUTED_VALUE"""),52.31)</f>
        <v>52.31</v>
      </c>
      <c r="V51" s="320">
        <f>IFERROR(__xludf.DUMMYFUNCTION("""COMPUTED_VALUE"""),4.0491)</f>
        <v>4.0491</v>
      </c>
      <c r="W51" s="320">
        <f>IFERROR(__xludf.DUMMYFUNCTION("""COMPUTED_VALUE"""),2.23)</f>
        <v>2.23</v>
      </c>
      <c r="X51" s="320">
        <f>IFERROR(__xludf.DUMMYFUNCTION("""COMPUTED_VALUE"""),155.0)</f>
        <v>155</v>
      </c>
      <c r="Y51" s="320">
        <f>IFERROR(__xludf.DUMMYFUNCTION("""COMPUTED_VALUE"""),943.0)</f>
        <v>943</v>
      </c>
      <c r="Z51" s="320">
        <f>IFERROR(__xludf.DUMMYFUNCTION("""COMPUTED_VALUE"""),5968.0)</f>
        <v>5968</v>
      </c>
      <c r="AA51" s="320">
        <f>IFERROR(__xludf.DUMMYFUNCTION("""COMPUTED_VALUE"""),48.5497)</f>
        <v>48.5497</v>
      </c>
      <c r="AB51" s="320">
        <f>IFERROR(__xludf.DUMMYFUNCTION("""COMPUTED_VALUE"""),0.542)</f>
        <v>0.542</v>
      </c>
      <c r="AC51" s="320">
        <f>IFERROR(__xludf.DUMMYFUNCTION("""COMPUTED_VALUE"""),4.06)</f>
        <v>4.06</v>
      </c>
      <c r="AD51" s="320">
        <f>IFERROR(__xludf.DUMMYFUNCTION("""COMPUTED_VALUE"""),1.0)</f>
        <v>1</v>
      </c>
      <c r="AE51" s="320">
        <f>IFERROR(__xludf.DUMMYFUNCTION("""COMPUTED_VALUE"""),3.0)</f>
        <v>3</v>
      </c>
      <c r="AF51" s="320">
        <f>IFERROR(__xludf.DUMMYFUNCTION("""COMPUTED_VALUE"""),5.0)</f>
        <v>5</v>
      </c>
      <c r="AG51" s="320">
        <f>IFERROR(__xludf.DUMMYFUNCTION("""COMPUTED_VALUE"""),9.0)</f>
        <v>9</v>
      </c>
      <c r="AH51" s="320">
        <f>IFERROR(__xludf.DUMMYFUNCTION("""COMPUTED_VALUE"""),72.61)</f>
        <v>72.61</v>
      </c>
      <c r="AI51" s="320">
        <f>IFERROR(__xludf.DUMMYFUNCTION("""COMPUTED_VALUE"""),31.5)</f>
        <v>31.5</v>
      </c>
      <c r="AJ51" s="320">
        <f>IFERROR(__xludf.DUMMYFUNCTION("""COMPUTED_VALUE"""),9.13)</f>
        <v>9.13</v>
      </c>
      <c r="AK51" s="320">
        <f>IFERROR(__xludf.DUMMYFUNCTION("""COMPUTED_VALUE"""),0.2695)</f>
        <v>0.2695</v>
      </c>
      <c r="AL51" s="320">
        <f>IFERROR(__xludf.DUMMYFUNCTION("""COMPUTED_VALUE"""),19.36)</f>
        <v>19.36</v>
      </c>
      <c r="AM51" s="320">
        <f>IFERROR(__xludf.DUMMYFUNCTION("""COMPUTED_VALUE"""),20.79)</f>
        <v>20.79</v>
      </c>
      <c r="AN51" s="320">
        <f>IFERROR(__xludf.DUMMYFUNCTION("""COMPUTED_VALUE"""),65.06)</f>
        <v>65.06</v>
      </c>
      <c r="AO51" s="320">
        <f>IFERROR(__xludf.DUMMYFUNCTION("""COMPUTED_VALUE"""),12.6)</f>
        <v>12.6</v>
      </c>
    </row>
    <row r="52" ht="15.75" customHeight="1">
      <c r="A52" s="330">
        <f>IFERROR(__xludf.DUMMYFUNCTION("""COMPUTED_VALUE"""),46058.0)</f>
        <v>46058</v>
      </c>
      <c r="B52" s="319" t="str">
        <f>IFERROR(__xludf.DUMMYFUNCTION("""COMPUTED_VALUE"""),"C. 10-19")</f>
        <v>C. 10-19</v>
      </c>
      <c r="C52" s="320">
        <f>IFERROR(__xludf.DUMMYFUNCTION("""COMPUTED_VALUE"""),28913.0)</f>
        <v>28913</v>
      </c>
      <c r="D52" s="320">
        <f>IFERROR(__xludf.DUMMYFUNCTION("""COMPUTED_VALUE"""),25.64)</f>
        <v>25.64</v>
      </c>
      <c r="E52" s="320">
        <f>IFERROR(__xludf.DUMMYFUNCTION("""COMPUTED_VALUE"""),0.0)</f>
        <v>0</v>
      </c>
      <c r="F52" s="320">
        <f>IFERROR(__xludf.DUMMYFUNCTION("""COMPUTED_VALUE"""),0.0)</f>
        <v>0</v>
      </c>
      <c r="G52" s="320">
        <f>IFERROR(__xludf.DUMMYFUNCTION("""COMPUTED_VALUE"""),0.0)</f>
        <v>0</v>
      </c>
      <c r="H52" s="106"/>
      <c r="I52" s="320">
        <f>IFERROR(__xludf.DUMMYFUNCTION("""COMPUTED_VALUE"""),52.93)</f>
        <v>52.93</v>
      </c>
      <c r="J52" s="320">
        <f>IFERROR(__xludf.DUMMYFUNCTION("""COMPUTED_VALUE"""),24.95)</f>
        <v>24.95</v>
      </c>
      <c r="K52" s="320">
        <f>IFERROR(__xludf.DUMMYFUNCTION("""COMPUTED_VALUE"""),13.76)</f>
        <v>13.76</v>
      </c>
      <c r="L52" s="320">
        <f>IFERROR(__xludf.DUMMYFUNCTION("""COMPUTED_VALUE"""),0.5515)</f>
        <v>0.5515</v>
      </c>
      <c r="M52" s="320">
        <f>IFERROR(__xludf.DUMMYFUNCTION("""COMPUTED_VALUE"""),0.6384)</f>
        <v>0.6384</v>
      </c>
      <c r="N52" s="320">
        <f>IFERROR(__xludf.DUMMYFUNCTION("""COMPUTED_VALUE"""),0.4427)</f>
        <v>0.4427</v>
      </c>
      <c r="O52" s="320">
        <f>IFERROR(__xludf.DUMMYFUNCTION("""COMPUTED_VALUE"""),1.8131)</f>
        <v>1.8131</v>
      </c>
      <c r="P52" s="320">
        <f>IFERROR(__xludf.DUMMYFUNCTION("""COMPUTED_VALUE"""),95.93)</f>
        <v>95.93</v>
      </c>
      <c r="Q52" s="320">
        <f>IFERROR(__xludf.DUMMYFUNCTION("""COMPUTED_VALUE"""),67.44)</f>
        <v>67.44</v>
      </c>
      <c r="R52" s="320">
        <f>IFERROR(__xludf.DUMMYFUNCTION("""COMPUTED_VALUE"""),28.49)</f>
        <v>28.49</v>
      </c>
      <c r="S52" s="320">
        <f>IFERROR(__xludf.DUMMYFUNCTION("""COMPUTED_VALUE"""),3.34)</f>
        <v>3.34</v>
      </c>
      <c r="T52" s="320">
        <f>IFERROR(__xludf.DUMMYFUNCTION("""COMPUTED_VALUE"""),92.59)</f>
        <v>92.59</v>
      </c>
      <c r="U52" s="320">
        <f>IFERROR(__xludf.DUMMYFUNCTION("""COMPUTED_VALUE"""),95.89)</f>
        <v>95.89</v>
      </c>
      <c r="V52" s="320">
        <f>IFERROR(__xludf.DUMMYFUNCTION("""COMPUTED_VALUE"""),3.8434)</f>
        <v>3.8434</v>
      </c>
      <c r="W52" s="320">
        <f>IFERROR(__xludf.DUMMYFUNCTION("""COMPUTED_VALUE"""),3.48)</f>
        <v>3.48</v>
      </c>
      <c r="X52" s="320">
        <f>IFERROR(__xludf.DUMMYFUNCTION("""COMPUTED_VALUE"""),134.0)</f>
        <v>134</v>
      </c>
      <c r="Y52" s="320">
        <f>IFERROR(__xludf.DUMMYFUNCTION("""COMPUTED_VALUE"""),792.0)</f>
        <v>792</v>
      </c>
      <c r="Z52" s="320">
        <f>IFERROR(__xludf.DUMMYFUNCTION("""COMPUTED_VALUE"""),5476.0)</f>
        <v>5476</v>
      </c>
      <c r="AA52" s="320">
        <f>IFERROR(__xludf.DUMMYFUNCTION("""COMPUTED_VALUE"""),52.1172)</f>
        <v>52.1172</v>
      </c>
      <c r="AB52" s="320">
        <f>IFERROR(__xludf.DUMMYFUNCTION("""COMPUTED_VALUE"""),0.639)</f>
        <v>0.639</v>
      </c>
      <c r="AC52" s="320">
        <f>IFERROR(__xludf.DUMMYFUNCTION("""COMPUTED_VALUE"""),9.17)</f>
        <v>9.17</v>
      </c>
      <c r="AD52" s="320">
        <f>IFERROR(__xludf.DUMMYFUNCTION("""COMPUTED_VALUE"""),4.0)</f>
        <v>4</v>
      </c>
      <c r="AE52" s="320">
        <f>IFERROR(__xludf.DUMMYFUNCTION("""COMPUTED_VALUE"""),7.0)</f>
        <v>7</v>
      </c>
      <c r="AF52" s="320">
        <f>IFERROR(__xludf.DUMMYFUNCTION("""COMPUTED_VALUE"""),13.0)</f>
        <v>13</v>
      </c>
      <c r="AG52" s="320">
        <f>IFERROR(__xludf.DUMMYFUNCTION("""COMPUTED_VALUE"""),19.0)</f>
        <v>19</v>
      </c>
      <c r="AH52" s="320">
        <f>IFERROR(__xludf.DUMMYFUNCTION("""COMPUTED_VALUE"""),60.2)</f>
        <v>60.2</v>
      </c>
      <c r="AI52" s="320">
        <f>IFERROR(__xludf.DUMMYFUNCTION("""COMPUTED_VALUE"""),25.21)</f>
        <v>25.21</v>
      </c>
      <c r="AJ52" s="320">
        <f>IFERROR(__xludf.DUMMYFUNCTION("""COMPUTED_VALUE"""),4.05)</f>
        <v>4.05</v>
      </c>
      <c r="AK52" s="320">
        <f>IFERROR(__xludf.DUMMYFUNCTION("""COMPUTED_VALUE"""),0.2035)</f>
        <v>0.2035</v>
      </c>
      <c r="AL52" s="320">
        <f>IFERROR(__xludf.DUMMYFUNCTION("""COMPUTED_VALUE"""),20.44)</f>
        <v>20.44</v>
      </c>
      <c r="AM52" s="320">
        <f>IFERROR(__xludf.DUMMYFUNCTION("""COMPUTED_VALUE"""),47.0)</f>
        <v>47</v>
      </c>
      <c r="AN52" s="320">
        <f>IFERROR(__xludf.DUMMYFUNCTION("""COMPUTED_VALUE"""),74.52)</f>
        <v>74.52</v>
      </c>
      <c r="AO52" s="320">
        <f>IFERROR(__xludf.DUMMYFUNCTION("""COMPUTED_VALUE"""),15.23)</f>
        <v>15.23</v>
      </c>
    </row>
    <row r="53" ht="15.75" customHeight="1">
      <c r="A53" s="330">
        <f>IFERROR(__xludf.DUMMYFUNCTION("""COMPUTED_VALUE"""),46058.0)</f>
        <v>46058</v>
      </c>
      <c r="B53" s="319" t="str">
        <f>IFERROR(__xludf.DUMMYFUNCTION("""COMPUTED_VALUE"""),"D. 20-39")</f>
        <v>D. 20-39</v>
      </c>
      <c r="C53" s="320">
        <f>IFERROR(__xludf.DUMMYFUNCTION("""COMPUTED_VALUE"""),16407.0)</f>
        <v>16407</v>
      </c>
      <c r="D53" s="320">
        <f>IFERROR(__xludf.DUMMYFUNCTION("""COMPUTED_VALUE"""),14.55)</f>
        <v>14.55</v>
      </c>
      <c r="E53" s="320">
        <f>IFERROR(__xludf.DUMMYFUNCTION("""COMPUTED_VALUE"""),0.0)</f>
        <v>0</v>
      </c>
      <c r="F53" s="320">
        <f>IFERROR(__xludf.DUMMYFUNCTION("""COMPUTED_VALUE"""),0.0)</f>
        <v>0</v>
      </c>
      <c r="G53" s="320">
        <f>IFERROR(__xludf.DUMMYFUNCTION("""COMPUTED_VALUE"""),0.0)</f>
        <v>0</v>
      </c>
      <c r="H53" s="106"/>
      <c r="I53" s="320">
        <f>IFERROR(__xludf.DUMMYFUNCTION("""COMPUTED_VALUE"""),78.53)</f>
        <v>78.53</v>
      </c>
      <c r="J53" s="320">
        <f>IFERROR(__xludf.DUMMYFUNCTION("""COMPUTED_VALUE"""),39.17)</f>
        <v>39.17</v>
      </c>
      <c r="K53" s="320">
        <f>IFERROR(__xludf.DUMMYFUNCTION("""COMPUTED_VALUE"""),25.63)</f>
        <v>25.63</v>
      </c>
      <c r="L53" s="320">
        <f>IFERROR(__xludf.DUMMYFUNCTION("""COMPUTED_VALUE"""),0.6545)</f>
        <v>0.6545</v>
      </c>
      <c r="M53" s="320">
        <f>IFERROR(__xludf.DUMMYFUNCTION("""COMPUTED_VALUE"""),0.5361)</f>
        <v>0.5361</v>
      </c>
      <c r="N53" s="320">
        <f>IFERROR(__xludf.DUMMYFUNCTION("""COMPUTED_VALUE"""),0.3712)</f>
        <v>0.3712</v>
      </c>
      <c r="O53" s="320">
        <f>IFERROR(__xludf.DUMMYFUNCTION("""COMPUTED_VALUE"""),1.528)</f>
        <v>1.528</v>
      </c>
      <c r="P53" s="320">
        <f>IFERROR(__xludf.DUMMYFUNCTION("""COMPUTED_VALUE"""),162.57)</f>
        <v>162.57</v>
      </c>
      <c r="Q53" s="320">
        <f>IFERROR(__xludf.DUMMYFUNCTION("""COMPUTED_VALUE"""),108.13)</f>
        <v>108.13</v>
      </c>
      <c r="R53" s="320">
        <f>IFERROR(__xludf.DUMMYFUNCTION("""COMPUTED_VALUE"""),54.44)</f>
        <v>54.44</v>
      </c>
      <c r="S53" s="320">
        <f>IFERROR(__xludf.DUMMYFUNCTION("""COMPUTED_VALUE"""),1.82)</f>
        <v>1.82</v>
      </c>
      <c r="T53" s="320">
        <f>IFERROR(__xludf.DUMMYFUNCTION("""COMPUTED_VALUE"""),160.75)</f>
        <v>160.75</v>
      </c>
      <c r="U53" s="320">
        <f>IFERROR(__xludf.DUMMYFUNCTION("""COMPUTED_VALUE"""),165.38)</f>
        <v>165.38</v>
      </c>
      <c r="V53" s="320">
        <f>IFERROR(__xludf.DUMMYFUNCTION("""COMPUTED_VALUE"""),4.2224)</f>
        <v>4.2224</v>
      </c>
      <c r="W53" s="320">
        <f>IFERROR(__xludf.DUMMYFUNCTION("""COMPUTED_VALUE"""),1.12)</f>
        <v>1.12</v>
      </c>
      <c r="X53" s="320">
        <f>IFERROR(__xludf.DUMMYFUNCTION("""COMPUTED_VALUE"""),156.0)</f>
        <v>156</v>
      </c>
      <c r="Y53" s="320">
        <f>IFERROR(__xludf.DUMMYFUNCTION("""COMPUTED_VALUE"""),982.0)</f>
        <v>982</v>
      </c>
      <c r="Z53" s="320">
        <f>IFERROR(__xludf.DUMMYFUNCTION("""COMPUTED_VALUE"""),6187.0)</f>
        <v>6187</v>
      </c>
      <c r="AA53" s="320">
        <f>IFERROR(__xludf.DUMMYFUNCTION("""COMPUTED_VALUE"""),55.2519)</f>
        <v>55.2519</v>
      </c>
      <c r="AB53" s="320">
        <f>IFERROR(__xludf.DUMMYFUNCTION("""COMPUTED_VALUE"""),0.7419)</f>
        <v>0.7419</v>
      </c>
      <c r="AC53" s="320">
        <f>IFERROR(__xludf.DUMMYFUNCTION("""COMPUTED_VALUE"""),17.19)</f>
        <v>17.19</v>
      </c>
      <c r="AD53" s="320">
        <f>IFERROR(__xludf.DUMMYFUNCTION("""COMPUTED_VALUE"""),7.0)</f>
        <v>7</v>
      </c>
      <c r="AE53" s="320">
        <f>IFERROR(__xludf.DUMMYFUNCTION("""COMPUTED_VALUE"""),13.0)</f>
        <v>13</v>
      </c>
      <c r="AF53" s="320">
        <f>IFERROR(__xludf.DUMMYFUNCTION("""COMPUTED_VALUE"""),23.0)</f>
        <v>23</v>
      </c>
      <c r="AG53" s="320">
        <f>IFERROR(__xludf.DUMMYFUNCTION("""COMPUTED_VALUE"""),35.0)</f>
        <v>35</v>
      </c>
      <c r="AH53" s="320">
        <f>IFERROR(__xludf.DUMMYFUNCTION("""COMPUTED_VALUE"""),59.16)</f>
        <v>59.16</v>
      </c>
      <c r="AI53" s="320">
        <f>IFERROR(__xludf.DUMMYFUNCTION("""COMPUTED_VALUE"""),21.47)</f>
        <v>21.47</v>
      </c>
      <c r="AJ53" s="320">
        <f>IFERROR(__xludf.DUMMYFUNCTION("""COMPUTED_VALUE"""),6.24)</f>
        <v>6.24</v>
      </c>
      <c r="AK53" s="320">
        <f>IFERROR(__xludf.DUMMYFUNCTION("""COMPUTED_VALUE"""),0.1843)</f>
        <v>0.1843</v>
      </c>
      <c r="AL53" s="320">
        <f>IFERROR(__xludf.DUMMYFUNCTION("""COMPUTED_VALUE"""),20.6)</f>
        <v>20.6</v>
      </c>
      <c r="AM53" s="320">
        <f>IFERROR(__xludf.DUMMYFUNCTION("""COMPUTED_VALUE"""),87.54)</f>
        <v>87.54</v>
      </c>
      <c r="AN53" s="320">
        <f>IFERROR(__xludf.DUMMYFUNCTION("""COMPUTED_VALUE"""),78.04)</f>
        <v>78.04</v>
      </c>
      <c r="AO53" s="320">
        <f>IFERROR(__xludf.DUMMYFUNCTION("""COMPUTED_VALUE"""),16.08)</f>
        <v>16.08</v>
      </c>
    </row>
    <row r="54" ht="15.75" customHeight="1">
      <c r="A54" s="330">
        <f>IFERROR(__xludf.DUMMYFUNCTION("""COMPUTED_VALUE"""),46058.0)</f>
        <v>46058</v>
      </c>
      <c r="B54" s="319" t="str">
        <f>IFERROR(__xludf.DUMMYFUNCTION("""COMPUTED_VALUE"""),"E. 40-99")</f>
        <v>E. 40-99</v>
      </c>
      <c r="C54" s="320">
        <f>IFERROR(__xludf.DUMMYFUNCTION("""COMPUTED_VALUE"""),6206.0)</f>
        <v>6206</v>
      </c>
      <c r="D54" s="320">
        <f>IFERROR(__xludf.DUMMYFUNCTION("""COMPUTED_VALUE"""),5.5)</f>
        <v>5.5</v>
      </c>
      <c r="E54" s="320">
        <f>IFERROR(__xludf.DUMMYFUNCTION("""COMPUTED_VALUE"""),0.0)</f>
        <v>0</v>
      </c>
      <c r="F54" s="320">
        <f>IFERROR(__xludf.DUMMYFUNCTION("""COMPUTED_VALUE"""),0.0)</f>
        <v>0</v>
      </c>
      <c r="G54" s="320">
        <f>IFERROR(__xludf.DUMMYFUNCTION("""COMPUTED_VALUE"""),0.0)</f>
        <v>0</v>
      </c>
      <c r="H54" s="106"/>
      <c r="I54" s="320">
        <f>IFERROR(__xludf.DUMMYFUNCTION("""COMPUTED_VALUE"""),126.62)</f>
        <v>126.62</v>
      </c>
      <c r="J54" s="320">
        <f>IFERROR(__xludf.DUMMYFUNCTION("""COMPUTED_VALUE"""),68.61)</f>
        <v>68.61</v>
      </c>
      <c r="K54" s="320">
        <f>IFERROR(__xludf.DUMMYFUNCTION("""COMPUTED_VALUE"""),53.69)</f>
        <v>53.69</v>
      </c>
      <c r="L54" s="320">
        <f>IFERROR(__xludf.DUMMYFUNCTION("""COMPUTED_VALUE"""),0.7826)</f>
        <v>0.7826</v>
      </c>
      <c r="M54" s="320">
        <f>IFERROR(__xludf.DUMMYFUNCTION("""COMPUTED_VALUE"""),0.3962)</f>
        <v>0.3962</v>
      </c>
      <c r="N54" s="320">
        <f>IFERROR(__xludf.DUMMYFUNCTION("""COMPUTED_VALUE"""),0.2816)</f>
        <v>0.2816</v>
      </c>
      <c r="O54" s="320">
        <f>IFERROR(__xludf.DUMMYFUNCTION("""COMPUTED_VALUE"""),1.2778)</f>
        <v>1.2778</v>
      </c>
      <c r="P54" s="320">
        <f>IFERROR(__xludf.DUMMYFUNCTION("""COMPUTED_VALUE"""),323.59)</f>
        <v>323.59</v>
      </c>
      <c r="Q54" s="320">
        <f>IFERROR(__xludf.DUMMYFUNCTION("""COMPUTED_VALUE"""),209.92)</f>
        <v>209.92</v>
      </c>
      <c r="R54" s="320">
        <f>IFERROR(__xludf.DUMMYFUNCTION("""COMPUTED_VALUE"""),113.67)</f>
        <v>113.67</v>
      </c>
      <c r="S54" s="320">
        <f>IFERROR(__xludf.DUMMYFUNCTION("""COMPUTED_VALUE"""),2.05)</f>
        <v>2.05</v>
      </c>
      <c r="T54" s="320">
        <f>IFERROR(__xludf.DUMMYFUNCTION("""COMPUTED_VALUE"""),321.55)</f>
        <v>321.55</v>
      </c>
      <c r="U54" s="320">
        <f>IFERROR(__xludf.DUMMYFUNCTION("""COMPUTED_VALUE"""),325.84)</f>
        <v>325.84</v>
      </c>
      <c r="V54" s="320">
        <f>IFERROR(__xludf.DUMMYFUNCTION("""COMPUTED_VALUE"""),4.7493)</f>
        <v>4.7493</v>
      </c>
      <c r="W54" s="320">
        <f>IFERROR(__xludf.DUMMYFUNCTION("""COMPUTED_VALUE"""),0.63)</f>
        <v>0.63</v>
      </c>
      <c r="X54" s="320">
        <f>IFERROR(__xludf.DUMMYFUNCTION("""COMPUTED_VALUE"""),341.0)</f>
        <v>341</v>
      </c>
      <c r="Y54" s="320">
        <f>IFERROR(__xludf.DUMMYFUNCTION("""COMPUTED_VALUE"""),2464.0)</f>
        <v>2464</v>
      </c>
      <c r="Z54" s="320">
        <f>IFERROR(__xludf.DUMMYFUNCTION("""COMPUTED_VALUE"""),9043.0)</f>
        <v>9043</v>
      </c>
      <c r="AA54" s="320">
        <f>IFERROR(__xludf.DUMMYFUNCTION("""COMPUTED_VALUE"""),59.2173)</f>
        <v>59.2173</v>
      </c>
      <c r="AB54" s="320">
        <f>IFERROR(__xludf.DUMMYFUNCTION("""COMPUTED_VALUE"""),0.8299)</f>
        <v>0.8299</v>
      </c>
      <c r="AC54" s="320">
        <f>IFERROR(__xludf.DUMMYFUNCTION("""COMPUTED_VALUE"""),37.05)</f>
        <v>37.05</v>
      </c>
      <c r="AD54" s="320">
        <f>IFERROR(__xludf.DUMMYFUNCTION("""COMPUTED_VALUE"""),15.0)</f>
        <v>15</v>
      </c>
      <c r="AE54" s="320">
        <f>IFERROR(__xludf.DUMMYFUNCTION("""COMPUTED_VALUE"""),29.0)</f>
        <v>29</v>
      </c>
      <c r="AF54" s="320">
        <f>IFERROR(__xludf.DUMMYFUNCTION("""COMPUTED_VALUE"""),50.0)</f>
        <v>50</v>
      </c>
      <c r="AG54" s="320">
        <f>IFERROR(__xludf.DUMMYFUNCTION("""COMPUTED_VALUE"""),77.0)</f>
        <v>77</v>
      </c>
      <c r="AH54" s="320">
        <f>IFERROR(__xludf.DUMMYFUNCTION("""COMPUTED_VALUE"""),52.45)</f>
        <v>52.45</v>
      </c>
      <c r="AI54" s="320">
        <f>IFERROR(__xludf.DUMMYFUNCTION("""COMPUTED_VALUE"""),19.13)</f>
        <v>19.13</v>
      </c>
      <c r="AJ54" s="320">
        <f>IFERROR(__xludf.DUMMYFUNCTION("""COMPUTED_VALUE"""),4.33)</f>
        <v>4.33</v>
      </c>
      <c r="AK54" s="320">
        <f>IFERROR(__xludf.DUMMYFUNCTION("""COMPUTED_VALUE"""),0.1436)</f>
        <v>0.1436</v>
      </c>
      <c r="AL54" s="320">
        <f>IFERROR(__xludf.DUMMYFUNCTION("""COMPUTED_VALUE"""),21.62)</f>
        <v>21.62</v>
      </c>
      <c r="AM54" s="320">
        <f>IFERROR(__xludf.DUMMYFUNCTION("""COMPUTED_VALUE"""),188.29)</f>
        <v>188.29</v>
      </c>
      <c r="AN54" s="320">
        <f>IFERROR(__xludf.DUMMYFUNCTION("""COMPUTED_VALUE"""),82.13)</f>
        <v>82.13</v>
      </c>
      <c r="AO54" s="320">
        <f>IFERROR(__xludf.DUMMYFUNCTION("""COMPUTED_VALUE"""),17.76)</f>
        <v>17.76</v>
      </c>
    </row>
    <row r="55" ht="15.75" customHeight="1">
      <c r="A55" s="330">
        <f>IFERROR(__xludf.DUMMYFUNCTION("""COMPUTED_VALUE"""),46058.0)</f>
        <v>46058</v>
      </c>
      <c r="B55" s="319" t="str">
        <f>IFERROR(__xludf.DUMMYFUNCTION("""COMPUTED_VALUE"""),"F. 100+")</f>
        <v>F. 100+</v>
      </c>
      <c r="C55" s="320">
        <f>IFERROR(__xludf.DUMMYFUNCTION("""COMPUTED_VALUE"""),673.0)</f>
        <v>673</v>
      </c>
      <c r="D55" s="320">
        <f>IFERROR(__xludf.DUMMYFUNCTION("""COMPUTED_VALUE"""),0.6)</f>
        <v>0.6</v>
      </c>
      <c r="E55" s="320">
        <f>IFERROR(__xludf.DUMMYFUNCTION("""COMPUTED_VALUE"""),0.0)</f>
        <v>0</v>
      </c>
      <c r="F55" s="320">
        <f>IFERROR(__xludf.DUMMYFUNCTION("""COMPUTED_VALUE"""),0.0)</f>
        <v>0</v>
      </c>
      <c r="G55" s="320">
        <f>IFERROR(__xludf.DUMMYFUNCTION("""COMPUTED_VALUE"""),0.0)</f>
        <v>0</v>
      </c>
      <c r="H55" s="106"/>
      <c r="I55" s="320">
        <f>IFERROR(__xludf.DUMMYFUNCTION("""COMPUTED_VALUE"""),234.48)</f>
        <v>234.48</v>
      </c>
      <c r="J55" s="320">
        <f>IFERROR(__xludf.DUMMYFUNCTION("""COMPUTED_VALUE"""),136.55)</f>
        <v>136.55</v>
      </c>
      <c r="K55" s="320">
        <f>IFERROR(__xludf.DUMMYFUNCTION("""COMPUTED_VALUE"""),118.75)</f>
        <v>118.75</v>
      </c>
      <c r="L55" s="320">
        <f>IFERROR(__xludf.DUMMYFUNCTION("""COMPUTED_VALUE"""),0.8697)</f>
        <v>0.8697</v>
      </c>
      <c r="M55" s="320">
        <f>IFERROR(__xludf.DUMMYFUNCTION("""COMPUTED_VALUE"""),0.2831)</f>
        <v>0.2831</v>
      </c>
      <c r="N55" s="320">
        <f>IFERROR(__xludf.DUMMYFUNCTION("""COMPUTED_VALUE"""),0.2135)</f>
        <v>0.2135</v>
      </c>
      <c r="O55" s="320">
        <f>IFERROR(__xludf.DUMMYFUNCTION("""COMPUTED_VALUE"""),1.1499)</f>
        <v>1.1499</v>
      </c>
      <c r="P55" s="320">
        <f>IFERROR(__xludf.DUMMYFUNCTION("""COMPUTED_VALUE"""),604.11)</f>
        <v>604.11</v>
      </c>
      <c r="Q55" s="320">
        <f>IFERROR(__xludf.DUMMYFUNCTION("""COMPUTED_VALUE"""),351.72)</f>
        <v>351.72</v>
      </c>
      <c r="R55" s="320">
        <f>IFERROR(__xludf.DUMMYFUNCTION("""COMPUTED_VALUE"""),252.39)</f>
        <v>252.39</v>
      </c>
      <c r="S55" s="320">
        <f>IFERROR(__xludf.DUMMYFUNCTION("""COMPUTED_VALUE"""),0.89)</f>
        <v>0.89</v>
      </c>
      <c r="T55" s="320">
        <f>IFERROR(__xludf.DUMMYFUNCTION("""COMPUTED_VALUE"""),603.22)</f>
        <v>603.22</v>
      </c>
      <c r="U55" s="320">
        <f>IFERROR(__xludf.DUMMYFUNCTION("""COMPUTED_VALUE"""),667.76)</f>
        <v>667.76</v>
      </c>
      <c r="V55" s="320">
        <f>IFERROR(__xludf.DUMMYFUNCTION("""COMPUTED_VALUE"""),4.8902)</f>
        <v>4.8902</v>
      </c>
      <c r="W55" s="320">
        <f>IFERROR(__xludf.DUMMYFUNCTION("""COMPUTED_VALUE"""),0.15)</f>
        <v>0.15</v>
      </c>
      <c r="X55" s="320">
        <f>IFERROR(__xludf.DUMMYFUNCTION("""COMPUTED_VALUE"""),894.0)</f>
        <v>894</v>
      </c>
      <c r="Y55" s="320">
        <f>IFERROR(__xludf.DUMMYFUNCTION("""COMPUTED_VALUE"""),4104.0)</f>
        <v>4104</v>
      </c>
      <c r="Z55" s="320">
        <f>IFERROR(__xludf.DUMMYFUNCTION("""COMPUTED_VALUE"""),12327.0)</f>
        <v>12327</v>
      </c>
      <c r="AA55" s="320">
        <f>IFERROR(__xludf.DUMMYFUNCTION("""COMPUTED_VALUE"""),63.3293)</f>
        <v>63.3293</v>
      </c>
      <c r="AB55" s="320">
        <f>IFERROR(__xludf.DUMMYFUNCTION("""COMPUTED_VALUE"""),0.894)</f>
        <v>0.894</v>
      </c>
      <c r="AC55" s="320">
        <f>IFERROR(__xludf.DUMMYFUNCTION("""COMPUTED_VALUE"""),81.11)</f>
        <v>81.11</v>
      </c>
      <c r="AD55" s="320">
        <f>IFERROR(__xludf.DUMMYFUNCTION("""COMPUTED_VALUE"""),34.0)</f>
        <v>34</v>
      </c>
      <c r="AE55" s="320">
        <f>IFERROR(__xludf.DUMMYFUNCTION("""COMPUTED_VALUE"""),65.0)</f>
        <v>65</v>
      </c>
      <c r="AF55" s="320">
        <f>IFERROR(__xludf.DUMMYFUNCTION("""COMPUTED_VALUE"""),114.0)</f>
        <v>114</v>
      </c>
      <c r="AG55" s="320">
        <f>IFERROR(__xludf.DUMMYFUNCTION("""COMPUTED_VALUE"""),165.0)</f>
        <v>165</v>
      </c>
      <c r="AH55" s="320">
        <f>IFERROR(__xludf.DUMMYFUNCTION("""COMPUTED_VALUE"""),41.75)</f>
        <v>41.75</v>
      </c>
      <c r="AI55" s="320">
        <f>IFERROR(__xludf.DUMMYFUNCTION("""COMPUTED_VALUE"""),8.62)</f>
        <v>8.62</v>
      </c>
      <c r="AJ55" s="320">
        <f>IFERROR(__xludf.DUMMYFUNCTION("""COMPUTED_VALUE"""),1.49)</f>
        <v>1.49</v>
      </c>
      <c r="AK55" s="320">
        <f>IFERROR(__xludf.DUMMYFUNCTION("""COMPUTED_VALUE"""),0.0951)</f>
        <v>0.0951</v>
      </c>
      <c r="AL55" s="320">
        <f>IFERROR(__xludf.DUMMYFUNCTION("""COMPUTED_VALUE"""),24.45)</f>
        <v>24.45</v>
      </c>
      <c r="AM55" s="320">
        <f>IFERROR(__xludf.DUMMYFUNCTION("""COMPUTED_VALUE"""),327.27)</f>
        <v>327.27</v>
      </c>
      <c r="AN55" s="320">
        <f>IFERROR(__xludf.DUMMYFUNCTION("""COMPUTED_VALUE"""),85.16)</f>
        <v>85.16</v>
      </c>
      <c r="AO55" s="320">
        <f>IFERROR(__xludf.DUMMYFUNCTION("""COMPUTED_VALUE"""),20.82)</f>
        <v>20.82</v>
      </c>
    </row>
    <row r="56" ht="15.75" customHeight="1">
      <c r="A56" s="330">
        <f>IFERROR(__xludf.DUMMYFUNCTION("""COMPUTED_VALUE"""),46059.0)</f>
        <v>46059</v>
      </c>
      <c r="B56" s="319" t="str">
        <f>IFERROR(__xludf.DUMMYFUNCTION("""COMPUTED_VALUE"""),"A. 0")</f>
        <v>A. 0</v>
      </c>
      <c r="C56" s="320">
        <f>IFERROR(__xludf.DUMMYFUNCTION("""COMPUTED_VALUE"""),19910.0)</f>
        <v>19910</v>
      </c>
      <c r="D56" s="320">
        <f>IFERROR(__xludf.DUMMYFUNCTION("""COMPUTED_VALUE"""),17.98)</f>
        <v>17.98</v>
      </c>
      <c r="E56" s="320">
        <f>IFERROR(__xludf.DUMMYFUNCTION("""COMPUTED_VALUE"""),0.0)</f>
        <v>0</v>
      </c>
      <c r="F56" s="320">
        <f>IFERROR(__xludf.DUMMYFUNCTION("""COMPUTED_VALUE"""),0.0)</f>
        <v>0</v>
      </c>
      <c r="G56" s="320">
        <f>IFERROR(__xludf.DUMMYFUNCTION("""COMPUTED_VALUE"""),0.0)</f>
        <v>0</v>
      </c>
      <c r="H56" s="106"/>
      <c r="I56" s="320">
        <f>IFERROR(__xludf.DUMMYFUNCTION("""COMPUTED_VALUE"""),5.76)</f>
        <v>5.76</v>
      </c>
      <c r="J56" s="320">
        <f>IFERROR(__xludf.DUMMYFUNCTION("""COMPUTED_VALUE"""),2.23)</f>
        <v>2.23</v>
      </c>
      <c r="K56" s="320">
        <f>IFERROR(__xludf.DUMMYFUNCTION("""COMPUTED_VALUE"""),0.03)</f>
        <v>0.03</v>
      </c>
      <c r="L56" s="320">
        <f>IFERROR(__xludf.DUMMYFUNCTION("""COMPUTED_VALUE"""),0.0153)</f>
        <v>0.0153</v>
      </c>
      <c r="M56" s="320">
        <f>IFERROR(__xludf.DUMMYFUNCTION("""COMPUTED_VALUE"""),0.988)</f>
        <v>0.988</v>
      </c>
      <c r="N56" s="320">
        <f>IFERROR(__xludf.DUMMYFUNCTION("""COMPUTED_VALUE"""),0.8561)</f>
        <v>0.8561</v>
      </c>
      <c r="O56" s="320">
        <f>IFERROR(__xludf.DUMMYFUNCTION("""COMPUTED_VALUE"""),65.5708)</f>
        <v>65.5708</v>
      </c>
      <c r="P56" s="320">
        <f>IFERROR(__xludf.DUMMYFUNCTION("""COMPUTED_VALUE"""),27.98)</f>
        <v>27.98</v>
      </c>
      <c r="Q56" s="320">
        <f>IFERROR(__xludf.DUMMYFUNCTION("""COMPUTED_VALUE"""),27.81)</f>
        <v>27.81</v>
      </c>
      <c r="R56" s="320">
        <f>IFERROR(__xludf.DUMMYFUNCTION("""COMPUTED_VALUE"""),0.17)</f>
        <v>0.17</v>
      </c>
      <c r="S56" s="320">
        <f>IFERROR(__xludf.DUMMYFUNCTION("""COMPUTED_VALUE"""),0.0)</f>
        <v>0</v>
      </c>
      <c r="T56" s="320">
        <f>IFERROR(__xludf.DUMMYFUNCTION("""COMPUTED_VALUE"""),27.98)</f>
        <v>27.98</v>
      </c>
      <c r="U56" s="320">
        <f>IFERROR(__xludf.DUMMYFUNCTION("""COMPUTED_VALUE"""),2.05)</f>
        <v>2.05</v>
      </c>
      <c r="V56" s="320">
        <f>IFERROR(__xludf.DUMMYFUNCTION("""COMPUTED_VALUE"""),0.92)</f>
        <v>0.92</v>
      </c>
      <c r="W56" s="320">
        <f>IFERROR(__xludf.DUMMYFUNCTION("""COMPUTED_VALUE"""),0.0)</f>
        <v>0</v>
      </c>
      <c r="X56" s="320">
        <f>IFERROR(__xludf.DUMMYFUNCTION("""COMPUTED_VALUE"""),343.0)</f>
        <v>343</v>
      </c>
      <c r="Y56" s="320">
        <f>IFERROR(__xludf.DUMMYFUNCTION("""COMPUTED_VALUE"""),3595.0)</f>
        <v>3595</v>
      </c>
      <c r="Z56" s="320">
        <f>IFERROR(__xludf.DUMMYFUNCTION("""COMPUTED_VALUE"""),14044.0)</f>
        <v>14044</v>
      </c>
      <c r="AA56" s="320">
        <f>IFERROR(__xludf.DUMMYFUNCTION("""COMPUTED_VALUE"""),48.9935)</f>
        <v>48.9935</v>
      </c>
      <c r="AB56" s="320">
        <f>IFERROR(__xludf.DUMMYFUNCTION("""COMPUTED_VALUE"""),0.5509)</f>
        <v>0.5509</v>
      </c>
      <c r="AC56" s="106"/>
      <c r="AD56" s="106"/>
      <c r="AE56" s="106"/>
      <c r="AF56" s="106"/>
      <c r="AG56" s="106"/>
      <c r="AH56" s="320">
        <f>IFERROR(__xludf.DUMMYFUNCTION("""COMPUTED_VALUE"""),0.0)</f>
        <v>0</v>
      </c>
      <c r="AI56" s="320">
        <f>IFERROR(__xludf.DUMMYFUNCTION("""COMPUTED_VALUE"""),0.0)</f>
        <v>0</v>
      </c>
      <c r="AJ56" s="320">
        <f>IFERROR(__xludf.DUMMYFUNCTION("""COMPUTED_VALUE"""),0.0)</f>
        <v>0</v>
      </c>
      <c r="AK56" s="320">
        <f>IFERROR(__xludf.DUMMYFUNCTION("""COMPUTED_VALUE"""),0.3257)</f>
        <v>0.3257</v>
      </c>
      <c r="AL56" s="320">
        <f>IFERROR(__xludf.DUMMYFUNCTION("""COMPUTED_VALUE"""),17.43)</f>
        <v>17.43</v>
      </c>
      <c r="AM56" s="320">
        <f>IFERROR(__xludf.DUMMYFUNCTION("""COMPUTED_VALUE"""),10.38)</f>
        <v>10.38</v>
      </c>
      <c r="AN56" s="331"/>
      <c r="AO56" s="331"/>
    </row>
    <row r="57" ht="15.75" customHeight="1">
      <c r="A57" s="330">
        <f>IFERROR(__xludf.DUMMYFUNCTION("""COMPUTED_VALUE"""),46059.0)</f>
        <v>46059</v>
      </c>
      <c r="B57" s="319" t="str">
        <f>IFERROR(__xludf.DUMMYFUNCTION("""COMPUTED_VALUE"""),"B. 1-9")</f>
        <v>B. 1-9</v>
      </c>
      <c r="C57" s="320">
        <f>IFERROR(__xludf.DUMMYFUNCTION("""COMPUTED_VALUE"""),38607.0)</f>
        <v>38607</v>
      </c>
      <c r="D57" s="320">
        <f>IFERROR(__xludf.DUMMYFUNCTION("""COMPUTED_VALUE"""),34.86)</f>
        <v>34.86</v>
      </c>
      <c r="E57" s="320">
        <f>IFERROR(__xludf.DUMMYFUNCTION("""COMPUTED_VALUE"""),0.0)</f>
        <v>0</v>
      </c>
      <c r="F57" s="320">
        <f>IFERROR(__xludf.DUMMYFUNCTION("""COMPUTED_VALUE"""),0.0)</f>
        <v>0</v>
      </c>
      <c r="G57" s="320">
        <f>IFERROR(__xludf.DUMMYFUNCTION("""COMPUTED_VALUE"""),0.0)</f>
        <v>0</v>
      </c>
      <c r="H57" s="106"/>
      <c r="I57" s="320">
        <f>IFERROR(__xludf.DUMMYFUNCTION("""COMPUTED_VALUE"""),30.72)</f>
        <v>30.72</v>
      </c>
      <c r="J57" s="320">
        <f>IFERROR(__xludf.DUMMYFUNCTION("""COMPUTED_VALUE"""),13.82)</f>
        <v>13.82</v>
      </c>
      <c r="K57" s="320">
        <f>IFERROR(__xludf.DUMMYFUNCTION("""COMPUTED_VALUE"""),5.93)</f>
        <v>5.93</v>
      </c>
      <c r="L57" s="320">
        <f>IFERROR(__xludf.DUMMYFUNCTION("""COMPUTED_VALUE"""),0.429)</f>
        <v>0.429</v>
      </c>
      <c r="M57" s="320">
        <f>IFERROR(__xludf.DUMMYFUNCTION("""COMPUTED_VALUE"""),0.7393)</f>
        <v>0.7393</v>
      </c>
      <c r="N57" s="320">
        <f>IFERROR(__xludf.DUMMYFUNCTION("""COMPUTED_VALUE"""),0.5344)</f>
        <v>0.5344</v>
      </c>
      <c r="O57" s="320">
        <f>IFERROR(__xludf.DUMMYFUNCTION("""COMPUTED_VALUE"""),2.3309)</f>
        <v>2.3309</v>
      </c>
      <c r="P57" s="320">
        <f>IFERROR(__xludf.DUMMYFUNCTION("""COMPUTED_VALUE"""),60.98)</f>
        <v>60.98</v>
      </c>
      <c r="Q57" s="320">
        <f>IFERROR(__xludf.DUMMYFUNCTION("""COMPUTED_VALUE"""),48.66)</f>
        <v>48.66</v>
      </c>
      <c r="R57" s="320">
        <f>IFERROR(__xludf.DUMMYFUNCTION("""COMPUTED_VALUE"""),12.32)</f>
        <v>12.32</v>
      </c>
      <c r="S57" s="320">
        <f>IFERROR(__xludf.DUMMYFUNCTION("""COMPUTED_VALUE"""),0.57)</f>
        <v>0.57</v>
      </c>
      <c r="T57" s="320">
        <f>IFERROR(__xludf.DUMMYFUNCTION("""COMPUTED_VALUE"""),60.41)</f>
        <v>60.41</v>
      </c>
      <c r="U57" s="320">
        <f>IFERROR(__xludf.DUMMYFUNCTION("""COMPUTED_VALUE"""),55.57)</f>
        <v>55.57</v>
      </c>
      <c r="V57" s="320">
        <f>IFERROR(__xludf.DUMMYFUNCTION("""COMPUTED_VALUE"""),4.0222)</f>
        <v>4.0222</v>
      </c>
      <c r="W57" s="320">
        <f>IFERROR(__xludf.DUMMYFUNCTION("""COMPUTED_VALUE"""),0.94)</f>
        <v>0.94</v>
      </c>
      <c r="X57" s="320">
        <f>IFERROR(__xludf.DUMMYFUNCTION("""COMPUTED_VALUE"""),151.0)</f>
        <v>151</v>
      </c>
      <c r="Y57" s="320">
        <f>IFERROR(__xludf.DUMMYFUNCTION("""COMPUTED_VALUE"""),885.0)</f>
        <v>885</v>
      </c>
      <c r="Z57" s="320">
        <f>IFERROR(__xludf.DUMMYFUNCTION("""COMPUTED_VALUE"""),5633.0)</f>
        <v>5633</v>
      </c>
      <c r="AA57" s="320">
        <f>IFERROR(__xludf.DUMMYFUNCTION("""COMPUTED_VALUE"""),48.4818)</f>
        <v>48.4818</v>
      </c>
      <c r="AB57" s="320">
        <f>IFERROR(__xludf.DUMMYFUNCTION("""COMPUTED_VALUE"""),0.5398)</f>
        <v>0.5398</v>
      </c>
      <c r="AC57" s="320">
        <f>IFERROR(__xludf.DUMMYFUNCTION("""COMPUTED_VALUE"""),4.2)</f>
        <v>4.2</v>
      </c>
      <c r="AD57" s="320">
        <f>IFERROR(__xludf.DUMMYFUNCTION("""COMPUTED_VALUE"""),1.0)</f>
        <v>1</v>
      </c>
      <c r="AE57" s="320">
        <f>IFERROR(__xludf.DUMMYFUNCTION("""COMPUTED_VALUE"""),3.0)</f>
        <v>3</v>
      </c>
      <c r="AF57" s="320">
        <f>IFERROR(__xludf.DUMMYFUNCTION("""COMPUTED_VALUE"""),6.0)</f>
        <v>6</v>
      </c>
      <c r="AG57" s="320">
        <f>IFERROR(__xludf.DUMMYFUNCTION("""COMPUTED_VALUE"""),9.0)</f>
        <v>9</v>
      </c>
      <c r="AH57" s="320">
        <f>IFERROR(__xludf.DUMMYFUNCTION("""COMPUTED_VALUE"""),74.88)</f>
        <v>74.88</v>
      </c>
      <c r="AI57" s="320">
        <f>IFERROR(__xludf.DUMMYFUNCTION("""COMPUTED_VALUE"""),33.53)</f>
        <v>33.53</v>
      </c>
      <c r="AJ57" s="320">
        <f>IFERROR(__xludf.DUMMYFUNCTION("""COMPUTED_VALUE"""),9.42)</f>
        <v>9.42</v>
      </c>
      <c r="AK57" s="320">
        <f>IFERROR(__xludf.DUMMYFUNCTION("""COMPUTED_VALUE"""),0.2755)</f>
        <v>0.2755</v>
      </c>
      <c r="AL57" s="320">
        <f>IFERROR(__xludf.DUMMYFUNCTION("""COMPUTED_VALUE"""),20.2)</f>
        <v>20.2</v>
      </c>
      <c r="AM57" s="320">
        <f>IFERROR(__xludf.DUMMYFUNCTION("""COMPUTED_VALUE"""),28.46)</f>
        <v>28.46</v>
      </c>
      <c r="AN57" s="320">
        <f>IFERROR(__xludf.DUMMYFUNCTION("""COMPUTED_VALUE"""),65.3)</f>
        <v>65.3</v>
      </c>
      <c r="AO57" s="320">
        <f>IFERROR(__xludf.DUMMYFUNCTION("""COMPUTED_VALUE"""),13.19)</f>
        <v>13.19</v>
      </c>
    </row>
    <row r="58" ht="15.75" customHeight="1">
      <c r="A58" s="330">
        <f>IFERROR(__xludf.DUMMYFUNCTION("""COMPUTED_VALUE"""),46059.0)</f>
        <v>46059</v>
      </c>
      <c r="B58" s="319" t="str">
        <f>IFERROR(__xludf.DUMMYFUNCTION("""COMPUTED_VALUE"""),"C. 10-19")</f>
        <v>C. 10-19</v>
      </c>
      <c r="C58" s="320">
        <f>IFERROR(__xludf.DUMMYFUNCTION("""COMPUTED_VALUE"""),28899.0)</f>
        <v>28899</v>
      </c>
      <c r="D58" s="320">
        <f>IFERROR(__xludf.DUMMYFUNCTION("""COMPUTED_VALUE"""),26.1)</f>
        <v>26.1</v>
      </c>
      <c r="E58" s="320">
        <f>IFERROR(__xludf.DUMMYFUNCTION("""COMPUTED_VALUE"""),0.0)</f>
        <v>0</v>
      </c>
      <c r="F58" s="320">
        <f>IFERROR(__xludf.DUMMYFUNCTION("""COMPUTED_VALUE"""),0.0)</f>
        <v>0</v>
      </c>
      <c r="G58" s="320">
        <f>IFERROR(__xludf.DUMMYFUNCTION("""COMPUTED_VALUE"""),0.0)</f>
        <v>0</v>
      </c>
      <c r="H58" s="106"/>
      <c r="I58" s="320">
        <f>IFERROR(__xludf.DUMMYFUNCTION("""COMPUTED_VALUE"""),56.39)</f>
        <v>56.39</v>
      </c>
      <c r="J58" s="320">
        <f>IFERROR(__xludf.DUMMYFUNCTION("""COMPUTED_VALUE"""),26.63)</f>
        <v>26.63</v>
      </c>
      <c r="K58" s="320">
        <f>IFERROR(__xludf.DUMMYFUNCTION("""COMPUTED_VALUE"""),14.25)</f>
        <v>14.25</v>
      </c>
      <c r="L58" s="320">
        <f>IFERROR(__xludf.DUMMYFUNCTION("""COMPUTED_VALUE"""),0.5351)</f>
        <v>0.5351</v>
      </c>
      <c r="M58" s="320">
        <f>IFERROR(__xludf.DUMMYFUNCTION("""COMPUTED_VALUE"""),0.6501)</f>
        <v>0.6501</v>
      </c>
      <c r="N58" s="320">
        <f>IFERROR(__xludf.DUMMYFUNCTION("""COMPUTED_VALUE"""),0.4506)</f>
        <v>0.4506</v>
      </c>
      <c r="O58" s="320">
        <f>IFERROR(__xludf.DUMMYFUNCTION("""COMPUTED_VALUE"""),1.8688)</f>
        <v>1.8688</v>
      </c>
      <c r="P58" s="320">
        <f>IFERROR(__xludf.DUMMYFUNCTION("""COMPUTED_VALUE"""),105.32)</f>
        <v>105.32</v>
      </c>
      <c r="Q58" s="320">
        <f>IFERROR(__xludf.DUMMYFUNCTION("""COMPUTED_VALUE"""),75.47)</f>
        <v>75.47</v>
      </c>
      <c r="R58" s="320">
        <f>IFERROR(__xludf.DUMMYFUNCTION("""COMPUTED_VALUE"""),29.85)</f>
        <v>29.85</v>
      </c>
      <c r="S58" s="320">
        <f>IFERROR(__xludf.DUMMYFUNCTION("""COMPUTED_VALUE"""),2.17)</f>
        <v>2.17</v>
      </c>
      <c r="T58" s="320">
        <f>IFERROR(__xludf.DUMMYFUNCTION("""COMPUTED_VALUE"""),103.15)</f>
        <v>103.15</v>
      </c>
      <c r="U58" s="320">
        <f>IFERROR(__xludf.DUMMYFUNCTION("""COMPUTED_VALUE"""),100.26)</f>
        <v>100.26</v>
      </c>
      <c r="V58" s="320">
        <f>IFERROR(__xludf.DUMMYFUNCTION("""COMPUTED_VALUE"""),3.7647)</f>
        <v>3.7647</v>
      </c>
      <c r="W58" s="320">
        <f>IFERROR(__xludf.DUMMYFUNCTION("""COMPUTED_VALUE"""),2.06)</f>
        <v>2.06</v>
      </c>
      <c r="X58" s="320">
        <f>IFERROR(__xludf.DUMMYFUNCTION("""COMPUTED_VALUE"""),135.0)</f>
        <v>135</v>
      </c>
      <c r="Y58" s="320">
        <f>IFERROR(__xludf.DUMMYFUNCTION("""COMPUTED_VALUE"""),728.0)</f>
        <v>728</v>
      </c>
      <c r="Z58" s="320">
        <f>IFERROR(__xludf.DUMMYFUNCTION("""COMPUTED_VALUE"""),5291.0)</f>
        <v>5291</v>
      </c>
      <c r="AA58" s="320">
        <f>IFERROR(__xludf.DUMMYFUNCTION("""COMPUTED_VALUE"""),52.0155)</f>
        <v>52.0155</v>
      </c>
      <c r="AB58" s="320">
        <f>IFERROR(__xludf.DUMMYFUNCTION("""COMPUTED_VALUE"""),0.639)</f>
        <v>0.639</v>
      </c>
      <c r="AC58" s="320">
        <f>IFERROR(__xludf.DUMMYFUNCTION("""COMPUTED_VALUE"""),9.5)</f>
        <v>9.5</v>
      </c>
      <c r="AD58" s="320">
        <f>IFERROR(__xludf.DUMMYFUNCTION("""COMPUTED_VALUE"""),4.0)</f>
        <v>4</v>
      </c>
      <c r="AE58" s="320">
        <f>IFERROR(__xludf.DUMMYFUNCTION("""COMPUTED_VALUE"""),8.0)</f>
        <v>8</v>
      </c>
      <c r="AF58" s="320">
        <f>IFERROR(__xludf.DUMMYFUNCTION("""COMPUTED_VALUE"""),13.0)</f>
        <v>13</v>
      </c>
      <c r="AG58" s="320">
        <f>IFERROR(__xludf.DUMMYFUNCTION("""COMPUTED_VALUE"""),19.0)</f>
        <v>19</v>
      </c>
      <c r="AH58" s="320">
        <f>IFERROR(__xludf.DUMMYFUNCTION("""COMPUTED_VALUE"""),63.55)</f>
        <v>63.55</v>
      </c>
      <c r="AI58" s="320">
        <f>IFERROR(__xludf.DUMMYFUNCTION("""COMPUTED_VALUE"""),26.34)</f>
        <v>26.34</v>
      </c>
      <c r="AJ58" s="320">
        <f>IFERROR(__xludf.DUMMYFUNCTION("""COMPUTED_VALUE"""),4.19)</f>
        <v>4.19</v>
      </c>
      <c r="AK58" s="320">
        <f>IFERROR(__xludf.DUMMYFUNCTION("""COMPUTED_VALUE"""),0.2179)</f>
        <v>0.2179</v>
      </c>
      <c r="AL58" s="320">
        <f>IFERROR(__xludf.DUMMYFUNCTION("""COMPUTED_VALUE"""),21.03)</f>
        <v>21.03</v>
      </c>
      <c r="AM58" s="320">
        <f>IFERROR(__xludf.DUMMYFUNCTION("""COMPUTED_VALUE"""),54.43)</f>
        <v>54.43</v>
      </c>
      <c r="AN58" s="320">
        <f>IFERROR(__xludf.DUMMYFUNCTION("""COMPUTED_VALUE"""),74.99)</f>
        <v>74.99</v>
      </c>
      <c r="AO58" s="320">
        <f>IFERROR(__xludf.DUMMYFUNCTION("""COMPUTED_VALUE"""),15.77)</f>
        <v>15.77</v>
      </c>
    </row>
    <row r="59" ht="15.75" customHeight="1">
      <c r="A59" s="330">
        <f>IFERROR(__xludf.DUMMYFUNCTION("""COMPUTED_VALUE"""),46059.0)</f>
        <v>46059</v>
      </c>
      <c r="B59" s="319" t="str">
        <f>IFERROR(__xludf.DUMMYFUNCTION("""COMPUTED_VALUE"""),"D. 20-39")</f>
        <v>D. 20-39</v>
      </c>
      <c r="C59" s="320">
        <f>IFERROR(__xludf.DUMMYFUNCTION("""COMPUTED_VALUE"""),16420.0)</f>
        <v>16420</v>
      </c>
      <c r="D59" s="320">
        <f>IFERROR(__xludf.DUMMYFUNCTION("""COMPUTED_VALUE"""),14.83)</f>
        <v>14.83</v>
      </c>
      <c r="E59" s="320">
        <f>IFERROR(__xludf.DUMMYFUNCTION("""COMPUTED_VALUE"""),0.0)</f>
        <v>0</v>
      </c>
      <c r="F59" s="320">
        <f>IFERROR(__xludf.DUMMYFUNCTION("""COMPUTED_VALUE"""),0.0)</f>
        <v>0</v>
      </c>
      <c r="G59" s="320">
        <f>IFERROR(__xludf.DUMMYFUNCTION("""COMPUTED_VALUE"""),0.0)</f>
        <v>0</v>
      </c>
      <c r="H59" s="106"/>
      <c r="I59" s="320">
        <f>IFERROR(__xludf.DUMMYFUNCTION("""COMPUTED_VALUE"""),84.47)</f>
        <v>84.47</v>
      </c>
      <c r="J59" s="320">
        <f>IFERROR(__xludf.DUMMYFUNCTION("""COMPUTED_VALUE"""),42.13)</f>
        <v>42.13</v>
      </c>
      <c r="K59" s="320">
        <f>IFERROR(__xludf.DUMMYFUNCTION("""COMPUTED_VALUE"""),26.84)</f>
        <v>26.84</v>
      </c>
      <c r="L59" s="320">
        <f>IFERROR(__xludf.DUMMYFUNCTION("""COMPUTED_VALUE"""),0.6372)</f>
        <v>0.6372</v>
      </c>
      <c r="M59" s="320">
        <f>IFERROR(__xludf.DUMMYFUNCTION("""COMPUTED_VALUE"""),0.5471)</f>
        <v>0.5471</v>
      </c>
      <c r="N59" s="320">
        <f>IFERROR(__xludf.DUMMYFUNCTION("""COMPUTED_VALUE"""),0.3766)</f>
        <v>0.3766</v>
      </c>
      <c r="O59" s="320">
        <f>IFERROR(__xludf.DUMMYFUNCTION("""COMPUTED_VALUE"""),1.5694)</f>
        <v>1.5694</v>
      </c>
      <c r="P59" s="320">
        <f>IFERROR(__xludf.DUMMYFUNCTION("""COMPUTED_VALUE"""),163.28)</f>
        <v>163.28</v>
      </c>
      <c r="Q59" s="320">
        <f>IFERROR(__xludf.DUMMYFUNCTION("""COMPUTED_VALUE"""),106.49)</f>
        <v>106.49</v>
      </c>
      <c r="R59" s="320">
        <f>IFERROR(__xludf.DUMMYFUNCTION("""COMPUTED_VALUE"""),56.79)</f>
        <v>56.79</v>
      </c>
      <c r="S59" s="320">
        <f>IFERROR(__xludf.DUMMYFUNCTION("""COMPUTED_VALUE"""),3.44)</f>
        <v>3.44</v>
      </c>
      <c r="T59" s="320">
        <f>IFERROR(__xludf.DUMMYFUNCTION("""COMPUTED_VALUE"""),159.84)</f>
        <v>159.84</v>
      </c>
      <c r="U59" s="320">
        <f>IFERROR(__xludf.DUMMYFUNCTION("""COMPUTED_VALUE"""),168.59)</f>
        <v>168.59</v>
      </c>
      <c r="V59" s="320">
        <f>IFERROR(__xludf.DUMMYFUNCTION("""COMPUTED_VALUE"""),4.002)</f>
        <v>4.002</v>
      </c>
      <c r="W59" s="320">
        <f>IFERROR(__xludf.DUMMYFUNCTION("""COMPUTED_VALUE"""),2.11)</f>
        <v>2.11</v>
      </c>
      <c r="X59" s="320">
        <f>IFERROR(__xludf.DUMMYFUNCTION("""COMPUTED_VALUE"""),147.0)</f>
        <v>147</v>
      </c>
      <c r="Y59" s="320">
        <f>IFERROR(__xludf.DUMMYFUNCTION("""COMPUTED_VALUE"""),938.0)</f>
        <v>938</v>
      </c>
      <c r="Z59" s="320">
        <f>IFERROR(__xludf.DUMMYFUNCTION("""COMPUTED_VALUE"""),5931.0)</f>
        <v>5931</v>
      </c>
      <c r="AA59" s="320">
        <f>IFERROR(__xludf.DUMMYFUNCTION("""COMPUTED_VALUE"""),55.101)</f>
        <v>55.101</v>
      </c>
      <c r="AB59" s="320">
        <f>IFERROR(__xludf.DUMMYFUNCTION("""COMPUTED_VALUE"""),0.7338)</f>
        <v>0.7338</v>
      </c>
      <c r="AC59" s="320">
        <f>IFERROR(__xludf.DUMMYFUNCTION("""COMPUTED_VALUE"""),17.36)</f>
        <v>17.36</v>
      </c>
      <c r="AD59" s="320">
        <f>IFERROR(__xludf.DUMMYFUNCTION("""COMPUTED_VALUE"""),8.0)</f>
        <v>8</v>
      </c>
      <c r="AE59" s="320">
        <f>IFERROR(__xludf.DUMMYFUNCTION("""COMPUTED_VALUE"""),14.0)</f>
        <v>14</v>
      </c>
      <c r="AF59" s="320">
        <f>IFERROR(__xludf.DUMMYFUNCTION("""COMPUTED_VALUE"""),24.0)</f>
        <v>24</v>
      </c>
      <c r="AG59" s="320">
        <f>IFERROR(__xludf.DUMMYFUNCTION("""COMPUTED_VALUE"""),35.0)</f>
        <v>35</v>
      </c>
      <c r="AH59" s="320">
        <f>IFERROR(__xludf.DUMMYFUNCTION("""COMPUTED_VALUE"""),60.73)</f>
        <v>60.73</v>
      </c>
      <c r="AI59" s="320">
        <f>IFERROR(__xludf.DUMMYFUNCTION("""COMPUTED_VALUE"""),21.72)</f>
        <v>21.72</v>
      </c>
      <c r="AJ59" s="320">
        <f>IFERROR(__xludf.DUMMYFUNCTION("""COMPUTED_VALUE"""),5.59)</f>
        <v>5.59</v>
      </c>
      <c r="AK59" s="320">
        <f>IFERROR(__xludf.DUMMYFUNCTION("""COMPUTED_VALUE"""),0.2051)</f>
        <v>0.2051</v>
      </c>
      <c r="AL59" s="320">
        <f>IFERROR(__xludf.DUMMYFUNCTION("""COMPUTED_VALUE"""),21.56)</f>
        <v>21.56</v>
      </c>
      <c r="AM59" s="320">
        <f>IFERROR(__xludf.DUMMYFUNCTION("""COMPUTED_VALUE"""),84.93)</f>
        <v>84.93</v>
      </c>
      <c r="AN59" s="320">
        <f>IFERROR(__xludf.DUMMYFUNCTION("""COMPUTED_VALUE"""),78.13)</f>
        <v>78.13</v>
      </c>
      <c r="AO59" s="320">
        <f>IFERROR(__xludf.DUMMYFUNCTION("""COMPUTED_VALUE"""),16.84)</f>
        <v>16.84</v>
      </c>
    </row>
    <row r="60" ht="15.75" customHeight="1">
      <c r="A60" s="330">
        <f>IFERROR(__xludf.DUMMYFUNCTION("""COMPUTED_VALUE"""),46059.0)</f>
        <v>46059</v>
      </c>
      <c r="B60" s="319" t="str">
        <f>IFERROR(__xludf.DUMMYFUNCTION("""COMPUTED_VALUE"""),"E. 40-99")</f>
        <v>E. 40-99</v>
      </c>
      <c r="C60" s="320">
        <f>IFERROR(__xludf.DUMMYFUNCTION("""COMPUTED_VALUE"""),6218.0)</f>
        <v>6218</v>
      </c>
      <c r="D60" s="320">
        <f>IFERROR(__xludf.DUMMYFUNCTION("""COMPUTED_VALUE"""),5.62)</f>
        <v>5.62</v>
      </c>
      <c r="E60" s="320">
        <f>IFERROR(__xludf.DUMMYFUNCTION("""COMPUTED_VALUE"""),0.0)</f>
        <v>0</v>
      </c>
      <c r="F60" s="320">
        <f>IFERROR(__xludf.DUMMYFUNCTION("""COMPUTED_VALUE"""),0.0)</f>
        <v>0</v>
      </c>
      <c r="G60" s="320">
        <f>IFERROR(__xludf.DUMMYFUNCTION("""COMPUTED_VALUE"""),0.0)</f>
        <v>0</v>
      </c>
      <c r="H60" s="106"/>
      <c r="I60" s="320">
        <f>IFERROR(__xludf.DUMMYFUNCTION("""COMPUTED_VALUE"""),135.64)</f>
        <v>135.64</v>
      </c>
      <c r="J60" s="320">
        <f>IFERROR(__xludf.DUMMYFUNCTION("""COMPUTED_VALUE"""),71.57)</f>
        <v>71.57</v>
      </c>
      <c r="K60" s="320">
        <f>IFERROR(__xludf.DUMMYFUNCTION("""COMPUTED_VALUE"""),54.65)</f>
        <v>54.65</v>
      </c>
      <c r="L60" s="320">
        <f>IFERROR(__xludf.DUMMYFUNCTION("""COMPUTED_VALUE"""),0.7637)</f>
        <v>0.7637</v>
      </c>
      <c r="M60" s="320">
        <f>IFERROR(__xludf.DUMMYFUNCTION("""COMPUTED_VALUE"""),0.4135)</f>
        <v>0.4135</v>
      </c>
      <c r="N60" s="320">
        <f>IFERROR(__xludf.DUMMYFUNCTION("""COMPUTED_VALUE"""),0.2912)</f>
        <v>0.2912</v>
      </c>
      <c r="O60" s="320">
        <f>IFERROR(__xludf.DUMMYFUNCTION("""COMPUTED_VALUE"""),1.3095)</f>
        <v>1.3095</v>
      </c>
      <c r="P60" s="320">
        <f>IFERROR(__xludf.DUMMYFUNCTION("""COMPUTED_VALUE"""),278.38)</f>
        <v>278.38</v>
      </c>
      <c r="Q60" s="320">
        <f>IFERROR(__xludf.DUMMYFUNCTION("""COMPUTED_VALUE"""),162.56)</f>
        <v>162.56</v>
      </c>
      <c r="R60" s="320">
        <f>IFERROR(__xludf.DUMMYFUNCTION("""COMPUTED_VALUE"""),115.82)</f>
        <v>115.82</v>
      </c>
      <c r="S60" s="320">
        <f>IFERROR(__xludf.DUMMYFUNCTION("""COMPUTED_VALUE"""),4.94)</f>
        <v>4.94</v>
      </c>
      <c r="T60" s="320">
        <f>IFERROR(__xludf.DUMMYFUNCTION("""COMPUTED_VALUE"""),273.43)</f>
        <v>273.43</v>
      </c>
      <c r="U60" s="320">
        <f>IFERROR(__xludf.DUMMYFUNCTION("""COMPUTED_VALUE"""),313.71)</f>
        <v>313.71</v>
      </c>
      <c r="V60" s="320">
        <f>IFERROR(__xludf.DUMMYFUNCTION("""COMPUTED_VALUE"""),4.3835)</f>
        <v>4.3835</v>
      </c>
      <c r="W60" s="320">
        <f>IFERROR(__xludf.DUMMYFUNCTION("""COMPUTED_VALUE"""),1.78)</f>
        <v>1.78</v>
      </c>
      <c r="X60" s="320">
        <f>IFERROR(__xludf.DUMMYFUNCTION("""COMPUTED_VALUE"""),258.0)</f>
        <v>258</v>
      </c>
      <c r="Y60" s="320">
        <f>IFERROR(__xludf.DUMMYFUNCTION("""COMPUTED_VALUE"""),2419.0)</f>
        <v>2419</v>
      </c>
      <c r="Z60" s="320">
        <f>IFERROR(__xludf.DUMMYFUNCTION("""COMPUTED_VALUE"""),9127.0)</f>
        <v>9127</v>
      </c>
      <c r="AA60" s="320">
        <f>IFERROR(__xludf.DUMMYFUNCTION("""COMPUTED_VALUE"""),59.1007)</f>
        <v>59.1007</v>
      </c>
      <c r="AB60" s="320">
        <f>IFERROR(__xludf.DUMMYFUNCTION("""COMPUTED_VALUE"""),0.8274)</f>
        <v>0.8274</v>
      </c>
      <c r="AC60" s="320">
        <f>IFERROR(__xludf.DUMMYFUNCTION("""COMPUTED_VALUE"""),36.19)</f>
        <v>36.19</v>
      </c>
      <c r="AD60" s="320">
        <f>IFERROR(__xludf.DUMMYFUNCTION("""COMPUTED_VALUE"""),15.0)</f>
        <v>15</v>
      </c>
      <c r="AE60" s="320">
        <f>IFERROR(__xludf.DUMMYFUNCTION("""COMPUTED_VALUE"""),27.0)</f>
        <v>27</v>
      </c>
      <c r="AF60" s="320">
        <f>IFERROR(__xludf.DUMMYFUNCTION("""COMPUTED_VALUE"""),49.0)</f>
        <v>49</v>
      </c>
      <c r="AG60" s="320">
        <f>IFERROR(__xludf.DUMMYFUNCTION("""COMPUTED_VALUE"""),75.0)</f>
        <v>75</v>
      </c>
      <c r="AH60" s="320">
        <f>IFERROR(__xludf.DUMMYFUNCTION("""COMPUTED_VALUE"""),50.1)</f>
        <v>50.1</v>
      </c>
      <c r="AI60" s="320">
        <f>IFERROR(__xludf.DUMMYFUNCTION("""COMPUTED_VALUE"""),17.56)</f>
        <v>17.56</v>
      </c>
      <c r="AJ60" s="320">
        <f>IFERROR(__xludf.DUMMYFUNCTION("""COMPUTED_VALUE"""),4.18)</f>
        <v>4.18</v>
      </c>
      <c r="AK60" s="320">
        <f>IFERROR(__xludf.DUMMYFUNCTION("""COMPUTED_VALUE"""),0.157)</f>
        <v>0.157</v>
      </c>
      <c r="AL60" s="320">
        <f>IFERROR(__xludf.DUMMYFUNCTION("""COMPUTED_VALUE"""),22.24)</f>
        <v>22.24</v>
      </c>
      <c r="AM60" s="320">
        <f>IFERROR(__xludf.DUMMYFUNCTION("""COMPUTED_VALUE"""),140.32)</f>
        <v>140.32</v>
      </c>
      <c r="AN60" s="320">
        <f>IFERROR(__xludf.DUMMYFUNCTION("""COMPUTED_VALUE"""),82.39)</f>
        <v>82.39</v>
      </c>
      <c r="AO60" s="320">
        <f>IFERROR(__xludf.DUMMYFUNCTION("""COMPUTED_VALUE"""),18.32)</f>
        <v>18.32</v>
      </c>
    </row>
    <row r="61" ht="15.75" customHeight="1">
      <c r="A61" s="330">
        <f>IFERROR(__xludf.DUMMYFUNCTION("""COMPUTED_VALUE"""),46059.0)</f>
        <v>46059</v>
      </c>
      <c r="B61" s="319" t="str">
        <f>IFERROR(__xludf.DUMMYFUNCTION("""COMPUTED_VALUE"""),"F. 100+")</f>
        <v>F. 100+</v>
      </c>
      <c r="C61" s="320">
        <f>IFERROR(__xludf.DUMMYFUNCTION("""COMPUTED_VALUE"""),684.0)</f>
        <v>684</v>
      </c>
      <c r="D61" s="320">
        <f>IFERROR(__xludf.DUMMYFUNCTION("""COMPUTED_VALUE"""),0.62)</f>
        <v>0.62</v>
      </c>
      <c r="E61" s="320">
        <f>IFERROR(__xludf.DUMMYFUNCTION("""COMPUTED_VALUE"""),0.0)</f>
        <v>0</v>
      </c>
      <c r="F61" s="320">
        <f>IFERROR(__xludf.DUMMYFUNCTION("""COMPUTED_VALUE"""),0.0)</f>
        <v>0</v>
      </c>
      <c r="G61" s="320">
        <f>IFERROR(__xludf.DUMMYFUNCTION("""COMPUTED_VALUE"""),0.0)</f>
        <v>0</v>
      </c>
      <c r="H61" s="106"/>
      <c r="I61" s="320">
        <f>IFERROR(__xludf.DUMMYFUNCTION("""COMPUTED_VALUE"""),259.44)</f>
        <v>259.44</v>
      </c>
      <c r="J61" s="320">
        <f>IFERROR(__xludf.DUMMYFUNCTION("""COMPUTED_VALUE"""),150.36)</f>
        <v>150.36</v>
      </c>
      <c r="K61" s="320">
        <f>IFERROR(__xludf.DUMMYFUNCTION("""COMPUTED_VALUE"""),129.93)</f>
        <v>129.93</v>
      </c>
      <c r="L61" s="320">
        <f>IFERROR(__xludf.DUMMYFUNCTION("""COMPUTED_VALUE"""),0.8641)</f>
        <v>0.8641</v>
      </c>
      <c r="M61" s="320">
        <f>IFERROR(__xludf.DUMMYFUNCTION("""COMPUTED_VALUE"""),0.2806)</f>
        <v>0.2806</v>
      </c>
      <c r="N61" s="320">
        <f>IFERROR(__xludf.DUMMYFUNCTION("""COMPUTED_VALUE"""),0.2066)</f>
        <v>0.2066</v>
      </c>
      <c r="O61" s="320">
        <f>IFERROR(__xludf.DUMMYFUNCTION("""COMPUTED_VALUE"""),1.1572)</f>
        <v>1.1572</v>
      </c>
      <c r="P61" s="320">
        <f>IFERROR(__xludf.DUMMYFUNCTION("""COMPUTED_VALUE"""),546.06)</f>
        <v>546.06</v>
      </c>
      <c r="Q61" s="320">
        <f>IFERROR(__xludf.DUMMYFUNCTION("""COMPUTED_VALUE"""),271.39)</f>
        <v>271.39</v>
      </c>
      <c r="R61" s="320">
        <f>IFERROR(__xludf.DUMMYFUNCTION("""COMPUTED_VALUE"""),274.66)</f>
        <v>274.66</v>
      </c>
      <c r="S61" s="320">
        <f>IFERROR(__xludf.DUMMYFUNCTION("""COMPUTED_VALUE"""),0.0)</f>
        <v>0</v>
      </c>
      <c r="T61" s="320">
        <f>IFERROR(__xludf.DUMMYFUNCTION("""COMPUTED_VALUE"""),546.06)</f>
        <v>546.06</v>
      </c>
      <c r="U61" s="320">
        <f>IFERROR(__xludf.DUMMYFUNCTION("""COMPUTED_VALUE"""),649.63)</f>
        <v>649.63</v>
      </c>
      <c r="V61" s="320">
        <f>IFERROR(__xludf.DUMMYFUNCTION("""COMPUTED_VALUE"""),4.3205)</f>
        <v>4.3205</v>
      </c>
      <c r="W61" s="320">
        <f>IFERROR(__xludf.DUMMYFUNCTION("""COMPUTED_VALUE"""),0.0)</f>
        <v>0</v>
      </c>
      <c r="X61" s="320">
        <f>IFERROR(__xludf.DUMMYFUNCTION("""COMPUTED_VALUE"""),891.0)</f>
        <v>891</v>
      </c>
      <c r="Y61" s="320">
        <f>IFERROR(__xludf.DUMMYFUNCTION("""COMPUTED_VALUE"""),3981.0)</f>
        <v>3981</v>
      </c>
      <c r="Z61" s="320">
        <f>IFERROR(__xludf.DUMMYFUNCTION("""COMPUTED_VALUE"""),11236.0)</f>
        <v>11236</v>
      </c>
      <c r="AA61" s="320">
        <f>IFERROR(__xludf.DUMMYFUNCTION("""COMPUTED_VALUE"""),63.4522)</f>
        <v>63.4522</v>
      </c>
      <c r="AB61" s="320">
        <f>IFERROR(__xludf.DUMMYFUNCTION("""COMPUTED_VALUE"""),0.8984)</f>
        <v>0.8984</v>
      </c>
      <c r="AC61" s="320">
        <f>IFERROR(__xludf.DUMMYFUNCTION("""COMPUTED_VALUE"""),87.09)</f>
        <v>87.09</v>
      </c>
      <c r="AD61" s="320">
        <f>IFERROR(__xludf.DUMMYFUNCTION("""COMPUTED_VALUE"""),36.0)</f>
        <v>36</v>
      </c>
      <c r="AE61" s="320">
        <f>IFERROR(__xludf.DUMMYFUNCTION("""COMPUTED_VALUE"""),66.0)</f>
        <v>66</v>
      </c>
      <c r="AF61" s="320">
        <f>IFERROR(__xludf.DUMMYFUNCTION("""COMPUTED_VALUE"""),121.0)</f>
        <v>121</v>
      </c>
      <c r="AG61" s="320">
        <f>IFERROR(__xludf.DUMMYFUNCTION("""COMPUTED_VALUE"""),182.0)</f>
        <v>182</v>
      </c>
      <c r="AH61" s="320">
        <f>IFERROR(__xludf.DUMMYFUNCTION("""COMPUTED_VALUE"""),41.81)</f>
        <v>41.81</v>
      </c>
      <c r="AI61" s="320">
        <f>IFERROR(__xludf.DUMMYFUNCTION("""COMPUTED_VALUE"""),11.26)</f>
        <v>11.26</v>
      </c>
      <c r="AJ61" s="320">
        <f>IFERROR(__xludf.DUMMYFUNCTION("""COMPUTED_VALUE"""),2.34)</f>
        <v>2.34</v>
      </c>
      <c r="AK61" s="320">
        <f>IFERROR(__xludf.DUMMYFUNCTION("""COMPUTED_VALUE"""),0.1096)</f>
        <v>0.1096</v>
      </c>
      <c r="AL61" s="320">
        <f>IFERROR(__xludf.DUMMYFUNCTION("""COMPUTED_VALUE"""),24.8)</f>
        <v>24.8</v>
      </c>
      <c r="AM61" s="320">
        <f>IFERROR(__xludf.DUMMYFUNCTION("""COMPUTED_VALUE"""),246.59)</f>
        <v>246.59</v>
      </c>
      <c r="AN61" s="320">
        <f>IFERROR(__xludf.DUMMYFUNCTION("""COMPUTED_VALUE"""),84.08)</f>
        <v>84.08</v>
      </c>
      <c r="AO61" s="320">
        <f>IFERROR(__xludf.DUMMYFUNCTION("""COMPUTED_VALUE"""),20.85)</f>
        <v>20.85</v>
      </c>
    </row>
    <row r="62" ht="15.75" customHeight="1">
      <c r="A62" s="330">
        <f>IFERROR(__xludf.DUMMYFUNCTION("""COMPUTED_VALUE"""),46060.0)</f>
        <v>46060</v>
      </c>
      <c r="B62" s="319" t="str">
        <f>IFERROR(__xludf.DUMMYFUNCTION("""COMPUTED_VALUE"""),"A. 0")</f>
        <v>A. 0</v>
      </c>
      <c r="C62" s="320">
        <f>IFERROR(__xludf.DUMMYFUNCTION("""COMPUTED_VALUE"""),20373.0)</f>
        <v>20373</v>
      </c>
      <c r="D62" s="320">
        <f>IFERROR(__xludf.DUMMYFUNCTION("""COMPUTED_VALUE"""),18.64)</f>
        <v>18.64</v>
      </c>
      <c r="E62" s="320">
        <f>IFERROR(__xludf.DUMMYFUNCTION("""COMPUTED_VALUE"""),0.0)</f>
        <v>0</v>
      </c>
      <c r="F62" s="320">
        <f>IFERROR(__xludf.DUMMYFUNCTION("""COMPUTED_VALUE"""),0.0)</f>
        <v>0</v>
      </c>
      <c r="G62" s="320">
        <f>IFERROR(__xludf.DUMMYFUNCTION("""COMPUTED_VALUE"""),0.0)</f>
        <v>0</v>
      </c>
      <c r="H62" s="106"/>
      <c r="I62" s="320">
        <f>IFERROR(__xludf.DUMMYFUNCTION("""COMPUTED_VALUE"""),5.9)</f>
        <v>5.9</v>
      </c>
      <c r="J62" s="320">
        <f>IFERROR(__xludf.DUMMYFUNCTION("""COMPUTED_VALUE"""),2.44)</f>
        <v>2.44</v>
      </c>
      <c r="K62" s="320">
        <f>IFERROR(__xludf.DUMMYFUNCTION("""COMPUTED_VALUE"""),0.04)</f>
        <v>0.04</v>
      </c>
      <c r="L62" s="320">
        <f>IFERROR(__xludf.DUMMYFUNCTION("""COMPUTED_VALUE"""),0.0154)</f>
        <v>0.0154</v>
      </c>
      <c r="M62" s="320">
        <f>IFERROR(__xludf.DUMMYFUNCTION("""COMPUTED_VALUE"""),0.9873)</f>
        <v>0.9873</v>
      </c>
      <c r="N62" s="320">
        <f>IFERROR(__xludf.DUMMYFUNCTION("""COMPUTED_VALUE"""),0.8494)</f>
        <v>0.8494</v>
      </c>
      <c r="O62" s="320">
        <f>IFERROR(__xludf.DUMMYFUNCTION("""COMPUTED_VALUE"""),64.7405)</f>
        <v>64.7405</v>
      </c>
      <c r="P62" s="320">
        <f>IFERROR(__xludf.DUMMYFUNCTION("""COMPUTED_VALUE"""),25.39)</f>
        <v>25.39</v>
      </c>
      <c r="Q62" s="320">
        <f>IFERROR(__xludf.DUMMYFUNCTION("""COMPUTED_VALUE"""),25.22)</f>
        <v>25.22</v>
      </c>
      <c r="R62" s="320">
        <f>IFERROR(__xludf.DUMMYFUNCTION("""COMPUTED_VALUE"""),0.16)</f>
        <v>0.16</v>
      </c>
      <c r="S62" s="320">
        <f>IFERROR(__xludf.DUMMYFUNCTION("""COMPUTED_VALUE"""),0.0)</f>
        <v>0</v>
      </c>
      <c r="T62" s="320">
        <f>IFERROR(__xludf.DUMMYFUNCTION("""COMPUTED_VALUE"""),25.39)</f>
        <v>25.39</v>
      </c>
      <c r="U62" s="320">
        <f>IFERROR(__xludf.DUMMYFUNCTION("""COMPUTED_VALUE"""),2.54)</f>
        <v>2.54</v>
      </c>
      <c r="V62" s="320">
        <f>IFERROR(__xludf.DUMMYFUNCTION("""COMPUTED_VALUE"""),1.0412)</f>
        <v>1.0412</v>
      </c>
      <c r="W62" s="320">
        <f>IFERROR(__xludf.DUMMYFUNCTION("""COMPUTED_VALUE"""),0.0)</f>
        <v>0</v>
      </c>
      <c r="X62" s="320">
        <f>IFERROR(__xludf.DUMMYFUNCTION("""COMPUTED_VALUE"""),286.0)</f>
        <v>286</v>
      </c>
      <c r="Y62" s="320">
        <f>IFERROR(__xludf.DUMMYFUNCTION("""COMPUTED_VALUE"""),3219.0)</f>
        <v>3219</v>
      </c>
      <c r="Z62" s="320">
        <f>IFERROR(__xludf.DUMMYFUNCTION("""COMPUTED_VALUE"""),13578.0)</f>
        <v>13578</v>
      </c>
      <c r="AA62" s="320">
        <f>IFERROR(__xludf.DUMMYFUNCTION("""COMPUTED_VALUE"""),48.819)</f>
        <v>48.819</v>
      </c>
      <c r="AB62" s="320">
        <f>IFERROR(__xludf.DUMMYFUNCTION("""COMPUTED_VALUE"""),0.5422)</f>
        <v>0.5422</v>
      </c>
      <c r="AC62" s="106"/>
      <c r="AD62" s="106"/>
      <c r="AE62" s="106"/>
      <c r="AF62" s="106"/>
      <c r="AG62" s="106"/>
      <c r="AH62" s="320">
        <f>IFERROR(__xludf.DUMMYFUNCTION("""COMPUTED_VALUE"""),0.0)</f>
        <v>0</v>
      </c>
      <c r="AI62" s="320">
        <f>IFERROR(__xludf.DUMMYFUNCTION("""COMPUTED_VALUE"""),0.0)</f>
        <v>0</v>
      </c>
      <c r="AJ62" s="320">
        <f>IFERROR(__xludf.DUMMYFUNCTION("""COMPUTED_VALUE"""),0.0)</f>
        <v>0</v>
      </c>
      <c r="AK62" s="320">
        <f>IFERROR(__xludf.DUMMYFUNCTION("""COMPUTED_VALUE"""),0.3072)</f>
        <v>0.3072</v>
      </c>
      <c r="AL62" s="320">
        <f>IFERROR(__xludf.DUMMYFUNCTION("""COMPUTED_VALUE"""),18.16)</f>
        <v>18.16</v>
      </c>
      <c r="AM62" s="320">
        <f>IFERROR(__xludf.DUMMYFUNCTION("""COMPUTED_VALUE"""),7.06)</f>
        <v>7.06</v>
      </c>
      <c r="AN62" s="331"/>
      <c r="AO62" s="331"/>
    </row>
    <row r="63" ht="15.75" customHeight="1">
      <c r="A63" s="330">
        <f>IFERROR(__xludf.DUMMYFUNCTION("""COMPUTED_VALUE"""),46060.0)</f>
        <v>46060</v>
      </c>
      <c r="B63" s="319" t="str">
        <f>IFERROR(__xludf.DUMMYFUNCTION("""COMPUTED_VALUE"""),"B. 1-9")</f>
        <v>B. 1-9</v>
      </c>
      <c r="C63" s="320">
        <f>IFERROR(__xludf.DUMMYFUNCTION("""COMPUTED_VALUE"""),37655.0)</f>
        <v>37655</v>
      </c>
      <c r="D63" s="320">
        <f>IFERROR(__xludf.DUMMYFUNCTION("""COMPUTED_VALUE"""),34.45)</f>
        <v>34.45</v>
      </c>
      <c r="E63" s="320">
        <f>IFERROR(__xludf.DUMMYFUNCTION("""COMPUTED_VALUE"""),0.0)</f>
        <v>0</v>
      </c>
      <c r="F63" s="320">
        <f>IFERROR(__xludf.DUMMYFUNCTION("""COMPUTED_VALUE"""),0.0)</f>
        <v>0</v>
      </c>
      <c r="G63" s="320">
        <f>IFERROR(__xludf.DUMMYFUNCTION("""COMPUTED_VALUE"""),0.0)</f>
        <v>0</v>
      </c>
      <c r="H63" s="106"/>
      <c r="I63" s="320">
        <f>IFERROR(__xludf.DUMMYFUNCTION("""COMPUTED_VALUE"""),30.06)</f>
        <v>30.06</v>
      </c>
      <c r="J63" s="320">
        <f>IFERROR(__xludf.DUMMYFUNCTION("""COMPUTED_VALUE"""),13.52)</f>
        <v>13.52</v>
      </c>
      <c r="K63" s="320">
        <f>IFERROR(__xludf.DUMMYFUNCTION("""COMPUTED_VALUE"""),5.84)</f>
        <v>5.84</v>
      </c>
      <c r="L63" s="320">
        <f>IFERROR(__xludf.DUMMYFUNCTION("""COMPUTED_VALUE"""),0.4319)</f>
        <v>0.4319</v>
      </c>
      <c r="M63" s="320">
        <f>IFERROR(__xludf.DUMMYFUNCTION("""COMPUTED_VALUE"""),0.7401)</f>
        <v>0.7401</v>
      </c>
      <c r="N63" s="320">
        <f>IFERROR(__xludf.DUMMYFUNCTION("""COMPUTED_VALUE"""),0.5399)</f>
        <v>0.5399</v>
      </c>
      <c r="O63" s="320">
        <f>IFERROR(__xludf.DUMMYFUNCTION("""COMPUTED_VALUE"""),2.3152)</f>
        <v>2.3152</v>
      </c>
      <c r="P63" s="320">
        <f>IFERROR(__xludf.DUMMYFUNCTION("""COMPUTED_VALUE"""),55.62)</f>
        <v>55.62</v>
      </c>
      <c r="Q63" s="320">
        <f>IFERROR(__xludf.DUMMYFUNCTION("""COMPUTED_VALUE"""),43.55)</f>
        <v>43.55</v>
      </c>
      <c r="R63" s="320">
        <f>IFERROR(__xludf.DUMMYFUNCTION("""COMPUTED_VALUE"""),12.07)</f>
        <v>12.07</v>
      </c>
      <c r="S63" s="320">
        <f>IFERROR(__xludf.DUMMYFUNCTION("""COMPUTED_VALUE"""),0.81)</f>
        <v>0.81</v>
      </c>
      <c r="T63" s="320">
        <f>IFERROR(__xludf.DUMMYFUNCTION("""COMPUTED_VALUE"""),54.81)</f>
        <v>54.81</v>
      </c>
      <c r="U63" s="320">
        <f>IFERROR(__xludf.DUMMYFUNCTION("""COMPUTED_VALUE"""),56.17)</f>
        <v>56.17</v>
      </c>
      <c r="V63" s="320">
        <f>IFERROR(__xludf.DUMMYFUNCTION("""COMPUTED_VALUE"""),4.1534)</f>
        <v>4.1534</v>
      </c>
      <c r="W63" s="320">
        <f>IFERROR(__xludf.DUMMYFUNCTION("""COMPUTED_VALUE"""),1.46)</f>
        <v>1.46</v>
      </c>
      <c r="X63" s="320">
        <f>IFERROR(__xludf.DUMMYFUNCTION("""COMPUTED_VALUE"""),152.0)</f>
        <v>152</v>
      </c>
      <c r="Y63" s="320">
        <f>IFERROR(__xludf.DUMMYFUNCTION("""COMPUTED_VALUE"""),958.0)</f>
        <v>958</v>
      </c>
      <c r="Z63" s="320">
        <f>IFERROR(__xludf.DUMMYFUNCTION("""COMPUTED_VALUE"""),5727.0)</f>
        <v>5727</v>
      </c>
      <c r="AA63" s="320">
        <f>IFERROR(__xludf.DUMMYFUNCTION("""COMPUTED_VALUE"""),48.5609)</f>
        <v>48.5609</v>
      </c>
      <c r="AB63" s="320">
        <f>IFERROR(__xludf.DUMMYFUNCTION("""COMPUTED_VALUE"""),0.5455)</f>
        <v>0.5455</v>
      </c>
      <c r="AC63" s="320">
        <f>IFERROR(__xludf.DUMMYFUNCTION("""COMPUTED_VALUE"""),4.14)</f>
        <v>4.14</v>
      </c>
      <c r="AD63" s="320">
        <f>IFERROR(__xludf.DUMMYFUNCTION("""COMPUTED_VALUE"""),1.0)</f>
        <v>1</v>
      </c>
      <c r="AE63" s="320">
        <f>IFERROR(__xludf.DUMMYFUNCTION("""COMPUTED_VALUE"""),3.0)</f>
        <v>3</v>
      </c>
      <c r="AF63" s="320">
        <f>IFERROR(__xludf.DUMMYFUNCTION("""COMPUTED_VALUE"""),6.0)</f>
        <v>6</v>
      </c>
      <c r="AG63" s="320">
        <f>IFERROR(__xludf.DUMMYFUNCTION("""COMPUTED_VALUE"""),9.0)</f>
        <v>9</v>
      </c>
      <c r="AH63" s="320">
        <f>IFERROR(__xludf.DUMMYFUNCTION("""COMPUTED_VALUE"""),73.71)</f>
        <v>73.71</v>
      </c>
      <c r="AI63" s="320">
        <f>IFERROR(__xludf.DUMMYFUNCTION("""COMPUTED_VALUE"""),32.56)</f>
        <v>32.56</v>
      </c>
      <c r="AJ63" s="320">
        <f>IFERROR(__xludf.DUMMYFUNCTION("""COMPUTED_VALUE"""),9.39)</f>
        <v>9.39</v>
      </c>
      <c r="AK63" s="320">
        <f>IFERROR(__xludf.DUMMYFUNCTION("""COMPUTED_VALUE"""),0.2654)</f>
        <v>0.2654</v>
      </c>
      <c r="AL63" s="320">
        <f>IFERROR(__xludf.DUMMYFUNCTION("""COMPUTED_VALUE"""),21.7)</f>
        <v>21.7</v>
      </c>
      <c r="AM63" s="320">
        <f>IFERROR(__xludf.DUMMYFUNCTION("""COMPUTED_VALUE"""),21.85)</f>
        <v>21.85</v>
      </c>
      <c r="AN63" s="320">
        <f>IFERROR(__xludf.DUMMYFUNCTION("""COMPUTED_VALUE"""),65.06)</f>
        <v>65.06</v>
      </c>
      <c r="AO63" s="320">
        <f>IFERROR(__xludf.DUMMYFUNCTION("""COMPUTED_VALUE"""),14.12)</f>
        <v>14.12</v>
      </c>
    </row>
    <row r="64" ht="15.75" customHeight="1">
      <c r="A64" s="330">
        <f>IFERROR(__xludf.DUMMYFUNCTION("""COMPUTED_VALUE"""),46060.0)</f>
        <v>46060</v>
      </c>
      <c r="B64" s="319" t="str">
        <f>IFERROR(__xludf.DUMMYFUNCTION("""COMPUTED_VALUE"""),"C. 10-19")</f>
        <v>C. 10-19</v>
      </c>
      <c r="C64" s="320">
        <f>IFERROR(__xludf.DUMMYFUNCTION("""COMPUTED_VALUE"""),28283.0)</f>
        <v>28283</v>
      </c>
      <c r="D64" s="320">
        <f>IFERROR(__xludf.DUMMYFUNCTION("""COMPUTED_VALUE"""),25.87)</f>
        <v>25.87</v>
      </c>
      <c r="E64" s="320">
        <f>IFERROR(__xludf.DUMMYFUNCTION("""COMPUTED_VALUE"""),0.0)</f>
        <v>0</v>
      </c>
      <c r="F64" s="320">
        <f>IFERROR(__xludf.DUMMYFUNCTION("""COMPUTED_VALUE"""),0.0)</f>
        <v>0</v>
      </c>
      <c r="G64" s="320">
        <f>IFERROR(__xludf.DUMMYFUNCTION("""COMPUTED_VALUE"""),0.0)</f>
        <v>0</v>
      </c>
      <c r="H64" s="106"/>
      <c r="I64" s="320">
        <f>IFERROR(__xludf.DUMMYFUNCTION("""COMPUTED_VALUE"""),54.94)</f>
        <v>54.94</v>
      </c>
      <c r="J64" s="320">
        <f>IFERROR(__xludf.DUMMYFUNCTION("""COMPUTED_VALUE"""),25.77)</f>
        <v>25.77</v>
      </c>
      <c r="K64" s="320">
        <f>IFERROR(__xludf.DUMMYFUNCTION("""COMPUTED_VALUE"""),13.99)</f>
        <v>13.99</v>
      </c>
      <c r="L64" s="320">
        <f>IFERROR(__xludf.DUMMYFUNCTION("""COMPUTED_VALUE"""),0.5428)</f>
        <v>0.5428</v>
      </c>
      <c r="M64" s="320">
        <f>IFERROR(__xludf.DUMMYFUNCTION("""COMPUTED_VALUE"""),0.6479)</f>
        <v>0.6479</v>
      </c>
      <c r="N64" s="320">
        <f>IFERROR(__xludf.DUMMYFUNCTION("""COMPUTED_VALUE"""),0.4553)</f>
        <v>0.4553</v>
      </c>
      <c r="O64" s="320">
        <f>IFERROR(__xludf.DUMMYFUNCTION("""COMPUTED_VALUE"""),1.8425)</f>
        <v>1.8425</v>
      </c>
      <c r="P64" s="320">
        <f>IFERROR(__xludf.DUMMYFUNCTION("""COMPUTED_VALUE"""),97.8)</f>
        <v>97.8</v>
      </c>
      <c r="Q64" s="320">
        <f>IFERROR(__xludf.DUMMYFUNCTION("""COMPUTED_VALUE"""),68.48)</f>
        <v>68.48</v>
      </c>
      <c r="R64" s="320">
        <f>IFERROR(__xludf.DUMMYFUNCTION("""COMPUTED_VALUE"""),29.32)</f>
        <v>29.32</v>
      </c>
      <c r="S64" s="320">
        <f>IFERROR(__xludf.DUMMYFUNCTION("""COMPUTED_VALUE"""),2.04)</f>
        <v>2.04</v>
      </c>
      <c r="T64" s="320">
        <f>IFERROR(__xludf.DUMMYFUNCTION("""COMPUTED_VALUE"""),95.76)</f>
        <v>95.76</v>
      </c>
      <c r="U64" s="320">
        <f>IFERROR(__xludf.DUMMYFUNCTION("""COMPUTED_VALUE"""),100.02)</f>
        <v>100.02</v>
      </c>
      <c r="V64" s="320">
        <f>IFERROR(__xludf.DUMMYFUNCTION("""COMPUTED_VALUE"""),3.8805)</f>
        <v>3.8805</v>
      </c>
      <c r="W64" s="320">
        <f>IFERROR(__xludf.DUMMYFUNCTION("""COMPUTED_VALUE"""),2.09)</f>
        <v>2.09</v>
      </c>
      <c r="X64" s="320">
        <f>IFERROR(__xludf.DUMMYFUNCTION("""COMPUTED_VALUE"""),132.0)</f>
        <v>132</v>
      </c>
      <c r="Y64" s="320">
        <f>IFERROR(__xludf.DUMMYFUNCTION("""COMPUTED_VALUE"""),760.0)</f>
        <v>760</v>
      </c>
      <c r="Z64" s="320">
        <f>IFERROR(__xludf.DUMMYFUNCTION("""COMPUTED_VALUE"""),5497.0)</f>
        <v>5497</v>
      </c>
      <c r="AA64" s="320">
        <f>IFERROR(__xludf.DUMMYFUNCTION("""COMPUTED_VALUE"""),52.1919)</f>
        <v>52.1919</v>
      </c>
      <c r="AB64" s="320">
        <f>IFERROR(__xludf.DUMMYFUNCTION("""COMPUTED_VALUE"""),0.6473)</f>
        <v>0.6473</v>
      </c>
      <c r="AC64" s="320">
        <f>IFERROR(__xludf.DUMMYFUNCTION("""COMPUTED_VALUE"""),9.43)</f>
        <v>9.43</v>
      </c>
      <c r="AD64" s="320">
        <f>IFERROR(__xludf.DUMMYFUNCTION("""COMPUTED_VALUE"""),4.0)</f>
        <v>4</v>
      </c>
      <c r="AE64" s="320">
        <f>IFERROR(__xludf.DUMMYFUNCTION("""COMPUTED_VALUE"""),8.0)</f>
        <v>8</v>
      </c>
      <c r="AF64" s="320">
        <f>IFERROR(__xludf.DUMMYFUNCTION("""COMPUTED_VALUE"""),13.0)</f>
        <v>13</v>
      </c>
      <c r="AG64" s="320">
        <f>IFERROR(__xludf.DUMMYFUNCTION("""COMPUTED_VALUE"""),19.0)</f>
        <v>19</v>
      </c>
      <c r="AH64" s="320">
        <f>IFERROR(__xludf.DUMMYFUNCTION("""COMPUTED_VALUE"""),62.35)</f>
        <v>62.35</v>
      </c>
      <c r="AI64" s="320">
        <f>IFERROR(__xludf.DUMMYFUNCTION("""COMPUTED_VALUE"""),26.19)</f>
        <v>26.19</v>
      </c>
      <c r="AJ64" s="320">
        <f>IFERROR(__xludf.DUMMYFUNCTION("""COMPUTED_VALUE"""),4.33)</f>
        <v>4.33</v>
      </c>
      <c r="AK64" s="320">
        <f>IFERROR(__xludf.DUMMYFUNCTION("""COMPUTED_VALUE"""),0.2113)</f>
        <v>0.2113</v>
      </c>
      <c r="AL64" s="320">
        <f>IFERROR(__xludf.DUMMYFUNCTION("""COMPUTED_VALUE"""),22.8)</f>
        <v>22.8</v>
      </c>
      <c r="AM64" s="320">
        <f>IFERROR(__xludf.DUMMYFUNCTION("""COMPUTED_VALUE"""),45.68)</f>
        <v>45.68</v>
      </c>
      <c r="AN64" s="320">
        <f>IFERROR(__xludf.DUMMYFUNCTION("""COMPUTED_VALUE"""),74.25)</f>
        <v>74.25</v>
      </c>
      <c r="AO64" s="320">
        <f>IFERROR(__xludf.DUMMYFUNCTION("""COMPUTED_VALUE"""),16.93)</f>
        <v>16.93</v>
      </c>
    </row>
    <row r="65" ht="15.75" customHeight="1">
      <c r="A65" s="330">
        <f>IFERROR(__xludf.DUMMYFUNCTION("""COMPUTED_VALUE"""),46060.0)</f>
        <v>46060</v>
      </c>
      <c r="B65" s="319" t="str">
        <f>IFERROR(__xludf.DUMMYFUNCTION("""COMPUTED_VALUE"""),"D. 20-39")</f>
        <v>D. 20-39</v>
      </c>
      <c r="C65" s="320">
        <f>IFERROR(__xludf.DUMMYFUNCTION("""COMPUTED_VALUE"""),16193.0)</f>
        <v>16193</v>
      </c>
      <c r="D65" s="320">
        <f>IFERROR(__xludf.DUMMYFUNCTION("""COMPUTED_VALUE"""),14.81)</f>
        <v>14.81</v>
      </c>
      <c r="E65" s="320">
        <f>IFERROR(__xludf.DUMMYFUNCTION("""COMPUTED_VALUE"""),0.0)</f>
        <v>0</v>
      </c>
      <c r="F65" s="320">
        <f>IFERROR(__xludf.DUMMYFUNCTION("""COMPUTED_VALUE"""),0.0)</f>
        <v>0</v>
      </c>
      <c r="G65" s="320">
        <f>IFERROR(__xludf.DUMMYFUNCTION("""COMPUTED_VALUE"""),0.0)</f>
        <v>0</v>
      </c>
      <c r="H65" s="106"/>
      <c r="I65" s="320">
        <f>IFERROR(__xludf.DUMMYFUNCTION("""COMPUTED_VALUE"""),81.39)</f>
        <v>81.39</v>
      </c>
      <c r="J65" s="320">
        <f>IFERROR(__xludf.DUMMYFUNCTION("""COMPUTED_VALUE"""),40.26)</f>
        <v>40.26</v>
      </c>
      <c r="K65" s="320">
        <f>IFERROR(__xludf.DUMMYFUNCTION("""COMPUTED_VALUE"""),26.27)</f>
        <v>26.27</v>
      </c>
      <c r="L65" s="320">
        <f>IFERROR(__xludf.DUMMYFUNCTION("""COMPUTED_VALUE"""),0.6525)</f>
        <v>0.6525</v>
      </c>
      <c r="M65" s="320">
        <f>IFERROR(__xludf.DUMMYFUNCTION("""COMPUTED_VALUE"""),0.5374)</f>
        <v>0.5374</v>
      </c>
      <c r="N65" s="320">
        <f>IFERROR(__xludf.DUMMYFUNCTION("""COMPUTED_VALUE"""),0.3748)</f>
        <v>0.3748</v>
      </c>
      <c r="O65" s="320">
        <f>IFERROR(__xludf.DUMMYFUNCTION("""COMPUTED_VALUE"""),1.5326)</f>
        <v>1.5326</v>
      </c>
      <c r="P65" s="320">
        <f>IFERROR(__xludf.DUMMYFUNCTION("""COMPUTED_VALUE"""),162.1)</f>
        <v>162.1</v>
      </c>
      <c r="Q65" s="320">
        <f>IFERROR(__xludf.DUMMYFUNCTION("""COMPUTED_VALUE"""),106.45)</f>
        <v>106.45</v>
      </c>
      <c r="R65" s="320">
        <f>IFERROR(__xludf.DUMMYFUNCTION("""COMPUTED_VALUE"""),55.64)</f>
        <v>55.64</v>
      </c>
      <c r="S65" s="320">
        <f>IFERROR(__xludf.DUMMYFUNCTION("""COMPUTED_VALUE"""),1.38)</f>
        <v>1.38</v>
      </c>
      <c r="T65" s="320">
        <f>IFERROR(__xludf.DUMMYFUNCTION("""COMPUTED_VALUE"""),160.72)</f>
        <v>160.72</v>
      </c>
      <c r="U65" s="320">
        <f>IFERROR(__xludf.DUMMYFUNCTION("""COMPUTED_VALUE"""),169.4)</f>
        <v>169.4</v>
      </c>
      <c r="V65" s="320">
        <f>IFERROR(__xludf.DUMMYFUNCTION("""COMPUTED_VALUE"""),4.2076)</f>
        <v>4.2076</v>
      </c>
      <c r="W65" s="320">
        <f>IFERROR(__xludf.DUMMYFUNCTION("""COMPUTED_VALUE"""),0.85)</f>
        <v>0.85</v>
      </c>
      <c r="X65" s="320">
        <f>IFERROR(__xludf.DUMMYFUNCTION("""COMPUTED_VALUE"""),145.0)</f>
        <v>145</v>
      </c>
      <c r="Y65" s="320">
        <f>IFERROR(__xludf.DUMMYFUNCTION("""COMPUTED_VALUE"""),987.0)</f>
        <v>987</v>
      </c>
      <c r="Z65" s="320">
        <f>IFERROR(__xludf.DUMMYFUNCTION("""COMPUTED_VALUE"""),6199.0)</f>
        <v>6199</v>
      </c>
      <c r="AA65" s="320">
        <f>IFERROR(__xludf.DUMMYFUNCTION("""COMPUTED_VALUE"""),55.1689)</f>
        <v>55.1689</v>
      </c>
      <c r="AB65" s="320">
        <f>IFERROR(__xludf.DUMMYFUNCTION("""COMPUTED_VALUE"""),0.7343)</f>
        <v>0.7343</v>
      </c>
      <c r="AC65" s="320">
        <f>IFERROR(__xludf.DUMMYFUNCTION("""COMPUTED_VALUE"""),17.37)</f>
        <v>17.37</v>
      </c>
      <c r="AD65" s="320">
        <f>IFERROR(__xludf.DUMMYFUNCTION("""COMPUTED_VALUE"""),7.0)</f>
        <v>7</v>
      </c>
      <c r="AE65" s="320">
        <f>IFERROR(__xludf.DUMMYFUNCTION("""COMPUTED_VALUE"""),13.0)</f>
        <v>13</v>
      </c>
      <c r="AF65" s="320">
        <f>IFERROR(__xludf.DUMMYFUNCTION("""COMPUTED_VALUE"""),24.0)</f>
        <v>24</v>
      </c>
      <c r="AG65" s="320">
        <f>IFERROR(__xludf.DUMMYFUNCTION("""COMPUTED_VALUE"""),36.0)</f>
        <v>36</v>
      </c>
      <c r="AH65" s="320">
        <f>IFERROR(__xludf.DUMMYFUNCTION("""COMPUTED_VALUE"""),58.81)</f>
        <v>58.81</v>
      </c>
      <c r="AI65" s="320">
        <f>IFERROR(__xludf.DUMMYFUNCTION("""COMPUTED_VALUE"""),22.06)</f>
        <v>22.06</v>
      </c>
      <c r="AJ65" s="320">
        <f>IFERROR(__xludf.DUMMYFUNCTION("""COMPUTED_VALUE"""),6.5)</f>
        <v>6.5</v>
      </c>
      <c r="AK65" s="320">
        <f>IFERROR(__xludf.DUMMYFUNCTION("""COMPUTED_VALUE"""),0.1869)</f>
        <v>0.1869</v>
      </c>
      <c r="AL65" s="320">
        <f>IFERROR(__xludf.DUMMYFUNCTION("""COMPUTED_VALUE"""),22.3)</f>
        <v>22.3</v>
      </c>
      <c r="AM65" s="320">
        <f>IFERROR(__xludf.DUMMYFUNCTION("""COMPUTED_VALUE"""),84.15)</f>
        <v>84.15</v>
      </c>
      <c r="AN65" s="320">
        <f>IFERROR(__xludf.DUMMYFUNCTION("""COMPUTED_VALUE"""),77.64)</f>
        <v>77.64</v>
      </c>
      <c r="AO65" s="320">
        <f>IFERROR(__xludf.DUMMYFUNCTION("""COMPUTED_VALUE"""),17.31)</f>
        <v>17.31</v>
      </c>
    </row>
    <row r="66" ht="15.75" customHeight="1">
      <c r="A66" s="330">
        <f>IFERROR(__xludf.DUMMYFUNCTION("""COMPUTED_VALUE"""),46060.0)</f>
        <v>46060</v>
      </c>
      <c r="B66" s="319" t="str">
        <f>IFERROR(__xludf.DUMMYFUNCTION("""COMPUTED_VALUE"""),"E. 40-99")</f>
        <v>E. 40-99</v>
      </c>
      <c r="C66" s="320">
        <f>IFERROR(__xludf.DUMMYFUNCTION("""COMPUTED_VALUE"""),6136.0)</f>
        <v>6136</v>
      </c>
      <c r="D66" s="320">
        <f>IFERROR(__xludf.DUMMYFUNCTION("""COMPUTED_VALUE"""),5.61)</f>
        <v>5.61</v>
      </c>
      <c r="E66" s="320">
        <f>IFERROR(__xludf.DUMMYFUNCTION("""COMPUTED_VALUE"""),0.0)</f>
        <v>0</v>
      </c>
      <c r="F66" s="320">
        <f>IFERROR(__xludf.DUMMYFUNCTION("""COMPUTED_VALUE"""),0.0)</f>
        <v>0</v>
      </c>
      <c r="G66" s="320">
        <f>IFERROR(__xludf.DUMMYFUNCTION("""COMPUTED_VALUE"""),0.0)</f>
        <v>0</v>
      </c>
      <c r="H66" s="106"/>
      <c r="I66" s="320">
        <f>IFERROR(__xludf.DUMMYFUNCTION("""COMPUTED_VALUE"""),129.08)</f>
        <v>129.08</v>
      </c>
      <c r="J66" s="320">
        <f>IFERROR(__xludf.DUMMYFUNCTION("""COMPUTED_VALUE"""),68.81)</f>
        <v>68.81</v>
      </c>
      <c r="K66" s="320">
        <f>IFERROR(__xludf.DUMMYFUNCTION("""COMPUTED_VALUE"""),53.72)</f>
        <v>53.72</v>
      </c>
      <c r="L66" s="320">
        <f>IFERROR(__xludf.DUMMYFUNCTION("""COMPUTED_VALUE"""),0.7808)</f>
        <v>0.7808</v>
      </c>
      <c r="M66" s="320">
        <f>IFERROR(__xludf.DUMMYFUNCTION("""COMPUTED_VALUE"""),0.3994)</f>
        <v>0.3994</v>
      </c>
      <c r="N66" s="320">
        <f>IFERROR(__xludf.DUMMYFUNCTION("""COMPUTED_VALUE"""),0.2857)</f>
        <v>0.2857</v>
      </c>
      <c r="O66" s="320">
        <f>IFERROR(__xludf.DUMMYFUNCTION("""COMPUTED_VALUE"""),1.2808)</f>
        <v>1.2808</v>
      </c>
      <c r="P66" s="320">
        <f>IFERROR(__xludf.DUMMYFUNCTION("""COMPUTED_VALUE"""),310.47)</f>
        <v>310.47</v>
      </c>
      <c r="Q66" s="320">
        <f>IFERROR(__xludf.DUMMYFUNCTION("""COMPUTED_VALUE"""),197.14)</f>
        <v>197.14</v>
      </c>
      <c r="R66" s="320">
        <f>IFERROR(__xludf.DUMMYFUNCTION("""COMPUTED_VALUE"""),113.33)</f>
        <v>113.33</v>
      </c>
      <c r="S66" s="320">
        <f>IFERROR(__xludf.DUMMYFUNCTION("""COMPUTED_VALUE"""),2.99)</f>
        <v>2.99</v>
      </c>
      <c r="T66" s="320">
        <f>IFERROR(__xludf.DUMMYFUNCTION("""COMPUTED_VALUE"""),307.48)</f>
        <v>307.48</v>
      </c>
      <c r="U66" s="320">
        <f>IFERROR(__xludf.DUMMYFUNCTION("""COMPUTED_VALUE"""),319.57)</f>
        <v>319.57</v>
      </c>
      <c r="V66" s="320">
        <f>IFERROR(__xludf.DUMMYFUNCTION("""COMPUTED_VALUE"""),4.6443)</f>
        <v>4.6443</v>
      </c>
      <c r="W66" s="320">
        <f>IFERROR(__xludf.DUMMYFUNCTION("""COMPUTED_VALUE"""),0.96)</f>
        <v>0.96</v>
      </c>
      <c r="X66" s="320">
        <f>IFERROR(__xludf.DUMMYFUNCTION("""COMPUTED_VALUE"""),296.0)</f>
        <v>296</v>
      </c>
      <c r="Y66" s="320">
        <f>IFERROR(__xludf.DUMMYFUNCTION("""COMPUTED_VALUE"""),2356.0)</f>
        <v>2356</v>
      </c>
      <c r="Z66" s="320">
        <f>IFERROR(__xludf.DUMMYFUNCTION("""COMPUTED_VALUE"""),8979.0)</f>
        <v>8979</v>
      </c>
      <c r="AA66" s="320">
        <f>IFERROR(__xludf.DUMMYFUNCTION("""COMPUTED_VALUE"""),59.2604)</f>
        <v>59.2604</v>
      </c>
      <c r="AB66" s="320">
        <f>IFERROR(__xludf.DUMMYFUNCTION("""COMPUTED_VALUE"""),0.8283)</f>
        <v>0.8283</v>
      </c>
      <c r="AC66" s="320">
        <f>IFERROR(__xludf.DUMMYFUNCTION("""COMPUTED_VALUE"""),36.52)</f>
        <v>36.52</v>
      </c>
      <c r="AD66" s="320">
        <f>IFERROR(__xludf.DUMMYFUNCTION("""COMPUTED_VALUE"""),14.0)</f>
        <v>14</v>
      </c>
      <c r="AE66" s="320">
        <f>IFERROR(__xludf.DUMMYFUNCTION("""COMPUTED_VALUE"""),28.0)</f>
        <v>28</v>
      </c>
      <c r="AF66" s="320">
        <f>IFERROR(__xludf.DUMMYFUNCTION("""COMPUTED_VALUE"""),50.0)</f>
        <v>50</v>
      </c>
      <c r="AG66" s="320">
        <f>IFERROR(__xludf.DUMMYFUNCTION("""COMPUTED_VALUE"""),77.0)</f>
        <v>77</v>
      </c>
      <c r="AH66" s="320">
        <f>IFERROR(__xludf.DUMMYFUNCTION("""COMPUTED_VALUE"""),49.9)</f>
        <v>49.9</v>
      </c>
      <c r="AI66" s="320">
        <f>IFERROR(__xludf.DUMMYFUNCTION("""COMPUTED_VALUE"""),18.76)</f>
        <v>18.76</v>
      </c>
      <c r="AJ66" s="320">
        <f>IFERROR(__xludf.DUMMYFUNCTION("""COMPUTED_VALUE"""),4.69)</f>
        <v>4.69</v>
      </c>
      <c r="AK66" s="320">
        <f>IFERROR(__xludf.DUMMYFUNCTION("""COMPUTED_VALUE"""),0.1507)</f>
        <v>0.1507</v>
      </c>
      <c r="AL66" s="320">
        <f>IFERROR(__xludf.DUMMYFUNCTION("""COMPUTED_VALUE"""),23.31)</f>
        <v>23.31</v>
      </c>
      <c r="AM66" s="320">
        <f>IFERROR(__xludf.DUMMYFUNCTION("""COMPUTED_VALUE"""),173.82)</f>
        <v>173.82</v>
      </c>
      <c r="AN66" s="320">
        <f>IFERROR(__xludf.DUMMYFUNCTION("""COMPUTED_VALUE"""),81.95)</f>
        <v>81.95</v>
      </c>
      <c r="AO66" s="320">
        <f>IFERROR(__xludf.DUMMYFUNCTION("""COMPUTED_VALUE"""),19.1)</f>
        <v>19.1</v>
      </c>
    </row>
    <row r="67" ht="15.75" customHeight="1">
      <c r="A67" s="330">
        <f>IFERROR(__xludf.DUMMYFUNCTION("""COMPUTED_VALUE"""),46060.0)</f>
        <v>46060</v>
      </c>
      <c r="B67" s="319" t="str">
        <f>IFERROR(__xludf.DUMMYFUNCTION("""COMPUTED_VALUE"""),"F. 100+")</f>
        <v>F. 100+</v>
      </c>
      <c r="C67" s="320">
        <f>IFERROR(__xludf.DUMMYFUNCTION("""COMPUTED_VALUE"""),676.0)</f>
        <v>676</v>
      </c>
      <c r="D67" s="320">
        <f>IFERROR(__xludf.DUMMYFUNCTION("""COMPUTED_VALUE"""),0.62)</f>
        <v>0.62</v>
      </c>
      <c r="E67" s="320">
        <f>IFERROR(__xludf.DUMMYFUNCTION("""COMPUTED_VALUE"""),0.0)</f>
        <v>0</v>
      </c>
      <c r="F67" s="320">
        <f>IFERROR(__xludf.DUMMYFUNCTION("""COMPUTED_VALUE"""),0.0)</f>
        <v>0</v>
      </c>
      <c r="G67" s="320">
        <f>IFERROR(__xludf.DUMMYFUNCTION("""COMPUTED_VALUE"""),0.0)</f>
        <v>0</v>
      </c>
      <c r="H67" s="106"/>
      <c r="I67" s="320">
        <f>IFERROR(__xludf.DUMMYFUNCTION("""COMPUTED_VALUE"""),246.35)</f>
        <v>246.35</v>
      </c>
      <c r="J67" s="320">
        <f>IFERROR(__xludf.DUMMYFUNCTION("""COMPUTED_VALUE"""),145.12)</f>
        <v>145.12</v>
      </c>
      <c r="K67" s="320">
        <f>IFERROR(__xludf.DUMMYFUNCTION("""COMPUTED_VALUE"""),126.77)</f>
        <v>126.77</v>
      </c>
      <c r="L67" s="320">
        <f>IFERROR(__xludf.DUMMYFUNCTION("""COMPUTED_VALUE"""),0.8736)</f>
        <v>0.8736</v>
      </c>
      <c r="M67" s="320">
        <f>IFERROR(__xludf.DUMMYFUNCTION("""COMPUTED_VALUE"""),0.2732)</f>
        <v>0.2732</v>
      </c>
      <c r="N67" s="320">
        <f>IFERROR(__xludf.DUMMYFUNCTION("""COMPUTED_VALUE"""),0.2057)</f>
        <v>0.2057</v>
      </c>
      <c r="O67" s="320">
        <f>IFERROR(__xludf.DUMMYFUNCTION("""COMPUTED_VALUE"""),1.1448)</f>
        <v>1.1448</v>
      </c>
      <c r="P67" s="320">
        <f>IFERROR(__xludf.DUMMYFUNCTION("""COMPUTED_VALUE"""),608.94)</f>
        <v>608.94</v>
      </c>
      <c r="Q67" s="320">
        <f>IFERROR(__xludf.DUMMYFUNCTION("""COMPUTED_VALUE"""),340.1)</f>
        <v>340.1</v>
      </c>
      <c r="R67" s="320">
        <f>IFERROR(__xludf.DUMMYFUNCTION("""COMPUTED_VALUE"""),268.84)</f>
        <v>268.84</v>
      </c>
      <c r="S67" s="320">
        <f>IFERROR(__xludf.DUMMYFUNCTION("""COMPUTED_VALUE"""),0.0)</f>
        <v>0</v>
      </c>
      <c r="T67" s="320">
        <f>IFERROR(__xludf.DUMMYFUNCTION("""COMPUTED_VALUE"""),608.94)</f>
        <v>608.94</v>
      </c>
      <c r="U67" s="320">
        <f>IFERROR(__xludf.DUMMYFUNCTION("""COMPUTED_VALUE"""),653.33)</f>
        <v>653.33</v>
      </c>
      <c r="V67" s="320">
        <f>IFERROR(__xludf.DUMMYFUNCTION("""COMPUTED_VALUE"""),4.5019)</f>
        <v>4.5019</v>
      </c>
      <c r="W67" s="320">
        <f>IFERROR(__xludf.DUMMYFUNCTION("""COMPUTED_VALUE"""),0.0)</f>
        <v>0</v>
      </c>
      <c r="X67" s="320">
        <f>IFERROR(__xludf.DUMMYFUNCTION("""COMPUTED_VALUE"""),976.0)</f>
        <v>976</v>
      </c>
      <c r="Y67" s="320">
        <f>IFERROR(__xludf.DUMMYFUNCTION("""COMPUTED_VALUE"""),3976.0)</f>
        <v>3976</v>
      </c>
      <c r="Z67" s="320">
        <f>IFERROR(__xludf.DUMMYFUNCTION("""COMPUTED_VALUE"""),11187.0)</f>
        <v>11187</v>
      </c>
      <c r="AA67" s="320">
        <f>IFERROR(__xludf.DUMMYFUNCTION("""COMPUTED_VALUE"""),63.3173)</f>
        <v>63.3173</v>
      </c>
      <c r="AB67" s="320">
        <f>IFERROR(__xludf.DUMMYFUNCTION("""COMPUTED_VALUE"""),0.8884)</f>
        <v>0.8884</v>
      </c>
      <c r="AC67" s="320">
        <f>IFERROR(__xludf.DUMMYFUNCTION("""COMPUTED_VALUE"""),86.21)</f>
        <v>86.21</v>
      </c>
      <c r="AD67" s="320">
        <f>IFERROR(__xludf.DUMMYFUNCTION("""COMPUTED_VALUE"""),37.0)</f>
        <v>37</v>
      </c>
      <c r="AE67" s="320">
        <f>IFERROR(__xludf.DUMMYFUNCTION("""COMPUTED_VALUE"""),68.0)</f>
        <v>68</v>
      </c>
      <c r="AF67" s="320">
        <f>IFERROR(__xludf.DUMMYFUNCTION("""COMPUTED_VALUE"""),120.0)</f>
        <v>120</v>
      </c>
      <c r="AG67" s="320">
        <f>IFERROR(__xludf.DUMMYFUNCTION("""COMPUTED_VALUE"""),171.0)</f>
        <v>171</v>
      </c>
      <c r="AH67" s="320">
        <f>IFERROR(__xludf.DUMMYFUNCTION("""COMPUTED_VALUE"""),44.38)</f>
        <v>44.38</v>
      </c>
      <c r="AI67" s="320">
        <f>IFERROR(__xludf.DUMMYFUNCTION("""COMPUTED_VALUE"""),9.32)</f>
        <v>9.32</v>
      </c>
      <c r="AJ67" s="320">
        <f>IFERROR(__xludf.DUMMYFUNCTION("""COMPUTED_VALUE"""),1.33)</f>
        <v>1.33</v>
      </c>
      <c r="AK67" s="320">
        <f>IFERROR(__xludf.DUMMYFUNCTION("""COMPUTED_VALUE"""),0.1021)</f>
        <v>0.1021</v>
      </c>
      <c r="AL67" s="320">
        <f>IFERROR(__xludf.DUMMYFUNCTION("""COMPUTED_VALUE"""),25.19)</f>
        <v>25.19</v>
      </c>
      <c r="AM67" s="320">
        <f>IFERROR(__xludf.DUMMYFUNCTION("""COMPUTED_VALUE"""),314.91)</f>
        <v>314.91</v>
      </c>
      <c r="AN67" s="320">
        <f>IFERROR(__xludf.DUMMYFUNCTION("""COMPUTED_VALUE"""),82.4)</f>
        <v>82.4</v>
      </c>
      <c r="AO67" s="320">
        <f>IFERROR(__xludf.DUMMYFUNCTION("""COMPUTED_VALUE"""),20.76)</f>
        <v>20.76</v>
      </c>
    </row>
    <row r="68" ht="15.75" customHeight="1">
      <c r="A68" s="330">
        <f>IFERROR(__xludf.DUMMYFUNCTION("""COMPUTED_VALUE"""),46061.0)</f>
        <v>46061</v>
      </c>
      <c r="B68" s="319" t="str">
        <f>IFERROR(__xludf.DUMMYFUNCTION("""COMPUTED_VALUE"""),"A. 0")</f>
        <v>A. 0</v>
      </c>
      <c r="C68" s="320">
        <f>IFERROR(__xludf.DUMMYFUNCTION("""COMPUTED_VALUE"""),20722.0)</f>
        <v>20722</v>
      </c>
      <c r="D68" s="320">
        <f>IFERROR(__xludf.DUMMYFUNCTION("""COMPUTED_VALUE"""),18.84)</f>
        <v>18.84</v>
      </c>
      <c r="E68" s="320">
        <f>IFERROR(__xludf.DUMMYFUNCTION("""COMPUTED_VALUE"""),0.0)</f>
        <v>0</v>
      </c>
      <c r="F68" s="320">
        <f>IFERROR(__xludf.DUMMYFUNCTION("""COMPUTED_VALUE"""),0.0)</f>
        <v>0</v>
      </c>
      <c r="G68" s="320">
        <f>IFERROR(__xludf.DUMMYFUNCTION("""COMPUTED_VALUE"""),0.0)</f>
        <v>0</v>
      </c>
      <c r="H68" s="106"/>
      <c r="I68" s="320">
        <f>IFERROR(__xludf.DUMMYFUNCTION("""COMPUTED_VALUE"""),6.52)</f>
        <v>6.52</v>
      </c>
      <c r="J68" s="320">
        <f>IFERROR(__xludf.DUMMYFUNCTION("""COMPUTED_VALUE"""),2.66)</f>
        <v>2.66</v>
      </c>
      <c r="K68" s="320">
        <f>IFERROR(__xludf.DUMMYFUNCTION("""COMPUTED_VALUE"""),0.03)</f>
        <v>0.03</v>
      </c>
      <c r="L68" s="320">
        <f>IFERROR(__xludf.DUMMYFUNCTION("""COMPUTED_VALUE"""),0.0131)</f>
        <v>0.0131</v>
      </c>
      <c r="M68" s="320">
        <f>IFERROR(__xludf.DUMMYFUNCTION("""COMPUTED_VALUE"""),0.99)</f>
        <v>0.99</v>
      </c>
      <c r="N68" s="320">
        <f>IFERROR(__xludf.DUMMYFUNCTION("""COMPUTED_VALUE"""),0.8688)</f>
        <v>0.8688</v>
      </c>
      <c r="O68" s="320">
        <f>IFERROR(__xludf.DUMMYFUNCTION("""COMPUTED_VALUE"""),76.1727)</f>
        <v>76.1727</v>
      </c>
      <c r="P68" s="320">
        <f>IFERROR(__xludf.DUMMYFUNCTION("""COMPUTED_VALUE"""),23.19)</f>
        <v>23.19</v>
      </c>
      <c r="Q68" s="320">
        <f>IFERROR(__xludf.DUMMYFUNCTION("""COMPUTED_VALUE"""),22.87)</f>
        <v>22.87</v>
      </c>
      <c r="R68" s="320">
        <f>IFERROR(__xludf.DUMMYFUNCTION("""COMPUTED_VALUE"""),0.32)</f>
        <v>0.32</v>
      </c>
      <c r="S68" s="320">
        <f>IFERROR(__xludf.DUMMYFUNCTION("""COMPUTED_VALUE"""),0.0)</f>
        <v>0</v>
      </c>
      <c r="T68" s="320">
        <f>IFERROR(__xludf.DUMMYFUNCTION("""COMPUTED_VALUE"""),23.19)</f>
        <v>23.19</v>
      </c>
      <c r="U68" s="320">
        <f>IFERROR(__xludf.DUMMYFUNCTION("""COMPUTED_VALUE"""),2.02)</f>
        <v>2.02</v>
      </c>
      <c r="V68" s="320">
        <f>IFERROR(__xludf.DUMMYFUNCTION("""COMPUTED_VALUE"""),0.7579)</f>
        <v>0.7579</v>
      </c>
      <c r="W68" s="320">
        <f>IFERROR(__xludf.DUMMYFUNCTION("""COMPUTED_VALUE"""),0.0)</f>
        <v>0</v>
      </c>
      <c r="X68" s="320">
        <f>IFERROR(__xludf.DUMMYFUNCTION("""COMPUTED_VALUE"""),310.0)</f>
        <v>310</v>
      </c>
      <c r="Y68" s="320">
        <f>IFERROR(__xludf.DUMMYFUNCTION("""COMPUTED_VALUE"""),3258.0)</f>
        <v>3258</v>
      </c>
      <c r="Z68" s="320">
        <f>IFERROR(__xludf.DUMMYFUNCTION("""COMPUTED_VALUE"""),13697.0)</f>
        <v>13697</v>
      </c>
      <c r="AA68" s="320">
        <f>IFERROR(__xludf.DUMMYFUNCTION("""COMPUTED_VALUE"""),49.0149)</f>
        <v>49.0149</v>
      </c>
      <c r="AB68" s="320">
        <f>IFERROR(__xludf.DUMMYFUNCTION("""COMPUTED_VALUE"""),0.5487)</f>
        <v>0.5487</v>
      </c>
      <c r="AC68" s="106"/>
      <c r="AD68" s="106"/>
      <c r="AE68" s="106"/>
      <c r="AF68" s="106"/>
      <c r="AG68" s="106"/>
      <c r="AH68" s="320">
        <f>IFERROR(__xludf.DUMMYFUNCTION("""COMPUTED_VALUE"""),0.0)</f>
        <v>0</v>
      </c>
      <c r="AI68" s="320">
        <f>IFERROR(__xludf.DUMMYFUNCTION("""COMPUTED_VALUE"""),0.0)</f>
        <v>0</v>
      </c>
      <c r="AJ68" s="320">
        <f>IFERROR(__xludf.DUMMYFUNCTION("""COMPUTED_VALUE"""),0.0)</f>
        <v>0</v>
      </c>
      <c r="AK68" s="320">
        <f>IFERROR(__xludf.DUMMYFUNCTION("""COMPUTED_VALUE"""),0.3033)</f>
        <v>0.3033</v>
      </c>
      <c r="AL68" s="320">
        <f>IFERROR(__xludf.DUMMYFUNCTION("""COMPUTED_VALUE"""),17.96)</f>
        <v>17.96</v>
      </c>
      <c r="AM68" s="320">
        <f>IFERROR(__xludf.DUMMYFUNCTION("""COMPUTED_VALUE"""),4.92)</f>
        <v>4.92</v>
      </c>
      <c r="AN68" s="331"/>
      <c r="AO68" s="331"/>
    </row>
    <row r="69" ht="15.75" customHeight="1">
      <c r="A69" s="330">
        <f>IFERROR(__xludf.DUMMYFUNCTION("""COMPUTED_VALUE"""),46061.0)</f>
        <v>46061</v>
      </c>
      <c r="B69" s="319" t="str">
        <f>IFERROR(__xludf.DUMMYFUNCTION("""COMPUTED_VALUE"""),"B. 1-9")</f>
        <v>B. 1-9</v>
      </c>
      <c r="C69" s="320">
        <f>IFERROR(__xludf.DUMMYFUNCTION("""COMPUTED_VALUE"""),37536.0)</f>
        <v>37536</v>
      </c>
      <c r="D69" s="320">
        <f>IFERROR(__xludf.DUMMYFUNCTION("""COMPUTED_VALUE"""),34.13)</f>
        <v>34.13</v>
      </c>
      <c r="E69" s="320">
        <f>IFERROR(__xludf.DUMMYFUNCTION("""COMPUTED_VALUE"""),0.0)</f>
        <v>0</v>
      </c>
      <c r="F69" s="320">
        <f>IFERROR(__xludf.DUMMYFUNCTION("""COMPUTED_VALUE"""),0.0)</f>
        <v>0</v>
      </c>
      <c r="G69" s="320">
        <f>IFERROR(__xludf.DUMMYFUNCTION("""COMPUTED_VALUE"""),0.0)</f>
        <v>0</v>
      </c>
      <c r="H69" s="106"/>
      <c r="I69" s="320">
        <f>IFERROR(__xludf.DUMMYFUNCTION("""COMPUTED_VALUE"""),31.55)</f>
        <v>31.55</v>
      </c>
      <c r="J69" s="320">
        <f>IFERROR(__xludf.DUMMYFUNCTION("""COMPUTED_VALUE"""),14.39)</f>
        <v>14.39</v>
      </c>
      <c r="K69" s="320">
        <f>IFERROR(__xludf.DUMMYFUNCTION("""COMPUTED_VALUE"""),5.84)</f>
        <v>5.84</v>
      </c>
      <c r="L69" s="320">
        <f>IFERROR(__xludf.DUMMYFUNCTION("""COMPUTED_VALUE"""),0.4056)</f>
        <v>0.4056</v>
      </c>
      <c r="M69" s="320">
        <f>IFERROR(__xludf.DUMMYFUNCTION("""COMPUTED_VALUE"""),0.7576)</f>
        <v>0.7576</v>
      </c>
      <c r="N69" s="320">
        <f>IFERROR(__xludf.DUMMYFUNCTION("""COMPUTED_VALUE"""),0.5509)</f>
        <v>0.5509</v>
      </c>
      <c r="O69" s="320">
        <f>IFERROR(__xludf.DUMMYFUNCTION("""COMPUTED_VALUE"""),2.4654)</f>
        <v>2.4654</v>
      </c>
      <c r="P69" s="320">
        <f>IFERROR(__xludf.DUMMYFUNCTION("""COMPUTED_VALUE"""),49.4)</f>
        <v>49.4</v>
      </c>
      <c r="Q69" s="320">
        <f>IFERROR(__xludf.DUMMYFUNCTION("""COMPUTED_VALUE"""),37.16)</f>
        <v>37.16</v>
      </c>
      <c r="R69" s="320">
        <f>IFERROR(__xludf.DUMMYFUNCTION("""COMPUTED_VALUE"""),12.24)</f>
        <v>12.24</v>
      </c>
      <c r="S69" s="320">
        <f>IFERROR(__xludf.DUMMYFUNCTION("""COMPUTED_VALUE"""),0.85)</f>
        <v>0.85</v>
      </c>
      <c r="T69" s="320">
        <f>IFERROR(__xludf.DUMMYFUNCTION("""COMPUTED_VALUE"""),48.55)</f>
        <v>48.55</v>
      </c>
      <c r="U69" s="320">
        <f>IFERROR(__xludf.DUMMYFUNCTION("""COMPUTED_VALUE"""),53.65)</f>
        <v>53.65</v>
      </c>
      <c r="V69" s="320">
        <f>IFERROR(__xludf.DUMMYFUNCTION("""COMPUTED_VALUE"""),3.7285)</f>
        <v>3.7285</v>
      </c>
      <c r="W69" s="320">
        <f>IFERROR(__xludf.DUMMYFUNCTION("""COMPUTED_VALUE"""),1.71)</f>
        <v>1.71</v>
      </c>
      <c r="X69" s="320">
        <f>IFERROR(__xludf.DUMMYFUNCTION("""COMPUTED_VALUE"""),144.0)</f>
        <v>144</v>
      </c>
      <c r="Y69" s="320">
        <f>IFERROR(__xludf.DUMMYFUNCTION("""COMPUTED_VALUE"""),905.0)</f>
        <v>905</v>
      </c>
      <c r="Z69" s="320">
        <f>IFERROR(__xludf.DUMMYFUNCTION("""COMPUTED_VALUE"""),5943.0)</f>
        <v>5943</v>
      </c>
      <c r="AA69" s="320">
        <f>IFERROR(__xludf.DUMMYFUNCTION("""COMPUTED_VALUE"""),48.6186)</f>
        <v>48.6186</v>
      </c>
      <c r="AB69" s="320">
        <f>IFERROR(__xludf.DUMMYFUNCTION("""COMPUTED_VALUE"""),0.547)</f>
        <v>0.547</v>
      </c>
      <c r="AC69" s="320">
        <f>IFERROR(__xludf.DUMMYFUNCTION("""COMPUTED_VALUE"""),4.07)</f>
        <v>4.07</v>
      </c>
      <c r="AD69" s="320">
        <f>IFERROR(__xludf.DUMMYFUNCTION("""COMPUTED_VALUE"""),1.0)</f>
        <v>1</v>
      </c>
      <c r="AE69" s="320">
        <f>IFERROR(__xludf.DUMMYFUNCTION("""COMPUTED_VALUE"""),3.0)</f>
        <v>3</v>
      </c>
      <c r="AF69" s="320">
        <f>IFERROR(__xludf.DUMMYFUNCTION("""COMPUTED_VALUE"""),5.0)</f>
        <v>5</v>
      </c>
      <c r="AG69" s="320">
        <f>IFERROR(__xludf.DUMMYFUNCTION("""COMPUTED_VALUE"""),9.0)</f>
        <v>9</v>
      </c>
      <c r="AH69" s="320">
        <f>IFERROR(__xludf.DUMMYFUNCTION("""COMPUTED_VALUE"""),73.77)</f>
        <v>73.77</v>
      </c>
      <c r="AI69" s="320">
        <f>IFERROR(__xludf.DUMMYFUNCTION("""COMPUTED_VALUE"""),31.84)</f>
        <v>31.84</v>
      </c>
      <c r="AJ69" s="320">
        <f>IFERROR(__xludf.DUMMYFUNCTION("""COMPUTED_VALUE"""),8.73)</f>
        <v>8.73</v>
      </c>
      <c r="AK69" s="320">
        <f>IFERROR(__xludf.DUMMYFUNCTION("""COMPUTED_VALUE"""),0.2819)</f>
        <v>0.2819</v>
      </c>
      <c r="AL69" s="320">
        <f>IFERROR(__xludf.DUMMYFUNCTION("""COMPUTED_VALUE"""),20.36)</f>
        <v>20.36</v>
      </c>
      <c r="AM69" s="320">
        <f>IFERROR(__xludf.DUMMYFUNCTION("""COMPUTED_VALUE"""),16.8)</f>
        <v>16.8</v>
      </c>
      <c r="AN69" s="320">
        <f>IFERROR(__xludf.DUMMYFUNCTION("""COMPUTED_VALUE"""),64.68)</f>
        <v>64.68</v>
      </c>
      <c r="AO69" s="320">
        <f>IFERROR(__xludf.DUMMYFUNCTION("""COMPUTED_VALUE"""),13.17)</f>
        <v>13.17</v>
      </c>
    </row>
    <row r="70" ht="15.75" customHeight="1">
      <c r="A70" s="330">
        <f>IFERROR(__xludf.DUMMYFUNCTION("""COMPUTED_VALUE"""),46061.0)</f>
        <v>46061</v>
      </c>
      <c r="B70" s="319" t="str">
        <f>IFERROR(__xludf.DUMMYFUNCTION("""COMPUTED_VALUE"""),"C. 10-19")</f>
        <v>C. 10-19</v>
      </c>
      <c r="C70" s="320">
        <f>IFERROR(__xludf.DUMMYFUNCTION("""COMPUTED_VALUE"""),28401.0)</f>
        <v>28401</v>
      </c>
      <c r="D70" s="320">
        <f>IFERROR(__xludf.DUMMYFUNCTION("""COMPUTED_VALUE"""),25.83)</f>
        <v>25.83</v>
      </c>
      <c r="E70" s="320">
        <f>IFERROR(__xludf.DUMMYFUNCTION("""COMPUTED_VALUE"""),0.0)</f>
        <v>0</v>
      </c>
      <c r="F70" s="320">
        <f>IFERROR(__xludf.DUMMYFUNCTION("""COMPUTED_VALUE"""),0.0)</f>
        <v>0</v>
      </c>
      <c r="G70" s="320">
        <f>IFERROR(__xludf.DUMMYFUNCTION("""COMPUTED_VALUE"""),0.0)</f>
        <v>0</v>
      </c>
      <c r="H70" s="106"/>
      <c r="I70" s="320">
        <f>IFERROR(__xludf.DUMMYFUNCTION("""COMPUTED_VALUE"""),58.69)</f>
        <v>58.69</v>
      </c>
      <c r="J70" s="320">
        <f>IFERROR(__xludf.DUMMYFUNCTION("""COMPUTED_VALUE"""),27.65)</f>
        <v>27.65</v>
      </c>
      <c r="K70" s="320">
        <f>IFERROR(__xludf.DUMMYFUNCTION("""COMPUTED_VALUE"""),14.1)</f>
        <v>14.1</v>
      </c>
      <c r="L70" s="320">
        <f>IFERROR(__xludf.DUMMYFUNCTION("""COMPUTED_VALUE"""),0.5099)</f>
        <v>0.5099</v>
      </c>
      <c r="M70" s="320">
        <f>IFERROR(__xludf.DUMMYFUNCTION("""COMPUTED_VALUE"""),0.6733)</f>
        <v>0.6733</v>
      </c>
      <c r="N70" s="320">
        <f>IFERROR(__xludf.DUMMYFUNCTION("""COMPUTED_VALUE"""),0.4686)</f>
        <v>0.4686</v>
      </c>
      <c r="O70" s="320">
        <f>IFERROR(__xludf.DUMMYFUNCTION("""COMPUTED_VALUE"""),1.9611)</f>
        <v>1.9611</v>
      </c>
      <c r="P70" s="320">
        <f>IFERROR(__xludf.DUMMYFUNCTION("""COMPUTED_VALUE"""),80.05)</f>
        <v>80.05</v>
      </c>
      <c r="Q70" s="320">
        <f>IFERROR(__xludf.DUMMYFUNCTION("""COMPUTED_VALUE"""),50.36)</f>
        <v>50.36</v>
      </c>
      <c r="R70" s="320">
        <f>IFERROR(__xludf.DUMMYFUNCTION("""COMPUTED_VALUE"""),29.69)</f>
        <v>29.69</v>
      </c>
      <c r="S70" s="320">
        <f>IFERROR(__xludf.DUMMYFUNCTION("""COMPUTED_VALUE"""),0.83)</f>
        <v>0.83</v>
      </c>
      <c r="T70" s="320">
        <f>IFERROR(__xludf.DUMMYFUNCTION("""COMPUTED_VALUE"""),79.22)</f>
        <v>79.22</v>
      </c>
      <c r="U70" s="320">
        <f>IFERROR(__xludf.DUMMYFUNCTION("""COMPUTED_VALUE"""),95.57)</f>
        <v>95.57</v>
      </c>
      <c r="V70" s="320">
        <f>IFERROR(__xludf.DUMMYFUNCTION("""COMPUTED_VALUE"""),3.4559)</f>
        <v>3.4559</v>
      </c>
      <c r="W70" s="320">
        <f>IFERROR(__xludf.DUMMYFUNCTION("""COMPUTED_VALUE"""),1.03)</f>
        <v>1.03</v>
      </c>
      <c r="X70" s="320">
        <f>IFERROR(__xludf.DUMMYFUNCTION("""COMPUTED_VALUE"""),118.0)</f>
        <v>118</v>
      </c>
      <c r="Y70" s="320">
        <f>IFERROR(__xludf.DUMMYFUNCTION("""COMPUTED_VALUE"""),718.0)</f>
        <v>718</v>
      </c>
      <c r="Z70" s="320">
        <f>IFERROR(__xludf.DUMMYFUNCTION("""COMPUTED_VALUE"""),5344.0)</f>
        <v>5344</v>
      </c>
      <c r="AA70" s="320">
        <f>IFERROR(__xludf.DUMMYFUNCTION("""COMPUTED_VALUE"""),52.1047)</f>
        <v>52.1047</v>
      </c>
      <c r="AB70" s="320">
        <f>IFERROR(__xludf.DUMMYFUNCTION("""COMPUTED_VALUE"""),0.6444)</f>
        <v>0.6444</v>
      </c>
      <c r="AC70" s="320">
        <f>IFERROR(__xludf.DUMMYFUNCTION("""COMPUTED_VALUE"""),9.29)</f>
        <v>9.29</v>
      </c>
      <c r="AD70" s="320">
        <f>IFERROR(__xludf.DUMMYFUNCTION("""COMPUTED_VALUE"""),4.0)</f>
        <v>4</v>
      </c>
      <c r="AE70" s="320">
        <f>IFERROR(__xludf.DUMMYFUNCTION("""COMPUTED_VALUE"""),7.0)</f>
        <v>7</v>
      </c>
      <c r="AF70" s="320">
        <f>IFERROR(__xludf.DUMMYFUNCTION("""COMPUTED_VALUE"""),13.0)</f>
        <v>13</v>
      </c>
      <c r="AG70" s="320">
        <f>IFERROR(__xludf.DUMMYFUNCTION("""COMPUTED_VALUE"""),19.0)</f>
        <v>19</v>
      </c>
      <c r="AH70" s="320">
        <f>IFERROR(__xludf.DUMMYFUNCTION("""COMPUTED_VALUE"""),60.92)</f>
        <v>60.92</v>
      </c>
      <c r="AI70" s="320">
        <f>IFERROR(__xludf.DUMMYFUNCTION("""COMPUTED_VALUE"""),25.44)</f>
        <v>25.44</v>
      </c>
      <c r="AJ70" s="320">
        <f>IFERROR(__xludf.DUMMYFUNCTION("""COMPUTED_VALUE"""),4.24)</f>
        <v>4.24</v>
      </c>
      <c r="AK70" s="320">
        <f>IFERROR(__xludf.DUMMYFUNCTION("""COMPUTED_VALUE"""),0.2233)</f>
        <v>0.2233</v>
      </c>
      <c r="AL70" s="320">
        <f>IFERROR(__xludf.DUMMYFUNCTION("""COMPUTED_VALUE"""),21.29)</f>
        <v>21.29</v>
      </c>
      <c r="AM70" s="320">
        <f>IFERROR(__xludf.DUMMYFUNCTION("""COMPUTED_VALUE"""),29.07)</f>
        <v>29.07</v>
      </c>
      <c r="AN70" s="320">
        <f>IFERROR(__xludf.DUMMYFUNCTION("""COMPUTED_VALUE"""),74.35)</f>
        <v>74.35</v>
      </c>
      <c r="AO70" s="320">
        <f>IFERROR(__xludf.DUMMYFUNCTION("""COMPUTED_VALUE"""),15.83)</f>
        <v>15.83</v>
      </c>
    </row>
    <row r="71" ht="15.75" customHeight="1">
      <c r="A71" s="330">
        <f>IFERROR(__xludf.DUMMYFUNCTION("""COMPUTED_VALUE"""),46061.0)</f>
        <v>46061</v>
      </c>
      <c r="B71" s="319" t="str">
        <f>IFERROR(__xludf.DUMMYFUNCTION("""COMPUTED_VALUE"""),"D. 20-39")</f>
        <v>D. 20-39</v>
      </c>
      <c r="C71" s="320">
        <f>IFERROR(__xludf.DUMMYFUNCTION("""COMPUTED_VALUE"""),16387.0)</f>
        <v>16387</v>
      </c>
      <c r="D71" s="320">
        <f>IFERROR(__xludf.DUMMYFUNCTION("""COMPUTED_VALUE"""),14.9)</f>
        <v>14.9</v>
      </c>
      <c r="E71" s="320">
        <f>IFERROR(__xludf.DUMMYFUNCTION("""COMPUTED_VALUE"""),0.0)</f>
        <v>0</v>
      </c>
      <c r="F71" s="320">
        <f>IFERROR(__xludf.DUMMYFUNCTION("""COMPUTED_VALUE"""),0.0)</f>
        <v>0</v>
      </c>
      <c r="G71" s="320">
        <f>IFERROR(__xludf.DUMMYFUNCTION("""COMPUTED_VALUE"""),0.0)</f>
        <v>0</v>
      </c>
      <c r="H71" s="106"/>
      <c r="I71" s="320">
        <f>IFERROR(__xludf.DUMMYFUNCTION("""COMPUTED_VALUE"""),87.9)</f>
        <v>87.9</v>
      </c>
      <c r="J71" s="320">
        <f>IFERROR(__xludf.DUMMYFUNCTION("""COMPUTED_VALUE"""),43.8)</f>
        <v>43.8</v>
      </c>
      <c r="K71" s="320">
        <f>IFERROR(__xludf.DUMMYFUNCTION("""COMPUTED_VALUE"""),27.5)</f>
        <v>27.5</v>
      </c>
      <c r="L71" s="320">
        <f>IFERROR(__xludf.DUMMYFUNCTION("""COMPUTED_VALUE"""),0.6279)</f>
        <v>0.6279</v>
      </c>
      <c r="M71" s="320">
        <f>IFERROR(__xludf.DUMMYFUNCTION("""COMPUTED_VALUE"""),0.5567)</f>
        <v>0.5567</v>
      </c>
      <c r="N71" s="320">
        <f>IFERROR(__xludf.DUMMYFUNCTION("""COMPUTED_VALUE"""),0.3835)</f>
        <v>0.3835</v>
      </c>
      <c r="O71" s="320">
        <f>IFERROR(__xludf.DUMMYFUNCTION("""COMPUTED_VALUE"""),1.5927)</f>
        <v>1.5927</v>
      </c>
      <c r="P71" s="320">
        <f>IFERROR(__xludf.DUMMYFUNCTION("""COMPUTED_VALUE"""),132.59)</f>
        <v>132.59</v>
      </c>
      <c r="Q71" s="320">
        <f>IFERROR(__xludf.DUMMYFUNCTION("""COMPUTED_VALUE"""),74.77)</f>
        <v>74.77</v>
      </c>
      <c r="R71" s="320">
        <f>IFERROR(__xludf.DUMMYFUNCTION("""COMPUTED_VALUE"""),57.82)</f>
        <v>57.82</v>
      </c>
      <c r="S71" s="320">
        <f>IFERROR(__xludf.DUMMYFUNCTION("""COMPUTED_VALUE"""),1.84)</f>
        <v>1.84</v>
      </c>
      <c r="T71" s="320">
        <f>IFERROR(__xludf.DUMMYFUNCTION("""COMPUTED_VALUE"""),130.75)</f>
        <v>130.75</v>
      </c>
      <c r="U71" s="320">
        <f>IFERROR(__xludf.DUMMYFUNCTION("""COMPUTED_VALUE"""),163.39)</f>
        <v>163.39</v>
      </c>
      <c r="V71" s="320">
        <f>IFERROR(__xludf.DUMMYFUNCTION("""COMPUTED_VALUE"""),3.7302)</f>
        <v>3.7302</v>
      </c>
      <c r="W71" s="320">
        <f>IFERROR(__xludf.DUMMYFUNCTION("""COMPUTED_VALUE"""),1.39)</f>
        <v>1.39</v>
      </c>
      <c r="X71" s="320">
        <f>IFERROR(__xludf.DUMMYFUNCTION("""COMPUTED_VALUE"""),124.0)</f>
        <v>124</v>
      </c>
      <c r="Y71" s="320">
        <f>IFERROR(__xludf.DUMMYFUNCTION("""COMPUTED_VALUE"""),905.0)</f>
        <v>905</v>
      </c>
      <c r="Z71" s="320">
        <f>IFERROR(__xludf.DUMMYFUNCTION("""COMPUTED_VALUE"""),5962.0)</f>
        <v>5962</v>
      </c>
      <c r="AA71" s="320">
        <f>IFERROR(__xludf.DUMMYFUNCTION("""COMPUTED_VALUE"""),55.1011)</f>
        <v>55.1011</v>
      </c>
      <c r="AB71" s="320">
        <f>IFERROR(__xludf.DUMMYFUNCTION("""COMPUTED_VALUE"""),0.7329)</f>
        <v>0.7329</v>
      </c>
      <c r="AC71" s="320">
        <f>IFERROR(__xludf.DUMMYFUNCTION("""COMPUTED_VALUE"""),17.51)</f>
        <v>17.51</v>
      </c>
      <c r="AD71" s="320">
        <f>IFERROR(__xludf.DUMMYFUNCTION("""COMPUTED_VALUE"""),7.0)</f>
        <v>7</v>
      </c>
      <c r="AE71" s="320">
        <f>IFERROR(__xludf.DUMMYFUNCTION("""COMPUTED_VALUE"""),13.0)</f>
        <v>13</v>
      </c>
      <c r="AF71" s="320">
        <f>IFERROR(__xludf.DUMMYFUNCTION("""COMPUTED_VALUE"""),24.0)</f>
        <v>24</v>
      </c>
      <c r="AG71" s="320">
        <f>IFERROR(__xludf.DUMMYFUNCTION("""COMPUTED_VALUE"""),36.0)</f>
        <v>36</v>
      </c>
      <c r="AH71" s="320">
        <f>IFERROR(__xludf.DUMMYFUNCTION("""COMPUTED_VALUE"""),58.42)</f>
        <v>58.42</v>
      </c>
      <c r="AI71" s="320">
        <f>IFERROR(__xludf.DUMMYFUNCTION("""COMPUTED_VALUE"""),22.27)</f>
        <v>22.27</v>
      </c>
      <c r="AJ71" s="320">
        <f>IFERROR(__xludf.DUMMYFUNCTION("""COMPUTED_VALUE"""),6.93)</f>
        <v>6.93</v>
      </c>
      <c r="AK71" s="320">
        <f>IFERROR(__xludf.DUMMYFUNCTION("""COMPUTED_VALUE"""),0.1996)</f>
        <v>0.1996</v>
      </c>
      <c r="AL71" s="320">
        <f>IFERROR(__xludf.DUMMYFUNCTION("""COMPUTED_VALUE"""),21.61)</f>
        <v>21.61</v>
      </c>
      <c r="AM71" s="320">
        <f>IFERROR(__xludf.DUMMYFUNCTION("""COMPUTED_VALUE"""),53.16)</f>
        <v>53.16</v>
      </c>
      <c r="AN71" s="320">
        <f>IFERROR(__xludf.DUMMYFUNCTION("""COMPUTED_VALUE"""),76.98)</f>
        <v>76.98</v>
      </c>
      <c r="AO71" s="320">
        <f>IFERROR(__xludf.DUMMYFUNCTION("""COMPUTED_VALUE"""),16.64)</f>
        <v>16.64</v>
      </c>
    </row>
    <row r="72" ht="15.75" customHeight="1">
      <c r="A72" s="330">
        <f>IFERROR(__xludf.DUMMYFUNCTION("""COMPUTED_VALUE"""),46061.0)</f>
        <v>46061</v>
      </c>
      <c r="B72" s="319" t="str">
        <f>IFERROR(__xludf.DUMMYFUNCTION("""COMPUTED_VALUE"""),"E. 40-99")</f>
        <v>E. 40-99</v>
      </c>
      <c r="C72" s="320">
        <f>IFERROR(__xludf.DUMMYFUNCTION("""COMPUTED_VALUE"""),6237.0)</f>
        <v>6237</v>
      </c>
      <c r="D72" s="320">
        <f>IFERROR(__xludf.DUMMYFUNCTION("""COMPUTED_VALUE"""),5.67)</f>
        <v>5.67</v>
      </c>
      <c r="E72" s="320">
        <f>IFERROR(__xludf.DUMMYFUNCTION("""COMPUTED_VALUE"""),0.0)</f>
        <v>0</v>
      </c>
      <c r="F72" s="320">
        <f>IFERROR(__xludf.DUMMYFUNCTION("""COMPUTED_VALUE"""),0.0)</f>
        <v>0</v>
      </c>
      <c r="G72" s="320">
        <f>IFERROR(__xludf.DUMMYFUNCTION("""COMPUTED_VALUE"""),0.0)</f>
        <v>0</v>
      </c>
      <c r="H72" s="106"/>
      <c r="I72" s="320">
        <f>IFERROR(__xludf.DUMMYFUNCTION("""COMPUTED_VALUE"""),136.44)</f>
        <v>136.44</v>
      </c>
      <c r="J72" s="320">
        <f>IFERROR(__xludf.DUMMYFUNCTION("""COMPUTED_VALUE"""),73.39)</f>
        <v>73.39</v>
      </c>
      <c r="K72" s="320">
        <f>IFERROR(__xludf.DUMMYFUNCTION("""COMPUTED_VALUE"""),55.57)</f>
        <v>55.57</v>
      </c>
      <c r="L72" s="320">
        <f>IFERROR(__xludf.DUMMYFUNCTION("""COMPUTED_VALUE"""),0.7572)</f>
        <v>0.7572</v>
      </c>
      <c r="M72" s="320">
        <f>IFERROR(__xludf.DUMMYFUNCTION("""COMPUTED_VALUE"""),0.4157)</f>
        <v>0.4157</v>
      </c>
      <c r="N72" s="320">
        <f>IFERROR(__xludf.DUMMYFUNCTION("""COMPUTED_VALUE"""),0.2895)</f>
        <v>0.2895</v>
      </c>
      <c r="O72" s="320">
        <f>IFERROR(__xludf.DUMMYFUNCTION("""COMPUTED_VALUE"""),1.3206)</f>
        <v>1.3206</v>
      </c>
      <c r="P72" s="320">
        <f>IFERROR(__xludf.DUMMYFUNCTION("""COMPUTED_VALUE"""),236.4)</f>
        <v>236.4</v>
      </c>
      <c r="Q72" s="320">
        <f>IFERROR(__xludf.DUMMYFUNCTION("""COMPUTED_VALUE"""),118.6)</f>
        <v>118.6</v>
      </c>
      <c r="R72" s="320">
        <f>IFERROR(__xludf.DUMMYFUNCTION("""COMPUTED_VALUE"""),117.8)</f>
        <v>117.8</v>
      </c>
      <c r="S72" s="320">
        <f>IFERROR(__xludf.DUMMYFUNCTION("""COMPUTED_VALUE"""),4.55)</f>
        <v>4.55</v>
      </c>
      <c r="T72" s="320">
        <f>IFERROR(__xludf.DUMMYFUNCTION("""COMPUTED_VALUE"""),231.84)</f>
        <v>231.84</v>
      </c>
      <c r="U72" s="320">
        <f>IFERROR(__xludf.DUMMYFUNCTION("""COMPUTED_VALUE"""),312.72)</f>
        <v>312.72</v>
      </c>
      <c r="V72" s="320">
        <f>IFERROR(__xludf.DUMMYFUNCTION("""COMPUTED_VALUE"""),4.2611)</f>
        <v>4.2611</v>
      </c>
      <c r="W72" s="320">
        <f>IFERROR(__xludf.DUMMYFUNCTION("""COMPUTED_VALUE"""),1.93)</f>
        <v>1.93</v>
      </c>
      <c r="X72" s="320">
        <f>IFERROR(__xludf.DUMMYFUNCTION("""COMPUTED_VALUE"""),245.0)</f>
        <v>245</v>
      </c>
      <c r="Y72" s="320">
        <f>IFERROR(__xludf.DUMMYFUNCTION("""COMPUTED_VALUE"""),2217.0)</f>
        <v>2217</v>
      </c>
      <c r="Z72" s="320">
        <f>IFERROR(__xludf.DUMMYFUNCTION("""COMPUTED_VALUE"""),8901.0)</f>
        <v>8901</v>
      </c>
      <c r="AA72" s="320">
        <f>IFERROR(__xludf.DUMMYFUNCTION("""COMPUTED_VALUE"""),59.1278)</f>
        <v>59.1278</v>
      </c>
      <c r="AB72" s="320">
        <f>IFERROR(__xludf.DUMMYFUNCTION("""COMPUTED_VALUE"""),0.8271)</f>
        <v>0.8271</v>
      </c>
      <c r="AC72" s="320">
        <f>IFERROR(__xludf.DUMMYFUNCTION("""COMPUTED_VALUE"""),36.36)</f>
        <v>36.36</v>
      </c>
      <c r="AD72" s="320">
        <f>IFERROR(__xludf.DUMMYFUNCTION("""COMPUTED_VALUE"""),14.0)</f>
        <v>14</v>
      </c>
      <c r="AE72" s="320">
        <f>IFERROR(__xludf.DUMMYFUNCTION("""COMPUTED_VALUE"""),27.0)</f>
        <v>27</v>
      </c>
      <c r="AF72" s="320">
        <f>IFERROR(__xludf.DUMMYFUNCTION("""COMPUTED_VALUE"""),49.0)</f>
        <v>49</v>
      </c>
      <c r="AG72" s="320">
        <f>IFERROR(__xludf.DUMMYFUNCTION("""COMPUTED_VALUE"""),78.0)</f>
        <v>78</v>
      </c>
      <c r="AH72" s="320">
        <f>IFERROR(__xludf.DUMMYFUNCTION("""COMPUTED_VALUE"""),49.14)</f>
        <v>49.14</v>
      </c>
      <c r="AI72" s="320">
        <f>IFERROR(__xludf.DUMMYFUNCTION("""COMPUTED_VALUE"""),18.47)</f>
        <v>18.47</v>
      </c>
      <c r="AJ72" s="320">
        <f>IFERROR(__xludf.DUMMYFUNCTION("""COMPUTED_VALUE"""),4.92)</f>
        <v>4.92</v>
      </c>
      <c r="AK72" s="320">
        <f>IFERROR(__xludf.DUMMYFUNCTION("""COMPUTED_VALUE"""),0.1643)</f>
        <v>0.1643</v>
      </c>
      <c r="AL72" s="320">
        <f>IFERROR(__xludf.DUMMYFUNCTION("""COMPUTED_VALUE"""),21.55)</f>
        <v>21.55</v>
      </c>
      <c r="AM72" s="320">
        <f>IFERROR(__xludf.DUMMYFUNCTION("""COMPUTED_VALUE"""),97.05)</f>
        <v>97.05</v>
      </c>
      <c r="AN72" s="320">
        <f>IFERROR(__xludf.DUMMYFUNCTION("""COMPUTED_VALUE"""),80.85)</f>
        <v>80.85</v>
      </c>
      <c r="AO72" s="320">
        <f>IFERROR(__xludf.DUMMYFUNCTION("""COMPUTED_VALUE"""),17.42)</f>
        <v>17.42</v>
      </c>
    </row>
    <row r="73" ht="15.75" customHeight="1">
      <c r="A73" s="330">
        <f>IFERROR(__xludf.DUMMYFUNCTION("""COMPUTED_VALUE"""),46061.0)</f>
        <v>46061</v>
      </c>
      <c r="B73" s="319" t="str">
        <f>IFERROR(__xludf.DUMMYFUNCTION("""COMPUTED_VALUE"""),"F. 100+")</f>
        <v>F. 100+</v>
      </c>
      <c r="C73" s="320">
        <f>IFERROR(__xludf.DUMMYFUNCTION("""COMPUTED_VALUE"""),683.0)</f>
        <v>683</v>
      </c>
      <c r="D73" s="320">
        <f>IFERROR(__xludf.DUMMYFUNCTION("""COMPUTED_VALUE"""),0.62)</f>
        <v>0.62</v>
      </c>
      <c r="E73" s="320">
        <f>IFERROR(__xludf.DUMMYFUNCTION("""COMPUTED_VALUE"""),0.0)</f>
        <v>0</v>
      </c>
      <c r="F73" s="320">
        <f>IFERROR(__xludf.DUMMYFUNCTION("""COMPUTED_VALUE"""),0.0)</f>
        <v>0</v>
      </c>
      <c r="G73" s="320">
        <f>IFERROR(__xludf.DUMMYFUNCTION("""COMPUTED_VALUE"""),0.0)</f>
        <v>0</v>
      </c>
      <c r="H73" s="106"/>
      <c r="I73" s="320">
        <f>IFERROR(__xludf.DUMMYFUNCTION("""COMPUTED_VALUE"""),248.07)</f>
        <v>248.07</v>
      </c>
      <c r="J73" s="320">
        <f>IFERROR(__xludf.DUMMYFUNCTION("""COMPUTED_VALUE"""),147.83)</f>
        <v>147.83</v>
      </c>
      <c r="K73" s="320">
        <f>IFERROR(__xludf.DUMMYFUNCTION("""COMPUTED_VALUE"""),127.02)</f>
        <v>127.02</v>
      </c>
      <c r="L73" s="320">
        <f>IFERROR(__xludf.DUMMYFUNCTION("""COMPUTED_VALUE"""),0.8593)</f>
        <v>0.8593</v>
      </c>
      <c r="M73" s="320">
        <f>IFERROR(__xludf.DUMMYFUNCTION("""COMPUTED_VALUE"""),0.2865)</f>
        <v>0.2865</v>
      </c>
      <c r="N73" s="320">
        <f>IFERROR(__xludf.DUMMYFUNCTION("""COMPUTED_VALUE"""),0.21)</f>
        <v>0.21</v>
      </c>
      <c r="O73" s="320">
        <f>IFERROR(__xludf.DUMMYFUNCTION("""COMPUTED_VALUE"""),1.1638)</f>
        <v>1.1638</v>
      </c>
      <c r="P73" s="320">
        <f>IFERROR(__xludf.DUMMYFUNCTION("""COMPUTED_VALUE"""),434.87)</f>
        <v>434.87</v>
      </c>
      <c r="Q73" s="320">
        <f>IFERROR(__xludf.DUMMYFUNCTION("""COMPUTED_VALUE"""),165.33)</f>
        <v>165.33</v>
      </c>
      <c r="R73" s="320">
        <f>IFERROR(__xludf.DUMMYFUNCTION("""COMPUTED_VALUE"""),269.54)</f>
        <v>269.54</v>
      </c>
      <c r="S73" s="320">
        <f>IFERROR(__xludf.DUMMYFUNCTION("""COMPUTED_VALUE"""),0.0)</f>
        <v>0</v>
      </c>
      <c r="T73" s="320">
        <f>IFERROR(__xludf.DUMMYFUNCTION("""COMPUTED_VALUE"""),434.87)</f>
        <v>434.87</v>
      </c>
      <c r="U73" s="320">
        <f>IFERROR(__xludf.DUMMYFUNCTION("""COMPUTED_VALUE"""),614.79)</f>
        <v>614.79</v>
      </c>
      <c r="V73" s="320">
        <f>IFERROR(__xludf.DUMMYFUNCTION("""COMPUTED_VALUE"""),4.1588)</f>
        <v>4.1588</v>
      </c>
      <c r="W73" s="320">
        <f>IFERROR(__xludf.DUMMYFUNCTION("""COMPUTED_VALUE"""),0.0)</f>
        <v>0</v>
      </c>
      <c r="X73" s="320">
        <f>IFERROR(__xludf.DUMMYFUNCTION("""COMPUTED_VALUE"""),841.0)</f>
        <v>841</v>
      </c>
      <c r="Y73" s="320">
        <f>IFERROR(__xludf.DUMMYFUNCTION("""COMPUTED_VALUE"""),3979.0)</f>
        <v>3979</v>
      </c>
      <c r="Z73" s="320">
        <f>IFERROR(__xludf.DUMMYFUNCTION("""COMPUTED_VALUE"""),11086.0)</f>
        <v>11086</v>
      </c>
      <c r="AA73" s="320">
        <f>IFERROR(__xludf.DUMMYFUNCTION("""COMPUTED_VALUE"""),63.3496)</f>
        <v>63.3496</v>
      </c>
      <c r="AB73" s="320">
        <f>IFERROR(__xludf.DUMMYFUNCTION("""COMPUTED_VALUE"""),0.891)</f>
        <v>0.891</v>
      </c>
      <c r="AC73" s="320">
        <f>IFERROR(__xludf.DUMMYFUNCTION("""COMPUTED_VALUE"""),86.82)</f>
        <v>86.82</v>
      </c>
      <c r="AD73" s="320">
        <f>IFERROR(__xludf.DUMMYFUNCTION("""COMPUTED_VALUE"""),32.0)</f>
        <v>32</v>
      </c>
      <c r="AE73" s="320">
        <f>IFERROR(__xludf.DUMMYFUNCTION("""COMPUTED_VALUE"""),71.0)</f>
        <v>71</v>
      </c>
      <c r="AF73" s="320">
        <f>IFERROR(__xludf.DUMMYFUNCTION("""COMPUTED_VALUE"""),124.0)</f>
        <v>124</v>
      </c>
      <c r="AG73" s="320">
        <f>IFERROR(__xludf.DUMMYFUNCTION("""COMPUTED_VALUE"""),172.0)</f>
        <v>172</v>
      </c>
      <c r="AH73" s="320">
        <f>IFERROR(__xludf.DUMMYFUNCTION("""COMPUTED_VALUE"""),46.41)</f>
        <v>46.41</v>
      </c>
      <c r="AI73" s="320">
        <f>IFERROR(__xludf.DUMMYFUNCTION("""COMPUTED_VALUE"""),9.66)</f>
        <v>9.66</v>
      </c>
      <c r="AJ73" s="320">
        <f>IFERROR(__xludf.DUMMYFUNCTION("""COMPUTED_VALUE"""),1.76)</f>
        <v>1.76</v>
      </c>
      <c r="AK73" s="320">
        <f>IFERROR(__xludf.DUMMYFUNCTION("""COMPUTED_VALUE"""),0.1245)</f>
        <v>0.1245</v>
      </c>
      <c r="AL73" s="320">
        <f>IFERROR(__xludf.DUMMYFUNCTION("""COMPUTED_VALUE"""),23.24)</f>
        <v>23.24</v>
      </c>
      <c r="AM73" s="320">
        <f>IFERROR(__xludf.DUMMYFUNCTION("""COMPUTED_VALUE"""),142.08)</f>
        <v>142.08</v>
      </c>
      <c r="AN73" s="320">
        <f>IFERROR(__xludf.DUMMYFUNCTION("""COMPUTED_VALUE"""),80.97)</f>
        <v>80.97</v>
      </c>
      <c r="AO73" s="320">
        <f>IFERROR(__xludf.DUMMYFUNCTION("""COMPUTED_VALUE"""),18.82)</f>
        <v>18.82</v>
      </c>
    </row>
    <row r="74" ht="15.75" customHeight="1">
      <c r="A74" s="330">
        <f>IFERROR(__xludf.DUMMYFUNCTION("""COMPUTED_VALUE"""),46062.0)</f>
        <v>46062</v>
      </c>
      <c r="B74" s="319" t="str">
        <f>IFERROR(__xludf.DUMMYFUNCTION("""COMPUTED_VALUE"""),"A. 0")</f>
        <v>A. 0</v>
      </c>
      <c r="C74" s="320">
        <f>IFERROR(__xludf.DUMMYFUNCTION("""COMPUTED_VALUE"""),20748.0)</f>
        <v>20748</v>
      </c>
      <c r="D74" s="320">
        <f>IFERROR(__xludf.DUMMYFUNCTION("""COMPUTED_VALUE"""),18.2)</f>
        <v>18.2</v>
      </c>
      <c r="E74" s="320">
        <f>IFERROR(__xludf.DUMMYFUNCTION("""COMPUTED_VALUE"""),0.0)</f>
        <v>0</v>
      </c>
      <c r="F74" s="320">
        <f>IFERROR(__xludf.DUMMYFUNCTION("""COMPUTED_VALUE"""),0.0)</f>
        <v>0</v>
      </c>
      <c r="G74" s="320">
        <f>IFERROR(__xludf.DUMMYFUNCTION("""COMPUTED_VALUE"""),0.0)</f>
        <v>0</v>
      </c>
      <c r="H74" s="106"/>
      <c r="I74" s="320">
        <f>IFERROR(__xludf.DUMMYFUNCTION("""COMPUTED_VALUE"""),5.78)</f>
        <v>5.78</v>
      </c>
      <c r="J74" s="320">
        <f>IFERROR(__xludf.DUMMYFUNCTION("""COMPUTED_VALUE"""),2.31)</f>
        <v>2.31</v>
      </c>
      <c r="K74" s="320">
        <f>IFERROR(__xludf.DUMMYFUNCTION("""COMPUTED_VALUE"""),0.1)</f>
        <v>0.1</v>
      </c>
      <c r="L74" s="320">
        <f>IFERROR(__xludf.DUMMYFUNCTION("""COMPUTED_VALUE"""),0.0426)</f>
        <v>0.0426</v>
      </c>
      <c r="M74" s="320">
        <f>IFERROR(__xludf.DUMMYFUNCTION("""COMPUTED_VALUE"""),0.9658)</f>
        <v>0.9658</v>
      </c>
      <c r="N74" s="320">
        <f>IFERROR(__xludf.DUMMYFUNCTION("""COMPUTED_VALUE"""),0.7022)</f>
        <v>0.7022</v>
      </c>
      <c r="O74" s="320">
        <f>IFERROR(__xludf.DUMMYFUNCTION("""COMPUTED_VALUE"""),23.4618)</f>
        <v>23.4618</v>
      </c>
      <c r="P74" s="320">
        <f>IFERROR(__xludf.DUMMYFUNCTION("""COMPUTED_VALUE"""),33.72)</f>
        <v>33.72</v>
      </c>
      <c r="Q74" s="320">
        <f>IFERROR(__xludf.DUMMYFUNCTION("""COMPUTED_VALUE"""),33.59)</f>
        <v>33.59</v>
      </c>
      <c r="R74" s="320">
        <f>IFERROR(__xludf.DUMMYFUNCTION("""COMPUTED_VALUE"""),0.13)</f>
        <v>0.13</v>
      </c>
      <c r="S74" s="320">
        <f>IFERROR(__xludf.DUMMYFUNCTION("""COMPUTED_VALUE"""),0.0)</f>
        <v>0</v>
      </c>
      <c r="T74" s="320">
        <f>IFERROR(__xludf.DUMMYFUNCTION("""COMPUTED_VALUE"""),33.72)</f>
        <v>33.72</v>
      </c>
      <c r="U74" s="320">
        <f>IFERROR(__xludf.DUMMYFUNCTION("""COMPUTED_VALUE"""),2.24)</f>
        <v>2.24</v>
      </c>
      <c r="V74" s="320">
        <f>IFERROR(__xludf.DUMMYFUNCTION("""COMPUTED_VALUE"""),0.9695)</f>
        <v>0.9695</v>
      </c>
      <c r="W74" s="320">
        <f>IFERROR(__xludf.DUMMYFUNCTION("""COMPUTED_VALUE"""),0.0)</f>
        <v>0</v>
      </c>
      <c r="X74" s="320">
        <f>IFERROR(__xludf.DUMMYFUNCTION("""COMPUTED_VALUE"""),378.0)</f>
        <v>378</v>
      </c>
      <c r="Y74" s="320">
        <f>IFERROR(__xludf.DUMMYFUNCTION("""COMPUTED_VALUE"""),3812.0)</f>
        <v>3812</v>
      </c>
      <c r="Z74" s="320">
        <f>IFERROR(__xludf.DUMMYFUNCTION("""COMPUTED_VALUE"""),14567.0)</f>
        <v>14567</v>
      </c>
      <c r="AA74" s="320">
        <f>IFERROR(__xludf.DUMMYFUNCTION("""COMPUTED_VALUE"""),49.3661)</f>
        <v>49.3661</v>
      </c>
      <c r="AB74" s="320">
        <f>IFERROR(__xludf.DUMMYFUNCTION("""COMPUTED_VALUE"""),0.5563)</f>
        <v>0.5563</v>
      </c>
      <c r="AC74" s="106"/>
      <c r="AD74" s="106"/>
      <c r="AE74" s="106"/>
      <c r="AF74" s="106"/>
      <c r="AG74" s="106"/>
      <c r="AH74" s="320">
        <f>IFERROR(__xludf.DUMMYFUNCTION("""COMPUTED_VALUE"""),0.0)</f>
        <v>0</v>
      </c>
      <c r="AI74" s="320">
        <f>IFERROR(__xludf.DUMMYFUNCTION("""COMPUTED_VALUE"""),0.0)</f>
        <v>0</v>
      </c>
      <c r="AJ74" s="320">
        <f>IFERROR(__xludf.DUMMYFUNCTION("""COMPUTED_VALUE"""),0.0)</f>
        <v>0</v>
      </c>
      <c r="AK74" s="320">
        <f>IFERROR(__xludf.DUMMYFUNCTION("""COMPUTED_VALUE"""),0.2906)</f>
        <v>0.2906</v>
      </c>
      <c r="AL74" s="320">
        <f>IFERROR(__xludf.DUMMYFUNCTION("""COMPUTED_VALUE"""),16.91)</f>
        <v>16.91</v>
      </c>
      <c r="AM74" s="320">
        <f>IFERROR(__xludf.DUMMYFUNCTION("""COMPUTED_VALUE"""),16.68)</f>
        <v>16.68</v>
      </c>
      <c r="AN74" s="331"/>
      <c r="AO74" s="331"/>
    </row>
    <row r="75" ht="15.75" customHeight="1">
      <c r="A75" s="330">
        <f>IFERROR(__xludf.DUMMYFUNCTION("""COMPUTED_VALUE"""),46062.0)</f>
        <v>46062</v>
      </c>
      <c r="B75" s="319" t="str">
        <f>IFERROR(__xludf.DUMMYFUNCTION("""COMPUTED_VALUE"""),"B. 1-9")</f>
        <v>B. 1-9</v>
      </c>
      <c r="C75" s="320">
        <f>IFERROR(__xludf.DUMMYFUNCTION("""COMPUTED_VALUE"""),37674.0)</f>
        <v>37674</v>
      </c>
      <c r="D75" s="320">
        <f>IFERROR(__xludf.DUMMYFUNCTION("""COMPUTED_VALUE"""),33.04)</f>
        <v>33.04</v>
      </c>
      <c r="E75" s="320">
        <f>IFERROR(__xludf.DUMMYFUNCTION("""COMPUTED_VALUE"""),0.0)</f>
        <v>0</v>
      </c>
      <c r="F75" s="320">
        <f>IFERROR(__xludf.DUMMYFUNCTION("""COMPUTED_VALUE"""),0.0)</f>
        <v>0</v>
      </c>
      <c r="G75" s="320">
        <f>IFERROR(__xludf.DUMMYFUNCTION("""COMPUTED_VALUE"""),0.0)</f>
        <v>0</v>
      </c>
      <c r="H75" s="106"/>
      <c r="I75" s="320">
        <f>IFERROR(__xludf.DUMMYFUNCTION("""COMPUTED_VALUE"""),31.31)</f>
        <v>31.31</v>
      </c>
      <c r="J75" s="320">
        <f>IFERROR(__xludf.DUMMYFUNCTION("""COMPUTED_VALUE"""),13.95)</f>
        <v>13.95</v>
      </c>
      <c r="K75" s="320">
        <f>IFERROR(__xludf.DUMMYFUNCTION("""COMPUTED_VALUE"""),5.67)</f>
        <v>5.67</v>
      </c>
      <c r="L75" s="320">
        <f>IFERROR(__xludf.DUMMYFUNCTION("""COMPUTED_VALUE"""),0.4061)</f>
        <v>0.4061</v>
      </c>
      <c r="M75" s="320">
        <f>IFERROR(__xludf.DUMMYFUNCTION("""COMPUTED_VALUE"""),0.7656)</f>
        <v>0.7656</v>
      </c>
      <c r="N75" s="320">
        <f>IFERROR(__xludf.DUMMYFUNCTION("""COMPUTED_VALUE"""),0.5701)</f>
        <v>0.5701</v>
      </c>
      <c r="O75" s="320">
        <f>IFERROR(__xludf.DUMMYFUNCTION("""COMPUTED_VALUE"""),2.4627)</f>
        <v>2.4627</v>
      </c>
      <c r="P75" s="320">
        <f>IFERROR(__xludf.DUMMYFUNCTION("""COMPUTED_VALUE"""),72.41)</f>
        <v>72.41</v>
      </c>
      <c r="Q75" s="320">
        <f>IFERROR(__xludf.DUMMYFUNCTION("""COMPUTED_VALUE"""),60.95)</f>
        <v>60.95</v>
      </c>
      <c r="R75" s="320">
        <f>IFERROR(__xludf.DUMMYFUNCTION("""COMPUTED_VALUE"""),11.46)</f>
        <v>11.46</v>
      </c>
      <c r="S75" s="320">
        <f>IFERROR(__xludf.DUMMYFUNCTION("""COMPUTED_VALUE"""),0.32)</f>
        <v>0.32</v>
      </c>
      <c r="T75" s="320">
        <f>IFERROR(__xludf.DUMMYFUNCTION("""COMPUTED_VALUE"""),72.09)</f>
        <v>72.09</v>
      </c>
      <c r="U75" s="320">
        <f>IFERROR(__xludf.DUMMYFUNCTION("""COMPUTED_VALUE"""),60.08)</f>
        <v>60.08</v>
      </c>
      <c r="V75" s="320">
        <f>IFERROR(__xludf.DUMMYFUNCTION("""COMPUTED_VALUE"""),4.3057)</f>
        <v>4.3057</v>
      </c>
      <c r="W75" s="320">
        <f>IFERROR(__xludf.DUMMYFUNCTION("""COMPUTED_VALUE"""),0.44)</f>
        <v>0.44</v>
      </c>
      <c r="X75" s="320">
        <f>IFERROR(__xludf.DUMMYFUNCTION("""COMPUTED_VALUE"""),161.0)</f>
        <v>161</v>
      </c>
      <c r="Y75" s="320">
        <f>IFERROR(__xludf.DUMMYFUNCTION("""COMPUTED_VALUE"""),929.0)</f>
        <v>929</v>
      </c>
      <c r="Z75" s="320">
        <f>IFERROR(__xludf.DUMMYFUNCTION("""COMPUTED_VALUE"""),6096.0)</f>
        <v>6096</v>
      </c>
      <c r="AA75" s="320">
        <f>IFERROR(__xludf.DUMMYFUNCTION("""COMPUTED_VALUE"""),48.6249)</f>
        <v>48.6249</v>
      </c>
      <c r="AB75" s="320">
        <f>IFERROR(__xludf.DUMMYFUNCTION("""COMPUTED_VALUE"""),0.5358)</f>
        <v>0.5358</v>
      </c>
      <c r="AC75" s="320">
        <f>IFERROR(__xludf.DUMMYFUNCTION("""COMPUTED_VALUE"""),3.91)</f>
        <v>3.91</v>
      </c>
      <c r="AD75" s="320">
        <f>IFERROR(__xludf.DUMMYFUNCTION("""COMPUTED_VALUE"""),1.0)</f>
        <v>1</v>
      </c>
      <c r="AE75" s="320">
        <f>IFERROR(__xludf.DUMMYFUNCTION("""COMPUTED_VALUE"""),3.0)</f>
        <v>3</v>
      </c>
      <c r="AF75" s="320">
        <f>IFERROR(__xludf.DUMMYFUNCTION("""COMPUTED_VALUE"""),5.0)</f>
        <v>5</v>
      </c>
      <c r="AG75" s="320">
        <f>IFERROR(__xludf.DUMMYFUNCTION("""COMPUTED_VALUE"""),9.0)</f>
        <v>9</v>
      </c>
      <c r="AH75" s="320">
        <f>IFERROR(__xludf.DUMMYFUNCTION("""COMPUTED_VALUE"""),73.07)</f>
        <v>73.07</v>
      </c>
      <c r="AI75" s="320">
        <f>IFERROR(__xludf.DUMMYFUNCTION("""COMPUTED_VALUE"""),30.11)</f>
        <v>30.11</v>
      </c>
      <c r="AJ75" s="320">
        <f>IFERROR(__xludf.DUMMYFUNCTION("""COMPUTED_VALUE"""),7.89)</f>
        <v>7.89</v>
      </c>
      <c r="AK75" s="320">
        <f>IFERROR(__xludf.DUMMYFUNCTION("""COMPUTED_VALUE"""),0.249)</f>
        <v>0.249</v>
      </c>
      <c r="AL75" s="320">
        <f>IFERROR(__xludf.DUMMYFUNCTION("""COMPUTED_VALUE"""),18.55)</f>
        <v>18.55</v>
      </c>
      <c r="AM75" s="320">
        <f>IFERROR(__xludf.DUMMYFUNCTION("""COMPUTED_VALUE"""),42.39)</f>
        <v>42.39</v>
      </c>
      <c r="AN75" s="320">
        <f>IFERROR(__xludf.DUMMYFUNCTION("""COMPUTED_VALUE"""),65.77)</f>
        <v>65.77</v>
      </c>
      <c r="AO75" s="320">
        <f>IFERROR(__xludf.DUMMYFUNCTION("""COMPUTED_VALUE"""),12.2)</f>
        <v>12.2</v>
      </c>
    </row>
    <row r="76" ht="15.75" customHeight="1">
      <c r="A76" s="330">
        <f>IFERROR(__xludf.DUMMYFUNCTION("""COMPUTED_VALUE"""),46062.0)</f>
        <v>46062</v>
      </c>
      <c r="B76" s="319" t="str">
        <f>IFERROR(__xludf.DUMMYFUNCTION("""COMPUTED_VALUE"""),"C. 10-19")</f>
        <v>C. 10-19</v>
      </c>
      <c r="C76" s="320">
        <f>IFERROR(__xludf.DUMMYFUNCTION("""COMPUTED_VALUE"""),30313.0)</f>
        <v>30313</v>
      </c>
      <c r="D76" s="320">
        <f>IFERROR(__xludf.DUMMYFUNCTION("""COMPUTED_VALUE"""),26.59)</f>
        <v>26.59</v>
      </c>
      <c r="E76" s="320">
        <f>IFERROR(__xludf.DUMMYFUNCTION("""COMPUTED_VALUE"""),0.0)</f>
        <v>0</v>
      </c>
      <c r="F76" s="320">
        <f>IFERROR(__xludf.DUMMYFUNCTION("""COMPUTED_VALUE"""),0.0)</f>
        <v>0</v>
      </c>
      <c r="G76" s="320">
        <f>IFERROR(__xludf.DUMMYFUNCTION("""COMPUTED_VALUE"""),0.0)</f>
        <v>0</v>
      </c>
      <c r="H76" s="106"/>
      <c r="I76" s="320">
        <f>IFERROR(__xludf.DUMMYFUNCTION("""COMPUTED_VALUE"""),58.31)</f>
        <v>58.31</v>
      </c>
      <c r="J76" s="320">
        <f>IFERROR(__xludf.DUMMYFUNCTION("""COMPUTED_VALUE"""),26.82)</f>
        <v>26.82</v>
      </c>
      <c r="K76" s="320">
        <f>IFERROR(__xludf.DUMMYFUNCTION("""COMPUTED_VALUE"""),14.02)</f>
        <v>14.02</v>
      </c>
      <c r="L76" s="320">
        <f>IFERROR(__xludf.DUMMYFUNCTION("""COMPUTED_VALUE"""),0.5226)</f>
        <v>0.5226</v>
      </c>
      <c r="M76" s="320">
        <f>IFERROR(__xludf.DUMMYFUNCTION("""COMPUTED_VALUE"""),0.6746)</f>
        <v>0.6746</v>
      </c>
      <c r="N76" s="320">
        <f>IFERROR(__xludf.DUMMYFUNCTION("""COMPUTED_VALUE"""),0.482)</f>
        <v>0.482</v>
      </c>
      <c r="O76" s="320">
        <f>IFERROR(__xludf.DUMMYFUNCTION("""COMPUTED_VALUE"""),1.9136)</f>
        <v>1.9136</v>
      </c>
      <c r="P76" s="320">
        <f>IFERROR(__xludf.DUMMYFUNCTION("""COMPUTED_VALUE"""),127.3)</f>
        <v>127.3</v>
      </c>
      <c r="Q76" s="320">
        <f>IFERROR(__xludf.DUMMYFUNCTION("""COMPUTED_VALUE"""),99.66)</f>
        <v>99.66</v>
      </c>
      <c r="R76" s="320">
        <f>IFERROR(__xludf.DUMMYFUNCTION("""COMPUTED_VALUE"""),27.64)</f>
        <v>27.64</v>
      </c>
      <c r="S76" s="320">
        <f>IFERROR(__xludf.DUMMYFUNCTION("""COMPUTED_VALUE"""),0.68)</f>
        <v>0.68</v>
      </c>
      <c r="T76" s="320">
        <f>IFERROR(__xludf.DUMMYFUNCTION("""COMPUTED_VALUE"""),126.62)</f>
        <v>126.62</v>
      </c>
      <c r="U76" s="320">
        <f>IFERROR(__xludf.DUMMYFUNCTION("""COMPUTED_VALUE"""),112.34)</f>
        <v>112.34</v>
      </c>
      <c r="V76" s="320">
        <f>IFERROR(__xludf.DUMMYFUNCTION("""COMPUTED_VALUE"""),4.1885)</f>
        <v>4.1885</v>
      </c>
      <c r="W76" s="320">
        <f>IFERROR(__xludf.DUMMYFUNCTION("""COMPUTED_VALUE"""),0.54)</f>
        <v>0.54</v>
      </c>
      <c r="X76" s="320">
        <f>IFERROR(__xludf.DUMMYFUNCTION("""COMPUTED_VALUE"""),141.0)</f>
        <v>141</v>
      </c>
      <c r="Y76" s="320">
        <f>IFERROR(__xludf.DUMMYFUNCTION("""COMPUTED_VALUE"""),748.0)</f>
        <v>748</v>
      </c>
      <c r="Z76" s="320">
        <f>IFERROR(__xludf.DUMMYFUNCTION("""COMPUTED_VALUE"""),5766.0)</f>
        <v>5766</v>
      </c>
      <c r="AA76" s="320">
        <f>IFERROR(__xludf.DUMMYFUNCTION("""COMPUTED_VALUE"""),52.0105)</f>
        <v>52.0105</v>
      </c>
      <c r="AB76" s="320">
        <f>IFERROR(__xludf.DUMMYFUNCTION("""COMPUTED_VALUE"""),0.602)</f>
        <v>0.602</v>
      </c>
      <c r="AC76" s="320">
        <f>IFERROR(__xludf.DUMMYFUNCTION("""COMPUTED_VALUE"""),9.05)</f>
        <v>9.05</v>
      </c>
      <c r="AD76" s="320">
        <f>IFERROR(__xludf.DUMMYFUNCTION("""COMPUTED_VALUE"""),4.0)</f>
        <v>4</v>
      </c>
      <c r="AE76" s="320">
        <f>IFERROR(__xludf.DUMMYFUNCTION("""COMPUTED_VALUE"""),7.0)</f>
        <v>7</v>
      </c>
      <c r="AF76" s="320">
        <f>IFERROR(__xludf.DUMMYFUNCTION("""COMPUTED_VALUE"""),12.0)</f>
        <v>12</v>
      </c>
      <c r="AG76" s="320">
        <f>IFERROR(__xludf.DUMMYFUNCTION("""COMPUTED_VALUE"""),19.0)</f>
        <v>19</v>
      </c>
      <c r="AH76" s="320">
        <f>IFERROR(__xludf.DUMMYFUNCTION("""COMPUTED_VALUE"""),59.22)</f>
        <v>59.22</v>
      </c>
      <c r="AI76" s="320">
        <f>IFERROR(__xludf.DUMMYFUNCTION("""COMPUTED_VALUE"""),24.54)</f>
        <v>24.54</v>
      </c>
      <c r="AJ76" s="320">
        <f>IFERROR(__xludf.DUMMYFUNCTION("""COMPUTED_VALUE"""),3.95)</f>
        <v>3.95</v>
      </c>
      <c r="AK76" s="320">
        <f>IFERROR(__xludf.DUMMYFUNCTION("""COMPUTED_VALUE"""),0.1836)</f>
        <v>0.1836</v>
      </c>
      <c r="AL76" s="320">
        <f>IFERROR(__xludf.DUMMYFUNCTION("""COMPUTED_VALUE"""),18.95)</f>
        <v>18.95</v>
      </c>
      <c r="AM76" s="320">
        <f>IFERROR(__xludf.DUMMYFUNCTION("""COMPUTED_VALUE"""),80.71)</f>
        <v>80.71</v>
      </c>
      <c r="AN76" s="320">
        <f>IFERROR(__xludf.DUMMYFUNCTION("""COMPUTED_VALUE"""),73.41)</f>
        <v>73.41</v>
      </c>
      <c r="AO76" s="320">
        <f>IFERROR(__xludf.DUMMYFUNCTION("""COMPUTED_VALUE"""),13.91)</f>
        <v>13.91</v>
      </c>
    </row>
    <row r="77" ht="15.75" customHeight="1">
      <c r="A77" s="330">
        <f>IFERROR(__xludf.DUMMYFUNCTION("""COMPUTED_VALUE"""),46062.0)</f>
        <v>46062</v>
      </c>
      <c r="B77" s="319" t="str">
        <f>IFERROR(__xludf.DUMMYFUNCTION("""COMPUTED_VALUE"""),"D. 20-39")</f>
        <v>D. 20-39</v>
      </c>
      <c r="C77" s="320">
        <f>IFERROR(__xludf.DUMMYFUNCTION("""COMPUTED_VALUE"""),17754.0)</f>
        <v>17754</v>
      </c>
      <c r="D77" s="320">
        <f>IFERROR(__xludf.DUMMYFUNCTION("""COMPUTED_VALUE"""),15.57)</f>
        <v>15.57</v>
      </c>
      <c r="E77" s="320">
        <f>IFERROR(__xludf.DUMMYFUNCTION("""COMPUTED_VALUE"""),0.0)</f>
        <v>0</v>
      </c>
      <c r="F77" s="320">
        <f>IFERROR(__xludf.DUMMYFUNCTION("""COMPUTED_VALUE"""),0.0)</f>
        <v>0</v>
      </c>
      <c r="G77" s="320">
        <f>IFERROR(__xludf.DUMMYFUNCTION("""COMPUTED_VALUE"""),0.0)</f>
        <v>0</v>
      </c>
      <c r="H77" s="106"/>
      <c r="I77" s="320">
        <f>IFERROR(__xludf.DUMMYFUNCTION("""COMPUTED_VALUE"""),89.85)</f>
        <v>89.85</v>
      </c>
      <c r="J77" s="320">
        <f>IFERROR(__xludf.DUMMYFUNCTION("""COMPUTED_VALUE"""),43.58)</f>
        <v>43.58</v>
      </c>
      <c r="K77" s="320">
        <f>IFERROR(__xludf.DUMMYFUNCTION("""COMPUTED_VALUE"""),28.73)</f>
        <v>28.73</v>
      </c>
      <c r="L77" s="320">
        <f>IFERROR(__xludf.DUMMYFUNCTION("""COMPUTED_VALUE"""),0.6591)</f>
        <v>0.6591</v>
      </c>
      <c r="M77" s="320">
        <f>IFERROR(__xludf.DUMMYFUNCTION("""COMPUTED_VALUE"""),0.5426)</f>
        <v>0.5426</v>
      </c>
      <c r="N77" s="320">
        <f>IFERROR(__xludf.DUMMYFUNCTION("""COMPUTED_VALUE"""),0.3837)</f>
        <v>0.3837</v>
      </c>
      <c r="O77" s="320">
        <f>IFERROR(__xludf.DUMMYFUNCTION("""COMPUTED_VALUE"""),1.5173)</f>
        <v>1.5173</v>
      </c>
      <c r="P77" s="320">
        <f>IFERROR(__xludf.DUMMYFUNCTION("""COMPUTED_VALUE"""),214.74)</f>
        <v>214.74</v>
      </c>
      <c r="Q77" s="320">
        <f>IFERROR(__xludf.DUMMYFUNCTION("""COMPUTED_VALUE"""),159.14)</f>
        <v>159.14</v>
      </c>
      <c r="R77" s="320">
        <f>IFERROR(__xludf.DUMMYFUNCTION("""COMPUTED_VALUE"""),55.6)</f>
        <v>55.6</v>
      </c>
      <c r="S77" s="320">
        <f>IFERROR(__xludf.DUMMYFUNCTION("""COMPUTED_VALUE"""),1.25)</f>
        <v>1.25</v>
      </c>
      <c r="T77" s="320">
        <f>IFERROR(__xludf.DUMMYFUNCTION("""COMPUTED_VALUE"""),213.49)</f>
        <v>213.49</v>
      </c>
      <c r="U77" s="320">
        <f>IFERROR(__xludf.DUMMYFUNCTION("""COMPUTED_VALUE"""),202.23)</f>
        <v>202.23</v>
      </c>
      <c r="V77" s="320">
        <f>IFERROR(__xludf.DUMMYFUNCTION("""COMPUTED_VALUE"""),4.64)</f>
        <v>4.64</v>
      </c>
      <c r="W77" s="320">
        <f>IFERROR(__xludf.DUMMYFUNCTION("""COMPUTED_VALUE"""),0.58)</f>
        <v>0.58</v>
      </c>
      <c r="X77" s="320">
        <f>IFERROR(__xludf.DUMMYFUNCTION("""COMPUTED_VALUE"""),168.0)</f>
        <v>168</v>
      </c>
      <c r="Y77" s="320">
        <f>IFERROR(__xludf.DUMMYFUNCTION("""COMPUTED_VALUE"""),1058.0)</f>
        <v>1058</v>
      </c>
      <c r="Z77" s="320">
        <f>IFERROR(__xludf.DUMMYFUNCTION("""COMPUTED_VALUE"""),7222.0)</f>
        <v>7222</v>
      </c>
      <c r="AA77" s="320">
        <f>IFERROR(__xludf.DUMMYFUNCTION("""COMPUTED_VALUE"""),54.7938)</f>
        <v>54.7938</v>
      </c>
      <c r="AB77" s="320">
        <f>IFERROR(__xludf.DUMMYFUNCTION("""COMPUTED_VALUE"""),0.6612)</f>
        <v>0.6612</v>
      </c>
      <c r="AC77" s="320">
        <f>IFERROR(__xludf.DUMMYFUNCTION("""COMPUTED_VALUE"""),17.76)</f>
        <v>17.76</v>
      </c>
      <c r="AD77" s="320">
        <f>IFERROR(__xludf.DUMMYFUNCTION("""COMPUTED_VALUE"""),8.0)</f>
        <v>8</v>
      </c>
      <c r="AE77" s="320">
        <f>IFERROR(__xludf.DUMMYFUNCTION("""COMPUTED_VALUE"""),14.0)</f>
        <v>14</v>
      </c>
      <c r="AF77" s="320">
        <f>IFERROR(__xludf.DUMMYFUNCTION("""COMPUTED_VALUE"""),25.0)</f>
        <v>25</v>
      </c>
      <c r="AG77" s="320">
        <f>IFERROR(__xludf.DUMMYFUNCTION("""COMPUTED_VALUE"""),37.0)</f>
        <v>37</v>
      </c>
      <c r="AH77" s="320">
        <f>IFERROR(__xludf.DUMMYFUNCTION("""COMPUTED_VALUE"""),61.02)</f>
        <v>61.02</v>
      </c>
      <c r="AI77" s="320">
        <f>IFERROR(__xludf.DUMMYFUNCTION("""COMPUTED_VALUE"""),23.75)</f>
        <v>23.75</v>
      </c>
      <c r="AJ77" s="320">
        <f>IFERROR(__xludf.DUMMYFUNCTION("""COMPUTED_VALUE"""),5.38)</f>
        <v>5.38</v>
      </c>
      <c r="AK77" s="320">
        <f>IFERROR(__xludf.DUMMYFUNCTION("""COMPUTED_VALUE"""),0.1602)</f>
        <v>0.1602</v>
      </c>
      <c r="AL77" s="320">
        <f>IFERROR(__xludf.DUMMYFUNCTION("""COMPUTED_VALUE"""),19.87)</f>
        <v>19.87</v>
      </c>
      <c r="AM77" s="320">
        <f>IFERROR(__xludf.DUMMYFUNCTION("""COMPUTED_VALUE"""),139.28)</f>
        <v>139.28</v>
      </c>
      <c r="AN77" s="320">
        <f>IFERROR(__xludf.DUMMYFUNCTION("""COMPUTED_VALUE"""),73.72)</f>
        <v>73.72</v>
      </c>
      <c r="AO77" s="320">
        <f>IFERROR(__xludf.DUMMYFUNCTION("""COMPUTED_VALUE"""),14.65)</f>
        <v>14.65</v>
      </c>
    </row>
    <row r="78" ht="15.75" customHeight="1">
      <c r="A78" s="330">
        <f>IFERROR(__xludf.DUMMYFUNCTION("""COMPUTED_VALUE"""),46062.0)</f>
        <v>46062</v>
      </c>
      <c r="B78" s="319" t="str">
        <f>IFERROR(__xludf.DUMMYFUNCTION("""COMPUTED_VALUE"""),"E. 40-99")</f>
        <v>E. 40-99</v>
      </c>
      <c r="C78" s="320">
        <f>IFERROR(__xludf.DUMMYFUNCTION("""COMPUTED_VALUE"""),6862.0)</f>
        <v>6862</v>
      </c>
      <c r="D78" s="320">
        <f>IFERROR(__xludf.DUMMYFUNCTION("""COMPUTED_VALUE"""),6.02)</f>
        <v>6.02</v>
      </c>
      <c r="E78" s="320">
        <f>IFERROR(__xludf.DUMMYFUNCTION("""COMPUTED_VALUE"""),0.0)</f>
        <v>0</v>
      </c>
      <c r="F78" s="320">
        <f>IFERROR(__xludf.DUMMYFUNCTION("""COMPUTED_VALUE"""),0.0)</f>
        <v>0</v>
      </c>
      <c r="G78" s="320">
        <f>IFERROR(__xludf.DUMMYFUNCTION("""COMPUTED_VALUE"""),0.0)</f>
        <v>0</v>
      </c>
      <c r="H78" s="106"/>
      <c r="I78" s="320">
        <f>IFERROR(__xludf.DUMMYFUNCTION("""COMPUTED_VALUE"""),143.79)</f>
        <v>143.79</v>
      </c>
      <c r="J78" s="320">
        <f>IFERROR(__xludf.DUMMYFUNCTION("""COMPUTED_VALUE"""),74.81)</f>
        <v>74.81</v>
      </c>
      <c r="K78" s="320">
        <f>IFERROR(__xludf.DUMMYFUNCTION("""COMPUTED_VALUE"""),58.64)</f>
        <v>58.64</v>
      </c>
      <c r="L78" s="320">
        <f>IFERROR(__xludf.DUMMYFUNCTION("""COMPUTED_VALUE"""),0.7839)</f>
        <v>0.7839</v>
      </c>
      <c r="M78" s="320">
        <f>IFERROR(__xludf.DUMMYFUNCTION("""COMPUTED_VALUE"""),0.4055)</f>
        <v>0.4055</v>
      </c>
      <c r="N78" s="320">
        <f>IFERROR(__xludf.DUMMYFUNCTION("""COMPUTED_VALUE"""),0.2934)</f>
        <v>0.2934</v>
      </c>
      <c r="O78" s="320">
        <f>IFERROR(__xludf.DUMMYFUNCTION("""COMPUTED_VALUE"""),1.2757)</f>
        <v>1.2757</v>
      </c>
      <c r="P78" s="320">
        <f>IFERROR(__xludf.DUMMYFUNCTION("""COMPUTED_VALUE"""),377.04)</f>
        <v>377.04</v>
      </c>
      <c r="Q78" s="320">
        <f>IFERROR(__xludf.DUMMYFUNCTION("""COMPUTED_VALUE"""),265.72)</f>
        <v>265.72</v>
      </c>
      <c r="R78" s="320">
        <f>IFERROR(__xludf.DUMMYFUNCTION("""COMPUTED_VALUE"""),111.33)</f>
        <v>111.33</v>
      </c>
      <c r="S78" s="320">
        <f>IFERROR(__xludf.DUMMYFUNCTION("""COMPUTED_VALUE"""),4.6)</f>
        <v>4.6</v>
      </c>
      <c r="T78" s="320">
        <f>IFERROR(__xludf.DUMMYFUNCTION("""COMPUTED_VALUE"""),372.44)</f>
        <v>372.44</v>
      </c>
      <c r="U78" s="320">
        <f>IFERROR(__xludf.DUMMYFUNCTION("""COMPUTED_VALUE"""),372.79)</f>
        <v>372.79</v>
      </c>
      <c r="V78" s="320">
        <f>IFERROR(__xludf.DUMMYFUNCTION("""COMPUTED_VALUE"""),4.983)</f>
        <v>4.983</v>
      </c>
      <c r="W78" s="320">
        <f>IFERROR(__xludf.DUMMYFUNCTION("""COMPUTED_VALUE"""),1.22)</f>
        <v>1.22</v>
      </c>
      <c r="X78" s="320">
        <f>IFERROR(__xludf.DUMMYFUNCTION("""COMPUTED_VALUE"""),308.0)</f>
        <v>308</v>
      </c>
      <c r="Y78" s="320">
        <f>IFERROR(__xludf.DUMMYFUNCTION("""COMPUTED_VALUE"""),2555.0)</f>
        <v>2555</v>
      </c>
      <c r="Z78" s="320">
        <f>IFERROR(__xludf.DUMMYFUNCTION("""COMPUTED_VALUE"""),10926.0)</f>
        <v>10926</v>
      </c>
      <c r="AA78" s="320">
        <f>IFERROR(__xludf.DUMMYFUNCTION("""COMPUTED_VALUE"""),58.5874)</f>
        <v>58.5874</v>
      </c>
      <c r="AB78" s="320">
        <f>IFERROR(__xludf.DUMMYFUNCTION("""COMPUTED_VALUE"""),0.7301)</f>
        <v>0.7301</v>
      </c>
      <c r="AC78" s="320">
        <f>IFERROR(__xludf.DUMMYFUNCTION("""COMPUTED_VALUE"""),36.38)</f>
        <v>36.38</v>
      </c>
      <c r="AD78" s="320">
        <f>IFERROR(__xludf.DUMMYFUNCTION("""COMPUTED_VALUE"""),15.0)</f>
        <v>15</v>
      </c>
      <c r="AE78" s="320">
        <f>IFERROR(__xludf.DUMMYFUNCTION("""COMPUTED_VALUE"""),30.0)</f>
        <v>30</v>
      </c>
      <c r="AF78" s="320">
        <f>IFERROR(__xludf.DUMMYFUNCTION("""COMPUTED_VALUE"""),47.0)</f>
        <v>47</v>
      </c>
      <c r="AG78" s="320">
        <f>IFERROR(__xludf.DUMMYFUNCTION("""COMPUTED_VALUE"""),74.0)</f>
        <v>74</v>
      </c>
      <c r="AH78" s="320">
        <f>IFERROR(__xludf.DUMMYFUNCTION("""COMPUTED_VALUE"""),53.8)</f>
        <v>53.8</v>
      </c>
      <c r="AI78" s="320">
        <f>IFERROR(__xludf.DUMMYFUNCTION("""COMPUTED_VALUE"""),16.72)</f>
        <v>16.72</v>
      </c>
      <c r="AJ78" s="320">
        <f>IFERROR(__xludf.DUMMYFUNCTION("""COMPUTED_VALUE"""),3.96)</f>
        <v>3.96</v>
      </c>
      <c r="AK78" s="320">
        <f>IFERROR(__xludf.DUMMYFUNCTION("""COMPUTED_VALUE"""),0.1199)</f>
        <v>0.1199</v>
      </c>
      <c r="AL78" s="320">
        <f>IFERROR(__xludf.DUMMYFUNCTION("""COMPUTED_VALUE"""),21.59)</f>
        <v>21.59</v>
      </c>
      <c r="AM78" s="320">
        <f>IFERROR(__xludf.DUMMYFUNCTION("""COMPUTED_VALUE"""),244.13)</f>
        <v>244.13</v>
      </c>
      <c r="AN78" s="320">
        <f>IFERROR(__xludf.DUMMYFUNCTION("""COMPUTED_VALUE"""),75.89)</f>
        <v>75.89</v>
      </c>
      <c r="AO78" s="320">
        <f>IFERROR(__xludf.DUMMYFUNCTION("""COMPUTED_VALUE"""),16.38)</f>
        <v>16.38</v>
      </c>
    </row>
    <row r="79" ht="15.75" customHeight="1">
      <c r="A79" s="330">
        <f>IFERROR(__xludf.DUMMYFUNCTION("""COMPUTED_VALUE"""),46062.0)</f>
        <v>46062</v>
      </c>
      <c r="B79" s="319" t="str">
        <f>IFERROR(__xludf.DUMMYFUNCTION("""COMPUTED_VALUE"""),"F. 100+")</f>
        <v>F. 100+</v>
      </c>
      <c r="C79" s="320">
        <f>IFERROR(__xludf.DUMMYFUNCTION("""COMPUTED_VALUE"""),658.0)</f>
        <v>658</v>
      </c>
      <c r="D79" s="320">
        <f>IFERROR(__xludf.DUMMYFUNCTION("""COMPUTED_VALUE"""),0.58)</f>
        <v>0.58</v>
      </c>
      <c r="E79" s="320">
        <f>IFERROR(__xludf.DUMMYFUNCTION("""COMPUTED_VALUE"""),0.0)</f>
        <v>0</v>
      </c>
      <c r="F79" s="320">
        <f>IFERROR(__xludf.DUMMYFUNCTION("""COMPUTED_VALUE"""),0.0)</f>
        <v>0</v>
      </c>
      <c r="G79" s="320">
        <f>IFERROR(__xludf.DUMMYFUNCTION("""COMPUTED_VALUE"""),0.0)</f>
        <v>0</v>
      </c>
      <c r="H79" s="106"/>
      <c r="I79" s="320">
        <f>IFERROR(__xludf.DUMMYFUNCTION("""COMPUTED_VALUE"""),251.23)</f>
        <v>251.23</v>
      </c>
      <c r="J79" s="320">
        <f>IFERROR(__xludf.DUMMYFUNCTION("""COMPUTED_VALUE"""),147.88)</f>
        <v>147.88</v>
      </c>
      <c r="K79" s="320">
        <f>IFERROR(__xludf.DUMMYFUNCTION("""COMPUTED_VALUE"""),127.46)</f>
        <v>127.46</v>
      </c>
      <c r="L79" s="320">
        <f>IFERROR(__xludf.DUMMYFUNCTION("""COMPUTED_VALUE"""),0.8619)</f>
        <v>0.8619</v>
      </c>
      <c r="M79" s="320">
        <f>IFERROR(__xludf.DUMMYFUNCTION("""COMPUTED_VALUE"""),0.2887)</f>
        <v>0.2887</v>
      </c>
      <c r="N79" s="320">
        <f>IFERROR(__xludf.DUMMYFUNCTION("""COMPUTED_VALUE"""),0.214)</f>
        <v>0.214</v>
      </c>
      <c r="O79" s="320">
        <f>IFERROR(__xludf.DUMMYFUNCTION("""COMPUTED_VALUE"""),1.1602)</f>
        <v>1.1602</v>
      </c>
      <c r="P79" s="320">
        <f>IFERROR(__xludf.DUMMYFUNCTION("""COMPUTED_VALUE"""),669.83)</f>
        <v>669.83</v>
      </c>
      <c r="Q79" s="320">
        <f>IFERROR(__xludf.DUMMYFUNCTION("""COMPUTED_VALUE"""),400.5)</f>
        <v>400.5</v>
      </c>
      <c r="R79" s="320">
        <f>IFERROR(__xludf.DUMMYFUNCTION("""COMPUTED_VALUE"""),269.33)</f>
        <v>269.33</v>
      </c>
      <c r="S79" s="320">
        <f>IFERROR(__xludf.DUMMYFUNCTION("""COMPUTED_VALUE"""),0.0)</f>
        <v>0</v>
      </c>
      <c r="T79" s="320">
        <f>IFERROR(__xludf.DUMMYFUNCTION("""COMPUTED_VALUE"""),669.83)</f>
        <v>669.83</v>
      </c>
      <c r="U79" s="320">
        <f>IFERROR(__xludf.DUMMYFUNCTION("""COMPUTED_VALUE"""),670.21)</f>
        <v>670.21</v>
      </c>
      <c r="V79" s="320">
        <f>IFERROR(__xludf.DUMMYFUNCTION("""COMPUTED_VALUE"""),4.5321)</f>
        <v>4.5321</v>
      </c>
      <c r="W79" s="320">
        <f>IFERROR(__xludf.DUMMYFUNCTION("""COMPUTED_VALUE"""),0.0)</f>
        <v>0</v>
      </c>
      <c r="X79" s="320">
        <f>IFERROR(__xludf.DUMMYFUNCTION("""COMPUTED_VALUE"""),826.0)</f>
        <v>826</v>
      </c>
      <c r="Y79" s="320">
        <f>IFERROR(__xludf.DUMMYFUNCTION("""COMPUTED_VALUE"""),3978.0)</f>
        <v>3978</v>
      </c>
      <c r="Z79" s="320">
        <f>IFERROR(__xludf.DUMMYFUNCTION("""COMPUTED_VALUE"""),11524.0)</f>
        <v>11524</v>
      </c>
      <c r="AA79" s="320">
        <f>IFERROR(__xludf.DUMMYFUNCTION("""COMPUTED_VALUE"""),63.7443)</f>
        <v>63.7443</v>
      </c>
      <c r="AB79" s="320">
        <f>IFERROR(__xludf.DUMMYFUNCTION("""COMPUTED_VALUE"""),0.8852)</f>
        <v>0.8852</v>
      </c>
      <c r="AC79" s="320">
        <f>IFERROR(__xludf.DUMMYFUNCTION("""COMPUTED_VALUE"""),89.06)</f>
        <v>89.06</v>
      </c>
      <c r="AD79" s="320">
        <f>IFERROR(__xludf.DUMMYFUNCTION("""COMPUTED_VALUE"""),36.0)</f>
        <v>36</v>
      </c>
      <c r="AE79" s="320">
        <f>IFERROR(__xludf.DUMMYFUNCTION("""COMPUTED_VALUE"""),76.0)</f>
        <v>76</v>
      </c>
      <c r="AF79" s="320">
        <f>IFERROR(__xludf.DUMMYFUNCTION("""COMPUTED_VALUE"""),125.0)</f>
        <v>125</v>
      </c>
      <c r="AG79" s="320">
        <f>IFERROR(__xludf.DUMMYFUNCTION("""COMPUTED_VALUE"""),183.0)</f>
        <v>183</v>
      </c>
      <c r="AH79" s="320">
        <f>IFERROR(__xludf.DUMMYFUNCTION("""COMPUTED_VALUE"""),48.18)</f>
        <v>48.18</v>
      </c>
      <c r="AI79" s="320">
        <f>IFERROR(__xludf.DUMMYFUNCTION("""COMPUTED_VALUE"""),11.09)</f>
        <v>11.09</v>
      </c>
      <c r="AJ79" s="320">
        <f>IFERROR(__xludf.DUMMYFUNCTION("""COMPUTED_VALUE"""),1.06)</f>
        <v>1.06</v>
      </c>
      <c r="AK79" s="320">
        <f>IFERROR(__xludf.DUMMYFUNCTION("""COMPUTED_VALUE"""),0.0805)</f>
        <v>0.0805</v>
      </c>
      <c r="AL79" s="320">
        <f>IFERROR(__xludf.DUMMYFUNCTION("""COMPUTED_VALUE"""),22.1)</f>
        <v>22.1</v>
      </c>
      <c r="AM79" s="320">
        <f>IFERROR(__xludf.DUMMYFUNCTION("""COMPUTED_VALUE"""),378.4)</f>
        <v>378.4</v>
      </c>
      <c r="AN79" s="320">
        <f>IFERROR(__xludf.DUMMYFUNCTION("""COMPUTED_VALUE"""),83.67)</f>
        <v>83.67</v>
      </c>
      <c r="AO79" s="320">
        <f>IFERROR(__xludf.DUMMYFUNCTION("""COMPUTED_VALUE"""),18.49)</f>
        <v>18.49</v>
      </c>
    </row>
    <row r="80" ht="15.75" customHeight="1">
      <c r="A80" s="330">
        <f>IFERROR(__xludf.DUMMYFUNCTION("""COMPUTED_VALUE"""),46063.0)</f>
        <v>46063</v>
      </c>
      <c r="B80" s="319" t="str">
        <f>IFERROR(__xludf.DUMMYFUNCTION("""COMPUTED_VALUE"""),"A. 0")</f>
        <v>A. 0</v>
      </c>
      <c r="C80" s="320">
        <f>IFERROR(__xludf.DUMMYFUNCTION("""COMPUTED_VALUE"""),20862.0)</f>
        <v>20862</v>
      </c>
      <c r="D80" s="320">
        <f>IFERROR(__xludf.DUMMYFUNCTION("""COMPUTED_VALUE"""),18.48)</f>
        <v>18.48</v>
      </c>
      <c r="E80" s="320">
        <f>IFERROR(__xludf.DUMMYFUNCTION("""COMPUTED_VALUE"""),0.0)</f>
        <v>0</v>
      </c>
      <c r="F80" s="320">
        <f>IFERROR(__xludf.DUMMYFUNCTION("""COMPUTED_VALUE"""),0.0)</f>
        <v>0</v>
      </c>
      <c r="G80" s="320">
        <f>IFERROR(__xludf.DUMMYFUNCTION("""COMPUTED_VALUE"""),0.0)</f>
        <v>0</v>
      </c>
      <c r="H80" s="106"/>
      <c r="I80" s="320">
        <f>IFERROR(__xludf.DUMMYFUNCTION("""COMPUTED_VALUE"""),6.01)</f>
        <v>6.01</v>
      </c>
      <c r="J80" s="320">
        <f>IFERROR(__xludf.DUMMYFUNCTION("""COMPUTED_VALUE"""),2.46)</f>
        <v>2.46</v>
      </c>
      <c r="K80" s="320">
        <f>IFERROR(__xludf.DUMMYFUNCTION("""COMPUTED_VALUE"""),0.06)</f>
        <v>0.06</v>
      </c>
      <c r="L80" s="320">
        <f>IFERROR(__xludf.DUMMYFUNCTION("""COMPUTED_VALUE"""),0.0238)</f>
        <v>0.0238</v>
      </c>
      <c r="M80" s="320">
        <f>IFERROR(__xludf.DUMMYFUNCTION("""COMPUTED_VALUE"""),0.981)</f>
        <v>0.981</v>
      </c>
      <c r="N80" s="320">
        <f>IFERROR(__xludf.DUMMYFUNCTION("""COMPUTED_VALUE"""),0.7937)</f>
        <v>0.7937</v>
      </c>
      <c r="O80" s="320">
        <f>IFERROR(__xludf.DUMMYFUNCTION("""COMPUTED_VALUE"""),42.0729)</f>
        <v>42.0729</v>
      </c>
      <c r="P80" s="320">
        <f>IFERROR(__xludf.DUMMYFUNCTION("""COMPUTED_VALUE"""),25.43)</f>
        <v>25.43</v>
      </c>
      <c r="Q80" s="320">
        <f>IFERROR(__xludf.DUMMYFUNCTION("""COMPUTED_VALUE"""),25.29)</f>
        <v>25.29</v>
      </c>
      <c r="R80" s="320">
        <f>IFERROR(__xludf.DUMMYFUNCTION("""COMPUTED_VALUE"""),0.13)</f>
        <v>0.13</v>
      </c>
      <c r="S80" s="320">
        <f>IFERROR(__xludf.DUMMYFUNCTION("""COMPUTED_VALUE"""),0.0)</f>
        <v>0</v>
      </c>
      <c r="T80" s="320">
        <f>IFERROR(__xludf.DUMMYFUNCTION("""COMPUTED_VALUE"""),25.43)</f>
        <v>25.43</v>
      </c>
      <c r="U80" s="320">
        <f>IFERROR(__xludf.DUMMYFUNCTION("""COMPUTED_VALUE"""),2.33)</f>
        <v>2.33</v>
      </c>
      <c r="V80" s="320">
        <f>IFERROR(__xludf.DUMMYFUNCTION("""COMPUTED_VALUE"""),0.948)</f>
        <v>0.948</v>
      </c>
      <c r="W80" s="320">
        <f>IFERROR(__xludf.DUMMYFUNCTION("""COMPUTED_VALUE"""),0.0)</f>
        <v>0</v>
      </c>
      <c r="X80" s="320">
        <f>IFERROR(__xludf.DUMMYFUNCTION("""COMPUTED_VALUE"""),319.0)</f>
        <v>319</v>
      </c>
      <c r="Y80" s="320">
        <f>IFERROR(__xludf.DUMMYFUNCTION("""COMPUTED_VALUE"""),3464.0)</f>
        <v>3464</v>
      </c>
      <c r="Z80" s="320">
        <f>IFERROR(__xludf.DUMMYFUNCTION("""COMPUTED_VALUE"""),13945.0)</f>
        <v>13945</v>
      </c>
      <c r="AA80" s="320">
        <f>IFERROR(__xludf.DUMMYFUNCTION("""COMPUTED_VALUE"""),48.8497)</f>
        <v>48.8497</v>
      </c>
      <c r="AB80" s="320">
        <f>IFERROR(__xludf.DUMMYFUNCTION("""COMPUTED_VALUE"""),0.5451)</f>
        <v>0.5451</v>
      </c>
      <c r="AC80" s="106"/>
      <c r="AD80" s="106"/>
      <c r="AE80" s="106"/>
      <c r="AF80" s="106"/>
      <c r="AG80" s="106"/>
      <c r="AH80" s="320">
        <f>IFERROR(__xludf.DUMMYFUNCTION("""COMPUTED_VALUE"""),0.0)</f>
        <v>0</v>
      </c>
      <c r="AI80" s="320">
        <f>IFERROR(__xludf.DUMMYFUNCTION("""COMPUTED_VALUE"""),0.0)</f>
        <v>0</v>
      </c>
      <c r="AJ80" s="320">
        <f>IFERROR(__xludf.DUMMYFUNCTION("""COMPUTED_VALUE"""),0.0)</f>
        <v>0</v>
      </c>
      <c r="AK80" s="320">
        <f>IFERROR(__xludf.DUMMYFUNCTION("""COMPUTED_VALUE"""),0.2838)</f>
        <v>0.2838</v>
      </c>
      <c r="AL80" s="320">
        <f>IFERROR(__xludf.DUMMYFUNCTION("""COMPUTED_VALUE"""),15.74)</f>
        <v>15.74</v>
      </c>
      <c r="AM80" s="320">
        <f>IFERROR(__xludf.DUMMYFUNCTION("""COMPUTED_VALUE"""),9.55)</f>
        <v>9.55</v>
      </c>
      <c r="AN80" s="331"/>
      <c r="AO80" s="331"/>
    </row>
    <row r="81" ht="15.75" customHeight="1">
      <c r="A81" s="330">
        <f>IFERROR(__xludf.DUMMYFUNCTION("""COMPUTED_VALUE"""),46063.0)</f>
        <v>46063</v>
      </c>
      <c r="B81" s="319" t="str">
        <f>IFERROR(__xludf.DUMMYFUNCTION("""COMPUTED_VALUE"""),"B. 1-9")</f>
        <v>B. 1-9</v>
      </c>
      <c r="C81" s="320">
        <f>IFERROR(__xludf.DUMMYFUNCTION("""COMPUTED_VALUE"""),39003.0)</f>
        <v>39003</v>
      </c>
      <c r="D81" s="320">
        <f>IFERROR(__xludf.DUMMYFUNCTION("""COMPUTED_VALUE"""),34.55)</f>
        <v>34.55</v>
      </c>
      <c r="E81" s="320">
        <f>IFERROR(__xludf.DUMMYFUNCTION("""COMPUTED_VALUE"""),0.0)</f>
        <v>0</v>
      </c>
      <c r="F81" s="320">
        <f>IFERROR(__xludf.DUMMYFUNCTION("""COMPUTED_VALUE"""),0.0)</f>
        <v>0</v>
      </c>
      <c r="G81" s="320">
        <f>IFERROR(__xludf.DUMMYFUNCTION("""COMPUTED_VALUE"""),0.0)</f>
        <v>0</v>
      </c>
      <c r="H81" s="106"/>
      <c r="I81" s="320">
        <f>IFERROR(__xludf.DUMMYFUNCTION("""COMPUTED_VALUE"""),28.32)</f>
        <v>28.32</v>
      </c>
      <c r="J81" s="320">
        <f>IFERROR(__xludf.DUMMYFUNCTION("""COMPUTED_VALUE"""),12.61)</f>
        <v>12.61</v>
      </c>
      <c r="K81" s="320">
        <f>IFERROR(__xludf.DUMMYFUNCTION("""COMPUTED_VALUE"""),5.36)</f>
        <v>5.36</v>
      </c>
      <c r="L81" s="320">
        <f>IFERROR(__xludf.DUMMYFUNCTION("""COMPUTED_VALUE"""),0.4251)</f>
        <v>0.4251</v>
      </c>
      <c r="M81" s="320">
        <f>IFERROR(__xludf.DUMMYFUNCTION("""COMPUTED_VALUE"""),0.7544)</f>
        <v>0.7544</v>
      </c>
      <c r="N81" s="320">
        <f>IFERROR(__xludf.DUMMYFUNCTION("""COMPUTED_VALUE"""),0.5686)</f>
        <v>0.5686</v>
      </c>
      <c r="O81" s="320">
        <f>IFERROR(__xludf.DUMMYFUNCTION("""COMPUTED_VALUE"""),2.3524)</f>
        <v>2.3524</v>
      </c>
      <c r="P81" s="320">
        <f>IFERROR(__xludf.DUMMYFUNCTION("""COMPUTED_VALUE"""),53.9)</f>
        <v>53.9</v>
      </c>
      <c r="Q81" s="320">
        <f>IFERROR(__xludf.DUMMYFUNCTION("""COMPUTED_VALUE"""),42.69)</f>
        <v>42.69</v>
      </c>
      <c r="R81" s="320">
        <f>IFERROR(__xludf.DUMMYFUNCTION("""COMPUTED_VALUE"""),11.21)</f>
        <v>11.21</v>
      </c>
      <c r="S81" s="320">
        <f>IFERROR(__xludf.DUMMYFUNCTION("""COMPUTED_VALUE"""),0.68)</f>
        <v>0.68</v>
      </c>
      <c r="T81" s="320">
        <f>IFERROR(__xludf.DUMMYFUNCTION("""COMPUTED_VALUE"""),53.22)</f>
        <v>53.22</v>
      </c>
      <c r="U81" s="320">
        <f>IFERROR(__xludf.DUMMYFUNCTION("""COMPUTED_VALUE"""),54.02)</f>
        <v>54.02</v>
      </c>
      <c r="V81" s="320">
        <f>IFERROR(__xludf.DUMMYFUNCTION("""COMPUTED_VALUE"""),4.283)</f>
        <v>4.283</v>
      </c>
      <c r="W81" s="320">
        <f>IFERROR(__xludf.DUMMYFUNCTION("""COMPUTED_VALUE"""),1.26)</f>
        <v>1.26</v>
      </c>
      <c r="X81" s="320">
        <f>IFERROR(__xludf.DUMMYFUNCTION("""COMPUTED_VALUE"""),162.0)</f>
        <v>162</v>
      </c>
      <c r="Y81" s="320">
        <f>IFERROR(__xludf.DUMMYFUNCTION("""COMPUTED_VALUE"""),949.0)</f>
        <v>949</v>
      </c>
      <c r="Z81" s="320">
        <f>IFERROR(__xludf.DUMMYFUNCTION("""COMPUTED_VALUE"""),5966.0)</f>
        <v>5966</v>
      </c>
      <c r="AA81" s="320">
        <f>IFERROR(__xludf.DUMMYFUNCTION("""COMPUTED_VALUE"""),48.7607)</f>
        <v>48.7607</v>
      </c>
      <c r="AB81" s="320">
        <f>IFERROR(__xludf.DUMMYFUNCTION("""COMPUTED_VALUE"""),0.5377)</f>
        <v>0.5377</v>
      </c>
      <c r="AC81" s="320">
        <f>IFERROR(__xludf.DUMMYFUNCTION("""COMPUTED_VALUE"""),3.91)</f>
        <v>3.91</v>
      </c>
      <c r="AD81" s="320">
        <f>IFERROR(__xludf.DUMMYFUNCTION("""COMPUTED_VALUE"""),1.0)</f>
        <v>1</v>
      </c>
      <c r="AE81" s="320">
        <f>IFERROR(__xludf.DUMMYFUNCTION("""COMPUTED_VALUE"""),3.0)</f>
        <v>3</v>
      </c>
      <c r="AF81" s="320">
        <f>IFERROR(__xludf.DUMMYFUNCTION("""COMPUTED_VALUE"""),5.0)</f>
        <v>5</v>
      </c>
      <c r="AG81" s="320">
        <f>IFERROR(__xludf.DUMMYFUNCTION("""COMPUTED_VALUE"""),9.0)</f>
        <v>9</v>
      </c>
      <c r="AH81" s="320">
        <f>IFERROR(__xludf.DUMMYFUNCTION("""COMPUTED_VALUE"""),72.59)</f>
        <v>72.59</v>
      </c>
      <c r="AI81" s="320">
        <f>IFERROR(__xludf.DUMMYFUNCTION("""COMPUTED_VALUE"""),29.9)</f>
        <v>29.9</v>
      </c>
      <c r="AJ81" s="320">
        <f>IFERROR(__xludf.DUMMYFUNCTION("""COMPUTED_VALUE"""),8.41)</f>
        <v>8.41</v>
      </c>
      <c r="AK81" s="320">
        <f>IFERROR(__xludf.DUMMYFUNCTION("""COMPUTED_VALUE"""),0.2425)</f>
        <v>0.2425</v>
      </c>
      <c r="AL81" s="320">
        <f>IFERROR(__xludf.DUMMYFUNCTION("""COMPUTED_VALUE"""),17.86)</f>
        <v>17.86</v>
      </c>
      <c r="AM81" s="320">
        <f>IFERROR(__xludf.DUMMYFUNCTION("""COMPUTED_VALUE"""),24.83)</f>
        <v>24.83</v>
      </c>
      <c r="AN81" s="320">
        <f>IFERROR(__xludf.DUMMYFUNCTION("""COMPUTED_VALUE"""),65.81)</f>
        <v>65.81</v>
      </c>
      <c r="AO81" s="320">
        <f>IFERROR(__xludf.DUMMYFUNCTION("""COMPUTED_VALUE"""),11.75)</f>
        <v>11.75</v>
      </c>
    </row>
    <row r="82" ht="15.75" customHeight="1">
      <c r="A82" s="330">
        <f>IFERROR(__xludf.DUMMYFUNCTION("""COMPUTED_VALUE"""),46063.0)</f>
        <v>46063</v>
      </c>
      <c r="B82" s="319" t="str">
        <f>IFERROR(__xludf.DUMMYFUNCTION("""COMPUTED_VALUE"""),"C. 10-19")</f>
        <v>C. 10-19</v>
      </c>
      <c r="C82" s="320">
        <f>IFERROR(__xludf.DUMMYFUNCTION("""COMPUTED_VALUE"""),29726.0)</f>
        <v>29726</v>
      </c>
      <c r="D82" s="320">
        <f>IFERROR(__xludf.DUMMYFUNCTION("""COMPUTED_VALUE"""),26.33)</f>
        <v>26.33</v>
      </c>
      <c r="E82" s="320">
        <f>IFERROR(__xludf.DUMMYFUNCTION("""COMPUTED_VALUE"""),0.0)</f>
        <v>0</v>
      </c>
      <c r="F82" s="320">
        <f>IFERROR(__xludf.DUMMYFUNCTION("""COMPUTED_VALUE"""),0.0)</f>
        <v>0</v>
      </c>
      <c r="G82" s="320">
        <f>IFERROR(__xludf.DUMMYFUNCTION("""COMPUTED_VALUE"""),0.0)</f>
        <v>0</v>
      </c>
      <c r="H82" s="106"/>
      <c r="I82" s="320">
        <f>IFERROR(__xludf.DUMMYFUNCTION("""COMPUTED_VALUE"""),52.9)</f>
        <v>52.9</v>
      </c>
      <c r="J82" s="320">
        <f>IFERROR(__xludf.DUMMYFUNCTION("""COMPUTED_VALUE"""),24.36)</f>
        <v>24.36</v>
      </c>
      <c r="K82" s="320">
        <f>IFERROR(__xludf.DUMMYFUNCTION("""COMPUTED_VALUE"""),13.62)</f>
        <v>13.62</v>
      </c>
      <c r="L82" s="320">
        <f>IFERROR(__xludf.DUMMYFUNCTION("""COMPUTED_VALUE"""),0.5591)</f>
        <v>0.5591</v>
      </c>
      <c r="M82" s="320">
        <f>IFERROR(__xludf.DUMMYFUNCTION("""COMPUTED_VALUE"""),0.6443)</f>
        <v>0.6443</v>
      </c>
      <c r="N82" s="320">
        <f>IFERROR(__xludf.DUMMYFUNCTION("""COMPUTED_VALUE"""),0.4627)</f>
        <v>0.4627</v>
      </c>
      <c r="O82" s="320">
        <f>IFERROR(__xludf.DUMMYFUNCTION("""COMPUTED_VALUE"""),1.7886)</f>
        <v>1.7886</v>
      </c>
      <c r="P82" s="320">
        <f>IFERROR(__xludf.DUMMYFUNCTION("""COMPUTED_VALUE"""),98.1)</f>
        <v>98.1</v>
      </c>
      <c r="Q82" s="320">
        <f>IFERROR(__xludf.DUMMYFUNCTION("""COMPUTED_VALUE"""),70.53)</f>
        <v>70.53</v>
      </c>
      <c r="R82" s="320">
        <f>IFERROR(__xludf.DUMMYFUNCTION("""COMPUTED_VALUE"""),27.58)</f>
        <v>27.58</v>
      </c>
      <c r="S82" s="320">
        <f>IFERROR(__xludf.DUMMYFUNCTION("""COMPUTED_VALUE"""),1.57)</f>
        <v>1.57</v>
      </c>
      <c r="T82" s="320">
        <f>IFERROR(__xludf.DUMMYFUNCTION("""COMPUTED_VALUE"""),96.54)</f>
        <v>96.54</v>
      </c>
      <c r="U82" s="320">
        <f>IFERROR(__xludf.DUMMYFUNCTION("""COMPUTED_VALUE"""),100.0)</f>
        <v>100</v>
      </c>
      <c r="V82" s="320">
        <f>IFERROR(__xludf.DUMMYFUNCTION("""COMPUTED_VALUE"""),4.1054)</f>
        <v>4.1054</v>
      </c>
      <c r="W82" s="320">
        <f>IFERROR(__xludf.DUMMYFUNCTION("""COMPUTED_VALUE"""),1.6)</f>
        <v>1.6</v>
      </c>
      <c r="X82" s="320">
        <f>IFERROR(__xludf.DUMMYFUNCTION("""COMPUTED_VALUE"""),140.0)</f>
        <v>140</v>
      </c>
      <c r="Y82" s="320">
        <f>IFERROR(__xludf.DUMMYFUNCTION("""COMPUTED_VALUE"""),804.0)</f>
        <v>804</v>
      </c>
      <c r="Z82" s="320">
        <f>IFERROR(__xludf.DUMMYFUNCTION("""COMPUTED_VALUE"""),6118.0)</f>
        <v>6118</v>
      </c>
      <c r="AA82" s="320">
        <f>IFERROR(__xludf.DUMMYFUNCTION("""COMPUTED_VALUE"""),52.1661)</f>
        <v>52.1661</v>
      </c>
      <c r="AB82" s="320">
        <f>IFERROR(__xludf.DUMMYFUNCTION("""COMPUTED_VALUE"""),0.6115)</f>
        <v>0.6115</v>
      </c>
      <c r="AC82" s="320">
        <f>IFERROR(__xludf.DUMMYFUNCTION("""COMPUTED_VALUE"""),9.05)</f>
        <v>9.05</v>
      </c>
      <c r="AD82" s="320">
        <f>IFERROR(__xludf.DUMMYFUNCTION("""COMPUTED_VALUE"""),3.0)</f>
        <v>3</v>
      </c>
      <c r="AE82" s="320">
        <f>IFERROR(__xludf.DUMMYFUNCTION("""COMPUTED_VALUE"""),7.0)</f>
        <v>7</v>
      </c>
      <c r="AF82" s="320">
        <f>IFERROR(__xludf.DUMMYFUNCTION("""COMPUTED_VALUE"""),12.0)</f>
        <v>12</v>
      </c>
      <c r="AG82" s="320">
        <f>IFERROR(__xludf.DUMMYFUNCTION("""COMPUTED_VALUE"""),19.0)</f>
        <v>19</v>
      </c>
      <c r="AH82" s="320">
        <f>IFERROR(__xludf.DUMMYFUNCTION("""COMPUTED_VALUE"""),59.67)</f>
        <v>59.67</v>
      </c>
      <c r="AI82" s="320">
        <f>IFERROR(__xludf.DUMMYFUNCTION("""COMPUTED_VALUE"""),24.74)</f>
        <v>24.74</v>
      </c>
      <c r="AJ82" s="320">
        <f>IFERROR(__xludf.DUMMYFUNCTION("""COMPUTED_VALUE"""),3.81)</f>
        <v>3.81</v>
      </c>
      <c r="AK82" s="320">
        <f>IFERROR(__xludf.DUMMYFUNCTION("""COMPUTED_VALUE"""),0.1821)</f>
        <v>0.1821</v>
      </c>
      <c r="AL82" s="320">
        <f>IFERROR(__xludf.DUMMYFUNCTION("""COMPUTED_VALUE"""),18.45)</f>
        <v>18.45</v>
      </c>
      <c r="AM82" s="320">
        <f>IFERROR(__xludf.DUMMYFUNCTION("""COMPUTED_VALUE"""),52.07)</f>
        <v>52.07</v>
      </c>
      <c r="AN82" s="320">
        <f>IFERROR(__xludf.DUMMYFUNCTION("""COMPUTED_VALUE"""),73.85)</f>
        <v>73.85</v>
      </c>
      <c r="AO82" s="320">
        <f>IFERROR(__xludf.DUMMYFUNCTION("""COMPUTED_VALUE"""),13.63)</f>
        <v>13.63</v>
      </c>
    </row>
    <row r="83" ht="15.75" customHeight="1">
      <c r="A83" s="330">
        <f>IFERROR(__xludf.DUMMYFUNCTION("""COMPUTED_VALUE"""),46063.0)</f>
        <v>46063</v>
      </c>
      <c r="B83" s="319" t="str">
        <f>IFERROR(__xludf.DUMMYFUNCTION("""COMPUTED_VALUE"""),"D. 20-39")</f>
        <v>D. 20-39</v>
      </c>
      <c r="C83" s="320">
        <f>IFERROR(__xludf.DUMMYFUNCTION("""COMPUTED_VALUE"""),16710.0)</f>
        <v>16710</v>
      </c>
      <c r="D83" s="320">
        <f>IFERROR(__xludf.DUMMYFUNCTION("""COMPUTED_VALUE"""),14.8)</f>
        <v>14.8</v>
      </c>
      <c r="E83" s="320">
        <f>IFERROR(__xludf.DUMMYFUNCTION("""COMPUTED_VALUE"""),0.0)</f>
        <v>0</v>
      </c>
      <c r="F83" s="320">
        <f>IFERROR(__xludf.DUMMYFUNCTION("""COMPUTED_VALUE"""),0.0)</f>
        <v>0</v>
      </c>
      <c r="G83" s="320">
        <f>IFERROR(__xludf.DUMMYFUNCTION("""COMPUTED_VALUE"""),0.0)</f>
        <v>0</v>
      </c>
      <c r="H83" s="106"/>
      <c r="I83" s="320">
        <f>IFERROR(__xludf.DUMMYFUNCTION("""COMPUTED_VALUE"""),82.2)</f>
        <v>82.2</v>
      </c>
      <c r="J83" s="320">
        <f>IFERROR(__xludf.DUMMYFUNCTION("""COMPUTED_VALUE"""),40.26)</f>
        <v>40.26</v>
      </c>
      <c r="K83" s="320">
        <f>IFERROR(__xludf.DUMMYFUNCTION("""COMPUTED_VALUE"""),27.24)</f>
        <v>27.24</v>
      </c>
      <c r="L83" s="320">
        <f>IFERROR(__xludf.DUMMYFUNCTION("""COMPUTED_VALUE"""),0.6767)</f>
        <v>0.6767</v>
      </c>
      <c r="M83" s="320">
        <f>IFERROR(__xludf.DUMMYFUNCTION("""COMPUTED_VALUE"""),0.5236)</f>
        <v>0.5236</v>
      </c>
      <c r="N83" s="320">
        <f>IFERROR(__xludf.DUMMYFUNCTION("""COMPUTED_VALUE"""),0.371)</f>
        <v>0.371</v>
      </c>
      <c r="O83" s="320">
        <f>IFERROR(__xludf.DUMMYFUNCTION("""COMPUTED_VALUE"""),1.4777)</f>
        <v>1.4777</v>
      </c>
      <c r="P83" s="320">
        <f>IFERROR(__xludf.DUMMYFUNCTION("""COMPUTED_VALUE"""),174.53)</f>
        <v>174.53</v>
      </c>
      <c r="Q83" s="320">
        <f>IFERROR(__xludf.DUMMYFUNCTION("""COMPUTED_VALUE"""),121.95)</f>
        <v>121.95</v>
      </c>
      <c r="R83" s="320">
        <f>IFERROR(__xludf.DUMMYFUNCTION("""COMPUTED_VALUE"""),52.58)</f>
        <v>52.58</v>
      </c>
      <c r="S83" s="320">
        <f>IFERROR(__xludf.DUMMYFUNCTION("""COMPUTED_VALUE"""),2.11)</f>
        <v>2.11</v>
      </c>
      <c r="T83" s="320">
        <f>IFERROR(__xludf.DUMMYFUNCTION("""COMPUTED_VALUE"""),172.42)</f>
        <v>172.42</v>
      </c>
      <c r="U83" s="320">
        <f>IFERROR(__xludf.DUMMYFUNCTION("""COMPUTED_VALUE"""),180.65)</f>
        <v>180.65</v>
      </c>
      <c r="V83" s="320">
        <f>IFERROR(__xludf.DUMMYFUNCTION("""COMPUTED_VALUE"""),4.4873)</f>
        <v>4.4873</v>
      </c>
      <c r="W83" s="320">
        <f>IFERROR(__xludf.DUMMYFUNCTION("""COMPUTED_VALUE"""),1.21)</f>
        <v>1.21</v>
      </c>
      <c r="X83" s="320">
        <f>IFERROR(__xludf.DUMMYFUNCTION("""COMPUTED_VALUE"""),161.0)</f>
        <v>161</v>
      </c>
      <c r="Y83" s="320">
        <f>IFERROR(__xludf.DUMMYFUNCTION("""COMPUTED_VALUE"""),1123.0)</f>
        <v>1123</v>
      </c>
      <c r="Z83" s="320">
        <f>IFERROR(__xludf.DUMMYFUNCTION("""COMPUTED_VALUE"""),7094.0)</f>
        <v>7094</v>
      </c>
      <c r="AA83" s="320">
        <f>IFERROR(__xludf.DUMMYFUNCTION("""COMPUTED_VALUE"""),55.0545)</f>
        <v>55.0545</v>
      </c>
      <c r="AB83" s="320">
        <f>IFERROR(__xludf.DUMMYFUNCTION("""COMPUTED_VALUE"""),0.6803)</f>
        <v>0.6803</v>
      </c>
      <c r="AC83" s="320">
        <f>IFERROR(__xludf.DUMMYFUNCTION("""COMPUTED_VALUE"""),16.56)</f>
        <v>16.56</v>
      </c>
      <c r="AD83" s="320">
        <f>IFERROR(__xludf.DUMMYFUNCTION("""COMPUTED_VALUE"""),7.0)</f>
        <v>7</v>
      </c>
      <c r="AE83" s="320">
        <f>IFERROR(__xludf.DUMMYFUNCTION("""COMPUTED_VALUE"""),12.0)</f>
        <v>12</v>
      </c>
      <c r="AF83" s="320">
        <f>IFERROR(__xludf.DUMMYFUNCTION("""COMPUTED_VALUE"""),23.0)</f>
        <v>23</v>
      </c>
      <c r="AG83" s="320">
        <f>IFERROR(__xludf.DUMMYFUNCTION("""COMPUTED_VALUE"""),34.0)</f>
        <v>34</v>
      </c>
      <c r="AH83" s="320">
        <f>IFERROR(__xludf.DUMMYFUNCTION("""COMPUTED_VALUE"""),57.11)</f>
        <v>57.11</v>
      </c>
      <c r="AI83" s="320">
        <f>IFERROR(__xludf.DUMMYFUNCTION("""COMPUTED_VALUE"""),20.6)</f>
        <v>20.6</v>
      </c>
      <c r="AJ83" s="320">
        <f>IFERROR(__xludf.DUMMYFUNCTION("""COMPUTED_VALUE"""),5.37)</f>
        <v>5.37</v>
      </c>
      <c r="AK83" s="320">
        <f>IFERROR(__xludf.DUMMYFUNCTION("""COMPUTED_VALUE"""),0.1583)</f>
        <v>0.1583</v>
      </c>
      <c r="AL83" s="320">
        <f>IFERROR(__xludf.DUMMYFUNCTION("""COMPUTED_VALUE"""),18.82)</f>
        <v>18.82</v>
      </c>
      <c r="AM83" s="320">
        <f>IFERROR(__xludf.DUMMYFUNCTION("""COMPUTED_VALUE"""),103.13)</f>
        <v>103.13</v>
      </c>
      <c r="AN83" s="320">
        <f>IFERROR(__xludf.DUMMYFUNCTION("""COMPUTED_VALUE"""),75.26)</f>
        <v>75.26</v>
      </c>
      <c r="AO83" s="320">
        <f>IFERROR(__xludf.DUMMYFUNCTION("""COMPUTED_VALUE"""),14.16)</f>
        <v>14.16</v>
      </c>
    </row>
    <row r="84" ht="15.75" customHeight="1">
      <c r="A84" s="330">
        <f>IFERROR(__xludf.DUMMYFUNCTION("""COMPUTED_VALUE"""),46063.0)</f>
        <v>46063</v>
      </c>
      <c r="B84" s="319" t="str">
        <f>IFERROR(__xludf.DUMMYFUNCTION("""COMPUTED_VALUE"""),"E. 40-99")</f>
        <v>E. 40-99</v>
      </c>
      <c r="C84" s="320">
        <f>IFERROR(__xludf.DUMMYFUNCTION("""COMPUTED_VALUE"""),5974.0)</f>
        <v>5974</v>
      </c>
      <c r="D84" s="320">
        <f>IFERROR(__xludf.DUMMYFUNCTION("""COMPUTED_VALUE"""),5.29)</f>
        <v>5.29</v>
      </c>
      <c r="E84" s="320">
        <f>IFERROR(__xludf.DUMMYFUNCTION("""COMPUTED_VALUE"""),0.0)</f>
        <v>0</v>
      </c>
      <c r="F84" s="320">
        <f>IFERROR(__xludf.DUMMYFUNCTION("""COMPUTED_VALUE"""),0.0)</f>
        <v>0</v>
      </c>
      <c r="G84" s="320">
        <f>IFERROR(__xludf.DUMMYFUNCTION("""COMPUTED_VALUE"""),0.0)</f>
        <v>0</v>
      </c>
      <c r="H84" s="106"/>
      <c r="I84" s="320">
        <f>IFERROR(__xludf.DUMMYFUNCTION("""COMPUTED_VALUE"""),128.6)</f>
        <v>128.6</v>
      </c>
      <c r="J84" s="320">
        <f>IFERROR(__xludf.DUMMYFUNCTION("""COMPUTED_VALUE"""),67.8)</f>
        <v>67.8</v>
      </c>
      <c r="K84" s="320">
        <f>IFERROR(__xludf.DUMMYFUNCTION("""COMPUTED_VALUE"""),53.33)</f>
        <v>53.33</v>
      </c>
      <c r="L84" s="320">
        <f>IFERROR(__xludf.DUMMYFUNCTION("""COMPUTED_VALUE"""),0.7866)</f>
        <v>0.7866</v>
      </c>
      <c r="M84" s="320">
        <f>IFERROR(__xludf.DUMMYFUNCTION("""COMPUTED_VALUE"""),0.3991)</f>
        <v>0.3991</v>
      </c>
      <c r="N84" s="320">
        <f>IFERROR(__xludf.DUMMYFUNCTION("""COMPUTED_VALUE"""),0.29)</f>
        <v>0.29</v>
      </c>
      <c r="O84" s="320">
        <f>IFERROR(__xludf.DUMMYFUNCTION("""COMPUTED_VALUE"""),1.2714)</f>
        <v>1.2714</v>
      </c>
      <c r="P84" s="320">
        <f>IFERROR(__xludf.DUMMYFUNCTION("""COMPUTED_VALUE"""),327.8)</f>
        <v>327.8</v>
      </c>
      <c r="Q84" s="320">
        <f>IFERROR(__xludf.DUMMYFUNCTION("""COMPUTED_VALUE"""),215.79)</f>
        <v>215.79</v>
      </c>
      <c r="R84" s="320">
        <f>IFERROR(__xludf.DUMMYFUNCTION("""COMPUTED_VALUE"""),112.01)</f>
        <v>112.01</v>
      </c>
      <c r="S84" s="320">
        <f>IFERROR(__xludf.DUMMYFUNCTION("""COMPUTED_VALUE"""),7.96)</f>
        <v>7.96</v>
      </c>
      <c r="T84" s="320">
        <f>IFERROR(__xludf.DUMMYFUNCTION("""COMPUTED_VALUE"""),319.84)</f>
        <v>319.84</v>
      </c>
      <c r="U84" s="320">
        <f>IFERROR(__xludf.DUMMYFUNCTION("""COMPUTED_VALUE"""),334.05)</f>
        <v>334.05</v>
      </c>
      <c r="V84" s="320">
        <f>IFERROR(__xludf.DUMMYFUNCTION("""COMPUTED_VALUE"""),4.9269)</f>
        <v>4.9269</v>
      </c>
      <c r="W84" s="320">
        <f>IFERROR(__xludf.DUMMYFUNCTION("""COMPUTED_VALUE"""),2.43)</f>
        <v>2.43</v>
      </c>
      <c r="X84" s="320">
        <f>IFERROR(__xludf.DUMMYFUNCTION("""COMPUTED_VALUE"""),284.0)</f>
        <v>284</v>
      </c>
      <c r="Y84" s="320">
        <f>IFERROR(__xludf.DUMMYFUNCTION("""COMPUTED_VALUE"""),2355.0)</f>
        <v>2355</v>
      </c>
      <c r="Z84" s="320">
        <f>IFERROR(__xludf.DUMMYFUNCTION("""COMPUTED_VALUE"""),8971.0)</f>
        <v>8971</v>
      </c>
      <c r="AA84" s="320">
        <f>IFERROR(__xludf.DUMMYFUNCTION("""COMPUTED_VALUE"""),59.2767)</f>
        <v>59.2767</v>
      </c>
      <c r="AB84" s="320">
        <f>IFERROR(__xludf.DUMMYFUNCTION("""COMPUTED_VALUE"""),0.8176)</f>
        <v>0.8176</v>
      </c>
      <c r="AC84" s="320">
        <f>IFERROR(__xludf.DUMMYFUNCTION("""COMPUTED_VALUE"""),36.3)</f>
        <v>36.3</v>
      </c>
      <c r="AD84" s="320">
        <f>IFERROR(__xludf.DUMMYFUNCTION("""COMPUTED_VALUE"""),14.0)</f>
        <v>14</v>
      </c>
      <c r="AE84" s="320">
        <f>IFERROR(__xludf.DUMMYFUNCTION("""COMPUTED_VALUE"""),29.0)</f>
        <v>29</v>
      </c>
      <c r="AF84" s="320">
        <f>IFERROR(__xludf.DUMMYFUNCTION("""COMPUTED_VALUE"""),50.0)</f>
        <v>50</v>
      </c>
      <c r="AG84" s="320">
        <f>IFERROR(__xludf.DUMMYFUNCTION("""COMPUTED_VALUE"""),76.0)</f>
        <v>76</v>
      </c>
      <c r="AH84" s="320">
        <f>IFERROR(__xludf.DUMMYFUNCTION("""COMPUTED_VALUE"""),51.29)</f>
        <v>51.29</v>
      </c>
      <c r="AI84" s="320">
        <f>IFERROR(__xludf.DUMMYFUNCTION("""COMPUTED_VALUE"""),18.35)</f>
        <v>18.35</v>
      </c>
      <c r="AJ84" s="320">
        <f>IFERROR(__xludf.DUMMYFUNCTION("""COMPUTED_VALUE"""),4.3)</f>
        <v>4.3</v>
      </c>
      <c r="AK84" s="320">
        <f>IFERROR(__xludf.DUMMYFUNCTION("""COMPUTED_VALUE"""),0.1202)</f>
        <v>0.1202</v>
      </c>
      <c r="AL84" s="320">
        <f>IFERROR(__xludf.DUMMYFUNCTION("""COMPUTED_VALUE"""),19.84)</f>
        <v>19.84</v>
      </c>
      <c r="AM84" s="320">
        <f>IFERROR(__xludf.DUMMYFUNCTION("""COMPUTED_VALUE"""),195.95)</f>
        <v>195.95</v>
      </c>
      <c r="AN84" s="320">
        <f>IFERROR(__xludf.DUMMYFUNCTION("""COMPUTED_VALUE"""),82.44)</f>
        <v>82.44</v>
      </c>
      <c r="AO84" s="320">
        <f>IFERROR(__xludf.DUMMYFUNCTION("""COMPUTED_VALUE"""),16.36)</f>
        <v>16.36</v>
      </c>
    </row>
    <row r="85" ht="15.75" customHeight="1">
      <c r="A85" s="330">
        <f>IFERROR(__xludf.DUMMYFUNCTION("""COMPUTED_VALUE"""),46063.0)</f>
        <v>46063</v>
      </c>
      <c r="B85" s="319" t="str">
        <f>IFERROR(__xludf.DUMMYFUNCTION("""COMPUTED_VALUE"""),"F. 100+")</f>
        <v>F. 100+</v>
      </c>
      <c r="C85" s="320">
        <f>IFERROR(__xludf.DUMMYFUNCTION("""COMPUTED_VALUE"""),616.0)</f>
        <v>616</v>
      </c>
      <c r="D85" s="320">
        <f>IFERROR(__xludf.DUMMYFUNCTION("""COMPUTED_VALUE"""),0.55)</f>
        <v>0.55</v>
      </c>
      <c r="E85" s="320">
        <f>IFERROR(__xludf.DUMMYFUNCTION("""COMPUTED_VALUE"""),0.0)</f>
        <v>0</v>
      </c>
      <c r="F85" s="320">
        <f>IFERROR(__xludf.DUMMYFUNCTION("""COMPUTED_VALUE"""),0.0)</f>
        <v>0</v>
      </c>
      <c r="G85" s="320">
        <f>IFERROR(__xludf.DUMMYFUNCTION("""COMPUTED_VALUE"""),0.0)</f>
        <v>0</v>
      </c>
      <c r="H85" s="106"/>
      <c r="I85" s="320">
        <f>IFERROR(__xludf.DUMMYFUNCTION("""COMPUTED_VALUE"""),237.35)</f>
        <v>237.35</v>
      </c>
      <c r="J85" s="320">
        <f>IFERROR(__xludf.DUMMYFUNCTION("""COMPUTED_VALUE"""),138.86)</f>
        <v>138.86</v>
      </c>
      <c r="K85" s="320">
        <f>IFERROR(__xludf.DUMMYFUNCTION("""COMPUTED_VALUE"""),120.9)</f>
        <v>120.9</v>
      </c>
      <c r="L85" s="320">
        <f>IFERROR(__xludf.DUMMYFUNCTION("""COMPUTED_VALUE"""),0.8706)</f>
        <v>0.8706</v>
      </c>
      <c r="M85" s="320">
        <f>IFERROR(__xludf.DUMMYFUNCTION("""COMPUTED_VALUE"""),0.2781)</f>
        <v>0.2781</v>
      </c>
      <c r="N85" s="320">
        <f>IFERROR(__xludf.DUMMYFUNCTION("""COMPUTED_VALUE"""),0.2089)</f>
        <v>0.2089</v>
      </c>
      <c r="O85" s="320">
        <f>IFERROR(__xludf.DUMMYFUNCTION("""COMPUTED_VALUE"""),1.1486)</f>
        <v>1.1486</v>
      </c>
      <c r="P85" s="320">
        <f>IFERROR(__xludf.DUMMYFUNCTION("""COMPUTED_VALUE"""),618.48)</f>
        <v>618.48</v>
      </c>
      <c r="Q85" s="320">
        <f>IFERROR(__xludf.DUMMYFUNCTION("""COMPUTED_VALUE"""),361.96)</f>
        <v>361.96</v>
      </c>
      <c r="R85" s="320">
        <f>IFERROR(__xludf.DUMMYFUNCTION("""COMPUTED_VALUE"""),256.52)</f>
        <v>256.52</v>
      </c>
      <c r="S85" s="320">
        <f>IFERROR(__xludf.DUMMYFUNCTION("""COMPUTED_VALUE"""),0.0)</f>
        <v>0</v>
      </c>
      <c r="T85" s="320">
        <f>IFERROR(__xludf.DUMMYFUNCTION("""COMPUTED_VALUE"""),618.48)</f>
        <v>618.48</v>
      </c>
      <c r="U85" s="320">
        <f>IFERROR(__xludf.DUMMYFUNCTION("""COMPUTED_VALUE"""),631.66)</f>
        <v>631.66</v>
      </c>
      <c r="V85" s="320">
        <f>IFERROR(__xludf.DUMMYFUNCTION("""COMPUTED_VALUE"""),4.5487)</f>
        <v>4.5487</v>
      </c>
      <c r="W85" s="320">
        <f>IFERROR(__xludf.DUMMYFUNCTION("""COMPUTED_VALUE"""),0.0)</f>
        <v>0</v>
      </c>
      <c r="X85" s="320">
        <f>IFERROR(__xludf.DUMMYFUNCTION("""COMPUTED_VALUE"""),900.0)</f>
        <v>900</v>
      </c>
      <c r="Y85" s="320">
        <f>IFERROR(__xludf.DUMMYFUNCTION("""COMPUTED_VALUE"""),4196.0)</f>
        <v>4196</v>
      </c>
      <c r="Z85" s="320">
        <f>IFERROR(__xludf.DUMMYFUNCTION("""COMPUTED_VALUE"""),11868.0)</f>
        <v>11868</v>
      </c>
      <c r="AA85" s="320">
        <f>IFERROR(__xludf.DUMMYFUNCTION("""COMPUTED_VALUE"""),63.6727)</f>
        <v>63.6727</v>
      </c>
      <c r="AB85" s="320">
        <f>IFERROR(__xludf.DUMMYFUNCTION("""COMPUTED_VALUE"""),0.8913)</f>
        <v>0.8913</v>
      </c>
      <c r="AC85" s="320">
        <f>IFERROR(__xludf.DUMMYFUNCTION("""COMPUTED_VALUE"""),84.01)</f>
        <v>84.01</v>
      </c>
      <c r="AD85" s="320">
        <f>IFERROR(__xludf.DUMMYFUNCTION("""COMPUTED_VALUE"""),32.0)</f>
        <v>32</v>
      </c>
      <c r="AE85" s="320">
        <f>IFERROR(__xludf.DUMMYFUNCTION("""COMPUTED_VALUE"""),68.0)</f>
        <v>68</v>
      </c>
      <c r="AF85" s="320">
        <f>IFERROR(__xludf.DUMMYFUNCTION("""COMPUTED_VALUE"""),120.0)</f>
        <v>120</v>
      </c>
      <c r="AG85" s="320">
        <f>IFERROR(__xludf.DUMMYFUNCTION("""COMPUTED_VALUE"""),172.0)</f>
        <v>172</v>
      </c>
      <c r="AH85" s="320">
        <f>IFERROR(__xludf.DUMMYFUNCTION("""COMPUTED_VALUE"""),43.99)</f>
        <v>43.99</v>
      </c>
      <c r="AI85" s="320">
        <f>IFERROR(__xludf.DUMMYFUNCTION("""COMPUTED_VALUE"""),9.25)</f>
        <v>9.25</v>
      </c>
      <c r="AJ85" s="320">
        <f>IFERROR(__xludf.DUMMYFUNCTION("""COMPUTED_VALUE"""),1.62)</f>
        <v>1.62</v>
      </c>
      <c r="AK85" s="320">
        <f>IFERROR(__xludf.DUMMYFUNCTION("""COMPUTED_VALUE"""),0.0698)</f>
        <v>0.0698</v>
      </c>
      <c r="AL85" s="320">
        <f>IFERROR(__xludf.DUMMYFUNCTION("""COMPUTED_VALUE"""),21.79)</f>
        <v>21.79</v>
      </c>
      <c r="AM85" s="320">
        <f>IFERROR(__xludf.DUMMYFUNCTION("""COMPUTED_VALUE"""),340.18)</f>
        <v>340.18</v>
      </c>
      <c r="AN85" s="320">
        <f>IFERROR(__xludf.DUMMYFUNCTION("""COMPUTED_VALUE"""),86.43)</f>
        <v>86.43</v>
      </c>
      <c r="AO85" s="320">
        <f>IFERROR(__xludf.DUMMYFUNCTION("""COMPUTED_VALUE"""),18.83)</f>
        <v>18.83</v>
      </c>
    </row>
    <row r="86" ht="15.75" customHeight="1">
      <c r="A86" s="330">
        <f>IFERROR(__xludf.DUMMYFUNCTION("""COMPUTED_VALUE"""),46064.0)</f>
        <v>46064</v>
      </c>
      <c r="B86" s="319" t="str">
        <f>IFERROR(__xludf.DUMMYFUNCTION("""COMPUTED_VALUE"""),"A. 0")</f>
        <v>A. 0</v>
      </c>
      <c r="C86" s="320">
        <f>IFERROR(__xludf.DUMMYFUNCTION("""COMPUTED_VALUE"""),21425.0)</f>
        <v>21425</v>
      </c>
      <c r="D86" s="320">
        <f>IFERROR(__xludf.DUMMYFUNCTION("""COMPUTED_VALUE"""),19.22)</f>
        <v>19.22</v>
      </c>
      <c r="E86" s="320">
        <f>IFERROR(__xludf.DUMMYFUNCTION("""COMPUTED_VALUE"""),0.0)</f>
        <v>0</v>
      </c>
      <c r="F86" s="320">
        <f>IFERROR(__xludf.DUMMYFUNCTION("""COMPUTED_VALUE"""),0.0)</f>
        <v>0</v>
      </c>
      <c r="G86" s="320">
        <f>IFERROR(__xludf.DUMMYFUNCTION("""COMPUTED_VALUE"""),0.0)</f>
        <v>0</v>
      </c>
      <c r="H86" s="106"/>
      <c r="I86" s="320">
        <f>IFERROR(__xludf.DUMMYFUNCTION("""COMPUTED_VALUE"""),6.47)</f>
        <v>6.47</v>
      </c>
      <c r="J86" s="320">
        <f>IFERROR(__xludf.DUMMYFUNCTION("""COMPUTED_VALUE"""),2.66)</f>
        <v>2.66</v>
      </c>
      <c r="K86" s="320">
        <f>IFERROR(__xludf.DUMMYFUNCTION("""COMPUTED_VALUE"""),0.1)</f>
        <v>0.1</v>
      </c>
      <c r="L86" s="320">
        <f>IFERROR(__xludf.DUMMYFUNCTION("""COMPUTED_VALUE"""),0.0366)</f>
        <v>0.0366</v>
      </c>
      <c r="M86" s="320">
        <f>IFERROR(__xludf.DUMMYFUNCTION("""COMPUTED_VALUE"""),0.9708)</f>
        <v>0.9708</v>
      </c>
      <c r="N86" s="320">
        <f>IFERROR(__xludf.DUMMYFUNCTION("""COMPUTED_VALUE"""),0.7021)</f>
        <v>0.7021</v>
      </c>
      <c r="O86" s="320">
        <f>IFERROR(__xludf.DUMMYFUNCTION("""COMPUTED_VALUE"""),27.3586)</f>
        <v>27.3586</v>
      </c>
      <c r="P86" s="320">
        <f>IFERROR(__xludf.DUMMYFUNCTION("""COMPUTED_VALUE"""),21.55)</f>
        <v>21.55</v>
      </c>
      <c r="Q86" s="320">
        <f>IFERROR(__xludf.DUMMYFUNCTION("""COMPUTED_VALUE"""),21.39)</f>
        <v>21.39</v>
      </c>
      <c r="R86" s="320">
        <f>IFERROR(__xludf.DUMMYFUNCTION("""COMPUTED_VALUE"""),0.16)</f>
        <v>0.16</v>
      </c>
      <c r="S86" s="320">
        <f>IFERROR(__xludf.DUMMYFUNCTION("""COMPUTED_VALUE"""),0.0)</f>
        <v>0</v>
      </c>
      <c r="T86" s="320">
        <f>IFERROR(__xludf.DUMMYFUNCTION("""COMPUTED_VALUE"""),21.55)</f>
        <v>21.55</v>
      </c>
      <c r="U86" s="320">
        <f>IFERROR(__xludf.DUMMYFUNCTION("""COMPUTED_VALUE"""),1.86)</f>
        <v>1.86</v>
      </c>
      <c r="V86" s="320">
        <f>IFERROR(__xludf.DUMMYFUNCTION("""COMPUTED_VALUE"""),0.6975)</f>
        <v>0.6975</v>
      </c>
      <c r="W86" s="320">
        <f>IFERROR(__xludf.DUMMYFUNCTION("""COMPUTED_VALUE"""),0.0)</f>
        <v>0</v>
      </c>
      <c r="X86" s="320">
        <f>IFERROR(__xludf.DUMMYFUNCTION("""COMPUTED_VALUE"""),294.0)</f>
        <v>294</v>
      </c>
      <c r="Y86" s="320">
        <f>IFERROR(__xludf.DUMMYFUNCTION("""COMPUTED_VALUE"""),3384.0)</f>
        <v>3384</v>
      </c>
      <c r="Z86" s="320">
        <f>IFERROR(__xludf.DUMMYFUNCTION("""COMPUTED_VALUE"""),13980.0)</f>
        <v>13980</v>
      </c>
      <c r="AA86" s="320">
        <f>IFERROR(__xludf.DUMMYFUNCTION("""COMPUTED_VALUE"""),49.0333)</f>
        <v>49.0333</v>
      </c>
      <c r="AB86" s="320">
        <f>IFERROR(__xludf.DUMMYFUNCTION("""COMPUTED_VALUE"""),0.5519)</f>
        <v>0.5519</v>
      </c>
      <c r="AC86" s="106"/>
      <c r="AD86" s="106"/>
      <c r="AE86" s="106"/>
      <c r="AF86" s="106"/>
      <c r="AG86" s="106"/>
      <c r="AH86" s="320">
        <f>IFERROR(__xludf.DUMMYFUNCTION("""COMPUTED_VALUE"""),0.0)</f>
        <v>0</v>
      </c>
      <c r="AI86" s="320">
        <f>IFERROR(__xludf.DUMMYFUNCTION("""COMPUTED_VALUE"""),0.0)</f>
        <v>0</v>
      </c>
      <c r="AJ86" s="320">
        <f>IFERROR(__xludf.DUMMYFUNCTION("""COMPUTED_VALUE"""),0.0)</f>
        <v>0</v>
      </c>
      <c r="AK86" s="320">
        <f>IFERROR(__xludf.DUMMYFUNCTION("""COMPUTED_VALUE"""),0.286)</f>
        <v>0.286</v>
      </c>
      <c r="AL86" s="320">
        <f>IFERROR(__xludf.DUMMYFUNCTION("""COMPUTED_VALUE"""),16.1)</f>
        <v>16.1</v>
      </c>
      <c r="AM86" s="320">
        <f>IFERROR(__xludf.DUMMYFUNCTION("""COMPUTED_VALUE"""),5.29)</f>
        <v>5.29</v>
      </c>
      <c r="AN86" s="331"/>
      <c r="AO86" s="331"/>
    </row>
    <row r="87" ht="15.75" customHeight="1">
      <c r="A87" s="330">
        <f>IFERROR(__xludf.DUMMYFUNCTION("""COMPUTED_VALUE"""),46064.0)</f>
        <v>46064</v>
      </c>
      <c r="B87" s="319" t="str">
        <f>IFERROR(__xludf.DUMMYFUNCTION("""COMPUTED_VALUE"""),"B. 1-9")</f>
        <v>B. 1-9</v>
      </c>
      <c r="C87" s="320">
        <f>IFERROR(__xludf.DUMMYFUNCTION("""COMPUTED_VALUE"""),39439.0)</f>
        <v>39439</v>
      </c>
      <c r="D87" s="320">
        <f>IFERROR(__xludf.DUMMYFUNCTION("""COMPUTED_VALUE"""),35.38)</f>
        <v>35.38</v>
      </c>
      <c r="E87" s="320">
        <f>IFERROR(__xludf.DUMMYFUNCTION("""COMPUTED_VALUE"""),0.0)</f>
        <v>0</v>
      </c>
      <c r="F87" s="320">
        <f>IFERROR(__xludf.DUMMYFUNCTION("""COMPUTED_VALUE"""),0.0)</f>
        <v>0</v>
      </c>
      <c r="G87" s="320">
        <f>IFERROR(__xludf.DUMMYFUNCTION("""COMPUTED_VALUE"""),0.0)</f>
        <v>0</v>
      </c>
      <c r="H87" s="106"/>
      <c r="I87" s="320">
        <f>IFERROR(__xludf.DUMMYFUNCTION("""COMPUTED_VALUE"""),29.88)</f>
        <v>29.88</v>
      </c>
      <c r="J87" s="320">
        <f>IFERROR(__xludf.DUMMYFUNCTION("""COMPUTED_VALUE"""),13.49)</f>
        <v>13.49</v>
      </c>
      <c r="K87" s="320">
        <f>IFERROR(__xludf.DUMMYFUNCTION("""COMPUTED_VALUE"""),5.43)</f>
        <v>5.43</v>
      </c>
      <c r="L87" s="320">
        <f>IFERROR(__xludf.DUMMYFUNCTION("""COMPUTED_VALUE"""),0.4028)</f>
        <v>0.4028</v>
      </c>
      <c r="M87" s="320">
        <f>IFERROR(__xludf.DUMMYFUNCTION("""COMPUTED_VALUE"""),0.7663)</f>
        <v>0.7663</v>
      </c>
      <c r="N87" s="320">
        <f>IFERROR(__xludf.DUMMYFUNCTION("""COMPUTED_VALUE"""),0.5722)</f>
        <v>0.5722</v>
      </c>
      <c r="O87" s="320">
        <f>IFERROR(__xludf.DUMMYFUNCTION("""COMPUTED_VALUE"""),2.4827)</f>
        <v>2.4827</v>
      </c>
      <c r="P87" s="320">
        <f>IFERROR(__xludf.DUMMYFUNCTION("""COMPUTED_VALUE"""),46.72)</f>
        <v>46.72</v>
      </c>
      <c r="Q87" s="320">
        <f>IFERROR(__xludf.DUMMYFUNCTION("""COMPUTED_VALUE"""),35.3)</f>
        <v>35.3</v>
      </c>
      <c r="R87" s="320">
        <f>IFERROR(__xludf.DUMMYFUNCTION("""COMPUTED_VALUE"""),11.42)</f>
        <v>11.42</v>
      </c>
      <c r="S87" s="320">
        <f>IFERROR(__xludf.DUMMYFUNCTION("""COMPUTED_VALUE"""),0.45)</f>
        <v>0.45</v>
      </c>
      <c r="T87" s="320">
        <f>IFERROR(__xludf.DUMMYFUNCTION("""COMPUTED_VALUE"""),46.27)</f>
        <v>46.27</v>
      </c>
      <c r="U87" s="320">
        <f>IFERROR(__xludf.DUMMYFUNCTION("""COMPUTED_VALUE"""),52.01)</f>
        <v>52.01</v>
      </c>
      <c r="V87" s="320">
        <f>IFERROR(__xludf.DUMMYFUNCTION("""COMPUTED_VALUE"""),3.8557)</f>
        <v>3.8557</v>
      </c>
      <c r="W87" s="320">
        <f>IFERROR(__xludf.DUMMYFUNCTION("""COMPUTED_VALUE"""),0.96)</f>
        <v>0.96</v>
      </c>
      <c r="X87" s="320">
        <f>IFERROR(__xludf.DUMMYFUNCTION("""COMPUTED_VALUE"""),148.0)</f>
        <v>148</v>
      </c>
      <c r="Y87" s="320">
        <f>IFERROR(__xludf.DUMMYFUNCTION("""COMPUTED_VALUE"""),913.0)</f>
        <v>913</v>
      </c>
      <c r="Z87" s="320">
        <f>IFERROR(__xludf.DUMMYFUNCTION("""COMPUTED_VALUE"""),5999.0)</f>
        <v>5999</v>
      </c>
      <c r="AA87" s="320">
        <f>IFERROR(__xludf.DUMMYFUNCTION("""COMPUTED_VALUE"""),48.779)</f>
        <v>48.779</v>
      </c>
      <c r="AB87" s="320">
        <f>IFERROR(__xludf.DUMMYFUNCTION("""COMPUTED_VALUE"""),0.5413)</f>
        <v>0.5413</v>
      </c>
      <c r="AC87" s="320">
        <f>IFERROR(__xludf.DUMMYFUNCTION("""COMPUTED_VALUE"""),3.89)</f>
        <v>3.89</v>
      </c>
      <c r="AD87" s="320">
        <f>IFERROR(__xludf.DUMMYFUNCTION("""COMPUTED_VALUE"""),1.0)</f>
        <v>1</v>
      </c>
      <c r="AE87" s="320">
        <f>IFERROR(__xludf.DUMMYFUNCTION("""COMPUTED_VALUE"""),3.0)</f>
        <v>3</v>
      </c>
      <c r="AF87" s="320">
        <f>IFERROR(__xludf.DUMMYFUNCTION("""COMPUTED_VALUE"""),5.0)</f>
        <v>5</v>
      </c>
      <c r="AG87" s="320">
        <f>IFERROR(__xludf.DUMMYFUNCTION("""COMPUTED_VALUE"""),9.0)</f>
        <v>9</v>
      </c>
      <c r="AH87" s="320">
        <f>IFERROR(__xludf.DUMMYFUNCTION("""COMPUTED_VALUE"""),72.56)</f>
        <v>72.56</v>
      </c>
      <c r="AI87" s="320">
        <f>IFERROR(__xludf.DUMMYFUNCTION("""COMPUTED_VALUE"""),29.83)</f>
        <v>29.83</v>
      </c>
      <c r="AJ87" s="320">
        <f>IFERROR(__xludf.DUMMYFUNCTION("""COMPUTED_VALUE"""),7.87)</f>
        <v>7.87</v>
      </c>
      <c r="AK87" s="320">
        <f>IFERROR(__xludf.DUMMYFUNCTION("""COMPUTED_VALUE"""),0.2468)</f>
        <v>0.2468</v>
      </c>
      <c r="AL87" s="320">
        <f>IFERROR(__xludf.DUMMYFUNCTION("""COMPUTED_VALUE"""),18.67)</f>
        <v>18.67</v>
      </c>
      <c r="AM87" s="320">
        <f>IFERROR(__xludf.DUMMYFUNCTION("""COMPUTED_VALUE"""),16.63)</f>
        <v>16.63</v>
      </c>
      <c r="AN87" s="320">
        <f>IFERROR(__xludf.DUMMYFUNCTION("""COMPUTED_VALUE"""),65.98)</f>
        <v>65.98</v>
      </c>
      <c r="AO87" s="320">
        <f>IFERROR(__xludf.DUMMYFUNCTION("""COMPUTED_VALUE"""),12.32)</f>
        <v>12.32</v>
      </c>
    </row>
    <row r="88" ht="15.75" customHeight="1">
      <c r="A88" s="330">
        <f>IFERROR(__xludf.DUMMYFUNCTION("""COMPUTED_VALUE"""),46064.0)</f>
        <v>46064</v>
      </c>
      <c r="B88" s="319" t="str">
        <f>IFERROR(__xludf.DUMMYFUNCTION("""COMPUTED_VALUE"""),"C. 10-19")</f>
        <v>C. 10-19</v>
      </c>
      <c r="C88" s="320">
        <f>IFERROR(__xludf.DUMMYFUNCTION("""COMPUTED_VALUE"""),28743.0)</f>
        <v>28743</v>
      </c>
      <c r="D88" s="320">
        <f>IFERROR(__xludf.DUMMYFUNCTION("""COMPUTED_VALUE"""),25.78)</f>
        <v>25.78</v>
      </c>
      <c r="E88" s="320">
        <f>IFERROR(__xludf.DUMMYFUNCTION("""COMPUTED_VALUE"""),0.0)</f>
        <v>0</v>
      </c>
      <c r="F88" s="320">
        <f>IFERROR(__xludf.DUMMYFUNCTION("""COMPUTED_VALUE"""),0.0)</f>
        <v>0</v>
      </c>
      <c r="G88" s="320">
        <f>IFERROR(__xludf.DUMMYFUNCTION("""COMPUTED_VALUE"""),0.0)</f>
        <v>0</v>
      </c>
      <c r="H88" s="106"/>
      <c r="I88" s="320">
        <f>IFERROR(__xludf.DUMMYFUNCTION("""COMPUTED_VALUE"""),56.85)</f>
        <v>56.85</v>
      </c>
      <c r="J88" s="320">
        <f>IFERROR(__xludf.DUMMYFUNCTION("""COMPUTED_VALUE"""),26.67)</f>
        <v>26.67</v>
      </c>
      <c r="K88" s="320">
        <f>IFERROR(__xludf.DUMMYFUNCTION("""COMPUTED_VALUE"""),14.05)</f>
        <v>14.05</v>
      </c>
      <c r="L88" s="320">
        <f>IFERROR(__xludf.DUMMYFUNCTION("""COMPUTED_VALUE"""),0.5271)</f>
        <v>0.5271</v>
      </c>
      <c r="M88" s="320">
        <f>IFERROR(__xludf.DUMMYFUNCTION("""COMPUTED_VALUE"""),0.6622)</f>
        <v>0.6622</v>
      </c>
      <c r="N88" s="320">
        <f>IFERROR(__xludf.DUMMYFUNCTION("""COMPUTED_VALUE"""),0.4638)</f>
        <v>0.4638</v>
      </c>
      <c r="O88" s="320">
        <f>IFERROR(__xludf.DUMMYFUNCTION("""COMPUTED_VALUE"""),1.8972)</f>
        <v>1.8972</v>
      </c>
      <c r="P88" s="320">
        <f>IFERROR(__xludf.DUMMYFUNCTION("""COMPUTED_VALUE"""),76.81)</f>
        <v>76.81</v>
      </c>
      <c r="Q88" s="320">
        <f>IFERROR(__xludf.DUMMYFUNCTION("""COMPUTED_VALUE"""),49.01)</f>
        <v>49.01</v>
      </c>
      <c r="R88" s="320">
        <f>IFERROR(__xludf.DUMMYFUNCTION("""COMPUTED_VALUE"""),27.79)</f>
        <v>27.79</v>
      </c>
      <c r="S88" s="320">
        <f>IFERROR(__xludf.DUMMYFUNCTION("""COMPUTED_VALUE"""),0.86)</f>
        <v>0.86</v>
      </c>
      <c r="T88" s="320">
        <f>IFERROR(__xludf.DUMMYFUNCTION("""COMPUTED_VALUE"""),75.95)</f>
        <v>75.95</v>
      </c>
      <c r="U88" s="320">
        <f>IFERROR(__xludf.DUMMYFUNCTION("""COMPUTED_VALUE"""),93.55)</f>
        <v>93.55</v>
      </c>
      <c r="V88" s="320">
        <f>IFERROR(__xludf.DUMMYFUNCTION("""COMPUTED_VALUE"""),3.5082)</f>
        <v>3.5082</v>
      </c>
      <c r="W88" s="320">
        <f>IFERROR(__xludf.DUMMYFUNCTION("""COMPUTED_VALUE"""),1.11)</f>
        <v>1.11</v>
      </c>
      <c r="X88" s="320">
        <f>IFERROR(__xludf.DUMMYFUNCTION("""COMPUTED_VALUE"""),118.0)</f>
        <v>118</v>
      </c>
      <c r="Y88" s="320">
        <f>IFERROR(__xludf.DUMMYFUNCTION("""COMPUTED_VALUE"""),714.0)</f>
        <v>714</v>
      </c>
      <c r="Z88" s="320">
        <f>IFERROR(__xludf.DUMMYFUNCTION("""COMPUTED_VALUE"""),5384.0)</f>
        <v>5384</v>
      </c>
      <c r="AA88" s="320">
        <f>IFERROR(__xludf.DUMMYFUNCTION("""COMPUTED_VALUE"""),52.1058)</f>
        <v>52.1058</v>
      </c>
      <c r="AB88" s="320">
        <f>IFERROR(__xludf.DUMMYFUNCTION("""COMPUTED_VALUE"""),0.6155)</f>
        <v>0.6155</v>
      </c>
      <c r="AC88" s="320">
        <f>IFERROR(__xludf.DUMMYFUNCTION("""COMPUTED_VALUE"""),8.79)</f>
        <v>8.79</v>
      </c>
      <c r="AD88" s="320">
        <f>IFERROR(__xludf.DUMMYFUNCTION("""COMPUTED_VALUE"""),3.0)</f>
        <v>3</v>
      </c>
      <c r="AE88" s="320">
        <f>IFERROR(__xludf.DUMMYFUNCTION("""COMPUTED_VALUE"""),7.0)</f>
        <v>7</v>
      </c>
      <c r="AF88" s="320">
        <f>IFERROR(__xludf.DUMMYFUNCTION("""COMPUTED_VALUE"""),12.0)</f>
        <v>12</v>
      </c>
      <c r="AG88" s="320">
        <f>IFERROR(__xludf.DUMMYFUNCTION("""COMPUTED_VALUE"""),18.0)</f>
        <v>18</v>
      </c>
      <c r="AH88" s="320">
        <f>IFERROR(__xludf.DUMMYFUNCTION("""COMPUTED_VALUE"""),58.24)</f>
        <v>58.24</v>
      </c>
      <c r="AI88" s="320">
        <f>IFERROR(__xludf.DUMMYFUNCTION("""COMPUTED_VALUE"""),23.06)</f>
        <v>23.06</v>
      </c>
      <c r="AJ88" s="320">
        <f>IFERROR(__xludf.DUMMYFUNCTION("""COMPUTED_VALUE"""),3.56)</f>
        <v>3.56</v>
      </c>
      <c r="AK88" s="320">
        <f>IFERROR(__xludf.DUMMYFUNCTION("""COMPUTED_VALUE"""),0.1869)</f>
        <v>0.1869</v>
      </c>
      <c r="AL88" s="320">
        <f>IFERROR(__xludf.DUMMYFUNCTION("""COMPUTED_VALUE"""),19.09)</f>
        <v>19.09</v>
      </c>
      <c r="AM88" s="320">
        <f>IFERROR(__xludf.DUMMYFUNCTION("""COMPUTED_VALUE"""),29.92)</f>
        <v>29.92</v>
      </c>
      <c r="AN88" s="320">
        <f>IFERROR(__xludf.DUMMYFUNCTION("""COMPUTED_VALUE"""),74.5)</f>
        <v>74.5</v>
      </c>
      <c r="AO88" s="320">
        <f>IFERROR(__xludf.DUMMYFUNCTION("""COMPUTED_VALUE"""),14.22)</f>
        <v>14.22</v>
      </c>
    </row>
    <row r="89" ht="15.75" customHeight="1">
      <c r="A89" s="330">
        <f>IFERROR(__xludf.DUMMYFUNCTION("""COMPUTED_VALUE"""),46064.0)</f>
        <v>46064</v>
      </c>
      <c r="B89" s="319" t="str">
        <f>IFERROR(__xludf.DUMMYFUNCTION("""COMPUTED_VALUE"""),"D. 20-39")</f>
        <v>D. 20-39</v>
      </c>
      <c r="C89" s="320">
        <f>IFERROR(__xludf.DUMMYFUNCTION("""COMPUTED_VALUE"""),15442.0)</f>
        <v>15442</v>
      </c>
      <c r="D89" s="320">
        <f>IFERROR(__xludf.DUMMYFUNCTION("""COMPUTED_VALUE"""),13.85)</f>
        <v>13.85</v>
      </c>
      <c r="E89" s="320">
        <f>IFERROR(__xludf.DUMMYFUNCTION("""COMPUTED_VALUE"""),0.0)</f>
        <v>0</v>
      </c>
      <c r="F89" s="320">
        <f>IFERROR(__xludf.DUMMYFUNCTION("""COMPUTED_VALUE"""),0.0)</f>
        <v>0</v>
      </c>
      <c r="G89" s="320">
        <f>IFERROR(__xludf.DUMMYFUNCTION("""COMPUTED_VALUE"""),0.0)</f>
        <v>0</v>
      </c>
      <c r="H89" s="106"/>
      <c r="I89" s="320">
        <f>IFERROR(__xludf.DUMMYFUNCTION("""COMPUTED_VALUE"""),81.53)</f>
        <v>81.53</v>
      </c>
      <c r="J89" s="320">
        <f>IFERROR(__xludf.DUMMYFUNCTION("""COMPUTED_VALUE"""),40.63)</f>
        <v>40.63</v>
      </c>
      <c r="K89" s="320">
        <f>IFERROR(__xludf.DUMMYFUNCTION("""COMPUTED_VALUE"""),25.71)</f>
        <v>25.71</v>
      </c>
      <c r="L89" s="320">
        <f>IFERROR(__xludf.DUMMYFUNCTION("""COMPUTED_VALUE"""),0.6329)</f>
        <v>0.6329</v>
      </c>
      <c r="M89" s="320">
        <f>IFERROR(__xludf.DUMMYFUNCTION("""COMPUTED_VALUE"""),0.5537)</f>
        <v>0.5537</v>
      </c>
      <c r="N89" s="320">
        <f>IFERROR(__xludf.DUMMYFUNCTION("""COMPUTED_VALUE"""),0.3825)</f>
        <v>0.3825</v>
      </c>
      <c r="O89" s="320">
        <f>IFERROR(__xludf.DUMMYFUNCTION("""COMPUTED_VALUE"""),1.58)</f>
        <v>1.58</v>
      </c>
      <c r="P89" s="320">
        <f>IFERROR(__xludf.DUMMYFUNCTION("""COMPUTED_VALUE"""),127.96)</f>
        <v>127.96</v>
      </c>
      <c r="Q89" s="320">
        <f>IFERROR(__xludf.DUMMYFUNCTION("""COMPUTED_VALUE"""),74.09)</f>
        <v>74.09</v>
      </c>
      <c r="R89" s="320">
        <f>IFERROR(__xludf.DUMMYFUNCTION("""COMPUTED_VALUE"""),53.88)</f>
        <v>53.88</v>
      </c>
      <c r="S89" s="320">
        <f>IFERROR(__xludf.DUMMYFUNCTION("""COMPUTED_VALUE"""),3.79)</f>
        <v>3.79</v>
      </c>
      <c r="T89" s="320">
        <f>IFERROR(__xludf.DUMMYFUNCTION("""COMPUTED_VALUE"""),124.18)</f>
        <v>124.18</v>
      </c>
      <c r="U89" s="320">
        <f>IFERROR(__xludf.DUMMYFUNCTION("""COMPUTED_VALUE"""),159.29)</f>
        <v>159.29</v>
      </c>
      <c r="V89" s="320">
        <f>IFERROR(__xludf.DUMMYFUNCTION("""COMPUTED_VALUE"""),3.9206)</f>
        <v>3.9206</v>
      </c>
      <c r="W89" s="320">
        <f>IFERROR(__xludf.DUMMYFUNCTION("""COMPUTED_VALUE"""),2.96)</f>
        <v>2.96</v>
      </c>
      <c r="X89" s="320">
        <f>IFERROR(__xludf.DUMMYFUNCTION("""COMPUTED_VALUE"""),136.0)</f>
        <v>136</v>
      </c>
      <c r="Y89" s="320">
        <f>IFERROR(__xludf.DUMMYFUNCTION("""COMPUTED_VALUE"""),1028.0)</f>
        <v>1028</v>
      </c>
      <c r="Z89" s="320">
        <f>IFERROR(__xludf.DUMMYFUNCTION("""COMPUTED_VALUE"""),6490.0)</f>
        <v>6490</v>
      </c>
      <c r="AA89" s="320">
        <f>IFERROR(__xludf.DUMMYFUNCTION("""COMPUTED_VALUE"""),55.3191)</f>
        <v>55.3191</v>
      </c>
      <c r="AB89" s="320">
        <f>IFERROR(__xludf.DUMMYFUNCTION("""COMPUTED_VALUE"""),0.7271)</f>
        <v>0.7271</v>
      </c>
      <c r="AC89" s="320">
        <f>IFERROR(__xludf.DUMMYFUNCTION("""COMPUTED_VALUE"""),16.67)</f>
        <v>16.67</v>
      </c>
      <c r="AD89" s="320">
        <f>IFERROR(__xludf.DUMMYFUNCTION("""COMPUTED_VALUE"""),6.0)</f>
        <v>6</v>
      </c>
      <c r="AE89" s="320">
        <f>IFERROR(__xludf.DUMMYFUNCTION("""COMPUTED_VALUE"""),13.0)</f>
        <v>13</v>
      </c>
      <c r="AF89" s="320">
        <f>IFERROR(__xludf.DUMMYFUNCTION("""COMPUTED_VALUE"""),23.0)</f>
        <v>23</v>
      </c>
      <c r="AG89" s="320">
        <f>IFERROR(__xludf.DUMMYFUNCTION("""COMPUTED_VALUE"""),35.0)</f>
        <v>35</v>
      </c>
      <c r="AH89" s="320">
        <f>IFERROR(__xludf.DUMMYFUNCTION("""COMPUTED_VALUE"""),55.62)</f>
        <v>55.62</v>
      </c>
      <c r="AI89" s="320">
        <f>IFERROR(__xludf.DUMMYFUNCTION("""COMPUTED_VALUE"""),20.99)</f>
        <v>20.99</v>
      </c>
      <c r="AJ89" s="320">
        <f>IFERROR(__xludf.DUMMYFUNCTION("""COMPUTED_VALUE"""),6.14)</f>
        <v>6.14</v>
      </c>
      <c r="AK89" s="320">
        <f>IFERROR(__xludf.DUMMYFUNCTION("""COMPUTED_VALUE"""),0.1739)</f>
        <v>0.1739</v>
      </c>
      <c r="AL89" s="320">
        <f>IFERROR(__xludf.DUMMYFUNCTION("""COMPUTED_VALUE"""),20.34)</f>
        <v>20.34</v>
      </c>
      <c r="AM89" s="320">
        <f>IFERROR(__xludf.DUMMYFUNCTION("""COMPUTED_VALUE"""),53.75)</f>
        <v>53.75</v>
      </c>
      <c r="AN89" s="320">
        <f>IFERROR(__xludf.DUMMYFUNCTION("""COMPUTED_VALUE"""),78.21)</f>
        <v>78.21</v>
      </c>
      <c r="AO89" s="320">
        <f>IFERROR(__xludf.DUMMYFUNCTION("""COMPUTED_VALUE"""),15.91)</f>
        <v>15.91</v>
      </c>
    </row>
    <row r="90" ht="15.75" customHeight="1">
      <c r="A90" s="330">
        <f>IFERROR(__xludf.DUMMYFUNCTION("""COMPUTED_VALUE"""),46064.0)</f>
        <v>46064</v>
      </c>
      <c r="B90" s="319" t="str">
        <f>IFERROR(__xludf.DUMMYFUNCTION("""COMPUTED_VALUE"""),"E. 40-99")</f>
        <v>E. 40-99</v>
      </c>
      <c r="C90" s="320">
        <f>IFERROR(__xludf.DUMMYFUNCTION("""COMPUTED_VALUE"""),5829.0)</f>
        <v>5829</v>
      </c>
      <c r="D90" s="320">
        <f>IFERROR(__xludf.DUMMYFUNCTION("""COMPUTED_VALUE"""),5.23)</f>
        <v>5.23</v>
      </c>
      <c r="E90" s="320">
        <f>IFERROR(__xludf.DUMMYFUNCTION("""COMPUTED_VALUE"""),0.0)</f>
        <v>0</v>
      </c>
      <c r="F90" s="320">
        <f>IFERROR(__xludf.DUMMYFUNCTION("""COMPUTED_VALUE"""),0.0)</f>
        <v>0</v>
      </c>
      <c r="G90" s="320">
        <f>IFERROR(__xludf.DUMMYFUNCTION("""COMPUTED_VALUE"""),0.0)</f>
        <v>0</v>
      </c>
      <c r="H90" s="106"/>
      <c r="I90" s="320">
        <f>IFERROR(__xludf.DUMMYFUNCTION("""COMPUTED_VALUE"""),134.8)</f>
        <v>134.8</v>
      </c>
      <c r="J90" s="320">
        <f>IFERROR(__xludf.DUMMYFUNCTION("""COMPUTED_VALUE"""),71.11)</f>
        <v>71.11</v>
      </c>
      <c r="K90" s="320">
        <f>IFERROR(__xludf.DUMMYFUNCTION("""COMPUTED_VALUE"""),54.2)</f>
        <v>54.2</v>
      </c>
      <c r="L90" s="320">
        <f>IFERROR(__xludf.DUMMYFUNCTION("""COMPUTED_VALUE"""),0.7622)</f>
        <v>0.7622</v>
      </c>
      <c r="M90" s="320">
        <f>IFERROR(__xludf.DUMMYFUNCTION("""COMPUTED_VALUE"""),0.4147)</f>
        <v>0.4147</v>
      </c>
      <c r="N90" s="320">
        <f>IFERROR(__xludf.DUMMYFUNCTION("""COMPUTED_VALUE"""),0.2915)</f>
        <v>0.2915</v>
      </c>
      <c r="O90" s="320">
        <f>IFERROR(__xludf.DUMMYFUNCTION("""COMPUTED_VALUE"""),1.312)</f>
        <v>1.312</v>
      </c>
      <c r="P90" s="320">
        <f>IFERROR(__xludf.DUMMYFUNCTION("""COMPUTED_VALUE"""),215.3)</f>
        <v>215.3</v>
      </c>
      <c r="Q90" s="320">
        <f>IFERROR(__xludf.DUMMYFUNCTION("""COMPUTED_VALUE"""),101.04)</f>
        <v>101.04</v>
      </c>
      <c r="R90" s="320">
        <f>IFERROR(__xludf.DUMMYFUNCTION("""COMPUTED_VALUE"""),114.26)</f>
        <v>114.26</v>
      </c>
      <c r="S90" s="320">
        <f>IFERROR(__xludf.DUMMYFUNCTION("""COMPUTED_VALUE"""),0.51)</f>
        <v>0.51</v>
      </c>
      <c r="T90" s="320">
        <f>IFERROR(__xludf.DUMMYFUNCTION("""COMPUTED_VALUE"""),214.79)</f>
        <v>214.79</v>
      </c>
      <c r="U90" s="320">
        <f>IFERROR(__xludf.DUMMYFUNCTION("""COMPUTED_VALUE"""),302.5)</f>
        <v>302.5</v>
      </c>
      <c r="V90" s="320">
        <f>IFERROR(__xludf.DUMMYFUNCTION("""COMPUTED_VALUE"""),4.2539)</f>
        <v>4.2539</v>
      </c>
      <c r="W90" s="320">
        <f>IFERROR(__xludf.DUMMYFUNCTION("""COMPUTED_VALUE"""),0.24)</f>
        <v>0.24</v>
      </c>
      <c r="X90" s="320">
        <f>IFERROR(__xludf.DUMMYFUNCTION("""COMPUTED_VALUE"""),213.0)</f>
        <v>213</v>
      </c>
      <c r="Y90" s="320">
        <f>IFERROR(__xludf.DUMMYFUNCTION("""COMPUTED_VALUE"""),2348.0)</f>
        <v>2348</v>
      </c>
      <c r="Z90" s="320">
        <f>IFERROR(__xludf.DUMMYFUNCTION("""COMPUTED_VALUE"""),9178.0)</f>
        <v>9178</v>
      </c>
      <c r="AA90" s="320">
        <f>IFERROR(__xludf.DUMMYFUNCTION("""COMPUTED_VALUE"""),59.3819)</f>
        <v>59.3819</v>
      </c>
      <c r="AB90" s="320">
        <f>IFERROR(__xludf.DUMMYFUNCTION("""COMPUTED_VALUE"""),0.8262)</f>
        <v>0.8262</v>
      </c>
      <c r="AC90" s="320">
        <f>IFERROR(__xludf.DUMMYFUNCTION("""COMPUTED_VALUE"""),36.07)</f>
        <v>36.07</v>
      </c>
      <c r="AD90" s="320">
        <f>IFERROR(__xludf.DUMMYFUNCTION("""COMPUTED_VALUE"""),13.0)</f>
        <v>13</v>
      </c>
      <c r="AE90" s="320">
        <f>IFERROR(__xludf.DUMMYFUNCTION("""COMPUTED_VALUE"""),27.0)</f>
        <v>27</v>
      </c>
      <c r="AF90" s="320">
        <f>IFERROR(__xludf.DUMMYFUNCTION("""COMPUTED_VALUE"""),50.0)</f>
        <v>50</v>
      </c>
      <c r="AG90" s="320">
        <f>IFERROR(__xludf.DUMMYFUNCTION("""COMPUTED_VALUE"""),78.0)</f>
        <v>78</v>
      </c>
      <c r="AH90" s="320">
        <f>IFERROR(__xludf.DUMMYFUNCTION("""COMPUTED_VALUE"""),48.55)</f>
        <v>48.55</v>
      </c>
      <c r="AI90" s="320">
        <f>IFERROR(__xludf.DUMMYFUNCTION("""COMPUTED_VALUE"""),18.75)</f>
        <v>18.75</v>
      </c>
      <c r="AJ90" s="320">
        <f>IFERROR(__xludf.DUMMYFUNCTION("""COMPUTED_VALUE"""),4.89)</f>
        <v>4.89</v>
      </c>
      <c r="AK90" s="320">
        <f>IFERROR(__xludf.DUMMYFUNCTION("""COMPUTED_VALUE"""),0.1251)</f>
        <v>0.1251</v>
      </c>
      <c r="AL90" s="320">
        <f>IFERROR(__xludf.DUMMYFUNCTION("""COMPUTED_VALUE"""),20.41)</f>
        <v>20.41</v>
      </c>
      <c r="AM90" s="320">
        <f>IFERROR(__xludf.DUMMYFUNCTION("""COMPUTED_VALUE"""),80.63)</f>
        <v>80.63</v>
      </c>
      <c r="AN90" s="320">
        <f>IFERROR(__xludf.DUMMYFUNCTION("""COMPUTED_VALUE"""),83.44)</f>
        <v>83.44</v>
      </c>
      <c r="AO90" s="320">
        <f>IFERROR(__xludf.DUMMYFUNCTION("""COMPUTED_VALUE"""),17.03)</f>
        <v>17.03</v>
      </c>
    </row>
    <row r="91" ht="15.75" customHeight="1">
      <c r="A91" s="330">
        <f>IFERROR(__xludf.DUMMYFUNCTION("""COMPUTED_VALUE"""),46064.0)</f>
        <v>46064</v>
      </c>
      <c r="B91" s="319" t="str">
        <f>IFERROR(__xludf.DUMMYFUNCTION("""COMPUTED_VALUE"""),"F. 100+")</f>
        <v>F. 100+</v>
      </c>
      <c r="C91" s="320">
        <f>IFERROR(__xludf.DUMMYFUNCTION("""COMPUTED_VALUE"""),610.0)</f>
        <v>610</v>
      </c>
      <c r="D91" s="320">
        <f>IFERROR(__xludf.DUMMYFUNCTION("""COMPUTED_VALUE"""),0.55)</f>
        <v>0.55</v>
      </c>
      <c r="E91" s="320">
        <f>IFERROR(__xludf.DUMMYFUNCTION("""COMPUTED_VALUE"""),0.0)</f>
        <v>0</v>
      </c>
      <c r="F91" s="320">
        <f>IFERROR(__xludf.DUMMYFUNCTION("""COMPUTED_VALUE"""),0.0)</f>
        <v>0</v>
      </c>
      <c r="G91" s="320">
        <f>IFERROR(__xludf.DUMMYFUNCTION("""COMPUTED_VALUE"""),0.0)</f>
        <v>0</v>
      </c>
      <c r="H91" s="106"/>
      <c r="I91" s="320">
        <f>IFERROR(__xludf.DUMMYFUNCTION("""COMPUTED_VALUE"""),249.26)</f>
        <v>249.26</v>
      </c>
      <c r="J91" s="320">
        <f>IFERROR(__xludf.DUMMYFUNCTION("""COMPUTED_VALUE"""),146.06)</f>
        <v>146.06</v>
      </c>
      <c r="K91" s="320">
        <f>IFERROR(__xludf.DUMMYFUNCTION("""COMPUTED_VALUE"""),125.82)</f>
        <v>125.82</v>
      </c>
      <c r="L91" s="320">
        <f>IFERROR(__xludf.DUMMYFUNCTION("""COMPUTED_VALUE"""),0.8614)</f>
        <v>0.8614</v>
      </c>
      <c r="M91" s="320">
        <f>IFERROR(__xludf.DUMMYFUNCTION("""COMPUTED_VALUE"""),0.2862)</f>
        <v>0.2862</v>
      </c>
      <c r="N91" s="320">
        <f>IFERROR(__xludf.DUMMYFUNCTION("""COMPUTED_VALUE"""),0.2119)</f>
        <v>0.2119</v>
      </c>
      <c r="O91" s="320">
        <f>IFERROR(__xludf.DUMMYFUNCTION("""COMPUTED_VALUE"""),1.1608)</f>
        <v>1.1608</v>
      </c>
      <c r="P91" s="320">
        <f>IFERROR(__xludf.DUMMYFUNCTION("""COMPUTED_VALUE"""),437.93)</f>
        <v>437.93</v>
      </c>
      <c r="Q91" s="320">
        <f>IFERROR(__xludf.DUMMYFUNCTION("""COMPUTED_VALUE"""),172.19)</f>
        <v>172.19</v>
      </c>
      <c r="R91" s="320">
        <f>IFERROR(__xludf.DUMMYFUNCTION("""COMPUTED_VALUE"""),265.75)</f>
        <v>265.75</v>
      </c>
      <c r="S91" s="320">
        <f>IFERROR(__xludf.DUMMYFUNCTION("""COMPUTED_VALUE"""),0.0)</f>
        <v>0</v>
      </c>
      <c r="T91" s="320">
        <f>IFERROR(__xludf.DUMMYFUNCTION("""COMPUTED_VALUE"""),437.93)</f>
        <v>437.93</v>
      </c>
      <c r="U91" s="320">
        <f>IFERROR(__xludf.DUMMYFUNCTION("""COMPUTED_VALUE"""),578.52)</f>
        <v>578.52</v>
      </c>
      <c r="V91" s="320">
        <f>IFERROR(__xludf.DUMMYFUNCTION("""COMPUTED_VALUE"""),3.9609)</f>
        <v>3.9609</v>
      </c>
      <c r="W91" s="320">
        <f>IFERROR(__xludf.DUMMYFUNCTION("""COMPUTED_VALUE"""),0.0)</f>
        <v>0</v>
      </c>
      <c r="X91" s="320">
        <f>IFERROR(__xludf.DUMMYFUNCTION("""COMPUTED_VALUE"""),783.0)</f>
        <v>783</v>
      </c>
      <c r="Y91" s="320">
        <f>IFERROR(__xludf.DUMMYFUNCTION("""COMPUTED_VALUE"""),3625.0)</f>
        <v>3625</v>
      </c>
      <c r="Z91" s="320">
        <f>IFERROR(__xludf.DUMMYFUNCTION("""COMPUTED_VALUE"""),10895.0)</f>
        <v>10895</v>
      </c>
      <c r="AA91" s="320">
        <f>IFERROR(__xludf.DUMMYFUNCTION("""COMPUTED_VALUE"""),63.5845)</f>
        <v>63.5845</v>
      </c>
      <c r="AB91" s="320">
        <f>IFERROR(__xludf.DUMMYFUNCTION("""COMPUTED_VALUE"""),0.8915)</f>
        <v>0.8915</v>
      </c>
      <c r="AC91" s="320">
        <f>IFERROR(__xludf.DUMMYFUNCTION("""COMPUTED_VALUE"""),84.52)</f>
        <v>84.52</v>
      </c>
      <c r="AD91" s="320">
        <f>IFERROR(__xludf.DUMMYFUNCTION("""COMPUTED_VALUE"""),31.0)</f>
        <v>31</v>
      </c>
      <c r="AE91" s="320">
        <f>IFERROR(__xludf.DUMMYFUNCTION("""COMPUTED_VALUE"""),66.0)</f>
        <v>66</v>
      </c>
      <c r="AF91" s="320">
        <f>IFERROR(__xludf.DUMMYFUNCTION("""COMPUTED_VALUE"""),122.0)</f>
        <v>122</v>
      </c>
      <c r="AG91" s="320">
        <f>IFERROR(__xludf.DUMMYFUNCTION("""COMPUTED_VALUE"""),174.0)</f>
        <v>174</v>
      </c>
      <c r="AH91" s="320">
        <f>IFERROR(__xludf.DUMMYFUNCTION("""COMPUTED_VALUE"""),44.59)</f>
        <v>44.59</v>
      </c>
      <c r="AI91" s="320">
        <f>IFERROR(__xludf.DUMMYFUNCTION("""COMPUTED_VALUE"""),9.02)</f>
        <v>9.02</v>
      </c>
      <c r="AJ91" s="320">
        <f>IFERROR(__xludf.DUMMYFUNCTION("""COMPUTED_VALUE"""),1.15)</f>
        <v>1.15</v>
      </c>
      <c r="AK91" s="320">
        <f>IFERROR(__xludf.DUMMYFUNCTION("""COMPUTED_VALUE"""),0.1049)</f>
        <v>0.1049</v>
      </c>
      <c r="AL91" s="320">
        <f>IFERROR(__xludf.DUMMYFUNCTION("""COMPUTED_VALUE"""),21.62)</f>
        <v>21.62</v>
      </c>
      <c r="AM91" s="320">
        <f>IFERROR(__xludf.DUMMYFUNCTION("""COMPUTED_VALUE"""),150.56)</f>
        <v>150.56</v>
      </c>
      <c r="AN91" s="320">
        <f>IFERROR(__xludf.DUMMYFUNCTION("""COMPUTED_VALUE"""),85.06)</f>
        <v>85.06</v>
      </c>
      <c r="AO91" s="320">
        <f>IFERROR(__xludf.DUMMYFUNCTION("""COMPUTED_VALUE"""),18.39)</f>
        <v>18.39</v>
      </c>
    </row>
    <row r="92" ht="15.75" customHeight="1">
      <c r="A92" s="330">
        <f>IFERROR(__xludf.DUMMYFUNCTION("""COMPUTED_VALUE"""),46065.0)</f>
        <v>46065</v>
      </c>
      <c r="B92" s="319" t="str">
        <f>IFERROR(__xludf.DUMMYFUNCTION("""COMPUTED_VALUE"""),"A. 0")</f>
        <v>A. 0</v>
      </c>
      <c r="C92" s="320">
        <f>IFERROR(__xludf.DUMMYFUNCTION("""COMPUTED_VALUE"""),22042.0)</f>
        <v>22042</v>
      </c>
      <c r="D92" s="320">
        <f>IFERROR(__xludf.DUMMYFUNCTION("""COMPUTED_VALUE"""),20.15)</f>
        <v>20.15</v>
      </c>
      <c r="E92" s="320">
        <f>IFERROR(__xludf.DUMMYFUNCTION("""COMPUTED_VALUE"""),0.0)</f>
        <v>0</v>
      </c>
      <c r="F92" s="320">
        <f>IFERROR(__xludf.DUMMYFUNCTION("""COMPUTED_VALUE"""),0.0)</f>
        <v>0</v>
      </c>
      <c r="G92" s="320">
        <f>IFERROR(__xludf.DUMMYFUNCTION("""COMPUTED_VALUE"""),0.0)</f>
        <v>0</v>
      </c>
      <c r="H92" s="106"/>
      <c r="I92" s="320">
        <f>IFERROR(__xludf.DUMMYFUNCTION("""COMPUTED_VALUE"""),6.32)</f>
        <v>6.32</v>
      </c>
      <c r="J92" s="320">
        <f>IFERROR(__xludf.DUMMYFUNCTION("""COMPUTED_VALUE"""),2.59)</f>
        <v>2.59</v>
      </c>
      <c r="K92" s="320">
        <f>IFERROR(__xludf.DUMMYFUNCTION("""COMPUTED_VALUE"""),0.03)</f>
        <v>0.03</v>
      </c>
      <c r="L92" s="320">
        <f>IFERROR(__xludf.DUMMYFUNCTION("""COMPUTED_VALUE"""),0.0132)</f>
        <v>0.0132</v>
      </c>
      <c r="M92" s="320">
        <f>IFERROR(__xludf.DUMMYFUNCTION("""COMPUTED_VALUE"""),0.9902)</f>
        <v>0.9902</v>
      </c>
      <c r="N92" s="320">
        <f>IFERROR(__xludf.DUMMYFUNCTION("""COMPUTED_VALUE"""),0.8697)</f>
        <v>0.8697</v>
      </c>
      <c r="O92" s="320">
        <f>IFERROR(__xludf.DUMMYFUNCTION("""COMPUTED_VALUE"""),75.6233)</f>
        <v>75.6233</v>
      </c>
      <c r="P92" s="320">
        <f>IFERROR(__xludf.DUMMYFUNCTION("""COMPUTED_VALUE"""),23.07)</f>
        <v>23.07</v>
      </c>
      <c r="Q92" s="320">
        <f>IFERROR(__xludf.DUMMYFUNCTION("""COMPUTED_VALUE"""),22.83)</f>
        <v>22.83</v>
      </c>
      <c r="R92" s="320">
        <f>IFERROR(__xludf.DUMMYFUNCTION("""COMPUTED_VALUE"""),0.23)</f>
        <v>0.23</v>
      </c>
      <c r="S92" s="320">
        <f>IFERROR(__xludf.DUMMYFUNCTION("""COMPUTED_VALUE"""),0.0)</f>
        <v>0</v>
      </c>
      <c r="T92" s="320">
        <f>IFERROR(__xludf.DUMMYFUNCTION("""COMPUTED_VALUE"""),23.07)</f>
        <v>23.07</v>
      </c>
      <c r="U92" s="320">
        <f>IFERROR(__xludf.DUMMYFUNCTION("""COMPUTED_VALUE"""),2.19)</f>
        <v>2.19</v>
      </c>
      <c r="V92" s="320">
        <f>IFERROR(__xludf.DUMMYFUNCTION("""COMPUTED_VALUE"""),0.8453)</f>
        <v>0.8453</v>
      </c>
      <c r="W92" s="320">
        <f>IFERROR(__xludf.DUMMYFUNCTION("""COMPUTED_VALUE"""),0.0)</f>
        <v>0</v>
      </c>
      <c r="X92" s="320">
        <f>IFERROR(__xludf.DUMMYFUNCTION("""COMPUTED_VALUE"""),281.0)</f>
        <v>281</v>
      </c>
      <c r="Y92" s="320">
        <f>IFERROR(__xludf.DUMMYFUNCTION("""COMPUTED_VALUE"""),3199.0)</f>
        <v>3199</v>
      </c>
      <c r="Z92" s="320">
        <f>IFERROR(__xludf.DUMMYFUNCTION("""COMPUTED_VALUE"""),13597.0)</f>
        <v>13597</v>
      </c>
      <c r="AA92" s="320">
        <f>IFERROR(__xludf.DUMMYFUNCTION("""COMPUTED_VALUE"""),48.9371)</f>
        <v>48.9371</v>
      </c>
      <c r="AB92" s="320">
        <f>IFERROR(__xludf.DUMMYFUNCTION("""COMPUTED_VALUE"""),0.5459)</f>
        <v>0.5459</v>
      </c>
      <c r="AC92" s="106"/>
      <c r="AD92" s="106"/>
      <c r="AE92" s="106"/>
      <c r="AF92" s="106"/>
      <c r="AG92" s="106"/>
      <c r="AH92" s="320">
        <f>IFERROR(__xludf.DUMMYFUNCTION("""COMPUTED_VALUE"""),0.0)</f>
        <v>0</v>
      </c>
      <c r="AI92" s="320">
        <f>IFERROR(__xludf.DUMMYFUNCTION("""COMPUTED_VALUE"""),0.0)</f>
        <v>0</v>
      </c>
      <c r="AJ92" s="320">
        <f>IFERROR(__xludf.DUMMYFUNCTION("""COMPUTED_VALUE"""),0.0)</f>
        <v>0</v>
      </c>
      <c r="AK92" s="320">
        <f>IFERROR(__xludf.DUMMYFUNCTION("""COMPUTED_VALUE"""),0.2954)</f>
        <v>0.2954</v>
      </c>
      <c r="AL92" s="320">
        <f>IFERROR(__xludf.DUMMYFUNCTION("""COMPUTED_VALUE"""),16.51)</f>
        <v>16.51</v>
      </c>
      <c r="AM92" s="320">
        <f>IFERROR(__xludf.DUMMYFUNCTION("""COMPUTED_VALUE"""),6.32)</f>
        <v>6.32</v>
      </c>
      <c r="AN92" s="331"/>
      <c r="AO92" s="331"/>
    </row>
    <row r="93" ht="15.75" customHeight="1">
      <c r="A93" s="330">
        <f>IFERROR(__xludf.DUMMYFUNCTION("""COMPUTED_VALUE"""),46065.0)</f>
        <v>46065</v>
      </c>
      <c r="B93" s="319" t="str">
        <f>IFERROR(__xludf.DUMMYFUNCTION("""COMPUTED_VALUE"""),"B. 1-9")</f>
        <v>B. 1-9</v>
      </c>
      <c r="C93" s="320">
        <f>IFERROR(__xludf.DUMMYFUNCTION("""COMPUTED_VALUE"""),39041.0)</f>
        <v>39041</v>
      </c>
      <c r="D93" s="320">
        <f>IFERROR(__xludf.DUMMYFUNCTION("""COMPUTED_VALUE"""),35.69)</f>
        <v>35.69</v>
      </c>
      <c r="E93" s="320">
        <f>IFERROR(__xludf.DUMMYFUNCTION("""COMPUTED_VALUE"""),0.0)</f>
        <v>0</v>
      </c>
      <c r="F93" s="320">
        <f>IFERROR(__xludf.DUMMYFUNCTION("""COMPUTED_VALUE"""),0.0)</f>
        <v>0</v>
      </c>
      <c r="G93" s="320">
        <f>IFERROR(__xludf.DUMMYFUNCTION("""COMPUTED_VALUE"""),0.0)</f>
        <v>0</v>
      </c>
      <c r="H93" s="106"/>
      <c r="I93" s="320">
        <f>IFERROR(__xludf.DUMMYFUNCTION("""COMPUTED_VALUE"""),27.94)</f>
        <v>27.94</v>
      </c>
      <c r="J93" s="320">
        <f>IFERROR(__xludf.DUMMYFUNCTION("""COMPUTED_VALUE"""),12.44)</f>
        <v>12.44</v>
      </c>
      <c r="K93" s="320">
        <f>IFERROR(__xludf.DUMMYFUNCTION("""COMPUTED_VALUE"""),5.33)</f>
        <v>5.33</v>
      </c>
      <c r="L93" s="320">
        <f>IFERROR(__xludf.DUMMYFUNCTION("""COMPUTED_VALUE"""),0.4282)</f>
        <v>0.4282</v>
      </c>
      <c r="M93" s="320">
        <f>IFERROR(__xludf.DUMMYFUNCTION("""COMPUTED_VALUE"""),0.7497)</f>
        <v>0.7497</v>
      </c>
      <c r="N93" s="320">
        <f>IFERROR(__xludf.DUMMYFUNCTION("""COMPUTED_VALUE"""),0.5625)</f>
        <v>0.5625</v>
      </c>
      <c r="O93" s="320">
        <f>IFERROR(__xludf.DUMMYFUNCTION("""COMPUTED_VALUE"""),2.3352)</f>
        <v>2.3352</v>
      </c>
      <c r="P93" s="320">
        <f>IFERROR(__xludf.DUMMYFUNCTION("""COMPUTED_VALUE"""),46.7)</f>
        <v>46.7</v>
      </c>
      <c r="Q93" s="320">
        <f>IFERROR(__xludf.DUMMYFUNCTION("""COMPUTED_VALUE"""),35.57)</f>
        <v>35.57</v>
      </c>
      <c r="R93" s="320">
        <f>IFERROR(__xludf.DUMMYFUNCTION("""COMPUTED_VALUE"""),11.13)</f>
        <v>11.13</v>
      </c>
      <c r="S93" s="320">
        <f>IFERROR(__xludf.DUMMYFUNCTION("""COMPUTED_VALUE"""),0.17)</f>
        <v>0.17</v>
      </c>
      <c r="T93" s="320">
        <f>IFERROR(__xludf.DUMMYFUNCTION("""COMPUTED_VALUE"""),46.53)</f>
        <v>46.53</v>
      </c>
      <c r="U93" s="320">
        <f>IFERROR(__xludf.DUMMYFUNCTION("""COMPUTED_VALUE"""),49.68)</f>
        <v>49.68</v>
      </c>
      <c r="V93" s="320">
        <f>IFERROR(__xludf.DUMMYFUNCTION("""COMPUTED_VALUE"""),3.9928)</f>
        <v>3.9928</v>
      </c>
      <c r="W93" s="320">
        <f>IFERROR(__xludf.DUMMYFUNCTION("""COMPUTED_VALUE"""),0.36)</f>
        <v>0.36</v>
      </c>
      <c r="X93" s="320">
        <f>IFERROR(__xludf.DUMMYFUNCTION("""COMPUTED_VALUE"""),140.0)</f>
        <v>140</v>
      </c>
      <c r="Y93" s="320">
        <f>IFERROR(__xludf.DUMMYFUNCTION("""COMPUTED_VALUE"""),955.0)</f>
        <v>955</v>
      </c>
      <c r="Z93" s="320">
        <f>IFERROR(__xludf.DUMMYFUNCTION("""COMPUTED_VALUE"""),6110.0)</f>
        <v>6110</v>
      </c>
      <c r="AA93" s="320">
        <f>IFERROR(__xludf.DUMMYFUNCTION("""COMPUTED_VALUE"""),48.7509)</f>
        <v>48.7509</v>
      </c>
      <c r="AB93" s="320">
        <f>IFERROR(__xludf.DUMMYFUNCTION("""COMPUTED_VALUE"""),0.5412)</f>
        <v>0.5412</v>
      </c>
      <c r="AC93" s="320">
        <f>IFERROR(__xludf.DUMMYFUNCTION("""COMPUTED_VALUE"""),3.86)</f>
        <v>3.86</v>
      </c>
      <c r="AD93" s="320">
        <f>IFERROR(__xludf.DUMMYFUNCTION("""COMPUTED_VALUE"""),1.0)</f>
        <v>1</v>
      </c>
      <c r="AE93" s="320">
        <f>IFERROR(__xludf.DUMMYFUNCTION("""COMPUTED_VALUE"""),3.0)</f>
        <v>3</v>
      </c>
      <c r="AF93" s="320">
        <f>IFERROR(__xludf.DUMMYFUNCTION("""COMPUTED_VALUE"""),5.0)</f>
        <v>5</v>
      </c>
      <c r="AG93" s="320">
        <f>IFERROR(__xludf.DUMMYFUNCTION("""COMPUTED_VALUE"""),9.0)</f>
        <v>9</v>
      </c>
      <c r="AH93" s="320">
        <f>IFERROR(__xludf.DUMMYFUNCTION("""COMPUTED_VALUE"""),71.25)</f>
        <v>71.25</v>
      </c>
      <c r="AI93" s="320">
        <f>IFERROR(__xludf.DUMMYFUNCTION("""COMPUTED_VALUE"""),29.51)</f>
        <v>29.51</v>
      </c>
      <c r="AJ93" s="320">
        <f>IFERROR(__xludf.DUMMYFUNCTION("""COMPUTED_VALUE"""),8.13)</f>
        <v>8.13</v>
      </c>
      <c r="AK93" s="320">
        <f>IFERROR(__xludf.DUMMYFUNCTION("""COMPUTED_VALUE"""),0.2598)</f>
        <v>0.2598</v>
      </c>
      <c r="AL93" s="320">
        <f>IFERROR(__xludf.DUMMYFUNCTION("""COMPUTED_VALUE"""),19.18)</f>
        <v>19.18</v>
      </c>
      <c r="AM93" s="320">
        <f>IFERROR(__xludf.DUMMYFUNCTION("""COMPUTED_VALUE"""),16.39)</f>
        <v>16.39</v>
      </c>
      <c r="AN93" s="320">
        <f>IFERROR(__xludf.DUMMYFUNCTION("""COMPUTED_VALUE"""),66.44)</f>
        <v>66.44</v>
      </c>
      <c r="AO93" s="320">
        <f>IFERROR(__xludf.DUMMYFUNCTION("""COMPUTED_VALUE"""),12.74)</f>
        <v>12.74</v>
      </c>
    </row>
    <row r="94" ht="15.75" customHeight="1">
      <c r="A94" s="330">
        <f>IFERROR(__xludf.DUMMYFUNCTION("""COMPUTED_VALUE"""),46065.0)</f>
        <v>46065</v>
      </c>
      <c r="B94" s="319" t="str">
        <f>IFERROR(__xludf.DUMMYFUNCTION("""COMPUTED_VALUE"""),"C. 10-19")</f>
        <v>C. 10-19</v>
      </c>
      <c r="C94" s="320">
        <f>IFERROR(__xludf.DUMMYFUNCTION("""COMPUTED_VALUE"""),27276.0)</f>
        <v>27276</v>
      </c>
      <c r="D94" s="320">
        <f>IFERROR(__xludf.DUMMYFUNCTION("""COMPUTED_VALUE"""),24.94)</f>
        <v>24.94</v>
      </c>
      <c r="E94" s="320">
        <f>IFERROR(__xludf.DUMMYFUNCTION("""COMPUTED_VALUE"""),0.0)</f>
        <v>0</v>
      </c>
      <c r="F94" s="320">
        <f>IFERROR(__xludf.DUMMYFUNCTION("""COMPUTED_VALUE"""),0.0)</f>
        <v>0</v>
      </c>
      <c r="G94" s="320">
        <f>IFERROR(__xludf.DUMMYFUNCTION("""COMPUTED_VALUE"""),0.0)</f>
        <v>0</v>
      </c>
      <c r="H94" s="106"/>
      <c r="I94" s="320">
        <f>IFERROR(__xludf.DUMMYFUNCTION("""COMPUTED_VALUE"""),50.95)</f>
        <v>50.95</v>
      </c>
      <c r="J94" s="320">
        <f>IFERROR(__xludf.DUMMYFUNCTION("""COMPUTED_VALUE"""),23.68)</f>
        <v>23.68</v>
      </c>
      <c r="K94" s="320">
        <f>IFERROR(__xludf.DUMMYFUNCTION("""COMPUTED_VALUE"""),13.25)</f>
        <v>13.25</v>
      </c>
      <c r="L94" s="320">
        <f>IFERROR(__xludf.DUMMYFUNCTION("""COMPUTED_VALUE"""),0.5596)</f>
        <v>0.5596</v>
      </c>
      <c r="M94" s="320">
        <f>IFERROR(__xludf.DUMMYFUNCTION("""COMPUTED_VALUE"""),0.6388)</f>
        <v>0.6388</v>
      </c>
      <c r="N94" s="320">
        <f>IFERROR(__xludf.DUMMYFUNCTION("""COMPUTED_VALUE"""),0.4533)</f>
        <v>0.4533</v>
      </c>
      <c r="O94" s="320">
        <f>IFERROR(__xludf.DUMMYFUNCTION("""COMPUTED_VALUE"""),1.7871)</f>
        <v>1.7871</v>
      </c>
      <c r="P94" s="320">
        <f>IFERROR(__xludf.DUMMYFUNCTION("""COMPUTED_VALUE"""),91.44)</f>
        <v>91.44</v>
      </c>
      <c r="Q94" s="320">
        <f>IFERROR(__xludf.DUMMYFUNCTION("""COMPUTED_VALUE"""),64.39)</f>
        <v>64.39</v>
      </c>
      <c r="R94" s="320">
        <f>IFERROR(__xludf.DUMMYFUNCTION("""COMPUTED_VALUE"""),27.05)</f>
        <v>27.05</v>
      </c>
      <c r="S94" s="320">
        <f>IFERROR(__xludf.DUMMYFUNCTION("""COMPUTED_VALUE"""),0.84)</f>
        <v>0.84</v>
      </c>
      <c r="T94" s="320">
        <f>IFERROR(__xludf.DUMMYFUNCTION("""COMPUTED_VALUE"""),90.59)</f>
        <v>90.59</v>
      </c>
      <c r="U94" s="320">
        <f>IFERROR(__xludf.DUMMYFUNCTION("""COMPUTED_VALUE"""),91.2)</f>
        <v>91.2</v>
      </c>
      <c r="V94" s="320">
        <f>IFERROR(__xludf.DUMMYFUNCTION("""COMPUTED_VALUE"""),3.8521)</f>
        <v>3.8521</v>
      </c>
      <c r="W94" s="320">
        <f>IFERROR(__xludf.DUMMYFUNCTION("""COMPUTED_VALUE"""),0.92)</f>
        <v>0.92</v>
      </c>
      <c r="X94" s="320">
        <f>IFERROR(__xludf.DUMMYFUNCTION("""COMPUTED_VALUE"""),123.0)</f>
        <v>123</v>
      </c>
      <c r="Y94" s="320">
        <f>IFERROR(__xludf.DUMMYFUNCTION("""COMPUTED_VALUE"""),715.0)</f>
        <v>715</v>
      </c>
      <c r="Z94" s="320">
        <f>IFERROR(__xludf.DUMMYFUNCTION("""COMPUTED_VALUE"""),5506.0)</f>
        <v>5506</v>
      </c>
      <c r="AA94" s="320">
        <f>IFERROR(__xludf.DUMMYFUNCTION("""COMPUTED_VALUE"""),52.264)</f>
        <v>52.264</v>
      </c>
      <c r="AB94" s="320">
        <f>IFERROR(__xludf.DUMMYFUNCTION("""COMPUTED_VALUE"""),0.6307)</f>
        <v>0.6307</v>
      </c>
      <c r="AC94" s="320">
        <f>IFERROR(__xludf.DUMMYFUNCTION("""COMPUTED_VALUE"""),8.86)</f>
        <v>8.86</v>
      </c>
      <c r="AD94" s="320">
        <f>IFERROR(__xludf.DUMMYFUNCTION("""COMPUTED_VALUE"""),3.0)</f>
        <v>3</v>
      </c>
      <c r="AE94" s="320">
        <f>IFERROR(__xludf.DUMMYFUNCTION("""COMPUTED_VALUE"""),7.0)</f>
        <v>7</v>
      </c>
      <c r="AF94" s="320">
        <f>IFERROR(__xludf.DUMMYFUNCTION("""COMPUTED_VALUE"""),12.0)</f>
        <v>12</v>
      </c>
      <c r="AG94" s="320">
        <f>IFERROR(__xludf.DUMMYFUNCTION("""COMPUTED_VALUE"""),19.0)</f>
        <v>19</v>
      </c>
      <c r="AH94" s="320">
        <f>IFERROR(__xludf.DUMMYFUNCTION("""COMPUTED_VALUE"""),57.67)</f>
        <v>57.67</v>
      </c>
      <c r="AI94" s="320">
        <f>IFERROR(__xludf.DUMMYFUNCTION("""COMPUTED_VALUE"""),23.27)</f>
        <v>23.27</v>
      </c>
      <c r="AJ94" s="320">
        <f>IFERROR(__xludf.DUMMYFUNCTION("""COMPUTED_VALUE"""),3.96)</f>
        <v>3.96</v>
      </c>
      <c r="AK94" s="320">
        <f>IFERROR(__xludf.DUMMYFUNCTION("""COMPUTED_VALUE"""),0.2044)</f>
        <v>0.2044</v>
      </c>
      <c r="AL94" s="320">
        <f>IFERROR(__xludf.DUMMYFUNCTION("""COMPUTED_VALUE"""),19.87)</f>
        <v>19.87</v>
      </c>
      <c r="AM94" s="320">
        <f>IFERROR(__xludf.DUMMYFUNCTION("""COMPUTED_VALUE"""),44.52)</f>
        <v>44.52</v>
      </c>
      <c r="AN94" s="320">
        <f>IFERROR(__xludf.DUMMYFUNCTION("""COMPUTED_VALUE"""),75.25)</f>
        <v>75.25</v>
      </c>
      <c r="AO94" s="320">
        <f>IFERROR(__xludf.DUMMYFUNCTION("""COMPUTED_VALUE"""),14.95)</f>
        <v>14.95</v>
      </c>
    </row>
    <row r="95" ht="15.75" customHeight="1">
      <c r="A95" s="330">
        <f>IFERROR(__xludf.DUMMYFUNCTION("""COMPUTED_VALUE"""),46065.0)</f>
        <v>46065</v>
      </c>
      <c r="B95" s="319" t="str">
        <f>IFERROR(__xludf.DUMMYFUNCTION("""COMPUTED_VALUE"""),"D. 20-39")</f>
        <v>D. 20-39</v>
      </c>
      <c r="C95" s="320">
        <f>IFERROR(__xludf.DUMMYFUNCTION("""COMPUTED_VALUE"""),14661.0)</f>
        <v>14661</v>
      </c>
      <c r="D95" s="320">
        <f>IFERROR(__xludf.DUMMYFUNCTION("""COMPUTED_VALUE"""),13.4)</f>
        <v>13.4</v>
      </c>
      <c r="E95" s="320">
        <f>IFERROR(__xludf.DUMMYFUNCTION("""COMPUTED_VALUE"""),0.0)</f>
        <v>0</v>
      </c>
      <c r="F95" s="320">
        <f>IFERROR(__xludf.DUMMYFUNCTION("""COMPUTED_VALUE"""),0.0)</f>
        <v>0</v>
      </c>
      <c r="G95" s="320">
        <f>IFERROR(__xludf.DUMMYFUNCTION("""COMPUTED_VALUE"""),0.0)</f>
        <v>0</v>
      </c>
      <c r="H95" s="106"/>
      <c r="I95" s="320">
        <f>IFERROR(__xludf.DUMMYFUNCTION("""COMPUTED_VALUE"""),78.15)</f>
        <v>78.15</v>
      </c>
      <c r="J95" s="320">
        <f>IFERROR(__xludf.DUMMYFUNCTION("""COMPUTED_VALUE"""),38.46)</f>
        <v>38.46</v>
      </c>
      <c r="K95" s="320">
        <f>IFERROR(__xludf.DUMMYFUNCTION("""COMPUTED_VALUE"""),25.52)</f>
        <v>25.52</v>
      </c>
      <c r="L95" s="320">
        <f>IFERROR(__xludf.DUMMYFUNCTION("""COMPUTED_VALUE"""),0.6634)</f>
        <v>0.6634</v>
      </c>
      <c r="M95" s="320">
        <f>IFERROR(__xludf.DUMMYFUNCTION("""COMPUTED_VALUE"""),0.5303)</f>
        <v>0.5303</v>
      </c>
      <c r="N95" s="320">
        <f>IFERROR(__xludf.DUMMYFUNCTION("""COMPUTED_VALUE"""),0.3716)</f>
        <v>0.3716</v>
      </c>
      <c r="O95" s="320">
        <f>IFERROR(__xludf.DUMMYFUNCTION("""COMPUTED_VALUE"""),1.5073)</f>
        <v>1.5073</v>
      </c>
      <c r="P95" s="320">
        <f>IFERROR(__xludf.DUMMYFUNCTION("""COMPUTED_VALUE"""),179.1)</f>
        <v>179.1</v>
      </c>
      <c r="Q95" s="320">
        <f>IFERROR(__xludf.DUMMYFUNCTION("""COMPUTED_VALUE"""),125.36)</f>
        <v>125.36</v>
      </c>
      <c r="R95" s="320">
        <f>IFERROR(__xludf.DUMMYFUNCTION("""COMPUTED_VALUE"""),53.75)</f>
        <v>53.75</v>
      </c>
      <c r="S95" s="320">
        <f>IFERROR(__xludf.DUMMYFUNCTION("""COMPUTED_VALUE"""),0.83)</f>
        <v>0.83</v>
      </c>
      <c r="T95" s="320">
        <f>IFERROR(__xludf.DUMMYFUNCTION("""COMPUTED_VALUE"""),178.27)</f>
        <v>178.27</v>
      </c>
      <c r="U95" s="320">
        <f>IFERROR(__xludf.DUMMYFUNCTION("""COMPUTED_VALUE"""),164.01)</f>
        <v>164.01</v>
      </c>
      <c r="V95" s="320">
        <f>IFERROR(__xludf.DUMMYFUNCTION("""COMPUTED_VALUE"""),4.264)</f>
        <v>4.264</v>
      </c>
      <c r="W95" s="320">
        <f>IFERROR(__xludf.DUMMYFUNCTION("""COMPUTED_VALUE"""),0.46)</f>
        <v>0.46</v>
      </c>
      <c r="X95" s="320">
        <f>IFERROR(__xludf.DUMMYFUNCTION("""COMPUTED_VALUE"""),161.0)</f>
        <v>161</v>
      </c>
      <c r="Y95" s="320">
        <f>IFERROR(__xludf.DUMMYFUNCTION("""COMPUTED_VALUE"""),1056.0)</f>
        <v>1056</v>
      </c>
      <c r="Z95" s="320">
        <f>IFERROR(__xludf.DUMMYFUNCTION("""COMPUTED_VALUE"""),6439.0)</f>
        <v>6439</v>
      </c>
      <c r="AA95" s="320">
        <f>IFERROR(__xludf.DUMMYFUNCTION("""COMPUTED_VALUE"""),55.2065)</f>
        <v>55.2065</v>
      </c>
      <c r="AB95" s="320">
        <f>IFERROR(__xludf.DUMMYFUNCTION("""COMPUTED_VALUE"""),0.7246)</f>
        <v>0.7246</v>
      </c>
      <c r="AC95" s="320">
        <f>IFERROR(__xludf.DUMMYFUNCTION("""COMPUTED_VALUE"""),17.24)</f>
        <v>17.24</v>
      </c>
      <c r="AD95" s="320">
        <f>IFERROR(__xludf.DUMMYFUNCTION("""COMPUTED_VALUE"""),7.0)</f>
        <v>7</v>
      </c>
      <c r="AE95" s="320">
        <f>IFERROR(__xludf.DUMMYFUNCTION("""COMPUTED_VALUE"""),13.0)</f>
        <v>13</v>
      </c>
      <c r="AF95" s="320">
        <f>IFERROR(__xludf.DUMMYFUNCTION("""COMPUTED_VALUE"""),24.0)</f>
        <v>24</v>
      </c>
      <c r="AG95" s="320">
        <f>IFERROR(__xludf.DUMMYFUNCTION("""COMPUTED_VALUE"""),37.0)</f>
        <v>37</v>
      </c>
      <c r="AH95" s="320">
        <f>IFERROR(__xludf.DUMMYFUNCTION("""COMPUTED_VALUE"""),57.67)</f>
        <v>57.67</v>
      </c>
      <c r="AI95" s="320">
        <f>IFERROR(__xludf.DUMMYFUNCTION("""COMPUTED_VALUE"""),22.12)</f>
        <v>22.12</v>
      </c>
      <c r="AJ95" s="320">
        <f>IFERROR(__xludf.DUMMYFUNCTION("""COMPUTED_VALUE"""),6.81)</f>
        <v>6.81</v>
      </c>
      <c r="AK95" s="320">
        <f>IFERROR(__xludf.DUMMYFUNCTION("""COMPUTED_VALUE"""),0.1782)</f>
        <v>0.1782</v>
      </c>
      <c r="AL95" s="320">
        <f>IFERROR(__xludf.DUMMYFUNCTION("""COMPUTED_VALUE"""),20.67)</f>
        <v>20.67</v>
      </c>
      <c r="AM95" s="320">
        <f>IFERROR(__xludf.DUMMYFUNCTION("""COMPUTED_VALUE"""),104.68)</f>
        <v>104.68</v>
      </c>
      <c r="AN95" s="320">
        <f>IFERROR(__xludf.DUMMYFUNCTION("""COMPUTED_VALUE"""),79.15)</f>
        <v>79.15</v>
      </c>
      <c r="AO95" s="320">
        <f>IFERROR(__xludf.DUMMYFUNCTION("""COMPUTED_VALUE"""),16.36)</f>
        <v>16.36</v>
      </c>
    </row>
    <row r="96" ht="15.75" customHeight="1">
      <c r="A96" s="330">
        <f>IFERROR(__xludf.DUMMYFUNCTION("""COMPUTED_VALUE"""),46065.0)</f>
        <v>46065</v>
      </c>
      <c r="B96" s="319" t="str">
        <f>IFERROR(__xludf.DUMMYFUNCTION("""COMPUTED_VALUE"""),"E. 40-99")</f>
        <v>E. 40-99</v>
      </c>
      <c r="C96" s="320">
        <f>IFERROR(__xludf.DUMMYFUNCTION("""COMPUTED_VALUE"""),5767.0)</f>
        <v>5767</v>
      </c>
      <c r="D96" s="320">
        <f>IFERROR(__xludf.DUMMYFUNCTION("""COMPUTED_VALUE"""),5.27)</f>
        <v>5.27</v>
      </c>
      <c r="E96" s="320">
        <f>IFERROR(__xludf.DUMMYFUNCTION("""COMPUTED_VALUE"""),0.0)</f>
        <v>0</v>
      </c>
      <c r="F96" s="320">
        <f>IFERROR(__xludf.DUMMYFUNCTION("""COMPUTED_VALUE"""),0.0)</f>
        <v>0</v>
      </c>
      <c r="G96" s="320">
        <f>IFERROR(__xludf.DUMMYFUNCTION("""COMPUTED_VALUE"""),0.0)</f>
        <v>0</v>
      </c>
      <c r="H96" s="106"/>
      <c r="I96" s="320">
        <f>IFERROR(__xludf.DUMMYFUNCTION("""COMPUTED_VALUE"""),125.82)</f>
        <v>125.82</v>
      </c>
      <c r="J96" s="320">
        <f>IFERROR(__xludf.DUMMYFUNCTION("""COMPUTED_VALUE"""),67.17)</f>
        <v>67.17</v>
      </c>
      <c r="K96" s="320">
        <f>IFERROR(__xludf.DUMMYFUNCTION("""COMPUTED_VALUE"""),53.67)</f>
        <v>53.67</v>
      </c>
      <c r="L96" s="320">
        <f>IFERROR(__xludf.DUMMYFUNCTION("""COMPUTED_VALUE"""),0.7991)</f>
        <v>0.7991</v>
      </c>
      <c r="M96" s="320">
        <f>IFERROR(__xludf.DUMMYFUNCTION("""COMPUTED_VALUE"""),0.3842)</f>
        <v>0.3842</v>
      </c>
      <c r="N96" s="320">
        <f>IFERROR(__xludf.DUMMYFUNCTION("""COMPUTED_VALUE"""),0.2792)</f>
        <v>0.2792</v>
      </c>
      <c r="O96" s="320">
        <f>IFERROR(__xludf.DUMMYFUNCTION("""COMPUTED_VALUE"""),1.2515)</f>
        <v>1.2515</v>
      </c>
      <c r="P96" s="320">
        <f>IFERROR(__xludf.DUMMYFUNCTION("""COMPUTED_VALUE"""),389.64)</f>
        <v>389.64</v>
      </c>
      <c r="Q96" s="320">
        <f>IFERROR(__xludf.DUMMYFUNCTION("""COMPUTED_VALUE"""),275.68)</f>
        <v>275.68</v>
      </c>
      <c r="R96" s="320">
        <f>IFERROR(__xludf.DUMMYFUNCTION("""COMPUTED_VALUE"""),113.96)</f>
        <v>113.96</v>
      </c>
      <c r="S96" s="320">
        <f>IFERROR(__xludf.DUMMYFUNCTION("""COMPUTED_VALUE"""),1.17)</f>
        <v>1.17</v>
      </c>
      <c r="T96" s="320">
        <f>IFERROR(__xludf.DUMMYFUNCTION("""COMPUTED_VALUE"""),388.47)</f>
        <v>388.47</v>
      </c>
      <c r="U96" s="320">
        <f>IFERROR(__xludf.DUMMYFUNCTION("""COMPUTED_VALUE"""),325.88)</f>
        <v>325.88</v>
      </c>
      <c r="V96" s="320">
        <f>IFERROR(__xludf.DUMMYFUNCTION("""COMPUTED_VALUE"""),4.8516)</f>
        <v>4.8516</v>
      </c>
      <c r="W96" s="320">
        <f>IFERROR(__xludf.DUMMYFUNCTION("""COMPUTED_VALUE"""),0.3)</f>
        <v>0.3</v>
      </c>
      <c r="X96" s="320">
        <f>IFERROR(__xludf.DUMMYFUNCTION("""COMPUTED_VALUE"""),340.0)</f>
        <v>340</v>
      </c>
      <c r="Y96" s="320">
        <f>IFERROR(__xludf.DUMMYFUNCTION("""COMPUTED_VALUE"""),2603.0)</f>
        <v>2603</v>
      </c>
      <c r="Z96" s="320">
        <f>IFERROR(__xludf.DUMMYFUNCTION("""COMPUTED_VALUE"""),9829.0)</f>
        <v>9829</v>
      </c>
      <c r="AA96" s="320">
        <f>IFERROR(__xludf.DUMMYFUNCTION("""COMPUTED_VALUE"""),59.4536)</f>
        <v>59.4536</v>
      </c>
      <c r="AB96" s="320">
        <f>IFERROR(__xludf.DUMMYFUNCTION("""COMPUTED_VALUE"""),0.8173)</f>
        <v>0.8173</v>
      </c>
      <c r="AC96" s="320">
        <f>IFERROR(__xludf.DUMMYFUNCTION("""COMPUTED_VALUE"""),37.9)</f>
        <v>37.9</v>
      </c>
      <c r="AD96" s="320">
        <f>IFERROR(__xludf.DUMMYFUNCTION("""COMPUTED_VALUE"""),14.0)</f>
        <v>14</v>
      </c>
      <c r="AE96" s="320">
        <f>IFERROR(__xludf.DUMMYFUNCTION("""COMPUTED_VALUE"""),29.0)</f>
        <v>29</v>
      </c>
      <c r="AF96" s="320">
        <f>IFERROR(__xludf.DUMMYFUNCTION("""COMPUTED_VALUE"""),52.0)</f>
        <v>52</v>
      </c>
      <c r="AG96" s="320">
        <f>IFERROR(__xludf.DUMMYFUNCTION("""COMPUTED_VALUE"""),80.0)</f>
        <v>80</v>
      </c>
      <c r="AH96" s="320">
        <f>IFERROR(__xludf.DUMMYFUNCTION("""COMPUTED_VALUE"""),52.12)</f>
        <v>52.12</v>
      </c>
      <c r="AI96" s="320">
        <f>IFERROR(__xludf.DUMMYFUNCTION("""COMPUTED_VALUE"""),20.27)</f>
        <v>20.27</v>
      </c>
      <c r="AJ96" s="320">
        <f>IFERROR(__xludf.DUMMYFUNCTION("""COMPUTED_VALUE"""),5.29)</f>
        <v>5.29</v>
      </c>
      <c r="AK96" s="320">
        <f>IFERROR(__xludf.DUMMYFUNCTION("""COMPUTED_VALUE"""),0.1335)</f>
        <v>0.1335</v>
      </c>
      <c r="AL96" s="320">
        <f>IFERROR(__xludf.DUMMYFUNCTION("""COMPUTED_VALUE"""),21.36)</f>
        <v>21.36</v>
      </c>
      <c r="AM96" s="320">
        <f>IFERROR(__xludf.DUMMYFUNCTION("""COMPUTED_VALUE"""),254.32)</f>
        <v>254.32</v>
      </c>
      <c r="AN96" s="320">
        <f>IFERROR(__xludf.DUMMYFUNCTION("""COMPUTED_VALUE"""),83.53)</f>
        <v>83.53</v>
      </c>
      <c r="AO96" s="320">
        <f>IFERROR(__xludf.DUMMYFUNCTION("""COMPUTED_VALUE"""),17.84)</f>
        <v>17.84</v>
      </c>
    </row>
    <row r="97" ht="15.75" customHeight="1">
      <c r="A97" s="330">
        <f>IFERROR(__xludf.DUMMYFUNCTION("""COMPUTED_VALUE"""),46065.0)</f>
        <v>46065</v>
      </c>
      <c r="B97" s="319" t="str">
        <f>IFERROR(__xludf.DUMMYFUNCTION("""COMPUTED_VALUE"""),"F. 100+")</f>
        <v>F. 100+</v>
      </c>
      <c r="C97" s="320">
        <f>IFERROR(__xludf.DUMMYFUNCTION("""COMPUTED_VALUE"""),595.0)</f>
        <v>595</v>
      </c>
      <c r="D97" s="320">
        <f>IFERROR(__xludf.DUMMYFUNCTION("""COMPUTED_VALUE"""),0.54)</f>
        <v>0.54</v>
      </c>
      <c r="E97" s="320">
        <f>IFERROR(__xludf.DUMMYFUNCTION("""COMPUTED_VALUE"""),0.0)</f>
        <v>0</v>
      </c>
      <c r="F97" s="320">
        <f>IFERROR(__xludf.DUMMYFUNCTION("""COMPUTED_VALUE"""),0.0)</f>
        <v>0</v>
      </c>
      <c r="G97" s="320">
        <f>IFERROR(__xludf.DUMMYFUNCTION("""COMPUTED_VALUE"""),0.0)</f>
        <v>0</v>
      </c>
      <c r="H97" s="106"/>
      <c r="I97" s="320">
        <f>IFERROR(__xludf.DUMMYFUNCTION("""COMPUTED_VALUE"""),251.56)</f>
        <v>251.56</v>
      </c>
      <c r="J97" s="320">
        <f>IFERROR(__xludf.DUMMYFUNCTION("""COMPUTED_VALUE"""),151.41)</f>
        <v>151.41</v>
      </c>
      <c r="K97" s="320">
        <f>IFERROR(__xludf.DUMMYFUNCTION("""COMPUTED_VALUE"""),132.4)</f>
        <v>132.4</v>
      </c>
      <c r="L97" s="320">
        <f>IFERROR(__xludf.DUMMYFUNCTION("""COMPUTED_VALUE"""),0.8744)</f>
        <v>0.8744</v>
      </c>
      <c r="M97" s="320">
        <f>IFERROR(__xludf.DUMMYFUNCTION("""COMPUTED_VALUE"""),0.2722)</f>
        <v>0.2722</v>
      </c>
      <c r="N97" s="320">
        <f>IFERROR(__xludf.DUMMYFUNCTION("""COMPUTED_VALUE"""),0.2014)</f>
        <v>0.2014</v>
      </c>
      <c r="O97" s="320">
        <f>IFERROR(__xludf.DUMMYFUNCTION("""COMPUTED_VALUE"""),1.1436)</f>
        <v>1.1436</v>
      </c>
      <c r="P97" s="320">
        <f>IFERROR(__xludf.DUMMYFUNCTION("""COMPUTED_VALUE"""),814.67)</f>
        <v>814.67</v>
      </c>
      <c r="Q97" s="320">
        <f>IFERROR(__xludf.DUMMYFUNCTION("""COMPUTED_VALUE"""),534.51)</f>
        <v>534.51</v>
      </c>
      <c r="R97" s="320">
        <f>IFERROR(__xludf.DUMMYFUNCTION("""COMPUTED_VALUE"""),280.17)</f>
        <v>280.17</v>
      </c>
      <c r="S97" s="320">
        <f>IFERROR(__xludf.DUMMYFUNCTION("""COMPUTED_VALUE"""),0.0)</f>
        <v>0</v>
      </c>
      <c r="T97" s="320">
        <f>IFERROR(__xludf.DUMMYFUNCTION("""COMPUTED_VALUE"""),814.67)</f>
        <v>814.67</v>
      </c>
      <c r="U97" s="320">
        <f>IFERROR(__xludf.DUMMYFUNCTION("""COMPUTED_VALUE"""),649.92)</f>
        <v>649.92</v>
      </c>
      <c r="V97" s="320">
        <f>IFERROR(__xludf.DUMMYFUNCTION("""COMPUTED_VALUE"""),4.2924)</f>
        <v>4.2924</v>
      </c>
      <c r="W97" s="320">
        <f>IFERROR(__xludf.DUMMYFUNCTION("""COMPUTED_VALUE"""),0.0)</f>
        <v>0</v>
      </c>
      <c r="X97" s="320">
        <f>IFERROR(__xludf.DUMMYFUNCTION("""COMPUTED_VALUE"""),1097.0)</f>
        <v>1097</v>
      </c>
      <c r="Y97" s="320">
        <f>IFERROR(__xludf.DUMMYFUNCTION("""COMPUTED_VALUE"""),4410.0)</f>
        <v>4410</v>
      </c>
      <c r="Z97" s="320">
        <f>IFERROR(__xludf.DUMMYFUNCTION("""COMPUTED_VALUE"""),11932.0)</f>
        <v>11932</v>
      </c>
      <c r="AA97" s="320">
        <f>IFERROR(__xludf.DUMMYFUNCTION("""COMPUTED_VALUE"""),63.4148)</f>
        <v>63.4148</v>
      </c>
      <c r="AB97" s="320">
        <f>IFERROR(__xludf.DUMMYFUNCTION("""COMPUTED_VALUE"""),0.8784)</f>
        <v>0.8784</v>
      </c>
      <c r="AC97" s="320">
        <f>IFERROR(__xludf.DUMMYFUNCTION("""COMPUTED_VALUE"""),94.56)</f>
        <v>94.56</v>
      </c>
      <c r="AD97" s="320">
        <f>IFERROR(__xludf.DUMMYFUNCTION("""COMPUTED_VALUE"""),36.0)</f>
        <v>36</v>
      </c>
      <c r="AE97" s="320">
        <f>IFERROR(__xludf.DUMMYFUNCTION("""COMPUTED_VALUE"""),78.0)</f>
        <v>78</v>
      </c>
      <c r="AF97" s="320">
        <f>IFERROR(__xludf.DUMMYFUNCTION("""COMPUTED_VALUE"""),133.0)</f>
        <v>133</v>
      </c>
      <c r="AG97" s="320">
        <f>IFERROR(__xludf.DUMMYFUNCTION("""COMPUTED_VALUE"""),196.0)</f>
        <v>196</v>
      </c>
      <c r="AH97" s="320">
        <f>IFERROR(__xludf.DUMMYFUNCTION("""COMPUTED_VALUE"""),47.73)</f>
        <v>47.73</v>
      </c>
      <c r="AI97" s="320">
        <f>IFERROR(__xludf.DUMMYFUNCTION("""COMPUTED_VALUE"""),14.45)</f>
        <v>14.45</v>
      </c>
      <c r="AJ97" s="320">
        <f>IFERROR(__xludf.DUMMYFUNCTION("""COMPUTED_VALUE"""),2.35)</f>
        <v>2.35</v>
      </c>
      <c r="AK97" s="320">
        <f>IFERROR(__xludf.DUMMYFUNCTION("""COMPUTED_VALUE"""),0.1025)</f>
        <v>0.1025</v>
      </c>
      <c r="AL97" s="320">
        <f>IFERROR(__xludf.DUMMYFUNCTION("""COMPUTED_VALUE"""),24.03)</f>
        <v>24.03</v>
      </c>
      <c r="AM97" s="320">
        <f>IFERROR(__xludf.DUMMYFUNCTION("""COMPUTED_VALUE"""),510.47)</f>
        <v>510.47</v>
      </c>
      <c r="AN97" s="320">
        <f>IFERROR(__xludf.DUMMYFUNCTION("""COMPUTED_VALUE"""),85.74)</f>
        <v>85.74</v>
      </c>
      <c r="AO97" s="320">
        <f>IFERROR(__xludf.DUMMYFUNCTION("""COMPUTED_VALUE"""),20.6)</f>
        <v>20.6</v>
      </c>
    </row>
    <row r="98" ht="15.75" customHeight="1">
      <c r="A98" s="330">
        <f>IFERROR(__xludf.DUMMYFUNCTION("""COMPUTED_VALUE"""),46066.0)</f>
        <v>46066</v>
      </c>
      <c r="B98" s="319" t="str">
        <f>IFERROR(__xludf.DUMMYFUNCTION("""COMPUTED_VALUE"""),"A. 0")</f>
        <v>A. 0</v>
      </c>
      <c r="C98" s="320">
        <f>IFERROR(__xludf.DUMMYFUNCTION("""COMPUTED_VALUE"""),20732.0)</f>
        <v>20732</v>
      </c>
      <c r="D98" s="320">
        <f>IFERROR(__xludf.DUMMYFUNCTION("""COMPUTED_VALUE"""),19.36)</f>
        <v>19.36</v>
      </c>
      <c r="E98" s="320">
        <f>IFERROR(__xludf.DUMMYFUNCTION("""COMPUTED_VALUE"""),0.0)</f>
        <v>0</v>
      </c>
      <c r="F98" s="320">
        <f>IFERROR(__xludf.DUMMYFUNCTION("""COMPUTED_VALUE"""),0.0)</f>
        <v>0</v>
      </c>
      <c r="G98" s="320">
        <f>IFERROR(__xludf.DUMMYFUNCTION("""COMPUTED_VALUE"""),0.0)</f>
        <v>0</v>
      </c>
      <c r="H98" s="106"/>
      <c r="I98" s="320">
        <f>IFERROR(__xludf.DUMMYFUNCTION("""COMPUTED_VALUE"""),6.12)</f>
        <v>6.12</v>
      </c>
      <c r="J98" s="320">
        <f>IFERROR(__xludf.DUMMYFUNCTION("""COMPUTED_VALUE"""),2.39)</f>
        <v>2.39</v>
      </c>
      <c r="K98" s="320">
        <f>IFERROR(__xludf.DUMMYFUNCTION("""COMPUTED_VALUE"""),0.02)</f>
        <v>0.02</v>
      </c>
      <c r="L98" s="320">
        <f>IFERROR(__xludf.DUMMYFUNCTION("""COMPUTED_VALUE"""),0.0078)</f>
        <v>0.0078</v>
      </c>
      <c r="M98" s="320">
        <f>IFERROR(__xludf.DUMMYFUNCTION("""COMPUTED_VALUE"""),0.9942)</f>
        <v>0.9942</v>
      </c>
      <c r="N98" s="320">
        <f>IFERROR(__xludf.DUMMYFUNCTION("""COMPUTED_VALUE"""),0.9212)</f>
        <v>0.9212</v>
      </c>
      <c r="O98" s="320">
        <f>IFERROR(__xludf.DUMMYFUNCTION("""COMPUTED_VALUE"""),128.1088)</f>
        <v>128.1088</v>
      </c>
      <c r="P98" s="320">
        <f>IFERROR(__xludf.DUMMYFUNCTION("""COMPUTED_VALUE"""),26.63)</f>
        <v>26.63</v>
      </c>
      <c r="Q98" s="320">
        <f>IFERROR(__xludf.DUMMYFUNCTION("""COMPUTED_VALUE"""),26.5)</f>
        <v>26.5</v>
      </c>
      <c r="R98" s="320">
        <f>IFERROR(__xludf.DUMMYFUNCTION("""COMPUTED_VALUE"""),0.14)</f>
        <v>0.14</v>
      </c>
      <c r="S98" s="320">
        <f>IFERROR(__xludf.DUMMYFUNCTION("""COMPUTED_VALUE"""),0.0)</f>
        <v>0</v>
      </c>
      <c r="T98" s="320">
        <f>IFERROR(__xludf.DUMMYFUNCTION("""COMPUTED_VALUE"""),26.63)</f>
        <v>26.63</v>
      </c>
      <c r="U98" s="320">
        <f>IFERROR(__xludf.DUMMYFUNCTION("""COMPUTED_VALUE"""),1.84)</f>
        <v>1.84</v>
      </c>
      <c r="V98" s="320">
        <f>IFERROR(__xludf.DUMMYFUNCTION("""COMPUTED_VALUE"""),0.7715)</f>
        <v>0.7715</v>
      </c>
      <c r="W98" s="320">
        <f>IFERROR(__xludf.DUMMYFUNCTION("""COMPUTED_VALUE"""),0.0)</f>
        <v>0</v>
      </c>
      <c r="X98" s="320">
        <f>IFERROR(__xludf.DUMMYFUNCTION("""COMPUTED_VALUE"""),335.0)</f>
        <v>335</v>
      </c>
      <c r="Y98" s="320">
        <f>IFERROR(__xludf.DUMMYFUNCTION("""COMPUTED_VALUE"""),3580.0)</f>
        <v>3580</v>
      </c>
      <c r="Z98" s="320">
        <f>IFERROR(__xludf.DUMMYFUNCTION("""COMPUTED_VALUE"""),14323.0)</f>
        <v>14323</v>
      </c>
      <c r="AA98" s="320">
        <f>IFERROR(__xludf.DUMMYFUNCTION("""COMPUTED_VALUE"""),49.0852)</f>
        <v>49.0852</v>
      </c>
      <c r="AB98" s="320">
        <f>IFERROR(__xludf.DUMMYFUNCTION("""COMPUTED_VALUE"""),0.552)</f>
        <v>0.552</v>
      </c>
      <c r="AC98" s="106"/>
      <c r="AD98" s="106"/>
      <c r="AE98" s="106"/>
      <c r="AF98" s="106"/>
      <c r="AG98" s="106"/>
      <c r="AH98" s="320">
        <f>IFERROR(__xludf.DUMMYFUNCTION("""COMPUTED_VALUE"""),0.0)</f>
        <v>0</v>
      </c>
      <c r="AI98" s="320">
        <f>IFERROR(__xludf.DUMMYFUNCTION("""COMPUTED_VALUE"""),0.0)</f>
        <v>0</v>
      </c>
      <c r="AJ98" s="320">
        <f>IFERROR(__xludf.DUMMYFUNCTION("""COMPUTED_VALUE"""),0.0)</f>
        <v>0</v>
      </c>
      <c r="AK98" s="320">
        <f>IFERROR(__xludf.DUMMYFUNCTION("""COMPUTED_VALUE"""),0.3102)</f>
        <v>0.3102</v>
      </c>
      <c r="AL98" s="320">
        <f>IFERROR(__xludf.DUMMYFUNCTION("""COMPUTED_VALUE"""),17.55)</f>
        <v>17.55</v>
      </c>
      <c r="AM98" s="320">
        <f>IFERROR(__xludf.DUMMYFUNCTION("""COMPUTED_VALUE"""),8.95)</f>
        <v>8.95</v>
      </c>
      <c r="AN98" s="331"/>
      <c r="AO98" s="331"/>
    </row>
    <row r="99" ht="15.75" customHeight="1">
      <c r="A99" s="330">
        <f>IFERROR(__xludf.DUMMYFUNCTION("""COMPUTED_VALUE"""),46066.0)</f>
        <v>46066</v>
      </c>
      <c r="B99" s="319" t="str">
        <f>IFERROR(__xludf.DUMMYFUNCTION("""COMPUTED_VALUE"""),"B. 1-9")</f>
        <v>B. 1-9</v>
      </c>
      <c r="C99" s="320">
        <f>IFERROR(__xludf.DUMMYFUNCTION("""COMPUTED_VALUE"""),39219.0)</f>
        <v>39219</v>
      </c>
      <c r="D99" s="320">
        <f>IFERROR(__xludf.DUMMYFUNCTION("""COMPUTED_VALUE"""),36.62)</f>
        <v>36.62</v>
      </c>
      <c r="E99" s="320">
        <f>IFERROR(__xludf.DUMMYFUNCTION("""COMPUTED_VALUE"""),0.0)</f>
        <v>0</v>
      </c>
      <c r="F99" s="320">
        <f>IFERROR(__xludf.DUMMYFUNCTION("""COMPUTED_VALUE"""),0.0)</f>
        <v>0</v>
      </c>
      <c r="G99" s="320">
        <f>IFERROR(__xludf.DUMMYFUNCTION("""COMPUTED_VALUE"""),0.0)</f>
        <v>0</v>
      </c>
      <c r="H99" s="106"/>
      <c r="I99" s="320">
        <f>IFERROR(__xludf.DUMMYFUNCTION("""COMPUTED_VALUE"""),30.66)</f>
        <v>30.66</v>
      </c>
      <c r="J99" s="320">
        <f>IFERROR(__xludf.DUMMYFUNCTION("""COMPUTED_VALUE"""),13.69)</f>
        <v>13.69</v>
      </c>
      <c r="K99" s="320">
        <f>IFERROR(__xludf.DUMMYFUNCTION("""COMPUTED_VALUE"""),5.74)</f>
        <v>5.74</v>
      </c>
      <c r="L99" s="320">
        <f>IFERROR(__xludf.DUMMYFUNCTION("""COMPUTED_VALUE"""),0.419)</f>
        <v>0.419</v>
      </c>
      <c r="M99" s="320">
        <f>IFERROR(__xludf.DUMMYFUNCTION("""COMPUTED_VALUE"""),0.7538)</f>
        <v>0.7538</v>
      </c>
      <c r="N99" s="320">
        <f>IFERROR(__xludf.DUMMYFUNCTION("""COMPUTED_VALUE"""),0.5573)</f>
        <v>0.5573</v>
      </c>
      <c r="O99" s="320">
        <f>IFERROR(__xludf.DUMMYFUNCTION("""COMPUTED_VALUE"""),2.3864)</f>
        <v>2.3864</v>
      </c>
      <c r="P99" s="320">
        <f>IFERROR(__xludf.DUMMYFUNCTION("""COMPUTED_VALUE"""),57.61)</f>
        <v>57.61</v>
      </c>
      <c r="Q99" s="320">
        <f>IFERROR(__xludf.DUMMYFUNCTION("""COMPUTED_VALUE"""),45.82)</f>
        <v>45.82</v>
      </c>
      <c r="R99" s="320">
        <f>IFERROR(__xludf.DUMMYFUNCTION("""COMPUTED_VALUE"""),11.8)</f>
        <v>11.8</v>
      </c>
      <c r="S99" s="320">
        <f>IFERROR(__xludf.DUMMYFUNCTION("""COMPUTED_VALUE"""),0.35)</f>
        <v>0.35</v>
      </c>
      <c r="T99" s="320">
        <f>IFERROR(__xludf.DUMMYFUNCTION("""COMPUTED_VALUE"""),57.26)</f>
        <v>57.26</v>
      </c>
      <c r="U99" s="320">
        <f>IFERROR(__xludf.DUMMYFUNCTION("""COMPUTED_VALUE"""),54.33)</f>
        <v>54.33</v>
      </c>
      <c r="V99" s="320">
        <f>IFERROR(__xludf.DUMMYFUNCTION("""COMPUTED_VALUE"""),3.9689)</f>
        <v>3.9689</v>
      </c>
      <c r="W99" s="320">
        <f>IFERROR(__xludf.DUMMYFUNCTION("""COMPUTED_VALUE"""),0.61)</f>
        <v>0.61</v>
      </c>
      <c r="X99" s="320">
        <f>IFERROR(__xludf.DUMMYFUNCTION("""COMPUTED_VALUE"""),145.0)</f>
        <v>145</v>
      </c>
      <c r="Y99" s="320">
        <f>IFERROR(__xludf.DUMMYFUNCTION("""COMPUTED_VALUE"""),899.0)</f>
        <v>899</v>
      </c>
      <c r="Z99" s="320">
        <f>IFERROR(__xludf.DUMMYFUNCTION("""COMPUTED_VALUE"""),5901.0)</f>
        <v>5901</v>
      </c>
      <c r="AA99" s="320">
        <f>IFERROR(__xludf.DUMMYFUNCTION("""COMPUTED_VALUE"""),48.6977)</f>
        <v>48.6977</v>
      </c>
      <c r="AB99" s="320">
        <f>IFERROR(__xludf.DUMMYFUNCTION("""COMPUTED_VALUE"""),0.5399)</f>
        <v>0.5399</v>
      </c>
      <c r="AC99" s="320">
        <f>IFERROR(__xludf.DUMMYFUNCTION("""COMPUTED_VALUE"""),4.0)</f>
        <v>4</v>
      </c>
      <c r="AD99" s="320">
        <f>IFERROR(__xludf.DUMMYFUNCTION("""COMPUTED_VALUE"""),1.0)</f>
        <v>1</v>
      </c>
      <c r="AE99" s="320">
        <f>IFERROR(__xludf.DUMMYFUNCTION("""COMPUTED_VALUE"""),3.0)</f>
        <v>3</v>
      </c>
      <c r="AF99" s="320">
        <f>IFERROR(__xludf.DUMMYFUNCTION("""COMPUTED_VALUE"""),5.0)</f>
        <v>5</v>
      </c>
      <c r="AG99" s="320">
        <f>IFERROR(__xludf.DUMMYFUNCTION("""COMPUTED_VALUE"""),9.0)</f>
        <v>9</v>
      </c>
      <c r="AH99" s="320">
        <f>IFERROR(__xludf.DUMMYFUNCTION("""COMPUTED_VALUE"""),73.29)</f>
        <v>73.29</v>
      </c>
      <c r="AI99" s="320">
        <f>IFERROR(__xludf.DUMMYFUNCTION("""COMPUTED_VALUE"""),30.88)</f>
        <v>30.88</v>
      </c>
      <c r="AJ99" s="320">
        <f>IFERROR(__xludf.DUMMYFUNCTION("""COMPUTED_VALUE"""),8.57)</f>
        <v>8.57</v>
      </c>
      <c r="AK99" s="320">
        <f>IFERROR(__xludf.DUMMYFUNCTION("""COMPUTED_VALUE"""),0.268)</f>
        <v>0.268</v>
      </c>
      <c r="AL99" s="320">
        <f>IFERROR(__xludf.DUMMYFUNCTION("""COMPUTED_VALUE"""),20.08)</f>
        <v>20.08</v>
      </c>
      <c r="AM99" s="320">
        <f>IFERROR(__xludf.DUMMYFUNCTION("""COMPUTED_VALUE"""),25.74)</f>
        <v>25.74</v>
      </c>
      <c r="AN99" s="320">
        <f>IFERROR(__xludf.DUMMYFUNCTION("""COMPUTED_VALUE"""),66.35)</f>
        <v>66.35</v>
      </c>
      <c r="AO99" s="320">
        <f>IFERROR(__xludf.DUMMYFUNCTION("""COMPUTED_VALUE"""),13.32)</f>
        <v>13.32</v>
      </c>
    </row>
    <row r="100" ht="15.75" customHeight="1">
      <c r="A100" s="330">
        <f>IFERROR(__xludf.DUMMYFUNCTION("""COMPUTED_VALUE"""),46066.0)</f>
        <v>46066</v>
      </c>
      <c r="B100" s="319" t="str">
        <f>IFERROR(__xludf.DUMMYFUNCTION("""COMPUTED_VALUE"""),"C. 10-19")</f>
        <v>C. 10-19</v>
      </c>
      <c r="C100" s="320">
        <f>IFERROR(__xludf.DUMMYFUNCTION("""COMPUTED_VALUE"""),26290.0)</f>
        <v>26290</v>
      </c>
      <c r="D100" s="320">
        <f>IFERROR(__xludf.DUMMYFUNCTION("""COMPUTED_VALUE"""),24.55)</f>
        <v>24.55</v>
      </c>
      <c r="E100" s="320">
        <f>IFERROR(__xludf.DUMMYFUNCTION("""COMPUTED_VALUE"""),0.0)</f>
        <v>0</v>
      </c>
      <c r="F100" s="320">
        <f>IFERROR(__xludf.DUMMYFUNCTION("""COMPUTED_VALUE"""),0.0)</f>
        <v>0</v>
      </c>
      <c r="G100" s="320">
        <f>IFERROR(__xludf.DUMMYFUNCTION("""COMPUTED_VALUE"""),0.0)</f>
        <v>0</v>
      </c>
      <c r="H100" s="106"/>
      <c r="I100" s="320">
        <f>IFERROR(__xludf.DUMMYFUNCTION("""COMPUTED_VALUE"""),56.84)</f>
        <v>56.84</v>
      </c>
      <c r="J100" s="320">
        <f>IFERROR(__xludf.DUMMYFUNCTION("""COMPUTED_VALUE"""),26.43)</f>
        <v>26.43</v>
      </c>
      <c r="K100" s="320">
        <f>IFERROR(__xludf.DUMMYFUNCTION("""COMPUTED_VALUE"""),14.14)</f>
        <v>14.14</v>
      </c>
      <c r="L100" s="320">
        <f>IFERROR(__xludf.DUMMYFUNCTION("""COMPUTED_VALUE"""),0.5352)</f>
        <v>0.5352</v>
      </c>
      <c r="M100" s="320">
        <f>IFERROR(__xludf.DUMMYFUNCTION("""COMPUTED_VALUE"""),0.6549)</f>
        <v>0.6549</v>
      </c>
      <c r="N100" s="320">
        <f>IFERROR(__xludf.DUMMYFUNCTION("""COMPUTED_VALUE"""),0.459)</f>
        <v>0.459</v>
      </c>
      <c r="O100" s="320">
        <f>IFERROR(__xludf.DUMMYFUNCTION("""COMPUTED_VALUE"""),1.8685)</f>
        <v>1.8685</v>
      </c>
      <c r="P100" s="320">
        <f>IFERROR(__xludf.DUMMYFUNCTION("""COMPUTED_VALUE"""),100.59)</f>
        <v>100.59</v>
      </c>
      <c r="Q100" s="320">
        <f>IFERROR(__xludf.DUMMYFUNCTION("""COMPUTED_VALUE"""),70.96)</f>
        <v>70.96</v>
      </c>
      <c r="R100" s="320">
        <f>IFERROR(__xludf.DUMMYFUNCTION("""COMPUTED_VALUE"""),29.64)</f>
        <v>29.64</v>
      </c>
      <c r="S100" s="320">
        <f>IFERROR(__xludf.DUMMYFUNCTION("""COMPUTED_VALUE"""),0.72)</f>
        <v>0.72</v>
      </c>
      <c r="T100" s="320">
        <f>IFERROR(__xludf.DUMMYFUNCTION("""COMPUTED_VALUE"""),99.87)</f>
        <v>99.87</v>
      </c>
      <c r="U100" s="320">
        <f>IFERROR(__xludf.DUMMYFUNCTION("""COMPUTED_VALUE"""),100.0)</f>
        <v>100</v>
      </c>
      <c r="V100" s="320">
        <f>IFERROR(__xludf.DUMMYFUNCTION("""COMPUTED_VALUE"""),3.7837)</f>
        <v>3.7837</v>
      </c>
      <c r="W100" s="320">
        <f>IFERROR(__xludf.DUMMYFUNCTION("""COMPUTED_VALUE"""),0.72)</f>
        <v>0.72</v>
      </c>
      <c r="X100" s="320">
        <f>IFERROR(__xludf.DUMMYFUNCTION("""COMPUTED_VALUE"""),128.0)</f>
        <v>128</v>
      </c>
      <c r="Y100" s="320">
        <f>IFERROR(__xludf.DUMMYFUNCTION("""COMPUTED_VALUE"""),688.0)</f>
        <v>688</v>
      </c>
      <c r="Z100" s="320">
        <f>IFERROR(__xludf.DUMMYFUNCTION("""COMPUTED_VALUE"""),5174.0)</f>
        <v>5174</v>
      </c>
      <c r="AA100" s="320">
        <f>IFERROR(__xludf.DUMMYFUNCTION("""COMPUTED_VALUE"""),52.158)</f>
        <v>52.158</v>
      </c>
      <c r="AB100" s="320">
        <f>IFERROR(__xludf.DUMMYFUNCTION("""COMPUTED_VALUE"""),0.6336)</f>
        <v>0.6336</v>
      </c>
      <c r="AC100" s="320">
        <f>IFERROR(__xludf.DUMMYFUNCTION("""COMPUTED_VALUE"""),9.42)</f>
        <v>9.42</v>
      </c>
      <c r="AD100" s="320">
        <f>IFERROR(__xludf.DUMMYFUNCTION("""COMPUTED_VALUE"""),4.0)</f>
        <v>4</v>
      </c>
      <c r="AE100" s="320">
        <f>IFERROR(__xludf.DUMMYFUNCTION("""COMPUTED_VALUE"""),7.0)</f>
        <v>7</v>
      </c>
      <c r="AF100" s="320">
        <f>IFERROR(__xludf.DUMMYFUNCTION("""COMPUTED_VALUE"""),13.0)</f>
        <v>13</v>
      </c>
      <c r="AG100" s="320">
        <f>IFERROR(__xludf.DUMMYFUNCTION("""COMPUTED_VALUE"""),20.0)</f>
        <v>20</v>
      </c>
      <c r="AH100" s="320">
        <f>IFERROR(__xludf.DUMMYFUNCTION("""COMPUTED_VALUE"""),61.19)</f>
        <v>61.19</v>
      </c>
      <c r="AI100" s="320">
        <f>IFERROR(__xludf.DUMMYFUNCTION("""COMPUTED_VALUE"""),25.5)</f>
        <v>25.5</v>
      </c>
      <c r="AJ100" s="320">
        <f>IFERROR(__xludf.DUMMYFUNCTION("""COMPUTED_VALUE"""),4.73)</f>
        <v>4.73</v>
      </c>
      <c r="AK100" s="320">
        <f>IFERROR(__xludf.DUMMYFUNCTION("""COMPUTED_VALUE"""),0.2212)</f>
        <v>0.2212</v>
      </c>
      <c r="AL100" s="320">
        <f>IFERROR(__xludf.DUMMYFUNCTION("""COMPUTED_VALUE"""),21.1)</f>
        <v>21.1</v>
      </c>
      <c r="AM100" s="320">
        <f>IFERROR(__xludf.DUMMYFUNCTION("""COMPUTED_VALUE"""),49.86)</f>
        <v>49.86</v>
      </c>
      <c r="AN100" s="320">
        <f>IFERROR(__xludf.DUMMYFUNCTION("""COMPUTED_VALUE"""),75.38)</f>
        <v>75.38</v>
      </c>
      <c r="AO100" s="320">
        <f>IFERROR(__xludf.DUMMYFUNCTION("""COMPUTED_VALUE"""),15.91)</f>
        <v>15.91</v>
      </c>
    </row>
    <row r="101" ht="15.75" customHeight="1">
      <c r="A101" s="330">
        <f>IFERROR(__xludf.DUMMYFUNCTION("""COMPUTED_VALUE"""),46066.0)</f>
        <v>46066</v>
      </c>
      <c r="B101" s="319" t="str">
        <f>IFERROR(__xludf.DUMMYFUNCTION("""COMPUTED_VALUE"""),"D. 20-39")</f>
        <v>D. 20-39</v>
      </c>
      <c r="C101" s="320">
        <f>IFERROR(__xludf.DUMMYFUNCTION("""COMPUTED_VALUE"""),14594.0)</f>
        <v>14594</v>
      </c>
      <c r="D101" s="320">
        <f>IFERROR(__xludf.DUMMYFUNCTION("""COMPUTED_VALUE"""),13.63)</f>
        <v>13.63</v>
      </c>
      <c r="E101" s="320">
        <f>IFERROR(__xludf.DUMMYFUNCTION("""COMPUTED_VALUE"""),0.0)</f>
        <v>0</v>
      </c>
      <c r="F101" s="320">
        <f>IFERROR(__xludf.DUMMYFUNCTION("""COMPUTED_VALUE"""),0.0)</f>
        <v>0</v>
      </c>
      <c r="G101" s="320">
        <f>IFERROR(__xludf.DUMMYFUNCTION("""COMPUTED_VALUE"""),0.0)</f>
        <v>0</v>
      </c>
      <c r="H101" s="106"/>
      <c r="I101" s="320">
        <f>IFERROR(__xludf.DUMMYFUNCTION("""COMPUTED_VALUE"""),85.08)</f>
        <v>85.08</v>
      </c>
      <c r="J101" s="320">
        <f>IFERROR(__xludf.DUMMYFUNCTION("""COMPUTED_VALUE"""),42.04)</f>
        <v>42.04</v>
      </c>
      <c r="K101" s="320">
        <f>IFERROR(__xludf.DUMMYFUNCTION("""COMPUTED_VALUE"""),27.02)</f>
        <v>27.02</v>
      </c>
      <c r="L101" s="320">
        <f>IFERROR(__xludf.DUMMYFUNCTION("""COMPUTED_VALUE"""),0.6427)</f>
        <v>0.6427</v>
      </c>
      <c r="M101" s="320">
        <f>IFERROR(__xludf.DUMMYFUNCTION("""COMPUTED_VALUE"""),0.5441)</f>
        <v>0.5441</v>
      </c>
      <c r="N101" s="320">
        <f>IFERROR(__xludf.DUMMYFUNCTION("""COMPUTED_VALUE"""),0.3755)</f>
        <v>0.3755</v>
      </c>
      <c r="O101" s="320">
        <f>IFERROR(__xludf.DUMMYFUNCTION("""COMPUTED_VALUE"""),1.556)</f>
        <v>1.556</v>
      </c>
      <c r="P101" s="320">
        <f>IFERROR(__xludf.DUMMYFUNCTION("""COMPUTED_VALUE"""),164.58)</f>
        <v>164.58</v>
      </c>
      <c r="Q101" s="320">
        <f>IFERROR(__xludf.DUMMYFUNCTION("""COMPUTED_VALUE"""),107.5)</f>
        <v>107.5</v>
      </c>
      <c r="R101" s="320">
        <f>IFERROR(__xludf.DUMMYFUNCTION("""COMPUTED_VALUE"""),57.08)</f>
        <v>57.08</v>
      </c>
      <c r="S101" s="320">
        <f>IFERROR(__xludf.DUMMYFUNCTION("""COMPUTED_VALUE"""),1.73)</f>
        <v>1.73</v>
      </c>
      <c r="T101" s="320">
        <f>IFERROR(__xludf.DUMMYFUNCTION("""COMPUTED_VALUE"""),162.85)</f>
        <v>162.85</v>
      </c>
      <c r="U101" s="320">
        <f>IFERROR(__xludf.DUMMYFUNCTION("""COMPUTED_VALUE"""),168.68)</f>
        <v>168.68</v>
      </c>
      <c r="V101" s="320">
        <f>IFERROR(__xludf.DUMMYFUNCTION("""COMPUTED_VALUE"""),4.0122)</f>
        <v>4.0122</v>
      </c>
      <c r="W101" s="320">
        <f>IFERROR(__xludf.DUMMYFUNCTION("""COMPUTED_VALUE"""),1.05)</f>
        <v>1.05</v>
      </c>
      <c r="X101" s="320">
        <f>IFERROR(__xludf.DUMMYFUNCTION("""COMPUTED_VALUE"""),153.0)</f>
        <v>153</v>
      </c>
      <c r="Y101" s="320">
        <f>IFERROR(__xludf.DUMMYFUNCTION("""COMPUTED_VALUE"""),1018.0)</f>
        <v>1018</v>
      </c>
      <c r="Z101" s="320">
        <f>IFERROR(__xludf.DUMMYFUNCTION("""COMPUTED_VALUE"""),6206.0)</f>
        <v>6206</v>
      </c>
      <c r="AA101" s="320">
        <f>IFERROR(__xludf.DUMMYFUNCTION("""COMPUTED_VALUE"""),55.213)</f>
        <v>55.213</v>
      </c>
      <c r="AB101" s="320">
        <f>IFERROR(__xludf.DUMMYFUNCTION("""COMPUTED_VALUE"""),0.7254)</f>
        <v>0.7254</v>
      </c>
      <c r="AC101" s="320">
        <f>IFERROR(__xludf.DUMMYFUNCTION("""COMPUTED_VALUE"""),17.63)</f>
        <v>17.63</v>
      </c>
      <c r="AD101" s="320">
        <f>IFERROR(__xludf.DUMMYFUNCTION("""COMPUTED_VALUE"""),7.0)</f>
        <v>7</v>
      </c>
      <c r="AE101" s="320">
        <f>IFERROR(__xludf.DUMMYFUNCTION("""COMPUTED_VALUE"""),14.0)</f>
        <v>14</v>
      </c>
      <c r="AF101" s="320">
        <f>IFERROR(__xludf.DUMMYFUNCTION("""COMPUTED_VALUE"""),24.0)</f>
        <v>24</v>
      </c>
      <c r="AG101" s="320">
        <f>IFERROR(__xludf.DUMMYFUNCTION("""COMPUTED_VALUE"""),37.0)</f>
        <v>37</v>
      </c>
      <c r="AH101" s="320">
        <f>IFERROR(__xludf.DUMMYFUNCTION("""COMPUTED_VALUE"""),59.05)</f>
        <v>59.05</v>
      </c>
      <c r="AI101" s="320">
        <f>IFERROR(__xludf.DUMMYFUNCTION("""COMPUTED_VALUE"""),22.69)</f>
        <v>22.69</v>
      </c>
      <c r="AJ101" s="320">
        <f>IFERROR(__xludf.DUMMYFUNCTION("""COMPUTED_VALUE"""),7.03)</f>
        <v>7.03</v>
      </c>
      <c r="AK101" s="320">
        <f>IFERROR(__xludf.DUMMYFUNCTION("""COMPUTED_VALUE"""),0.1992)</f>
        <v>0.1992</v>
      </c>
      <c r="AL101" s="320">
        <f>IFERROR(__xludf.DUMMYFUNCTION("""COMPUTED_VALUE"""),21.24)</f>
        <v>21.24</v>
      </c>
      <c r="AM101" s="320">
        <f>IFERROR(__xludf.DUMMYFUNCTION("""COMPUTED_VALUE"""),86.26)</f>
        <v>86.26</v>
      </c>
      <c r="AN101" s="320">
        <f>IFERROR(__xludf.DUMMYFUNCTION("""COMPUTED_VALUE"""),78.91)</f>
        <v>78.91</v>
      </c>
      <c r="AO101" s="320">
        <f>IFERROR(__xludf.DUMMYFUNCTION("""COMPUTED_VALUE"""),16.76)</f>
        <v>16.76</v>
      </c>
    </row>
    <row r="102" ht="15.75" customHeight="1">
      <c r="A102" s="330">
        <f>IFERROR(__xludf.DUMMYFUNCTION("""COMPUTED_VALUE"""),46066.0)</f>
        <v>46066</v>
      </c>
      <c r="B102" s="319" t="str">
        <f>IFERROR(__xludf.DUMMYFUNCTION("""COMPUTED_VALUE"""),"E. 40-99")</f>
        <v>E. 40-99</v>
      </c>
      <c r="C102" s="320">
        <f>IFERROR(__xludf.DUMMYFUNCTION("""COMPUTED_VALUE"""),5675.0)</f>
        <v>5675</v>
      </c>
      <c r="D102" s="320">
        <f>IFERROR(__xludf.DUMMYFUNCTION("""COMPUTED_VALUE"""),5.3)</f>
        <v>5.3</v>
      </c>
      <c r="E102" s="320">
        <f>IFERROR(__xludf.DUMMYFUNCTION("""COMPUTED_VALUE"""),0.0)</f>
        <v>0</v>
      </c>
      <c r="F102" s="320">
        <f>IFERROR(__xludf.DUMMYFUNCTION("""COMPUTED_VALUE"""),0.0)</f>
        <v>0</v>
      </c>
      <c r="G102" s="320">
        <f>IFERROR(__xludf.DUMMYFUNCTION("""COMPUTED_VALUE"""),0.0)</f>
        <v>0</v>
      </c>
      <c r="H102" s="106"/>
      <c r="I102" s="320">
        <f>IFERROR(__xludf.DUMMYFUNCTION("""COMPUTED_VALUE"""),131.69)</f>
        <v>131.69</v>
      </c>
      <c r="J102" s="320">
        <f>IFERROR(__xludf.DUMMYFUNCTION("""COMPUTED_VALUE"""),69.44)</f>
        <v>69.44</v>
      </c>
      <c r="K102" s="320">
        <f>IFERROR(__xludf.DUMMYFUNCTION("""COMPUTED_VALUE"""),53.79)</f>
        <v>53.79</v>
      </c>
      <c r="L102" s="320">
        <f>IFERROR(__xludf.DUMMYFUNCTION("""COMPUTED_VALUE"""),0.7746)</f>
        <v>0.7746</v>
      </c>
      <c r="M102" s="320">
        <f>IFERROR(__xludf.DUMMYFUNCTION("""COMPUTED_VALUE"""),0.4025)</f>
        <v>0.4025</v>
      </c>
      <c r="N102" s="320">
        <f>IFERROR(__xludf.DUMMYFUNCTION("""COMPUTED_VALUE"""),0.284)</f>
        <v>0.284</v>
      </c>
      <c r="O102" s="320">
        <f>IFERROR(__xludf.DUMMYFUNCTION("""COMPUTED_VALUE"""),1.2909)</f>
        <v>1.2909</v>
      </c>
      <c r="P102" s="320">
        <f>IFERROR(__xludf.DUMMYFUNCTION("""COMPUTED_VALUE"""),273.97)</f>
        <v>273.97</v>
      </c>
      <c r="Q102" s="320">
        <f>IFERROR(__xludf.DUMMYFUNCTION("""COMPUTED_VALUE"""),160.28)</f>
        <v>160.28</v>
      </c>
      <c r="R102" s="320">
        <f>IFERROR(__xludf.DUMMYFUNCTION("""COMPUTED_VALUE"""),113.69)</f>
        <v>113.69</v>
      </c>
      <c r="S102" s="320">
        <f>IFERROR(__xludf.DUMMYFUNCTION("""COMPUTED_VALUE"""),0.53)</f>
        <v>0.53</v>
      </c>
      <c r="T102" s="320">
        <f>IFERROR(__xludf.DUMMYFUNCTION("""COMPUTED_VALUE"""),273.44)</f>
        <v>273.44</v>
      </c>
      <c r="U102" s="320">
        <f>IFERROR(__xludf.DUMMYFUNCTION("""COMPUTED_VALUE"""),308.28)</f>
        <v>308.28</v>
      </c>
      <c r="V102" s="320">
        <f>IFERROR(__xludf.DUMMYFUNCTION("""COMPUTED_VALUE"""),4.4399)</f>
        <v>4.4399</v>
      </c>
      <c r="W102" s="320">
        <f>IFERROR(__xludf.DUMMYFUNCTION("""COMPUTED_VALUE"""),0.19)</f>
        <v>0.19</v>
      </c>
      <c r="X102" s="320">
        <f>IFERROR(__xludf.DUMMYFUNCTION("""COMPUTED_VALUE"""),315.0)</f>
        <v>315</v>
      </c>
      <c r="Y102" s="320">
        <f>IFERROR(__xludf.DUMMYFUNCTION("""COMPUTED_VALUE"""),2552.0)</f>
        <v>2552</v>
      </c>
      <c r="Z102" s="320">
        <f>IFERROR(__xludf.DUMMYFUNCTION("""COMPUTED_VALUE"""),9798.0)</f>
        <v>9798</v>
      </c>
      <c r="AA102" s="320">
        <f>IFERROR(__xludf.DUMMYFUNCTION("""COMPUTED_VALUE"""),59.5334)</f>
        <v>59.5334</v>
      </c>
      <c r="AB102" s="320">
        <f>IFERROR(__xludf.DUMMYFUNCTION("""COMPUTED_VALUE"""),0.8329)</f>
        <v>0.8329</v>
      </c>
      <c r="AC102" s="320">
        <f>IFERROR(__xludf.DUMMYFUNCTION("""COMPUTED_VALUE"""),36.54)</f>
        <v>36.54</v>
      </c>
      <c r="AD102" s="320">
        <f>IFERROR(__xludf.DUMMYFUNCTION("""COMPUTED_VALUE"""),14.0)</f>
        <v>14</v>
      </c>
      <c r="AE102" s="320">
        <f>IFERROR(__xludf.DUMMYFUNCTION("""COMPUTED_VALUE"""),28.0)</f>
        <v>28</v>
      </c>
      <c r="AF102" s="320">
        <f>IFERROR(__xludf.DUMMYFUNCTION("""COMPUTED_VALUE"""),50.0)</f>
        <v>50</v>
      </c>
      <c r="AG102" s="320">
        <f>IFERROR(__xludf.DUMMYFUNCTION("""COMPUTED_VALUE"""),78.0)</f>
        <v>78</v>
      </c>
      <c r="AH102" s="320">
        <f>IFERROR(__xludf.DUMMYFUNCTION("""COMPUTED_VALUE"""),50.24)</f>
        <v>50.24</v>
      </c>
      <c r="AI102" s="320">
        <f>IFERROR(__xludf.DUMMYFUNCTION("""COMPUTED_VALUE"""),18.73)</f>
        <v>18.73</v>
      </c>
      <c r="AJ102" s="320">
        <f>IFERROR(__xludf.DUMMYFUNCTION("""COMPUTED_VALUE"""),4.46)</f>
        <v>4.46</v>
      </c>
      <c r="AK102" s="320">
        <f>IFERROR(__xludf.DUMMYFUNCTION("""COMPUTED_VALUE"""),0.145)</f>
        <v>0.145</v>
      </c>
      <c r="AL102" s="320">
        <f>IFERROR(__xludf.DUMMYFUNCTION("""COMPUTED_VALUE"""),22.47)</f>
        <v>22.47</v>
      </c>
      <c r="AM102" s="320">
        <f>IFERROR(__xludf.DUMMYFUNCTION("""COMPUTED_VALUE"""),137.82)</f>
        <v>137.82</v>
      </c>
      <c r="AN102" s="320">
        <f>IFERROR(__xludf.DUMMYFUNCTION("""COMPUTED_VALUE"""),83.6)</f>
        <v>83.6</v>
      </c>
      <c r="AO102" s="320">
        <f>IFERROR(__xludf.DUMMYFUNCTION("""COMPUTED_VALUE"""),18.78)</f>
        <v>18.78</v>
      </c>
    </row>
    <row r="103" ht="15.75" customHeight="1">
      <c r="A103" s="330">
        <f>IFERROR(__xludf.DUMMYFUNCTION("""COMPUTED_VALUE"""),46066.0)</f>
        <v>46066</v>
      </c>
      <c r="B103" s="319" t="str">
        <f>IFERROR(__xludf.DUMMYFUNCTION("""COMPUTED_VALUE"""),"F. 100+")</f>
        <v>F. 100+</v>
      </c>
      <c r="C103" s="320">
        <f>IFERROR(__xludf.DUMMYFUNCTION("""COMPUTED_VALUE"""),577.0)</f>
        <v>577</v>
      </c>
      <c r="D103" s="320">
        <f>IFERROR(__xludf.DUMMYFUNCTION("""COMPUTED_VALUE"""),0.54)</f>
        <v>0.54</v>
      </c>
      <c r="E103" s="320">
        <f>IFERROR(__xludf.DUMMYFUNCTION("""COMPUTED_VALUE"""),0.0)</f>
        <v>0</v>
      </c>
      <c r="F103" s="320">
        <f>IFERROR(__xludf.DUMMYFUNCTION("""COMPUTED_VALUE"""),0.0)</f>
        <v>0</v>
      </c>
      <c r="G103" s="320">
        <f>IFERROR(__xludf.DUMMYFUNCTION("""COMPUTED_VALUE"""),0.0)</f>
        <v>0</v>
      </c>
      <c r="H103" s="106"/>
      <c r="I103" s="320">
        <f>IFERROR(__xludf.DUMMYFUNCTION("""COMPUTED_VALUE"""),248.91)</f>
        <v>248.91</v>
      </c>
      <c r="J103" s="320">
        <f>IFERROR(__xludf.DUMMYFUNCTION("""COMPUTED_VALUE"""),143.43)</f>
        <v>143.43</v>
      </c>
      <c r="K103" s="320">
        <f>IFERROR(__xludf.DUMMYFUNCTION("""COMPUTED_VALUE"""),126.74)</f>
        <v>126.74</v>
      </c>
      <c r="L103" s="320">
        <f>IFERROR(__xludf.DUMMYFUNCTION("""COMPUTED_VALUE"""),0.8836)</f>
        <v>0.8836</v>
      </c>
      <c r="M103" s="320">
        <f>IFERROR(__xludf.DUMMYFUNCTION("""COMPUTED_VALUE"""),0.2644)</f>
        <v>0.2644</v>
      </c>
      <c r="N103" s="320">
        <f>IFERROR(__xludf.DUMMYFUNCTION("""COMPUTED_VALUE"""),0.1989)</f>
        <v>0.1989</v>
      </c>
      <c r="O103" s="320">
        <f>IFERROR(__xludf.DUMMYFUNCTION("""COMPUTED_VALUE"""),1.1317)</f>
        <v>1.1317</v>
      </c>
      <c r="P103" s="320">
        <f>IFERROR(__xludf.DUMMYFUNCTION("""COMPUTED_VALUE"""),587.94)</f>
        <v>587.94</v>
      </c>
      <c r="Q103" s="320">
        <f>IFERROR(__xludf.DUMMYFUNCTION("""COMPUTED_VALUE"""),319.22)</f>
        <v>319.22</v>
      </c>
      <c r="R103" s="320">
        <f>IFERROR(__xludf.DUMMYFUNCTION("""COMPUTED_VALUE"""),268.72)</f>
        <v>268.72</v>
      </c>
      <c r="S103" s="320">
        <f>IFERROR(__xludf.DUMMYFUNCTION("""COMPUTED_VALUE"""),2.6)</f>
        <v>2.6</v>
      </c>
      <c r="T103" s="320">
        <f>IFERROR(__xludf.DUMMYFUNCTION("""COMPUTED_VALUE"""),585.34)</f>
        <v>585.34</v>
      </c>
      <c r="U103" s="320">
        <f>IFERROR(__xludf.DUMMYFUNCTION("""COMPUTED_VALUE"""),643.15)</f>
        <v>643.15</v>
      </c>
      <c r="V103" s="320">
        <f>IFERROR(__xludf.DUMMYFUNCTION("""COMPUTED_VALUE"""),4.4842)</f>
        <v>4.4842</v>
      </c>
      <c r="W103" s="320">
        <f>IFERROR(__xludf.DUMMYFUNCTION("""COMPUTED_VALUE"""),0.44)</f>
        <v>0.44</v>
      </c>
      <c r="X103" s="320">
        <f>IFERROR(__xludf.DUMMYFUNCTION("""COMPUTED_VALUE"""),1007.0)</f>
        <v>1007</v>
      </c>
      <c r="Y103" s="320">
        <f>IFERROR(__xludf.DUMMYFUNCTION("""COMPUTED_VALUE"""),3808.0)</f>
        <v>3808</v>
      </c>
      <c r="Z103" s="320">
        <f>IFERROR(__xludf.DUMMYFUNCTION("""COMPUTED_VALUE"""),10966.0)</f>
        <v>10966</v>
      </c>
      <c r="AA103" s="320">
        <f>IFERROR(__xludf.DUMMYFUNCTION("""COMPUTED_VALUE"""),63.88)</f>
        <v>63.88</v>
      </c>
      <c r="AB103" s="320">
        <f>IFERROR(__xludf.DUMMYFUNCTION("""COMPUTED_VALUE"""),0.9111)</f>
        <v>0.9111</v>
      </c>
      <c r="AC103" s="320">
        <f>IFERROR(__xludf.DUMMYFUNCTION("""COMPUTED_VALUE"""),93.09)</f>
        <v>93.09</v>
      </c>
      <c r="AD103" s="320">
        <f>IFERROR(__xludf.DUMMYFUNCTION("""COMPUTED_VALUE"""),38.0)</f>
        <v>38</v>
      </c>
      <c r="AE103" s="320">
        <f>IFERROR(__xludf.DUMMYFUNCTION("""COMPUTED_VALUE"""),80.0)</f>
        <v>80</v>
      </c>
      <c r="AF103" s="320">
        <f>IFERROR(__xludf.DUMMYFUNCTION("""COMPUTED_VALUE"""),137.0)</f>
        <v>137</v>
      </c>
      <c r="AG103" s="320">
        <f>IFERROR(__xludf.DUMMYFUNCTION("""COMPUTED_VALUE"""),183.0)</f>
        <v>183</v>
      </c>
      <c r="AH103" s="320">
        <f>IFERROR(__xludf.DUMMYFUNCTION("""COMPUTED_VALUE"""),50.09)</f>
        <v>50.09</v>
      </c>
      <c r="AI103" s="320">
        <f>IFERROR(__xludf.DUMMYFUNCTION("""COMPUTED_VALUE"""),11.27)</f>
        <v>11.27</v>
      </c>
      <c r="AJ103" s="320">
        <f>IFERROR(__xludf.DUMMYFUNCTION("""COMPUTED_VALUE"""),1.39)</f>
        <v>1.39</v>
      </c>
      <c r="AK103" s="320">
        <f>IFERROR(__xludf.DUMMYFUNCTION("""COMPUTED_VALUE"""),0.104)</f>
        <v>0.104</v>
      </c>
      <c r="AL103" s="320">
        <f>IFERROR(__xludf.DUMMYFUNCTION("""COMPUTED_VALUE"""),26.18)</f>
        <v>26.18</v>
      </c>
      <c r="AM103" s="320">
        <f>IFERROR(__xludf.DUMMYFUNCTION("""COMPUTED_VALUE"""),293.04)</f>
        <v>293.04</v>
      </c>
      <c r="AN103" s="320">
        <f>IFERROR(__xludf.DUMMYFUNCTION("""COMPUTED_VALUE"""),85.71)</f>
        <v>85.71</v>
      </c>
      <c r="AO103" s="320">
        <f>IFERROR(__xludf.DUMMYFUNCTION("""COMPUTED_VALUE"""),22.44)</f>
        <v>22.44</v>
      </c>
    </row>
    <row r="104" ht="15.75" customHeight="1">
      <c r="A104" s="330">
        <f>IFERROR(__xludf.DUMMYFUNCTION("""COMPUTED_VALUE"""),46067.0)</f>
        <v>46067</v>
      </c>
      <c r="B104" s="319" t="str">
        <f>IFERROR(__xludf.DUMMYFUNCTION("""COMPUTED_VALUE"""),"A. 0")</f>
        <v>A. 0</v>
      </c>
      <c r="C104" s="320">
        <f>IFERROR(__xludf.DUMMYFUNCTION("""COMPUTED_VALUE"""),20666.0)</f>
        <v>20666</v>
      </c>
      <c r="D104" s="320">
        <f>IFERROR(__xludf.DUMMYFUNCTION("""COMPUTED_VALUE"""),19.56)</f>
        <v>19.56</v>
      </c>
      <c r="E104" s="320">
        <f>IFERROR(__xludf.DUMMYFUNCTION("""COMPUTED_VALUE"""),0.0)</f>
        <v>0</v>
      </c>
      <c r="F104" s="320">
        <f>IFERROR(__xludf.DUMMYFUNCTION("""COMPUTED_VALUE"""),0.0)</f>
        <v>0</v>
      </c>
      <c r="G104" s="320">
        <f>IFERROR(__xludf.DUMMYFUNCTION("""COMPUTED_VALUE"""),0.0)</f>
        <v>0</v>
      </c>
      <c r="H104" s="106"/>
      <c r="I104" s="320">
        <f>IFERROR(__xludf.DUMMYFUNCTION("""COMPUTED_VALUE"""),6.12)</f>
        <v>6.12</v>
      </c>
      <c r="J104" s="320">
        <f>IFERROR(__xludf.DUMMYFUNCTION("""COMPUTED_VALUE"""),2.42)</f>
        <v>2.42</v>
      </c>
      <c r="K104" s="320">
        <f>IFERROR(__xludf.DUMMYFUNCTION("""COMPUTED_VALUE"""),0.03)</f>
        <v>0.03</v>
      </c>
      <c r="L104" s="320">
        <f>IFERROR(__xludf.DUMMYFUNCTION("""COMPUTED_VALUE"""),0.0107)</f>
        <v>0.0107</v>
      </c>
      <c r="M104" s="320">
        <f>IFERROR(__xludf.DUMMYFUNCTION("""COMPUTED_VALUE"""),0.992)</f>
        <v>0.992</v>
      </c>
      <c r="N104" s="320">
        <f>IFERROR(__xludf.DUMMYFUNCTION("""COMPUTED_VALUE"""),0.9001)</f>
        <v>0.9001</v>
      </c>
      <c r="O104" s="320">
        <f>IFERROR(__xludf.DUMMYFUNCTION("""COMPUTED_VALUE"""),93.5327)</f>
        <v>93.5327</v>
      </c>
      <c r="P104" s="320">
        <f>IFERROR(__xludf.DUMMYFUNCTION("""COMPUTED_VALUE"""),25.12)</f>
        <v>25.12</v>
      </c>
      <c r="Q104" s="320">
        <f>IFERROR(__xludf.DUMMYFUNCTION("""COMPUTED_VALUE"""),25.01)</f>
        <v>25.01</v>
      </c>
      <c r="R104" s="320">
        <f>IFERROR(__xludf.DUMMYFUNCTION("""COMPUTED_VALUE"""),0.11)</f>
        <v>0.11</v>
      </c>
      <c r="S104" s="320">
        <f>IFERROR(__xludf.DUMMYFUNCTION("""COMPUTED_VALUE"""),0.0)</f>
        <v>0</v>
      </c>
      <c r="T104" s="320">
        <f>IFERROR(__xludf.DUMMYFUNCTION("""COMPUTED_VALUE"""),25.12)</f>
        <v>25.12</v>
      </c>
      <c r="U104" s="320">
        <f>IFERROR(__xludf.DUMMYFUNCTION("""COMPUTED_VALUE"""),2.35)</f>
        <v>2.35</v>
      </c>
      <c r="V104" s="320">
        <f>IFERROR(__xludf.DUMMYFUNCTION("""COMPUTED_VALUE"""),0.9712)</f>
        <v>0.9712</v>
      </c>
      <c r="W104" s="320">
        <f>IFERROR(__xludf.DUMMYFUNCTION("""COMPUTED_VALUE"""),0.0)</f>
        <v>0</v>
      </c>
      <c r="X104" s="320">
        <f>IFERROR(__xludf.DUMMYFUNCTION("""COMPUTED_VALUE"""),287.0)</f>
        <v>287</v>
      </c>
      <c r="Y104" s="320">
        <f>IFERROR(__xludf.DUMMYFUNCTION("""COMPUTED_VALUE"""),3190.0)</f>
        <v>3190</v>
      </c>
      <c r="Z104" s="320">
        <f>IFERROR(__xludf.DUMMYFUNCTION("""COMPUTED_VALUE"""),13581.0)</f>
        <v>13581</v>
      </c>
      <c r="AA104" s="320">
        <f>IFERROR(__xludf.DUMMYFUNCTION("""COMPUTED_VALUE"""),48.8939)</f>
        <v>48.8939</v>
      </c>
      <c r="AB104" s="320">
        <f>IFERROR(__xludf.DUMMYFUNCTION("""COMPUTED_VALUE"""),0.5424)</f>
        <v>0.5424</v>
      </c>
      <c r="AC104" s="106"/>
      <c r="AD104" s="106"/>
      <c r="AE104" s="106"/>
      <c r="AF104" s="106"/>
      <c r="AG104" s="106"/>
      <c r="AH104" s="320">
        <f>IFERROR(__xludf.DUMMYFUNCTION("""COMPUTED_VALUE"""),0.0)</f>
        <v>0</v>
      </c>
      <c r="AI104" s="320">
        <f>IFERROR(__xludf.DUMMYFUNCTION("""COMPUTED_VALUE"""),0.0)</f>
        <v>0</v>
      </c>
      <c r="AJ104" s="320">
        <f>IFERROR(__xludf.DUMMYFUNCTION("""COMPUTED_VALUE"""),0.0)</f>
        <v>0</v>
      </c>
      <c r="AK104" s="320">
        <f>IFERROR(__xludf.DUMMYFUNCTION("""COMPUTED_VALUE"""),0.2977)</f>
        <v>0.2977</v>
      </c>
      <c r="AL104" s="320">
        <f>IFERROR(__xludf.DUMMYFUNCTION("""COMPUTED_VALUE"""),18.38)</f>
        <v>18.38</v>
      </c>
      <c r="AM104" s="320">
        <f>IFERROR(__xludf.DUMMYFUNCTION("""COMPUTED_VALUE"""),6.63)</f>
        <v>6.63</v>
      </c>
      <c r="AN104" s="331"/>
      <c r="AO104" s="331"/>
    </row>
    <row r="105" ht="15.75" customHeight="1">
      <c r="A105" s="330">
        <f>IFERROR(__xludf.DUMMYFUNCTION("""COMPUTED_VALUE"""),46067.0)</f>
        <v>46067</v>
      </c>
      <c r="B105" s="319" t="str">
        <f>IFERROR(__xludf.DUMMYFUNCTION("""COMPUTED_VALUE"""),"B. 1-9")</f>
        <v>B. 1-9</v>
      </c>
      <c r="C105" s="320">
        <f>IFERROR(__xludf.DUMMYFUNCTION("""COMPUTED_VALUE"""),38470.0)</f>
        <v>38470</v>
      </c>
      <c r="D105" s="320">
        <f>IFERROR(__xludf.DUMMYFUNCTION("""COMPUTED_VALUE"""),36.41)</f>
        <v>36.41</v>
      </c>
      <c r="E105" s="320">
        <f>IFERROR(__xludf.DUMMYFUNCTION("""COMPUTED_VALUE"""),0.0)</f>
        <v>0</v>
      </c>
      <c r="F105" s="320">
        <f>IFERROR(__xludf.DUMMYFUNCTION("""COMPUTED_VALUE"""),0.0)</f>
        <v>0</v>
      </c>
      <c r="G105" s="320">
        <f>IFERROR(__xludf.DUMMYFUNCTION("""COMPUTED_VALUE"""),0.0)</f>
        <v>0</v>
      </c>
      <c r="H105" s="106"/>
      <c r="I105" s="320">
        <f>IFERROR(__xludf.DUMMYFUNCTION("""COMPUTED_VALUE"""),29.65)</f>
        <v>29.65</v>
      </c>
      <c r="J105" s="320">
        <f>IFERROR(__xludf.DUMMYFUNCTION("""COMPUTED_VALUE"""),13.24)</f>
        <v>13.24</v>
      </c>
      <c r="K105" s="320">
        <f>IFERROR(__xludf.DUMMYFUNCTION("""COMPUTED_VALUE"""),5.72)</f>
        <v>5.72</v>
      </c>
      <c r="L105" s="320">
        <f>IFERROR(__xludf.DUMMYFUNCTION("""COMPUTED_VALUE"""),0.4325)</f>
        <v>0.4325</v>
      </c>
      <c r="M105" s="320">
        <f>IFERROR(__xludf.DUMMYFUNCTION("""COMPUTED_VALUE"""),0.7435)</f>
        <v>0.7435</v>
      </c>
      <c r="N105" s="320">
        <f>IFERROR(__xludf.DUMMYFUNCTION("""COMPUTED_VALUE"""),0.5521)</f>
        <v>0.5521</v>
      </c>
      <c r="O105" s="320">
        <f>IFERROR(__xludf.DUMMYFUNCTION("""COMPUTED_VALUE"""),2.3124)</f>
        <v>2.3124</v>
      </c>
      <c r="P105" s="320">
        <f>IFERROR(__xludf.DUMMYFUNCTION("""COMPUTED_VALUE"""),53.28)</f>
        <v>53.28</v>
      </c>
      <c r="Q105" s="320">
        <f>IFERROR(__xludf.DUMMYFUNCTION("""COMPUTED_VALUE"""),41.58)</f>
        <v>41.58</v>
      </c>
      <c r="R105" s="320">
        <f>IFERROR(__xludf.DUMMYFUNCTION("""COMPUTED_VALUE"""),11.7)</f>
        <v>11.7</v>
      </c>
      <c r="S105" s="320">
        <f>IFERROR(__xludf.DUMMYFUNCTION("""COMPUTED_VALUE"""),0.32)</f>
        <v>0.32</v>
      </c>
      <c r="T105" s="320">
        <f>IFERROR(__xludf.DUMMYFUNCTION("""COMPUTED_VALUE"""),52.96)</f>
        <v>52.96</v>
      </c>
      <c r="U105" s="320">
        <f>IFERROR(__xludf.DUMMYFUNCTION("""COMPUTED_VALUE"""),54.11)</f>
        <v>54.11</v>
      </c>
      <c r="V105" s="320">
        <f>IFERROR(__xludf.DUMMYFUNCTION("""COMPUTED_VALUE"""),4.0884)</f>
        <v>4.0884</v>
      </c>
      <c r="W105" s="320">
        <f>IFERROR(__xludf.DUMMYFUNCTION("""COMPUTED_VALUE"""),0.61)</f>
        <v>0.61</v>
      </c>
      <c r="X105" s="320">
        <f>IFERROR(__xludf.DUMMYFUNCTION("""COMPUTED_VALUE"""),145.0)</f>
        <v>145</v>
      </c>
      <c r="Y105" s="320">
        <f>IFERROR(__xludf.DUMMYFUNCTION("""COMPUTED_VALUE"""),883.0)</f>
        <v>883</v>
      </c>
      <c r="Z105" s="320">
        <f>IFERROR(__xludf.DUMMYFUNCTION("""COMPUTED_VALUE"""),5898.0)</f>
        <v>5898</v>
      </c>
      <c r="AA105" s="320">
        <f>IFERROR(__xludf.DUMMYFUNCTION("""COMPUTED_VALUE"""),48.701)</f>
        <v>48.701</v>
      </c>
      <c r="AB105" s="320">
        <f>IFERROR(__xludf.DUMMYFUNCTION("""COMPUTED_VALUE"""),0.5418)</f>
        <v>0.5418</v>
      </c>
      <c r="AC105" s="320">
        <f>IFERROR(__xludf.DUMMYFUNCTION("""COMPUTED_VALUE"""),4.06)</f>
        <v>4.06</v>
      </c>
      <c r="AD105" s="320">
        <f>IFERROR(__xludf.DUMMYFUNCTION("""COMPUTED_VALUE"""),1.0)</f>
        <v>1</v>
      </c>
      <c r="AE105" s="320">
        <f>IFERROR(__xludf.DUMMYFUNCTION("""COMPUTED_VALUE"""),3.0)</f>
        <v>3</v>
      </c>
      <c r="AF105" s="320">
        <f>IFERROR(__xludf.DUMMYFUNCTION("""COMPUTED_VALUE"""),5.0)</f>
        <v>5</v>
      </c>
      <c r="AG105" s="320">
        <f>IFERROR(__xludf.DUMMYFUNCTION("""COMPUTED_VALUE"""),9.0)</f>
        <v>9</v>
      </c>
      <c r="AH105" s="320">
        <f>IFERROR(__xludf.DUMMYFUNCTION("""COMPUTED_VALUE"""),72.58)</f>
        <v>72.58</v>
      </c>
      <c r="AI105" s="320">
        <f>IFERROR(__xludf.DUMMYFUNCTION("""COMPUTED_VALUE"""),31.17)</f>
        <v>31.17</v>
      </c>
      <c r="AJ105" s="320">
        <f>IFERROR(__xludf.DUMMYFUNCTION("""COMPUTED_VALUE"""),9.28)</f>
        <v>9.28</v>
      </c>
      <c r="AK105" s="320">
        <f>IFERROR(__xludf.DUMMYFUNCTION("""COMPUTED_VALUE"""),0.2549)</f>
        <v>0.2549</v>
      </c>
      <c r="AL105" s="320">
        <f>IFERROR(__xludf.DUMMYFUNCTION("""COMPUTED_VALUE"""),21.62)</f>
        <v>21.62</v>
      </c>
      <c r="AM105" s="320">
        <f>IFERROR(__xludf.DUMMYFUNCTION("""COMPUTED_VALUE"""),19.96)</f>
        <v>19.96</v>
      </c>
      <c r="AN105" s="320">
        <f>IFERROR(__xludf.DUMMYFUNCTION("""COMPUTED_VALUE"""),65.81)</f>
        <v>65.81</v>
      </c>
      <c r="AO105" s="320">
        <f>IFERROR(__xludf.DUMMYFUNCTION("""COMPUTED_VALUE"""),14.23)</f>
        <v>14.23</v>
      </c>
    </row>
    <row r="106" ht="15.75" customHeight="1">
      <c r="A106" s="330">
        <f>IFERROR(__xludf.DUMMYFUNCTION("""COMPUTED_VALUE"""),46067.0)</f>
        <v>46067</v>
      </c>
      <c r="B106" s="319" t="str">
        <f>IFERROR(__xludf.DUMMYFUNCTION("""COMPUTED_VALUE"""),"C. 10-19")</f>
        <v>C. 10-19</v>
      </c>
      <c r="C106" s="320">
        <f>IFERROR(__xludf.DUMMYFUNCTION("""COMPUTED_VALUE"""),25896.0)</f>
        <v>25896</v>
      </c>
      <c r="D106" s="320">
        <f>IFERROR(__xludf.DUMMYFUNCTION("""COMPUTED_VALUE"""),24.51)</f>
        <v>24.51</v>
      </c>
      <c r="E106" s="320">
        <f>IFERROR(__xludf.DUMMYFUNCTION("""COMPUTED_VALUE"""),0.0)</f>
        <v>0</v>
      </c>
      <c r="F106" s="320">
        <f>IFERROR(__xludf.DUMMYFUNCTION("""COMPUTED_VALUE"""),0.0)</f>
        <v>0</v>
      </c>
      <c r="G106" s="320">
        <f>IFERROR(__xludf.DUMMYFUNCTION("""COMPUTED_VALUE"""),0.0)</f>
        <v>0</v>
      </c>
      <c r="H106" s="106"/>
      <c r="I106" s="320">
        <f>IFERROR(__xludf.DUMMYFUNCTION("""COMPUTED_VALUE"""),54.96)</f>
        <v>54.96</v>
      </c>
      <c r="J106" s="320">
        <f>IFERROR(__xludf.DUMMYFUNCTION("""COMPUTED_VALUE"""),25.61)</f>
        <v>25.61</v>
      </c>
      <c r="K106" s="320">
        <f>IFERROR(__xludf.DUMMYFUNCTION("""COMPUTED_VALUE"""),14.13)</f>
        <v>14.13</v>
      </c>
      <c r="L106" s="320">
        <f>IFERROR(__xludf.DUMMYFUNCTION("""COMPUTED_VALUE"""),0.5517)</f>
        <v>0.5517</v>
      </c>
      <c r="M106" s="320">
        <f>IFERROR(__xludf.DUMMYFUNCTION("""COMPUTED_VALUE"""),0.6429)</f>
        <v>0.6429</v>
      </c>
      <c r="N106" s="320">
        <f>IFERROR(__xludf.DUMMYFUNCTION("""COMPUTED_VALUE"""),0.4542)</f>
        <v>0.4542</v>
      </c>
      <c r="O106" s="320">
        <f>IFERROR(__xludf.DUMMYFUNCTION("""COMPUTED_VALUE"""),1.8125)</f>
        <v>1.8125</v>
      </c>
      <c r="P106" s="320">
        <f>IFERROR(__xludf.DUMMYFUNCTION("""COMPUTED_VALUE"""),98.0)</f>
        <v>98</v>
      </c>
      <c r="Q106" s="320">
        <f>IFERROR(__xludf.DUMMYFUNCTION("""COMPUTED_VALUE"""),68.25)</f>
        <v>68.25</v>
      </c>
      <c r="R106" s="320">
        <f>IFERROR(__xludf.DUMMYFUNCTION("""COMPUTED_VALUE"""),29.74)</f>
        <v>29.74</v>
      </c>
      <c r="S106" s="320">
        <f>IFERROR(__xludf.DUMMYFUNCTION("""COMPUTED_VALUE"""),0.71)</f>
        <v>0.71</v>
      </c>
      <c r="T106" s="320">
        <f>IFERROR(__xludf.DUMMYFUNCTION("""COMPUTED_VALUE"""),97.29)</f>
        <v>97.29</v>
      </c>
      <c r="U106" s="320">
        <f>IFERROR(__xludf.DUMMYFUNCTION("""COMPUTED_VALUE"""),98.15)</f>
        <v>98.15</v>
      </c>
      <c r="V106" s="320">
        <f>IFERROR(__xludf.DUMMYFUNCTION("""COMPUTED_VALUE"""),3.8325)</f>
        <v>3.8325</v>
      </c>
      <c r="W106" s="320">
        <f>IFERROR(__xludf.DUMMYFUNCTION("""COMPUTED_VALUE"""),0.72)</f>
        <v>0.72</v>
      </c>
      <c r="X106" s="320">
        <f>IFERROR(__xludf.DUMMYFUNCTION("""COMPUTED_VALUE"""),129.0)</f>
        <v>129</v>
      </c>
      <c r="Y106" s="320">
        <f>IFERROR(__xludf.DUMMYFUNCTION("""COMPUTED_VALUE"""),722.0)</f>
        <v>722</v>
      </c>
      <c r="Z106" s="320">
        <f>IFERROR(__xludf.DUMMYFUNCTION("""COMPUTED_VALUE"""),5253.0)</f>
        <v>5253</v>
      </c>
      <c r="AA106" s="320">
        <f>IFERROR(__xludf.DUMMYFUNCTION("""COMPUTED_VALUE"""),52.213)</f>
        <v>52.213</v>
      </c>
      <c r="AB106" s="320">
        <f>IFERROR(__xludf.DUMMYFUNCTION("""COMPUTED_VALUE"""),0.6398)</f>
        <v>0.6398</v>
      </c>
      <c r="AC106" s="320">
        <f>IFERROR(__xludf.DUMMYFUNCTION("""COMPUTED_VALUE"""),9.57)</f>
        <v>9.57</v>
      </c>
      <c r="AD106" s="320">
        <f>IFERROR(__xludf.DUMMYFUNCTION("""COMPUTED_VALUE"""),4.0)</f>
        <v>4</v>
      </c>
      <c r="AE106" s="320">
        <f>IFERROR(__xludf.DUMMYFUNCTION("""COMPUTED_VALUE"""),8.0)</f>
        <v>8</v>
      </c>
      <c r="AF106" s="320">
        <f>IFERROR(__xludf.DUMMYFUNCTION("""COMPUTED_VALUE"""),13.0)</f>
        <v>13</v>
      </c>
      <c r="AG106" s="320">
        <f>IFERROR(__xludf.DUMMYFUNCTION("""COMPUTED_VALUE"""),20.0)</f>
        <v>20</v>
      </c>
      <c r="AH106" s="320">
        <f>IFERROR(__xludf.DUMMYFUNCTION("""COMPUTED_VALUE"""),61.67)</f>
        <v>61.67</v>
      </c>
      <c r="AI106" s="320">
        <f>IFERROR(__xludf.DUMMYFUNCTION("""COMPUTED_VALUE"""),26.51)</f>
        <v>26.51</v>
      </c>
      <c r="AJ106" s="320">
        <f>IFERROR(__xludf.DUMMYFUNCTION("""COMPUTED_VALUE"""),4.93)</f>
        <v>4.93</v>
      </c>
      <c r="AK106" s="320">
        <f>IFERROR(__xludf.DUMMYFUNCTION("""COMPUTED_VALUE"""),0.2112)</f>
        <v>0.2112</v>
      </c>
      <c r="AL106" s="320">
        <f>IFERROR(__xludf.DUMMYFUNCTION("""COMPUTED_VALUE"""),22.77)</f>
        <v>22.77</v>
      </c>
      <c r="AM106" s="320">
        <f>IFERROR(__xludf.DUMMYFUNCTION("""COMPUTED_VALUE"""),45.49)</f>
        <v>45.49</v>
      </c>
      <c r="AN106" s="320">
        <f>IFERROR(__xludf.DUMMYFUNCTION("""COMPUTED_VALUE"""),74.79)</f>
        <v>74.79</v>
      </c>
      <c r="AO106" s="320">
        <f>IFERROR(__xludf.DUMMYFUNCTION("""COMPUTED_VALUE"""),17.03)</f>
        <v>17.03</v>
      </c>
    </row>
    <row r="107" ht="15.75" customHeight="1">
      <c r="A107" s="330">
        <f>IFERROR(__xludf.DUMMYFUNCTION("""COMPUTED_VALUE"""),46067.0)</f>
        <v>46067</v>
      </c>
      <c r="B107" s="319" t="str">
        <f>IFERROR(__xludf.DUMMYFUNCTION("""COMPUTED_VALUE"""),"D. 20-39")</f>
        <v>D. 20-39</v>
      </c>
      <c r="C107" s="320">
        <f>IFERROR(__xludf.DUMMYFUNCTION("""COMPUTED_VALUE"""),14442.0)</f>
        <v>14442</v>
      </c>
      <c r="D107" s="320">
        <f>IFERROR(__xludf.DUMMYFUNCTION("""COMPUTED_VALUE"""),13.67)</f>
        <v>13.67</v>
      </c>
      <c r="E107" s="320">
        <f>IFERROR(__xludf.DUMMYFUNCTION("""COMPUTED_VALUE"""),0.0)</f>
        <v>0</v>
      </c>
      <c r="F107" s="320">
        <f>IFERROR(__xludf.DUMMYFUNCTION("""COMPUTED_VALUE"""),0.0)</f>
        <v>0</v>
      </c>
      <c r="G107" s="320">
        <f>IFERROR(__xludf.DUMMYFUNCTION("""COMPUTED_VALUE"""),0.0)</f>
        <v>0</v>
      </c>
      <c r="H107" s="106"/>
      <c r="I107" s="320">
        <f>IFERROR(__xludf.DUMMYFUNCTION("""COMPUTED_VALUE"""),82.63)</f>
        <v>82.63</v>
      </c>
      <c r="J107" s="320">
        <f>IFERROR(__xludf.DUMMYFUNCTION("""COMPUTED_VALUE"""),40.82)</f>
        <v>40.82</v>
      </c>
      <c r="K107" s="320">
        <f>IFERROR(__xludf.DUMMYFUNCTION("""COMPUTED_VALUE"""),27.1)</f>
        <v>27.1</v>
      </c>
      <c r="L107" s="320">
        <f>IFERROR(__xludf.DUMMYFUNCTION("""COMPUTED_VALUE"""),0.664)</f>
        <v>0.664</v>
      </c>
      <c r="M107" s="320">
        <f>IFERROR(__xludf.DUMMYFUNCTION("""COMPUTED_VALUE"""),0.5285)</f>
        <v>0.5285</v>
      </c>
      <c r="N107" s="320">
        <f>IFERROR(__xludf.DUMMYFUNCTION("""COMPUTED_VALUE"""),0.3692)</f>
        <v>0.3692</v>
      </c>
      <c r="O107" s="320">
        <f>IFERROR(__xludf.DUMMYFUNCTION("""COMPUTED_VALUE"""),1.506)</f>
        <v>1.506</v>
      </c>
      <c r="P107" s="320">
        <f>IFERROR(__xludf.DUMMYFUNCTION("""COMPUTED_VALUE"""),171.16)</f>
        <v>171.16</v>
      </c>
      <c r="Q107" s="320">
        <f>IFERROR(__xludf.DUMMYFUNCTION("""COMPUTED_VALUE"""),113.66)</f>
        <v>113.66</v>
      </c>
      <c r="R107" s="320">
        <f>IFERROR(__xludf.DUMMYFUNCTION("""COMPUTED_VALUE"""),57.5)</f>
        <v>57.5</v>
      </c>
      <c r="S107" s="320">
        <f>IFERROR(__xludf.DUMMYFUNCTION("""COMPUTED_VALUE"""),1.98)</f>
        <v>1.98</v>
      </c>
      <c r="T107" s="320">
        <f>IFERROR(__xludf.DUMMYFUNCTION("""COMPUTED_VALUE"""),169.18)</f>
        <v>169.18</v>
      </c>
      <c r="U107" s="320">
        <f>IFERROR(__xludf.DUMMYFUNCTION("""COMPUTED_VALUE"""),171.69)</f>
        <v>171.69</v>
      </c>
      <c r="V107" s="320">
        <f>IFERROR(__xludf.DUMMYFUNCTION("""COMPUTED_VALUE"""),4.2064)</f>
        <v>4.2064</v>
      </c>
      <c r="W107" s="320">
        <f>IFERROR(__xludf.DUMMYFUNCTION("""COMPUTED_VALUE"""),1.15)</f>
        <v>1.15</v>
      </c>
      <c r="X107" s="320">
        <f>IFERROR(__xludf.DUMMYFUNCTION("""COMPUTED_VALUE"""),154.0)</f>
        <v>154</v>
      </c>
      <c r="Y107" s="320">
        <f>IFERROR(__xludf.DUMMYFUNCTION("""COMPUTED_VALUE"""),989.0)</f>
        <v>989</v>
      </c>
      <c r="Z107" s="320">
        <f>IFERROR(__xludf.DUMMYFUNCTION("""COMPUTED_VALUE"""),6013.0)</f>
        <v>6013</v>
      </c>
      <c r="AA107" s="320">
        <f>IFERROR(__xludf.DUMMYFUNCTION("""COMPUTED_VALUE"""),55.2152)</f>
        <v>55.2152</v>
      </c>
      <c r="AB107" s="320">
        <f>IFERROR(__xludf.DUMMYFUNCTION("""COMPUTED_VALUE"""),0.7342)</f>
        <v>0.7342</v>
      </c>
      <c r="AC107" s="320">
        <f>IFERROR(__xludf.DUMMYFUNCTION("""COMPUTED_VALUE"""),18.06)</f>
        <v>18.06</v>
      </c>
      <c r="AD107" s="320">
        <f>IFERROR(__xludf.DUMMYFUNCTION("""COMPUTED_VALUE"""),7.0)</f>
        <v>7</v>
      </c>
      <c r="AE107" s="320">
        <f>IFERROR(__xludf.DUMMYFUNCTION("""COMPUTED_VALUE"""),14.0)</f>
        <v>14</v>
      </c>
      <c r="AF107" s="320">
        <f>IFERROR(__xludf.DUMMYFUNCTION("""COMPUTED_VALUE"""),25.0)</f>
        <v>25</v>
      </c>
      <c r="AG107" s="320">
        <f>IFERROR(__xludf.DUMMYFUNCTION("""COMPUTED_VALUE"""),38.0)</f>
        <v>38</v>
      </c>
      <c r="AH107" s="320">
        <f>IFERROR(__xludf.DUMMYFUNCTION("""COMPUTED_VALUE"""),59.74)</f>
        <v>59.74</v>
      </c>
      <c r="AI107" s="320">
        <f>IFERROR(__xludf.DUMMYFUNCTION("""COMPUTED_VALUE"""),23.64)</f>
        <v>23.64</v>
      </c>
      <c r="AJ107" s="320">
        <f>IFERROR(__xludf.DUMMYFUNCTION("""COMPUTED_VALUE"""),7.75)</f>
        <v>7.75</v>
      </c>
      <c r="AK107" s="320">
        <f>IFERROR(__xludf.DUMMYFUNCTION("""COMPUTED_VALUE"""),0.1901)</f>
        <v>0.1901</v>
      </c>
      <c r="AL107" s="320">
        <f>IFERROR(__xludf.DUMMYFUNCTION("""COMPUTED_VALUE"""),22.94)</f>
        <v>22.94</v>
      </c>
      <c r="AM107" s="320">
        <f>IFERROR(__xludf.DUMMYFUNCTION("""COMPUTED_VALUE"""),90.72)</f>
        <v>90.72</v>
      </c>
      <c r="AN107" s="320">
        <f>IFERROR(__xludf.DUMMYFUNCTION("""COMPUTED_VALUE"""),77.88)</f>
        <v>77.88</v>
      </c>
      <c r="AO107" s="320">
        <f>IFERROR(__xludf.DUMMYFUNCTION("""COMPUTED_VALUE"""),17.87)</f>
        <v>17.87</v>
      </c>
    </row>
    <row r="108" ht="15.75" customHeight="1">
      <c r="A108" s="330">
        <f>IFERROR(__xludf.DUMMYFUNCTION("""COMPUTED_VALUE"""),46067.0)</f>
        <v>46067</v>
      </c>
      <c r="B108" s="319" t="str">
        <f>IFERROR(__xludf.DUMMYFUNCTION("""COMPUTED_VALUE"""),"E. 40-99")</f>
        <v>E. 40-99</v>
      </c>
      <c r="C108" s="320">
        <f>IFERROR(__xludf.DUMMYFUNCTION("""COMPUTED_VALUE"""),5599.0)</f>
        <v>5599</v>
      </c>
      <c r="D108" s="320">
        <f>IFERROR(__xludf.DUMMYFUNCTION("""COMPUTED_VALUE"""),5.3)</f>
        <v>5.3</v>
      </c>
      <c r="E108" s="320">
        <f>IFERROR(__xludf.DUMMYFUNCTION("""COMPUTED_VALUE"""),0.0)</f>
        <v>0</v>
      </c>
      <c r="F108" s="320">
        <f>IFERROR(__xludf.DUMMYFUNCTION("""COMPUTED_VALUE"""),0.0)</f>
        <v>0</v>
      </c>
      <c r="G108" s="320">
        <f>IFERROR(__xludf.DUMMYFUNCTION("""COMPUTED_VALUE"""),0.0)</f>
        <v>0</v>
      </c>
      <c r="H108" s="106"/>
      <c r="I108" s="320">
        <f>IFERROR(__xludf.DUMMYFUNCTION("""COMPUTED_VALUE"""),128.24)</f>
        <v>128.24</v>
      </c>
      <c r="J108" s="320">
        <f>IFERROR(__xludf.DUMMYFUNCTION("""COMPUTED_VALUE"""),68.3)</f>
        <v>68.3</v>
      </c>
      <c r="K108" s="320">
        <f>IFERROR(__xludf.DUMMYFUNCTION("""COMPUTED_VALUE"""),54.29)</f>
        <v>54.29</v>
      </c>
      <c r="L108" s="320">
        <f>IFERROR(__xludf.DUMMYFUNCTION("""COMPUTED_VALUE"""),0.7948)</f>
        <v>0.7948</v>
      </c>
      <c r="M108" s="320">
        <f>IFERROR(__xludf.DUMMYFUNCTION("""COMPUTED_VALUE"""),0.3866)</f>
        <v>0.3866</v>
      </c>
      <c r="N108" s="320">
        <f>IFERROR(__xludf.DUMMYFUNCTION("""COMPUTED_VALUE"""),0.2796)</f>
        <v>0.2796</v>
      </c>
      <c r="O108" s="320">
        <f>IFERROR(__xludf.DUMMYFUNCTION("""COMPUTED_VALUE"""),1.2582)</f>
        <v>1.2582</v>
      </c>
      <c r="P108" s="320">
        <f>IFERROR(__xludf.DUMMYFUNCTION("""COMPUTED_VALUE"""),314.42)</f>
        <v>314.42</v>
      </c>
      <c r="Q108" s="320">
        <f>IFERROR(__xludf.DUMMYFUNCTION("""COMPUTED_VALUE"""),199.75)</f>
        <v>199.75</v>
      </c>
      <c r="R108" s="320">
        <f>IFERROR(__xludf.DUMMYFUNCTION("""COMPUTED_VALUE"""),114.67)</f>
        <v>114.67</v>
      </c>
      <c r="S108" s="320">
        <f>IFERROR(__xludf.DUMMYFUNCTION("""COMPUTED_VALUE"""),0.12)</f>
        <v>0.12</v>
      </c>
      <c r="T108" s="320">
        <f>IFERROR(__xludf.DUMMYFUNCTION("""COMPUTED_VALUE"""),314.3)</f>
        <v>314.3</v>
      </c>
      <c r="U108" s="320">
        <f>IFERROR(__xludf.DUMMYFUNCTION("""COMPUTED_VALUE"""),313.85)</f>
        <v>313.85</v>
      </c>
      <c r="V108" s="320">
        <f>IFERROR(__xludf.DUMMYFUNCTION("""COMPUTED_VALUE"""),4.5949)</f>
        <v>4.5949</v>
      </c>
      <c r="W108" s="320">
        <f>IFERROR(__xludf.DUMMYFUNCTION("""COMPUTED_VALUE"""),0.04)</f>
        <v>0.04</v>
      </c>
      <c r="X108" s="320">
        <f>IFERROR(__xludf.DUMMYFUNCTION("""COMPUTED_VALUE"""),363.0)</f>
        <v>363</v>
      </c>
      <c r="Y108" s="320">
        <f>IFERROR(__xludf.DUMMYFUNCTION("""COMPUTED_VALUE"""),2776.0)</f>
        <v>2776</v>
      </c>
      <c r="Z108" s="320">
        <f>IFERROR(__xludf.DUMMYFUNCTION("""COMPUTED_VALUE"""),9932.0)</f>
        <v>9932</v>
      </c>
      <c r="AA108" s="320">
        <f>IFERROR(__xludf.DUMMYFUNCTION("""COMPUTED_VALUE"""),59.4875)</f>
        <v>59.4875</v>
      </c>
      <c r="AB108" s="320">
        <f>IFERROR(__xludf.DUMMYFUNCTION("""COMPUTED_VALUE"""),0.8299)</f>
        <v>0.8299</v>
      </c>
      <c r="AC108" s="320">
        <f>IFERROR(__xludf.DUMMYFUNCTION("""COMPUTED_VALUE"""),37.27)</f>
        <v>37.27</v>
      </c>
      <c r="AD108" s="320">
        <f>IFERROR(__xludf.DUMMYFUNCTION("""COMPUTED_VALUE"""),14.0)</f>
        <v>14</v>
      </c>
      <c r="AE108" s="320">
        <f>IFERROR(__xludf.DUMMYFUNCTION("""COMPUTED_VALUE"""),29.0)</f>
        <v>29</v>
      </c>
      <c r="AF108" s="320">
        <f>IFERROR(__xludf.DUMMYFUNCTION("""COMPUTED_VALUE"""),52.0)</f>
        <v>52</v>
      </c>
      <c r="AG108" s="320">
        <f>IFERROR(__xludf.DUMMYFUNCTION("""COMPUTED_VALUE"""),78.0)</f>
        <v>78</v>
      </c>
      <c r="AH108" s="320">
        <f>IFERROR(__xludf.DUMMYFUNCTION("""COMPUTED_VALUE"""),51.94)</f>
        <v>51.94</v>
      </c>
      <c r="AI108" s="320">
        <f>IFERROR(__xludf.DUMMYFUNCTION("""COMPUTED_VALUE"""),19.45)</f>
        <v>19.45</v>
      </c>
      <c r="AJ108" s="320">
        <f>IFERROR(__xludf.DUMMYFUNCTION("""COMPUTED_VALUE"""),4.79)</f>
        <v>4.79</v>
      </c>
      <c r="AK108" s="320">
        <f>IFERROR(__xludf.DUMMYFUNCTION("""COMPUTED_VALUE"""),0.1468)</f>
        <v>0.1468</v>
      </c>
      <c r="AL108" s="320">
        <f>IFERROR(__xludf.DUMMYFUNCTION("""COMPUTED_VALUE"""),23.23)</f>
        <v>23.23</v>
      </c>
      <c r="AM108" s="320">
        <f>IFERROR(__xludf.DUMMYFUNCTION("""COMPUTED_VALUE"""),176.52)</f>
        <v>176.52</v>
      </c>
      <c r="AN108" s="320">
        <f>IFERROR(__xludf.DUMMYFUNCTION("""COMPUTED_VALUE"""),82.2)</f>
        <v>82.2</v>
      </c>
      <c r="AO108" s="320">
        <f>IFERROR(__xludf.DUMMYFUNCTION("""COMPUTED_VALUE"""),19.1)</f>
        <v>19.1</v>
      </c>
    </row>
    <row r="109" ht="15.75" customHeight="1">
      <c r="A109" s="330">
        <f>IFERROR(__xludf.DUMMYFUNCTION("""COMPUTED_VALUE"""),46067.0)</f>
        <v>46067</v>
      </c>
      <c r="B109" s="319" t="str">
        <f>IFERROR(__xludf.DUMMYFUNCTION("""COMPUTED_VALUE"""),"F. 100+")</f>
        <v>F. 100+</v>
      </c>
      <c r="C109" s="320">
        <f>IFERROR(__xludf.DUMMYFUNCTION("""COMPUTED_VALUE"""),587.0)</f>
        <v>587</v>
      </c>
      <c r="D109" s="320">
        <f>IFERROR(__xludf.DUMMYFUNCTION("""COMPUTED_VALUE"""),0.56)</f>
        <v>0.56</v>
      </c>
      <c r="E109" s="320">
        <f>IFERROR(__xludf.DUMMYFUNCTION("""COMPUTED_VALUE"""),0.0)</f>
        <v>0</v>
      </c>
      <c r="F109" s="320">
        <f>IFERROR(__xludf.DUMMYFUNCTION("""COMPUTED_VALUE"""),0.0)</f>
        <v>0</v>
      </c>
      <c r="G109" s="320">
        <f>IFERROR(__xludf.DUMMYFUNCTION("""COMPUTED_VALUE"""),0.0)</f>
        <v>0</v>
      </c>
      <c r="H109" s="106"/>
      <c r="I109" s="320">
        <f>IFERROR(__xludf.DUMMYFUNCTION("""COMPUTED_VALUE"""),234.83)</f>
        <v>234.83</v>
      </c>
      <c r="J109" s="320">
        <f>IFERROR(__xludf.DUMMYFUNCTION("""COMPUTED_VALUE"""),137.86)</f>
        <v>137.86</v>
      </c>
      <c r="K109" s="320">
        <f>IFERROR(__xludf.DUMMYFUNCTION("""COMPUTED_VALUE"""),123.37)</f>
        <v>123.37</v>
      </c>
      <c r="L109" s="320">
        <f>IFERROR(__xludf.DUMMYFUNCTION("""COMPUTED_VALUE"""),0.8949)</f>
        <v>0.8949</v>
      </c>
      <c r="M109" s="320">
        <f>IFERROR(__xludf.DUMMYFUNCTION("""COMPUTED_VALUE"""),0.257)</f>
        <v>0.257</v>
      </c>
      <c r="N109" s="320">
        <f>IFERROR(__xludf.DUMMYFUNCTION("""COMPUTED_VALUE"""),0.2)</f>
        <v>0.2</v>
      </c>
      <c r="O109" s="320">
        <f>IFERROR(__xludf.DUMMYFUNCTION("""COMPUTED_VALUE"""),1.1174)</f>
        <v>1.1174</v>
      </c>
      <c r="P109" s="320">
        <f>IFERROR(__xludf.DUMMYFUNCTION("""COMPUTED_VALUE"""),650.75)</f>
        <v>650.75</v>
      </c>
      <c r="Q109" s="320">
        <f>IFERROR(__xludf.DUMMYFUNCTION("""COMPUTED_VALUE"""),390.53)</f>
        <v>390.53</v>
      </c>
      <c r="R109" s="320">
        <f>IFERROR(__xludf.DUMMYFUNCTION("""COMPUTED_VALUE"""),260.21)</f>
        <v>260.21</v>
      </c>
      <c r="S109" s="320">
        <f>IFERROR(__xludf.DUMMYFUNCTION("""COMPUTED_VALUE"""),0.0)</f>
        <v>0</v>
      </c>
      <c r="T109" s="320">
        <f>IFERROR(__xludf.DUMMYFUNCTION("""COMPUTED_VALUE"""),650.75)</f>
        <v>650.75</v>
      </c>
      <c r="U109" s="320">
        <f>IFERROR(__xludf.DUMMYFUNCTION("""COMPUTED_VALUE"""),631.52)</f>
        <v>631.52</v>
      </c>
      <c r="V109" s="320">
        <f>IFERROR(__xludf.DUMMYFUNCTION("""COMPUTED_VALUE"""),4.581)</f>
        <v>4.581</v>
      </c>
      <c r="W109" s="320">
        <f>IFERROR(__xludf.DUMMYFUNCTION("""COMPUTED_VALUE"""),0.0)</f>
        <v>0</v>
      </c>
      <c r="X109" s="320">
        <f>IFERROR(__xludf.DUMMYFUNCTION("""COMPUTED_VALUE"""),1039.0)</f>
        <v>1039</v>
      </c>
      <c r="Y109" s="320">
        <f>IFERROR(__xludf.DUMMYFUNCTION("""COMPUTED_VALUE"""),4055.0)</f>
        <v>4055</v>
      </c>
      <c r="Z109" s="320">
        <f>IFERROR(__xludf.DUMMYFUNCTION("""COMPUTED_VALUE"""),11031.0)</f>
        <v>11031</v>
      </c>
      <c r="AA109" s="320">
        <f>IFERROR(__xludf.DUMMYFUNCTION("""COMPUTED_VALUE"""),63.708)</f>
        <v>63.708</v>
      </c>
      <c r="AB109" s="320">
        <f>IFERROR(__xludf.DUMMYFUNCTION("""COMPUTED_VALUE"""),0.9012)</f>
        <v>0.9012</v>
      </c>
      <c r="AC109" s="320">
        <f>IFERROR(__xludf.DUMMYFUNCTION("""COMPUTED_VALUE"""),90.48)</f>
        <v>90.48</v>
      </c>
      <c r="AD109" s="320">
        <f>IFERROR(__xludf.DUMMYFUNCTION("""COMPUTED_VALUE"""),35.0)</f>
        <v>35</v>
      </c>
      <c r="AE109" s="320">
        <f>IFERROR(__xludf.DUMMYFUNCTION("""COMPUTED_VALUE"""),79.0)</f>
        <v>79</v>
      </c>
      <c r="AF109" s="320">
        <f>IFERROR(__xludf.DUMMYFUNCTION("""COMPUTED_VALUE"""),128.0)</f>
        <v>128</v>
      </c>
      <c r="AG109" s="320">
        <f>IFERROR(__xludf.DUMMYFUNCTION("""COMPUTED_VALUE"""),188.0)</f>
        <v>188</v>
      </c>
      <c r="AH109" s="320">
        <f>IFERROR(__xludf.DUMMYFUNCTION("""COMPUTED_VALUE"""),49.23)</f>
        <v>49.23</v>
      </c>
      <c r="AI109" s="320">
        <f>IFERROR(__xludf.DUMMYFUNCTION("""COMPUTED_VALUE"""),12.1)</f>
        <v>12.1</v>
      </c>
      <c r="AJ109" s="320">
        <f>IFERROR(__xludf.DUMMYFUNCTION("""COMPUTED_VALUE"""),0.85)</f>
        <v>0.85</v>
      </c>
      <c r="AK109" s="320">
        <f>IFERROR(__xludf.DUMMYFUNCTION("""COMPUTED_VALUE"""),0.1005)</f>
        <v>0.1005</v>
      </c>
      <c r="AL109" s="320">
        <f>IFERROR(__xludf.DUMMYFUNCTION("""COMPUTED_VALUE"""),21.86)</f>
        <v>21.86</v>
      </c>
      <c r="AM109" s="320">
        <f>IFERROR(__xludf.DUMMYFUNCTION("""COMPUTED_VALUE"""),368.68)</f>
        <v>368.68</v>
      </c>
      <c r="AN109" s="320">
        <f>IFERROR(__xludf.DUMMYFUNCTION("""COMPUTED_VALUE"""),85.15)</f>
        <v>85.15</v>
      </c>
      <c r="AO109" s="320">
        <f>IFERROR(__xludf.DUMMYFUNCTION("""COMPUTED_VALUE"""),18.61)</f>
        <v>18.61</v>
      </c>
    </row>
    <row r="110" ht="15.75" customHeight="1">
      <c r="A110" s="330">
        <f>IFERROR(__xludf.DUMMYFUNCTION("""COMPUTED_VALUE"""),46068.0)</f>
        <v>46068</v>
      </c>
      <c r="B110" s="319" t="str">
        <f>IFERROR(__xludf.DUMMYFUNCTION("""COMPUTED_VALUE"""),"A. 0")</f>
        <v>A. 0</v>
      </c>
      <c r="C110" s="320">
        <f>IFERROR(__xludf.DUMMYFUNCTION("""COMPUTED_VALUE"""),20899.0)</f>
        <v>20899</v>
      </c>
      <c r="D110" s="320">
        <f>IFERROR(__xludf.DUMMYFUNCTION("""COMPUTED_VALUE"""),19.46)</f>
        <v>19.46</v>
      </c>
      <c r="E110" s="320">
        <f>IFERROR(__xludf.DUMMYFUNCTION("""COMPUTED_VALUE"""),0.0)</f>
        <v>0</v>
      </c>
      <c r="F110" s="320">
        <f>IFERROR(__xludf.DUMMYFUNCTION("""COMPUTED_VALUE"""),0.0)</f>
        <v>0</v>
      </c>
      <c r="G110" s="320">
        <f>IFERROR(__xludf.DUMMYFUNCTION("""COMPUTED_VALUE"""),0.0)</f>
        <v>0</v>
      </c>
      <c r="H110" s="106"/>
      <c r="I110" s="320">
        <f>IFERROR(__xludf.DUMMYFUNCTION("""COMPUTED_VALUE"""),6.29)</f>
        <v>6.29</v>
      </c>
      <c r="J110" s="320">
        <f>IFERROR(__xludf.DUMMYFUNCTION("""COMPUTED_VALUE"""),2.6)</f>
        <v>2.6</v>
      </c>
      <c r="K110" s="320">
        <f>IFERROR(__xludf.DUMMYFUNCTION("""COMPUTED_VALUE"""),0.03)</f>
        <v>0.03</v>
      </c>
      <c r="L110" s="320">
        <f>IFERROR(__xludf.DUMMYFUNCTION("""COMPUTED_VALUE"""),0.0108)</f>
        <v>0.0108</v>
      </c>
      <c r="M110" s="320">
        <f>IFERROR(__xludf.DUMMYFUNCTION("""COMPUTED_VALUE"""),0.9919)</f>
        <v>0.9919</v>
      </c>
      <c r="N110" s="320">
        <f>IFERROR(__xludf.DUMMYFUNCTION("""COMPUTED_VALUE"""),0.8877)</f>
        <v>0.8877</v>
      </c>
      <c r="O110" s="320">
        <f>IFERROR(__xludf.DUMMYFUNCTION("""COMPUTED_VALUE"""),92.3095)</f>
        <v>92.3095</v>
      </c>
      <c r="P110" s="320">
        <f>IFERROR(__xludf.DUMMYFUNCTION("""COMPUTED_VALUE"""),22.7)</f>
        <v>22.7</v>
      </c>
      <c r="Q110" s="320">
        <f>IFERROR(__xludf.DUMMYFUNCTION("""COMPUTED_VALUE"""),22.49)</f>
        <v>22.49</v>
      </c>
      <c r="R110" s="320">
        <f>IFERROR(__xludf.DUMMYFUNCTION("""COMPUTED_VALUE"""),0.21)</f>
        <v>0.21</v>
      </c>
      <c r="S110" s="320">
        <f>IFERROR(__xludf.DUMMYFUNCTION("""COMPUTED_VALUE"""),0.0)</f>
        <v>0</v>
      </c>
      <c r="T110" s="320">
        <f>IFERROR(__xludf.DUMMYFUNCTION("""COMPUTED_VALUE"""),22.7)</f>
        <v>22.7</v>
      </c>
      <c r="U110" s="320">
        <f>IFERROR(__xludf.DUMMYFUNCTION("""COMPUTED_VALUE"""),2.02)</f>
        <v>2.02</v>
      </c>
      <c r="V110" s="320">
        <f>IFERROR(__xludf.DUMMYFUNCTION("""COMPUTED_VALUE"""),0.7766)</f>
        <v>0.7766</v>
      </c>
      <c r="W110" s="320">
        <f>IFERROR(__xludf.DUMMYFUNCTION("""COMPUTED_VALUE"""),0.0)</f>
        <v>0</v>
      </c>
      <c r="X110" s="320">
        <f>IFERROR(__xludf.DUMMYFUNCTION("""COMPUTED_VALUE"""),292.0)</f>
        <v>292</v>
      </c>
      <c r="Y110" s="320">
        <f>IFERROR(__xludf.DUMMYFUNCTION("""COMPUTED_VALUE"""),3299.0)</f>
        <v>3299</v>
      </c>
      <c r="Z110" s="320">
        <f>IFERROR(__xludf.DUMMYFUNCTION("""COMPUTED_VALUE"""),13809.0)</f>
        <v>13809</v>
      </c>
      <c r="AA110" s="320">
        <f>IFERROR(__xludf.DUMMYFUNCTION("""COMPUTED_VALUE"""),49.0227)</f>
        <v>49.0227</v>
      </c>
      <c r="AB110" s="320">
        <f>IFERROR(__xludf.DUMMYFUNCTION("""COMPUTED_VALUE"""),0.5465)</f>
        <v>0.5465</v>
      </c>
      <c r="AC110" s="106"/>
      <c r="AD110" s="106"/>
      <c r="AE110" s="106"/>
      <c r="AF110" s="106"/>
      <c r="AG110" s="106"/>
      <c r="AH110" s="320">
        <f>IFERROR(__xludf.DUMMYFUNCTION("""COMPUTED_VALUE"""),0.0)</f>
        <v>0</v>
      </c>
      <c r="AI110" s="320">
        <f>IFERROR(__xludf.DUMMYFUNCTION("""COMPUTED_VALUE"""),0.0)</f>
        <v>0</v>
      </c>
      <c r="AJ110" s="320">
        <f>IFERROR(__xludf.DUMMYFUNCTION("""COMPUTED_VALUE"""),0.0)</f>
        <v>0</v>
      </c>
      <c r="AK110" s="320">
        <f>IFERROR(__xludf.DUMMYFUNCTION("""COMPUTED_VALUE"""),0.3022)</f>
        <v>0.3022</v>
      </c>
      <c r="AL110" s="320">
        <f>IFERROR(__xludf.DUMMYFUNCTION("""COMPUTED_VALUE"""),17.86)</f>
        <v>17.86</v>
      </c>
      <c r="AM110" s="320">
        <f>IFERROR(__xludf.DUMMYFUNCTION("""COMPUTED_VALUE"""),4.63)</f>
        <v>4.63</v>
      </c>
      <c r="AN110" s="331"/>
      <c r="AO110" s="331"/>
    </row>
    <row r="111" ht="15.75" customHeight="1">
      <c r="A111" s="330">
        <f>IFERROR(__xludf.DUMMYFUNCTION("""COMPUTED_VALUE"""),46068.0)</f>
        <v>46068</v>
      </c>
      <c r="B111" s="319" t="str">
        <f>IFERROR(__xludf.DUMMYFUNCTION("""COMPUTED_VALUE"""),"B. 1-9")</f>
        <v>B. 1-9</v>
      </c>
      <c r="C111" s="320">
        <f>IFERROR(__xludf.DUMMYFUNCTION("""COMPUTED_VALUE"""),39395.0)</f>
        <v>39395</v>
      </c>
      <c r="D111" s="320">
        <f>IFERROR(__xludf.DUMMYFUNCTION("""COMPUTED_VALUE"""),36.68)</f>
        <v>36.68</v>
      </c>
      <c r="E111" s="320">
        <f>IFERROR(__xludf.DUMMYFUNCTION("""COMPUTED_VALUE"""),0.0)</f>
        <v>0</v>
      </c>
      <c r="F111" s="320">
        <f>IFERROR(__xludf.DUMMYFUNCTION("""COMPUTED_VALUE"""),0.0)</f>
        <v>0</v>
      </c>
      <c r="G111" s="320">
        <f>IFERROR(__xludf.DUMMYFUNCTION("""COMPUTED_VALUE"""),0.0)</f>
        <v>0</v>
      </c>
      <c r="H111" s="106"/>
      <c r="I111" s="320">
        <f>IFERROR(__xludf.DUMMYFUNCTION("""COMPUTED_VALUE"""),31.77)</f>
        <v>31.77</v>
      </c>
      <c r="J111" s="320">
        <f>IFERROR(__xludf.DUMMYFUNCTION("""COMPUTED_VALUE"""),14.44)</f>
        <v>14.44</v>
      </c>
      <c r="K111" s="320">
        <f>IFERROR(__xludf.DUMMYFUNCTION("""COMPUTED_VALUE"""),5.89)</f>
        <v>5.89</v>
      </c>
      <c r="L111" s="320">
        <f>IFERROR(__xludf.DUMMYFUNCTION("""COMPUTED_VALUE"""),0.4083)</f>
        <v>0.4083</v>
      </c>
      <c r="M111" s="320">
        <f>IFERROR(__xludf.DUMMYFUNCTION("""COMPUTED_VALUE"""),0.7583)</f>
        <v>0.7583</v>
      </c>
      <c r="N111" s="320">
        <f>IFERROR(__xludf.DUMMYFUNCTION("""COMPUTED_VALUE"""),0.5574)</f>
        <v>0.5574</v>
      </c>
      <c r="O111" s="320">
        <f>IFERROR(__xludf.DUMMYFUNCTION("""COMPUTED_VALUE"""),2.4494)</f>
        <v>2.4494</v>
      </c>
      <c r="P111" s="320">
        <f>IFERROR(__xludf.DUMMYFUNCTION("""COMPUTED_VALUE"""),48.14)</f>
        <v>48.14</v>
      </c>
      <c r="Q111" s="320">
        <f>IFERROR(__xludf.DUMMYFUNCTION("""COMPUTED_VALUE"""),35.94)</f>
        <v>35.94</v>
      </c>
      <c r="R111" s="320">
        <f>IFERROR(__xludf.DUMMYFUNCTION("""COMPUTED_VALUE"""),12.2)</f>
        <v>12.2</v>
      </c>
      <c r="S111" s="320">
        <f>IFERROR(__xludf.DUMMYFUNCTION("""COMPUTED_VALUE"""),0.21)</f>
        <v>0.21</v>
      </c>
      <c r="T111" s="320">
        <f>IFERROR(__xludf.DUMMYFUNCTION("""COMPUTED_VALUE"""),47.93)</f>
        <v>47.93</v>
      </c>
      <c r="U111" s="320">
        <f>IFERROR(__xludf.DUMMYFUNCTION("""COMPUTED_VALUE"""),53.27)</f>
        <v>53.27</v>
      </c>
      <c r="V111" s="320">
        <f>IFERROR(__xludf.DUMMYFUNCTION("""COMPUTED_VALUE"""),3.6903)</f>
        <v>3.6903</v>
      </c>
      <c r="W111" s="320">
        <f>IFERROR(__xludf.DUMMYFUNCTION("""COMPUTED_VALUE"""),0.44)</f>
        <v>0.44</v>
      </c>
      <c r="X111" s="320">
        <f>IFERROR(__xludf.DUMMYFUNCTION("""COMPUTED_VALUE"""),142.0)</f>
        <v>142</v>
      </c>
      <c r="Y111" s="320">
        <f>IFERROR(__xludf.DUMMYFUNCTION("""COMPUTED_VALUE"""),886.0)</f>
        <v>886</v>
      </c>
      <c r="Z111" s="320">
        <f>IFERROR(__xludf.DUMMYFUNCTION("""COMPUTED_VALUE"""),5761.0)</f>
        <v>5761</v>
      </c>
      <c r="AA111" s="320">
        <f>IFERROR(__xludf.DUMMYFUNCTION("""COMPUTED_VALUE"""),48.7596)</f>
        <v>48.7596</v>
      </c>
      <c r="AB111" s="320">
        <f>IFERROR(__xludf.DUMMYFUNCTION("""COMPUTED_VALUE"""),0.5438)</f>
        <v>0.5438</v>
      </c>
      <c r="AC111" s="320">
        <f>IFERROR(__xludf.DUMMYFUNCTION("""COMPUTED_VALUE"""),4.1)</f>
        <v>4.1</v>
      </c>
      <c r="AD111" s="320">
        <f>IFERROR(__xludf.DUMMYFUNCTION("""COMPUTED_VALUE"""),1.0)</f>
        <v>1</v>
      </c>
      <c r="AE111" s="320">
        <f>IFERROR(__xludf.DUMMYFUNCTION("""COMPUTED_VALUE"""),3.0)</f>
        <v>3</v>
      </c>
      <c r="AF111" s="320">
        <f>IFERROR(__xludf.DUMMYFUNCTION("""COMPUTED_VALUE"""),5.0)</f>
        <v>5</v>
      </c>
      <c r="AG111" s="320">
        <f>IFERROR(__xludf.DUMMYFUNCTION("""COMPUTED_VALUE"""),9.0)</f>
        <v>9</v>
      </c>
      <c r="AH111" s="320">
        <f>IFERROR(__xludf.DUMMYFUNCTION("""COMPUTED_VALUE"""),73.87)</f>
        <v>73.87</v>
      </c>
      <c r="AI111" s="320">
        <f>IFERROR(__xludf.DUMMYFUNCTION("""COMPUTED_VALUE"""),31.91)</f>
        <v>31.91</v>
      </c>
      <c r="AJ111" s="320">
        <f>IFERROR(__xludf.DUMMYFUNCTION("""COMPUTED_VALUE"""),8.92)</f>
        <v>8.92</v>
      </c>
      <c r="AK111" s="320">
        <f>IFERROR(__xludf.DUMMYFUNCTION("""COMPUTED_VALUE"""),0.2712)</f>
        <v>0.2712</v>
      </c>
      <c r="AL111" s="320">
        <f>IFERROR(__xludf.DUMMYFUNCTION("""COMPUTED_VALUE"""),20.67)</f>
        <v>20.67</v>
      </c>
      <c r="AM111" s="320">
        <f>IFERROR(__xludf.DUMMYFUNCTION("""COMPUTED_VALUE"""),15.27)</f>
        <v>15.27</v>
      </c>
      <c r="AN111" s="320">
        <f>IFERROR(__xludf.DUMMYFUNCTION("""COMPUTED_VALUE"""),64.89)</f>
        <v>64.89</v>
      </c>
      <c r="AO111" s="320">
        <f>IFERROR(__xludf.DUMMYFUNCTION("""COMPUTED_VALUE"""),13.41)</f>
        <v>13.41</v>
      </c>
    </row>
    <row r="112" ht="15.75" customHeight="1">
      <c r="A112" s="330">
        <f>IFERROR(__xludf.DUMMYFUNCTION("""COMPUTED_VALUE"""),46068.0)</f>
        <v>46068</v>
      </c>
      <c r="B112" s="319" t="str">
        <f>IFERROR(__xludf.DUMMYFUNCTION("""COMPUTED_VALUE"""),"C. 10-19")</f>
        <v>C. 10-19</v>
      </c>
      <c r="C112" s="320">
        <f>IFERROR(__xludf.DUMMYFUNCTION("""COMPUTED_VALUE"""),26035.0)</f>
        <v>26035</v>
      </c>
      <c r="D112" s="320">
        <f>IFERROR(__xludf.DUMMYFUNCTION("""COMPUTED_VALUE"""),24.24)</f>
        <v>24.24</v>
      </c>
      <c r="E112" s="320">
        <f>IFERROR(__xludf.DUMMYFUNCTION("""COMPUTED_VALUE"""),0.0)</f>
        <v>0</v>
      </c>
      <c r="F112" s="320">
        <f>IFERROR(__xludf.DUMMYFUNCTION("""COMPUTED_VALUE"""),0.0)</f>
        <v>0</v>
      </c>
      <c r="G112" s="320">
        <f>IFERROR(__xludf.DUMMYFUNCTION("""COMPUTED_VALUE"""),0.0)</f>
        <v>0</v>
      </c>
      <c r="H112" s="106"/>
      <c r="I112" s="320">
        <f>IFERROR(__xludf.DUMMYFUNCTION("""COMPUTED_VALUE"""),59.24)</f>
        <v>59.24</v>
      </c>
      <c r="J112" s="320">
        <f>IFERROR(__xludf.DUMMYFUNCTION("""COMPUTED_VALUE"""),28.15)</f>
        <v>28.15</v>
      </c>
      <c r="K112" s="320">
        <f>IFERROR(__xludf.DUMMYFUNCTION("""COMPUTED_VALUE"""),14.61)</f>
        <v>14.61</v>
      </c>
      <c r="L112" s="320">
        <f>IFERROR(__xludf.DUMMYFUNCTION("""COMPUTED_VALUE"""),0.519)</f>
        <v>0.519</v>
      </c>
      <c r="M112" s="320">
        <f>IFERROR(__xludf.DUMMYFUNCTION("""COMPUTED_VALUE"""),0.6647)</f>
        <v>0.6647</v>
      </c>
      <c r="N112" s="320">
        <f>IFERROR(__xludf.DUMMYFUNCTION("""COMPUTED_VALUE"""),0.4636)</f>
        <v>0.4636</v>
      </c>
      <c r="O112" s="320">
        <f>IFERROR(__xludf.DUMMYFUNCTION("""COMPUTED_VALUE"""),1.9268)</f>
        <v>1.9268</v>
      </c>
      <c r="P112" s="320">
        <f>IFERROR(__xludf.DUMMYFUNCTION("""COMPUTED_VALUE"""),83.15)</f>
        <v>83.15</v>
      </c>
      <c r="Q112" s="320">
        <f>IFERROR(__xludf.DUMMYFUNCTION("""COMPUTED_VALUE"""),52.54)</f>
        <v>52.54</v>
      </c>
      <c r="R112" s="320">
        <f>IFERROR(__xludf.DUMMYFUNCTION("""COMPUTED_VALUE"""),30.6)</f>
        <v>30.6</v>
      </c>
      <c r="S112" s="320">
        <f>IFERROR(__xludf.DUMMYFUNCTION("""COMPUTED_VALUE"""),0.44)</f>
        <v>0.44</v>
      </c>
      <c r="T112" s="320">
        <f>IFERROR(__xludf.DUMMYFUNCTION("""COMPUTED_VALUE"""),82.7)</f>
        <v>82.7</v>
      </c>
      <c r="U112" s="320">
        <f>IFERROR(__xludf.DUMMYFUNCTION("""COMPUTED_VALUE"""),96.71)</f>
        <v>96.71</v>
      </c>
      <c r="V112" s="320">
        <f>IFERROR(__xludf.DUMMYFUNCTION("""COMPUTED_VALUE"""),3.4354)</f>
        <v>3.4354</v>
      </c>
      <c r="W112" s="320">
        <f>IFERROR(__xludf.DUMMYFUNCTION("""COMPUTED_VALUE"""),0.54)</f>
        <v>0.54</v>
      </c>
      <c r="X112" s="320">
        <f>IFERROR(__xludf.DUMMYFUNCTION("""COMPUTED_VALUE"""),114.0)</f>
        <v>114</v>
      </c>
      <c r="Y112" s="320">
        <f>IFERROR(__xludf.DUMMYFUNCTION("""COMPUTED_VALUE"""),667.0)</f>
        <v>667</v>
      </c>
      <c r="Z112" s="320">
        <f>IFERROR(__xludf.DUMMYFUNCTION("""COMPUTED_VALUE"""),5045.0)</f>
        <v>5045</v>
      </c>
      <c r="AA112" s="320">
        <f>IFERROR(__xludf.DUMMYFUNCTION("""COMPUTED_VALUE"""),52.1083)</f>
        <v>52.1083</v>
      </c>
      <c r="AB112" s="320">
        <f>IFERROR(__xludf.DUMMYFUNCTION("""COMPUTED_VALUE"""),0.6424)</f>
        <v>0.6424</v>
      </c>
      <c r="AC112" s="320">
        <f>IFERROR(__xludf.DUMMYFUNCTION("""COMPUTED_VALUE"""),9.58)</f>
        <v>9.58</v>
      </c>
      <c r="AD112" s="320">
        <f>IFERROR(__xludf.DUMMYFUNCTION("""COMPUTED_VALUE"""),4.0)</f>
        <v>4</v>
      </c>
      <c r="AE112" s="320">
        <f>IFERROR(__xludf.DUMMYFUNCTION("""COMPUTED_VALUE"""),8.0)</f>
        <v>8</v>
      </c>
      <c r="AF112" s="320">
        <f>IFERROR(__xludf.DUMMYFUNCTION("""COMPUTED_VALUE"""),13.0)</f>
        <v>13</v>
      </c>
      <c r="AG112" s="320">
        <f>IFERROR(__xludf.DUMMYFUNCTION("""COMPUTED_VALUE"""),20.0)</f>
        <v>20</v>
      </c>
      <c r="AH112" s="320">
        <f>IFERROR(__xludf.DUMMYFUNCTION("""COMPUTED_VALUE"""),61.94)</f>
        <v>61.94</v>
      </c>
      <c r="AI112" s="320">
        <f>IFERROR(__xludf.DUMMYFUNCTION("""COMPUTED_VALUE"""),26.31)</f>
        <v>26.31</v>
      </c>
      <c r="AJ112" s="320">
        <f>IFERROR(__xludf.DUMMYFUNCTION("""COMPUTED_VALUE"""),4.93)</f>
        <v>4.93</v>
      </c>
      <c r="AK112" s="320">
        <f>IFERROR(__xludf.DUMMYFUNCTION("""COMPUTED_VALUE"""),0.2137)</f>
        <v>0.2137</v>
      </c>
      <c r="AL112" s="320">
        <f>IFERROR(__xludf.DUMMYFUNCTION("""COMPUTED_VALUE"""),21.37)</f>
        <v>21.37</v>
      </c>
      <c r="AM112" s="320">
        <f>IFERROR(__xludf.DUMMYFUNCTION("""COMPUTED_VALUE"""),31.17)</f>
        <v>31.17</v>
      </c>
      <c r="AN112" s="320">
        <f>IFERROR(__xludf.DUMMYFUNCTION("""COMPUTED_VALUE"""),74.24)</f>
        <v>74.24</v>
      </c>
      <c r="AO112" s="320">
        <f>IFERROR(__xludf.DUMMYFUNCTION("""COMPUTED_VALUE"""),15.87)</f>
        <v>15.87</v>
      </c>
    </row>
    <row r="113" ht="15.75" customHeight="1">
      <c r="A113" s="330">
        <f>IFERROR(__xludf.DUMMYFUNCTION("""COMPUTED_VALUE"""),46068.0)</f>
        <v>46068</v>
      </c>
      <c r="B113" s="319" t="str">
        <f>IFERROR(__xludf.DUMMYFUNCTION("""COMPUTED_VALUE"""),"D. 20-39")</f>
        <v>D. 20-39</v>
      </c>
      <c r="C113" s="320">
        <f>IFERROR(__xludf.DUMMYFUNCTION("""COMPUTED_VALUE"""),14838.0)</f>
        <v>14838</v>
      </c>
      <c r="D113" s="320">
        <f>IFERROR(__xludf.DUMMYFUNCTION("""COMPUTED_VALUE"""),13.82)</f>
        <v>13.82</v>
      </c>
      <c r="E113" s="320">
        <f>IFERROR(__xludf.DUMMYFUNCTION("""COMPUTED_VALUE"""),0.0)</f>
        <v>0</v>
      </c>
      <c r="F113" s="320">
        <f>IFERROR(__xludf.DUMMYFUNCTION("""COMPUTED_VALUE"""),0.0)</f>
        <v>0</v>
      </c>
      <c r="G113" s="320">
        <f>IFERROR(__xludf.DUMMYFUNCTION("""COMPUTED_VALUE"""),0.0)</f>
        <v>0</v>
      </c>
      <c r="H113" s="106"/>
      <c r="I113" s="320">
        <f>IFERROR(__xludf.DUMMYFUNCTION("""COMPUTED_VALUE"""),90.05)</f>
        <v>90.05</v>
      </c>
      <c r="J113" s="320">
        <f>IFERROR(__xludf.DUMMYFUNCTION("""COMPUTED_VALUE"""),44.77)</f>
        <v>44.77</v>
      </c>
      <c r="K113" s="320">
        <f>IFERROR(__xludf.DUMMYFUNCTION("""COMPUTED_VALUE"""),28.6)</f>
        <v>28.6</v>
      </c>
      <c r="L113" s="320">
        <f>IFERROR(__xludf.DUMMYFUNCTION("""COMPUTED_VALUE"""),0.6387)</f>
        <v>0.6387</v>
      </c>
      <c r="M113" s="320">
        <f>IFERROR(__xludf.DUMMYFUNCTION("""COMPUTED_VALUE"""),0.5457)</f>
        <v>0.5457</v>
      </c>
      <c r="N113" s="320">
        <f>IFERROR(__xludf.DUMMYFUNCTION("""COMPUTED_VALUE"""),0.375)</f>
        <v>0.375</v>
      </c>
      <c r="O113" s="320">
        <f>IFERROR(__xludf.DUMMYFUNCTION("""COMPUTED_VALUE"""),1.5656)</f>
        <v>1.5656</v>
      </c>
      <c r="P113" s="320">
        <f>IFERROR(__xludf.DUMMYFUNCTION("""COMPUTED_VALUE"""),139.45)</f>
        <v>139.45</v>
      </c>
      <c r="Q113" s="320">
        <f>IFERROR(__xludf.DUMMYFUNCTION("""COMPUTED_VALUE"""),79.28)</f>
        <v>79.28</v>
      </c>
      <c r="R113" s="320">
        <f>IFERROR(__xludf.DUMMYFUNCTION("""COMPUTED_VALUE"""),60.17)</f>
        <v>60.17</v>
      </c>
      <c r="S113" s="320">
        <f>IFERROR(__xludf.DUMMYFUNCTION("""COMPUTED_VALUE"""),0.61)</f>
        <v>0.61</v>
      </c>
      <c r="T113" s="320">
        <f>IFERROR(__xludf.DUMMYFUNCTION("""COMPUTED_VALUE"""),138.84)</f>
        <v>138.84</v>
      </c>
      <c r="U113" s="320">
        <f>IFERROR(__xludf.DUMMYFUNCTION("""COMPUTED_VALUE"""),168.22)</f>
        <v>168.22</v>
      </c>
      <c r="V113" s="320">
        <f>IFERROR(__xludf.DUMMYFUNCTION("""COMPUTED_VALUE"""),3.7573)</f>
        <v>3.7573</v>
      </c>
      <c r="W113" s="320">
        <f>IFERROR(__xludf.DUMMYFUNCTION("""COMPUTED_VALUE"""),0.44)</f>
        <v>0.44</v>
      </c>
      <c r="X113" s="320">
        <f>IFERROR(__xludf.DUMMYFUNCTION("""COMPUTED_VALUE"""),139.0)</f>
        <v>139</v>
      </c>
      <c r="Y113" s="320">
        <f>IFERROR(__xludf.DUMMYFUNCTION("""COMPUTED_VALUE"""),1020.0)</f>
        <v>1020</v>
      </c>
      <c r="Z113" s="320">
        <f>IFERROR(__xludf.DUMMYFUNCTION("""COMPUTED_VALUE"""),6208.0)</f>
        <v>6208</v>
      </c>
      <c r="AA113" s="320">
        <f>IFERROR(__xludf.DUMMYFUNCTION("""COMPUTED_VALUE"""),55.2535)</f>
        <v>55.2535</v>
      </c>
      <c r="AB113" s="320">
        <f>IFERROR(__xludf.DUMMYFUNCTION("""COMPUTED_VALUE"""),0.7374)</f>
        <v>0.7374</v>
      </c>
      <c r="AC113" s="320">
        <f>IFERROR(__xludf.DUMMYFUNCTION("""COMPUTED_VALUE"""),18.28)</f>
        <v>18.28</v>
      </c>
      <c r="AD113" s="320">
        <f>IFERROR(__xludf.DUMMYFUNCTION("""COMPUTED_VALUE"""),7.0)</f>
        <v>7</v>
      </c>
      <c r="AE113" s="320">
        <f>IFERROR(__xludf.DUMMYFUNCTION("""COMPUTED_VALUE"""),14.0)</f>
        <v>14</v>
      </c>
      <c r="AF113" s="320">
        <f>IFERROR(__xludf.DUMMYFUNCTION("""COMPUTED_VALUE"""),25.0)</f>
        <v>25</v>
      </c>
      <c r="AG113" s="320">
        <f>IFERROR(__xludf.DUMMYFUNCTION("""COMPUTED_VALUE"""),38.0)</f>
        <v>38</v>
      </c>
      <c r="AH113" s="320">
        <f>IFERROR(__xludf.DUMMYFUNCTION("""COMPUTED_VALUE"""),60.34)</f>
        <v>60.34</v>
      </c>
      <c r="AI113" s="320">
        <f>IFERROR(__xludf.DUMMYFUNCTION("""COMPUTED_VALUE"""),23.48)</f>
        <v>23.48</v>
      </c>
      <c r="AJ113" s="320">
        <f>IFERROR(__xludf.DUMMYFUNCTION("""COMPUTED_VALUE"""),8.1)</f>
        <v>8.1</v>
      </c>
      <c r="AK113" s="320">
        <f>IFERROR(__xludf.DUMMYFUNCTION("""COMPUTED_VALUE"""),0.2018)</f>
        <v>0.2018</v>
      </c>
      <c r="AL113" s="320">
        <f>IFERROR(__xludf.DUMMYFUNCTION("""COMPUTED_VALUE"""),21.75)</f>
        <v>21.75</v>
      </c>
      <c r="AM113" s="320">
        <f>IFERROR(__xludf.DUMMYFUNCTION("""COMPUTED_VALUE"""),57.53)</f>
        <v>57.53</v>
      </c>
      <c r="AN113" s="320">
        <f>IFERROR(__xludf.DUMMYFUNCTION("""COMPUTED_VALUE"""),76.92)</f>
        <v>76.92</v>
      </c>
      <c r="AO113" s="320">
        <f>IFERROR(__xludf.DUMMYFUNCTION("""COMPUTED_VALUE"""),16.73)</f>
        <v>16.73</v>
      </c>
    </row>
    <row r="114" ht="15.75" customHeight="1">
      <c r="A114" s="330">
        <f>IFERROR(__xludf.DUMMYFUNCTION("""COMPUTED_VALUE"""),46068.0)</f>
        <v>46068</v>
      </c>
      <c r="B114" s="319" t="str">
        <f>IFERROR(__xludf.DUMMYFUNCTION("""COMPUTED_VALUE"""),"E. 40-99")</f>
        <v>E. 40-99</v>
      </c>
      <c r="C114" s="320">
        <f>IFERROR(__xludf.DUMMYFUNCTION("""COMPUTED_VALUE"""),5629.0)</f>
        <v>5629</v>
      </c>
      <c r="D114" s="320">
        <f>IFERROR(__xludf.DUMMYFUNCTION("""COMPUTED_VALUE"""),5.24)</f>
        <v>5.24</v>
      </c>
      <c r="E114" s="320">
        <f>IFERROR(__xludf.DUMMYFUNCTION("""COMPUTED_VALUE"""),0.0)</f>
        <v>0</v>
      </c>
      <c r="F114" s="320">
        <f>IFERROR(__xludf.DUMMYFUNCTION("""COMPUTED_VALUE"""),0.0)</f>
        <v>0</v>
      </c>
      <c r="G114" s="320">
        <f>IFERROR(__xludf.DUMMYFUNCTION("""COMPUTED_VALUE"""),0.0)</f>
        <v>0</v>
      </c>
      <c r="H114" s="106"/>
      <c r="I114" s="320">
        <f>IFERROR(__xludf.DUMMYFUNCTION("""COMPUTED_VALUE"""),134.06)</f>
        <v>134.06</v>
      </c>
      <c r="J114" s="320">
        <f>IFERROR(__xludf.DUMMYFUNCTION("""COMPUTED_VALUE"""),72.08)</f>
        <v>72.08</v>
      </c>
      <c r="K114" s="320">
        <f>IFERROR(__xludf.DUMMYFUNCTION("""COMPUTED_VALUE"""),56.18)</f>
        <v>56.18</v>
      </c>
      <c r="L114" s="320">
        <f>IFERROR(__xludf.DUMMYFUNCTION("""COMPUTED_VALUE"""),0.7794)</f>
        <v>0.7794</v>
      </c>
      <c r="M114" s="320">
        <f>IFERROR(__xludf.DUMMYFUNCTION("""COMPUTED_VALUE"""),0.3959)</f>
        <v>0.3959</v>
      </c>
      <c r="N114" s="320">
        <f>IFERROR(__xludf.DUMMYFUNCTION("""COMPUTED_VALUE"""),0.2798)</f>
        <v>0.2798</v>
      </c>
      <c r="O114" s="320">
        <f>IFERROR(__xludf.DUMMYFUNCTION("""COMPUTED_VALUE"""),1.2831)</f>
        <v>1.2831</v>
      </c>
      <c r="P114" s="320">
        <f>IFERROR(__xludf.DUMMYFUNCTION("""COMPUTED_VALUE"""),243.18)</f>
        <v>243.18</v>
      </c>
      <c r="Q114" s="320">
        <f>IFERROR(__xludf.DUMMYFUNCTION("""COMPUTED_VALUE"""),124.37)</f>
        <v>124.37</v>
      </c>
      <c r="R114" s="320">
        <f>IFERROR(__xludf.DUMMYFUNCTION("""COMPUTED_VALUE"""),118.81)</f>
        <v>118.81</v>
      </c>
      <c r="S114" s="320">
        <f>IFERROR(__xludf.DUMMYFUNCTION("""COMPUTED_VALUE"""),0.8)</f>
        <v>0.8</v>
      </c>
      <c r="T114" s="320">
        <f>IFERROR(__xludf.DUMMYFUNCTION("""COMPUTED_VALUE"""),242.38)</f>
        <v>242.38</v>
      </c>
      <c r="U114" s="320">
        <f>IFERROR(__xludf.DUMMYFUNCTION("""COMPUTED_VALUE"""),306.02)</f>
        <v>306.02</v>
      </c>
      <c r="V114" s="320">
        <f>IFERROR(__xludf.DUMMYFUNCTION("""COMPUTED_VALUE"""),4.2457)</f>
        <v>4.2457</v>
      </c>
      <c r="W114" s="320">
        <f>IFERROR(__xludf.DUMMYFUNCTION("""COMPUTED_VALUE"""),0.33)</f>
        <v>0.33</v>
      </c>
      <c r="X114" s="320">
        <f>IFERROR(__xludf.DUMMYFUNCTION("""COMPUTED_VALUE"""),295.0)</f>
        <v>295</v>
      </c>
      <c r="Y114" s="320">
        <f>IFERROR(__xludf.DUMMYFUNCTION("""COMPUTED_VALUE"""),2599.0)</f>
        <v>2599</v>
      </c>
      <c r="Z114" s="320">
        <f>IFERROR(__xludf.DUMMYFUNCTION("""COMPUTED_VALUE"""),9511.0)</f>
        <v>9511</v>
      </c>
      <c r="AA114" s="320">
        <f>IFERROR(__xludf.DUMMYFUNCTION("""COMPUTED_VALUE"""),59.5267)</f>
        <v>59.5267</v>
      </c>
      <c r="AB114" s="320">
        <f>IFERROR(__xludf.DUMMYFUNCTION("""COMPUTED_VALUE"""),0.8332)</f>
        <v>0.8332</v>
      </c>
      <c r="AC114" s="320">
        <f>IFERROR(__xludf.DUMMYFUNCTION("""COMPUTED_VALUE"""),38.04)</f>
        <v>38.04</v>
      </c>
      <c r="AD114" s="320">
        <f>IFERROR(__xludf.DUMMYFUNCTION("""COMPUTED_VALUE"""),15.0)</f>
        <v>15</v>
      </c>
      <c r="AE114" s="320">
        <f>IFERROR(__xludf.DUMMYFUNCTION("""COMPUTED_VALUE"""),29.0)</f>
        <v>29</v>
      </c>
      <c r="AF114" s="320">
        <f>IFERROR(__xludf.DUMMYFUNCTION("""COMPUTED_VALUE"""),53.0)</f>
        <v>53</v>
      </c>
      <c r="AG114" s="320">
        <f>IFERROR(__xludf.DUMMYFUNCTION("""COMPUTED_VALUE"""),80.0)</f>
        <v>80</v>
      </c>
      <c r="AH114" s="320">
        <f>IFERROR(__xludf.DUMMYFUNCTION("""COMPUTED_VALUE"""),52.21)</f>
        <v>52.21</v>
      </c>
      <c r="AI114" s="320">
        <f>IFERROR(__xludf.DUMMYFUNCTION("""COMPUTED_VALUE"""),20.91)</f>
        <v>20.91</v>
      </c>
      <c r="AJ114" s="320">
        <f>IFERROR(__xludf.DUMMYFUNCTION("""COMPUTED_VALUE"""),4.67)</f>
        <v>4.67</v>
      </c>
      <c r="AK114" s="320">
        <f>IFERROR(__xludf.DUMMYFUNCTION("""COMPUTED_VALUE"""),0.1499)</f>
        <v>0.1499</v>
      </c>
      <c r="AL114" s="320">
        <f>IFERROR(__xludf.DUMMYFUNCTION("""COMPUTED_VALUE"""),21.31)</f>
        <v>21.31</v>
      </c>
      <c r="AM114" s="320">
        <f>IFERROR(__xludf.DUMMYFUNCTION("""COMPUTED_VALUE"""),103.06)</f>
        <v>103.06</v>
      </c>
      <c r="AN114" s="320">
        <f>IFERROR(__xludf.DUMMYFUNCTION("""COMPUTED_VALUE"""),80.74)</f>
        <v>80.74</v>
      </c>
      <c r="AO114" s="320">
        <f>IFERROR(__xludf.DUMMYFUNCTION("""COMPUTED_VALUE"""),17.21)</f>
        <v>17.21</v>
      </c>
    </row>
    <row r="115" ht="15.75" customHeight="1">
      <c r="A115" s="330">
        <f>IFERROR(__xludf.DUMMYFUNCTION("""COMPUTED_VALUE"""),46068.0)</f>
        <v>46068</v>
      </c>
      <c r="B115" s="319" t="str">
        <f>IFERROR(__xludf.DUMMYFUNCTION("""COMPUTED_VALUE"""),"F. 100+")</f>
        <v>F. 100+</v>
      </c>
      <c r="C115" s="320">
        <f>IFERROR(__xludf.DUMMYFUNCTION("""COMPUTED_VALUE"""),606.0)</f>
        <v>606</v>
      </c>
      <c r="D115" s="320">
        <f>IFERROR(__xludf.DUMMYFUNCTION("""COMPUTED_VALUE"""),0.56)</f>
        <v>0.56</v>
      </c>
      <c r="E115" s="320">
        <f>IFERROR(__xludf.DUMMYFUNCTION("""COMPUTED_VALUE"""),0.0)</f>
        <v>0</v>
      </c>
      <c r="F115" s="320">
        <f>IFERROR(__xludf.DUMMYFUNCTION("""COMPUTED_VALUE"""),0.0)</f>
        <v>0</v>
      </c>
      <c r="G115" s="320">
        <f>IFERROR(__xludf.DUMMYFUNCTION("""COMPUTED_VALUE"""),0.0)</f>
        <v>0</v>
      </c>
      <c r="H115" s="106"/>
      <c r="I115" s="320">
        <f>IFERROR(__xludf.DUMMYFUNCTION("""COMPUTED_VALUE"""),243.97)</f>
        <v>243.97</v>
      </c>
      <c r="J115" s="320">
        <f>IFERROR(__xludf.DUMMYFUNCTION("""COMPUTED_VALUE"""),145.16)</f>
        <v>145.16</v>
      </c>
      <c r="K115" s="320">
        <f>IFERROR(__xludf.DUMMYFUNCTION("""COMPUTED_VALUE"""),127.06)</f>
        <v>127.06</v>
      </c>
      <c r="L115" s="320">
        <f>IFERROR(__xludf.DUMMYFUNCTION("""COMPUTED_VALUE"""),0.8753)</f>
        <v>0.8753</v>
      </c>
      <c r="M115" s="320">
        <f>IFERROR(__xludf.DUMMYFUNCTION("""COMPUTED_VALUE"""),0.2681)</f>
        <v>0.2681</v>
      </c>
      <c r="N115" s="320">
        <f>IFERROR(__xludf.DUMMYFUNCTION("""COMPUTED_VALUE"""),0.1977)</f>
        <v>0.1977</v>
      </c>
      <c r="O115" s="320">
        <f>IFERROR(__xludf.DUMMYFUNCTION("""COMPUTED_VALUE"""),1.1424)</f>
        <v>1.1424</v>
      </c>
      <c r="P115" s="320">
        <f>IFERROR(__xludf.DUMMYFUNCTION("""COMPUTED_VALUE"""),498.69)</f>
        <v>498.69</v>
      </c>
      <c r="Q115" s="320">
        <f>IFERROR(__xludf.DUMMYFUNCTION("""COMPUTED_VALUE"""),230.57)</f>
        <v>230.57</v>
      </c>
      <c r="R115" s="320">
        <f>IFERROR(__xludf.DUMMYFUNCTION("""COMPUTED_VALUE"""),268.12)</f>
        <v>268.12</v>
      </c>
      <c r="S115" s="320">
        <f>IFERROR(__xludf.DUMMYFUNCTION("""COMPUTED_VALUE"""),0.0)</f>
        <v>0</v>
      </c>
      <c r="T115" s="320">
        <f>IFERROR(__xludf.DUMMYFUNCTION("""COMPUTED_VALUE"""),498.69)</f>
        <v>498.69</v>
      </c>
      <c r="U115" s="320">
        <f>IFERROR(__xludf.DUMMYFUNCTION("""COMPUTED_VALUE"""),604.79)</f>
        <v>604.79</v>
      </c>
      <c r="V115" s="320">
        <f>IFERROR(__xludf.DUMMYFUNCTION("""COMPUTED_VALUE"""),4.1665)</f>
        <v>4.1665</v>
      </c>
      <c r="W115" s="320">
        <f>IFERROR(__xludf.DUMMYFUNCTION("""COMPUTED_VALUE"""),0.0)</f>
        <v>0</v>
      </c>
      <c r="X115" s="320">
        <f>IFERROR(__xludf.DUMMYFUNCTION("""COMPUTED_VALUE"""),1031.0)</f>
        <v>1031</v>
      </c>
      <c r="Y115" s="320">
        <f>IFERROR(__xludf.DUMMYFUNCTION("""COMPUTED_VALUE"""),4174.0)</f>
        <v>4174</v>
      </c>
      <c r="Z115" s="320">
        <f>IFERROR(__xludf.DUMMYFUNCTION("""COMPUTED_VALUE"""),11982.0)</f>
        <v>11982</v>
      </c>
      <c r="AA115" s="320">
        <f>IFERROR(__xludf.DUMMYFUNCTION("""COMPUTED_VALUE"""),63.4486)</f>
        <v>63.4486</v>
      </c>
      <c r="AB115" s="320">
        <f>IFERROR(__xludf.DUMMYFUNCTION("""COMPUTED_VALUE"""),0.8965)</f>
        <v>0.8965</v>
      </c>
      <c r="AC115" s="320">
        <f>IFERROR(__xludf.DUMMYFUNCTION("""COMPUTED_VALUE"""),87.22)</f>
        <v>87.22</v>
      </c>
      <c r="AD115" s="320">
        <f>IFERROR(__xludf.DUMMYFUNCTION("""COMPUTED_VALUE"""),33.0)</f>
        <v>33</v>
      </c>
      <c r="AE115" s="320">
        <f>IFERROR(__xludf.DUMMYFUNCTION("""COMPUTED_VALUE"""),70.0)</f>
        <v>70</v>
      </c>
      <c r="AF115" s="320">
        <f>IFERROR(__xludf.DUMMYFUNCTION("""COMPUTED_VALUE"""),123.0)</f>
        <v>123</v>
      </c>
      <c r="AG115" s="320">
        <f>IFERROR(__xludf.DUMMYFUNCTION("""COMPUTED_VALUE"""),179.0)</f>
        <v>179</v>
      </c>
      <c r="AH115" s="320">
        <f>IFERROR(__xludf.DUMMYFUNCTION("""COMPUTED_VALUE"""),44.72)</f>
        <v>44.72</v>
      </c>
      <c r="AI115" s="320">
        <f>IFERROR(__xludf.DUMMYFUNCTION("""COMPUTED_VALUE"""),10.56)</f>
        <v>10.56</v>
      </c>
      <c r="AJ115" s="320">
        <f>IFERROR(__xludf.DUMMYFUNCTION("""COMPUTED_VALUE"""),1.32)</f>
        <v>1.32</v>
      </c>
      <c r="AK115" s="320">
        <f>IFERROR(__xludf.DUMMYFUNCTION("""COMPUTED_VALUE"""),0.1221)</f>
        <v>0.1221</v>
      </c>
      <c r="AL115" s="320">
        <f>IFERROR(__xludf.DUMMYFUNCTION("""COMPUTED_VALUE"""),23.96)</f>
        <v>23.96</v>
      </c>
      <c r="AM115" s="320">
        <f>IFERROR(__xludf.DUMMYFUNCTION("""COMPUTED_VALUE"""),206.61)</f>
        <v>206.61</v>
      </c>
      <c r="AN115" s="320">
        <f>IFERROR(__xludf.DUMMYFUNCTION("""COMPUTED_VALUE"""),79.51)</f>
        <v>79.51</v>
      </c>
      <c r="AO115" s="320">
        <f>IFERROR(__xludf.DUMMYFUNCTION("""COMPUTED_VALUE"""),19.05)</f>
        <v>19.05</v>
      </c>
    </row>
    <row r="116" ht="15.75" customHeight="1">
      <c r="A116" s="330">
        <f>IFERROR(__xludf.DUMMYFUNCTION("""COMPUTED_VALUE"""),46069.0)</f>
        <v>46069</v>
      </c>
      <c r="B116" s="319" t="str">
        <f>IFERROR(__xludf.DUMMYFUNCTION("""COMPUTED_VALUE"""),"A. 0")</f>
        <v>A. 0</v>
      </c>
      <c r="C116" s="320">
        <f>IFERROR(__xludf.DUMMYFUNCTION("""COMPUTED_VALUE"""),21132.0)</f>
        <v>21132</v>
      </c>
      <c r="D116" s="320">
        <f>IFERROR(__xludf.DUMMYFUNCTION("""COMPUTED_VALUE"""),18.76)</f>
        <v>18.76</v>
      </c>
      <c r="E116" s="320">
        <f>IFERROR(__xludf.DUMMYFUNCTION("""COMPUTED_VALUE"""),0.0)</f>
        <v>0</v>
      </c>
      <c r="F116" s="320">
        <f>IFERROR(__xludf.DUMMYFUNCTION("""COMPUTED_VALUE"""),0.0)</f>
        <v>0</v>
      </c>
      <c r="G116" s="320">
        <f>IFERROR(__xludf.DUMMYFUNCTION("""COMPUTED_VALUE"""),0.0)</f>
        <v>0</v>
      </c>
      <c r="H116" s="106"/>
      <c r="I116" s="320">
        <f>IFERROR(__xludf.DUMMYFUNCTION("""COMPUTED_VALUE"""),5.78)</f>
        <v>5.78</v>
      </c>
      <c r="J116" s="320">
        <f>IFERROR(__xludf.DUMMYFUNCTION("""COMPUTED_VALUE"""),2.32)</f>
        <v>2.32</v>
      </c>
      <c r="K116" s="320">
        <f>IFERROR(__xludf.DUMMYFUNCTION("""COMPUTED_VALUE"""),0.06)</f>
        <v>0.06</v>
      </c>
      <c r="L116" s="320">
        <f>IFERROR(__xludf.DUMMYFUNCTION("""COMPUTED_VALUE"""),0.0277)</f>
        <v>0.0277</v>
      </c>
      <c r="M116" s="320">
        <f>IFERROR(__xludf.DUMMYFUNCTION("""COMPUTED_VALUE"""),0.9774)</f>
        <v>0.9774</v>
      </c>
      <c r="N116" s="320">
        <f>IFERROR(__xludf.DUMMYFUNCTION("""COMPUTED_VALUE"""),0.7622)</f>
        <v>0.7622</v>
      </c>
      <c r="O116" s="320">
        <f>IFERROR(__xludf.DUMMYFUNCTION("""COMPUTED_VALUE"""),36.0966)</f>
        <v>36.0966</v>
      </c>
      <c r="P116" s="320">
        <f>IFERROR(__xludf.DUMMYFUNCTION("""COMPUTED_VALUE"""),32.54)</f>
        <v>32.54</v>
      </c>
      <c r="Q116" s="320">
        <f>IFERROR(__xludf.DUMMYFUNCTION("""COMPUTED_VALUE"""),31.72)</f>
        <v>31.72</v>
      </c>
      <c r="R116" s="320">
        <f>IFERROR(__xludf.DUMMYFUNCTION("""COMPUTED_VALUE"""),0.81)</f>
        <v>0.81</v>
      </c>
      <c r="S116" s="320">
        <f>IFERROR(__xludf.DUMMYFUNCTION("""COMPUTED_VALUE"""),0.0)</f>
        <v>0</v>
      </c>
      <c r="T116" s="320">
        <f>IFERROR(__xludf.DUMMYFUNCTION("""COMPUTED_VALUE"""),32.54)</f>
        <v>32.54</v>
      </c>
      <c r="U116" s="320">
        <f>IFERROR(__xludf.DUMMYFUNCTION("""COMPUTED_VALUE"""),2.16)</f>
        <v>2.16</v>
      </c>
      <c r="V116" s="320">
        <f>IFERROR(__xludf.DUMMYFUNCTION("""COMPUTED_VALUE"""),0.9306)</f>
        <v>0.9306</v>
      </c>
      <c r="W116" s="320">
        <f>IFERROR(__xludf.DUMMYFUNCTION("""COMPUTED_VALUE"""),0.0)</f>
        <v>0</v>
      </c>
      <c r="X116" s="320">
        <f>IFERROR(__xludf.DUMMYFUNCTION("""COMPUTED_VALUE"""),362.0)</f>
        <v>362</v>
      </c>
      <c r="Y116" s="320">
        <f>IFERROR(__xludf.DUMMYFUNCTION("""COMPUTED_VALUE"""),3729.0)</f>
        <v>3729</v>
      </c>
      <c r="Z116" s="320">
        <f>IFERROR(__xludf.DUMMYFUNCTION("""COMPUTED_VALUE"""),14331.0)</f>
        <v>14331</v>
      </c>
      <c r="AA116" s="320">
        <f>IFERROR(__xludf.DUMMYFUNCTION("""COMPUTED_VALUE"""),49.2582)</f>
        <v>49.2582</v>
      </c>
      <c r="AB116" s="320">
        <f>IFERROR(__xludf.DUMMYFUNCTION("""COMPUTED_VALUE"""),0.5507)</f>
        <v>0.5507</v>
      </c>
      <c r="AC116" s="106"/>
      <c r="AD116" s="106"/>
      <c r="AE116" s="106"/>
      <c r="AF116" s="106"/>
      <c r="AG116" s="106"/>
      <c r="AH116" s="320">
        <f>IFERROR(__xludf.DUMMYFUNCTION("""COMPUTED_VALUE"""),0.0)</f>
        <v>0</v>
      </c>
      <c r="AI116" s="320">
        <f>IFERROR(__xludf.DUMMYFUNCTION("""COMPUTED_VALUE"""),0.0)</f>
        <v>0</v>
      </c>
      <c r="AJ116" s="320">
        <f>IFERROR(__xludf.DUMMYFUNCTION("""COMPUTED_VALUE"""),0.0)</f>
        <v>0</v>
      </c>
      <c r="AK116" s="320">
        <f>IFERROR(__xludf.DUMMYFUNCTION("""COMPUTED_VALUE"""),0.3025)</f>
        <v>0.3025</v>
      </c>
      <c r="AL116" s="320">
        <f>IFERROR(__xludf.DUMMYFUNCTION("""COMPUTED_VALUE"""),15.94)</f>
        <v>15.94</v>
      </c>
      <c r="AM116" s="320">
        <f>IFERROR(__xludf.DUMMYFUNCTION("""COMPUTED_VALUE"""),15.78)</f>
        <v>15.78</v>
      </c>
      <c r="AN116" s="331"/>
      <c r="AO116" s="331"/>
    </row>
    <row r="117" ht="15.75" customHeight="1">
      <c r="A117" s="330">
        <f>IFERROR(__xludf.DUMMYFUNCTION("""COMPUTED_VALUE"""),46069.0)</f>
        <v>46069</v>
      </c>
      <c r="B117" s="319" t="str">
        <f>IFERROR(__xludf.DUMMYFUNCTION("""COMPUTED_VALUE"""),"B. 1-9")</f>
        <v>B. 1-9</v>
      </c>
      <c r="C117" s="320">
        <f>IFERROR(__xludf.DUMMYFUNCTION("""COMPUTED_VALUE"""),39921.0)</f>
        <v>39921</v>
      </c>
      <c r="D117" s="320">
        <f>IFERROR(__xludf.DUMMYFUNCTION("""COMPUTED_VALUE"""),35.44)</f>
        <v>35.44</v>
      </c>
      <c r="E117" s="320">
        <f>IFERROR(__xludf.DUMMYFUNCTION("""COMPUTED_VALUE"""),0.0)</f>
        <v>0</v>
      </c>
      <c r="F117" s="320">
        <f>IFERROR(__xludf.DUMMYFUNCTION("""COMPUTED_VALUE"""),0.0)</f>
        <v>0</v>
      </c>
      <c r="G117" s="320">
        <f>IFERROR(__xludf.DUMMYFUNCTION("""COMPUTED_VALUE"""),0.0)</f>
        <v>0</v>
      </c>
      <c r="H117" s="106"/>
      <c r="I117" s="320">
        <f>IFERROR(__xludf.DUMMYFUNCTION("""COMPUTED_VALUE"""),32.21)</f>
        <v>32.21</v>
      </c>
      <c r="J117" s="320">
        <f>IFERROR(__xludf.DUMMYFUNCTION("""COMPUTED_VALUE"""),14.42)</f>
        <v>14.42</v>
      </c>
      <c r="K117" s="320">
        <f>IFERROR(__xludf.DUMMYFUNCTION("""COMPUTED_VALUE"""),5.83)</f>
        <v>5.83</v>
      </c>
      <c r="L117" s="320">
        <f>IFERROR(__xludf.DUMMYFUNCTION("""COMPUTED_VALUE"""),0.4043)</f>
        <v>0.4043</v>
      </c>
      <c r="M117" s="320">
        <f>IFERROR(__xludf.DUMMYFUNCTION("""COMPUTED_VALUE"""),0.7666)</f>
        <v>0.7666</v>
      </c>
      <c r="N117" s="320">
        <f>IFERROR(__xludf.DUMMYFUNCTION("""COMPUTED_VALUE"""),0.5695)</f>
        <v>0.5695</v>
      </c>
      <c r="O117" s="320">
        <f>IFERROR(__xludf.DUMMYFUNCTION("""COMPUTED_VALUE"""),2.4733)</f>
        <v>2.4733</v>
      </c>
      <c r="P117" s="320">
        <f>IFERROR(__xludf.DUMMYFUNCTION("""COMPUTED_VALUE"""),71.4)</f>
        <v>71.4</v>
      </c>
      <c r="Q117" s="320">
        <f>IFERROR(__xludf.DUMMYFUNCTION("""COMPUTED_VALUE"""),59.66)</f>
        <v>59.66</v>
      </c>
      <c r="R117" s="320">
        <f>IFERROR(__xludf.DUMMYFUNCTION("""COMPUTED_VALUE"""),11.73)</f>
        <v>11.73</v>
      </c>
      <c r="S117" s="320">
        <f>IFERROR(__xludf.DUMMYFUNCTION("""COMPUTED_VALUE"""),0.19)</f>
        <v>0.19</v>
      </c>
      <c r="T117" s="320">
        <f>IFERROR(__xludf.DUMMYFUNCTION("""COMPUTED_VALUE"""),71.2)</f>
        <v>71.2</v>
      </c>
      <c r="U117" s="320">
        <f>IFERROR(__xludf.DUMMYFUNCTION("""COMPUTED_VALUE"""),60.13)</f>
        <v>60.13</v>
      </c>
      <c r="V117" s="320">
        <f>IFERROR(__xludf.DUMMYFUNCTION("""COMPUTED_VALUE"""),4.171)</f>
        <v>4.171</v>
      </c>
      <c r="W117" s="320">
        <f>IFERROR(__xludf.DUMMYFUNCTION("""COMPUTED_VALUE"""),0.27)</f>
        <v>0.27</v>
      </c>
      <c r="X117" s="320">
        <f>IFERROR(__xludf.DUMMYFUNCTION("""COMPUTED_VALUE"""),152.0)</f>
        <v>152</v>
      </c>
      <c r="Y117" s="320">
        <f>IFERROR(__xludf.DUMMYFUNCTION("""COMPUTED_VALUE"""),882.0)</f>
        <v>882</v>
      </c>
      <c r="Z117" s="320">
        <f>IFERROR(__xludf.DUMMYFUNCTION("""COMPUTED_VALUE"""),5984.0)</f>
        <v>5984</v>
      </c>
      <c r="AA117" s="320">
        <f>IFERROR(__xludf.DUMMYFUNCTION("""COMPUTED_VALUE"""),48.6578)</f>
        <v>48.6578</v>
      </c>
      <c r="AB117" s="320">
        <f>IFERROR(__xludf.DUMMYFUNCTION("""COMPUTED_VALUE"""),0.5326)</f>
        <v>0.5326</v>
      </c>
      <c r="AC117" s="320">
        <f>IFERROR(__xludf.DUMMYFUNCTION("""COMPUTED_VALUE"""),4.01)</f>
        <v>4.01</v>
      </c>
      <c r="AD117" s="320">
        <f>IFERROR(__xludf.DUMMYFUNCTION("""COMPUTED_VALUE"""),1.0)</f>
        <v>1</v>
      </c>
      <c r="AE117" s="320">
        <f>IFERROR(__xludf.DUMMYFUNCTION("""COMPUTED_VALUE"""),3.0)</f>
        <v>3</v>
      </c>
      <c r="AF117" s="320">
        <f>IFERROR(__xludf.DUMMYFUNCTION("""COMPUTED_VALUE"""),5.0)</f>
        <v>5</v>
      </c>
      <c r="AG117" s="320">
        <f>IFERROR(__xludf.DUMMYFUNCTION("""COMPUTED_VALUE"""),9.0)</f>
        <v>9</v>
      </c>
      <c r="AH117" s="320">
        <f>IFERROR(__xludf.DUMMYFUNCTION("""COMPUTED_VALUE"""),73.39)</f>
        <v>73.39</v>
      </c>
      <c r="AI117" s="320">
        <f>IFERROR(__xludf.DUMMYFUNCTION("""COMPUTED_VALUE"""),30.74)</f>
        <v>30.74</v>
      </c>
      <c r="AJ117" s="320">
        <f>IFERROR(__xludf.DUMMYFUNCTION("""COMPUTED_VALUE"""),8.34)</f>
        <v>8.34</v>
      </c>
      <c r="AK117" s="320">
        <f>IFERROR(__xludf.DUMMYFUNCTION("""COMPUTED_VALUE"""),0.2511)</f>
        <v>0.2511</v>
      </c>
      <c r="AL117" s="320">
        <f>IFERROR(__xludf.DUMMYFUNCTION("""COMPUTED_VALUE"""),18.34)</f>
        <v>18.34</v>
      </c>
      <c r="AM117" s="320">
        <f>IFERROR(__xludf.DUMMYFUNCTION("""COMPUTED_VALUE"""),41.33)</f>
        <v>41.33</v>
      </c>
      <c r="AN117" s="320">
        <f>IFERROR(__xludf.DUMMYFUNCTION("""COMPUTED_VALUE"""),65.01)</f>
        <v>65.01</v>
      </c>
      <c r="AO117" s="320">
        <f>IFERROR(__xludf.DUMMYFUNCTION("""COMPUTED_VALUE"""),11.92)</f>
        <v>11.92</v>
      </c>
    </row>
    <row r="118" ht="15.75" customHeight="1">
      <c r="A118" s="330">
        <f>IFERROR(__xludf.DUMMYFUNCTION("""COMPUTED_VALUE"""),46069.0)</f>
        <v>46069</v>
      </c>
      <c r="B118" s="319" t="str">
        <f>IFERROR(__xludf.DUMMYFUNCTION("""COMPUTED_VALUE"""),"C. 10-19")</f>
        <v>C. 10-19</v>
      </c>
      <c r="C118" s="320">
        <f>IFERROR(__xludf.DUMMYFUNCTION("""COMPUTED_VALUE"""),28089.0)</f>
        <v>28089</v>
      </c>
      <c r="D118" s="320">
        <f>IFERROR(__xludf.DUMMYFUNCTION("""COMPUTED_VALUE"""),24.94)</f>
        <v>24.94</v>
      </c>
      <c r="E118" s="320">
        <f>IFERROR(__xludf.DUMMYFUNCTION("""COMPUTED_VALUE"""),0.0)</f>
        <v>0</v>
      </c>
      <c r="F118" s="320">
        <f>IFERROR(__xludf.DUMMYFUNCTION("""COMPUTED_VALUE"""),0.0)</f>
        <v>0</v>
      </c>
      <c r="G118" s="320">
        <f>IFERROR(__xludf.DUMMYFUNCTION("""COMPUTED_VALUE"""),0.0)</f>
        <v>0</v>
      </c>
      <c r="H118" s="106"/>
      <c r="I118" s="320">
        <f>IFERROR(__xludf.DUMMYFUNCTION("""COMPUTED_VALUE"""),61.61)</f>
        <v>61.61</v>
      </c>
      <c r="J118" s="320">
        <f>IFERROR(__xludf.DUMMYFUNCTION("""COMPUTED_VALUE"""),28.8)</f>
        <v>28.8</v>
      </c>
      <c r="K118" s="320">
        <f>IFERROR(__xludf.DUMMYFUNCTION("""COMPUTED_VALUE"""),15.46)</f>
        <v>15.46</v>
      </c>
      <c r="L118" s="320">
        <f>IFERROR(__xludf.DUMMYFUNCTION("""COMPUTED_VALUE"""),0.537)</f>
        <v>0.537</v>
      </c>
      <c r="M118" s="320">
        <f>IFERROR(__xludf.DUMMYFUNCTION("""COMPUTED_VALUE"""),0.6582)</f>
        <v>0.6582</v>
      </c>
      <c r="N118" s="320">
        <f>IFERROR(__xludf.DUMMYFUNCTION("""COMPUTED_VALUE"""),0.463)</f>
        <v>0.463</v>
      </c>
      <c r="O118" s="320">
        <f>IFERROR(__xludf.DUMMYFUNCTION("""COMPUTED_VALUE"""),1.8621)</f>
        <v>1.8621</v>
      </c>
      <c r="P118" s="320">
        <f>IFERROR(__xludf.DUMMYFUNCTION("""COMPUTED_VALUE"""),135.9)</f>
        <v>135.9</v>
      </c>
      <c r="Q118" s="320">
        <f>IFERROR(__xludf.DUMMYFUNCTION("""COMPUTED_VALUE"""),105.14)</f>
        <v>105.14</v>
      </c>
      <c r="R118" s="320">
        <f>IFERROR(__xludf.DUMMYFUNCTION("""COMPUTED_VALUE"""),30.76)</f>
        <v>30.76</v>
      </c>
      <c r="S118" s="320">
        <f>IFERROR(__xludf.DUMMYFUNCTION("""COMPUTED_VALUE"""),1.22)</f>
        <v>1.22</v>
      </c>
      <c r="T118" s="320">
        <f>IFERROR(__xludf.DUMMYFUNCTION("""COMPUTED_VALUE"""),134.68)</f>
        <v>134.68</v>
      </c>
      <c r="U118" s="320">
        <f>IFERROR(__xludf.DUMMYFUNCTION("""COMPUTED_VALUE"""),118.17)</f>
        <v>118.17</v>
      </c>
      <c r="V118" s="320">
        <f>IFERROR(__xludf.DUMMYFUNCTION("""COMPUTED_VALUE"""),4.1038)</f>
        <v>4.1038</v>
      </c>
      <c r="W118" s="320">
        <f>IFERROR(__xludf.DUMMYFUNCTION("""COMPUTED_VALUE"""),0.9)</f>
        <v>0.9</v>
      </c>
      <c r="X118" s="320">
        <f>IFERROR(__xludf.DUMMYFUNCTION("""COMPUTED_VALUE"""),145.0)</f>
        <v>145</v>
      </c>
      <c r="Y118" s="320">
        <f>IFERROR(__xludf.DUMMYFUNCTION("""COMPUTED_VALUE"""),795.0)</f>
        <v>795</v>
      </c>
      <c r="Z118" s="320">
        <f>IFERROR(__xludf.DUMMYFUNCTION("""COMPUTED_VALUE"""),5607.0)</f>
        <v>5607</v>
      </c>
      <c r="AA118" s="320">
        <f>IFERROR(__xludf.DUMMYFUNCTION("""COMPUTED_VALUE"""),52.1057)</f>
        <v>52.1057</v>
      </c>
      <c r="AB118" s="320">
        <f>IFERROR(__xludf.DUMMYFUNCTION("""COMPUTED_VALUE"""),0.6005)</f>
        <v>0.6005</v>
      </c>
      <c r="AC118" s="320">
        <f>IFERROR(__xludf.DUMMYFUNCTION("""COMPUTED_VALUE"""),9.97)</f>
        <v>9.97</v>
      </c>
      <c r="AD118" s="320">
        <f>IFERROR(__xludf.DUMMYFUNCTION("""COMPUTED_VALUE"""),4.0)</f>
        <v>4</v>
      </c>
      <c r="AE118" s="320">
        <f>IFERROR(__xludf.DUMMYFUNCTION("""COMPUTED_VALUE"""),8.0)</f>
        <v>8</v>
      </c>
      <c r="AF118" s="320">
        <f>IFERROR(__xludf.DUMMYFUNCTION("""COMPUTED_VALUE"""),14.0)</f>
        <v>14</v>
      </c>
      <c r="AG118" s="320">
        <f>IFERROR(__xludf.DUMMYFUNCTION("""COMPUTED_VALUE"""),21.0)</f>
        <v>21</v>
      </c>
      <c r="AH118" s="320">
        <f>IFERROR(__xludf.DUMMYFUNCTION("""COMPUTED_VALUE"""),62.69)</f>
        <v>62.69</v>
      </c>
      <c r="AI118" s="320">
        <f>IFERROR(__xludf.DUMMYFUNCTION("""COMPUTED_VALUE"""),28.46)</f>
        <v>28.46</v>
      </c>
      <c r="AJ118" s="320">
        <f>IFERROR(__xludf.DUMMYFUNCTION("""COMPUTED_VALUE"""),5.92)</f>
        <v>5.92</v>
      </c>
      <c r="AK118" s="320">
        <f>IFERROR(__xludf.DUMMYFUNCTION("""COMPUTED_VALUE"""),0.1894)</f>
        <v>0.1894</v>
      </c>
      <c r="AL118" s="320">
        <f>IFERROR(__xludf.DUMMYFUNCTION("""COMPUTED_VALUE"""),19.21)</f>
        <v>19.21</v>
      </c>
      <c r="AM118" s="320">
        <f>IFERROR(__xludf.DUMMYFUNCTION("""COMPUTED_VALUE"""),85.93)</f>
        <v>85.93</v>
      </c>
      <c r="AN118" s="320">
        <f>IFERROR(__xludf.DUMMYFUNCTION("""COMPUTED_VALUE"""),72.8)</f>
        <v>72.8</v>
      </c>
      <c r="AO118" s="320">
        <f>IFERROR(__xludf.DUMMYFUNCTION("""COMPUTED_VALUE"""),13.98)</f>
        <v>13.98</v>
      </c>
    </row>
    <row r="119" ht="15.75" customHeight="1">
      <c r="A119" s="330">
        <f>IFERROR(__xludf.DUMMYFUNCTION("""COMPUTED_VALUE"""),46069.0)</f>
        <v>46069</v>
      </c>
      <c r="B119" s="319" t="str">
        <f>IFERROR(__xludf.DUMMYFUNCTION("""COMPUTED_VALUE"""),"D. 20-39")</f>
        <v>D. 20-39</v>
      </c>
      <c r="C119" s="320">
        <f>IFERROR(__xludf.DUMMYFUNCTION("""COMPUTED_VALUE"""),16393.0)</f>
        <v>16393</v>
      </c>
      <c r="D119" s="320">
        <f>IFERROR(__xludf.DUMMYFUNCTION("""COMPUTED_VALUE"""),14.55)</f>
        <v>14.55</v>
      </c>
      <c r="E119" s="320">
        <f>IFERROR(__xludf.DUMMYFUNCTION("""COMPUTED_VALUE"""),0.0)</f>
        <v>0</v>
      </c>
      <c r="F119" s="320">
        <f>IFERROR(__xludf.DUMMYFUNCTION("""COMPUTED_VALUE"""),0.0)</f>
        <v>0</v>
      </c>
      <c r="G119" s="320">
        <f>IFERROR(__xludf.DUMMYFUNCTION("""COMPUTED_VALUE"""),0.0)</f>
        <v>0</v>
      </c>
      <c r="H119" s="106"/>
      <c r="I119" s="320">
        <f>IFERROR(__xludf.DUMMYFUNCTION("""COMPUTED_VALUE"""),92.8)</f>
        <v>92.8</v>
      </c>
      <c r="J119" s="320">
        <f>IFERROR(__xludf.DUMMYFUNCTION("""COMPUTED_VALUE"""),45.6)</f>
        <v>45.6</v>
      </c>
      <c r="K119" s="320">
        <f>IFERROR(__xludf.DUMMYFUNCTION("""COMPUTED_VALUE"""),30.77)</f>
        <v>30.77</v>
      </c>
      <c r="L119" s="320">
        <f>IFERROR(__xludf.DUMMYFUNCTION("""COMPUTED_VALUE"""),0.6747)</f>
        <v>0.6747</v>
      </c>
      <c r="M119" s="320">
        <f>IFERROR(__xludf.DUMMYFUNCTION("""COMPUTED_VALUE"""),0.5259)</f>
        <v>0.5259</v>
      </c>
      <c r="N119" s="320">
        <f>IFERROR(__xludf.DUMMYFUNCTION("""COMPUTED_VALUE"""),0.3677)</f>
        <v>0.3677</v>
      </c>
      <c r="O119" s="320">
        <f>IFERROR(__xludf.DUMMYFUNCTION("""COMPUTED_VALUE"""),1.4821)</f>
        <v>1.4821</v>
      </c>
      <c r="P119" s="320">
        <f>IFERROR(__xludf.DUMMYFUNCTION("""COMPUTED_VALUE"""),229.67)</f>
        <v>229.67</v>
      </c>
      <c r="Q119" s="320">
        <f>IFERROR(__xludf.DUMMYFUNCTION("""COMPUTED_VALUE"""),169.41)</f>
        <v>169.41</v>
      </c>
      <c r="R119" s="320">
        <f>IFERROR(__xludf.DUMMYFUNCTION("""COMPUTED_VALUE"""),60.25)</f>
        <v>60.25</v>
      </c>
      <c r="S119" s="320">
        <f>IFERROR(__xludf.DUMMYFUNCTION("""COMPUTED_VALUE"""),0.81)</f>
        <v>0.81</v>
      </c>
      <c r="T119" s="320">
        <f>IFERROR(__xludf.DUMMYFUNCTION("""COMPUTED_VALUE"""),228.85)</f>
        <v>228.85</v>
      </c>
      <c r="U119" s="320">
        <f>IFERROR(__xludf.DUMMYFUNCTION("""COMPUTED_VALUE"""),208.67)</f>
        <v>208.67</v>
      </c>
      <c r="V119" s="320">
        <f>IFERROR(__xludf.DUMMYFUNCTION("""COMPUTED_VALUE"""),4.5762)</f>
        <v>4.5762</v>
      </c>
      <c r="W119" s="320">
        <f>IFERROR(__xludf.DUMMYFUNCTION("""COMPUTED_VALUE"""),0.35)</f>
        <v>0.35</v>
      </c>
      <c r="X119" s="320">
        <f>IFERROR(__xludf.DUMMYFUNCTION("""COMPUTED_VALUE"""),176.0)</f>
        <v>176</v>
      </c>
      <c r="Y119" s="320">
        <f>IFERROR(__xludf.DUMMYFUNCTION("""COMPUTED_VALUE"""),1159.0)</f>
        <v>1159</v>
      </c>
      <c r="Z119" s="320">
        <f>IFERROR(__xludf.DUMMYFUNCTION("""COMPUTED_VALUE"""),7365.0)</f>
        <v>7365</v>
      </c>
      <c r="AA119" s="320">
        <f>IFERROR(__xludf.DUMMYFUNCTION("""COMPUTED_VALUE"""),54.9668)</f>
        <v>54.9668</v>
      </c>
      <c r="AB119" s="320">
        <f>IFERROR(__xludf.DUMMYFUNCTION("""COMPUTED_VALUE"""),0.6662)</f>
        <v>0.6662</v>
      </c>
      <c r="AC119" s="320">
        <f>IFERROR(__xludf.DUMMYFUNCTION("""COMPUTED_VALUE"""),19.41)</f>
        <v>19.41</v>
      </c>
      <c r="AD119" s="320">
        <f>IFERROR(__xludf.DUMMYFUNCTION("""COMPUTED_VALUE"""),8.0)</f>
        <v>8</v>
      </c>
      <c r="AE119" s="320">
        <f>IFERROR(__xludf.DUMMYFUNCTION("""COMPUTED_VALUE"""),16.0)</f>
        <v>16</v>
      </c>
      <c r="AF119" s="320">
        <f>IFERROR(__xludf.DUMMYFUNCTION("""COMPUTED_VALUE"""),27.0)</f>
        <v>27</v>
      </c>
      <c r="AG119" s="320">
        <f>IFERROR(__xludf.DUMMYFUNCTION("""COMPUTED_VALUE"""),39.0)</f>
        <v>39</v>
      </c>
      <c r="AH119" s="320">
        <f>IFERROR(__xludf.DUMMYFUNCTION("""COMPUTED_VALUE"""),64.95)</f>
        <v>64.95</v>
      </c>
      <c r="AI119" s="320">
        <f>IFERROR(__xludf.DUMMYFUNCTION("""COMPUTED_VALUE"""),28.32)</f>
        <v>28.32</v>
      </c>
      <c r="AJ119" s="320">
        <f>IFERROR(__xludf.DUMMYFUNCTION("""COMPUTED_VALUE"""),7.02)</f>
        <v>7.02</v>
      </c>
      <c r="AK119" s="320">
        <f>IFERROR(__xludf.DUMMYFUNCTION("""COMPUTED_VALUE"""),0.1643)</f>
        <v>0.1643</v>
      </c>
      <c r="AL119" s="320">
        <f>IFERROR(__xludf.DUMMYFUNCTION("""COMPUTED_VALUE"""),19.64)</f>
        <v>19.64</v>
      </c>
      <c r="AM119" s="320">
        <f>IFERROR(__xludf.DUMMYFUNCTION("""COMPUTED_VALUE"""),149.78)</f>
        <v>149.78</v>
      </c>
      <c r="AN119" s="320">
        <f>IFERROR(__xludf.DUMMYFUNCTION("""COMPUTED_VALUE"""),73.44)</f>
        <v>73.44</v>
      </c>
      <c r="AO119" s="320">
        <f>IFERROR(__xludf.DUMMYFUNCTION("""COMPUTED_VALUE"""),14.42)</f>
        <v>14.42</v>
      </c>
    </row>
    <row r="120" ht="15.75" customHeight="1">
      <c r="A120" s="330">
        <f>IFERROR(__xludf.DUMMYFUNCTION("""COMPUTED_VALUE"""),46069.0)</f>
        <v>46069</v>
      </c>
      <c r="B120" s="319" t="str">
        <f>IFERROR(__xludf.DUMMYFUNCTION("""COMPUTED_VALUE"""),"E. 40-99")</f>
        <v>E. 40-99</v>
      </c>
      <c r="C120" s="320">
        <f>IFERROR(__xludf.DUMMYFUNCTION("""COMPUTED_VALUE"""),6526.0)</f>
        <v>6526</v>
      </c>
      <c r="D120" s="320">
        <f>IFERROR(__xludf.DUMMYFUNCTION("""COMPUTED_VALUE"""),5.79)</f>
        <v>5.79</v>
      </c>
      <c r="E120" s="320">
        <f>IFERROR(__xludf.DUMMYFUNCTION("""COMPUTED_VALUE"""),0.0)</f>
        <v>0</v>
      </c>
      <c r="F120" s="320">
        <f>IFERROR(__xludf.DUMMYFUNCTION("""COMPUTED_VALUE"""),0.0)</f>
        <v>0</v>
      </c>
      <c r="G120" s="320">
        <f>IFERROR(__xludf.DUMMYFUNCTION("""COMPUTED_VALUE"""),0.0)</f>
        <v>0</v>
      </c>
      <c r="H120" s="106"/>
      <c r="I120" s="320">
        <f>IFERROR(__xludf.DUMMYFUNCTION("""COMPUTED_VALUE"""),145.63)</f>
        <v>145.63</v>
      </c>
      <c r="J120" s="320">
        <f>IFERROR(__xludf.DUMMYFUNCTION("""COMPUTED_VALUE"""),78.06)</f>
        <v>78.06</v>
      </c>
      <c r="K120" s="320">
        <f>IFERROR(__xludf.DUMMYFUNCTION("""COMPUTED_VALUE"""),62.73)</f>
        <v>62.73</v>
      </c>
      <c r="L120" s="320">
        <f>IFERROR(__xludf.DUMMYFUNCTION("""COMPUTED_VALUE"""),0.8036)</f>
        <v>0.8036</v>
      </c>
      <c r="M120" s="320">
        <f>IFERROR(__xludf.DUMMYFUNCTION("""COMPUTED_VALUE"""),0.3822)</f>
        <v>0.3822</v>
      </c>
      <c r="N120" s="320">
        <f>IFERROR(__xludf.DUMMYFUNCTION("""COMPUTED_VALUE"""),0.2776)</f>
        <v>0.2776</v>
      </c>
      <c r="O120" s="320">
        <f>IFERROR(__xludf.DUMMYFUNCTION("""COMPUTED_VALUE"""),1.2444)</f>
        <v>1.2444</v>
      </c>
      <c r="P120" s="320">
        <f>IFERROR(__xludf.DUMMYFUNCTION("""COMPUTED_VALUE"""),412.41)</f>
        <v>412.41</v>
      </c>
      <c r="Q120" s="320">
        <f>IFERROR(__xludf.DUMMYFUNCTION("""COMPUTED_VALUE"""),293.42)</f>
        <v>293.42</v>
      </c>
      <c r="R120" s="320">
        <f>IFERROR(__xludf.DUMMYFUNCTION("""COMPUTED_VALUE"""),118.98)</f>
        <v>118.98</v>
      </c>
      <c r="S120" s="320">
        <f>IFERROR(__xludf.DUMMYFUNCTION("""COMPUTED_VALUE"""),1.13)</f>
        <v>1.13</v>
      </c>
      <c r="T120" s="320">
        <f>IFERROR(__xludf.DUMMYFUNCTION("""COMPUTED_VALUE"""),411.28)</f>
        <v>411.28</v>
      </c>
      <c r="U120" s="320">
        <f>IFERROR(__xludf.DUMMYFUNCTION("""COMPUTED_VALUE"""),386.64)</f>
        <v>386.64</v>
      </c>
      <c r="V120" s="320">
        <f>IFERROR(__xludf.DUMMYFUNCTION("""COMPUTED_VALUE"""),4.9532)</f>
        <v>4.9532</v>
      </c>
      <c r="W120" s="320">
        <f>IFERROR(__xludf.DUMMYFUNCTION("""COMPUTED_VALUE"""),0.27)</f>
        <v>0.27</v>
      </c>
      <c r="X120" s="320">
        <f>IFERROR(__xludf.DUMMYFUNCTION("""COMPUTED_VALUE"""),403.0)</f>
        <v>403</v>
      </c>
      <c r="Y120" s="320">
        <f>IFERROR(__xludf.DUMMYFUNCTION("""COMPUTED_VALUE"""),3038.0)</f>
        <v>3038</v>
      </c>
      <c r="Z120" s="320">
        <f>IFERROR(__xludf.DUMMYFUNCTION("""COMPUTED_VALUE"""),11867.0)</f>
        <v>11867</v>
      </c>
      <c r="AA120" s="320">
        <f>IFERROR(__xludf.DUMMYFUNCTION("""COMPUTED_VALUE"""),58.8096)</f>
        <v>58.8096</v>
      </c>
      <c r="AB120" s="320">
        <f>IFERROR(__xludf.DUMMYFUNCTION("""COMPUTED_VALUE"""),0.7346)</f>
        <v>0.7346</v>
      </c>
      <c r="AC120" s="320">
        <f>IFERROR(__xludf.DUMMYFUNCTION("""COMPUTED_VALUE"""),39.45)</f>
        <v>39.45</v>
      </c>
      <c r="AD120" s="320">
        <f>IFERROR(__xludf.DUMMYFUNCTION("""COMPUTED_VALUE"""),17.0)</f>
        <v>17</v>
      </c>
      <c r="AE120" s="320">
        <f>IFERROR(__xludf.DUMMYFUNCTION("""COMPUTED_VALUE"""),33.0)</f>
        <v>33</v>
      </c>
      <c r="AF120" s="320">
        <f>IFERROR(__xludf.DUMMYFUNCTION("""COMPUTED_VALUE"""),50.0)</f>
        <v>50</v>
      </c>
      <c r="AG120" s="320">
        <f>IFERROR(__xludf.DUMMYFUNCTION("""COMPUTED_VALUE"""),80.0)</f>
        <v>80</v>
      </c>
      <c r="AH120" s="320">
        <f>IFERROR(__xludf.DUMMYFUNCTION("""COMPUTED_VALUE"""),58.57)</f>
        <v>58.57</v>
      </c>
      <c r="AI120" s="320">
        <f>IFERROR(__xludf.DUMMYFUNCTION("""COMPUTED_VALUE"""),19.46)</f>
        <v>19.46</v>
      </c>
      <c r="AJ120" s="320">
        <f>IFERROR(__xludf.DUMMYFUNCTION("""COMPUTED_VALUE"""),5.47)</f>
        <v>5.47</v>
      </c>
      <c r="AK120" s="320">
        <f>IFERROR(__xludf.DUMMYFUNCTION("""COMPUTED_VALUE"""),0.1263)</f>
        <v>0.1263</v>
      </c>
      <c r="AL120" s="320">
        <f>IFERROR(__xludf.DUMMYFUNCTION("""COMPUTED_VALUE"""),21.14)</f>
        <v>21.14</v>
      </c>
      <c r="AM120" s="320">
        <f>IFERROR(__xludf.DUMMYFUNCTION("""COMPUTED_VALUE"""),272.28)</f>
        <v>272.28</v>
      </c>
      <c r="AN120" s="320">
        <f>IFERROR(__xludf.DUMMYFUNCTION("""COMPUTED_VALUE"""),73.21)</f>
        <v>73.21</v>
      </c>
      <c r="AO120" s="320">
        <f>IFERROR(__xludf.DUMMYFUNCTION("""COMPUTED_VALUE"""),15.48)</f>
        <v>15.48</v>
      </c>
    </row>
    <row r="121" ht="15.75" customHeight="1">
      <c r="A121" s="330">
        <f>IFERROR(__xludf.DUMMYFUNCTION("""COMPUTED_VALUE"""),46069.0)</f>
        <v>46069</v>
      </c>
      <c r="B121" s="319" t="str">
        <f>IFERROR(__xludf.DUMMYFUNCTION("""COMPUTED_VALUE"""),"F. 100+")</f>
        <v>F. 100+</v>
      </c>
      <c r="C121" s="320">
        <f>IFERROR(__xludf.DUMMYFUNCTION("""COMPUTED_VALUE"""),573.0)</f>
        <v>573</v>
      </c>
      <c r="D121" s="320">
        <f>IFERROR(__xludf.DUMMYFUNCTION("""COMPUTED_VALUE"""),0.51)</f>
        <v>0.51</v>
      </c>
      <c r="E121" s="320">
        <f>IFERROR(__xludf.DUMMYFUNCTION("""COMPUTED_VALUE"""),0.0)</f>
        <v>0</v>
      </c>
      <c r="F121" s="320">
        <f>IFERROR(__xludf.DUMMYFUNCTION("""COMPUTED_VALUE"""),0.0)</f>
        <v>0</v>
      </c>
      <c r="G121" s="320">
        <f>IFERROR(__xludf.DUMMYFUNCTION("""COMPUTED_VALUE"""),0.0)</f>
        <v>0</v>
      </c>
      <c r="H121" s="106"/>
      <c r="I121" s="320">
        <f>IFERROR(__xludf.DUMMYFUNCTION("""COMPUTED_VALUE"""),253.76)</f>
        <v>253.76</v>
      </c>
      <c r="J121" s="320">
        <f>IFERROR(__xludf.DUMMYFUNCTION("""COMPUTED_VALUE"""),149.44)</f>
        <v>149.44</v>
      </c>
      <c r="K121" s="320">
        <f>IFERROR(__xludf.DUMMYFUNCTION("""COMPUTED_VALUE"""),132.72)</f>
        <v>132.72</v>
      </c>
      <c r="L121" s="320">
        <f>IFERROR(__xludf.DUMMYFUNCTION("""COMPUTED_VALUE"""),0.8881)</f>
        <v>0.8881</v>
      </c>
      <c r="M121" s="320">
        <f>IFERROR(__xludf.DUMMYFUNCTION("""COMPUTED_VALUE"""),0.2638)</f>
        <v>0.2638</v>
      </c>
      <c r="N121" s="320">
        <f>IFERROR(__xludf.DUMMYFUNCTION("""COMPUTED_VALUE"""),0.2009)</f>
        <v>0.2009</v>
      </c>
      <c r="O121" s="320">
        <f>IFERROR(__xludf.DUMMYFUNCTION("""COMPUTED_VALUE"""),1.126)</f>
        <v>1.126</v>
      </c>
      <c r="P121" s="320">
        <f>IFERROR(__xludf.DUMMYFUNCTION("""COMPUTED_VALUE"""),773.27)</f>
        <v>773.27</v>
      </c>
      <c r="Q121" s="320">
        <f>IFERROR(__xludf.DUMMYFUNCTION("""COMPUTED_VALUE"""),492.76)</f>
        <v>492.76</v>
      </c>
      <c r="R121" s="320">
        <f>IFERROR(__xludf.DUMMYFUNCTION("""COMPUTED_VALUE"""),280.51)</f>
        <v>280.51</v>
      </c>
      <c r="S121" s="320">
        <f>IFERROR(__xludf.DUMMYFUNCTION("""COMPUTED_VALUE"""),0.0)</f>
        <v>0</v>
      </c>
      <c r="T121" s="320">
        <f>IFERROR(__xludf.DUMMYFUNCTION("""COMPUTED_VALUE"""),773.27)</f>
        <v>773.27</v>
      </c>
      <c r="U121" s="320">
        <f>IFERROR(__xludf.DUMMYFUNCTION("""COMPUTED_VALUE"""),723.82)</f>
        <v>723.82</v>
      </c>
      <c r="V121" s="320">
        <f>IFERROR(__xludf.DUMMYFUNCTION("""COMPUTED_VALUE"""),4.8435)</f>
        <v>4.8435</v>
      </c>
      <c r="W121" s="320">
        <f>IFERROR(__xludf.DUMMYFUNCTION("""COMPUTED_VALUE"""),0.0)</f>
        <v>0</v>
      </c>
      <c r="X121" s="320">
        <f>IFERROR(__xludf.DUMMYFUNCTION("""COMPUTED_VALUE"""),957.0)</f>
        <v>957</v>
      </c>
      <c r="Y121" s="320">
        <f>IFERROR(__xludf.DUMMYFUNCTION("""COMPUTED_VALUE"""),3636.0)</f>
        <v>3636</v>
      </c>
      <c r="Z121" s="320">
        <f>IFERROR(__xludf.DUMMYFUNCTION("""COMPUTED_VALUE"""),11325.0)</f>
        <v>11325</v>
      </c>
      <c r="AA121" s="320">
        <f>IFERROR(__xludf.DUMMYFUNCTION("""COMPUTED_VALUE"""),63.749)</f>
        <v>63.749</v>
      </c>
      <c r="AB121" s="320">
        <f>IFERROR(__xludf.DUMMYFUNCTION("""COMPUTED_VALUE"""),0.9009)</f>
        <v>0.9009</v>
      </c>
      <c r="AC121" s="320">
        <f>IFERROR(__xludf.DUMMYFUNCTION("""COMPUTED_VALUE"""),93.97)</f>
        <v>93.97</v>
      </c>
      <c r="AD121" s="320">
        <f>IFERROR(__xludf.DUMMYFUNCTION("""COMPUTED_VALUE"""),40.0)</f>
        <v>40</v>
      </c>
      <c r="AE121" s="320">
        <f>IFERROR(__xludf.DUMMYFUNCTION("""COMPUTED_VALUE"""),82.0)</f>
        <v>82</v>
      </c>
      <c r="AF121" s="320">
        <f>IFERROR(__xludf.DUMMYFUNCTION("""COMPUTED_VALUE"""),128.0)</f>
        <v>128</v>
      </c>
      <c r="AG121" s="320">
        <f>IFERROR(__xludf.DUMMYFUNCTION("""COMPUTED_VALUE"""),192.0)</f>
        <v>192</v>
      </c>
      <c r="AH121" s="320">
        <f>IFERROR(__xludf.DUMMYFUNCTION("""COMPUTED_VALUE"""),50.61)</f>
        <v>50.61</v>
      </c>
      <c r="AI121" s="320">
        <f>IFERROR(__xludf.DUMMYFUNCTION("""COMPUTED_VALUE"""),13.26)</f>
        <v>13.26</v>
      </c>
      <c r="AJ121" s="320">
        <f>IFERROR(__xludf.DUMMYFUNCTION("""COMPUTED_VALUE"""),1.92)</f>
        <v>1.92</v>
      </c>
      <c r="AK121" s="320">
        <f>IFERROR(__xludf.DUMMYFUNCTION("""COMPUTED_VALUE"""),0.0942)</f>
        <v>0.0942</v>
      </c>
      <c r="AL121" s="320">
        <f>IFERROR(__xludf.DUMMYFUNCTION("""COMPUTED_VALUE"""),22.22)</f>
        <v>22.22</v>
      </c>
      <c r="AM121" s="320">
        <f>IFERROR(__xludf.DUMMYFUNCTION("""COMPUTED_VALUE"""),470.54)</f>
        <v>470.54</v>
      </c>
      <c r="AN121" s="320">
        <f>IFERROR(__xludf.DUMMYFUNCTION("""COMPUTED_VALUE"""),83.62)</f>
        <v>83.62</v>
      </c>
      <c r="AO121" s="320">
        <f>IFERROR(__xludf.DUMMYFUNCTION("""COMPUTED_VALUE"""),18.58)</f>
        <v>18.58</v>
      </c>
    </row>
    <row r="122" ht="15.75" customHeight="1">
      <c r="A122" s="330">
        <f>IFERROR(__xludf.DUMMYFUNCTION("""COMPUTED_VALUE"""),46070.0)</f>
        <v>46070</v>
      </c>
      <c r="B122" s="319" t="str">
        <f>IFERROR(__xludf.DUMMYFUNCTION("""COMPUTED_VALUE"""),"A. 0")</f>
        <v>A. 0</v>
      </c>
      <c r="C122" s="320">
        <f>IFERROR(__xludf.DUMMYFUNCTION("""COMPUTED_VALUE"""),21592.0)</f>
        <v>21592</v>
      </c>
      <c r="D122" s="320">
        <f>IFERROR(__xludf.DUMMYFUNCTION("""COMPUTED_VALUE"""),19.46)</f>
        <v>19.46</v>
      </c>
      <c r="E122" s="320">
        <f>IFERROR(__xludf.DUMMYFUNCTION("""COMPUTED_VALUE"""),0.0)</f>
        <v>0</v>
      </c>
      <c r="F122" s="320">
        <f>IFERROR(__xludf.DUMMYFUNCTION("""COMPUTED_VALUE"""),0.0)</f>
        <v>0</v>
      </c>
      <c r="G122" s="320">
        <f>IFERROR(__xludf.DUMMYFUNCTION("""COMPUTED_VALUE"""),0.0)</f>
        <v>0</v>
      </c>
      <c r="H122" s="106"/>
      <c r="I122" s="320">
        <f>IFERROR(__xludf.DUMMYFUNCTION("""COMPUTED_VALUE"""),6.19)</f>
        <v>6.19</v>
      </c>
      <c r="J122" s="320">
        <f>IFERROR(__xludf.DUMMYFUNCTION("""COMPUTED_VALUE"""),2.51)</f>
        <v>2.51</v>
      </c>
      <c r="K122" s="320">
        <f>IFERROR(__xludf.DUMMYFUNCTION("""COMPUTED_VALUE"""),0.05)</f>
        <v>0.05</v>
      </c>
      <c r="L122" s="320">
        <f>IFERROR(__xludf.DUMMYFUNCTION("""COMPUTED_VALUE"""),0.0199)</f>
        <v>0.0199</v>
      </c>
      <c r="M122" s="320">
        <f>IFERROR(__xludf.DUMMYFUNCTION("""COMPUTED_VALUE"""),0.9838)</f>
        <v>0.9838</v>
      </c>
      <c r="N122" s="320">
        <f>IFERROR(__xludf.DUMMYFUNCTION("""COMPUTED_VALUE"""),0.8096)</f>
        <v>0.8096</v>
      </c>
      <c r="O122" s="320">
        <f>IFERROR(__xludf.DUMMYFUNCTION("""COMPUTED_VALUE"""),50.3333)</f>
        <v>50.3333</v>
      </c>
      <c r="P122" s="320">
        <f>IFERROR(__xludf.DUMMYFUNCTION("""COMPUTED_VALUE"""),25.62)</f>
        <v>25.62</v>
      </c>
      <c r="Q122" s="320">
        <f>IFERROR(__xludf.DUMMYFUNCTION("""COMPUTED_VALUE"""),25.34)</f>
        <v>25.34</v>
      </c>
      <c r="R122" s="320">
        <f>IFERROR(__xludf.DUMMYFUNCTION("""COMPUTED_VALUE"""),0.28)</f>
        <v>0.28</v>
      </c>
      <c r="S122" s="320">
        <f>IFERROR(__xludf.DUMMYFUNCTION("""COMPUTED_VALUE"""),0.0)</f>
        <v>0</v>
      </c>
      <c r="T122" s="320">
        <f>IFERROR(__xludf.DUMMYFUNCTION("""COMPUTED_VALUE"""),25.62)</f>
        <v>25.62</v>
      </c>
      <c r="U122" s="320">
        <f>IFERROR(__xludf.DUMMYFUNCTION("""COMPUTED_VALUE"""),2.34)</f>
        <v>2.34</v>
      </c>
      <c r="V122" s="320">
        <f>IFERROR(__xludf.DUMMYFUNCTION("""COMPUTED_VALUE"""),0.9307)</f>
        <v>0.9307</v>
      </c>
      <c r="W122" s="320">
        <f>IFERROR(__xludf.DUMMYFUNCTION("""COMPUTED_VALUE"""),0.0)</f>
        <v>0</v>
      </c>
      <c r="X122" s="320">
        <f>IFERROR(__xludf.DUMMYFUNCTION("""COMPUTED_VALUE"""),326.0)</f>
        <v>326</v>
      </c>
      <c r="Y122" s="320">
        <f>IFERROR(__xludf.DUMMYFUNCTION("""COMPUTED_VALUE"""),3282.0)</f>
        <v>3282</v>
      </c>
      <c r="Z122" s="320">
        <f>IFERROR(__xludf.DUMMYFUNCTION("""COMPUTED_VALUE"""),13630.0)</f>
        <v>13630</v>
      </c>
      <c r="AA122" s="320">
        <f>IFERROR(__xludf.DUMMYFUNCTION("""COMPUTED_VALUE"""),48.8664)</f>
        <v>48.8664</v>
      </c>
      <c r="AB122" s="320">
        <f>IFERROR(__xludf.DUMMYFUNCTION("""COMPUTED_VALUE"""),0.5422)</f>
        <v>0.5422</v>
      </c>
      <c r="AC122" s="106"/>
      <c r="AD122" s="106"/>
      <c r="AE122" s="106"/>
      <c r="AF122" s="106"/>
      <c r="AG122" s="106"/>
      <c r="AH122" s="320">
        <f>IFERROR(__xludf.DUMMYFUNCTION("""COMPUTED_VALUE"""),0.0)</f>
        <v>0</v>
      </c>
      <c r="AI122" s="320">
        <f>IFERROR(__xludf.DUMMYFUNCTION("""COMPUTED_VALUE"""),0.0)</f>
        <v>0</v>
      </c>
      <c r="AJ122" s="320">
        <f>IFERROR(__xludf.DUMMYFUNCTION("""COMPUTED_VALUE"""),0.0)</f>
        <v>0</v>
      </c>
      <c r="AK122" s="320">
        <f>IFERROR(__xludf.DUMMYFUNCTION("""COMPUTED_VALUE"""),0.2895)</f>
        <v>0.2895</v>
      </c>
      <c r="AL122" s="320">
        <f>IFERROR(__xludf.DUMMYFUNCTION("""COMPUTED_VALUE"""),15.67)</f>
        <v>15.67</v>
      </c>
      <c r="AM122" s="320">
        <f>IFERROR(__xludf.DUMMYFUNCTION("""COMPUTED_VALUE"""),9.67)</f>
        <v>9.67</v>
      </c>
      <c r="AN122" s="331"/>
      <c r="AO122" s="331"/>
    </row>
    <row r="123" ht="15.75" customHeight="1">
      <c r="A123" s="330">
        <f>IFERROR(__xludf.DUMMYFUNCTION("""COMPUTED_VALUE"""),46070.0)</f>
        <v>46070</v>
      </c>
      <c r="B123" s="319" t="str">
        <f>IFERROR(__xludf.DUMMYFUNCTION("""COMPUTED_VALUE"""),"B. 1-9")</f>
        <v>B. 1-9</v>
      </c>
      <c r="C123" s="320">
        <f>IFERROR(__xludf.DUMMYFUNCTION("""COMPUTED_VALUE"""),39309.0)</f>
        <v>39309</v>
      </c>
      <c r="D123" s="320">
        <f>IFERROR(__xludf.DUMMYFUNCTION("""COMPUTED_VALUE"""),35.43)</f>
        <v>35.43</v>
      </c>
      <c r="E123" s="320">
        <f>IFERROR(__xludf.DUMMYFUNCTION("""COMPUTED_VALUE"""),0.0)</f>
        <v>0</v>
      </c>
      <c r="F123" s="320">
        <f>IFERROR(__xludf.DUMMYFUNCTION("""COMPUTED_VALUE"""),0.0)</f>
        <v>0</v>
      </c>
      <c r="G123" s="320">
        <f>IFERROR(__xludf.DUMMYFUNCTION("""COMPUTED_VALUE"""),0.0)</f>
        <v>0</v>
      </c>
      <c r="H123" s="106"/>
      <c r="I123" s="320">
        <f>IFERROR(__xludf.DUMMYFUNCTION("""COMPUTED_VALUE"""),29.0)</f>
        <v>29</v>
      </c>
      <c r="J123" s="320">
        <f>IFERROR(__xludf.DUMMYFUNCTION("""COMPUTED_VALUE"""),12.97)</f>
        <v>12.97</v>
      </c>
      <c r="K123" s="320">
        <f>IFERROR(__xludf.DUMMYFUNCTION("""COMPUTED_VALUE"""),5.5)</f>
        <v>5.5</v>
      </c>
      <c r="L123" s="320">
        <f>IFERROR(__xludf.DUMMYFUNCTION("""COMPUTED_VALUE"""),0.4242)</f>
        <v>0.4242</v>
      </c>
      <c r="M123" s="320">
        <f>IFERROR(__xludf.DUMMYFUNCTION("""COMPUTED_VALUE"""),0.753)</f>
        <v>0.753</v>
      </c>
      <c r="N123" s="320">
        <f>IFERROR(__xludf.DUMMYFUNCTION("""COMPUTED_VALUE"""),0.5623)</f>
        <v>0.5623</v>
      </c>
      <c r="O123" s="320">
        <f>IFERROR(__xludf.DUMMYFUNCTION("""COMPUTED_VALUE"""),2.3573)</f>
        <v>2.3573</v>
      </c>
      <c r="P123" s="320">
        <f>IFERROR(__xludf.DUMMYFUNCTION("""COMPUTED_VALUE"""),54.29)</f>
        <v>54.29</v>
      </c>
      <c r="Q123" s="320">
        <f>IFERROR(__xludf.DUMMYFUNCTION("""COMPUTED_VALUE"""),42.86)</f>
        <v>42.86</v>
      </c>
      <c r="R123" s="320">
        <f>IFERROR(__xludf.DUMMYFUNCTION("""COMPUTED_VALUE"""),11.43)</f>
        <v>11.43</v>
      </c>
      <c r="S123" s="320">
        <f>IFERROR(__xludf.DUMMYFUNCTION("""COMPUTED_VALUE"""),0.02)</f>
        <v>0.02</v>
      </c>
      <c r="T123" s="320">
        <f>IFERROR(__xludf.DUMMYFUNCTION("""COMPUTED_VALUE"""),54.27)</f>
        <v>54.27</v>
      </c>
      <c r="U123" s="320">
        <f>IFERROR(__xludf.DUMMYFUNCTION("""COMPUTED_VALUE"""),55.17)</f>
        <v>55.17</v>
      </c>
      <c r="V123" s="320">
        <f>IFERROR(__xludf.DUMMYFUNCTION("""COMPUTED_VALUE"""),4.2524)</f>
        <v>4.2524</v>
      </c>
      <c r="W123" s="320">
        <f>IFERROR(__xludf.DUMMYFUNCTION("""COMPUTED_VALUE"""),0.04)</f>
        <v>0.04</v>
      </c>
      <c r="X123" s="320">
        <f>IFERROR(__xludf.DUMMYFUNCTION("""COMPUTED_VALUE"""),152.0)</f>
        <v>152</v>
      </c>
      <c r="Y123" s="320">
        <f>IFERROR(__xludf.DUMMYFUNCTION("""COMPUTED_VALUE"""),870.0)</f>
        <v>870</v>
      </c>
      <c r="Z123" s="320">
        <f>IFERROR(__xludf.DUMMYFUNCTION("""COMPUTED_VALUE"""),5746.0)</f>
        <v>5746</v>
      </c>
      <c r="AA123" s="320">
        <f>IFERROR(__xludf.DUMMYFUNCTION("""COMPUTED_VALUE"""),48.6999)</f>
        <v>48.6999</v>
      </c>
      <c r="AB123" s="320">
        <f>IFERROR(__xludf.DUMMYFUNCTION("""COMPUTED_VALUE"""),0.5327)</f>
        <v>0.5327</v>
      </c>
      <c r="AC123" s="320">
        <f>IFERROR(__xludf.DUMMYFUNCTION("""COMPUTED_VALUE"""),4.01)</f>
        <v>4.01</v>
      </c>
      <c r="AD123" s="320">
        <f>IFERROR(__xludf.DUMMYFUNCTION("""COMPUTED_VALUE"""),1.0)</f>
        <v>1</v>
      </c>
      <c r="AE123" s="320">
        <f>IFERROR(__xludf.DUMMYFUNCTION("""COMPUTED_VALUE"""),3.0)</f>
        <v>3</v>
      </c>
      <c r="AF123" s="320">
        <f>IFERROR(__xludf.DUMMYFUNCTION("""COMPUTED_VALUE"""),5.0)</f>
        <v>5</v>
      </c>
      <c r="AG123" s="320">
        <f>IFERROR(__xludf.DUMMYFUNCTION("""COMPUTED_VALUE"""),9.0)</f>
        <v>9</v>
      </c>
      <c r="AH123" s="320">
        <f>IFERROR(__xludf.DUMMYFUNCTION("""COMPUTED_VALUE"""),72.46)</f>
        <v>72.46</v>
      </c>
      <c r="AI123" s="320">
        <f>IFERROR(__xludf.DUMMYFUNCTION("""COMPUTED_VALUE"""),30.63)</f>
        <v>30.63</v>
      </c>
      <c r="AJ123" s="320">
        <f>IFERROR(__xludf.DUMMYFUNCTION("""COMPUTED_VALUE"""),8.79)</f>
        <v>8.79</v>
      </c>
      <c r="AK123" s="320">
        <f>IFERROR(__xludf.DUMMYFUNCTION("""COMPUTED_VALUE"""),0.2479)</f>
        <v>0.2479</v>
      </c>
      <c r="AL123" s="320">
        <f>IFERROR(__xludf.DUMMYFUNCTION("""COMPUTED_VALUE"""),18.19)</f>
        <v>18.19</v>
      </c>
      <c r="AM123" s="320">
        <f>IFERROR(__xludf.DUMMYFUNCTION("""COMPUTED_VALUE"""),24.67)</f>
        <v>24.67</v>
      </c>
      <c r="AN123" s="320">
        <f>IFERROR(__xludf.DUMMYFUNCTION("""COMPUTED_VALUE"""),65.26)</f>
        <v>65.26</v>
      </c>
      <c r="AO123" s="320">
        <f>IFERROR(__xludf.DUMMYFUNCTION("""COMPUTED_VALUE"""),11.87)</f>
        <v>11.87</v>
      </c>
    </row>
    <row r="124" ht="15.75" customHeight="1">
      <c r="A124" s="330">
        <f>IFERROR(__xludf.DUMMYFUNCTION("""COMPUTED_VALUE"""),46070.0)</f>
        <v>46070</v>
      </c>
      <c r="B124" s="319" t="str">
        <f>IFERROR(__xludf.DUMMYFUNCTION("""COMPUTED_VALUE"""),"C. 10-19")</f>
        <v>C. 10-19</v>
      </c>
      <c r="C124" s="320">
        <f>IFERROR(__xludf.DUMMYFUNCTION("""COMPUTED_VALUE"""),27596.0)</f>
        <v>27596</v>
      </c>
      <c r="D124" s="320">
        <f>IFERROR(__xludf.DUMMYFUNCTION("""COMPUTED_VALUE"""),24.87)</f>
        <v>24.87</v>
      </c>
      <c r="E124" s="320">
        <f>IFERROR(__xludf.DUMMYFUNCTION("""COMPUTED_VALUE"""),0.0)</f>
        <v>0</v>
      </c>
      <c r="F124" s="320">
        <f>IFERROR(__xludf.DUMMYFUNCTION("""COMPUTED_VALUE"""),0.0)</f>
        <v>0</v>
      </c>
      <c r="G124" s="320">
        <f>IFERROR(__xludf.DUMMYFUNCTION("""COMPUTED_VALUE"""),0.0)</f>
        <v>0</v>
      </c>
      <c r="H124" s="106"/>
      <c r="I124" s="320">
        <f>IFERROR(__xludf.DUMMYFUNCTION("""COMPUTED_VALUE"""),55.19)</f>
        <v>55.19</v>
      </c>
      <c r="J124" s="320">
        <f>IFERROR(__xludf.DUMMYFUNCTION("""COMPUTED_VALUE"""),25.63)</f>
        <v>25.63</v>
      </c>
      <c r="K124" s="320">
        <f>IFERROR(__xludf.DUMMYFUNCTION("""COMPUTED_VALUE"""),14.5)</f>
        <v>14.5</v>
      </c>
      <c r="L124" s="320">
        <f>IFERROR(__xludf.DUMMYFUNCTION("""COMPUTED_VALUE"""),0.5658)</f>
        <v>0.5658</v>
      </c>
      <c r="M124" s="320">
        <f>IFERROR(__xludf.DUMMYFUNCTION("""COMPUTED_VALUE"""),0.6348)</f>
        <v>0.6348</v>
      </c>
      <c r="N124" s="320">
        <f>IFERROR(__xludf.DUMMYFUNCTION("""COMPUTED_VALUE"""),0.4461)</f>
        <v>0.4461</v>
      </c>
      <c r="O124" s="320">
        <f>IFERROR(__xludf.DUMMYFUNCTION("""COMPUTED_VALUE"""),1.7673)</f>
        <v>1.7673</v>
      </c>
      <c r="P124" s="320">
        <f>IFERROR(__xludf.DUMMYFUNCTION("""COMPUTED_VALUE"""),104.51)</f>
        <v>104.51</v>
      </c>
      <c r="Q124" s="320">
        <f>IFERROR(__xludf.DUMMYFUNCTION("""COMPUTED_VALUE"""),74.93)</f>
        <v>74.93</v>
      </c>
      <c r="R124" s="320">
        <f>IFERROR(__xludf.DUMMYFUNCTION("""COMPUTED_VALUE"""),29.58)</f>
        <v>29.58</v>
      </c>
      <c r="S124" s="320">
        <f>IFERROR(__xludf.DUMMYFUNCTION("""COMPUTED_VALUE"""),0.86)</f>
        <v>0.86</v>
      </c>
      <c r="T124" s="320">
        <f>IFERROR(__xludf.DUMMYFUNCTION("""COMPUTED_VALUE"""),103.64)</f>
        <v>103.64</v>
      </c>
      <c r="U124" s="320">
        <f>IFERROR(__xludf.DUMMYFUNCTION("""COMPUTED_VALUE"""),106.55)</f>
        <v>106.55</v>
      </c>
      <c r="V124" s="320">
        <f>IFERROR(__xludf.DUMMYFUNCTION("""COMPUTED_VALUE"""),4.1572)</f>
        <v>4.1572</v>
      </c>
      <c r="W124" s="320">
        <f>IFERROR(__xludf.DUMMYFUNCTION("""COMPUTED_VALUE"""),0.83)</f>
        <v>0.83</v>
      </c>
      <c r="X124" s="320">
        <f>IFERROR(__xludf.DUMMYFUNCTION("""COMPUTED_VALUE"""),141.0)</f>
        <v>141</v>
      </c>
      <c r="Y124" s="320">
        <f>IFERROR(__xludf.DUMMYFUNCTION("""COMPUTED_VALUE"""),822.0)</f>
        <v>822</v>
      </c>
      <c r="Z124" s="320">
        <f>IFERROR(__xludf.DUMMYFUNCTION("""COMPUTED_VALUE"""),6143.0)</f>
        <v>6143</v>
      </c>
      <c r="AA124" s="320">
        <f>IFERROR(__xludf.DUMMYFUNCTION("""COMPUTED_VALUE"""),52.1129)</f>
        <v>52.1129</v>
      </c>
      <c r="AB124" s="320">
        <f>IFERROR(__xludf.DUMMYFUNCTION("""COMPUTED_VALUE"""),0.609)</f>
        <v>0.609</v>
      </c>
      <c r="AC124" s="320">
        <f>IFERROR(__xludf.DUMMYFUNCTION("""COMPUTED_VALUE"""),9.7)</f>
        <v>9.7</v>
      </c>
      <c r="AD124" s="320">
        <f>IFERROR(__xludf.DUMMYFUNCTION("""COMPUTED_VALUE"""),4.0)</f>
        <v>4</v>
      </c>
      <c r="AE124" s="320">
        <f>IFERROR(__xludf.DUMMYFUNCTION("""COMPUTED_VALUE"""),8.0)</f>
        <v>8</v>
      </c>
      <c r="AF124" s="320">
        <f>IFERROR(__xludf.DUMMYFUNCTION("""COMPUTED_VALUE"""),13.0)</f>
        <v>13</v>
      </c>
      <c r="AG124" s="320">
        <f>IFERROR(__xludf.DUMMYFUNCTION("""COMPUTED_VALUE"""),20.0)</f>
        <v>20</v>
      </c>
      <c r="AH124" s="320">
        <f>IFERROR(__xludf.DUMMYFUNCTION("""COMPUTED_VALUE"""),61.95)</f>
        <v>61.95</v>
      </c>
      <c r="AI124" s="320">
        <f>IFERROR(__xludf.DUMMYFUNCTION("""COMPUTED_VALUE"""),27.34)</f>
        <v>27.34</v>
      </c>
      <c r="AJ124" s="320">
        <f>IFERROR(__xludf.DUMMYFUNCTION("""COMPUTED_VALUE"""),5.13)</f>
        <v>5.13</v>
      </c>
      <c r="AK124" s="320">
        <f>IFERROR(__xludf.DUMMYFUNCTION("""COMPUTED_VALUE"""),0.1869)</f>
        <v>0.1869</v>
      </c>
      <c r="AL124" s="320">
        <f>IFERROR(__xludf.DUMMYFUNCTION("""COMPUTED_VALUE"""),18.81)</f>
        <v>18.81</v>
      </c>
      <c r="AM124" s="320">
        <f>IFERROR(__xludf.DUMMYFUNCTION("""COMPUTED_VALUE"""),56.12)</f>
        <v>56.12</v>
      </c>
      <c r="AN124" s="320">
        <f>IFERROR(__xludf.DUMMYFUNCTION("""COMPUTED_VALUE"""),73.19)</f>
        <v>73.19</v>
      </c>
      <c r="AO124" s="320">
        <f>IFERROR(__xludf.DUMMYFUNCTION("""COMPUTED_VALUE"""),13.77)</f>
        <v>13.77</v>
      </c>
    </row>
    <row r="125" ht="15.75" customHeight="1">
      <c r="A125" s="330">
        <f>IFERROR(__xludf.DUMMYFUNCTION("""COMPUTED_VALUE"""),46070.0)</f>
        <v>46070</v>
      </c>
      <c r="B125" s="319" t="str">
        <f>IFERROR(__xludf.DUMMYFUNCTION("""COMPUTED_VALUE"""),"D. 20-39")</f>
        <v>D. 20-39</v>
      </c>
      <c r="C125" s="320">
        <f>IFERROR(__xludf.DUMMYFUNCTION("""COMPUTED_VALUE"""),16102.0)</f>
        <v>16102</v>
      </c>
      <c r="D125" s="320">
        <f>IFERROR(__xludf.DUMMYFUNCTION("""COMPUTED_VALUE"""),14.51)</f>
        <v>14.51</v>
      </c>
      <c r="E125" s="320">
        <f>IFERROR(__xludf.DUMMYFUNCTION("""COMPUTED_VALUE"""),0.0)</f>
        <v>0</v>
      </c>
      <c r="F125" s="320">
        <f>IFERROR(__xludf.DUMMYFUNCTION("""COMPUTED_VALUE"""),0.0)</f>
        <v>0</v>
      </c>
      <c r="G125" s="320">
        <f>IFERROR(__xludf.DUMMYFUNCTION("""COMPUTED_VALUE"""),0.0)</f>
        <v>0</v>
      </c>
      <c r="H125" s="106"/>
      <c r="I125" s="320">
        <f>IFERROR(__xludf.DUMMYFUNCTION("""COMPUTED_VALUE"""),83.44)</f>
        <v>83.44</v>
      </c>
      <c r="J125" s="320">
        <f>IFERROR(__xludf.DUMMYFUNCTION("""COMPUTED_VALUE"""),41.39)</f>
        <v>41.39</v>
      </c>
      <c r="K125" s="320">
        <f>IFERROR(__xludf.DUMMYFUNCTION("""COMPUTED_VALUE"""),28.6)</f>
        <v>28.6</v>
      </c>
      <c r="L125" s="320">
        <f>IFERROR(__xludf.DUMMYFUNCTION("""COMPUTED_VALUE"""),0.6911)</f>
        <v>0.6911</v>
      </c>
      <c r="M125" s="320">
        <f>IFERROR(__xludf.DUMMYFUNCTION("""COMPUTED_VALUE"""),0.5071)</f>
        <v>0.5071</v>
      </c>
      <c r="N125" s="320">
        <f>IFERROR(__xludf.DUMMYFUNCTION("""COMPUTED_VALUE"""),0.3544)</f>
        <v>0.3544</v>
      </c>
      <c r="O125" s="320">
        <f>IFERROR(__xludf.DUMMYFUNCTION("""COMPUTED_VALUE"""),1.447)</f>
        <v>1.447</v>
      </c>
      <c r="P125" s="320">
        <f>IFERROR(__xludf.DUMMYFUNCTION("""COMPUTED_VALUE"""),185.79)</f>
        <v>185.79</v>
      </c>
      <c r="Q125" s="320">
        <f>IFERROR(__xludf.DUMMYFUNCTION("""COMPUTED_VALUE"""),130.09)</f>
        <v>130.09</v>
      </c>
      <c r="R125" s="320">
        <f>IFERROR(__xludf.DUMMYFUNCTION("""COMPUTED_VALUE"""),55.7)</f>
        <v>55.7</v>
      </c>
      <c r="S125" s="320">
        <f>IFERROR(__xludf.DUMMYFUNCTION("""COMPUTED_VALUE"""),1.45)</f>
        <v>1.45</v>
      </c>
      <c r="T125" s="320">
        <f>IFERROR(__xludf.DUMMYFUNCTION("""COMPUTED_VALUE"""),184.34)</f>
        <v>184.34</v>
      </c>
      <c r="U125" s="320">
        <f>IFERROR(__xludf.DUMMYFUNCTION("""COMPUTED_VALUE"""),184.98)</f>
        <v>184.98</v>
      </c>
      <c r="V125" s="320">
        <f>IFERROR(__xludf.DUMMYFUNCTION("""COMPUTED_VALUE"""),4.469)</f>
        <v>4.469</v>
      </c>
      <c r="W125" s="320">
        <f>IFERROR(__xludf.DUMMYFUNCTION("""COMPUTED_VALUE"""),0.78)</f>
        <v>0.78</v>
      </c>
      <c r="X125" s="320">
        <f>IFERROR(__xludf.DUMMYFUNCTION("""COMPUTED_VALUE"""),178.0)</f>
        <v>178</v>
      </c>
      <c r="Y125" s="320">
        <f>IFERROR(__xludf.DUMMYFUNCTION("""COMPUTED_VALUE"""),1224.0)</f>
        <v>1224</v>
      </c>
      <c r="Z125" s="320">
        <f>IFERROR(__xludf.DUMMYFUNCTION("""COMPUTED_VALUE"""),7781.0)</f>
        <v>7781</v>
      </c>
      <c r="AA125" s="320">
        <f>IFERROR(__xludf.DUMMYFUNCTION("""COMPUTED_VALUE"""),55.1282)</f>
        <v>55.1282</v>
      </c>
      <c r="AB125" s="320">
        <f>IFERROR(__xludf.DUMMYFUNCTION("""COMPUTED_VALUE"""),0.6922)</f>
        <v>0.6922</v>
      </c>
      <c r="AC125" s="320">
        <f>IFERROR(__xludf.DUMMYFUNCTION("""COMPUTED_VALUE"""),17.77)</f>
        <v>17.77</v>
      </c>
      <c r="AD125" s="320">
        <f>IFERROR(__xludf.DUMMYFUNCTION("""COMPUTED_VALUE"""),7.0)</f>
        <v>7</v>
      </c>
      <c r="AE125" s="320">
        <f>IFERROR(__xludf.DUMMYFUNCTION("""COMPUTED_VALUE"""),14.0)</f>
        <v>14</v>
      </c>
      <c r="AF125" s="320">
        <f>IFERROR(__xludf.DUMMYFUNCTION("""COMPUTED_VALUE"""),25.0)</f>
        <v>25</v>
      </c>
      <c r="AG125" s="320">
        <f>IFERROR(__xludf.DUMMYFUNCTION("""COMPUTED_VALUE"""),37.0)</f>
        <v>37</v>
      </c>
      <c r="AH125" s="320">
        <f>IFERROR(__xludf.DUMMYFUNCTION("""COMPUTED_VALUE"""),60.16)</f>
        <v>60.16</v>
      </c>
      <c r="AI125" s="320">
        <f>IFERROR(__xludf.DUMMYFUNCTION("""COMPUTED_VALUE"""),23.7)</f>
        <v>23.7</v>
      </c>
      <c r="AJ125" s="320">
        <f>IFERROR(__xludf.DUMMYFUNCTION("""COMPUTED_VALUE"""),6.67)</f>
        <v>6.67</v>
      </c>
      <c r="AK125" s="320">
        <f>IFERROR(__xludf.DUMMYFUNCTION("""COMPUTED_VALUE"""),0.1659)</f>
        <v>0.1659</v>
      </c>
      <c r="AL125" s="320">
        <f>IFERROR(__xludf.DUMMYFUNCTION("""COMPUTED_VALUE"""),18.81)</f>
        <v>18.81</v>
      </c>
      <c r="AM125" s="320">
        <f>IFERROR(__xludf.DUMMYFUNCTION("""COMPUTED_VALUE"""),111.29)</f>
        <v>111.29</v>
      </c>
      <c r="AN125" s="320">
        <f>IFERROR(__xludf.DUMMYFUNCTION("""COMPUTED_VALUE"""),74.66)</f>
        <v>74.66</v>
      </c>
      <c r="AO125" s="320">
        <f>IFERROR(__xludf.DUMMYFUNCTION("""COMPUTED_VALUE"""),14.04)</f>
        <v>14.04</v>
      </c>
    </row>
    <row r="126" ht="15.75" customHeight="1">
      <c r="A126" s="330">
        <f>IFERROR(__xludf.DUMMYFUNCTION("""COMPUTED_VALUE"""),46070.0)</f>
        <v>46070</v>
      </c>
      <c r="B126" s="319" t="str">
        <f>IFERROR(__xludf.DUMMYFUNCTION("""COMPUTED_VALUE"""),"E. 40-99")</f>
        <v>E. 40-99</v>
      </c>
      <c r="C126" s="320">
        <f>IFERROR(__xludf.DUMMYFUNCTION("""COMPUTED_VALUE"""),5734.0)</f>
        <v>5734</v>
      </c>
      <c r="D126" s="320">
        <f>IFERROR(__xludf.DUMMYFUNCTION("""COMPUTED_VALUE"""),5.17)</f>
        <v>5.17</v>
      </c>
      <c r="E126" s="320">
        <f>IFERROR(__xludf.DUMMYFUNCTION("""COMPUTED_VALUE"""),0.0)</f>
        <v>0</v>
      </c>
      <c r="F126" s="320">
        <f>IFERROR(__xludf.DUMMYFUNCTION("""COMPUTED_VALUE"""),0.0)</f>
        <v>0</v>
      </c>
      <c r="G126" s="320">
        <f>IFERROR(__xludf.DUMMYFUNCTION("""COMPUTED_VALUE"""),0.0)</f>
        <v>0</v>
      </c>
      <c r="H126" s="106"/>
      <c r="I126" s="320">
        <f>IFERROR(__xludf.DUMMYFUNCTION("""COMPUTED_VALUE"""),126.5)</f>
        <v>126.5</v>
      </c>
      <c r="J126" s="320">
        <f>IFERROR(__xludf.DUMMYFUNCTION("""COMPUTED_VALUE"""),68.6)</f>
        <v>68.6</v>
      </c>
      <c r="K126" s="320">
        <f>IFERROR(__xludf.DUMMYFUNCTION("""COMPUTED_VALUE"""),54.96)</f>
        <v>54.96</v>
      </c>
      <c r="L126" s="320">
        <f>IFERROR(__xludf.DUMMYFUNCTION("""COMPUTED_VALUE"""),0.8012)</f>
        <v>0.8012</v>
      </c>
      <c r="M126" s="320">
        <f>IFERROR(__xludf.DUMMYFUNCTION("""COMPUTED_VALUE"""),0.3811)</f>
        <v>0.3811</v>
      </c>
      <c r="N126" s="320">
        <f>IFERROR(__xludf.DUMMYFUNCTION("""COMPUTED_VALUE"""),0.2763)</f>
        <v>0.2763</v>
      </c>
      <c r="O126" s="320">
        <f>IFERROR(__xludf.DUMMYFUNCTION("""COMPUTED_VALUE"""),1.2481)</f>
        <v>1.2481</v>
      </c>
      <c r="P126" s="320">
        <f>IFERROR(__xludf.DUMMYFUNCTION("""COMPUTED_VALUE"""),346.36)</f>
        <v>346.36</v>
      </c>
      <c r="Q126" s="320">
        <f>IFERROR(__xludf.DUMMYFUNCTION("""COMPUTED_VALUE"""),231.05)</f>
        <v>231.05</v>
      </c>
      <c r="R126" s="320">
        <f>IFERROR(__xludf.DUMMYFUNCTION("""COMPUTED_VALUE"""),115.31)</f>
        <v>115.31</v>
      </c>
      <c r="S126" s="320">
        <f>IFERROR(__xludf.DUMMYFUNCTION("""COMPUTED_VALUE"""),1.13)</f>
        <v>1.13</v>
      </c>
      <c r="T126" s="320">
        <f>IFERROR(__xludf.DUMMYFUNCTION("""COMPUTED_VALUE"""),345.23)</f>
        <v>345.23</v>
      </c>
      <c r="U126" s="320">
        <f>IFERROR(__xludf.DUMMYFUNCTION("""COMPUTED_VALUE"""),332.44)</f>
        <v>332.44</v>
      </c>
      <c r="V126" s="320">
        <f>IFERROR(__xludf.DUMMYFUNCTION("""COMPUTED_VALUE"""),4.8461)</f>
        <v>4.8461</v>
      </c>
      <c r="W126" s="320">
        <f>IFERROR(__xludf.DUMMYFUNCTION("""COMPUTED_VALUE"""),0.33)</f>
        <v>0.33</v>
      </c>
      <c r="X126" s="320">
        <f>IFERROR(__xludf.DUMMYFUNCTION("""COMPUTED_VALUE"""),341.0)</f>
        <v>341</v>
      </c>
      <c r="Y126" s="320">
        <f>IFERROR(__xludf.DUMMYFUNCTION("""COMPUTED_VALUE"""),2453.0)</f>
        <v>2453</v>
      </c>
      <c r="Z126" s="320">
        <f>IFERROR(__xludf.DUMMYFUNCTION("""COMPUTED_VALUE"""),9509.0)</f>
        <v>9509</v>
      </c>
      <c r="AA126" s="320">
        <f>IFERROR(__xludf.DUMMYFUNCTION("""COMPUTED_VALUE"""),59.5326)</f>
        <v>59.5326</v>
      </c>
      <c r="AB126" s="320">
        <f>IFERROR(__xludf.DUMMYFUNCTION("""COMPUTED_VALUE"""),0.8258)</f>
        <v>0.8258</v>
      </c>
      <c r="AC126" s="320">
        <f>IFERROR(__xludf.DUMMYFUNCTION("""COMPUTED_VALUE"""),37.99)</f>
        <v>37.99</v>
      </c>
      <c r="AD126" s="320">
        <f>IFERROR(__xludf.DUMMYFUNCTION("""COMPUTED_VALUE"""),15.0)</f>
        <v>15</v>
      </c>
      <c r="AE126" s="320">
        <f>IFERROR(__xludf.DUMMYFUNCTION("""COMPUTED_VALUE"""),30.0)</f>
        <v>30</v>
      </c>
      <c r="AF126" s="320">
        <f>IFERROR(__xludf.DUMMYFUNCTION("""COMPUTED_VALUE"""),52.0)</f>
        <v>52</v>
      </c>
      <c r="AG126" s="320">
        <f>IFERROR(__xludf.DUMMYFUNCTION("""COMPUTED_VALUE"""),79.0)</f>
        <v>79</v>
      </c>
      <c r="AH126" s="320">
        <f>IFERROR(__xludf.DUMMYFUNCTION("""COMPUTED_VALUE"""),53.51)</f>
        <v>53.51</v>
      </c>
      <c r="AI126" s="320">
        <f>IFERROR(__xludf.DUMMYFUNCTION("""COMPUTED_VALUE"""),19.83)</f>
        <v>19.83</v>
      </c>
      <c r="AJ126" s="320">
        <f>IFERROR(__xludf.DUMMYFUNCTION("""COMPUTED_VALUE"""),4.8)</f>
        <v>4.8</v>
      </c>
      <c r="AK126" s="320">
        <f>IFERROR(__xludf.DUMMYFUNCTION("""COMPUTED_VALUE"""),0.1381)</f>
        <v>0.1381</v>
      </c>
      <c r="AL126" s="320">
        <f>IFERROR(__xludf.DUMMYFUNCTION("""COMPUTED_VALUE"""),20.2)</f>
        <v>20.2</v>
      </c>
      <c r="AM126" s="320">
        <f>IFERROR(__xludf.DUMMYFUNCTION("""COMPUTED_VALUE"""),210.84)</f>
        <v>210.84</v>
      </c>
      <c r="AN126" s="320">
        <f>IFERROR(__xludf.DUMMYFUNCTION("""COMPUTED_VALUE"""),81.02)</f>
        <v>81.02</v>
      </c>
      <c r="AO126" s="320">
        <f>IFERROR(__xludf.DUMMYFUNCTION("""COMPUTED_VALUE"""),16.37)</f>
        <v>16.37</v>
      </c>
    </row>
    <row r="127" ht="15.75" customHeight="1">
      <c r="A127" s="330">
        <f>IFERROR(__xludf.DUMMYFUNCTION("""COMPUTED_VALUE"""),46070.0)</f>
        <v>46070</v>
      </c>
      <c r="B127" s="319" t="str">
        <f>IFERROR(__xludf.DUMMYFUNCTION("""COMPUTED_VALUE"""),"F. 100+")</f>
        <v>F. 100+</v>
      </c>
      <c r="C127" s="320">
        <f>IFERROR(__xludf.DUMMYFUNCTION("""COMPUTED_VALUE"""),616.0)</f>
        <v>616</v>
      </c>
      <c r="D127" s="320">
        <f>IFERROR(__xludf.DUMMYFUNCTION("""COMPUTED_VALUE"""),0.56)</f>
        <v>0.56</v>
      </c>
      <c r="E127" s="320">
        <f>IFERROR(__xludf.DUMMYFUNCTION("""COMPUTED_VALUE"""),0.0)</f>
        <v>0</v>
      </c>
      <c r="F127" s="320">
        <f>IFERROR(__xludf.DUMMYFUNCTION("""COMPUTED_VALUE"""),0.0)</f>
        <v>0</v>
      </c>
      <c r="G127" s="320">
        <f>IFERROR(__xludf.DUMMYFUNCTION("""COMPUTED_VALUE"""),0.0)</f>
        <v>0</v>
      </c>
      <c r="H127" s="106"/>
      <c r="I127" s="320">
        <f>IFERROR(__xludf.DUMMYFUNCTION("""COMPUTED_VALUE"""),244.93)</f>
        <v>244.93</v>
      </c>
      <c r="J127" s="320">
        <f>IFERROR(__xludf.DUMMYFUNCTION("""COMPUTED_VALUE"""),148.07)</f>
        <v>148.07</v>
      </c>
      <c r="K127" s="320">
        <f>IFERROR(__xludf.DUMMYFUNCTION("""COMPUTED_VALUE"""),131.78)</f>
        <v>131.78</v>
      </c>
      <c r="L127" s="320">
        <f>IFERROR(__xludf.DUMMYFUNCTION("""COMPUTED_VALUE"""),0.8899)</f>
        <v>0.8899</v>
      </c>
      <c r="M127" s="320">
        <f>IFERROR(__xludf.DUMMYFUNCTION("""COMPUTED_VALUE"""),0.2552)</f>
        <v>0.2552</v>
      </c>
      <c r="N127" s="320">
        <f>IFERROR(__xludf.DUMMYFUNCTION("""COMPUTED_VALUE"""),0.193)</f>
        <v>0.193</v>
      </c>
      <c r="O127" s="320">
        <f>IFERROR(__xludf.DUMMYFUNCTION("""COMPUTED_VALUE"""),1.1237)</f>
        <v>1.1237</v>
      </c>
      <c r="P127" s="320">
        <f>IFERROR(__xludf.DUMMYFUNCTION("""COMPUTED_VALUE"""),733.25)</f>
        <v>733.25</v>
      </c>
      <c r="Q127" s="320">
        <f>IFERROR(__xludf.DUMMYFUNCTION("""COMPUTED_VALUE"""),455.22)</f>
        <v>455.22</v>
      </c>
      <c r="R127" s="320">
        <f>IFERROR(__xludf.DUMMYFUNCTION("""COMPUTED_VALUE"""),278.04)</f>
        <v>278.04</v>
      </c>
      <c r="S127" s="320">
        <f>IFERROR(__xludf.DUMMYFUNCTION("""COMPUTED_VALUE"""),0.0)</f>
        <v>0</v>
      </c>
      <c r="T127" s="320">
        <f>IFERROR(__xludf.DUMMYFUNCTION("""COMPUTED_VALUE"""),733.25)</f>
        <v>733.25</v>
      </c>
      <c r="U127" s="320">
        <f>IFERROR(__xludf.DUMMYFUNCTION("""COMPUTED_VALUE"""),656.17)</f>
        <v>656.17</v>
      </c>
      <c r="V127" s="320">
        <f>IFERROR(__xludf.DUMMYFUNCTION("""COMPUTED_VALUE"""),4.4314)</f>
        <v>4.4314</v>
      </c>
      <c r="W127" s="320">
        <f>IFERROR(__xludf.DUMMYFUNCTION("""COMPUTED_VALUE"""),0.0)</f>
        <v>0</v>
      </c>
      <c r="X127" s="320">
        <f>IFERROR(__xludf.DUMMYFUNCTION("""COMPUTED_VALUE"""),1126.0)</f>
        <v>1126</v>
      </c>
      <c r="Y127" s="320">
        <f>IFERROR(__xludf.DUMMYFUNCTION("""COMPUTED_VALUE"""),4533.0)</f>
        <v>4533</v>
      </c>
      <c r="Z127" s="320">
        <f>IFERROR(__xludf.DUMMYFUNCTION("""COMPUTED_VALUE"""),11615.0)</f>
        <v>11615</v>
      </c>
      <c r="AA127" s="320">
        <f>IFERROR(__xludf.DUMMYFUNCTION("""COMPUTED_VALUE"""),63.8633)</f>
        <v>63.8633</v>
      </c>
      <c r="AB127" s="320">
        <f>IFERROR(__xludf.DUMMYFUNCTION("""COMPUTED_VALUE"""),0.8956)</f>
        <v>0.8956</v>
      </c>
      <c r="AC127" s="320">
        <f>IFERROR(__xludf.DUMMYFUNCTION("""COMPUTED_VALUE"""),94.93)</f>
        <v>94.93</v>
      </c>
      <c r="AD127" s="320">
        <f>IFERROR(__xludf.DUMMYFUNCTION("""COMPUTED_VALUE"""),40.0)</f>
        <v>40</v>
      </c>
      <c r="AE127" s="320">
        <f>IFERROR(__xludf.DUMMYFUNCTION("""COMPUTED_VALUE"""),84.0)</f>
        <v>84</v>
      </c>
      <c r="AF127" s="320">
        <f>IFERROR(__xludf.DUMMYFUNCTION("""COMPUTED_VALUE"""),134.0)</f>
        <v>134</v>
      </c>
      <c r="AG127" s="320">
        <f>IFERROR(__xludf.DUMMYFUNCTION("""COMPUTED_VALUE"""),181.0)</f>
        <v>181</v>
      </c>
      <c r="AH127" s="320">
        <f>IFERROR(__xludf.DUMMYFUNCTION("""COMPUTED_VALUE"""),52.27)</f>
        <v>52.27</v>
      </c>
      <c r="AI127" s="320">
        <f>IFERROR(__xludf.DUMMYFUNCTION("""COMPUTED_VALUE"""),11.69)</f>
        <v>11.69</v>
      </c>
      <c r="AJ127" s="320">
        <f>IFERROR(__xludf.DUMMYFUNCTION("""COMPUTED_VALUE"""),0.97)</f>
        <v>0.97</v>
      </c>
      <c r="AK127" s="320">
        <f>IFERROR(__xludf.DUMMYFUNCTION("""COMPUTED_VALUE"""),0.1055)</f>
        <v>0.1055</v>
      </c>
      <c r="AL127" s="320">
        <f>IFERROR(__xludf.DUMMYFUNCTION("""COMPUTED_VALUE"""),21.24)</f>
        <v>21.24</v>
      </c>
      <c r="AM127" s="320">
        <f>IFERROR(__xludf.DUMMYFUNCTION("""COMPUTED_VALUE"""),433.98)</f>
        <v>433.98</v>
      </c>
      <c r="AN127" s="320">
        <f>IFERROR(__xludf.DUMMYFUNCTION("""COMPUTED_VALUE"""),82.35)</f>
        <v>82.35</v>
      </c>
      <c r="AO127" s="320">
        <f>IFERROR(__xludf.DUMMYFUNCTION("""COMPUTED_VALUE"""),17.49)</f>
        <v>17.49</v>
      </c>
    </row>
    <row r="128" ht="15.75" customHeight="1">
      <c r="A128" s="330">
        <f>IFERROR(__xludf.DUMMYFUNCTION("""COMPUTED_VALUE"""),46071.0)</f>
        <v>46071</v>
      </c>
      <c r="B128" s="319" t="str">
        <f>IFERROR(__xludf.DUMMYFUNCTION("""COMPUTED_VALUE"""),"A. 0")</f>
        <v>A. 0</v>
      </c>
      <c r="C128" s="320">
        <f>IFERROR(__xludf.DUMMYFUNCTION("""COMPUTED_VALUE"""),21611.0)</f>
        <v>21611</v>
      </c>
      <c r="D128" s="320">
        <f>IFERROR(__xludf.DUMMYFUNCTION("""COMPUTED_VALUE"""),19.83)</f>
        <v>19.83</v>
      </c>
      <c r="E128" s="320">
        <f>IFERROR(__xludf.DUMMYFUNCTION("""COMPUTED_VALUE"""),0.0)</f>
        <v>0</v>
      </c>
      <c r="F128" s="320">
        <f>IFERROR(__xludf.DUMMYFUNCTION("""COMPUTED_VALUE"""),0.0)</f>
        <v>0</v>
      </c>
      <c r="G128" s="320">
        <f>IFERROR(__xludf.DUMMYFUNCTION("""COMPUTED_VALUE"""),0.0)</f>
        <v>0</v>
      </c>
      <c r="H128" s="106"/>
      <c r="I128" s="320">
        <f>IFERROR(__xludf.DUMMYFUNCTION("""COMPUTED_VALUE"""),6.45)</f>
        <v>6.45</v>
      </c>
      <c r="J128" s="320">
        <f>IFERROR(__xludf.DUMMYFUNCTION("""COMPUTED_VALUE"""),2.62)</f>
        <v>2.62</v>
      </c>
      <c r="K128" s="320">
        <f>IFERROR(__xludf.DUMMYFUNCTION("""COMPUTED_VALUE"""),0.07)</f>
        <v>0.07</v>
      </c>
      <c r="L128" s="320">
        <f>IFERROR(__xludf.DUMMYFUNCTION("""COMPUTED_VALUE"""),0.0257)</f>
        <v>0.0257</v>
      </c>
      <c r="M128" s="320">
        <f>IFERROR(__xludf.DUMMYFUNCTION("""COMPUTED_VALUE"""),0.9795)</f>
        <v>0.9795</v>
      </c>
      <c r="N128" s="320">
        <f>IFERROR(__xludf.DUMMYFUNCTION("""COMPUTED_VALUE"""),0.7654)</f>
        <v>0.7654</v>
      </c>
      <c r="O128" s="320">
        <f>IFERROR(__xludf.DUMMYFUNCTION("""COMPUTED_VALUE"""),38.8526)</f>
        <v>38.8526</v>
      </c>
      <c r="P128" s="320">
        <f>IFERROR(__xludf.DUMMYFUNCTION("""COMPUTED_VALUE"""),21.46)</f>
        <v>21.46</v>
      </c>
      <c r="Q128" s="320">
        <f>IFERROR(__xludf.DUMMYFUNCTION("""COMPUTED_VALUE"""),21.25)</f>
        <v>21.25</v>
      </c>
      <c r="R128" s="320">
        <f>IFERROR(__xludf.DUMMYFUNCTION("""COMPUTED_VALUE"""),0.21)</f>
        <v>0.21</v>
      </c>
      <c r="S128" s="320">
        <f>IFERROR(__xludf.DUMMYFUNCTION("""COMPUTED_VALUE"""),0.0)</f>
        <v>0</v>
      </c>
      <c r="T128" s="320">
        <f>IFERROR(__xludf.DUMMYFUNCTION("""COMPUTED_VALUE"""),21.46)</f>
        <v>21.46</v>
      </c>
      <c r="U128" s="320">
        <f>IFERROR(__xludf.DUMMYFUNCTION("""COMPUTED_VALUE"""),1.96)</f>
        <v>1.96</v>
      </c>
      <c r="V128" s="320">
        <f>IFERROR(__xludf.DUMMYFUNCTION("""COMPUTED_VALUE"""),0.7489)</f>
        <v>0.7489</v>
      </c>
      <c r="W128" s="320">
        <f>IFERROR(__xludf.DUMMYFUNCTION("""COMPUTED_VALUE"""),0.0)</f>
        <v>0</v>
      </c>
      <c r="X128" s="320">
        <f>IFERROR(__xludf.DUMMYFUNCTION("""COMPUTED_VALUE"""),308.0)</f>
        <v>308</v>
      </c>
      <c r="Y128" s="320">
        <f>IFERROR(__xludf.DUMMYFUNCTION("""COMPUTED_VALUE"""),3473.0)</f>
        <v>3473</v>
      </c>
      <c r="Z128" s="320">
        <f>IFERROR(__xludf.DUMMYFUNCTION("""COMPUTED_VALUE"""),14239.0)</f>
        <v>14239</v>
      </c>
      <c r="AA128" s="320">
        <f>IFERROR(__xludf.DUMMYFUNCTION("""COMPUTED_VALUE"""),49.0229)</f>
        <v>49.0229</v>
      </c>
      <c r="AB128" s="320">
        <f>IFERROR(__xludf.DUMMYFUNCTION("""COMPUTED_VALUE"""),0.5441)</f>
        <v>0.5441</v>
      </c>
      <c r="AC128" s="106"/>
      <c r="AD128" s="106"/>
      <c r="AE128" s="106"/>
      <c r="AF128" s="106"/>
      <c r="AG128" s="106"/>
      <c r="AH128" s="320">
        <f>IFERROR(__xludf.DUMMYFUNCTION("""COMPUTED_VALUE"""),0.0)</f>
        <v>0</v>
      </c>
      <c r="AI128" s="320">
        <f>IFERROR(__xludf.DUMMYFUNCTION("""COMPUTED_VALUE"""),0.0)</f>
        <v>0</v>
      </c>
      <c r="AJ128" s="320">
        <f>IFERROR(__xludf.DUMMYFUNCTION("""COMPUTED_VALUE"""),0.0)</f>
        <v>0</v>
      </c>
      <c r="AK128" s="320">
        <f>IFERROR(__xludf.DUMMYFUNCTION("""COMPUTED_VALUE"""),0.2868)</f>
        <v>0.2868</v>
      </c>
      <c r="AL128" s="320">
        <f>IFERROR(__xludf.DUMMYFUNCTION("""COMPUTED_VALUE"""),15.72)</f>
        <v>15.72</v>
      </c>
      <c r="AM128" s="320">
        <f>IFERROR(__xludf.DUMMYFUNCTION("""COMPUTED_VALUE"""),5.53)</f>
        <v>5.53</v>
      </c>
      <c r="AN128" s="331"/>
      <c r="AO128" s="331"/>
    </row>
    <row r="129" ht="15.75" customHeight="1">
      <c r="A129" s="330">
        <f>IFERROR(__xludf.DUMMYFUNCTION("""COMPUTED_VALUE"""),46071.0)</f>
        <v>46071</v>
      </c>
      <c r="B129" s="319" t="str">
        <f>IFERROR(__xludf.DUMMYFUNCTION("""COMPUTED_VALUE"""),"B. 1-9")</f>
        <v>B. 1-9</v>
      </c>
      <c r="C129" s="320">
        <f>IFERROR(__xludf.DUMMYFUNCTION("""COMPUTED_VALUE"""),39021.0)</f>
        <v>39021</v>
      </c>
      <c r="D129" s="320">
        <f>IFERROR(__xludf.DUMMYFUNCTION("""COMPUTED_VALUE"""),35.81)</f>
        <v>35.81</v>
      </c>
      <c r="E129" s="320">
        <f>IFERROR(__xludf.DUMMYFUNCTION("""COMPUTED_VALUE"""),0.0)</f>
        <v>0</v>
      </c>
      <c r="F129" s="320">
        <f>IFERROR(__xludf.DUMMYFUNCTION("""COMPUTED_VALUE"""),0.0)</f>
        <v>0</v>
      </c>
      <c r="G129" s="320">
        <f>IFERROR(__xludf.DUMMYFUNCTION("""COMPUTED_VALUE"""),0.0)</f>
        <v>0</v>
      </c>
      <c r="H129" s="106"/>
      <c r="I129" s="320">
        <f>IFERROR(__xludf.DUMMYFUNCTION("""COMPUTED_VALUE"""),30.2)</f>
        <v>30.2</v>
      </c>
      <c r="J129" s="320">
        <f>IFERROR(__xludf.DUMMYFUNCTION("""COMPUTED_VALUE"""),13.81)</f>
        <v>13.81</v>
      </c>
      <c r="K129" s="320">
        <f>IFERROR(__xludf.DUMMYFUNCTION("""COMPUTED_VALUE"""),5.48)</f>
        <v>5.48</v>
      </c>
      <c r="L129" s="320">
        <f>IFERROR(__xludf.DUMMYFUNCTION("""COMPUTED_VALUE"""),0.3968)</f>
        <v>0.3968</v>
      </c>
      <c r="M129" s="320">
        <f>IFERROR(__xludf.DUMMYFUNCTION("""COMPUTED_VALUE"""),0.7686)</f>
        <v>0.7686</v>
      </c>
      <c r="N129" s="320">
        <f>IFERROR(__xludf.DUMMYFUNCTION("""COMPUTED_VALUE"""),0.5694)</f>
        <v>0.5694</v>
      </c>
      <c r="O129" s="320">
        <f>IFERROR(__xludf.DUMMYFUNCTION("""COMPUTED_VALUE"""),2.5202)</f>
        <v>2.5202</v>
      </c>
      <c r="P129" s="320">
        <f>IFERROR(__xludf.DUMMYFUNCTION("""COMPUTED_VALUE"""),46.31)</f>
        <v>46.31</v>
      </c>
      <c r="Q129" s="320">
        <f>IFERROR(__xludf.DUMMYFUNCTION("""COMPUTED_VALUE"""),34.71)</f>
        <v>34.71</v>
      </c>
      <c r="R129" s="320">
        <f>IFERROR(__xludf.DUMMYFUNCTION("""COMPUTED_VALUE"""),11.6)</f>
        <v>11.6</v>
      </c>
      <c r="S129" s="320">
        <f>IFERROR(__xludf.DUMMYFUNCTION("""COMPUTED_VALUE"""),0.06)</f>
        <v>0.06</v>
      </c>
      <c r="T129" s="320">
        <f>IFERROR(__xludf.DUMMYFUNCTION("""COMPUTED_VALUE"""),46.25)</f>
        <v>46.25</v>
      </c>
      <c r="U129" s="320">
        <f>IFERROR(__xludf.DUMMYFUNCTION("""COMPUTED_VALUE"""),51.42)</f>
        <v>51.42</v>
      </c>
      <c r="V129" s="320">
        <f>IFERROR(__xludf.DUMMYFUNCTION("""COMPUTED_VALUE"""),3.7223)</f>
        <v>3.7223</v>
      </c>
      <c r="W129" s="320">
        <f>IFERROR(__xludf.DUMMYFUNCTION("""COMPUTED_VALUE"""),0.13)</f>
        <v>0.13</v>
      </c>
      <c r="X129" s="320">
        <f>IFERROR(__xludf.DUMMYFUNCTION("""COMPUTED_VALUE"""),145.0)</f>
        <v>145</v>
      </c>
      <c r="Y129" s="320">
        <f>IFERROR(__xludf.DUMMYFUNCTION("""COMPUTED_VALUE"""),878.0)</f>
        <v>878</v>
      </c>
      <c r="Z129" s="320">
        <f>IFERROR(__xludf.DUMMYFUNCTION("""COMPUTED_VALUE"""),5686.0)</f>
        <v>5686</v>
      </c>
      <c r="AA129" s="320">
        <f>IFERROR(__xludf.DUMMYFUNCTION("""COMPUTED_VALUE"""),48.6328)</f>
        <v>48.6328</v>
      </c>
      <c r="AB129" s="320">
        <f>IFERROR(__xludf.DUMMYFUNCTION("""COMPUTED_VALUE"""),0.5342)</f>
        <v>0.5342</v>
      </c>
      <c r="AC129" s="320">
        <f>IFERROR(__xludf.DUMMYFUNCTION("""COMPUTED_VALUE"""),3.91)</f>
        <v>3.91</v>
      </c>
      <c r="AD129" s="320">
        <f>IFERROR(__xludf.DUMMYFUNCTION("""COMPUTED_VALUE"""),1.0)</f>
        <v>1</v>
      </c>
      <c r="AE129" s="320">
        <f>IFERROR(__xludf.DUMMYFUNCTION("""COMPUTED_VALUE"""),3.0)</f>
        <v>3</v>
      </c>
      <c r="AF129" s="320">
        <f>IFERROR(__xludf.DUMMYFUNCTION("""COMPUTED_VALUE"""),5.0)</f>
        <v>5</v>
      </c>
      <c r="AG129" s="320">
        <f>IFERROR(__xludf.DUMMYFUNCTION("""COMPUTED_VALUE"""),9.0)</f>
        <v>9</v>
      </c>
      <c r="AH129" s="320">
        <f>IFERROR(__xludf.DUMMYFUNCTION("""COMPUTED_VALUE"""),72.17)</f>
        <v>72.17</v>
      </c>
      <c r="AI129" s="320">
        <f>IFERROR(__xludf.DUMMYFUNCTION("""COMPUTED_VALUE"""),29.71)</f>
        <v>29.71</v>
      </c>
      <c r="AJ129" s="320">
        <f>IFERROR(__xludf.DUMMYFUNCTION("""COMPUTED_VALUE"""),8.13)</f>
        <v>8.13</v>
      </c>
      <c r="AK129" s="320">
        <f>IFERROR(__xludf.DUMMYFUNCTION("""COMPUTED_VALUE"""),0.2488)</f>
        <v>0.2488</v>
      </c>
      <c r="AL129" s="320">
        <f>IFERROR(__xludf.DUMMYFUNCTION("""COMPUTED_VALUE"""),18.59)</f>
        <v>18.59</v>
      </c>
      <c r="AM129" s="320">
        <f>IFERROR(__xludf.DUMMYFUNCTION("""COMPUTED_VALUE"""),16.11)</f>
        <v>16.11</v>
      </c>
      <c r="AN129" s="320">
        <f>IFERROR(__xludf.DUMMYFUNCTION("""COMPUTED_VALUE"""),65.22)</f>
        <v>65.22</v>
      </c>
      <c r="AO129" s="320">
        <f>IFERROR(__xludf.DUMMYFUNCTION("""COMPUTED_VALUE"""),12.12)</f>
        <v>12.12</v>
      </c>
    </row>
    <row r="130" ht="15.75" customHeight="1">
      <c r="A130" s="330">
        <f>IFERROR(__xludf.DUMMYFUNCTION("""COMPUTED_VALUE"""),46071.0)</f>
        <v>46071</v>
      </c>
      <c r="B130" s="319" t="str">
        <f>IFERROR(__xludf.DUMMYFUNCTION("""COMPUTED_VALUE"""),"C. 10-19")</f>
        <v>C. 10-19</v>
      </c>
      <c r="C130" s="320">
        <f>IFERROR(__xludf.DUMMYFUNCTION("""COMPUTED_VALUE"""),27195.0)</f>
        <v>27195</v>
      </c>
      <c r="D130" s="320">
        <f>IFERROR(__xludf.DUMMYFUNCTION("""COMPUTED_VALUE"""),24.96)</f>
        <v>24.96</v>
      </c>
      <c r="E130" s="320">
        <f>IFERROR(__xludf.DUMMYFUNCTION("""COMPUTED_VALUE"""),0.0)</f>
        <v>0</v>
      </c>
      <c r="F130" s="320">
        <f>IFERROR(__xludf.DUMMYFUNCTION("""COMPUTED_VALUE"""),0.0)</f>
        <v>0</v>
      </c>
      <c r="G130" s="320">
        <f>IFERROR(__xludf.DUMMYFUNCTION("""COMPUTED_VALUE"""),0.0)</f>
        <v>0</v>
      </c>
      <c r="H130" s="106"/>
      <c r="I130" s="320">
        <f>IFERROR(__xludf.DUMMYFUNCTION("""COMPUTED_VALUE"""),57.29)</f>
        <v>57.29</v>
      </c>
      <c r="J130" s="320">
        <f>IFERROR(__xludf.DUMMYFUNCTION("""COMPUTED_VALUE"""),27.28)</f>
        <v>27.28</v>
      </c>
      <c r="K130" s="320">
        <f>IFERROR(__xludf.DUMMYFUNCTION("""COMPUTED_VALUE"""),14.22)</f>
        <v>14.22</v>
      </c>
      <c r="L130" s="320">
        <f>IFERROR(__xludf.DUMMYFUNCTION("""COMPUTED_VALUE"""),0.5213)</f>
        <v>0.5213</v>
      </c>
      <c r="M130" s="320">
        <f>IFERROR(__xludf.DUMMYFUNCTION("""COMPUTED_VALUE"""),0.6641)</f>
        <v>0.6641</v>
      </c>
      <c r="N130" s="320">
        <f>IFERROR(__xludf.DUMMYFUNCTION("""COMPUTED_VALUE"""),0.4556)</f>
        <v>0.4556</v>
      </c>
      <c r="O130" s="320">
        <f>IFERROR(__xludf.DUMMYFUNCTION("""COMPUTED_VALUE"""),1.9183)</f>
        <v>1.9183</v>
      </c>
      <c r="P130" s="320">
        <f>IFERROR(__xludf.DUMMYFUNCTION("""COMPUTED_VALUE"""),81.49)</f>
        <v>81.49</v>
      </c>
      <c r="Q130" s="320">
        <f>IFERROR(__xludf.DUMMYFUNCTION("""COMPUTED_VALUE"""),53.07)</f>
        <v>53.07</v>
      </c>
      <c r="R130" s="320">
        <f>IFERROR(__xludf.DUMMYFUNCTION("""COMPUTED_VALUE"""),28.42)</f>
        <v>28.42</v>
      </c>
      <c r="S130" s="320">
        <f>IFERROR(__xludf.DUMMYFUNCTION("""COMPUTED_VALUE"""),0.2)</f>
        <v>0.2</v>
      </c>
      <c r="T130" s="320">
        <f>IFERROR(__xludf.DUMMYFUNCTION("""COMPUTED_VALUE"""),81.29)</f>
        <v>81.29</v>
      </c>
      <c r="U130" s="320">
        <f>IFERROR(__xludf.DUMMYFUNCTION("""COMPUTED_VALUE"""),96.13)</f>
        <v>96.13</v>
      </c>
      <c r="V130" s="320">
        <f>IFERROR(__xludf.DUMMYFUNCTION("""COMPUTED_VALUE"""),3.5231)</f>
        <v>3.5231</v>
      </c>
      <c r="W130" s="320">
        <f>IFERROR(__xludf.DUMMYFUNCTION("""COMPUTED_VALUE"""),0.24)</f>
        <v>0.24</v>
      </c>
      <c r="X130" s="320">
        <f>IFERROR(__xludf.DUMMYFUNCTION("""COMPUTED_VALUE"""),124.0)</f>
        <v>124</v>
      </c>
      <c r="Y130" s="320">
        <f>IFERROR(__xludf.DUMMYFUNCTION("""COMPUTED_VALUE"""),723.0)</f>
        <v>723</v>
      </c>
      <c r="Z130" s="320">
        <f>IFERROR(__xludf.DUMMYFUNCTION("""COMPUTED_VALUE"""),5574.0)</f>
        <v>5574</v>
      </c>
      <c r="AA130" s="320">
        <f>IFERROR(__xludf.DUMMYFUNCTION("""COMPUTED_VALUE"""),52.0598)</f>
        <v>52.0598</v>
      </c>
      <c r="AB130" s="320">
        <f>IFERROR(__xludf.DUMMYFUNCTION("""COMPUTED_VALUE"""),0.6175)</f>
        <v>0.6175</v>
      </c>
      <c r="AC130" s="320">
        <f>IFERROR(__xludf.DUMMYFUNCTION("""COMPUTED_VALUE"""),9.03)</f>
        <v>9.03</v>
      </c>
      <c r="AD130" s="320">
        <f>IFERROR(__xludf.DUMMYFUNCTION("""COMPUTED_VALUE"""),3.0)</f>
        <v>3</v>
      </c>
      <c r="AE130" s="320">
        <f>IFERROR(__xludf.DUMMYFUNCTION("""COMPUTED_VALUE"""),7.0)</f>
        <v>7</v>
      </c>
      <c r="AF130" s="320">
        <f>IFERROR(__xludf.DUMMYFUNCTION("""COMPUTED_VALUE"""),12.0)</f>
        <v>12</v>
      </c>
      <c r="AG130" s="320">
        <f>IFERROR(__xludf.DUMMYFUNCTION("""COMPUTED_VALUE"""),19.0)</f>
        <v>19</v>
      </c>
      <c r="AH130" s="320">
        <f>IFERROR(__xludf.DUMMYFUNCTION("""COMPUTED_VALUE"""),58.08)</f>
        <v>58.08</v>
      </c>
      <c r="AI130" s="320">
        <f>IFERROR(__xludf.DUMMYFUNCTION("""COMPUTED_VALUE"""),24.81)</f>
        <v>24.81</v>
      </c>
      <c r="AJ130" s="320">
        <f>IFERROR(__xludf.DUMMYFUNCTION("""COMPUTED_VALUE"""),4.25)</f>
        <v>4.25</v>
      </c>
      <c r="AK130" s="320">
        <f>IFERROR(__xludf.DUMMYFUNCTION("""COMPUTED_VALUE"""),0.1914)</f>
        <v>0.1914</v>
      </c>
      <c r="AL130" s="320">
        <f>IFERROR(__xludf.DUMMYFUNCTION("""COMPUTED_VALUE"""),19.13)</f>
        <v>19.13</v>
      </c>
      <c r="AM130" s="320">
        <f>IFERROR(__xludf.DUMMYFUNCTION("""COMPUTED_VALUE"""),33.93)</f>
        <v>33.93</v>
      </c>
      <c r="AN130" s="320">
        <f>IFERROR(__xludf.DUMMYFUNCTION("""COMPUTED_VALUE"""),73.72)</f>
        <v>73.72</v>
      </c>
      <c r="AO130" s="320">
        <f>IFERROR(__xludf.DUMMYFUNCTION("""COMPUTED_VALUE"""),14.1)</f>
        <v>14.1</v>
      </c>
    </row>
    <row r="131" ht="15.75" customHeight="1">
      <c r="A131" s="330">
        <f>IFERROR(__xludf.DUMMYFUNCTION("""COMPUTED_VALUE"""),46071.0)</f>
        <v>46071</v>
      </c>
      <c r="B131" s="319" t="str">
        <f>IFERROR(__xludf.DUMMYFUNCTION("""COMPUTED_VALUE"""),"D. 20-39")</f>
        <v>D. 20-39</v>
      </c>
      <c r="C131" s="320">
        <f>IFERROR(__xludf.DUMMYFUNCTION("""COMPUTED_VALUE"""),14933.0)</f>
        <v>14933</v>
      </c>
      <c r="D131" s="320">
        <f>IFERROR(__xludf.DUMMYFUNCTION("""COMPUTED_VALUE"""),13.7)</f>
        <v>13.7</v>
      </c>
      <c r="E131" s="320">
        <f>IFERROR(__xludf.DUMMYFUNCTION("""COMPUTED_VALUE"""),0.0)</f>
        <v>0</v>
      </c>
      <c r="F131" s="320">
        <f>IFERROR(__xludf.DUMMYFUNCTION("""COMPUTED_VALUE"""),0.0)</f>
        <v>0</v>
      </c>
      <c r="G131" s="320">
        <f>IFERROR(__xludf.DUMMYFUNCTION("""COMPUTED_VALUE"""),0.0)</f>
        <v>0</v>
      </c>
      <c r="H131" s="106"/>
      <c r="I131" s="320">
        <f>IFERROR(__xludf.DUMMYFUNCTION("""COMPUTED_VALUE"""),79.99)</f>
        <v>79.99</v>
      </c>
      <c r="J131" s="320">
        <f>IFERROR(__xludf.DUMMYFUNCTION("""COMPUTED_VALUE"""),40.13)</f>
        <v>40.13</v>
      </c>
      <c r="K131" s="320">
        <f>IFERROR(__xludf.DUMMYFUNCTION("""COMPUTED_VALUE"""),25.41)</f>
        <v>25.41</v>
      </c>
      <c r="L131" s="320">
        <f>IFERROR(__xludf.DUMMYFUNCTION("""COMPUTED_VALUE"""),0.6331)</f>
        <v>0.6331</v>
      </c>
      <c r="M131" s="320">
        <f>IFERROR(__xludf.DUMMYFUNCTION("""COMPUTED_VALUE"""),0.5531)</f>
        <v>0.5531</v>
      </c>
      <c r="N131" s="320">
        <f>IFERROR(__xludf.DUMMYFUNCTION("""COMPUTED_VALUE"""),0.3758)</f>
        <v>0.3758</v>
      </c>
      <c r="O131" s="320">
        <f>IFERROR(__xludf.DUMMYFUNCTION("""COMPUTED_VALUE"""),1.5796)</f>
        <v>1.5796</v>
      </c>
      <c r="P131" s="320">
        <f>IFERROR(__xludf.DUMMYFUNCTION("""COMPUTED_VALUE"""),127.34)</f>
        <v>127.34</v>
      </c>
      <c r="Q131" s="320">
        <f>IFERROR(__xludf.DUMMYFUNCTION("""COMPUTED_VALUE"""),74.16)</f>
        <v>74.16</v>
      </c>
      <c r="R131" s="320">
        <f>IFERROR(__xludf.DUMMYFUNCTION("""COMPUTED_VALUE"""),53.18)</f>
        <v>53.18</v>
      </c>
      <c r="S131" s="320">
        <f>IFERROR(__xludf.DUMMYFUNCTION("""COMPUTED_VALUE"""),0.29)</f>
        <v>0.29</v>
      </c>
      <c r="T131" s="320">
        <f>IFERROR(__xludf.DUMMYFUNCTION("""COMPUTED_VALUE"""),127.05)</f>
        <v>127.05</v>
      </c>
      <c r="U131" s="320">
        <f>IFERROR(__xludf.DUMMYFUNCTION("""COMPUTED_VALUE"""),157.49)</f>
        <v>157.49</v>
      </c>
      <c r="V131" s="320">
        <f>IFERROR(__xludf.DUMMYFUNCTION("""COMPUTED_VALUE"""),3.9241)</f>
        <v>3.9241</v>
      </c>
      <c r="W131" s="320">
        <f>IFERROR(__xludf.DUMMYFUNCTION("""COMPUTED_VALUE"""),0.23)</f>
        <v>0.23</v>
      </c>
      <c r="X131" s="320">
        <f>IFERROR(__xludf.DUMMYFUNCTION("""COMPUTED_VALUE"""),141.0)</f>
        <v>141</v>
      </c>
      <c r="Y131" s="320">
        <f>IFERROR(__xludf.DUMMYFUNCTION("""COMPUTED_VALUE"""),1037.0)</f>
        <v>1037</v>
      </c>
      <c r="Z131" s="320">
        <f>IFERROR(__xludf.DUMMYFUNCTION("""COMPUTED_VALUE"""),6490.0)</f>
        <v>6490</v>
      </c>
      <c r="AA131" s="320">
        <f>IFERROR(__xludf.DUMMYFUNCTION("""COMPUTED_VALUE"""),55.3175)</f>
        <v>55.3175</v>
      </c>
      <c r="AB131" s="320">
        <f>IFERROR(__xludf.DUMMYFUNCTION("""COMPUTED_VALUE"""),0.7342)</f>
        <v>0.7342</v>
      </c>
      <c r="AC131" s="320">
        <f>IFERROR(__xludf.DUMMYFUNCTION("""COMPUTED_VALUE"""),16.73)</f>
        <v>16.73</v>
      </c>
      <c r="AD131" s="320">
        <f>IFERROR(__xludf.DUMMYFUNCTION("""COMPUTED_VALUE"""),6.0)</f>
        <v>6</v>
      </c>
      <c r="AE131" s="320">
        <f>IFERROR(__xludf.DUMMYFUNCTION("""COMPUTED_VALUE"""),13.0)</f>
        <v>13</v>
      </c>
      <c r="AF131" s="320">
        <f>IFERROR(__xludf.DUMMYFUNCTION("""COMPUTED_VALUE"""),23.0)</f>
        <v>23</v>
      </c>
      <c r="AG131" s="320">
        <f>IFERROR(__xludf.DUMMYFUNCTION("""COMPUTED_VALUE"""),36.0)</f>
        <v>36</v>
      </c>
      <c r="AH131" s="320">
        <f>IFERROR(__xludf.DUMMYFUNCTION("""COMPUTED_VALUE"""),56.16)</f>
        <v>56.16</v>
      </c>
      <c r="AI131" s="320">
        <f>IFERROR(__xludf.DUMMYFUNCTION("""COMPUTED_VALUE"""),21.48)</f>
        <v>21.48</v>
      </c>
      <c r="AJ131" s="320">
        <f>IFERROR(__xludf.DUMMYFUNCTION("""COMPUTED_VALUE"""),6.25)</f>
        <v>6.25</v>
      </c>
      <c r="AK131" s="320">
        <f>IFERROR(__xludf.DUMMYFUNCTION("""COMPUTED_VALUE"""),0.1697)</f>
        <v>0.1697</v>
      </c>
      <c r="AL131" s="320">
        <f>IFERROR(__xludf.DUMMYFUNCTION("""COMPUTED_VALUE"""),19.83)</f>
        <v>19.83</v>
      </c>
      <c r="AM131" s="320">
        <f>IFERROR(__xludf.DUMMYFUNCTION("""COMPUTED_VALUE"""),54.33)</f>
        <v>54.33</v>
      </c>
      <c r="AN131" s="320">
        <f>IFERROR(__xludf.DUMMYFUNCTION("""COMPUTED_VALUE"""),77.92)</f>
        <v>77.92</v>
      </c>
      <c r="AO131" s="320">
        <f>IFERROR(__xludf.DUMMYFUNCTION("""COMPUTED_VALUE"""),15.45)</f>
        <v>15.45</v>
      </c>
    </row>
    <row r="132" ht="15.75" customHeight="1">
      <c r="A132" s="330">
        <f>IFERROR(__xludf.DUMMYFUNCTION("""COMPUTED_VALUE"""),46071.0)</f>
        <v>46071</v>
      </c>
      <c r="B132" s="319" t="str">
        <f>IFERROR(__xludf.DUMMYFUNCTION("""COMPUTED_VALUE"""),"E. 40-99")</f>
        <v>E. 40-99</v>
      </c>
      <c r="C132" s="320">
        <f>IFERROR(__xludf.DUMMYFUNCTION("""COMPUTED_VALUE"""),5611.0)</f>
        <v>5611</v>
      </c>
      <c r="D132" s="320">
        <f>IFERROR(__xludf.DUMMYFUNCTION("""COMPUTED_VALUE"""),5.15)</f>
        <v>5.15</v>
      </c>
      <c r="E132" s="320">
        <f>IFERROR(__xludf.DUMMYFUNCTION("""COMPUTED_VALUE"""),0.0)</f>
        <v>0</v>
      </c>
      <c r="F132" s="320">
        <f>IFERROR(__xludf.DUMMYFUNCTION("""COMPUTED_VALUE"""),0.0)</f>
        <v>0</v>
      </c>
      <c r="G132" s="320">
        <f>IFERROR(__xludf.DUMMYFUNCTION("""COMPUTED_VALUE"""),0.0)</f>
        <v>0</v>
      </c>
      <c r="H132" s="106"/>
      <c r="I132" s="320">
        <f>IFERROR(__xludf.DUMMYFUNCTION("""COMPUTED_VALUE"""),129.72)</f>
        <v>129.72</v>
      </c>
      <c r="J132" s="320">
        <f>IFERROR(__xludf.DUMMYFUNCTION("""COMPUTED_VALUE"""),69.73)</f>
        <v>69.73</v>
      </c>
      <c r="K132" s="320">
        <f>IFERROR(__xludf.DUMMYFUNCTION("""COMPUTED_VALUE"""),53.89)</f>
        <v>53.89</v>
      </c>
      <c r="L132" s="320">
        <f>IFERROR(__xludf.DUMMYFUNCTION("""COMPUTED_VALUE"""),0.7729)</f>
        <v>0.7729</v>
      </c>
      <c r="M132" s="320">
        <f>IFERROR(__xludf.DUMMYFUNCTION("""COMPUTED_VALUE"""),0.4046)</f>
        <v>0.4046</v>
      </c>
      <c r="N132" s="320">
        <f>IFERROR(__xludf.DUMMYFUNCTION("""COMPUTED_VALUE"""),0.2839)</f>
        <v>0.2839</v>
      </c>
      <c r="O132" s="320">
        <f>IFERROR(__xludf.DUMMYFUNCTION("""COMPUTED_VALUE"""),1.2939)</f>
        <v>1.2939</v>
      </c>
      <c r="P132" s="320">
        <f>IFERROR(__xludf.DUMMYFUNCTION("""COMPUTED_VALUE"""),243.7)</f>
        <v>243.7</v>
      </c>
      <c r="Q132" s="320">
        <f>IFERROR(__xludf.DUMMYFUNCTION("""COMPUTED_VALUE"""),129.88)</f>
        <v>129.88</v>
      </c>
      <c r="R132" s="320">
        <f>IFERROR(__xludf.DUMMYFUNCTION("""COMPUTED_VALUE"""),113.82)</f>
        <v>113.82</v>
      </c>
      <c r="S132" s="320">
        <f>IFERROR(__xludf.DUMMYFUNCTION("""COMPUTED_VALUE"""),1.5)</f>
        <v>1.5</v>
      </c>
      <c r="T132" s="320">
        <f>IFERROR(__xludf.DUMMYFUNCTION("""COMPUTED_VALUE"""),242.2)</f>
        <v>242.2</v>
      </c>
      <c r="U132" s="320">
        <f>IFERROR(__xludf.DUMMYFUNCTION("""COMPUTED_VALUE"""),304.06)</f>
        <v>304.06</v>
      </c>
      <c r="V132" s="320">
        <f>IFERROR(__xludf.DUMMYFUNCTION("""COMPUTED_VALUE"""),4.3606)</f>
        <v>4.3606</v>
      </c>
      <c r="W132" s="320">
        <f>IFERROR(__xludf.DUMMYFUNCTION("""COMPUTED_VALUE"""),0.61)</f>
        <v>0.61</v>
      </c>
      <c r="X132" s="320">
        <f>IFERROR(__xludf.DUMMYFUNCTION("""COMPUTED_VALUE"""),293.0)</f>
        <v>293</v>
      </c>
      <c r="Y132" s="320">
        <f>IFERROR(__xludf.DUMMYFUNCTION("""COMPUTED_VALUE"""),2603.0)</f>
        <v>2603</v>
      </c>
      <c r="Z132" s="320">
        <f>IFERROR(__xludf.DUMMYFUNCTION("""COMPUTED_VALUE"""),9575.0)</f>
        <v>9575</v>
      </c>
      <c r="AA132" s="320">
        <f>IFERROR(__xludf.DUMMYFUNCTION("""COMPUTED_VALUE"""),59.5935)</f>
        <v>59.5935</v>
      </c>
      <c r="AB132" s="320">
        <f>IFERROR(__xludf.DUMMYFUNCTION("""COMPUTED_VALUE"""),0.8379)</f>
        <v>0.8379</v>
      </c>
      <c r="AC132" s="320">
        <f>IFERROR(__xludf.DUMMYFUNCTION("""COMPUTED_VALUE"""),36.57)</f>
        <v>36.57</v>
      </c>
      <c r="AD132" s="320">
        <f>IFERROR(__xludf.DUMMYFUNCTION("""COMPUTED_VALUE"""),14.0)</f>
        <v>14</v>
      </c>
      <c r="AE132" s="320">
        <f>IFERROR(__xludf.DUMMYFUNCTION("""COMPUTED_VALUE"""),28.0)</f>
        <v>28</v>
      </c>
      <c r="AF132" s="320">
        <f>IFERROR(__xludf.DUMMYFUNCTION("""COMPUTED_VALUE"""),51.0)</f>
        <v>51</v>
      </c>
      <c r="AG132" s="320">
        <f>IFERROR(__xludf.DUMMYFUNCTION("""COMPUTED_VALUE"""),78.0)</f>
        <v>78</v>
      </c>
      <c r="AH132" s="320">
        <f>IFERROR(__xludf.DUMMYFUNCTION("""COMPUTED_VALUE"""),50.47)</f>
        <v>50.47</v>
      </c>
      <c r="AI132" s="320">
        <f>IFERROR(__xludf.DUMMYFUNCTION("""COMPUTED_VALUE"""),19.07)</f>
        <v>19.07</v>
      </c>
      <c r="AJ132" s="320">
        <f>IFERROR(__xludf.DUMMYFUNCTION("""COMPUTED_VALUE"""),4.49)</f>
        <v>4.49</v>
      </c>
      <c r="AK132" s="320">
        <f>IFERROR(__xludf.DUMMYFUNCTION("""COMPUTED_VALUE"""),0.1322)</f>
        <v>0.1322</v>
      </c>
      <c r="AL132" s="320">
        <f>IFERROR(__xludf.DUMMYFUNCTION("""COMPUTED_VALUE"""),20.91)</f>
        <v>20.91</v>
      </c>
      <c r="AM132" s="320">
        <f>IFERROR(__xludf.DUMMYFUNCTION("""COMPUTED_VALUE"""),108.97)</f>
        <v>108.97</v>
      </c>
      <c r="AN132" s="320">
        <f>IFERROR(__xludf.DUMMYFUNCTION("""COMPUTED_VALUE"""),81.56)</f>
        <v>81.56</v>
      </c>
      <c r="AO132" s="320">
        <f>IFERROR(__xludf.DUMMYFUNCTION("""COMPUTED_VALUE"""),17.05)</f>
        <v>17.05</v>
      </c>
    </row>
    <row r="133" ht="15.75" customHeight="1">
      <c r="A133" s="330">
        <f>IFERROR(__xludf.DUMMYFUNCTION("""COMPUTED_VALUE"""),46071.0)</f>
        <v>46071</v>
      </c>
      <c r="B133" s="319" t="str">
        <f>IFERROR(__xludf.DUMMYFUNCTION("""COMPUTED_VALUE"""),"F. 100+")</f>
        <v>F. 100+</v>
      </c>
      <c r="C133" s="320">
        <f>IFERROR(__xludf.DUMMYFUNCTION("""COMPUTED_VALUE"""),594.0)</f>
        <v>594</v>
      </c>
      <c r="D133" s="320">
        <f>IFERROR(__xludf.DUMMYFUNCTION("""COMPUTED_VALUE"""),0.55)</f>
        <v>0.55</v>
      </c>
      <c r="E133" s="320">
        <f>IFERROR(__xludf.DUMMYFUNCTION("""COMPUTED_VALUE"""),0.0)</f>
        <v>0</v>
      </c>
      <c r="F133" s="320">
        <f>IFERROR(__xludf.DUMMYFUNCTION("""COMPUTED_VALUE"""),0.0)</f>
        <v>0</v>
      </c>
      <c r="G133" s="320">
        <f>IFERROR(__xludf.DUMMYFUNCTION("""COMPUTED_VALUE"""),0.0)</f>
        <v>0</v>
      </c>
      <c r="H133" s="106"/>
      <c r="I133" s="320">
        <f>IFERROR(__xludf.DUMMYFUNCTION("""COMPUTED_VALUE"""),240.32)</f>
        <v>240.32</v>
      </c>
      <c r="J133" s="320">
        <f>IFERROR(__xludf.DUMMYFUNCTION("""COMPUTED_VALUE"""),143.54)</f>
        <v>143.54</v>
      </c>
      <c r="K133" s="320">
        <f>IFERROR(__xludf.DUMMYFUNCTION("""COMPUTED_VALUE"""),123.43)</f>
        <v>123.43</v>
      </c>
      <c r="L133" s="320">
        <f>IFERROR(__xludf.DUMMYFUNCTION("""COMPUTED_VALUE"""),0.8598)</f>
        <v>0.8598</v>
      </c>
      <c r="M133" s="320">
        <f>IFERROR(__xludf.DUMMYFUNCTION("""COMPUTED_VALUE"""),0.2839)</f>
        <v>0.2839</v>
      </c>
      <c r="N133" s="320">
        <f>IFERROR(__xludf.DUMMYFUNCTION("""COMPUTED_VALUE"""),0.2047)</f>
        <v>0.2047</v>
      </c>
      <c r="O133" s="320">
        <f>IFERROR(__xludf.DUMMYFUNCTION("""COMPUTED_VALUE"""),1.163)</f>
        <v>1.163</v>
      </c>
      <c r="P133" s="320">
        <f>IFERROR(__xludf.DUMMYFUNCTION("""COMPUTED_VALUE"""),497.48)</f>
        <v>497.48</v>
      </c>
      <c r="Q133" s="320">
        <f>IFERROR(__xludf.DUMMYFUNCTION("""COMPUTED_VALUE"""),236.47)</f>
        <v>236.47</v>
      </c>
      <c r="R133" s="320">
        <f>IFERROR(__xludf.DUMMYFUNCTION("""COMPUTED_VALUE"""),261.01)</f>
        <v>261.01</v>
      </c>
      <c r="S133" s="320">
        <f>IFERROR(__xludf.DUMMYFUNCTION("""COMPUTED_VALUE"""),0.0)</f>
        <v>0</v>
      </c>
      <c r="T133" s="320">
        <f>IFERROR(__xludf.DUMMYFUNCTION("""COMPUTED_VALUE"""),497.48)</f>
        <v>497.48</v>
      </c>
      <c r="U133" s="320">
        <f>IFERROR(__xludf.DUMMYFUNCTION("""COMPUTED_VALUE"""),623.74)</f>
        <v>623.74</v>
      </c>
      <c r="V133" s="320">
        <f>IFERROR(__xludf.DUMMYFUNCTION("""COMPUTED_VALUE"""),4.3453)</f>
        <v>4.3453</v>
      </c>
      <c r="W133" s="320">
        <f>IFERROR(__xludf.DUMMYFUNCTION("""COMPUTED_VALUE"""),0.0)</f>
        <v>0</v>
      </c>
      <c r="X133" s="320">
        <f>IFERROR(__xludf.DUMMYFUNCTION("""COMPUTED_VALUE"""),865.0)</f>
        <v>865</v>
      </c>
      <c r="Y133" s="320">
        <f>IFERROR(__xludf.DUMMYFUNCTION("""COMPUTED_VALUE"""),3858.0)</f>
        <v>3858</v>
      </c>
      <c r="Z133" s="320">
        <f>IFERROR(__xludf.DUMMYFUNCTION("""COMPUTED_VALUE"""),11307.0)</f>
        <v>11307</v>
      </c>
      <c r="AA133" s="320">
        <f>IFERROR(__xludf.DUMMYFUNCTION("""COMPUTED_VALUE"""),63.9912)</f>
        <v>63.9912</v>
      </c>
      <c r="AB133" s="320">
        <f>IFERROR(__xludf.DUMMYFUNCTION("""COMPUTED_VALUE"""),0.9041)</f>
        <v>0.9041</v>
      </c>
      <c r="AC133" s="320">
        <f>IFERROR(__xludf.DUMMYFUNCTION("""COMPUTED_VALUE"""),86.67)</f>
        <v>86.67</v>
      </c>
      <c r="AD133" s="320">
        <f>IFERROR(__xludf.DUMMYFUNCTION("""COMPUTED_VALUE"""),34.0)</f>
        <v>34</v>
      </c>
      <c r="AE133" s="320">
        <f>IFERROR(__xludf.DUMMYFUNCTION("""COMPUTED_VALUE"""),74.0)</f>
        <v>74</v>
      </c>
      <c r="AF133" s="320">
        <f>IFERROR(__xludf.DUMMYFUNCTION("""COMPUTED_VALUE"""),123.0)</f>
        <v>123</v>
      </c>
      <c r="AG133" s="320">
        <f>IFERROR(__xludf.DUMMYFUNCTION("""COMPUTED_VALUE"""),169.0)</f>
        <v>169</v>
      </c>
      <c r="AH133" s="320">
        <f>IFERROR(__xludf.DUMMYFUNCTION("""COMPUTED_VALUE"""),47.14)</f>
        <v>47.14</v>
      </c>
      <c r="AI133" s="320">
        <f>IFERROR(__xludf.DUMMYFUNCTION("""COMPUTED_VALUE"""),8.08)</f>
        <v>8.08</v>
      </c>
      <c r="AJ133" s="320">
        <f>IFERROR(__xludf.DUMMYFUNCTION("""COMPUTED_VALUE"""),0.84)</f>
        <v>0.84</v>
      </c>
      <c r="AK133" s="320">
        <f>IFERROR(__xludf.DUMMYFUNCTION("""COMPUTED_VALUE"""),0.0909)</f>
        <v>0.0909</v>
      </c>
      <c r="AL133" s="320">
        <f>IFERROR(__xludf.DUMMYFUNCTION("""COMPUTED_VALUE"""),22.1)</f>
        <v>22.1</v>
      </c>
      <c r="AM133" s="320">
        <f>IFERROR(__xludf.DUMMYFUNCTION("""COMPUTED_VALUE"""),214.36)</f>
        <v>214.36</v>
      </c>
      <c r="AN133" s="320">
        <f>IFERROR(__xludf.DUMMYFUNCTION("""COMPUTED_VALUE"""),84.32)</f>
        <v>84.32</v>
      </c>
      <c r="AO133" s="320">
        <f>IFERROR(__xludf.DUMMYFUNCTION("""COMPUTED_VALUE"""),18.63)</f>
        <v>18.63</v>
      </c>
    </row>
    <row r="134" ht="15.75" customHeight="1">
      <c r="A134" s="330">
        <f>IFERROR(__xludf.DUMMYFUNCTION("""COMPUTED_VALUE"""),46072.0)</f>
        <v>46072</v>
      </c>
      <c r="B134" s="319" t="str">
        <f>IFERROR(__xludf.DUMMYFUNCTION("""COMPUTED_VALUE"""),"A. 0")</f>
        <v>A. 0</v>
      </c>
      <c r="C134" s="320">
        <f>IFERROR(__xludf.DUMMYFUNCTION("""COMPUTED_VALUE"""),22393.0)</f>
        <v>22393</v>
      </c>
      <c r="D134" s="320">
        <f>IFERROR(__xludf.DUMMYFUNCTION("""COMPUTED_VALUE"""),20.73)</f>
        <v>20.73</v>
      </c>
      <c r="E134" s="320">
        <f>IFERROR(__xludf.DUMMYFUNCTION("""COMPUTED_VALUE"""),0.0)</f>
        <v>0</v>
      </c>
      <c r="F134" s="320">
        <f>IFERROR(__xludf.DUMMYFUNCTION("""COMPUTED_VALUE"""),0.0)</f>
        <v>0</v>
      </c>
      <c r="G134" s="320">
        <f>IFERROR(__xludf.DUMMYFUNCTION("""COMPUTED_VALUE"""),0.0)</f>
        <v>0</v>
      </c>
      <c r="H134" s="106"/>
      <c r="I134" s="320">
        <f>IFERROR(__xludf.DUMMYFUNCTION("""COMPUTED_VALUE"""),6.59)</f>
        <v>6.59</v>
      </c>
      <c r="J134" s="320">
        <f>IFERROR(__xludf.DUMMYFUNCTION("""COMPUTED_VALUE"""),2.69)</f>
        <v>2.69</v>
      </c>
      <c r="K134" s="320">
        <f>IFERROR(__xludf.DUMMYFUNCTION("""COMPUTED_VALUE"""),0.04)</f>
        <v>0.04</v>
      </c>
      <c r="L134" s="320">
        <f>IFERROR(__xludf.DUMMYFUNCTION("""COMPUTED_VALUE"""),0.0164)</f>
        <v>0.0164</v>
      </c>
      <c r="M134" s="320">
        <f>IFERROR(__xludf.DUMMYFUNCTION("""COMPUTED_VALUE"""),0.9887)</f>
        <v>0.9887</v>
      </c>
      <c r="N134" s="320">
        <f>IFERROR(__xludf.DUMMYFUNCTION("""COMPUTED_VALUE"""),0.8541)</f>
        <v>0.8541</v>
      </c>
      <c r="O134" s="320">
        <f>IFERROR(__xludf.DUMMYFUNCTION("""COMPUTED_VALUE"""),60.9465)</f>
        <v>60.9465</v>
      </c>
      <c r="P134" s="320">
        <f>IFERROR(__xludf.DUMMYFUNCTION("""COMPUTED_VALUE"""),21.27)</f>
        <v>21.27</v>
      </c>
      <c r="Q134" s="320">
        <f>IFERROR(__xludf.DUMMYFUNCTION("""COMPUTED_VALUE"""),21.13)</f>
        <v>21.13</v>
      </c>
      <c r="R134" s="320">
        <f>IFERROR(__xludf.DUMMYFUNCTION("""COMPUTED_VALUE"""),0.14)</f>
        <v>0.14</v>
      </c>
      <c r="S134" s="320">
        <f>IFERROR(__xludf.DUMMYFUNCTION("""COMPUTED_VALUE"""),0.0)</f>
        <v>0</v>
      </c>
      <c r="T134" s="320">
        <f>IFERROR(__xludf.DUMMYFUNCTION("""COMPUTED_VALUE"""),21.27)</f>
        <v>21.27</v>
      </c>
      <c r="U134" s="320">
        <f>IFERROR(__xludf.DUMMYFUNCTION("""COMPUTED_VALUE"""),2.27)</f>
        <v>2.27</v>
      </c>
      <c r="V134" s="320">
        <f>IFERROR(__xludf.DUMMYFUNCTION("""COMPUTED_VALUE"""),0.8411)</f>
        <v>0.8411</v>
      </c>
      <c r="W134" s="320">
        <f>IFERROR(__xludf.DUMMYFUNCTION("""COMPUTED_VALUE"""),0.0)</f>
        <v>0</v>
      </c>
      <c r="X134" s="320">
        <f>IFERROR(__xludf.DUMMYFUNCTION("""COMPUTED_VALUE"""),277.0)</f>
        <v>277</v>
      </c>
      <c r="Y134" s="320">
        <f>IFERROR(__xludf.DUMMYFUNCTION("""COMPUTED_VALUE"""),3091.0)</f>
        <v>3091</v>
      </c>
      <c r="Z134" s="320">
        <f>IFERROR(__xludf.DUMMYFUNCTION("""COMPUTED_VALUE"""),13287.0)</f>
        <v>13287</v>
      </c>
      <c r="AA134" s="320">
        <f>IFERROR(__xludf.DUMMYFUNCTION("""COMPUTED_VALUE"""),48.8661)</f>
        <v>48.8661</v>
      </c>
      <c r="AB134" s="320">
        <f>IFERROR(__xludf.DUMMYFUNCTION("""COMPUTED_VALUE"""),0.5416)</f>
        <v>0.5416</v>
      </c>
      <c r="AC134" s="106"/>
      <c r="AD134" s="106"/>
      <c r="AE134" s="106"/>
      <c r="AF134" s="106"/>
      <c r="AG134" s="106"/>
      <c r="AH134" s="320">
        <f>IFERROR(__xludf.DUMMYFUNCTION("""COMPUTED_VALUE"""),0.0)</f>
        <v>0</v>
      </c>
      <c r="AI134" s="320">
        <f>IFERROR(__xludf.DUMMYFUNCTION("""COMPUTED_VALUE"""),0.0)</f>
        <v>0</v>
      </c>
      <c r="AJ134" s="320">
        <f>IFERROR(__xludf.DUMMYFUNCTION("""COMPUTED_VALUE"""),0.0)</f>
        <v>0</v>
      </c>
      <c r="AK134" s="320">
        <f>IFERROR(__xludf.DUMMYFUNCTION("""COMPUTED_VALUE"""),0.2913)</f>
        <v>0.2913</v>
      </c>
      <c r="AL134" s="320">
        <f>IFERROR(__xludf.DUMMYFUNCTION("""COMPUTED_VALUE"""),16.06)</f>
        <v>16.06</v>
      </c>
      <c r="AM134" s="320">
        <f>IFERROR(__xludf.DUMMYFUNCTION("""COMPUTED_VALUE"""),5.07)</f>
        <v>5.07</v>
      </c>
      <c r="AN134" s="331"/>
      <c r="AO134" s="331"/>
    </row>
    <row r="135" ht="15.75" customHeight="1">
      <c r="A135" s="330">
        <f>IFERROR(__xludf.DUMMYFUNCTION("""COMPUTED_VALUE"""),46072.0)</f>
        <v>46072</v>
      </c>
      <c r="B135" s="319" t="str">
        <f>IFERROR(__xludf.DUMMYFUNCTION("""COMPUTED_VALUE"""),"B. 1-9")</f>
        <v>B. 1-9</v>
      </c>
      <c r="C135" s="320">
        <f>IFERROR(__xludf.DUMMYFUNCTION("""COMPUTED_VALUE"""),38704.0)</f>
        <v>38704</v>
      </c>
      <c r="D135" s="320">
        <f>IFERROR(__xludf.DUMMYFUNCTION("""COMPUTED_VALUE"""),35.83)</f>
        <v>35.83</v>
      </c>
      <c r="E135" s="320">
        <f>IFERROR(__xludf.DUMMYFUNCTION("""COMPUTED_VALUE"""),0.0)</f>
        <v>0</v>
      </c>
      <c r="F135" s="320">
        <f>IFERROR(__xludf.DUMMYFUNCTION("""COMPUTED_VALUE"""),0.0)</f>
        <v>0</v>
      </c>
      <c r="G135" s="320">
        <f>IFERROR(__xludf.DUMMYFUNCTION("""COMPUTED_VALUE"""),0.0)</f>
        <v>0</v>
      </c>
      <c r="H135" s="106"/>
      <c r="I135" s="320">
        <f>IFERROR(__xludf.DUMMYFUNCTION("""COMPUTED_VALUE"""),28.37)</f>
        <v>28.37</v>
      </c>
      <c r="J135" s="320">
        <f>IFERROR(__xludf.DUMMYFUNCTION("""COMPUTED_VALUE"""),12.84)</f>
        <v>12.84</v>
      </c>
      <c r="K135" s="320">
        <f>IFERROR(__xludf.DUMMYFUNCTION("""COMPUTED_VALUE"""),5.35)</f>
        <v>5.35</v>
      </c>
      <c r="L135" s="320">
        <f>IFERROR(__xludf.DUMMYFUNCTION("""COMPUTED_VALUE"""),0.4168)</f>
        <v>0.4168</v>
      </c>
      <c r="M135" s="320">
        <f>IFERROR(__xludf.DUMMYFUNCTION("""COMPUTED_VALUE"""),0.7574)</f>
        <v>0.7574</v>
      </c>
      <c r="N135" s="320">
        <f>IFERROR(__xludf.DUMMYFUNCTION("""COMPUTED_VALUE"""),0.5634)</f>
        <v>0.5634</v>
      </c>
      <c r="O135" s="320">
        <f>IFERROR(__xludf.DUMMYFUNCTION("""COMPUTED_VALUE"""),2.3991)</f>
        <v>2.3991</v>
      </c>
      <c r="P135" s="320">
        <f>IFERROR(__xludf.DUMMYFUNCTION("""COMPUTED_VALUE"""),45.74)</f>
        <v>45.74</v>
      </c>
      <c r="Q135" s="320">
        <f>IFERROR(__xludf.DUMMYFUNCTION("""COMPUTED_VALUE"""),34.48)</f>
        <v>34.48</v>
      </c>
      <c r="R135" s="320">
        <f>IFERROR(__xludf.DUMMYFUNCTION("""COMPUTED_VALUE"""),11.26)</f>
        <v>11.26</v>
      </c>
      <c r="S135" s="320">
        <f>IFERROR(__xludf.DUMMYFUNCTION("""COMPUTED_VALUE"""),0.0)</f>
        <v>0</v>
      </c>
      <c r="T135" s="320">
        <f>IFERROR(__xludf.DUMMYFUNCTION("""COMPUTED_VALUE"""),45.74)</f>
        <v>45.74</v>
      </c>
      <c r="U135" s="320">
        <f>IFERROR(__xludf.DUMMYFUNCTION("""COMPUTED_VALUE"""),50.44)</f>
        <v>50.44</v>
      </c>
      <c r="V135" s="320">
        <f>IFERROR(__xludf.DUMMYFUNCTION("""COMPUTED_VALUE"""),3.928)</f>
        <v>3.928</v>
      </c>
      <c r="W135" s="320">
        <f>IFERROR(__xludf.DUMMYFUNCTION("""COMPUTED_VALUE"""),0.0)</f>
        <v>0</v>
      </c>
      <c r="X135" s="320">
        <f>IFERROR(__xludf.DUMMYFUNCTION("""COMPUTED_VALUE"""),135.0)</f>
        <v>135</v>
      </c>
      <c r="Y135" s="320">
        <f>IFERROR(__xludf.DUMMYFUNCTION("""COMPUTED_VALUE"""),888.0)</f>
        <v>888</v>
      </c>
      <c r="Z135" s="320">
        <f>IFERROR(__xludf.DUMMYFUNCTION("""COMPUTED_VALUE"""),5891.0)</f>
        <v>5891</v>
      </c>
      <c r="AA135" s="320">
        <f>IFERROR(__xludf.DUMMYFUNCTION("""COMPUTED_VALUE"""),48.5633)</f>
        <v>48.5633</v>
      </c>
      <c r="AB135" s="320">
        <f>IFERROR(__xludf.DUMMYFUNCTION("""COMPUTED_VALUE"""),0.5356)</f>
        <v>0.5356</v>
      </c>
      <c r="AC135" s="320">
        <f>IFERROR(__xludf.DUMMYFUNCTION("""COMPUTED_VALUE"""),3.88)</f>
        <v>3.88</v>
      </c>
      <c r="AD135" s="320">
        <f>IFERROR(__xludf.DUMMYFUNCTION("""COMPUTED_VALUE"""),1.0)</f>
        <v>1</v>
      </c>
      <c r="AE135" s="320">
        <f>IFERROR(__xludf.DUMMYFUNCTION("""COMPUTED_VALUE"""),3.0)</f>
        <v>3</v>
      </c>
      <c r="AF135" s="320">
        <f>IFERROR(__xludf.DUMMYFUNCTION("""COMPUTED_VALUE"""),5.0)</f>
        <v>5</v>
      </c>
      <c r="AG135" s="320">
        <f>IFERROR(__xludf.DUMMYFUNCTION("""COMPUTED_VALUE"""),9.0)</f>
        <v>9</v>
      </c>
      <c r="AH135" s="320">
        <f>IFERROR(__xludf.DUMMYFUNCTION("""COMPUTED_VALUE"""),70.8)</f>
        <v>70.8</v>
      </c>
      <c r="AI135" s="320">
        <f>IFERROR(__xludf.DUMMYFUNCTION("""COMPUTED_VALUE"""),29.41)</f>
        <v>29.41</v>
      </c>
      <c r="AJ135" s="320">
        <f>IFERROR(__xludf.DUMMYFUNCTION("""COMPUTED_VALUE"""),8.11)</f>
        <v>8.11</v>
      </c>
      <c r="AK135" s="320">
        <f>IFERROR(__xludf.DUMMYFUNCTION("""COMPUTED_VALUE"""),0.2572)</f>
        <v>0.2572</v>
      </c>
      <c r="AL135" s="320">
        <f>IFERROR(__xludf.DUMMYFUNCTION("""COMPUTED_VALUE"""),19.16)</f>
        <v>19.16</v>
      </c>
      <c r="AM135" s="320">
        <f>IFERROR(__xludf.DUMMYFUNCTION("""COMPUTED_VALUE"""),15.31)</f>
        <v>15.31</v>
      </c>
      <c r="AN135" s="320">
        <f>IFERROR(__xludf.DUMMYFUNCTION("""COMPUTED_VALUE"""),65.09)</f>
        <v>65.09</v>
      </c>
      <c r="AO135" s="320">
        <f>IFERROR(__xludf.DUMMYFUNCTION("""COMPUTED_VALUE"""),12.47)</f>
        <v>12.47</v>
      </c>
    </row>
    <row r="136" ht="15.75" customHeight="1">
      <c r="A136" s="330">
        <f>IFERROR(__xludf.DUMMYFUNCTION("""COMPUTED_VALUE"""),46072.0)</f>
        <v>46072</v>
      </c>
      <c r="B136" s="319" t="str">
        <f>IFERROR(__xludf.DUMMYFUNCTION("""COMPUTED_VALUE"""),"C. 10-19")</f>
        <v>C. 10-19</v>
      </c>
      <c r="C136" s="320">
        <f>IFERROR(__xludf.DUMMYFUNCTION("""COMPUTED_VALUE"""),26261.0)</f>
        <v>26261</v>
      </c>
      <c r="D136" s="320">
        <f>IFERROR(__xludf.DUMMYFUNCTION("""COMPUTED_VALUE"""),24.31)</f>
        <v>24.31</v>
      </c>
      <c r="E136" s="320">
        <f>IFERROR(__xludf.DUMMYFUNCTION("""COMPUTED_VALUE"""),0.0)</f>
        <v>0</v>
      </c>
      <c r="F136" s="320">
        <f>IFERROR(__xludf.DUMMYFUNCTION("""COMPUTED_VALUE"""),0.0)</f>
        <v>0</v>
      </c>
      <c r="G136" s="320">
        <f>IFERROR(__xludf.DUMMYFUNCTION("""COMPUTED_VALUE"""),0.0)</f>
        <v>0</v>
      </c>
      <c r="H136" s="106"/>
      <c r="I136" s="320">
        <f>IFERROR(__xludf.DUMMYFUNCTION("""COMPUTED_VALUE"""),52.37)</f>
        <v>52.37</v>
      </c>
      <c r="J136" s="320">
        <f>IFERROR(__xludf.DUMMYFUNCTION("""COMPUTED_VALUE"""),24.67)</f>
        <v>24.67</v>
      </c>
      <c r="K136" s="320">
        <f>IFERROR(__xludf.DUMMYFUNCTION("""COMPUTED_VALUE"""),13.22)</f>
        <v>13.22</v>
      </c>
      <c r="L136" s="320">
        <f>IFERROR(__xludf.DUMMYFUNCTION("""COMPUTED_VALUE"""),0.5357)</f>
        <v>0.5357</v>
      </c>
      <c r="M136" s="320">
        <f>IFERROR(__xludf.DUMMYFUNCTION("""COMPUTED_VALUE"""),0.6564)</f>
        <v>0.6564</v>
      </c>
      <c r="N136" s="320">
        <f>IFERROR(__xludf.DUMMYFUNCTION("""COMPUTED_VALUE"""),0.4563)</f>
        <v>0.4563</v>
      </c>
      <c r="O136" s="320">
        <f>IFERROR(__xludf.DUMMYFUNCTION("""COMPUTED_VALUE"""),1.8666)</f>
        <v>1.8666</v>
      </c>
      <c r="P136" s="320">
        <f>IFERROR(__xludf.DUMMYFUNCTION("""COMPUTED_VALUE"""),90.07)</f>
        <v>90.07</v>
      </c>
      <c r="Q136" s="320">
        <f>IFERROR(__xludf.DUMMYFUNCTION("""COMPUTED_VALUE"""),62.8)</f>
        <v>62.8</v>
      </c>
      <c r="R136" s="320">
        <f>IFERROR(__xludf.DUMMYFUNCTION("""COMPUTED_VALUE"""),27.27)</f>
        <v>27.27</v>
      </c>
      <c r="S136" s="320">
        <f>IFERROR(__xludf.DUMMYFUNCTION("""COMPUTED_VALUE"""),0.6)</f>
        <v>0.6</v>
      </c>
      <c r="T136" s="320">
        <f>IFERROR(__xludf.DUMMYFUNCTION("""COMPUTED_VALUE"""),89.46)</f>
        <v>89.46</v>
      </c>
      <c r="U136" s="320">
        <f>IFERROR(__xludf.DUMMYFUNCTION("""COMPUTED_VALUE"""),96.14)</f>
        <v>96.14</v>
      </c>
      <c r="V136" s="320">
        <f>IFERROR(__xludf.DUMMYFUNCTION("""COMPUTED_VALUE"""),3.8964)</f>
        <v>3.8964</v>
      </c>
      <c r="W136" s="320">
        <f>IFERROR(__xludf.DUMMYFUNCTION("""COMPUTED_VALUE"""),0.67)</f>
        <v>0.67</v>
      </c>
      <c r="X136" s="320">
        <f>IFERROR(__xludf.DUMMYFUNCTION("""COMPUTED_VALUE"""),121.0)</f>
        <v>121</v>
      </c>
      <c r="Y136" s="320">
        <f>IFERROR(__xludf.DUMMYFUNCTION("""COMPUTED_VALUE"""),789.0)</f>
        <v>789</v>
      </c>
      <c r="Z136" s="320">
        <f>IFERROR(__xludf.DUMMYFUNCTION("""COMPUTED_VALUE"""),5760.0)</f>
        <v>5760</v>
      </c>
      <c r="AA136" s="320">
        <f>IFERROR(__xludf.DUMMYFUNCTION("""COMPUTED_VALUE"""),52.1758)</f>
        <v>52.1758</v>
      </c>
      <c r="AB136" s="320">
        <f>IFERROR(__xludf.DUMMYFUNCTION("""COMPUTED_VALUE"""),0.6342)</f>
        <v>0.6342</v>
      </c>
      <c r="AC136" s="320">
        <f>IFERROR(__xludf.DUMMYFUNCTION("""COMPUTED_VALUE"""),8.84)</f>
        <v>8.84</v>
      </c>
      <c r="AD136" s="320">
        <f>IFERROR(__xludf.DUMMYFUNCTION("""COMPUTED_VALUE"""),3.0)</f>
        <v>3</v>
      </c>
      <c r="AE136" s="320">
        <f>IFERROR(__xludf.DUMMYFUNCTION("""COMPUTED_VALUE"""),7.0)</f>
        <v>7</v>
      </c>
      <c r="AF136" s="320">
        <f>IFERROR(__xludf.DUMMYFUNCTION("""COMPUTED_VALUE"""),12.0)</f>
        <v>12</v>
      </c>
      <c r="AG136" s="320">
        <f>IFERROR(__xludf.DUMMYFUNCTION("""COMPUTED_VALUE"""),19.0)</f>
        <v>19</v>
      </c>
      <c r="AH136" s="320">
        <f>IFERROR(__xludf.DUMMYFUNCTION("""COMPUTED_VALUE"""),57.39)</f>
        <v>57.39</v>
      </c>
      <c r="AI136" s="320">
        <f>IFERROR(__xludf.DUMMYFUNCTION("""COMPUTED_VALUE"""),23.9)</f>
        <v>23.9</v>
      </c>
      <c r="AJ136" s="320">
        <f>IFERROR(__xludf.DUMMYFUNCTION("""COMPUTED_VALUE"""),4.05)</f>
        <v>4.05</v>
      </c>
      <c r="AK136" s="320">
        <f>IFERROR(__xludf.DUMMYFUNCTION("""COMPUTED_VALUE"""),0.2012)</f>
        <v>0.2012</v>
      </c>
      <c r="AL136" s="320">
        <f>IFERROR(__xludf.DUMMYFUNCTION("""COMPUTED_VALUE"""),19.97)</f>
        <v>19.97</v>
      </c>
      <c r="AM136" s="320">
        <f>IFERROR(__xludf.DUMMYFUNCTION("""COMPUTED_VALUE"""),42.82)</f>
        <v>42.82</v>
      </c>
      <c r="AN136" s="320">
        <f>IFERROR(__xludf.DUMMYFUNCTION("""COMPUTED_VALUE"""),74.06)</f>
        <v>74.06</v>
      </c>
      <c r="AO136" s="320">
        <f>IFERROR(__xludf.DUMMYFUNCTION("""COMPUTED_VALUE"""),14.79)</f>
        <v>14.79</v>
      </c>
    </row>
    <row r="137" ht="15.75" customHeight="1">
      <c r="A137" s="330">
        <f>IFERROR(__xludf.DUMMYFUNCTION("""COMPUTED_VALUE"""),46072.0)</f>
        <v>46072</v>
      </c>
      <c r="B137" s="319" t="str">
        <f>IFERROR(__xludf.DUMMYFUNCTION("""COMPUTED_VALUE"""),"D. 20-39")</f>
        <v>D. 20-39</v>
      </c>
      <c r="C137" s="320">
        <f>IFERROR(__xludf.DUMMYFUNCTION("""COMPUTED_VALUE"""),14566.0)</f>
        <v>14566</v>
      </c>
      <c r="D137" s="320">
        <f>IFERROR(__xludf.DUMMYFUNCTION("""COMPUTED_VALUE"""),13.49)</f>
        <v>13.49</v>
      </c>
      <c r="E137" s="320">
        <f>IFERROR(__xludf.DUMMYFUNCTION("""COMPUTED_VALUE"""),0.0)</f>
        <v>0</v>
      </c>
      <c r="F137" s="320">
        <f>IFERROR(__xludf.DUMMYFUNCTION("""COMPUTED_VALUE"""),0.0)</f>
        <v>0</v>
      </c>
      <c r="G137" s="320">
        <f>IFERROR(__xludf.DUMMYFUNCTION("""COMPUTED_VALUE"""),0.0)</f>
        <v>0</v>
      </c>
      <c r="H137" s="106"/>
      <c r="I137" s="320">
        <f>IFERROR(__xludf.DUMMYFUNCTION("""COMPUTED_VALUE"""),74.99)</f>
        <v>74.99</v>
      </c>
      <c r="J137" s="320">
        <f>IFERROR(__xludf.DUMMYFUNCTION("""COMPUTED_VALUE"""),37.49)</f>
        <v>37.49</v>
      </c>
      <c r="K137" s="320">
        <f>IFERROR(__xludf.DUMMYFUNCTION("""COMPUTED_VALUE"""),24.15)</f>
        <v>24.15</v>
      </c>
      <c r="L137" s="320">
        <f>IFERROR(__xludf.DUMMYFUNCTION("""COMPUTED_VALUE"""),0.6442)</f>
        <v>0.6442</v>
      </c>
      <c r="M137" s="320">
        <f>IFERROR(__xludf.DUMMYFUNCTION("""COMPUTED_VALUE"""),0.5478)</f>
        <v>0.5478</v>
      </c>
      <c r="N137" s="320">
        <f>IFERROR(__xludf.DUMMYFUNCTION("""COMPUTED_VALUE"""),0.3764)</f>
        <v>0.3764</v>
      </c>
      <c r="O137" s="320">
        <f>IFERROR(__xludf.DUMMYFUNCTION("""COMPUTED_VALUE"""),1.5522)</f>
        <v>1.5522</v>
      </c>
      <c r="P137" s="320">
        <f>IFERROR(__xludf.DUMMYFUNCTION("""COMPUTED_VALUE"""),152.02)</f>
        <v>152.02</v>
      </c>
      <c r="Q137" s="320">
        <f>IFERROR(__xludf.DUMMYFUNCTION("""COMPUTED_VALUE"""),101.16)</f>
        <v>101.16</v>
      </c>
      <c r="R137" s="320">
        <f>IFERROR(__xludf.DUMMYFUNCTION("""COMPUTED_VALUE"""),50.86)</f>
        <v>50.86</v>
      </c>
      <c r="S137" s="320">
        <f>IFERROR(__xludf.DUMMYFUNCTION("""COMPUTED_VALUE"""),0.82)</f>
        <v>0.82</v>
      </c>
      <c r="T137" s="320">
        <f>IFERROR(__xludf.DUMMYFUNCTION("""COMPUTED_VALUE"""),151.2)</f>
        <v>151.2</v>
      </c>
      <c r="U137" s="320">
        <f>IFERROR(__xludf.DUMMYFUNCTION("""COMPUTED_VALUE"""),160.31)</f>
        <v>160.31</v>
      </c>
      <c r="V137" s="320">
        <f>IFERROR(__xludf.DUMMYFUNCTION("""COMPUTED_VALUE"""),4.2758)</f>
        <v>4.2758</v>
      </c>
      <c r="W137" s="320">
        <f>IFERROR(__xludf.DUMMYFUNCTION("""COMPUTED_VALUE"""),0.54)</f>
        <v>0.54</v>
      </c>
      <c r="X137" s="320">
        <f>IFERROR(__xludf.DUMMYFUNCTION("""COMPUTED_VALUE"""),142.0)</f>
        <v>142</v>
      </c>
      <c r="Y137" s="320">
        <f>IFERROR(__xludf.DUMMYFUNCTION("""COMPUTED_VALUE"""),995.0)</f>
        <v>995</v>
      </c>
      <c r="Z137" s="320">
        <f>IFERROR(__xludf.DUMMYFUNCTION("""COMPUTED_VALUE"""),6363.0)</f>
        <v>6363</v>
      </c>
      <c r="AA137" s="320">
        <f>IFERROR(__xludf.DUMMYFUNCTION("""COMPUTED_VALUE"""),55.3407)</f>
        <v>55.3407</v>
      </c>
      <c r="AB137" s="320">
        <f>IFERROR(__xludf.DUMMYFUNCTION("""COMPUTED_VALUE"""),0.7365)</f>
        <v>0.7365</v>
      </c>
      <c r="AC137" s="320">
        <f>IFERROR(__xludf.DUMMYFUNCTION("""COMPUTED_VALUE"""),16.25)</f>
        <v>16.25</v>
      </c>
      <c r="AD137" s="320">
        <f>IFERROR(__xludf.DUMMYFUNCTION("""COMPUTED_VALUE"""),6.0)</f>
        <v>6</v>
      </c>
      <c r="AE137" s="320">
        <f>IFERROR(__xludf.DUMMYFUNCTION("""COMPUTED_VALUE"""),12.0)</f>
        <v>12</v>
      </c>
      <c r="AF137" s="320">
        <f>IFERROR(__xludf.DUMMYFUNCTION("""COMPUTED_VALUE"""),23.0)</f>
        <v>23</v>
      </c>
      <c r="AG137" s="320">
        <f>IFERROR(__xludf.DUMMYFUNCTION("""COMPUTED_VALUE"""),34.0)</f>
        <v>34</v>
      </c>
      <c r="AH137" s="320">
        <f>IFERROR(__xludf.DUMMYFUNCTION("""COMPUTED_VALUE"""),55.76)</f>
        <v>55.76</v>
      </c>
      <c r="AI137" s="320">
        <f>IFERROR(__xludf.DUMMYFUNCTION("""COMPUTED_VALUE"""),20.39)</f>
        <v>20.39</v>
      </c>
      <c r="AJ137" s="320">
        <f>IFERROR(__xludf.DUMMYFUNCTION("""COMPUTED_VALUE"""),5.28)</f>
        <v>5.28</v>
      </c>
      <c r="AK137" s="320">
        <f>IFERROR(__xludf.DUMMYFUNCTION("""COMPUTED_VALUE"""),0.1812)</f>
        <v>0.1812</v>
      </c>
      <c r="AL137" s="320">
        <f>IFERROR(__xludf.DUMMYFUNCTION("""COMPUTED_VALUE"""),20.24)</f>
        <v>20.24</v>
      </c>
      <c r="AM137" s="320">
        <f>IFERROR(__xludf.DUMMYFUNCTION("""COMPUTED_VALUE"""),80.92)</f>
        <v>80.92</v>
      </c>
      <c r="AN137" s="320">
        <f>IFERROR(__xludf.DUMMYFUNCTION("""COMPUTED_VALUE"""),78.24)</f>
        <v>78.24</v>
      </c>
      <c r="AO137" s="320">
        <f>IFERROR(__xludf.DUMMYFUNCTION("""COMPUTED_VALUE"""),15.84)</f>
        <v>15.84</v>
      </c>
    </row>
    <row r="138" ht="15.75" customHeight="1">
      <c r="A138" s="330">
        <f>IFERROR(__xludf.DUMMYFUNCTION("""COMPUTED_VALUE"""),46072.0)</f>
        <v>46072</v>
      </c>
      <c r="B138" s="319" t="str">
        <f>IFERROR(__xludf.DUMMYFUNCTION("""COMPUTED_VALUE"""),"E. 40-99")</f>
        <v>E. 40-99</v>
      </c>
      <c r="C138" s="320">
        <f>IFERROR(__xludf.DUMMYFUNCTION("""COMPUTED_VALUE"""),5480.0)</f>
        <v>5480</v>
      </c>
      <c r="D138" s="320">
        <f>IFERROR(__xludf.DUMMYFUNCTION("""COMPUTED_VALUE"""),5.07)</f>
        <v>5.07</v>
      </c>
      <c r="E138" s="320">
        <f>IFERROR(__xludf.DUMMYFUNCTION("""COMPUTED_VALUE"""),0.0)</f>
        <v>0</v>
      </c>
      <c r="F138" s="320">
        <f>IFERROR(__xludf.DUMMYFUNCTION("""COMPUTED_VALUE"""),0.0)</f>
        <v>0</v>
      </c>
      <c r="G138" s="320">
        <f>IFERROR(__xludf.DUMMYFUNCTION("""COMPUTED_VALUE"""),0.0)</f>
        <v>0</v>
      </c>
      <c r="H138" s="106"/>
      <c r="I138" s="320">
        <f>IFERROR(__xludf.DUMMYFUNCTION("""COMPUTED_VALUE"""),123.8)</f>
        <v>123.8</v>
      </c>
      <c r="J138" s="320">
        <f>IFERROR(__xludf.DUMMYFUNCTION("""COMPUTED_VALUE"""),66.96)</f>
        <v>66.96</v>
      </c>
      <c r="K138" s="320">
        <f>IFERROR(__xludf.DUMMYFUNCTION("""COMPUTED_VALUE"""),53.14)</f>
        <v>53.14</v>
      </c>
      <c r="L138" s="320">
        <f>IFERROR(__xludf.DUMMYFUNCTION("""COMPUTED_VALUE"""),0.7937)</f>
        <v>0.7937</v>
      </c>
      <c r="M138" s="320">
        <f>IFERROR(__xludf.DUMMYFUNCTION("""COMPUTED_VALUE"""),0.3924)</f>
        <v>0.3924</v>
      </c>
      <c r="N138" s="320">
        <f>IFERROR(__xludf.DUMMYFUNCTION("""COMPUTED_VALUE"""),0.2839)</f>
        <v>0.2839</v>
      </c>
      <c r="O138" s="320">
        <f>IFERROR(__xludf.DUMMYFUNCTION("""COMPUTED_VALUE"""),1.2599)</f>
        <v>1.2599</v>
      </c>
      <c r="P138" s="320">
        <f>IFERROR(__xludf.DUMMYFUNCTION("""COMPUTED_VALUE"""),311.21)</f>
        <v>311.21</v>
      </c>
      <c r="Q138" s="320">
        <f>IFERROR(__xludf.DUMMYFUNCTION("""COMPUTED_VALUE"""),198.92)</f>
        <v>198.92</v>
      </c>
      <c r="R138" s="320">
        <f>IFERROR(__xludf.DUMMYFUNCTION("""COMPUTED_VALUE"""),112.29)</f>
        <v>112.29</v>
      </c>
      <c r="S138" s="320">
        <f>IFERROR(__xludf.DUMMYFUNCTION("""COMPUTED_VALUE"""),0.14)</f>
        <v>0.14</v>
      </c>
      <c r="T138" s="320">
        <f>IFERROR(__xludf.DUMMYFUNCTION("""COMPUTED_VALUE"""),311.07)</f>
        <v>311.07</v>
      </c>
      <c r="U138" s="320">
        <f>IFERROR(__xludf.DUMMYFUNCTION("""COMPUTED_VALUE"""),325.26)</f>
        <v>325.26</v>
      </c>
      <c r="V138" s="320">
        <f>IFERROR(__xludf.DUMMYFUNCTION("""COMPUTED_VALUE"""),4.8578)</f>
        <v>4.8578</v>
      </c>
      <c r="W138" s="320">
        <f>IFERROR(__xludf.DUMMYFUNCTION("""COMPUTED_VALUE"""),0.04)</f>
        <v>0.04</v>
      </c>
      <c r="X138" s="320">
        <f>IFERROR(__xludf.DUMMYFUNCTION("""COMPUTED_VALUE"""),292.0)</f>
        <v>292</v>
      </c>
      <c r="Y138" s="320">
        <f>IFERROR(__xludf.DUMMYFUNCTION("""COMPUTED_VALUE"""),2557.0)</f>
        <v>2557</v>
      </c>
      <c r="Z138" s="320">
        <f>IFERROR(__xludf.DUMMYFUNCTION("""COMPUTED_VALUE"""),9774.0)</f>
        <v>9774</v>
      </c>
      <c r="AA138" s="320">
        <f>IFERROR(__xludf.DUMMYFUNCTION("""COMPUTED_VALUE"""),59.5586)</f>
        <v>59.5586</v>
      </c>
      <c r="AB138" s="320">
        <f>IFERROR(__xludf.DUMMYFUNCTION("""COMPUTED_VALUE"""),0.8277)</f>
        <v>0.8277</v>
      </c>
      <c r="AC138" s="320">
        <f>IFERROR(__xludf.DUMMYFUNCTION("""COMPUTED_VALUE"""),36.37)</f>
        <v>36.37</v>
      </c>
      <c r="AD138" s="320">
        <f>IFERROR(__xludf.DUMMYFUNCTION("""COMPUTED_VALUE"""),14.0)</f>
        <v>14</v>
      </c>
      <c r="AE138" s="320">
        <f>IFERROR(__xludf.DUMMYFUNCTION("""COMPUTED_VALUE"""),29.0)</f>
        <v>29</v>
      </c>
      <c r="AF138" s="320">
        <f>IFERROR(__xludf.DUMMYFUNCTION("""COMPUTED_VALUE"""),50.0)</f>
        <v>50</v>
      </c>
      <c r="AG138" s="320">
        <f>IFERROR(__xludf.DUMMYFUNCTION("""COMPUTED_VALUE"""),76.0)</f>
        <v>76</v>
      </c>
      <c r="AH138" s="320">
        <f>IFERROR(__xludf.DUMMYFUNCTION("""COMPUTED_VALUE"""),51.68)</f>
        <v>51.68</v>
      </c>
      <c r="AI138" s="320">
        <f>IFERROR(__xludf.DUMMYFUNCTION("""COMPUTED_VALUE"""),18.08)</f>
        <v>18.08</v>
      </c>
      <c r="AJ138" s="320">
        <f>IFERROR(__xludf.DUMMYFUNCTION("""COMPUTED_VALUE"""),4.23)</f>
        <v>4.23</v>
      </c>
      <c r="AK138" s="320">
        <f>IFERROR(__xludf.DUMMYFUNCTION("""COMPUTED_VALUE"""),0.1465)</f>
        <v>0.1465</v>
      </c>
      <c r="AL138" s="320">
        <f>IFERROR(__xludf.DUMMYFUNCTION("""COMPUTED_VALUE"""),21.14)</f>
        <v>21.14</v>
      </c>
      <c r="AM138" s="320">
        <f>IFERROR(__xludf.DUMMYFUNCTION("""COMPUTED_VALUE"""),177.78)</f>
        <v>177.78</v>
      </c>
      <c r="AN138" s="320">
        <f>IFERROR(__xludf.DUMMYFUNCTION("""COMPUTED_VALUE"""),82.36)</f>
        <v>82.36</v>
      </c>
      <c r="AO138" s="320">
        <f>IFERROR(__xludf.DUMMYFUNCTION("""COMPUTED_VALUE"""),17.41)</f>
        <v>17.41</v>
      </c>
    </row>
    <row r="139" ht="15.75" customHeight="1">
      <c r="A139" s="330">
        <f>IFERROR(__xludf.DUMMYFUNCTION("""COMPUTED_VALUE"""),46072.0)</f>
        <v>46072</v>
      </c>
      <c r="B139" s="319" t="str">
        <f>IFERROR(__xludf.DUMMYFUNCTION("""COMPUTED_VALUE"""),"F. 100+")</f>
        <v>F. 100+</v>
      </c>
      <c r="C139" s="320">
        <f>IFERROR(__xludf.DUMMYFUNCTION("""COMPUTED_VALUE"""),611.0)</f>
        <v>611</v>
      </c>
      <c r="D139" s="320">
        <f>IFERROR(__xludf.DUMMYFUNCTION("""COMPUTED_VALUE"""),0.57)</f>
        <v>0.57</v>
      </c>
      <c r="E139" s="320">
        <f>IFERROR(__xludf.DUMMYFUNCTION("""COMPUTED_VALUE"""),0.0)</f>
        <v>0</v>
      </c>
      <c r="F139" s="320">
        <f>IFERROR(__xludf.DUMMYFUNCTION("""COMPUTED_VALUE"""),0.0)</f>
        <v>0</v>
      </c>
      <c r="G139" s="320">
        <f>IFERROR(__xludf.DUMMYFUNCTION("""COMPUTED_VALUE"""),0.0)</f>
        <v>0</v>
      </c>
      <c r="H139" s="106"/>
      <c r="I139" s="320">
        <f>IFERROR(__xludf.DUMMYFUNCTION("""COMPUTED_VALUE"""),225.85)</f>
        <v>225.85</v>
      </c>
      <c r="J139" s="320">
        <f>IFERROR(__xludf.DUMMYFUNCTION("""COMPUTED_VALUE"""),134.98)</f>
        <v>134.98</v>
      </c>
      <c r="K139" s="320">
        <f>IFERROR(__xludf.DUMMYFUNCTION("""COMPUTED_VALUE"""),118.46)</f>
        <v>118.46</v>
      </c>
      <c r="L139" s="320">
        <f>IFERROR(__xludf.DUMMYFUNCTION("""COMPUTED_VALUE"""),0.8776)</f>
        <v>0.8776</v>
      </c>
      <c r="M139" s="320">
        <f>IFERROR(__xludf.DUMMYFUNCTION("""COMPUTED_VALUE"""),0.2753)</f>
        <v>0.2753</v>
      </c>
      <c r="N139" s="320">
        <f>IFERROR(__xludf.DUMMYFUNCTION("""COMPUTED_VALUE"""),0.2081)</f>
        <v>0.2081</v>
      </c>
      <c r="O139" s="320">
        <f>IFERROR(__xludf.DUMMYFUNCTION("""COMPUTED_VALUE"""),1.1394)</f>
        <v>1.1394</v>
      </c>
      <c r="P139" s="320">
        <f>IFERROR(__xludf.DUMMYFUNCTION("""COMPUTED_VALUE"""),582.38)</f>
        <v>582.38</v>
      </c>
      <c r="Q139" s="320">
        <f>IFERROR(__xludf.DUMMYFUNCTION("""COMPUTED_VALUE"""),329.03)</f>
        <v>329.03</v>
      </c>
      <c r="R139" s="320">
        <f>IFERROR(__xludf.DUMMYFUNCTION("""COMPUTED_VALUE"""),253.35)</f>
        <v>253.35</v>
      </c>
      <c r="S139" s="320">
        <f>IFERROR(__xludf.DUMMYFUNCTION("""COMPUTED_VALUE"""),0.0)</f>
        <v>0</v>
      </c>
      <c r="T139" s="320">
        <f>IFERROR(__xludf.DUMMYFUNCTION("""COMPUTED_VALUE"""),582.38)</f>
        <v>582.38</v>
      </c>
      <c r="U139" s="320">
        <f>IFERROR(__xludf.DUMMYFUNCTION("""COMPUTED_VALUE"""),613.67)</f>
        <v>613.67</v>
      </c>
      <c r="V139" s="320">
        <f>IFERROR(__xludf.DUMMYFUNCTION("""COMPUTED_VALUE"""),4.5463)</f>
        <v>4.5463</v>
      </c>
      <c r="W139" s="320">
        <f>IFERROR(__xludf.DUMMYFUNCTION("""COMPUTED_VALUE"""),0.0)</f>
        <v>0</v>
      </c>
      <c r="X139" s="320">
        <f>IFERROR(__xludf.DUMMYFUNCTION("""COMPUTED_VALUE"""),965.0)</f>
        <v>965</v>
      </c>
      <c r="Y139" s="320">
        <f>IFERROR(__xludf.DUMMYFUNCTION("""COMPUTED_VALUE"""),4610.0)</f>
        <v>4610</v>
      </c>
      <c r="Z139" s="320">
        <f>IFERROR(__xludf.DUMMYFUNCTION("""COMPUTED_VALUE"""),11612.0)</f>
        <v>11612</v>
      </c>
      <c r="AA139" s="320">
        <f>IFERROR(__xludf.DUMMYFUNCTION("""COMPUTED_VALUE"""),63.8051)</f>
        <v>63.8051</v>
      </c>
      <c r="AB139" s="320">
        <f>IFERROR(__xludf.DUMMYFUNCTION("""COMPUTED_VALUE"""),0.9037)</f>
        <v>0.9037</v>
      </c>
      <c r="AC139" s="320">
        <f>IFERROR(__xludf.DUMMYFUNCTION("""COMPUTED_VALUE"""),86.0)</f>
        <v>86</v>
      </c>
      <c r="AD139" s="320">
        <f>IFERROR(__xludf.DUMMYFUNCTION("""COMPUTED_VALUE"""),35.0)</f>
        <v>35</v>
      </c>
      <c r="AE139" s="320">
        <f>IFERROR(__xludf.DUMMYFUNCTION("""COMPUTED_VALUE"""),71.0)</f>
        <v>71</v>
      </c>
      <c r="AF139" s="320">
        <f>IFERROR(__xludf.DUMMYFUNCTION("""COMPUTED_VALUE"""),121.0)</f>
        <v>121</v>
      </c>
      <c r="AG139" s="320">
        <f>IFERROR(__xludf.DUMMYFUNCTION("""COMPUTED_VALUE"""),176.0)</f>
        <v>176</v>
      </c>
      <c r="AH139" s="320">
        <f>IFERROR(__xludf.DUMMYFUNCTION("""COMPUTED_VALUE"""),44.35)</f>
        <v>44.35</v>
      </c>
      <c r="AI139" s="320">
        <f>IFERROR(__xludf.DUMMYFUNCTION("""COMPUTED_VALUE"""),9.66)</f>
        <v>9.66</v>
      </c>
      <c r="AJ139" s="320">
        <f>IFERROR(__xludf.DUMMYFUNCTION("""COMPUTED_VALUE"""),1.15)</f>
        <v>1.15</v>
      </c>
      <c r="AK139" s="320">
        <f>IFERROR(__xludf.DUMMYFUNCTION("""COMPUTED_VALUE"""),0.1064)</f>
        <v>0.1064</v>
      </c>
      <c r="AL139" s="320">
        <f>IFERROR(__xludf.DUMMYFUNCTION("""COMPUTED_VALUE"""),22.84)</f>
        <v>22.84</v>
      </c>
      <c r="AM139" s="320">
        <f>IFERROR(__xludf.DUMMYFUNCTION("""COMPUTED_VALUE"""),306.19)</f>
        <v>306.19</v>
      </c>
      <c r="AN139" s="320">
        <f>IFERROR(__xludf.DUMMYFUNCTION("""COMPUTED_VALUE"""),81.13)</f>
        <v>81.13</v>
      </c>
      <c r="AO139" s="320">
        <f>IFERROR(__xludf.DUMMYFUNCTION("""COMPUTED_VALUE"""),18.53)</f>
        <v>18.53</v>
      </c>
    </row>
    <row r="140" ht="15.75" customHeight="1">
      <c r="A140" s="330">
        <f>IFERROR(__xludf.DUMMYFUNCTION("""COMPUTED_VALUE"""),46073.0)</f>
        <v>46073</v>
      </c>
      <c r="B140" s="319" t="str">
        <f>IFERROR(__xludf.DUMMYFUNCTION("""COMPUTED_VALUE"""),"A. 0")</f>
        <v>A. 0</v>
      </c>
      <c r="C140" s="320">
        <f>IFERROR(__xludf.DUMMYFUNCTION("""COMPUTED_VALUE"""),20286.0)</f>
        <v>20286</v>
      </c>
      <c r="D140" s="320">
        <f>IFERROR(__xludf.DUMMYFUNCTION("""COMPUTED_VALUE"""),19.07)</f>
        <v>19.07</v>
      </c>
      <c r="E140" s="320">
        <f>IFERROR(__xludf.DUMMYFUNCTION("""COMPUTED_VALUE"""),0.0)</f>
        <v>0</v>
      </c>
      <c r="F140" s="320">
        <f>IFERROR(__xludf.DUMMYFUNCTION("""COMPUTED_VALUE"""),0.0)</f>
        <v>0</v>
      </c>
      <c r="G140" s="320">
        <f>IFERROR(__xludf.DUMMYFUNCTION("""COMPUTED_VALUE"""),0.0)</f>
        <v>0</v>
      </c>
      <c r="H140" s="106"/>
      <c r="I140" s="320">
        <f>IFERROR(__xludf.DUMMYFUNCTION("""COMPUTED_VALUE"""),6.21)</f>
        <v>6.21</v>
      </c>
      <c r="J140" s="320">
        <f>IFERROR(__xludf.DUMMYFUNCTION("""COMPUTED_VALUE"""),2.4)</f>
        <v>2.4</v>
      </c>
      <c r="K140" s="320">
        <f>IFERROR(__xludf.DUMMYFUNCTION("""COMPUTED_VALUE"""),0.02)</f>
        <v>0.02</v>
      </c>
      <c r="L140" s="320">
        <f>IFERROR(__xludf.DUMMYFUNCTION("""COMPUTED_VALUE"""),0.007)</f>
        <v>0.007</v>
      </c>
      <c r="M140" s="320">
        <f>IFERROR(__xludf.DUMMYFUNCTION("""COMPUTED_VALUE"""),0.9947)</f>
        <v>0.9947</v>
      </c>
      <c r="N140" s="320">
        <f>IFERROR(__xludf.DUMMYFUNCTION("""COMPUTED_VALUE"""),0.9311)</f>
        <v>0.9311</v>
      </c>
      <c r="O140" s="320">
        <f>IFERROR(__xludf.DUMMYFUNCTION("""COMPUTED_VALUE"""),143.5959)</f>
        <v>143.5959</v>
      </c>
      <c r="P140" s="320">
        <f>IFERROR(__xludf.DUMMYFUNCTION("""COMPUTED_VALUE"""),26.74)</f>
        <v>26.74</v>
      </c>
      <c r="Q140" s="320">
        <f>IFERROR(__xludf.DUMMYFUNCTION("""COMPUTED_VALUE"""),25.93)</f>
        <v>25.93</v>
      </c>
      <c r="R140" s="320">
        <f>IFERROR(__xludf.DUMMYFUNCTION("""COMPUTED_VALUE"""),0.81)</f>
        <v>0.81</v>
      </c>
      <c r="S140" s="320">
        <f>IFERROR(__xludf.DUMMYFUNCTION("""COMPUTED_VALUE"""),0.0)</f>
        <v>0</v>
      </c>
      <c r="T140" s="320">
        <f>IFERROR(__xludf.DUMMYFUNCTION("""COMPUTED_VALUE"""),26.74)</f>
        <v>26.74</v>
      </c>
      <c r="U140" s="320">
        <f>IFERROR(__xludf.DUMMYFUNCTION("""COMPUTED_VALUE"""),1.88)</f>
        <v>1.88</v>
      </c>
      <c r="V140" s="320">
        <f>IFERROR(__xludf.DUMMYFUNCTION("""COMPUTED_VALUE"""),0.7837)</f>
        <v>0.7837</v>
      </c>
      <c r="W140" s="320">
        <f>IFERROR(__xludf.DUMMYFUNCTION("""COMPUTED_VALUE"""),0.0)</f>
        <v>0</v>
      </c>
      <c r="X140" s="320">
        <f>IFERROR(__xludf.DUMMYFUNCTION("""COMPUTED_VALUE"""),328.0)</f>
        <v>328</v>
      </c>
      <c r="Y140" s="320">
        <f>IFERROR(__xludf.DUMMYFUNCTION("""COMPUTED_VALUE"""),3719.0)</f>
        <v>3719</v>
      </c>
      <c r="Z140" s="320">
        <f>IFERROR(__xludf.DUMMYFUNCTION("""COMPUTED_VALUE"""),14575.0)</f>
        <v>14575</v>
      </c>
      <c r="AA140" s="320">
        <f>IFERROR(__xludf.DUMMYFUNCTION("""COMPUTED_VALUE"""),49.1105)</f>
        <v>49.1105</v>
      </c>
      <c r="AB140" s="320">
        <f>IFERROR(__xludf.DUMMYFUNCTION("""COMPUTED_VALUE"""),0.5487)</f>
        <v>0.5487</v>
      </c>
      <c r="AC140" s="106"/>
      <c r="AD140" s="106"/>
      <c r="AE140" s="106"/>
      <c r="AF140" s="106"/>
      <c r="AG140" s="106"/>
      <c r="AH140" s="320">
        <f>IFERROR(__xludf.DUMMYFUNCTION("""COMPUTED_VALUE"""),0.0)</f>
        <v>0</v>
      </c>
      <c r="AI140" s="320">
        <f>IFERROR(__xludf.DUMMYFUNCTION("""COMPUTED_VALUE"""),0.0)</f>
        <v>0</v>
      </c>
      <c r="AJ140" s="320">
        <f>IFERROR(__xludf.DUMMYFUNCTION("""COMPUTED_VALUE"""),0.0)</f>
        <v>0</v>
      </c>
      <c r="AK140" s="320">
        <f>IFERROR(__xludf.DUMMYFUNCTION("""COMPUTED_VALUE"""),0.3126)</f>
        <v>0.3126</v>
      </c>
      <c r="AL140" s="320">
        <f>IFERROR(__xludf.DUMMYFUNCTION("""COMPUTED_VALUE"""),17.15)</f>
        <v>17.15</v>
      </c>
      <c r="AM140" s="320">
        <f>IFERROR(__xludf.DUMMYFUNCTION("""COMPUTED_VALUE"""),8.78)</f>
        <v>8.78</v>
      </c>
      <c r="AN140" s="331"/>
      <c r="AO140" s="331"/>
    </row>
    <row r="141" ht="15.75" customHeight="1">
      <c r="A141" s="330">
        <f>IFERROR(__xludf.DUMMYFUNCTION("""COMPUTED_VALUE"""),46073.0)</f>
        <v>46073</v>
      </c>
      <c r="B141" s="319" t="str">
        <f>IFERROR(__xludf.DUMMYFUNCTION("""COMPUTED_VALUE"""),"B. 1-9")</f>
        <v>B. 1-9</v>
      </c>
      <c r="C141" s="320">
        <f>IFERROR(__xludf.DUMMYFUNCTION("""COMPUTED_VALUE"""),39411.0)</f>
        <v>39411</v>
      </c>
      <c r="D141" s="320">
        <f>IFERROR(__xludf.DUMMYFUNCTION("""COMPUTED_VALUE"""),37.06)</f>
        <v>37.06</v>
      </c>
      <c r="E141" s="320">
        <f>IFERROR(__xludf.DUMMYFUNCTION("""COMPUTED_VALUE"""),0.0)</f>
        <v>0</v>
      </c>
      <c r="F141" s="320">
        <f>IFERROR(__xludf.DUMMYFUNCTION("""COMPUTED_VALUE"""),0.0)</f>
        <v>0</v>
      </c>
      <c r="G141" s="320">
        <f>IFERROR(__xludf.DUMMYFUNCTION("""COMPUTED_VALUE"""),0.0)</f>
        <v>0</v>
      </c>
      <c r="H141" s="106"/>
      <c r="I141" s="320">
        <f>IFERROR(__xludf.DUMMYFUNCTION("""COMPUTED_VALUE"""),31.1)</f>
        <v>31.1</v>
      </c>
      <c r="J141" s="320">
        <f>IFERROR(__xludf.DUMMYFUNCTION("""COMPUTED_VALUE"""),14.11)</f>
        <v>14.11</v>
      </c>
      <c r="K141" s="320">
        <f>IFERROR(__xludf.DUMMYFUNCTION("""COMPUTED_VALUE"""),5.81)</f>
        <v>5.81</v>
      </c>
      <c r="L141" s="320">
        <f>IFERROR(__xludf.DUMMYFUNCTION("""COMPUTED_VALUE"""),0.412)</f>
        <v>0.412</v>
      </c>
      <c r="M141" s="320">
        <f>IFERROR(__xludf.DUMMYFUNCTION("""COMPUTED_VALUE"""),0.7572)</f>
        <v>0.7572</v>
      </c>
      <c r="N141" s="320">
        <f>IFERROR(__xludf.DUMMYFUNCTION("""COMPUTED_VALUE"""),0.5571)</f>
        <v>0.5571</v>
      </c>
      <c r="O141" s="320">
        <f>IFERROR(__xludf.DUMMYFUNCTION("""COMPUTED_VALUE"""),2.4274)</f>
        <v>2.4274</v>
      </c>
      <c r="P141" s="320">
        <f>IFERROR(__xludf.DUMMYFUNCTION("""COMPUTED_VALUE"""),56.6)</f>
        <v>56.6</v>
      </c>
      <c r="Q141" s="320">
        <f>IFERROR(__xludf.DUMMYFUNCTION("""COMPUTED_VALUE"""),44.37)</f>
        <v>44.37</v>
      </c>
      <c r="R141" s="320">
        <f>IFERROR(__xludf.DUMMYFUNCTION("""COMPUTED_VALUE"""),12.23)</f>
        <v>12.23</v>
      </c>
      <c r="S141" s="320">
        <f>IFERROR(__xludf.DUMMYFUNCTION("""COMPUTED_VALUE"""),0.23)</f>
        <v>0.23</v>
      </c>
      <c r="T141" s="320">
        <f>IFERROR(__xludf.DUMMYFUNCTION("""COMPUTED_VALUE"""),56.37)</f>
        <v>56.37</v>
      </c>
      <c r="U141" s="320">
        <f>IFERROR(__xludf.DUMMYFUNCTION("""COMPUTED_VALUE"""),54.39)</f>
        <v>54.39</v>
      </c>
      <c r="V141" s="320">
        <f>IFERROR(__xludf.DUMMYFUNCTION("""COMPUTED_VALUE"""),3.8544)</f>
        <v>3.8544</v>
      </c>
      <c r="W141" s="320">
        <f>IFERROR(__xludf.DUMMYFUNCTION("""COMPUTED_VALUE"""),0.4)</f>
        <v>0.4</v>
      </c>
      <c r="X141" s="320">
        <f>IFERROR(__xludf.DUMMYFUNCTION("""COMPUTED_VALUE"""),139.0)</f>
        <v>139</v>
      </c>
      <c r="Y141" s="320">
        <f>IFERROR(__xludf.DUMMYFUNCTION("""COMPUTED_VALUE"""),868.0)</f>
        <v>868</v>
      </c>
      <c r="Z141" s="320">
        <f>IFERROR(__xludf.DUMMYFUNCTION("""COMPUTED_VALUE"""),5643.0)</f>
        <v>5643</v>
      </c>
      <c r="AA141" s="320">
        <f>IFERROR(__xludf.DUMMYFUNCTION("""COMPUTED_VALUE"""),48.4341)</f>
        <v>48.4341</v>
      </c>
      <c r="AB141" s="320">
        <f>IFERROR(__xludf.DUMMYFUNCTION("""COMPUTED_VALUE"""),0.5341)</f>
        <v>0.5341</v>
      </c>
      <c r="AC141" s="320">
        <f>IFERROR(__xludf.DUMMYFUNCTION("""COMPUTED_VALUE"""),4.06)</f>
        <v>4.06</v>
      </c>
      <c r="AD141" s="320">
        <f>IFERROR(__xludf.DUMMYFUNCTION("""COMPUTED_VALUE"""),1.0)</f>
        <v>1</v>
      </c>
      <c r="AE141" s="320">
        <f>IFERROR(__xludf.DUMMYFUNCTION("""COMPUTED_VALUE"""),3.0)</f>
        <v>3</v>
      </c>
      <c r="AF141" s="320">
        <f>IFERROR(__xludf.DUMMYFUNCTION("""COMPUTED_VALUE"""),5.0)</f>
        <v>5</v>
      </c>
      <c r="AG141" s="320">
        <f>IFERROR(__xludf.DUMMYFUNCTION("""COMPUTED_VALUE"""),9.0)</f>
        <v>9</v>
      </c>
      <c r="AH141" s="320">
        <f>IFERROR(__xludf.DUMMYFUNCTION("""COMPUTED_VALUE"""),74.12)</f>
        <v>74.12</v>
      </c>
      <c r="AI141" s="320">
        <f>IFERROR(__xludf.DUMMYFUNCTION("""COMPUTED_VALUE"""),31.6)</f>
        <v>31.6</v>
      </c>
      <c r="AJ141" s="320">
        <f>IFERROR(__xludf.DUMMYFUNCTION("""COMPUTED_VALUE"""),8.61)</f>
        <v>8.61</v>
      </c>
      <c r="AK141" s="320">
        <f>IFERROR(__xludf.DUMMYFUNCTION("""COMPUTED_VALUE"""),0.2667)</f>
        <v>0.2667</v>
      </c>
      <c r="AL141" s="320">
        <f>IFERROR(__xludf.DUMMYFUNCTION("""COMPUTED_VALUE"""),19.82)</f>
        <v>19.82</v>
      </c>
      <c r="AM141" s="320">
        <f>IFERROR(__xludf.DUMMYFUNCTION("""COMPUTED_VALUE"""),24.56)</f>
        <v>24.56</v>
      </c>
      <c r="AN141" s="320">
        <f>IFERROR(__xludf.DUMMYFUNCTION("""COMPUTED_VALUE"""),64.98)</f>
        <v>64.98</v>
      </c>
      <c r="AO141" s="320">
        <f>IFERROR(__xludf.DUMMYFUNCTION("""COMPUTED_VALUE"""),12.88)</f>
        <v>12.88</v>
      </c>
    </row>
    <row r="142" ht="15.75" customHeight="1">
      <c r="A142" s="330">
        <f>IFERROR(__xludf.DUMMYFUNCTION("""COMPUTED_VALUE"""),46073.0)</f>
        <v>46073</v>
      </c>
      <c r="B142" s="319" t="str">
        <f>IFERROR(__xludf.DUMMYFUNCTION("""COMPUTED_VALUE"""),"C. 10-19")</f>
        <v>C. 10-19</v>
      </c>
      <c r="C142" s="320">
        <f>IFERROR(__xludf.DUMMYFUNCTION("""COMPUTED_VALUE"""),26176.0)</f>
        <v>26176</v>
      </c>
      <c r="D142" s="320">
        <f>IFERROR(__xludf.DUMMYFUNCTION("""COMPUTED_VALUE"""),24.61)</f>
        <v>24.61</v>
      </c>
      <c r="E142" s="320">
        <f>IFERROR(__xludf.DUMMYFUNCTION("""COMPUTED_VALUE"""),0.0)</f>
        <v>0</v>
      </c>
      <c r="F142" s="320">
        <f>IFERROR(__xludf.DUMMYFUNCTION("""COMPUTED_VALUE"""),0.0)</f>
        <v>0</v>
      </c>
      <c r="G142" s="320">
        <f>IFERROR(__xludf.DUMMYFUNCTION("""COMPUTED_VALUE"""),0.0)</f>
        <v>0</v>
      </c>
      <c r="H142" s="106"/>
      <c r="I142" s="320">
        <f>IFERROR(__xludf.DUMMYFUNCTION("""COMPUTED_VALUE"""),57.45)</f>
        <v>57.45</v>
      </c>
      <c r="J142" s="320">
        <f>IFERROR(__xludf.DUMMYFUNCTION("""COMPUTED_VALUE"""),27.31)</f>
        <v>27.31</v>
      </c>
      <c r="K142" s="320">
        <f>IFERROR(__xludf.DUMMYFUNCTION("""COMPUTED_VALUE"""),13.95)</f>
        <v>13.95</v>
      </c>
      <c r="L142" s="320">
        <f>IFERROR(__xludf.DUMMYFUNCTION("""COMPUTED_VALUE"""),0.5109)</f>
        <v>0.5109</v>
      </c>
      <c r="M142" s="320">
        <f>IFERROR(__xludf.DUMMYFUNCTION("""COMPUTED_VALUE"""),0.6742)</f>
        <v>0.6742</v>
      </c>
      <c r="N142" s="320">
        <f>IFERROR(__xludf.DUMMYFUNCTION("""COMPUTED_VALUE"""),0.469)</f>
        <v>0.469</v>
      </c>
      <c r="O142" s="320">
        <f>IFERROR(__xludf.DUMMYFUNCTION("""COMPUTED_VALUE"""),1.9572)</f>
        <v>1.9572</v>
      </c>
      <c r="P142" s="320">
        <f>IFERROR(__xludf.DUMMYFUNCTION("""COMPUTED_VALUE"""),99.74)</f>
        <v>99.74</v>
      </c>
      <c r="Q142" s="320">
        <f>IFERROR(__xludf.DUMMYFUNCTION("""COMPUTED_VALUE"""),70.31)</f>
        <v>70.31</v>
      </c>
      <c r="R142" s="320">
        <f>IFERROR(__xludf.DUMMYFUNCTION("""COMPUTED_VALUE"""),29.43)</f>
        <v>29.43</v>
      </c>
      <c r="S142" s="320">
        <f>IFERROR(__xludf.DUMMYFUNCTION("""COMPUTED_VALUE"""),0.47)</f>
        <v>0.47</v>
      </c>
      <c r="T142" s="320">
        <f>IFERROR(__xludf.DUMMYFUNCTION("""COMPUTED_VALUE"""),99.27)</f>
        <v>99.27</v>
      </c>
      <c r="U142" s="320">
        <f>IFERROR(__xludf.DUMMYFUNCTION("""COMPUTED_VALUE"""),101.28)</f>
        <v>101.28</v>
      </c>
      <c r="V142" s="320">
        <f>IFERROR(__xludf.DUMMYFUNCTION("""COMPUTED_VALUE"""),3.7087)</f>
        <v>3.7087</v>
      </c>
      <c r="W142" s="320">
        <f>IFERROR(__xludf.DUMMYFUNCTION("""COMPUTED_VALUE"""),0.48)</f>
        <v>0.48</v>
      </c>
      <c r="X142" s="320">
        <f>IFERROR(__xludf.DUMMYFUNCTION("""COMPUTED_VALUE"""),122.0)</f>
        <v>122</v>
      </c>
      <c r="Y142" s="320">
        <f>IFERROR(__xludf.DUMMYFUNCTION("""COMPUTED_VALUE"""),678.0)</f>
        <v>678</v>
      </c>
      <c r="Z142" s="320">
        <f>IFERROR(__xludf.DUMMYFUNCTION("""COMPUTED_VALUE"""),5025.0)</f>
        <v>5025</v>
      </c>
      <c r="AA142" s="320">
        <f>IFERROR(__xludf.DUMMYFUNCTION("""COMPUTED_VALUE"""),51.8515)</f>
        <v>51.8515</v>
      </c>
      <c r="AB142" s="320">
        <f>IFERROR(__xludf.DUMMYFUNCTION("""COMPUTED_VALUE"""),0.6282)</f>
        <v>0.6282</v>
      </c>
      <c r="AC142" s="320">
        <f>IFERROR(__xludf.DUMMYFUNCTION("""COMPUTED_VALUE"""),9.17)</f>
        <v>9.17</v>
      </c>
      <c r="AD142" s="320">
        <f>IFERROR(__xludf.DUMMYFUNCTION("""COMPUTED_VALUE"""),4.0)</f>
        <v>4</v>
      </c>
      <c r="AE142" s="320">
        <f>IFERROR(__xludf.DUMMYFUNCTION("""COMPUTED_VALUE"""),7.0)</f>
        <v>7</v>
      </c>
      <c r="AF142" s="320">
        <f>IFERROR(__xludf.DUMMYFUNCTION("""COMPUTED_VALUE"""),12.0)</f>
        <v>12</v>
      </c>
      <c r="AG142" s="320">
        <f>IFERROR(__xludf.DUMMYFUNCTION("""COMPUTED_VALUE"""),19.0)</f>
        <v>19</v>
      </c>
      <c r="AH142" s="320">
        <f>IFERROR(__xludf.DUMMYFUNCTION("""COMPUTED_VALUE"""),60.63)</f>
        <v>60.63</v>
      </c>
      <c r="AI142" s="320">
        <f>IFERROR(__xludf.DUMMYFUNCTION("""COMPUTED_VALUE"""),24.94)</f>
        <v>24.94</v>
      </c>
      <c r="AJ142" s="320">
        <f>IFERROR(__xludf.DUMMYFUNCTION("""COMPUTED_VALUE"""),3.97)</f>
        <v>3.97</v>
      </c>
      <c r="AK142" s="320">
        <f>IFERROR(__xludf.DUMMYFUNCTION("""COMPUTED_VALUE"""),0.2101)</f>
        <v>0.2101</v>
      </c>
      <c r="AL142" s="320">
        <f>IFERROR(__xludf.DUMMYFUNCTION("""COMPUTED_VALUE"""),21.16)</f>
        <v>21.16</v>
      </c>
      <c r="AM142" s="320">
        <f>IFERROR(__xludf.DUMMYFUNCTION("""COMPUTED_VALUE"""),49.16)</f>
        <v>49.16</v>
      </c>
      <c r="AN142" s="320">
        <f>IFERROR(__xludf.DUMMYFUNCTION("""COMPUTED_VALUE"""),74.85)</f>
        <v>74.85</v>
      </c>
      <c r="AO142" s="320">
        <f>IFERROR(__xludf.DUMMYFUNCTION("""COMPUTED_VALUE"""),15.84)</f>
        <v>15.84</v>
      </c>
    </row>
    <row r="143" ht="15.75" customHeight="1">
      <c r="A143" s="330">
        <f>IFERROR(__xludf.DUMMYFUNCTION("""COMPUTED_VALUE"""),46073.0)</f>
        <v>46073</v>
      </c>
      <c r="B143" s="319" t="str">
        <f>IFERROR(__xludf.DUMMYFUNCTION("""COMPUTED_VALUE"""),"D. 20-39")</f>
        <v>D. 20-39</v>
      </c>
      <c r="C143" s="320">
        <f>IFERROR(__xludf.DUMMYFUNCTION("""COMPUTED_VALUE"""),14464.0)</f>
        <v>14464</v>
      </c>
      <c r="D143" s="320">
        <f>IFERROR(__xludf.DUMMYFUNCTION("""COMPUTED_VALUE"""),13.6)</f>
        <v>13.6</v>
      </c>
      <c r="E143" s="320">
        <f>IFERROR(__xludf.DUMMYFUNCTION("""COMPUTED_VALUE"""),0.0)</f>
        <v>0</v>
      </c>
      <c r="F143" s="320">
        <f>IFERROR(__xludf.DUMMYFUNCTION("""COMPUTED_VALUE"""),0.0)</f>
        <v>0</v>
      </c>
      <c r="G143" s="320">
        <f>IFERROR(__xludf.DUMMYFUNCTION("""COMPUTED_VALUE"""),0.0)</f>
        <v>0</v>
      </c>
      <c r="H143" s="106"/>
      <c r="I143" s="320">
        <f>IFERROR(__xludf.DUMMYFUNCTION("""COMPUTED_VALUE"""),82.99)</f>
        <v>82.99</v>
      </c>
      <c r="J143" s="320">
        <f>IFERROR(__xludf.DUMMYFUNCTION("""COMPUTED_VALUE"""),41.5)</f>
        <v>41.5</v>
      </c>
      <c r="K143" s="320">
        <f>IFERROR(__xludf.DUMMYFUNCTION("""COMPUTED_VALUE"""),26.1)</f>
        <v>26.1</v>
      </c>
      <c r="L143" s="320">
        <f>IFERROR(__xludf.DUMMYFUNCTION("""COMPUTED_VALUE"""),0.6288)</f>
        <v>0.6288</v>
      </c>
      <c r="M143" s="320">
        <f>IFERROR(__xludf.DUMMYFUNCTION("""COMPUTED_VALUE"""),0.5571)</f>
        <v>0.5571</v>
      </c>
      <c r="N143" s="320">
        <f>IFERROR(__xludf.DUMMYFUNCTION("""COMPUTED_VALUE"""),0.3786)</f>
        <v>0.3786</v>
      </c>
      <c r="O143" s="320">
        <f>IFERROR(__xludf.DUMMYFUNCTION("""COMPUTED_VALUE"""),1.5902)</f>
        <v>1.5902</v>
      </c>
      <c r="P143" s="320">
        <f>IFERROR(__xludf.DUMMYFUNCTION("""COMPUTED_VALUE"""),151.81)</f>
        <v>151.81</v>
      </c>
      <c r="Q143" s="320">
        <f>IFERROR(__xludf.DUMMYFUNCTION("""COMPUTED_VALUE"""),96.54)</f>
        <v>96.54</v>
      </c>
      <c r="R143" s="320">
        <f>IFERROR(__xludf.DUMMYFUNCTION("""COMPUTED_VALUE"""),55.27)</f>
        <v>55.27</v>
      </c>
      <c r="S143" s="320">
        <f>IFERROR(__xludf.DUMMYFUNCTION("""COMPUTED_VALUE"""),0.26)</f>
        <v>0.26</v>
      </c>
      <c r="T143" s="320">
        <f>IFERROR(__xludf.DUMMYFUNCTION("""COMPUTED_VALUE"""),151.55)</f>
        <v>151.55</v>
      </c>
      <c r="U143" s="320">
        <f>IFERROR(__xludf.DUMMYFUNCTION("""COMPUTED_VALUE"""),168.37)</f>
        <v>168.37</v>
      </c>
      <c r="V143" s="320">
        <f>IFERROR(__xludf.DUMMYFUNCTION("""COMPUTED_VALUE"""),4.0567)</f>
        <v>4.0567</v>
      </c>
      <c r="W143" s="320">
        <f>IFERROR(__xludf.DUMMYFUNCTION("""COMPUTED_VALUE"""),0.17)</f>
        <v>0.17</v>
      </c>
      <c r="X143" s="320">
        <f>IFERROR(__xludf.DUMMYFUNCTION("""COMPUTED_VALUE"""),135.0)</f>
        <v>135</v>
      </c>
      <c r="Y143" s="320">
        <f>IFERROR(__xludf.DUMMYFUNCTION("""COMPUTED_VALUE"""),1033.0)</f>
        <v>1033</v>
      </c>
      <c r="Z143" s="320">
        <f>IFERROR(__xludf.DUMMYFUNCTION("""COMPUTED_VALUE"""),6615.0)</f>
        <v>6615</v>
      </c>
      <c r="AA143" s="320">
        <f>IFERROR(__xludf.DUMMYFUNCTION("""COMPUTED_VALUE"""),55.2083)</f>
        <v>55.2083</v>
      </c>
      <c r="AB143" s="320">
        <f>IFERROR(__xludf.DUMMYFUNCTION("""COMPUTED_VALUE"""),0.7297)</f>
        <v>0.7297</v>
      </c>
      <c r="AC143" s="320">
        <f>IFERROR(__xludf.DUMMYFUNCTION("""COMPUTED_VALUE"""),17.11)</f>
        <v>17.11</v>
      </c>
      <c r="AD143" s="320">
        <f>IFERROR(__xludf.DUMMYFUNCTION("""COMPUTED_VALUE"""),7.0)</f>
        <v>7</v>
      </c>
      <c r="AE143" s="320">
        <f>IFERROR(__xludf.DUMMYFUNCTION("""COMPUTED_VALUE"""),14.0)</f>
        <v>14</v>
      </c>
      <c r="AF143" s="320">
        <f>IFERROR(__xludf.DUMMYFUNCTION("""COMPUTED_VALUE"""),23.0)</f>
        <v>23</v>
      </c>
      <c r="AG143" s="320">
        <f>IFERROR(__xludf.DUMMYFUNCTION("""COMPUTED_VALUE"""),35.0)</f>
        <v>35</v>
      </c>
      <c r="AH143" s="320">
        <f>IFERROR(__xludf.DUMMYFUNCTION("""COMPUTED_VALUE"""),59.21)</f>
        <v>59.21</v>
      </c>
      <c r="AI143" s="320">
        <f>IFERROR(__xludf.DUMMYFUNCTION("""COMPUTED_VALUE"""),21.34)</f>
        <v>21.34</v>
      </c>
      <c r="AJ143" s="320">
        <f>IFERROR(__xludf.DUMMYFUNCTION("""COMPUTED_VALUE"""),5.89)</f>
        <v>5.89</v>
      </c>
      <c r="AK143" s="320">
        <f>IFERROR(__xludf.DUMMYFUNCTION("""COMPUTED_VALUE"""),0.1937)</f>
        <v>0.1937</v>
      </c>
      <c r="AL143" s="320">
        <f>IFERROR(__xludf.DUMMYFUNCTION("""COMPUTED_VALUE"""),21.23)</f>
        <v>21.23</v>
      </c>
      <c r="AM143" s="320">
        <f>IFERROR(__xludf.DUMMYFUNCTION("""COMPUTED_VALUE"""),75.31)</f>
        <v>75.31</v>
      </c>
      <c r="AN143" s="320">
        <f>IFERROR(__xludf.DUMMYFUNCTION("""COMPUTED_VALUE"""),78.03)</f>
        <v>78.03</v>
      </c>
      <c r="AO143" s="320">
        <f>IFERROR(__xludf.DUMMYFUNCTION("""COMPUTED_VALUE"""),16.57)</f>
        <v>16.57</v>
      </c>
    </row>
    <row r="144" ht="15.75" customHeight="1">
      <c r="A144" s="330">
        <f>IFERROR(__xludf.DUMMYFUNCTION("""COMPUTED_VALUE"""),46073.0)</f>
        <v>46073</v>
      </c>
      <c r="B144" s="319" t="str">
        <f>IFERROR(__xludf.DUMMYFUNCTION("""COMPUTED_VALUE"""),"E. 40-99")</f>
        <v>E. 40-99</v>
      </c>
      <c r="C144" s="320">
        <f>IFERROR(__xludf.DUMMYFUNCTION("""COMPUTED_VALUE"""),5429.0)</f>
        <v>5429</v>
      </c>
      <c r="D144" s="320">
        <f>IFERROR(__xludf.DUMMYFUNCTION("""COMPUTED_VALUE"""),5.1)</f>
        <v>5.1</v>
      </c>
      <c r="E144" s="320">
        <f>IFERROR(__xludf.DUMMYFUNCTION("""COMPUTED_VALUE"""),0.0)</f>
        <v>0</v>
      </c>
      <c r="F144" s="320">
        <f>IFERROR(__xludf.DUMMYFUNCTION("""COMPUTED_VALUE"""),0.0)</f>
        <v>0</v>
      </c>
      <c r="G144" s="320">
        <f>IFERROR(__xludf.DUMMYFUNCTION("""COMPUTED_VALUE"""),0.0)</f>
        <v>0</v>
      </c>
      <c r="H144" s="106"/>
      <c r="I144" s="320">
        <f>IFERROR(__xludf.DUMMYFUNCTION("""COMPUTED_VALUE"""),132.82)</f>
        <v>132.82</v>
      </c>
      <c r="J144" s="320">
        <f>IFERROR(__xludf.DUMMYFUNCTION("""COMPUTED_VALUE"""),71.0)</f>
        <v>71</v>
      </c>
      <c r="K144" s="320">
        <f>IFERROR(__xludf.DUMMYFUNCTION("""COMPUTED_VALUE"""),54.22)</f>
        <v>54.22</v>
      </c>
      <c r="L144" s="320">
        <f>IFERROR(__xludf.DUMMYFUNCTION("""COMPUTED_VALUE"""),0.7636)</f>
        <v>0.7636</v>
      </c>
      <c r="M144" s="320">
        <f>IFERROR(__xludf.DUMMYFUNCTION("""COMPUTED_VALUE"""),0.4143)</f>
        <v>0.4143</v>
      </c>
      <c r="N144" s="320">
        <f>IFERROR(__xludf.DUMMYFUNCTION("""COMPUTED_VALUE"""),0.2908)</f>
        <v>0.2908</v>
      </c>
      <c r="O144" s="320">
        <f>IFERROR(__xludf.DUMMYFUNCTION("""COMPUTED_VALUE"""),1.3095)</f>
        <v>1.3095</v>
      </c>
      <c r="P144" s="320">
        <f>IFERROR(__xludf.DUMMYFUNCTION("""COMPUTED_VALUE"""),255.84)</f>
        <v>255.84</v>
      </c>
      <c r="Q144" s="320">
        <f>IFERROR(__xludf.DUMMYFUNCTION("""COMPUTED_VALUE"""),141.02)</f>
        <v>141.02</v>
      </c>
      <c r="R144" s="320">
        <f>IFERROR(__xludf.DUMMYFUNCTION("""COMPUTED_VALUE"""),114.82)</f>
        <v>114.82</v>
      </c>
      <c r="S144" s="320">
        <f>IFERROR(__xludf.DUMMYFUNCTION("""COMPUTED_VALUE"""),0.0)</f>
        <v>0</v>
      </c>
      <c r="T144" s="320">
        <f>IFERROR(__xludf.DUMMYFUNCTION("""COMPUTED_VALUE"""),255.84)</f>
        <v>255.84</v>
      </c>
      <c r="U144" s="320">
        <f>IFERROR(__xludf.DUMMYFUNCTION("""COMPUTED_VALUE"""),310.18)</f>
        <v>310.18</v>
      </c>
      <c r="V144" s="320">
        <f>IFERROR(__xludf.DUMMYFUNCTION("""COMPUTED_VALUE"""),4.3686)</f>
        <v>4.3686</v>
      </c>
      <c r="W144" s="320">
        <f>IFERROR(__xludf.DUMMYFUNCTION("""COMPUTED_VALUE"""),0.0)</f>
        <v>0</v>
      </c>
      <c r="X144" s="320">
        <f>IFERROR(__xludf.DUMMYFUNCTION("""COMPUTED_VALUE"""),279.0)</f>
        <v>279</v>
      </c>
      <c r="Y144" s="320">
        <f>IFERROR(__xludf.DUMMYFUNCTION("""COMPUTED_VALUE"""),2586.0)</f>
        <v>2586</v>
      </c>
      <c r="Z144" s="320">
        <f>IFERROR(__xludf.DUMMYFUNCTION("""COMPUTED_VALUE"""),9793.0)</f>
        <v>9793</v>
      </c>
      <c r="AA144" s="320">
        <f>IFERROR(__xludf.DUMMYFUNCTION("""COMPUTED_VALUE"""),59.508)</f>
        <v>59.508</v>
      </c>
      <c r="AB144" s="320">
        <f>IFERROR(__xludf.DUMMYFUNCTION("""COMPUTED_VALUE"""),0.831)</f>
        <v>0.831</v>
      </c>
      <c r="AC144" s="320">
        <f>IFERROR(__xludf.DUMMYFUNCTION("""COMPUTED_VALUE"""),36.22)</f>
        <v>36.22</v>
      </c>
      <c r="AD144" s="320">
        <f>IFERROR(__xludf.DUMMYFUNCTION("""COMPUTED_VALUE"""),14.0)</f>
        <v>14</v>
      </c>
      <c r="AE144" s="320">
        <f>IFERROR(__xludf.DUMMYFUNCTION("""COMPUTED_VALUE"""),28.0)</f>
        <v>28</v>
      </c>
      <c r="AF144" s="320">
        <f>IFERROR(__xludf.DUMMYFUNCTION("""COMPUTED_VALUE"""),49.0)</f>
        <v>49</v>
      </c>
      <c r="AG144" s="320">
        <f>IFERROR(__xludf.DUMMYFUNCTION("""COMPUTED_VALUE"""),76.0)</f>
        <v>76</v>
      </c>
      <c r="AH144" s="320">
        <f>IFERROR(__xludf.DUMMYFUNCTION("""COMPUTED_VALUE"""),50.21)</f>
        <v>50.21</v>
      </c>
      <c r="AI144" s="320">
        <f>IFERROR(__xludf.DUMMYFUNCTION("""COMPUTED_VALUE"""),18.16)</f>
        <v>18.16</v>
      </c>
      <c r="AJ144" s="320">
        <f>IFERROR(__xludf.DUMMYFUNCTION("""COMPUTED_VALUE"""),4.59)</f>
        <v>4.59</v>
      </c>
      <c r="AK144" s="320">
        <f>IFERROR(__xludf.DUMMYFUNCTION("""COMPUTED_VALUE"""),0.1505)</f>
        <v>0.1505</v>
      </c>
      <c r="AL144" s="320">
        <f>IFERROR(__xludf.DUMMYFUNCTION("""COMPUTED_VALUE"""),22.04)</f>
        <v>22.04</v>
      </c>
      <c r="AM144" s="320">
        <f>IFERROR(__xludf.DUMMYFUNCTION("""COMPUTED_VALUE"""),118.98)</f>
        <v>118.98</v>
      </c>
      <c r="AN144" s="320">
        <f>IFERROR(__xludf.DUMMYFUNCTION("""COMPUTED_VALUE"""),82.08)</f>
        <v>82.08</v>
      </c>
      <c r="AO144" s="320">
        <f>IFERROR(__xludf.DUMMYFUNCTION("""COMPUTED_VALUE"""),18.09)</f>
        <v>18.09</v>
      </c>
    </row>
    <row r="145" ht="15.75" customHeight="1">
      <c r="A145" s="330">
        <f>IFERROR(__xludf.DUMMYFUNCTION("""COMPUTED_VALUE"""),46073.0)</f>
        <v>46073</v>
      </c>
      <c r="B145" s="319" t="str">
        <f>IFERROR(__xludf.DUMMYFUNCTION("""COMPUTED_VALUE"""),"F. 100+")</f>
        <v>F. 100+</v>
      </c>
      <c r="C145" s="320">
        <f>IFERROR(__xludf.DUMMYFUNCTION("""COMPUTED_VALUE"""),591.0)</f>
        <v>591</v>
      </c>
      <c r="D145" s="320">
        <f>IFERROR(__xludf.DUMMYFUNCTION("""COMPUTED_VALUE"""),0.56)</f>
        <v>0.56</v>
      </c>
      <c r="E145" s="320">
        <f>IFERROR(__xludf.DUMMYFUNCTION("""COMPUTED_VALUE"""),0.0)</f>
        <v>0</v>
      </c>
      <c r="F145" s="320">
        <f>IFERROR(__xludf.DUMMYFUNCTION("""COMPUTED_VALUE"""),0.0)</f>
        <v>0</v>
      </c>
      <c r="G145" s="320">
        <f>IFERROR(__xludf.DUMMYFUNCTION("""COMPUTED_VALUE"""),0.0)</f>
        <v>0</v>
      </c>
      <c r="H145" s="106"/>
      <c r="I145" s="320">
        <f>IFERROR(__xludf.DUMMYFUNCTION("""COMPUTED_VALUE"""),245.52)</f>
        <v>245.52</v>
      </c>
      <c r="J145" s="320">
        <f>IFERROR(__xludf.DUMMYFUNCTION("""COMPUTED_VALUE"""),140.48)</f>
        <v>140.48</v>
      </c>
      <c r="K145" s="320">
        <f>IFERROR(__xludf.DUMMYFUNCTION("""COMPUTED_VALUE"""),122.08)</f>
        <v>122.08</v>
      </c>
      <c r="L145" s="320">
        <f>IFERROR(__xludf.DUMMYFUNCTION("""COMPUTED_VALUE"""),0.869)</f>
        <v>0.869</v>
      </c>
      <c r="M145" s="320">
        <f>IFERROR(__xludf.DUMMYFUNCTION("""COMPUTED_VALUE"""),0.2865)</f>
        <v>0.2865</v>
      </c>
      <c r="N145" s="320">
        <f>IFERROR(__xludf.DUMMYFUNCTION("""COMPUTED_VALUE"""),0.2157)</f>
        <v>0.2157</v>
      </c>
      <c r="O145" s="320">
        <f>IFERROR(__xludf.DUMMYFUNCTION("""COMPUTED_VALUE"""),1.1507)</f>
        <v>1.1507</v>
      </c>
      <c r="P145" s="320">
        <f>IFERROR(__xludf.DUMMYFUNCTION("""COMPUTED_VALUE"""),514.85)</f>
        <v>514.85</v>
      </c>
      <c r="Q145" s="320">
        <f>IFERROR(__xludf.DUMMYFUNCTION("""COMPUTED_VALUE"""),252.28)</f>
        <v>252.28</v>
      </c>
      <c r="R145" s="320">
        <f>IFERROR(__xludf.DUMMYFUNCTION("""COMPUTED_VALUE"""),262.57)</f>
        <v>262.57</v>
      </c>
      <c r="S145" s="320">
        <f>IFERROR(__xludf.DUMMYFUNCTION("""COMPUTED_VALUE"""),0.0)</f>
        <v>0</v>
      </c>
      <c r="T145" s="320">
        <f>IFERROR(__xludf.DUMMYFUNCTION("""COMPUTED_VALUE"""),514.85)</f>
        <v>514.85</v>
      </c>
      <c r="U145" s="320">
        <f>IFERROR(__xludf.DUMMYFUNCTION("""COMPUTED_VALUE"""),642.3)</f>
        <v>642.3</v>
      </c>
      <c r="V145" s="320">
        <f>IFERROR(__xludf.DUMMYFUNCTION("""COMPUTED_VALUE"""),4.5723)</f>
        <v>4.5723</v>
      </c>
      <c r="W145" s="320">
        <f>IFERROR(__xludf.DUMMYFUNCTION("""COMPUTED_VALUE"""),0.0)</f>
        <v>0</v>
      </c>
      <c r="X145" s="320">
        <f>IFERROR(__xludf.DUMMYFUNCTION("""COMPUTED_VALUE"""),920.0)</f>
        <v>920</v>
      </c>
      <c r="Y145" s="320">
        <f>IFERROR(__xludf.DUMMYFUNCTION("""COMPUTED_VALUE"""),3966.0)</f>
        <v>3966</v>
      </c>
      <c r="Z145" s="320">
        <f>IFERROR(__xludf.DUMMYFUNCTION("""COMPUTED_VALUE"""),11737.0)</f>
        <v>11737</v>
      </c>
      <c r="AA145" s="320">
        <f>IFERROR(__xludf.DUMMYFUNCTION("""COMPUTED_VALUE"""),63.9845)</f>
        <v>63.9845</v>
      </c>
      <c r="AB145" s="320">
        <f>IFERROR(__xludf.DUMMYFUNCTION("""COMPUTED_VALUE"""),0.9062)</f>
        <v>0.9062</v>
      </c>
      <c r="AC145" s="320">
        <f>IFERROR(__xludf.DUMMYFUNCTION("""COMPUTED_VALUE"""),85.72)</f>
        <v>85.72</v>
      </c>
      <c r="AD145" s="320">
        <f>IFERROR(__xludf.DUMMYFUNCTION("""COMPUTED_VALUE"""),35.0)</f>
        <v>35</v>
      </c>
      <c r="AE145" s="320">
        <f>IFERROR(__xludf.DUMMYFUNCTION("""COMPUTED_VALUE"""),73.0)</f>
        <v>73</v>
      </c>
      <c r="AF145" s="320">
        <f>IFERROR(__xludf.DUMMYFUNCTION("""COMPUTED_VALUE"""),122.0)</f>
        <v>122</v>
      </c>
      <c r="AG145" s="320">
        <f>IFERROR(__xludf.DUMMYFUNCTION("""COMPUTED_VALUE"""),171.0)</f>
        <v>171</v>
      </c>
      <c r="AH145" s="320">
        <f>IFERROR(__xludf.DUMMYFUNCTION("""COMPUTED_VALUE"""),46.02)</f>
        <v>46.02</v>
      </c>
      <c r="AI145" s="320">
        <f>IFERROR(__xludf.DUMMYFUNCTION("""COMPUTED_VALUE"""),9.31)</f>
        <v>9.31</v>
      </c>
      <c r="AJ145" s="320">
        <f>IFERROR(__xludf.DUMMYFUNCTION("""COMPUTED_VALUE"""),0.85)</f>
        <v>0.85</v>
      </c>
      <c r="AK145" s="320">
        <f>IFERROR(__xludf.DUMMYFUNCTION("""COMPUTED_VALUE"""),0.0948)</f>
        <v>0.0948</v>
      </c>
      <c r="AL145" s="320">
        <f>IFERROR(__xludf.DUMMYFUNCTION("""COMPUTED_VALUE"""),26.27)</f>
        <v>26.27</v>
      </c>
      <c r="AM145" s="320">
        <f>IFERROR(__xludf.DUMMYFUNCTION("""COMPUTED_VALUE"""),226.01)</f>
        <v>226.01</v>
      </c>
      <c r="AN145" s="320">
        <f>IFERROR(__xludf.DUMMYFUNCTION("""COMPUTED_VALUE"""),84.17)</f>
        <v>84.17</v>
      </c>
      <c r="AO145" s="320">
        <f>IFERROR(__xludf.DUMMYFUNCTION("""COMPUTED_VALUE"""),22.11)</f>
        <v>22.11</v>
      </c>
    </row>
    <row r="146" ht="15.75" customHeight="1">
      <c r="A146" s="330">
        <f>IFERROR(__xludf.DUMMYFUNCTION("""COMPUTED_VALUE"""),46074.0)</f>
        <v>46074</v>
      </c>
      <c r="B146" s="319" t="str">
        <f>IFERROR(__xludf.DUMMYFUNCTION("""COMPUTED_VALUE"""),"A. 0")</f>
        <v>A. 0</v>
      </c>
      <c r="C146" s="320">
        <f>IFERROR(__xludf.DUMMYFUNCTION("""COMPUTED_VALUE"""),20796.0)</f>
        <v>20796</v>
      </c>
      <c r="D146" s="320">
        <f>IFERROR(__xludf.DUMMYFUNCTION("""COMPUTED_VALUE"""),19.71)</f>
        <v>19.71</v>
      </c>
      <c r="E146" s="320">
        <f>IFERROR(__xludf.DUMMYFUNCTION("""COMPUTED_VALUE"""),0.0)</f>
        <v>0</v>
      </c>
      <c r="F146" s="320">
        <f>IFERROR(__xludf.DUMMYFUNCTION("""COMPUTED_VALUE"""),0.0)</f>
        <v>0</v>
      </c>
      <c r="G146" s="320">
        <f>IFERROR(__xludf.DUMMYFUNCTION("""COMPUTED_VALUE"""),0.0)</f>
        <v>0</v>
      </c>
      <c r="H146" s="106"/>
      <c r="I146" s="320">
        <f>IFERROR(__xludf.DUMMYFUNCTION("""COMPUTED_VALUE"""),6.15)</f>
        <v>6.15</v>
      </c>
      <c r="J146" s="320">
        <f>IFERROR(__xludf.DUMMYFUNCTION("""COMPUTED_VALUE"""),2.48)</f>
        <v>2.48</v>
      </c>
      <c r="K146" s="320">
        <f>IFERROR(__xludf.DUMMYFUNCTION("""COMPUTED_VALUE"""),0.01)</f>
        <v>0.01</v>
      </c>
      <c r="L146" s="320">
        <f>IFERROR(__xludf.DUMMYFUNCTION("""COMPUTED_VALUE"""),0.0047)</f>
        <v>0.0047</v>
      </c>
      <c r="M146" s="320">
        <f>IFERROR(__xludf.DUMMYFUNCTION("""COMPUTED_VALUE"""),0.9966)</f>
        <v>0.9966</v>
      </c>
      <c r="N146" s="320">
        <f>IFERROR(__xludf.DUMMYFUNCTION("""COMPUTED_VALUE"""),0.9517)</f>
        <v>0.9517</v>
      </c>
      <c r="O146" s="320">
        <f>IFERROR(__xludf.DUMMYFUNCTION("""COMPUTED_VALUE"""),214.775)</f>
        <v>214.775</v>
      </c>
      <c r="P146" s="320">
        <f>IFERROR(__xludf.DUMMYFUNCTION("""COMPUTED_VALUE"""),24.76)</f>
        <v>24.76</v>
      </c>
      <c r="Q146" s="320">
        <f>IFERROR(__xludf.DUMMYFUNCTION("""COMPUTED_VALUE"""),24.62)</f>
        <v>24.62</v>
      </c>
      <c r="R146" s="320">
        <f>IFERROR(__xludf.DUMMYFUNCTION("""COMPUTED_VALUE"""),0.14)</f>
        <v>0.14</v>
      </c>
      <c r="S146" s="320">
        <f>IFERROR(__xludf.DUMMYFUNCTION("""COMPUTED_VALUE"""),0.0)</f>
        <v>0</v>
      </c>
      <c r="T146" s="320">
        <f>IFERROR(__xludf.DUMMYFUNCTION("""COMPUTED_VALUE"""),24.76)</f>
        <v>24.76</v>
      </c>
      <c r="U146" s="320">
        <f>IFERROR(__xludf.DUMMYFUNCTION("""COMPUTED_VALUE"""),2.3)</f>
        <v>2.3</v>
      </c>
      <c r="V146" s="320">
        <f>IFERROR(__xludf.DUMMYFUNCTION("""COMPUTED_VALUE"""),0.9273)</f>
        <v>0.9273</v>
      </c>
      <c r="W146" s="320">
        <f>IFERROR(__xludf.DUMMYFUNCTION("""COMPUTED_VALUE"""),0.0)</f>
        <v>0</v>
      </c>
      <c r="X146" s="320">
        <f>IFERROR(__xludf.DUMMYFUNCTION("""COMPUTED_VALUE"""),276.0)</f>
        <v>276</v>
      </c>
      <c r="Y146" s="320">
        <f>IFERROR(__xludf.DUMMYFUNCTION("""COMPUTED_VALUE"""),3126.0)</f>
        <v>3126</v>
      </c>
      <c r="Z146" s="320">
        <f>IFERROR(__xludf.DUMMYFUNCTION("""COMPUTED_VALUE"""),13434.0)</f>
        <v>13434</v>
      </c>
      <c r="AA146" s="320">
        <f>IFERROR(__xludf.DUMMYFUNCTION("""COMPUTED_VALUE"""),48.8544)</f>
        <v>48.8544</v>
      </c>
      <c r="AB146" s="320">
        <f>IFERROR(__xludf.DUMMYFUNCTION("""COMPUTED_VALUE"""),0.5367)</f>
        <v>0.5367</v>
      </c>
      <c r="AC146" s="106"/>
      <c r="AD146" s="106"/>
      <c r="AE146" s="106"/>
      <c r="AF146" s="106"/>
      <c r="AG146" s="106"/>
      <c r="AH146" s="320">
        <f>IFERROR(__xludf.DUMMYFUNCTION("""COMPUTED_VALUE"""),0.0)</f>
        <v>0</v>
      </c>
      <c r="AI146" s="320">
        <f>IFERROR(__xludf.DUMMYFUNCTION("""COMPUTED_VALUE"""),0.0)</f>
        <v>0</v>
      </c>
      <c r="AJ146" s="320">
        <f>IFERROR(__xludf.DUMMYFUNCTION("""COMPUTED_VALUE"""),0.0)</f>
        <v>0</v>
      </c>
      <c r="AK146" s="320">
        <f>IFERROR(__xludf.DUMMYFUNCTION("""COMPUTED_VALUE"""),0.2934)</f>
        <v>0.2934</v>
      </c>
      <c r="AL146" s="320">
        <f>IFERROR(__xludf.DUMMYFUNCTION("""COMPUTED_VALUE"""),18.27)</f>
        <v>18.27</v>
      </c>
      <c r="AM146" s="320">
        <f>IFERROR(__xludf.DUMMYFUNCTION("""COMPUTED_VALUE"""),6.35)</f>
        <v>6.35</v>
      </c>
      <c r="AN146" s="331"/>
      <c r="AO146" s="331"/>
    </row>
    <row r="147" ht="15.75" customHeight="1">
      <c r="A147" s="330">
        <f>IFERROR(__xludf.DUMMYFUNCTION("""COMPUTED_VALUE"""),46074.0)</f>
        <v>46074</v>
      </c>
      <c r="B147" s="319" t="str">
        <f>IFERROR(__xludf.DUMMYFUNCTION("""COMPUTED_VALUE"""),"B. 1-9")</f>
        <v>B. 1-9</v>
      </c>
      <c r="C147" s="320">
        <f>IFERROR(__xludf.DUMMYFUNCTION("""COMPUTED_VALUE"""),38554.0)</f>
        <v>38554</v>
      </c>
      <c r="D147" s="320">
        <f>IFERROR(__xludf.DUMMYFUNCTION("""COMPUTED_VALUE"""),36.53)</f>
        <v>36.53</v>
      </c>
      <c r="E147" s="320">
        <f>IFERROR(__xludf.DUMMYFUNCTION("""COMPUTED_VALUE"""),0.0)</f>
        <v>0</v>
      </c>
      <c r="F147" s="320">
        <f>IFERROR(__xludf.DUMMYFUNCTION("""COMPUTED_VALUE"""),0.0)</f>
        <v>0</v>
      </c>
      <c r="G147" s="320">
        <f>IFERROR(__xludf.DUMMYFUNCTION("""COMPUTED_VALUE"""),0.0)</f>
        <v>0</v>
      </c>
      <c r="H147" s="106"/>
      <c r="I147" s="320">
        <f>IFERROR(__xludf.DUMMYFUNCTION("""COMPUTED_VALUE"""),30.08)</f>
        <v>30.08</v>
      </c>
      <c r="J147" s="320">
        <f>IFERROR(__xludf.DUMMYFUNCTION("""COMPUTED_VALUE"""),13.53)</f>
        <v>13.53</v>
      </c>
      <c r="K147" s="320">
        <f>IFERROR(__xludf.DUMMYFUNCTION("""COMPUTED_VALUE"""),5.67)</f>
        <v>5.67</v>
      </c>
      <c r="L147" s="320">
        <f>IFERROR(__xludf.DUMMYFUNCTION("""COMPUTED_VALUE"""),0.4191)</f>
        <v>0.4191</v>
      </c>
      <c r="M147" s="320">
        <f>IFERROR(__xludf.DUMMYFUNCTION("""COMPUTED_VALUE"""),0.7549)</f>
        <v>0.7549</v>
      </c>
      <c r="N147" s="320">
        <f>IFERROR(__xludf.DUMMYFUNCTION("""COMPUTED_VALUE"""),0.5608)</f>
        <v>0.5608</v>
      </c>
      <c r="O147" s="320">
        <f>IFERROR(__xludf.DUMMYFUNCTION("""COMPUTED_VALUE"""),2.3862)</f>
        <v>2.3862</v>
      </c>
      <c r="P147" s="320">
        <f>IFERROR(__xludf.DUMMYFUNCTION("""COMPUTED_VALUE"""),52.48)</f>
        <v>52.48</v>
      </c>
      <c r="Q147" s="320">
        <f>IFERROR(__xludf.DUMMYFUNCTION("""COMPUTED_VALUE"""),40.71)</f>
        <v>40.71</v>
      </c>
      <c r="R147" s="320">
        <f>IFERROR(__xludf.DUMMYFUNCTION("""COMPUTED_VALUE"""),11.76)</f>
        <v>11.76</v>
      </c>
      <c r="S147" s="320">
        <f>IFERROR(__xludf.DUMMYFUNCTION("""COMPUTED_VALUE"""),0.18)</f>
        <v>0.18</v>
      </c>
      <c r="T147" s="320">
        <f>IFERROR(__xludf.DUMMYFUNCTION("""COMPUTED_VALUE"""),52.29)</f>
        <v>52.29</v>
      </c>
      <c r="U147" s="320">
        <f>IFERROR(__xludf.DUMMYFUNCTION("""COMPUTED_VALUE"""),55.16)</f>
        <v>55.16</v>
      </c>
      <c r="V147" s="320">
        <f>IFERROR(__xludf.DUMMYFUNCTION("""COMPUTED_VALUE"""),4.0767)</f>
        <v>4.0767</v>
      </c>
      <c r="W147" s="320">
        <f>IFERROR(__xludf.DUMMYFUNCTION("""COMPUTED_VALUE"""),0.35)</f>
        <v>0.35</v>
      </c>
      <c r="X147" s="320">
        <f>IFERROR(__xludf.DUMMYFUNCTION("""COMPUTED_VALUE"""),139.0)</f>
        <v>139</v>
      </c>
      <c r="Y147" s="320">
        <f>IFERROR(__xludf.DUMMYFUNCTION("""COMPUTED_VALUE"""),859.0)</f>
        <v>859</v>
      </c>
      <c r="Z147" s="320">
        <f>IFERROR(__xludf.DUMMYFUNCTION("""COMPUTED_VALUE"""),5623.0)</f>
        <v>5623</v>
      </c>
      <c r="AA147" s="320">
        <f>IFERROR(__xludf.DUMMYFUNCTION("""COMPUTED_VALUE"""),48.4827)</f>
        <v>48.4827</v>
      </c>
      <c r="AB147" s="320">
        <f>IFERROR(__xludf.DUMMYFUNCTION("""COMPUTED_VALUE"""),0.5376)</f>
        <v>0.5376</v>
      </c>
      <c r="AC147" s="320">
        <f>IFERROR(__xludf.DUMMYFUNCTION("""COMPUTED_VALUE"""),4.01)</f>
        <v>4.01</v>
      </c>
      <c r="AD147" s="320">
        <f>IFERROR(__xludf.DUMMYFUNCTION("""COMPUTED_VALUE"""),1.0)</f>
        <v>1</v>
      </c>
      <c r="AE147" s="320">
        <f>IFERROR(__xludf.DUMMYFUNCTION("""COMPUTED_VALUE"""),3.0)</f>
        <v>3</v>
      </c>
      <c r="AF147" s="320">
        <f>IFERROR(__xludf.DUMMYFUNCTION("""COMPUTED_VALUE"""),5.0)</f>
        <v>5</v>
      </c>
      <c r="AG147" s="320">
        <f>IFERROR(__xludf.DUMMYFUNCTION("""COMPUTED_VALUE"""),9.0)</f>
        <v>9</v>
      </c>
      <c r="AH147" s="320">
        <f>IFERROR(__xludf.DUMMYFUNCTION("""COMPUTED_VALUE"""),72.96)</f>
        <v>72.96</v>
      </c>
      <c r="AI147" s="320">
        <f>IFERROR(__xludf.DUMMYFUNCTION("""COMPUTED_VALUE"""),30.96)</f>
        <v>30.96</v>
      </c>
      <c r="AJ147" s="320">
        <f>IFERROR(__xludf.DUMMYFUNCTION("""COMPUTED_VALUE"""),8.76)</f>
        <v>8.76</v>
      </c>
      <c r="AK147" s="320">
        <f>IFERROR(__xludf.DUMMYFUNCTION("""COMPUTED_VALUE"""),0.2564)</f>
        <v>0.2564</v>
      </c>
      <c r="AL147" s="320">
        <f>IFERROR(__xludf.DUMMYFUNCTION("""COMPUTED_VALUE"""),21.6)</f>
        <v>21.6</v>
      </c>
      <c r="AM147" s="320">
        <f>IFERROR(__xludf.DUMMYFUNCTION("""COMPUTED_VALUE"""),19.11)</f>
        <v>19.11</v>
      </c>
      <c r="AN147" s="320">
        <f>IFERROR(__xludf.DUMMYFUNCTION("""COMPUTED_VALUE"""),64.82)</f>
        <v>64.82</v>
      </c>
      <c r="AO147" s="320">
        <f>IFERROR(__xludf.DUMMYFUNCTION("""COMPUTED_VALUE"""),14.0)</f>
        <v>14</v>
      </c>
    </row>
    <row r="148" ht="15.75" customHeight="1">
      <c r="A148" s="330">
        <f>IFERROR(__xludf.DUMMYFUNCTION("""COMPUTED_VALUE"""),46074.0)</f>
        <v>46074</v>
      </c>
      <c r="B148" s="319" t="str">
        <f>IFERROR(__xludf.DUMMYFUNCTION("""COMPUTED_VALUE"""),"C. 10-19")</f>
        <v>C. 10-19</v>
      </c>
      <c r="C148" s="320">
        <f>IFERROR(__xludf.DUMMYFUNCTION("""COMPUTED_VALUE"""),26093.0)</f>
        <v>26093</v>
      </c>
      <c r="D148" s="320">
        <f>IFERROR(__xludf.DUMMYFUNCTION("""COMPUTED_VALUE"""),24.73)</f>
        <v>24.73</v>
      </c>
      <c r="E148" s="320">
        <f>IFERROR(__xludf.DUMMYFUNCTION("""COMPUTED_VALUE"""),0.0)</f>
        <v>0</v>
      </c>
      <c r="F148" s="320">
        <f>IFERROR(__xludf.DUMMYFUNCTION("""COMPUTED_VALUE"""),0.0)</f>
        <v>0</v>
      </c>
      <c r="G148" s="320">
        <f>IFERROR(__xludf.DUMMYFUNCTION("""COMPUTED_VALUE"""),0.0)</f>
        <v>0</v>
      </c>
      <c r="H148" s="106"/>
      <c r="I148" s="320">
        <f>IFERROR(__xludf.DUMMYFUNCTION("""COMPUTED_VALUE"""),55.39)</f>
        <v>55.39</v>
      </c>
      <c r="J148" s="320">
        <f>IFERROR(__xludf.DUMMYFUNCTION("""COMPUTED_VALUE"""),26.02)</f>
        <v>26.02</v>
      </c>
      <c r="K148" s="320">
        <f>IFERROR(__xludf.DUMMYFUNCTION("""COMPUTED_VALUE"""),13.72)</f>
        <v>13.72</v>
      </c>
      <c r="L148" s="320">
        <f>IFERROR(__xludf.DUMMYFUNCTION("""COMPUTED_VALUE"""),0.5272)</f>
        <v>0.5272</v>
      </c>
      <c r="M148" s="320">
        <f>IFERROR(__xludf.DUMMYFUNCTION("""COMPUTED_VALUE"""),0.6648)</f>
        <v>0.6648</v>
      </c>
      <c r="N148" s="320">
        <f>IFERROR(__xludf.DUMMYFUNCTION("""COMPUTED_VALUE"""),0.4673)</f>
        <v>0.4673</v>
      </c>
      <c r="O148" s="320">
        <f>IFERROR(__xludf.DUMMYFUNCTION("""COMPUTED_VALUE"""),1.8968)</f>
        <v>1.8968</v>
      </c>
      <c r="P148" s="320">
        <f>IFERROR(__xludf.DUMMYFUNCTION("""COMPUTED_VALUE"""),95.01)</f>
        <v>95.01</v>
      </c>
      <c r="Q148" s="320">
        <f>IFERROR(__xludf.DUMMYFUNCTION("""COMPUTED_VALUE"""),66.11)</f>
        <v>66.11</v>
      </c>
      <c r="R148" s="320">
        <f>IFERROR(__xludf.DUMMYFUNCTION("""COMPUTED_VALUE"""),28.9)</f>
        <v>28.9</v>
      </c>
      <c r="S148" s="320">
        <f>IFERROR(__xludf.DUMMYFUNCTION("""COMPUTED_VALUE"""),0.0)</f>
        <v>0</v>
      </c>
      <c r="T148" s="320">
        <f>IFERROR(__xludf.DUMMYFUNCTION("""COMPUTED_VALUE"""),95.0)</f>
        <v>95</v>
      </c>
      <c r="U148" s="320">
        <f>IFERROR(__xludf.DUMMYFUNCTION("""COMPUTED_VALUE"""),99.95)</f>
        <v>99.95</v>
      </c>
      <c r="V148" s="320">
        <f>IFERROR(__xludf.DUMMYFUNCTION("""COMPUTED_VALUE"""),3.8416)</f>
        <v>3.8416</v>
      </c>
      <c r="W148" s="320">
        <f>IFERROR(__xludf.DUMMYFUNCTION("""COMPUTED_VALUE"""),0.0)</f>
        <v>0</v>
      </c>
      <c r="X148" s="320">
        <f>IFERROR(__xludf.DUMMYFUNCTION("""COMPUTED_VALUE"""),124.0)</f>
        <v>124</v>
      </c>
      <c r="Y148" s="320">
        <f>IFERROR(__xludf.DUMMYFUNCTION("""COMPUTED_VALUE"""),717.0)</f>
        <v>717</v>
      </c>
      <c r="Z148" s="320">
        <f>IFERROR(__xludf.DUMMYFUNCTION("""COMPUTED_VALUE"""),5414.0)</f>
        <v>5414</v>
      </c>
      <c r="AA148" s="320">
        <f>IFERROR(__xludf.DUMMYFUNCTION("""COMPUTED_VALUE"""),52.0208)</f>
        <v>52.0208</v>
      </c>
      <c r="AB148" s="320">
        <f>IFERROR(__xludf.DUMMYFUNCTION("""COMPUTED_VALUE"""),0.6339)</f>
        <v>0.6339</v>
      </c>
      <c r="AC148" s="320">
        <f>IFERROR(__xludf.DUMMYFUNCTION("""COMPUTED_VALUE"""),9.21)</f>
        <v>9.21</v>
      </c>
      <c r="AD148" s="320">
        <f>IFERROR(__xludf.DUMMYFUNCTION("""COMPUTED_VALUE"""),3.0)</f>
        <v>3</v>
      </c>
      <c r="AE148" s="320">
        <f>IFERROR(__xludf.DUMMYFUNCTION("""COMPUTED_VALUE"""),7.0)</f>
        <v>7</v>
      </c>
      <c r="AF148" s="320">
        <f>IFERROR(__xludf.DUMMYFUNCTION("""COMPUTED_VALUE"""),12.0)</f>
        <v>12</v>
      </c>
      <c r="AG148" s="320">
        <f>IFERROR(__xludf.DUMMYFUNCTION("""COMPUTED_VALUE"""),19.0)</f>
        <v>19</v>
      </c>
      <c r="AH148" s="320">
        <f>IFERROR(__xludf.DUMMYFUNCTION("""COMPUTED_VALUE"""),59.68)</f>
        <v>59.68</v>
      </c>
      <c r="AI148" s="320">
        <f>IFERROR(__xludf.DUMMYFUNCTION("""COMPUTED_VALUE"""),24.8)</f>
        <v>24.8</v>
      </c>
      <c r="AJ148" s="320">
        <f>IFERROR(__xludf.DUMMYFUNCTION("""COMPUTED_VALUE"""),4.4)</f>
        <v>4.4</v>
      </c>
      <c r="AK148" s="320">
        <f>IFERROR(__xludf.DUMMYFUNCTION("""COMPUTED_VALUE"""),0.1978)</f>
        <v>0.1978</v>
      </c>
      <c r="AL148" s="320">
        <f>IFERROR(__xludf.DUMMYFUNCTION("""COMPUTED_VALUE"""),22.67)</f>
        <v>22.67</v>
      </c>
      <c r="AM148" s="320">
        <f>IFERROR(__xludf.DUMMYFUNCTION("""COMPUTED_VALUE"""),43.44)</f>
        <v>43.44</v>
      </c>
      <c r="AN148" s="320">
        <f>IFERROR(__xludf.DUMMYFUNCTION("""COMPUTED_VALUE"""),74.63)</f>
        <v>74.63</v>
      </c>
      <c r="AO148" s="320">
        <f>IFERROR(__xludf.DUMMYFUNCTION("""COMPUTED_VALUE"""),16.92)</f>
        <v>16.92</v>
      </c>
    </row>
    <row r="149" ht="15.75" customHeight="1">
      <c r="A149" s="330">
        <f>IFERROR(__xludf.DUMMYFUNCTION("""COMPUTED_VALUE"""),46074.0)</f>
        <v>46074</v>
      </c>
      <c r="B149" s="319" t="str">
        <f>IFERROR(__xludf.DUMMYFUNCTION("""COMPUTED_VALUE"""),"D. 20-39")</f>
        <v>D. 20-39</v>
      </c>
      <c r="C149" s="320">
        <f>IFERROR(__xludf.DUMMYFUNCTION("""COMPUTED_VALUE"""),13973.0)</f>
        <v>13973</v>
      </c>
      <c r="D149" s="320">
        <f>IFERROR(__xludf.DUMMYFUNCTION("""COMPUTED_VALUE"""),13.24)</f>
        <v>13.24</v>
      </c>
      <c r="E149" s="320">
        <f>IFERROR(__xludf.DUMMYFUNCTION("""COMPUTED_VALUE"""),0.0)</f>
        <v>0</v>
      </c>
      <c r="F149" s="320">
        <f>IFERROR(__xludf.DUMMYFUNCTION("""COMPUTED_VALUE"""),0.0)</f>
        <v>0</v>
      </c>
      <c r="G149" s="320">
        <f>IFERROR(__xludf.DUMMYFUNCTION("""COMPUTED_VALUE"""),0.0)</f>
        <v>0</v>
      </c>
      <c r="H149" s="106"/>
      <c r="I149" s="320">
        <f>IFERROR(__xludf.DUMMYFUNCTION("""COMPUTED_VALUE"""),80.18)</f>
        <v>80.18</v>
      </c>
      <c r="J149" s="320">
        <f>IFERROR(__xludf.DUMMYFUNCTION("""COMPUTED_VALUE"""),39.92)</f>
        <v>39.92</v>
      </c>
      <c r="K149" s="320">
        <f>IFERROR(__xludf.DUMMYFUNCTION("""COMPUTED_VALUE"""),26.0)</f>
        <v>26</v>
      </c>
      <c r="L149" s="320">
        <f>IFERROR(__xludf.DUMMYFUNCTION("""COMPUTED_VALUE"""),0.6514)</f>
        <v>0.6514</v>
      </c>
      <c r="M149" s="320">
        <f>IFERROR(__xludf.DUMMYFUNCTION("""COMPUTED_VALUE"""),0.5427)</f>
        <v>0.5427</v>
      </c>
      <c r="N149" s="320">
        <f>IFERROR(__xludf.DUMMYFUNCTION("""COMPUTED_VALUE"""),0.3778)</f>
        <v>0.3778</v>
      </c>
      <c r="O149" s="320">
        <f>IFERROR(__xludf.DUMMYFUNCTION("""COMPUTED_VALUE"""),1.5351)</f>
        <v>1.5351</v>
      </c>
      <c r="P149" s="320">
        <f>IFERROR(__xludf.DUMMYFUNCTION("""COMPUTED_VALUE"""),159.13)</f>
        <v>159.13</v>
      </c>
      <c r="Q149" s="320">
        <f>IFERROR(__xludf.DUMMYFUNCTION("""COMPUTED_VALUE"""),104.42)</f>
        <v>104.42</v>
      </c>
      <c r="R149" s="320">
        <f>IFERROR(__xludf.DUMMYFUNCTION("""COMPUTED_VALUE"""),54.71)</f>
        <v>54.71</v>
      </c>
      <c r="S149" s="320">
        <f>IFERROR(__xludf.DUMMYFUNCTION("""COMPUTED_VALUE"""),0.66)</f>
        <v>0.66</v>
      </c>
      <c r="T149" s="320">
        <f>IFERROR(__xludf.DUMMYFUNCTION("""COMPUTED_VALUE"""),158.47)</f>
        <v>158.47</v>
      </c>
      <c r="U149" s="320">
        <f>IFERROR(__xludf.DUMMYFUNCTION("""COMPUTED_VALUE"""),168.53)</f>
        <v>168.53</v>
      </c>
      <c r="V149" s="320">
        <f>IFERROR(__xludf.DUMMYFUNCTION("""COMPUTED_VALUE"""),4.2221)</f>
        <v>4.2221</v>
      </c>
      <c r="W149" s="320">
        <f>IFERROR(__xludf.DUMMYFUNCTION("""COMPUTED_VALUE"""),0.42)</f>
        <v>0.42</v>
      </c>
      <c r="X149" s="320">
        <f>IFERROR(__xludf.DUMMYFUNCTION("""COMPUTED_VALUE"""),150.0)</f>
        <v>150</v>
      </c>
      <c r="Y149" s="320">
        <f>IFERROR(__xludf.DUMMYFUNCTION("""COMPUTED_VALUE"""),1065.0)</f>
        <v>1065</v>
      </c>
      <c r="Z149" s="320">
        <f>IFERROR(__xludf.DUMMYFUNCTION("""COMPUTED_VALUE"""),6589.0)</f>
        <v>6589</v>
      </c>
      <c r="AA149" s="320">
        <f>IFERROR(__xludf.DUMMYFUNCTION("""COMPUTED_VALUE"""),55.3225)</f>
        <v>55.3225</v>
      </c>
      <c r="AB149" s="320">
        <f>IFERROR(__xludf.DUMMYFUNCTION("""COMPUTED_VALUE"""),0.7291)</f>
        <v>0.7291</v>
      </c>
      <c r="AC149" s="320">
        <f>IFERROR(__xludf.DUMMYFUNCTION("""COMPUTED_VALUE"""),17.2)</f>
        <v>17.2</v>
      </c>
      <c r="AD149" s="320">
        <f>IFERROR(__xludf.DUMMYFUNCTION("""COMPUTED_VALUE"""),7.0)</f>
        <v>7</v>
      </c>
      <c r="AE149" s="320">
        <f>IFERROR(__xludf.DUMMYFUNCTION("""COMPUTED_VALUE"""),13.0)</f>
        <v>13</v>
      </c>
      <c r="AF149" s="320">
        <f>IFERROR(__xludf.DUMMYFUNCTION("""COMPUTED_VALUE"""),24.0)</f>
        <v>24</v>
      </c>
      <c r="AG149" s="320">
        <f>IFERROR(__xludf.DUMMYFUNCTION("""COMPUTED_VALUE"""),36.0)</f>
        <v>36</v>
      </c>
      <c r="AH149" s="320">
        <f>IFERROR(__xludf.DUMMYFUNCTION("""COMPUTED_VALUE"""),58.43)</f>
        <v>58.43</v>
      </c>
      <c r="AI149" s="320">
        <f>IFERROR(__xludf.DUMMYFUNCTION("""COMPUTED_VALUE"""),21.86)</f>
        <v>21.86</v>
      </c>
      <c r="AJ149" s="320">
        <f>IFERROR(__xludf.DUMMYFUNCTION("""COMPUTED_VALUE"""),6.54)</f>
        <v>6.54</v>
      </c>
      <c r="AK149" s="320">
        <f>IFERROR(__xludf.DUMMYFUNCTION("""COMPUTED_VALUE"""),0.182)</f>
        <v>0.182</v>
      </c>
      <c r="AL149" s="320">
        <f>IFERROR(__xludf.DUMMYFUNCTION("""COMPUTED_VALUE"""),23.03)</f>
        <v>23.03</v>
      </c>
      <c r="AM149" s="320">
        <f>IFERROR(__xludf.DUMMYFUNCTION("""COMPUTED_VALUE"""),81.39)</f>
        <v>81.39</v>
      </c>
      <c r="AN149" s="320">
        <f>IFERROR(__xludf.DUMMYFUNCTION("""COMPUTED_VALUE"""),77.62)</f>
        <v>77.62</v>
      </c>
      <c r="AO149" s="320">
        <f>IFERROR(__xludf.DUMMYFUNCTION("""COMPUTED_VALUE"""),17.88)</f>
        <v>17.88</v>
      </c>
    </row>
    <row r="150" ht="15.75" customHeight="1">
      <c r="A150" s="330">
        <f>IFERROR(__xludf.DUMMYFUNCTION("""COMPUTED_VALUE"""),46074.0)</f>
        <v>46074</v>
      </c>
      <c r="B150" s="319" t="str">
        <f>IFERROR(__xludf.DUMMYFUNCTION("""COMPUTED_VALUE"""),"E. 40-99")</f>
        <v>E. 40-99</v>
      </c>
      <c r="C150" s="320">
        <f>IFERROR(__xludf.DUMMYFUNCTION("""COMPUTED_VALUE"""),5508.0)</f>
        <v>5508</v>
      </c>
      <c r="D150" s="320">
        <f>IFERROR(__xludf.DUMMYFUNCTION("""COMPUTED_VALUE"""),5.22)</f>
        <v>5.22</v>
      </c>
      <c r="E150" s="320">
        <f>IFERROR(__xludf.DUMMYFUNCTION("""COMPUTED_VALUE"""),0.0)</f>
        <v>0</v>
      </c>
      <c r="F150" s="320">
        <f>IFERROR(__xludf.DUMMYFUNCTION("""COMPUTED_VALUE"""),0.0)</f>
        <v>0</v>
      </c>
      <c r="G150" s="320">
        <f>IFERROR(__xludf.DUMMYFUNCTION("""COMPUTED_VALUE"""),0.0)</f>
        <v>0</v>
      </c>
      <c r="H150" s="106"/>
      <c r="I150" s="320">
        <f>IFERROR(__xludf.DUMMYFUNCTION("""COMPUTED_VALUE"""),127.49)</f>
        <v>127.49</v>
      </c>
      <c r="J150" s="320">
        <f>IFERROR(__xludf.DUMMYFUNCTION("""COMPUTED_VALUE"""),68.47)</f>
        <v>68.47</v>
      </c>
      <c r="K150" s="320">
        <f>IFERROR(__xludf.DUMMYFUNCTION("""COMPUTED_VALUE"""),53.73)</f>
        <v>53.73</v>
      </c>
      <c r="L150" s="320">
        <f>IFERROR(__xludf.DUMMYFUNCTION("""COMPUTED_VALUE"""),0.7847)</f>
        <v>0.7847</v>
      </c>
      <c r="M150" s="320">
        <f>IFERROR(__xludf.DUMMYFUNCTION("""COMPUTED_VALUE"""),0.3989)</f>
        <v>0.3989</v>
      </c>
      <c r="N150" s="320">
        <f>IFERROR(__xludf.DUMMYFUNCTION("""COMPUTED_VALUE"""),0.2866)</f>
        <v>0.2866</v>
      </c>
      <c r="O150" s="320">
        <f>IFERROR(__xludf.DUMMYFUNCTION("""COMPUTED_VALUE"""),1.2744)</f>
        <v>1.2744</v>
      </c>
      <c r="P150" s="320">
        <f>IFERROR(__xludf.DUMMYFUNCTION("""COMPUTED_VALUE"""),301.84)</f>
        <v>301.84</v>
      </c>
      <c r="Q150" s="320">
        <f>IFERROR(__xludf.DUMMYFUNCTION("""COMPUTED_VALUE"""),187.81)</f>
        <v>187.81</v>
      </c>
      <c r="R150" s="320">
        <f>IFERROR(__xludf.DUMMYFUNCTION("""COMPUTED_VALUE"""),114.03)</f>
        <v>114.03</v>
      </c>
      <c r="S150" s="320">
        <f>IFERROR(__xludf.DUMMYFUNCTION("""COMPUTED_VALUE"""),0.31)</f>
        <v>0.31</v>
      </c>
      <c r="T150" s="320">
        <f>IFERROR(__xludf.DUMMYFUNCTION("""COMPUTED_VALUE"""),301.53)</f>
        <v>301.53</v>
      </c>
      <c r="U150" s="320">
        <f>IFERROR(__xludf.DUMMYFUNCTION("""COMPUTED_VALUE"""),320.67)</f>
        <v>320.67</v>
      </c>
      <c r="V150" s="320">
        <f>IFERROR(__xludf.DUMMYFUNCTION("""COMPUTED_VALUE"""),4.6832)</f>
        <v>4.6832</v>
      </c>
      <c r="W150" s="320">
        <f>IFERROR(__xludf.DUMMYFUNCTION("""COMPUTED_VALUE"""),0.1)</f>
        <v>0.1</v>
      </c>
      <c r="X150" s="320">
        <f>IFERROR(__xludf.DUMMYFUNCTION("""COMPUTED_VALUE"""),297.0)</f>
        <v>297</v>
      </c>
      <c r="Y150" s="320">
        <f>IFERROR(__xludf.DUMMYFUNCTION("""COMPUTED_VALUE"""),2503.0)</f>
        <v>2503</v>
      </c>
      <c r="Z150" s="320">
        <f>IFERROR(__xludf.DUMMYFUNCTION("""COMPUTED_VALUE"""),9894.0)</f>
        <v>9894</v>
      </c>
      <c r="AA150" s="320">
        <f>IFERROR(__xludf.DUMMYFUNCTION("""COMPUTED_VALUE"""),59.6397)</f>
        <v>59.6397</v>
      </c>
      <c r="AB150" s="320">
        <f>IFERROR(__xludf.DUMMYFUNCTION("""COMPUTED_VALUE"""),0.8258)</f>
        <v>0.8258</v>
      </c>
      <c r="AC150" s="320">
        <f>IFERROR(__xludf.DUMMYFUNCTION("""COMPUTED_VALUE"""),36.43)</f>
        <v>36.43</v>
      </c>
      <c r="AD150" s="320">
        <f>IFERROR(__xludf.DUMMYFUNCTION("""COMPUTED_VALUE"""),14.0)</f>
        <v>14</v>
      </c>
      <c r="AE150" s="320">
        <f>IFERROR(__xludf.DUMMYFUNCTION("""COMPUTED_VALUE"""),28.0)</f>
        <v>28</v>
      </c>
      <c r="AF150" s="320">
        <f>IFERROR(__xludf.DUMMYFUNCTION("""COMPUTED_VALUE"""),50.0)</f>
        <v>50</v>
      </c>
      <c r="AG150" s="320">
        <f>IFERROR(__xludf.DUMMYFUNCTION("""COMPUTED_VALUE"""),78.0)</f>
        <v>78</v>
      </c>
      <c r="AH150" s="320">
        <f>IFERROR(__xludf.DUMMYFUNCTION("""COMPUTED_VALUE"""),50.16)</f>
        <v>50.16</v>
      </c>
      <c r="AI150" s="320">
        <f>IFERROR(__xludf.DUMMYFUNCTION("""COMPUTED_VALUE"""),18.81)</f>
        <v>18.81</v>
      </c>
      <c r="AJ150" s="320">
        <f>IFERROR(__xludf.DUMMYFUNCTION("""COMPUTED_VALUE"""),4.5)</f>
        <v>4.5</v>
      </c>
      <c r="AK150" s="320">
        <f>IFERROR(__xludf.DUMMYFUNCTION("""COMPUTED_VALUE"""),0.1465)</f>
        <v>0.1465</v>
      </c>
      <c r="AL150" s="320">
        <f>IFERROR(__xludf.DUMMYFUNCTION("""COMPUTED_VALUE"""),22.75)</f>
        <v>22.75</v>
      </c>
      <c r="AM150" s="320">
        <f>IFERROR(__xludf.DUMMYFUNCTION("""COMPUTED_VALUE"""),165.06)</f>
        <v>165.06</v>
      </c>
      <c r="AN150" s="320">
        <f>IFERROR(__xludf.DUMMYFUNCTION("""COMPUTED_VALUE"""),80.55)</f>
        <v>80.55</v>
      </c>
      <c r="AO150" s="320">
        <f>IFERROR(__xludf.DUMMYFUNCTION("""COMPUTED_VALUE"""),18.33)</f>
        <v>18.33</v>
      </c>
    </row>
    <row r="151" ht="15.75" customHeight="1">
      <c r="A151" s="330">
        <f>IFERROR(__xludf.DUMMYFUNCTION("""COMPUTED_VALUE"""),46074.0)</f>
        <v>46074</v>
      </c>
      <c r="B151" s="319" t="str">
        <f>IFERROR(__xludf.DUMMYFUNCTION("""COMPUTED_VALUE"""),"F. 100+")</f>
        <v>F. 100+</v>
      </c>
      <c r="C151" s="320">
        <f>IFERROR(__xludf.DUMMYFUNCTION("""COMPUTED_VALUE"""),606.0)</f>
        <v>606</v>
      </c>
      <c r="D151" s="320">
        <f>IFERROR(__xludf.DUMMYFUNCTION("""COMPUTED_VALUE"""),0.57)</f>
        <v>0.57</v>
      </c>
      <c r="E151" s="320">
        <f>IFERROR(__xludf.DUMMYFUNCTION("""COMPUTED_VALUE"""),0.0)</f>
        <v>0</v>
      </c>
      <c r="F151" s="320">
        <f>IFERROR(__xludf.DUMMYFUNCTION("""COMPUTED_VALUE"""),0.0)</f>
        <v>0</v>
      </c>
      <c r="G151" s="320">
        <f>IFERROR(__xludf.DUMMYFUNCTION("""COMPUTED_VALUE"""),0.0)</f>
        <v>0</v>
      </c>
      <c r="H151" s="106"/>
      <c r="I151" s="320">
        <f>IFERROR(__xludf.DUMMYFUNCTION("""COMPUTED_VALUE"""),238.77)</f>
        <v>238.77</v>
      </c>
      <c r="J151" s="320">
        <f>IFERROR(__xludf.DUMMYFUNCTION("""COMPUTED_VALUE"""),137.85)</f>
        <v>137.85</v>
      </c>
      <c r="K151" s="320">
        <f>IFERROR(__xludf.DUMMYFUNCTION("""COMPUTED_VALUE"""),119.09)</f>
        <v>119.09</v>
      </c>
      <c r="L151" s="320">
        <f>IFERROR(__xludf.DUMMYFUNCTION("""COMPUTED_VALUE"""),0.8639)</f>
        <v>0.8639</v>
      </c>
      <c r="M151" s="320">
        <f>IFERROR(__xludf.DUMMYFUNCTION("""COMPUTED_VALUE"""),0.2895)</f>
        <v>0.2895</v>
      </c>
      <c r="N151" s="320">
        <f>IFERROR(__xludf.DUMMYFUNCTION("""COMPUTED_VALUE"""),0.2148)</f>
        <v>0.2148</v>
      </c>
      <c r="O151" s="320">
        <f>IFERROR(__xludf.DUMMYFUNCTION("""COMPUTED_VALUE"""),1.1576)</f>
        <v>1.1576</v>
      </c>
      <c r="P151" s="320">
        <f>IFERROR(__xludf.DUMMYFUNCTION("""COMPUTED_VALUE"""),594.47)</f>
        <v>594.47</v>
      </c>
      <c r="Q151" s="320">
        <f>IFERROR(__xludf.DUMMYFUNCTION("""COMPUTED_VALUE"""),337.98)</f>
        <v>337.98</v>
      </c>
      <c r="R151" s="320">
        <f>IFERROR(__xludf.DUMMYFUNCTION("""COMPUTED_VALUE"""),256.49)</f>
        <v>256.49</v>
      </c>
      <c r="S151" s="320">
        <f>IFERROR(__xludf.DUMMYFUNCTION("""COMPUTED_VALUE"""),0.0)</f>
        <v>0</v>
      </c>
      <c r="T151" s="320">
        <f>IFERROR(__xludf.DUMMYFUNCTION("""COMPUTED_VALUE"""),594.47)</f>
        <v>594.47</v>
      </c>
      <c r="U151" s="320">
        <f>IFERROR(__xludf.DUMMYFUNCTION("""COMPUTED_VALUE"""),667.49)</f>
        <v>667.49</v>
      </c>
      <c r="V151" s="320">
        <f>IFERROR(__xludf.DUMMYFUNCTION("""COMPUTED_VALUE"""),4.8422)</f>
        <v>4.8422</v>
      </c>
      <c r="W151" s="320">
        <f>IFERROR(__xludf.DUMMYFUNCTION("""COMPUTED_VALUE"""),0.0)</f>
        <v>0</v>
      </c>
      <c r="X151" s="320">
        <f>IFERROR(__xludf.DUMMYFUNCTION("""COMPUTED_VALUE"""),929.0)</f>
        <v>929</v>
      </c>
      <c r="Y151" s="320">
        <f>IFERROR(__xludf.DUMMYFUNCTION("""COMPUTED_VALUE"""),4497.0)</f>
        <v>4497</v>
      </c>
      <c r="Z151" s="320">
        <f>IFERROR(__xludf.DUMMYFUNCTION("""COMPUTED_VALUE"""),12005.0)</f>
        <v>12005</v>
      </c>
      <c r="AA151" s="320">
        <f>IFERROR(__xludf.DUMMYFUNCTION("""COMPUTED_VALUE"""),63.6663)</f>
        <v>63.6663</v>
      </c>
      <c r="AB151" s="320">
        <f>IFERROR(__xludf.DUMMYFUNCTION("""COMPUTED_VALUE"""),0.8888)</f>
        <v>0.8888</v>
      </c>
      <c r="AC151" s="320">
        <f>IFERROR(__xludf.DUMMYFUNCTION("""COMPUTED_VALUE"""),83.48)</f>
        <v>83.48</v>
      </c>
      <c r="AD151" s="320">
        <f>IFERROR(__xludf.DUMMYFUNCTION("""COMPUTED_VALUE"""),34.0)</f>
        <v>34</v>
      </c>
      <c r="AE151" s="320">
        <f>IFERROR(__xludf.DUMMYFUNCTION("""COMPUTED_VALUE"""),70.0)</f>
        <v>70</v>
      </c>
      <c r="AF151" s="320">
        <f>IFERROR(__xludf.DUMMYFUNCTION("""COMPUTED_VALUE"""),119.0)</f>
        <v>119</v>
      </c>
      <c r="AG151" s="320">
        <f>IFERROR(__xludf.DUMMYFUNCTION("""COMPUTED_VALUE"""),163.0)</f>
        <v>163</v>
      </c>
      <c r="AH151" s="320">
        <f>IFERROR(__xludf.DUMMYFUNCTION("""COMPUTED_VALUE"""),45.21)</f>
        <v>45.21</v>
      </c>
      <c r="AI151" s="320">
        <f>IFERROR(__xludf.DUMMYFUNCTION("""COMPUTED_VALUE"""),7.92)</f>
        <v>7.92</v>
      </c>
      <c r="AJ151" s="320">
        <f>IFERROR(__xludf.DUMMYFUNCTION("""COMPUTED_VALUE"""),0.99)</f>
        <v>0.99</v>
      </c>
      <c r="AK151" s="320">
        <f>IFERROR(__xludf.DUMMYFUNCTION("""COMPUTED_VALUE"""),0.099)</f>
        <v>0.099</v>
      </c>
      <c r="AL151" s="320">
        <f>IFERROR(__xludf.DUMMYFUNCTION("""COMPUTED_VALUE"""),23.3)</f>
        <v>23.3</v>
      </c>
      <c r="AM151" s="320">
        <f>IFERROR(__xludf.DUMMYFUNCTION("""COMPUTED_VALUE"""),314.68)</f>
        <v>314.68</v>
      </c>
      <c r="AN151" s="320">
        <f>IFERROR(__xludf.DUMMYFUNCTION("""COMPUTED_VALUE"""),82.3)</f>
        <v>82.3</v>
      </c>
      <c r="AO151" s="320">
        <f>IFERROR(__xludf.DUMMYFUNCTION("""COMPUTED_VALUE"""),19.18)</f>
        <v>19.18</v>
      </c>
    </row>
    <row r="152" ht="15.75" customHeight="1">
      <c r="A152" s="330">
        <f>IFERROR(__xludf.DUMMYFUNCTION("""COMPUTED_VALUE"""),46075.0)</f>
        <v>46075</v>
      </c>
      <c r="B152" s="319" t="str">
        <f>IFERROR(__xludf.DUMMYFUNCTION("""COMPUTED_VALUE"""),"A. 0")</f>
        <v>A. 0</v>
      </c>
      <c r="C152" s="320">
        <f>IFERROR(__xludf.DUMMYFUNCTION("""COMPUTED_VALUE"""),21220.0)</f>
        <v>21220</v>
      </c>
      <c r="D152" s="320">
        <f>IFERROR(__xludf.DUMMYFUNCTION("""COMPUTED_VALUE"""),19.8)</f>
        <v>19.8</v>
      </c>
      <c r="E152" s="320">
        <f>IFERROR(__xludf.DUMMYFUNCTION("""COMPUTED_VALUE"""),0.0)</f>
        <v>0</v>
      </c>
      <c r="F152" s="320">
        <f>IFERROR(__xludf.DUMMYFUNCTION("""COMPUTED_VALUE"""),0.0)</f>
        <v>0</v>
      </c>
      <c r="G152" s="320">
        <f>IFERROR(__xludf.DUMMYFUNCTION("""COMPUTED_VALUE"""),0.0)</f>
        <v>0</v>
      </c>
      <c r="H152" s="106"/>
      <c r="I152" s="320">
        <f>IFERROR(__xludf.DUMMYFUNCTION("""COMPUTED_VALUE"""),6.8)</f>
        <v>6.8</v>
      </c>
      <c r="J152" s="320">
        <f>IFERROR(__xludf.DUMMYFUNCTION("""COMPUTED_VALUE"""),2.74)</f>
        <v>2.74</v>
      </c>
      <c r="K152" s="320">
        <f>IFERROR(__xludf.DUMMYFUNCTION("""COMPUTED_VALUE"""),0.04)</f>
        <v>0.04</v>
      </c>
      <c r="L152" s="320">
        <f>IFERROR(__xludf.DUMMYFUNCTION("""COMPUTED_VALUE"""),0.013)</f>
        <v>0.013</v>
      </c>
      <c r="M152" s="320">
        <f>IFERROR(__xludf.DUMMYFUNCTION("""COMPUTED_VALUE"""),0.9909)</f>
        <v>0.9909</v>
      </c>
      <c r="N152" s="320">
        <f>IFERROR(__xludf.DUMMYFUNCTION("""COMPUTED_VALUE"""),0.8775)</f>
        <v>0.8775</v>
      </c>
      <c r="O152" s="320">
        <f>IFERROR(__xludf.DUMMYFUNCTION("""COMPUTED_VALUE"""),77.1273)</f>
        <v>77.1273</v>
      </c>
      <c r="P152" s="320">
        <f>IFERROR(__xludf.DUMMYFUNCTION("""COMPUTED_VALUE"""),22.53)</f>
        <v>22.53</v>
      </c>
      <c r="Q152" s="320">
        <f>IFERROR(__xludf.DUMMYFUNCTION("""COMPUTED_VALUE"""),22.38)</f>
        <v>22.38</v>
      </c>
      <c r="R152" s="320">
        <f>IFERROR(__xludf.DUMMYFUNCTION("""COMPUTED_VALUE"""),0.15)</f>
        <v>0.15</v>
      </c>
      <c r="S152" s="320">
        <f>IFERROR(__xludf.DUMMYFUNCTION("""COMPUTED_VALUE"""),0.0)</f>
        <v>0</v>
      </c>
      <c r="T152" s="320">
        <f>IFERROR(__xludf.DUMMYFUNCTION("""COMPUTED_VALUE"""),22.53)</f>
        <v>22.53</v>
      </c>
      <c r="U152" s="320">
        <f>IFERROR(__xludf.DUMMYFUNCTION("""COMPUTED_VALUE"""),2.1)</f>
        <v>2.1</v>
      </c>
      <c r="V152" s="320">
        <f>IFERROR(__xludf.DUMMYFUNCTION("""COMPUTED_VALUE"""),0.7661)</f>
        <v>0.7661</v>
      </c>
      <c r="W152" s="320">
        <f>IFERROR(__xludf.DUMMYFUNCTION("""COMPUTED_VALUE"""),0.0)</f>
        <v>0</v>
      </c>
      <c r="X152" s="320">
        <f>IFERROR(__xludf.DUMMYFUNCTION("""COMPUTED_VALUE"""),269.0)</f>
        <v>269</v>
      </c>
      <c r="Y152" s="320">
        <f>IFERROR(__xludf.DUMMYFUNCTION("""COMPUTED_VALUE"""),3210.0)</f>
        <v>3210</v>
      </c>
      <c r="Z152" s="320">
        <f>IFERROR(__xludf.DUMMYFUNCTION("""COMPUTED_VALUE"""),13873.0)</f>
        <v>13873</v>
      </c>
      <c r="AA152" s="320">
        <f>IFERROR(__xludf.DUMMYFUNCTION("""COMPUTED_VALUE"""),48.9431)</f>
        <v>48.9431</v>
      </c>
      <c r="AB152" s="320">
        <f>IFERROR(__xludf.DUMMYFUNCTION("""COMPUTED_VALUE"""),0.5443)</f>
        <v>0.5443</v>
      </c>
      <c r="AC152" s="106"/>
      <c r="AD152" s="106"/>
      <c r="AE152" s="106"/>
      <c r="AF152" s="106"/>
      <c r="AG152" s="106"/>
      <c r="AH152" s="320">
        <f>IFERROR(__xludf.DUMMYFUNCTION("""COMPUTED_VALUE"""),0.0)</f>
        <v>0</v>
      </c>
      <c r="AI152" s="320">
        <f>IFERROR(__xludf.DUMMYFUNCTION("""COMPUTED_VALUE"""),0.0)</f>
        <v>0</v>
      </c>
      <c r="AJ152" s="320">
        <f>IFERROR(__xludf.DUMMYFUNCTION("""COMPUTED_VALUE"""),0.0)</f>
        <v>0</v>
      </c>
      <c r="AK152" s="320">
        <f>IFERROR(__xludf.DUMMYFUNCTION("""COMPUTED_VALUE"""),0.2991)</f>
        <v>0.2991</v>
      </c>
      <c r="AL152" s="320">
        <f>IFERROR(__xludf.DUMMYFUNCTION("""COMPUTED_VALUE"""),17.98)</f>
        <v>17.98</v>
      </c>
      <c r="AM152" s="320">
        <f>IFERROR(__xludf.DUMMYFUNCTION("""COMPUTED_VALUE"""),4.4)</f>
        <v>4.4</v>
      </c>
      <c r="AN152" s="331"/>
      <c r="AO152" s="331"/>
    </row>
    <row r="153" ht="15.75" customHeight="1">
      <c r="A153" s="330">
        <f>IFERROR(__xludf.DUMMYFUNCTION("""COMPUTED_VALUE"""),46075.0)</f>
        <v>46075</v>
      </c>
      <c r="B153" s="319" t="str">
        <f>IFERROR(__xludf.DUMMYFUNCTION("""COMPUTED_VALUE"""),"B. 1-9")</f>
        <v>B. 1-9</v>
      </c>
      <c r="C153" s="320">
        <f>IFERROR(__xludf.DUMMYFUNCTION("""COMPUTED_VALUE"""),39246.0)</f>
        <v>39246</v>
      </c>
      <c r="D153" s="320">
        <f>IFERROR(__xludf.DUMMYFUNCTION("""COMPUTED_VALUE"""),36.61)</f>
        <v>36.61</v>
      </c>
      <c r="E153" s="320">
        <f>IFERROR(__xludf.DUMMYFUNCTION("""COMPUTED_VALUE"""),0.0)</f>
        <v>0</v>
      </c>
      <c r="F153" s="320">
        <f>IFERROR(__xludf.DUMMYFUNCTION("""COMPUTED_VALUE"""),0.0)</f>
        <v>0</v>
      </c>
      <c r="G153" s="320">
        <f>IFERROR(__xludf.DUMMYFUNCTION("""COMPUTED_VALUE"""),0.0)</f>
        <v>0</v>
      </c>
      <c r="H153" s="106"/>
      <c r="I153" s="320">
        <f>IFERROR(__xludf.DUMMYFUNCTION("""COMPUTED_VALUE"""),32.48)</f>
        <v>32.48</v>
      </c>
      <c r="J153" s="320">
        <f>IFERROR(__xludf.DUMMYFUNCTION("""COMPUTED_VALUE"""),14.85)</f>
        <v>14.85</v>
      </c>
      <c r="K153" s="320">
        <f>IFERROR(__xludf.DUMMYFUNCTION("""COMPUTED_VALUE"""),5.72)</f>
        <v>5.72</v>
      </c>
      <c r="L153" s="320">
        <f>IFERROR(__xludf.DUMMYFUNCTION("""COMPUTED_VALUE"""),0.3854)</f>
        <v>0.3854</v>
      </c>
      <c r="M153" s="320">
        <f>IFERROR(__xludf.DUMMYFUNCTION("""COMPUTED_VALUE"""),0.7768)</f>
        <v>0.7768</v>
      </c>
      <c r="N153" s="320">
        <f>IFERROR(__xludf.DUMMYFUNCTION("""COMPUTED_VALUE"""),0.5742)</f>
        <v>0.5742</v>
      </c>
      <c r="O153" s="320">
        <f>IFERROR(__xludf.DUMMYFUNCTION("""COMPUTED_VALUE"""),2.5949)</f>
        <v>2.5949</v>
      </c>
      <c r="P153" s="320">
        <f>IFERROR(__xludf.DUMMYFUNCTION("""COMPUTED_VALUE"""),46.92)</f>
        <v>46.92</v>
      </c>
      <c r="Q153" s="320">
        <f>IFERROR(__xludf.DUMMYFUNCTION("""COMPUTED_VALUE"""),34.92)</f>
        <v>34.92</v>
      </c>
      <c r="R153" s="320">
        <f>IFERROR(__xludf.DUMMYFUNCTION("""COMPUTED_VALUE"""),12.0)</f>
        <v>12</v>
      </c>
      <c r="S153" s="320">
        <f>IFERROR(__xludf.DUMMYFUNCTION("""COMPUTED_VALUE"""),0.08)</f>
        <v>0.08</v>
      </c>
      <c r="T153" s="320">
        <f>IFERROR(__xludf.DUMMYFUNCTION("""COMPUTED_VALUE"""),46.84)</f>
        <v>46.84</v>
      </c>
      <c r="U153" s="320">
        <f>IFERROR(__xludf.DUMMYFUNCTION("""COMPUTED_VALUE"""),53.28)</f>
        <v>53.28</v>
      </c>
      <c r="V153" s="320">
        <f>IFERROR(__xludf.DUMMYFUNCTION("""COMPUTED_VALUE"""),3.5879)</f>
        <v>3.5879</v>
      </c>
      <c r="W153" s="320">
        <f>IFERROR(__xludf.DUMMYFUNCTION("""COMPUTED_VALUE"""),0.16)</f>
        <v>0.16</v>
      </c>
      <c r="X153" s="320">
        <f>IFERROR(__xludf.DUMMYFUNCTION("""COMPUTED_VALUE"""),133.0)</f>
        <v>133</v>
      </c>
      <c r="Y153" s="320">
        <f>IFERROR(__xludf.DUMMYFUNCTION("""COMPUTED_VALUE"""),860.0)</f>
        <v>860</v>
      </c>
      <c r="Z153" s="320">
        <f>IFERROR(__xludf.DUMMYFUNCTION("""COMPUTED_VALUE"""),5652.0)</f>
        <v>5652</v>
      </c>
      <c r="AA153" s="320">
        <f>IFERROR(__xludf.DUMMYFUNCTION("""COMPUTED_VALUE"""),48.4937)</f>
        <v>48.4937</v>
      </c>
      <c r="AB153" s="320">
        <f>IFERROR(__xludf.DUMMYFUNCTION("""COMPUTED_VALUE"""),0.5372)</f>
        <v>0.5372</v>
      </c>
      <c r="AC153" s="320">
        <f>IFERROR(__xludf.DUMMYFUNCTION("""COMPUTED_VALUE"""),3.97)</f>
        <v>3.97</v>
      </c>
      <c r="AD153" s="320">
        <f>IFERROR(__xludf.DUMMYFUNCTION("""COMPUTED_VALUE"""),1.0)</f>
        <v>1</v>
      </c>
      <c r="AE153" s="320">
        <f>IFERROR(__xludf.DUMMYFUNCTION("""COMPUTED_VALUE"""),3.0)</f>
        <v>3</v>
      </c>
      <c r="AF153" s="320">
        <f>IFERROR(__xludf.DUMMYFUNCTION("""COMPUTED_VALUE"""),5.0)</f>
        <v>5</v>
      </c>
      <c r="AG153" s="320">
        <f>IFERROR(__xludf.DUMMYFUNCTION("""COMPUTED_VALUE"""),9.0)</f>
        <v>9</v>
      </c>
      <c r="AH153" s="320">
        <f>IFERROR(__xludf.DUMMYFUNCTION("""COMPUTED_VALUE"""),72.96)</f>
        <v>72.96</v>
      </c>
      <c r="AI153" s="320">
        <f>IFERROR(__xludf.DUMMYFUNCTION("""COMPUTED_VALUE"""),30.67)</f>
        <v>30.67</v>
      </c>
      <c r="AJ153" s="320">
        <f>IFERROR(__xludf.DUMMYFUNCTION("""COMPUTED_VALUE"""),8.21)</f>
        <v>8.21</v>
      </c>
      <c r="AK153" s="320">
        <f>IFERROR(__xludf.DUMMYFUNCTION("""COMPUTED_VALUE"""),0.2666)</f>
        <v>0.2666</v>
      </c>
      <c r="AL153" s="320">
        <f>IFERROR(__xludf.DUMMYFUNCTION("""COMPUTED_VALUE"""),20.51)</f>
        <v>20.51</v>
      </c>
      <c r="AM153" s="320">
        <f>IFERROR(__xludf.DUMMYFUNCTION("""COMPUTED_VALUE"""),14.41)</f>
        <v>14.41</v>
      </c>
      <c r="AN153" s="320">
        <f>IFERROR(__xludf.DUMMYFUNCTION("""COMPUTED_VALUE"""),64.74)</f>
        <v>64.74</v>
      </c>
      <c r="AO153" s="320">
        <f>IFERROR(__xludf.DUMMYFUNCTION("""COMPUTED_VALUE"""),13.28)</f>
        <v>13.28</v>
      </c>
    </row>
    <row r="154" ht="15.75" customHeight="1">
      <c r="A154" s="330">
        <f>IFERROR(__xludf.DUMMYFUNCTION("""COMPUTED_VALUE"""),46075.0)</f>
        <v>46075</v>
      </c>
      <c r="B154" s="319" t="str">
        <f>IFERROR(__xludf.DUMMYFUNCTION("""COMPUTED_VALUE"""),"C. 10-19")</f>
        <v>C. 10-19</v>
      </c>
      <c r="C154" s="320">
        <f>IFERROR(__xludf.DUMMYFUNCTION("""COMPUTED_VALUE"""),26365.0)</f>
        <v>26365</v>
      </c>
      <c r="D154" s="320">
        <f>IFERROR(__xludf.DUMMYFUNCTION("""COMPUTED_VALUE"""),24.6)</f>
        <v>24.6</v>
      </c>
      <c r="E154" s="320">
        <f>IFERROR(__xludf.DUMMYFUNCTION("""COMPUTED_VALUE"""),0.0)</f>
        <v>0</v>
      </c>
      <c r="F154" s="320">
        <f>IFERROR(__xludf.DUMMYFUNCTION("""COMPUTED_VALUE"""),0.0)</f>
        <v>0</v>
      </c>
      <c r="G154" s="320">
        <f>IFERROR(__xludf.DUMMYFUNCTION("""COMPUTED_VALUE"""),0.0)</f>
        <v>0</v>
      </c>
      <c r="H154" s="106"/>
      <c r="I154" s="320">
        <f>IFERROR(__xludf.DUMMYFUNCTION("""COMPUTED_VALUE"""),60.26)</f>
        <v>60.26</v>
      </c>
      <c r="J154" s="320">
        <f>IFERROR(__xludf.DUMMYFUNCTION("""COMPUTED_VALUE"""),28.66)</f>
        <v>28.66</v>
      </c>
      <c r="K154" s="320">
        <f>IFERROR(__xludf.DUMMYFUNCTION("""COMPUTED_VALUE"""),14.17)</f>
        <v>14.17</v>
      </c>
      <c r="L154" s="320">
        <f>IFERROR(__xludf.DUMMYFUNCTION("""COMPUTED_VALUE"""),0.4943)</f>
        <v>0.4943</v>
      </c>
      <c r="M154" s="320">
        <f>IFERROR(__xludf.DUMMYFUNCTION("""COMPUTED_VALUE"""),0.6873)</f>
        <v>0.6873</v>
      </c>
      <c r="N154" s="320">
        <f>IFERROR(__xludf.DUMMYFUNCTION("""COMPUTED_VALUE"""),0.4781)</f>
        <v>0.4781</v>
      </c>
      <c r="O154" s="320">
        <f>IFERROR(__xludf.DUMMYFUNCTION("""COMPUTED_VALUE"""),2.0229)</f>
        <v>2.0229</v>
      </c>
      <c r="P154" s="320">
        <f>IFERROR(__xludf.DUMMYFUNCTION("""COMPUTED_VALUE"""),80.49)</f>
        <v>80.49</v>
      </c>
      <c r="Q154" s="320">
        <f>IFERROR(__xludf.DUMMYFUNCTION("""COMPUTED_VALUE"""),50.7)</f>
        <v>50.7</v>
      </c>
      <c r="R154" s="320">
        <f>IFERROR(__xludf.DUMMYFUNCTION("""COMPUTED_VALUE"""),29.79)</f>
        <v>29.79</v>
      </c>
      <c r="S154" s="320">
        <f>IFERROR(__xludf.DUMMYFUNCTION("""COMPUTED_VALUE"""),0.14)</f>
        <v>0.14</v>
      </c>
      <c r="T154" s="320">
        <f>IFERROR(__xludf.DUMMYFUNCTION("""COMPUTED_VALUE"""),80.35)</f>
        <v>80.35</v>
      </c>
      <c r="U154" s="320">
        <f>IFERROR(__xludf.DUMMYFUNCTION("""COMPUTED_VALUE"""),98.27)</f>
        <v>98.27</v>
      </c>
      <c r="V154" s="320">
        <f>IFERROR(__xludf.DUMMYFUNCTION("""COMPUTED_VALUE"""),3.4294)</f>
        <v>3.4294</v>
      </c>
      <c r="W154" s="320">
        <f>IFERROR(__xludf.DUMMYFUNCTION("""COMPUTED_VALUE"""),0.18)</f>
        <v>0.18</v>
      </c>
      <c r="X154" s="320">
        <f>IFERROR(__xludf.DUMMYFUNCTION("""COMPUTED_VALUE"""),110.0)</f>
        <v>110</v>
      </c>
      <c r="Y154" s="320">
        <f>IFERROR(__xludf.DUMMYFUNCTION("""COMPUTED_VALUE"""),652.0)</f>
        <v>652</v>
      </c>
      <c r="Z154" s="320">
        <f>IFERROR(__xludf.DUMMYFUNCTION("""COMPUTED_VALUE"""),4787.0)</f>
        <v>4787</v>
      </c>
      <c r="AA154" s="320">
        <f>IFERROR(__xludf.DUMMYFUNCTION("""COMPUTED_VALUE"""),52.0534)</f>
        <v>52.0534</v>
      </c>
      <c r="AB154" s="320">
        <f>IFERROR(__xludf.DUMMYFUNCTION("""COMPUTED_VALUE"""),0.6312)</f>
        <v>0.6312</v>
      </c>
      <c r="AC154" s="320">
        <f>IFERROR(__xludf.DUMMYFUNCTION("""COMPUTED_VALUE"""),9.24)</f>
        <v>9.24</v>
      </c>
      <c r="AD154" s="320">
        <f>IFERROR(__xludf.DUMMYFUNCTION("""COMPUTED_VALUE"""),4.0)</f>
        <v>4</v>
      </c>
      <c r="AE154" s="320">
        <f>IFERROR(__xludf.DUMMYFUNCTION("""COMPUTED_VALUE"""),7.0)</f>
        <v>7</v>
      </c>
      <c r="AF154" s="320">
        <f>IFERROR(__xludf.DUMMYFUNCTION("""COMPUTED_VALUE"""),13.0)</f>
        <v>13</v>
      </c>
      <c r="AG154" s="320">
        <f>IFERROR(__xludf.DUMMYFUNCTION("""COMPUTED_VALUE"""),19.0)</f>
        <v>19</v>
      </c>
      <c r="AH154" s="320">
        <f>IFERROR(__xludf.DUMMYFUNCTION("""COMPUTED_VALUE"""),59.38)</f>
        <v>59.38</v>
      </c>
      <c r="AI154" s="320">
        <f>IFERROR(__xludf.DUMMYFUNCTION("""COMPUTED_VALUE"""),25.21)</f>
        <v>25.21</v>
      </c>
      <c r="AJ154" s="320">
        <f>IFERROR(__xludf.DUMMYFUNCTION("""COMPUTED_VALUE"""),4.47)</f>
        <v>4.47</v>
      </c>
      <c r="AK154" s="320">
        <f>IFERROR(__xludf.DUMMYFUNCTION("""COMPUTED_VALUE"""),0.2182)</f>
        <v>0.2182</v>
      </c>
      <c r="AL154" s="320">
        <f>IFERROR(__xludf.DUMMYFUNCTION("""COMPUTED_VALUE"""),21.82)</f>
        <v>21.82</v>
      </c>
      <c r="AM154" s="320">
        <f>IFERROR(__xludf.DUMMYFUNCTION("""COMPUTED_VALUE"""),28.88)</f>
        <v>28.88</v>
      </c>
      <c r="AN154" s="320">
        <f>IFERROR(__xludf.DUMMYFUNCTION("""COMPUTED_VALUE"""),73.93)</f>
        <v>73.93</v>
      </c>
      <c r="AO154" s="320">
        <f>IFERROR(__xludf.DUMMYFUNCTION("""COMPUTED_VALUE"""),16.13)</f>
        <v>16.13</v>
      </c>
    </row>
    <row r="155" ht="15.75" customHeight="1">
      <c r="A155" s="330">
        <f>IFERROR(__xludf.DUMMYFUNCTION("""COMPUTED_VALUE"""),46075.0)</f>
        <v>46075</v>
      </c>
      <c r="B155" s="319" t="str">
        <f>IFERROR(__xludf.DUMMYFUNCTION("""COMPUTED_VALUE"""),"D. 20-39")</f>
        <v>D. 20-39</v>
      </c>
      <c r="C155" s="320">
        <f>IFERROR(__xludf.DUMMYFUNCTION("""COMPUTED_VALUE"""),14280.0)</f>
        <v>14280</v>
      </c>
      <c r="D155" s="320">
        <f>IFERROR(__xludf.DUMMYFUNCTION("""COMPUTED_VALUE"""),13.32)</f>
        <v>13.32</v>
      </c>
      <c r="E155" s="320">
        <f>IFERROR(__xludf.DUMMYFUNCTION("""COMPUTED_VALUE"""),0.0)</f>
        <v>0</v>
      </c>
      <c r="F155" s="320">
        <f>IFERROR(__xludf.DUMMYFUNCTION("""COMPUTED_VALUE"""),0.0)</f>
        <v>0</v>
      </c>
      <c r="G155" s="320">
        <f>IFERROR(__xludf.DUMMYFUNCTION("""COMPUTED_VALUE"""),0.0)</f>
        <v>0</v>
      </c>
      <c r="H155" s="106"/>
      <c r="I155" s="320">
        <f>IFERROR(__xludf.DUMMYFUNCTION("""COMPUTED_VALUE"""),86.14)</f>
        <v>86.14</v>
      </c>
      <c r="J155" s="320">
        <f>IFERROR(__xludf.DUMMYFUNCTION("""COMPUTED_VALUE"""),43.25)</f>
        <v>43.25</v>
      </c>
      <c r="K155" s="320">
        <f>IFERROR(__xludf.DUMMYFUNCTION("""COMPUTED_VALUE"""),27.33)</f>
        <v>27.33</v>
      </c>
      <c r="L155" s="320">
        <f>IFERROR(__xludf.DUMMYFUNCTION("""COMPUTED_VALUE"""),0.6319)</f>
        <v>0.6319</v>
      </c>
      <c r="M155" s="320">
        <f>IFERROR(__xludf.DUMMYFUNCTION("""COMPUTED_VALUE"""),0.554)</f>
        <v>0.554</v>
      </c>
      <c r="N155" s="320">
        <f>IFERROR(__xludf.DUMMYFUNCTION("""COMPUTED_VALUE"""),0.3775)</f>
        <v>0.3775</v>
      </c>
      <c r="O155" s="320">
        <f>IFERROR(__xludf.DUMMYFUNCTION("""COMPUTED_VALUE"""),1.5824)</f>
        <v>1.5824</v>
      </c>
      <c r="P155" s="320">
        <f>IFERROR(__xludf.DUMMYFUNCTION("""COMPUTED_VALUE"""),127.66)</f>
        <v>127.66</v>
      </c>
      <c r="Q155" s="320">
        <f>IFERROR(__xludf.DUMMYFUNCTION("""COMPUTED_VALUE"""),70.11)</f>
        <v>70.11</v>
      </c>
      <c r="R155" s="320">
        <f>IFERROR(__xludf.DUMMYFUNCTION("""COMPUTED_VALUE"""),57.54)</f>
        <v>57.54</v>
      </c>
      <c r="S155" s="320">
        <f>IFERROR(__xludf.DUMMYFUNCTION("""COMPUTED_VALUE"""),0.21)</f>
        <v>0.21</v>
      </c>
      <c r="T155" s="320">
        <f>IFERROR(__xludf.DUMMYFUNCTION("""COMPUTED_VALUE"""),127.45)</f>
        <v>127.45</v>
      </c>
      <c r="U155" s="320">
        <f>IFERROR(__xludf.DUMMYFUNCTION("""COMPUTED_VALUE"""),164.97)</f>
        <v>164.97</v>
      </c>
      <c r="V155" s="320">
        <f>IFERROR(__xludf.DUMMYFUNCTION("""COMPUTED_VALUE"""),3.8147)</f>
        <v>3.8147</v>
      </c>
      <c r="W155" s="320">
        <f>IFERROR(__xludf.DUMMYFUNCTION("""COMPUTED_VALUE"""),0.16)</f>
        <v>0.16</v>
      </c>
      <c r="X155" s="320">
        <f>IFERROR(__xludf.DUMMYFUNCTION("""COMPUTED_VALUE"""),124.0)</f>
        <v>124</v>
      </c>
      <c r="Y155" s="320">
        <f>IFERROR(__xludf.DUMMYFUNCTION("""COMPUTED_VALUE"""),1039.0)</f>
        <v>1039</v>
      </c>
      <c r="Z155" s="320">
        <f>IFERROR(__xludf.DUMMYFUNCTION("""COMPUTED_VALUE"""),6809.0)</f>
        <v>6809</v>
      </c>
      <c r="AA155" s="320">
        <f>IFERROR(__xludf.DUMMYFUNCTION("""COMPUTED_VALUE"""),55.4248)</f>
        <v>55.4248</v>
      </c>
      <c r="AB155" s="320">
        <f>IFERROR(__xludf.DUMMYFUNCTION("""COMPUTED_VALUE"""),0.7322)</f>
        <v>0.7322</v>
      </c>
      <c r="AC155" s="320">
        <f>IFERROR(__xludf.DUMMYFUNCTION("""COMPUTED_VALUE"""),17.79)</f>
        <v>17.79</v>
      </c>
      <c r="AD155" s="320">
        <f>IFERROR(__xludf.DUMMYFUNCTION("""COMPUTED_VALUE"""),7.0)</f>
        <v>7</v>
      </c>
      <c r="AE155" s="320">
        <f>IFERROR(__xludf.DUMMYFUNCTION("""COMPUTED_VALUE"""),13.0)</f>
        <v>13</v>
      </c>
      <c r="AF155" s="320">
        <f>IFERROR(__xludf.DUMMYFUNCTION("""COMPUTED_VALUE"""),24.0)</f>
        <v>24</v>
      </c>
      <c r="AG155" s="320">
        <f>IFERROR(__xludf.DUMMYFUNCTION("""COMPUTED_VALUE"""),37.0)</f>
        <v>37</v>
      </c>
      <c r="AH155" s="320">
        <f>IFERROR(__xludf.DUMMYFUNCTION("""COMPUTED_VALUE"""),58.69)</f>
        <v>58.69</v>
      </c>
      <c r="AI155" s="320">
        <f>IFERROR(__xludf.DUMMYFUNCTION("""COMPUTED_VALUE"""),22.74)</f>
        <v>22.74</v>
      </c>
      <c r="AJ155" s="320">
        <f>IFERROR(__xludf.DUMMYFUNCTION("""COMPUTED_VALUE"""),7.58)</f>
        <v>7.58</v>
      </c>
      <c r="AK155" s="320">
        <f>IFERROR(__xludf.DUMMYFUNCTION("""COMPUTED_VALUE"""),0.2011)</f>
        <v>0.2011</v>
      </c>
      <c r="AL155" s="320">
        <f>IFERROR(__xludf.DUMMYFUNCTION("""COMPUTED_VALUE"""),21.56)</f>
        <v>21.56</v>
      </c>
      <c r="AM155" s="320">
        <f>IFERROR(__xludf.DUMMYFUNCTION("""COMPUTED_VALUE"""),48.55)</f>
        <v>48.55</v>
      </c>
      <c r="AN155" s="320">
        <f>IFERROR(__xludf.DUMMYFUNCTION("""COMPUTED_VALUE"""),76.28)</f>
        <v>76.28</v>
      </c>
      <c r="AO155" s="320">
        <f>IFERROR(__xludf.DUMMYFUNCTION("""COMPUTED_VALUE"""),16.45)</f>
        <v>16.45</v>
      </c>
    </row>
    <row r="156" ht="15.75" customHeight="1">
      <c r="A156" s="330">
        <f>IFERROR(__xludf.DUMMYFUNCTION("""COMPUTED_VALUE"""),46075.0)</f>
        <v>46075</v>
      </c>
      <c r="B156" s="319" t="str">
        <f>IFERROR(__xludf.DUMMYFUNCTION("""COMPUTED_VALUE"""),"E. 40-99")</f>
        <v>E. 40-99</v>
      </c>
      <c r="C156" s="320">
        <f>IFERROR(__xludf.DUMMYFUNCTION("""COMPUTED_VALUE"""),5467.0)</f>
        <v>5467</v>
      </c>
      <c r="D156" s="320">
        <f>IFERROR(__xludf.DUMMYFUNCTION("""COMPUTED_VALUE"""),5.1)</f>
        <v>5.1</v>
      </c>
      <c r="E156" s="320">
        <f>IFERROR(__xludf.DUMMYFUNCTION("""COMPUTED_VALUE"""),0.0)</f>
        <v>0</v>
      </c>
      <c r="F156" s="320">
        <f>IFERROR(__xludf.DUMMYFUNCTION("""COMPUTED_VALUE"""),0.0)</f>
        <v>0</v>
      </c>
      <c r="G156" s="320">
        <f>IFERROR(__xludf.DUMMYFUNCTION("""COMPUTED_VALUE"""),0.0)</f>
        <v>0</v>
      </c>
      <c r="H156" s="106"/>
      <c r="I156" s="320">
        <f>IFERROR(__xludf.DUMMYFUNCTION("""COMPUTED_VALUE"""),134.98)</f>
        <v>134.98</v>
      </c>
      <c r="J156" s="320">
        <f>IFERROR(__xludf.DUMMYFUNCTION("""COMPUTED_VALUE"""),72.58)</f>
        <v>72.58</v>
      </c>
      <c r="K156" s="320">
        <f>IFERROR(__xludf.DUMMYFUNCTION("""COMPUTED_VALUE"""),55.81)</f>
        <v>55.81</v>
      </c>
      <c r="L156" s="320">
        <f>IFERROR(__xludf.DUMMYFUNCTION("""COMPUTED_VALUE"""),0.7689)</f>
        <v>0.7689</v>
      </c>
      <c r="M156" s="320">
        <f>IFERROR(__xludf.DUMMYFUNCTION("""COMPUTED_VALUE"""),0.4086)</f>
        <v>0.4086</v>
      </c>
      <c r="N156" s="320">
        <f>IFERROR(__xludf.DUMMYFUNCTION("""COMPUTED_VALUE"""),0.2867)</f>
        <v>0.2867</v>
      </c>
      <c r="O156" s="320">
        <f>IFERROR(__xludf.DUMMYFUNCTION("""COMPUTED_VALUE"""),1.3006)</f>
        <v>1.3006</v>
      </c>
      <c r="P156" s="320">
        <f>IFERROR(__xludf.DUMMYFUNCTION("""COMPUTED_VALUE"""),221.54)</f>
        <v>221.54</v>
      </c>
      <c r="Q156" s="320">
        <f>IFERROR(__xludf.DUMMYFUNCTION("""COMPUTED_VALUE"""),103.66)</f>
        <v>103.66</v>
      </c>
      <c r="R156" s="320">
        <f>IFERROR(__xludf.DUMMYFUNCTION("""COMPUTED_VALUE"""),117.88)</f>
        <v>117.88</v>
      </c>
      <c r="S156" s="320">
        <f>IFERROR(__xludf.DUMMYFUNCTION("""COMPUTED_VALUE"""),0.0)</f>
        <v>0</v>
      </c>
      <c r="T156" s="320">
        <f>IFERROR(__xludf.DUMMYFUNCTION("""COMPUTED_VALUE"""),221.54)</f>
        <v>221.54</v>
      </c>
      <c r="U156" s="320">
        <f>IFERROR(__xludf.DUMMYFUNCTION("""COMPUTED_VALUE"""),307.04)</f>
        <v>307.04</v>
      </c>
      <c r="V156" s="320">
        <f>IFERROR(__xludf.DUMMYFUNCTION("""COMPUTED_VALUE"""),4.2303)</f>
        <v>4.2303</v>
      </c>
      <c r="W156" s="320">
        <f>IFERROR(__xludf.DUMMYFUNCTION("""COMPUTED_VALUE"""),0.0)</f>
        <v>0</v>
      </c>
      <c r="X156" s="320">
        <f>IFERROR(__xludf.DUMMYFUNCTION("""COMPUTED_VALUE"""),232.0)</f>
        <v>232</v>
      </c>
      <c r="Y156" s="320">
        <f>IFERROR(__xludf.DUMMYFUNCTION("""COMPUTED_VALUE"""),2331.0)</f>
        <v>2331</v>
      </c>
      <c r="Z156" s="320">
        <f>IFERROR(__xludf.DUMMYFUNCTION("""COMPUTED_VALUE"""),9473.0)</f>
        <v>9473</v>
      </c>
      <c r="AA156" s="320">
        <f>IFERROR(__xludf.DUMMYFUNCTION("""COMPUTED_VALUE"""),59.7715)</f>
        <v>59.7715</v>
      </c>
      <c r="AB156" s="320">
        <f>IFERROR(__xludf.DUMMYFUNCTION("""COMPUTED_VALUE"""),0.8299)</f>
        <v>0.8299</v>
      </c>
      <c r="AC156" s="320">
        <f>IFERROR(__xludf.DUMMYFUNCTION("""COMPUTED_VALUE"""),37.17)</f>
        <v>37.17</v>
      </c>
      <c r="AD156" s="320">
        <f>IFERROR(__xludf.DUMMYFUNCTION("""COMPUTED_VALUE"""),14.0)</f>
        <v>14</v>
      </c>
      <c r="AE156" s="320">
        <f>IFERROR(__xludf.DUMMYFUNCTION("""COMPUTED_VALUE"""),28.0)</f>
        <v>28</v>
      </c>
      <c r="AF156" s="320">
        <f>IFERROR(__xludf.DUMMYFUNCTION("""COMPUTED_VALUE"""),51.0)</f>
        <v>51</v>
      </c>
      <c r="AG156" s="320">
        <f>IFERROR(__xludf.DUMMYFUNCTION("""COMPUTED_VALUE"""),80.0)</f>
        <v>80</v>
      </c>
      <c r="AH156" s="320">
        <f>IFERROR(__xludf.DUMMYFUNCTION("""COMPUTED_VALUE"""),50.63)</f>
        <v>50.63</v>
      </c>
      <c r="AI156" s="320">
        <f>IFERROR(__xludf.DUMMYFUNCTION("""COMPUTED_VALUE"""),19.35)</f>
        <v>19.35</v>
      </c>
      <c r="AJ156" s="320">
        <f>IFERROR(__xludf.DUMMYFUNCTION("""COMPUTED_VALUE"""),5.29)</f>
        <v>5.29</v>
      </c>
      <c r="AK156" s="320">
        <f>IFERROR(__xludf.DUMMYFUNCTION("""COMPUTED_VALUE"""),0.1644)</f>
        <v>0.1644</v>
      </c>
      <c r="AL156" s="320">
        <f>IFERROR(__xludf.DUMMYFUNCTION("""COMPUTED_VALUE"""),21.42)</f>
        <v>21.42</v>
      </c>
      <c r="AM156" s="320">
        <f>IFERROR(__xludf.DUMMYFUNCTION("""COMPUTED_VALUE"""),82.24)</f>
        <v>82.24</v>
      </c>
      <c r="AN156" s="320">
        <f>IFERROR(__xludf.DUMMYFUNCTION("""COMPUTED_VALUE"""),79.87)</f>
        <v>79.87</v>
      </c>
      <c r="AO156" s="320">
        <f>IFERROR(__xludf.DUMMYFUNCTION("""COMPUTED_VALUE"""),17.11)</f>
        <v>17.11</v>
      </c>
    </row>
    <row r="157" ht="15.75" customHeight="1">
      <c r="A157" s="330">
        <f>IFERROR(__xludf.DUMMYFUNCTION("""COMPUTED_VALUE"""),46075.0)</f>
        <v>46075</v>
      </c>
      <c r="B157" s="319" t="str">
        <f>IFERROR(__xludf.DUMMYFUNCTION("""COMPUTED_VALUE"""),"F. 100+")</f>
        <v>F. 100+</v>
      </c>
      <c r="C157" s="320">
        <f>IFERROR(__xludf.DUMMYFUNCTION("""COMPUTED_VALUE"""),613.0)</f>
        <v>613</v>
      </c>
      <c r="D157" s="320">
        <f>IFERROR(__xludf.DUMMYFUNCTION("""COMPUTED_VALUE"""),0.57)</f>
        <v>0.57</v>
      </c>
      <c r="E157" s="320">
        <f>IFERROR(__xludf.DUMMYFUNCTION("""COMPUTED_VALUE"""),0.0)</f>
        <v>0</v>
      </c>
      <c r="F157" s="320">
        <f>IFERROR(__xludf.DUMMYFUNCTION("""COMPUTED_VALUE"""),0.0)</f>
        <v>0</v>
      </c>
      <c r="G157" s="320">
        <f>IFERROR(__xludf.DUMMYFUNCTION("""COMPUTED_VALUE"""),0.0)</f>
        <v>0</v>
      </c>
      <c r="H157" s="106"/>
      <c r="I157" s="320">
        <f>IFERROR(__xludf.DUMMYFUNCTION("""COMPUTED_VALUE"""),252.88)</f>
        <v>252.88</v>
      </c>
      <c r="J157" s="320">
        <f>IFERROR(__xludf.DUMMYFUNCTION("""COMPUTED_VALUE"""),148.02)</f>
        <v>148.02</v>
      </c>
      <c r="K157" s="320">
        <f>IFERROR(__xludf.DUMMYFUNCTION("""COMPUTED_VALUE"""),128.0)</f>
        <v>128</v>
      </c>
      <c r="L157" s="320">
        <f>IFERROR(__xludf.DUMMYFUNCTION("""COMPUTED_VALUE"""),0.8647)</f>
        <v>0.8647</v>
      </c>
      <c r="M157" s="320">
        <f>IFERROR(__xludf.DUMMYFUNCTION("""COMPUTED_VALUE"""),0.287)</f>
        <v>0.287</v>
      </c>
      <c r="N157" s="320">
        <f>IFERROR(__xludf.DUMMYFUNCTION("""COMPUTED_VALUE"""),0.2146)</f>
        <v>0.2146</v>
      </c>
      <c r="O157" s="320">
        <f>IFERROR(__xludf.DUMMYFUNCTION("""COMPUTED_VALUE"""),1.1564)</f>
        <v>1.1564</v>
      </c>
      <c r="P157" s="320">
        <f>IFERROR(__xludf.DUMMYFUNCTION("""COMPUTED_VALUE"""),443.57)</f>
        <v>443.57</v>
      </c>
      <c r="Q157" s="320">
        <f>IFERROR(__xludf.DUMMYFUNCTION("""COMPUTED_VALUE"""),167.23)</f>
        <v>167.23</v>
      </c>
      <c r="R157" s="320">
        <f>IFERROR(__xludf.DUMMYFUNCTION("""COMPUTED_VALUE"""),276.34)</f>
        <v>276.34</v>
      </c>
      <c r="S157" s="320">
        <f>IFERROR(__xludf.DUMMYFUNCTION("""COMPUTED_VALUE"""),0.0)</f>
        <v>0</v>
      </c>
      <c r="T157" s="320">
        <f>IFERROR(__xludf.DUMMYFUNCTION("""COMPUTED_VALUE"""),443.57)</f>
        <v>443.57</v>
      </c>
      <c r="U157" s="320">
        <f>IFERROR(__xludf.DUMMYFUNCTION("""COMPUTED_VALUE"""),648.78)</f>
        <v>648.78</v>
      </c>
      <c r="V157" s="320">
        <f>IFERROR(__xludf.DUMMYFUNCTION("""COMPUTED_VALUE"""),4.3829)</f>
        <v>4.3829</v>
      </c>
      <c r="W157" s="320">
        <f>IFERROR(__xludf.DUMMYFUNCTION("""COMPUTED_VALUE"""),0.0)</f>
        <v>0</v>
      </c>
      <c r="X157" s="320">
        <f>IFERROR(__xludf.DUMMYFUNCTION("""COMPUTED_VALUE"""),924.0)</f>
        <v>924</v>
      </c>
      <c r="Y157" s="320">
        <f>IFERROR(__xludf.DUMMYFUNCTION("""COMPUTED_VALUE"""),4082.0)</f>
        <v>4082</v>
      </c>
      <c r="Z157" s="320">
        <f>IFERROR(__xludf.DUMMYFUNCTION("""COMPUTED_VALUE"""),11442.0)</f>
        <v>11442</v>
      </c>
      <c r="AA157" s="320">
        <f>IFERROR(__xludf.DUMMYFUNCTION("""COMPUTED_VALUE"""),63.6739)</f>
        <v>63.6739</v>
      </c>
      <c r="AB157" s="320">
        <f>IFERROR(__xludf.DUMMYFUNCTION("""COMPUTED_VALUE"""),0.8992)</f>
        <v>0.8992</v>
      </c>
      <c r="AC157" s="320">
        <f>IFERROR(__xludf.DUMMYFUNCTION("""COMPUTED_VALUE"""),85.41)</f>
        <v>85.41</v>
      </c>
      <c r="AD157" s="320">
        <f>IFERROR(__xludf.DUMMYFUNCTION("""COMPUTED_VALUE"""),34.0)</f>
        <v>34</v>
      </c>
      <c r="AE157" s="320">
        <f>IFERROR(__xludf.DUMMYFUNCTION("""COMPUTED_VALUE"""),64.0)</f>
        <v>64</v>
      </c>
      <c r="AF157" s="320">
        <f>IFERROR(__xludf.DUMMYFUNCTION("""COMPUTED_VALUE"""),120.0)</f>
        <v>120</v>
      </c>
      <c r="AG157" s="320">
        <f>IFERROR(__xludf.DUMMYFUNCTION("""COMPUTED_VALUE"""),170.0)</f>
        <v>170</v>
      </c>
      <c r="AH157" s="320">
        <f>IFERROR(__xludf.DUMMYFUNCTION("""COMPUTED_VALUE"""),42.25)</f>
        <v>42.25</v>
      </c>
      <c r="AI157" s="320">
        <f>IFERROR(__xludf.DUMMYFUNCTION("""COMPUTED_VALUE"""),9.3)</f>
        <v>9.3</v>
      </c>
      <c r="AJ157" s="320">
        <f>IFERROR(__xludf.DUMMYFUNCTION("""COMPUTED_VALUE"""),1.96)</f>
        <v>1.96</v>
      </c>
      <c r="AK157" s="320">
        <f>IFERROR(__xludf.DUMMYFUNCTION("""COMPUTED_VALUE"""),0.1142)</f>
        <v>0.1142</v>
      </c>
      <c r="AL157" s="320">
        <f>IFERROR(__xludf.DUMMYFUNCTION("""COMPUTED_VALUE"""),24.03)</f>
        <v>24.03</v>
      </c>
      <c r="AM157" s="320">
        <f>IFERROR(__xludf.DUMMYFUNCTION("""COMPUTED_VALUE"""),143.2)</f>
        <v>143.2</v>
      </c>
      <c r="AN157" s="320">
        <f>IFERROR(__xludf.DUMMYFUNCTION("""COMPUTED_VALUE"""),80.54)</f>
        <v>80.54</v>
      </c>
      <c r="AO157" s="320">
        <f>IFERROR(__xludf.DUMMYFUNCTION("""COMPUTED_VALUE"""),19.35)</f>
        <v>19.35</v>
      </c>
    </row>
    <row r="158" ht="15.75" customHeight="1">
      <c r="A158" s="330">
        <f>IFERROR(__xludf.DUMMYFUNCTION("""COMPUTED_VALUE"""),46076.0)</f>
        <v>46076</v>
      </c>
      <c r="B158" s="319" t="str">
        <f>IFERROR(__xludf.DUMMYFUNCTION("""COMPUTED_VALUE"""),"A. 0")</f>
        <v>A. 0</v>
      </c>
      <c r="C158" s="320">
        <f>IFERROR(__xludf.DUMMYFUNCTION("""COMPUTED_VALUE"""),20648.0)</f>
        <v>20648</v>
      </c>
      <c r="D158" s="320">
        <f>IFERROR(__xludf.DUMMYFUNCTION("""COMPUTED_VALUE"""),18.47)</f>
        <v>18.47</v>
      </c>
      <c r="E158" s="320">
        <f>IFERROR(__xludf.DUMMYFUNCTION("""COMPUTED_VALUE"""),0.0)</f>
        <v>0</v>
      </c>
      <c r="F158" s="320">
        <f>IFERROR(__xludf.DUMMYFUNCTION("""COMPUTED_VALUE"""),0.0)</f>
        <v>0</v>
      </c>
      <c r="G158" s="320">
        <f>IFERROR(__xludf.DUMMYFUNCTION("""COMPUTED_VALUE"""),0.0)</f>
        <v>0</v>
      </c>
      <c r="H158" s="106"/>
      <c r="I158" s="320">
        <f>IFERROR(__xludf.DUMMYFUNCTION("""COMPUTED_VALUE"""),5.92)</f>
        <v>5.92</v>
      </c>
      <c r="J158" s="320">
        <f>IFERROR(__xludf.DUMMYFUNCTION("""COMPUTED_VALUE"""),2.36)</f>
        <v>2.36</v>
      </c>
      <c r="K158" s="320">
        <f>IFERROR(__xludf.DUMMYFUNCTION("""COMPUTED_VALUE"""),0.08)</f>
        <v>0.08</v>
      </c>
      <c r="L158" s="320">
        <f>IFERROR(__xludf.DUMMYFUNCTION("""COMPUTED_VALUE"""),0.0337)</f>
        <v>0.0337</v>
      </c>
      <c r="M158" s="320">
        <f>IFERROR(__xludf.DUMMYFUNCTION("""COMPUTED_VALUE"""),0.9741)</f>
        <v>0.9741</v>
      </c>
      <c r="N158" s="320">
        <f>IFERROR(__xludf.DUMMYFUNCTION("""COMPUTED_VALUE"""),0.7352)</f>
        <v>0.7352</v>
      </c>
      <c r="O158" s="320">
        <f>IFERROR(__xludf.DUMMYFUNCTION("""COMPUTED_VALUE"""),29.7035)</f>
        <v>29.7035</v>
      </c>
      <c r="P158" s="320">
        <f>IFERROR(__xludf.DUMMYFUNCTION("""COMPUTED_VALUE"""),32.58)</f>
        <v>32.58</v>
      </c>
      <c r="Q158" s="320">
        <f>IFERROR(__xludf.DUMMYFUNCTION("""COMPUTED_VALUE"""),32.47)</f>
        <v>32.47</v>
      </c>
      <c r="R158" s="320">
        <f>IFERROR(__xludf.DUMMYFUNCTION("""COMPUTED_VALUE"""),0.11)</f>
        <v>0.11</v>
      </c>
      <c r="S158" s="320">
        <f>IFERROR(__xludf.DUMMYFUNCTION("""COMPUTED_VALUE"""),0.0)</f>
        <v>0</v>
      </c>
      <c r="T158" s="320">
        <f>IFERROR(__xludf.DUMMYFUNCTION("""COMPUTED_VALUE"""),32.58)</f>
        <v>32.58</v>
      </c>
      <c r="U158" s="320">
        <f>IFERROR(__xludf.DUMMYFUNCTION("""COMPUTED_VALUE"""),2.21)</f>
        <v>2.21</v>
      </c>
      <c r="V158" s="320">
        <f>IFERROR(__xludf.DUMMYFUNCTION("""COMPUTED_VALUE"""),0.9356)</f>
        <v>0.9356</v>
      </c>
      <c r="W158" s="320">
        <f>IFERROR(__xludf.DUMMYFUNCTION("""COMPUTED_VALUE"""),0.0)</f>
        <v>0</v>
      </c>
      <c r="X158" s="320">
        <f>IFERROR(__xludf.DUMMYFUNCTION("""COMPUTED_VALUE"""),375.0)</f>
        <v>375</v>
      </c>
      <c r="Y158" s="320">
        <f>IFERROR(__xludf.DUMMYFUNCTION("""COMPUTED_VALUE"""),4114.0)</f>
        <v>4114</v>
      </c>
      <c r="Z158" s="320">
        <f>IFERROR(__xludf.DUMMYFUNCTION("""COMPUTED_VALUE"""),15180.0)</f>
        <v>15180</v>
      </c>
      <c r="AA158" s="320">
        <f>IFERROR(__xludf.DUMMYFUNCTION("""COMPUTED_VALUE"""),49.1705)</f>
        <v>49.1705</v>
      </c>
      <c r="AB158" s="320">
        <f>IFERROR(__xludf.DUMMYFUNCTION("""COMPUTED_VALUE"""),0.5501)</f>
        <v>0.5501</v>
      </c>
      <c r="AC158" s="106"/>
      <c r="AD158" s="106"/>
      <c r="AE158" s="106"/>
      <c r="AF158" s="106"/>
      <c r="AG158" s="106"/>
      <c r="AH158" s="320">
        <f>IFERROR(__xludf.DUMMYFUNCTION("""COMPUTED_VALUE"""),0.0)</f>
        <v>0</v>
      </c>
      <c r="AI158" s="320">
        <f>IFERROR(__xludf.DUMMYFUNCTION("""COMPUTED_VALUE"""),0.0)</f>
        <v>0</v>
      </c>
      <c r="AJ158" s="320">
        <f>IFERROR(__xludf.DUMMYFUNCTION("""COMPUTED_VALUE"""),0.0)</f>
        <v>0</v>
      </c>
      <c r="AK158" s="320">
        <f>IFERROR(__xludf.DUMMYFUNCTION("""COMPUTED_VALUE"""),0.2852)</f>
        <v>0.2852</v>
      </c>
      <c r="AL158" s="320">
        <f>IFERROR(__xludf.DUMMYFUNCTION("""COMPUTED_VALUE"""),16.69)</f>
        <v>16.69</v>
      </c>
      <c r="AM158" s="320">
        <f>IFERROR(__xludf.DUMMYFUNCTION("""COMPUTED_VALUE"""),15.78)</f>
        <v>15.78</v>
      </c>
      <c r="AN158" s="331"/>
      <c r="AO158" s="331"/>
    </row>
    <row r="159" ht="15.75" customHeight="1">
      <c r="A159" s="330">
        <f>IFERROR(__xludf.DUMMYFUNCTION("""COMPUTED_VALUE"""),46076.0)</f>
        <v>46076</v>
      </c>
      <c r="B159" s="319" t="str">
        <f>IFERROR(__xludf.DUMMYFUNCTION("""COMPUTED_VALUE"""),"B. 1-9")</f>
        <v>B. 1-9</v>
      </c>
      <c r="C159" s="320">
        <f>IFERROR(__xludf.DUMMYFUNCTION("""COMPUTED_VALUE"""),40565.0)</f>
        <v>40565</v>
      </c>
      <c r="D159" s="320">
        <f>IFERROR(__xludf.DUMMYFUNCTION("""COMPUTED_VALUE"""),36.29)</f>
        <v>36.29</v>
      </c>
      <c r="E159" s="320">
        <f>IFERROR(__xludf.DUMMYFUNCTION("""COMPUTED_VALUE"""),0.0)</f>
        <v>0</v>
      </c>
      <c r="F159" s="320">
        <f>IFERROR(__xludf.DUMMYFUNCTION("""COMPUTED_VALUE"""),0.0)</f>
        <v>0</v>
      </c>
      <c r="G159" s="320">
        <f>IFERROR(__xludf.DUMMYFUNCTION("""COMPUTED_VALUE"""),0.0)</f>
        <v>0</v>
      </c>
      <c r="H159" s="106"/>
      <c r="I159" s="320">
        <f>IFERROR(__xludf.DUMMYFUNCTION("""COMPUTED_VALUE"""),33.07)</f>
        <v>33.07</v>
      </c>
      <c r="J159" s="320">
        <f>IFERROR(__xludf.DUMMYFUNCTION("""COMPUTED_VALUE"""),14.95)</f>
        <v>14.95</v>
      </c>
      <c r="K159" s="320">
        <f>IFERROR(__xludf.DUMMYFUNCTION("""COMPUTED_VALUE"""),5.84)</f>
        <v>5.84</v>
      </c>
      <c r="L159" s="320">
        <f>IFERROR(__xludf.DUMMYFUNCTION("""COMPUTED_VALUE"""),0.3904)</f>
        <v>0.3904</v>
      </c>
      <c r="M159" s="320">
        <f>IFERROR(__xludf.DUMMYFUNCTION("""COMPUTED_VALUE"""),0.7793)</f>
        <v>0.7793</v>
      </c>
      <c r="N159" s="320">
        <f>IFERROR(__xludf.DUMMYFUNCTION("""COMPUTED_VALUE"""),0.5856)</f>
        <v>0.5856</v>
      </c>
      <c r="O159" s="320">
        <f>IFERROR(__xludf.DUMMYFUNCTION("""COMPUTED_VALUE"""),2.5615)</f>
        <v>2.5615</v>
      </c>
      <c r="P159" s="320">
        <f>IFERROR(__xludf.DUMMYFUNCTION("""COMPUTED_VALUE"""),72.71)</f>
        <v>72.71</v>
      </c>
      <c r="Q159" s="320">
        <f>IFERROR(__xludf.DUMMYFUNCTION("""COMPUTED_VALUE"""),60.91)</f>
        <v>60.91</v>
      </c>
      <c r="R159" s="320">
        <f>IFERROR(__xludf.DUMMYFUNCTION("""COMPUTED_VALUE"""),11.8)</f>
        <v>11.8</v>
      </c>
      <c r="S159" s="320">
        <f>IFERROR(__xludf.DUMMYFUNCTION("""COMPUTED_VALUE"""),0.19)</f>
        <v>0.19</v>
      </c>
      <c r="T159" s="320">
        <f>IFERROR(__xludf.DUMMYFUNCTION("""COMPUTED_VALUE"""),72.52)</f>
        <v>72.52</v>
      </c>
      <c r="U159" s="320">
        <f>IFERROR(__xludf.DUMMYFUNCTION("""COMPUTED_VALUE"""),61.88)</f>
        <v>61.88</v>
      </c>
      <c r="V159" s="320">
        <f>IFERROR(__xludf.DUMMYFUNCTION("""COMPUTED_VALUE"""),4.1393)</f>
        <v>4.1393</v>
      </c>
      <c r="W159" s="320">
        <f>IFERROR(__xludf.DUMMYFUNCTION("""COMPUTED_VALUE"""),0.26)</f>
        <v>0.26</v>
      </c>
      <c r="X159" s="320">
        <f>IFERROR(__xludf.DUMMYFUNCTION("""COMPUTED_VALUE"""),151.0)</f>
        <v>151</v>
      </c>
      <c r="Y159" s="320">
        <f>IFERROR(__xludf.DUMMYFUNCTION("""COMPUTED_VALUE"""),811.0)</f>
        <v>811</v>
      </c>
      <c r="Z159" s="320">
        <f>IFERROR(__xludf.DUMMYFUNCTION("""COMPUTED_VALUE"""),5645.0)</f>
        <v>5645</v>
      </c>
      <c r="AA159" s="320">
        <f>IFERROR(__xludf.DUMMYFUNCTION("""COMPUTED_VALUE"""),48.4898)</f>
        <v>48.4898</v>
      </c>
      <c r="AB159" s="320">
        <f>IFERROR(__xludf.DUMMYFUNCTION("""COMPUTED_VALUE"""),0.5221)</f>
        <v>0.5221</v>
      </c>
      <c r="AC159" s="320">
        <f>IFERROR(__xludf.DUMMYFUNCTION("""COMPUTED_VALUE"""),3.94)</f>
        <v>3.94</v>
      </c>
      <c r="AD159" s="320">
        <f>IFERROR(__xludf.DUMMYFUNCTION("""COMPUTED_VALUE"""),1.0)</f>
        <v>1</v>
      </c>
      <c r="AE159" s="320">
        <f>IFERROR(__xludf.DUMMYFUNCTION("""COMPUTED_VALUE"""),3.0)</f>
        <v>3</v>
      </c>
      <c r="AF159" s="320">
        <f>IFERROR(__xludf.DUMMYFUNCTION("""COMPUTED_VALUE"""),5.0)</f>
        <v>5</v>
      </c>
      <c r="AG159" s="320">
        <f>IFERROR(__xludf.DUMMYFUNCTION("""COMPUTED_VALUE"""),9.0)</f>
        <v>9</v>
      </c>
      <c r="AH159" s="320">
        <f>IFERROR(__xludf.DUMMYFUNCTION("""COMPUTED_VALUE"""),73.4)</f>
        <v>73.4</v>
      </c>
      <c r="AI159" s="320">
        <f>IFERROR(__xludf.DUMMYFUNCTION("""COMPUTED_VALUE"""),29.91)</f>
        <v>29.91</v>
      </c>
      <c r="AJ159" s="320">
        <f>IFERROR(__xludf.DUMMYFUNCTION("""COMPUTED_VALUE"""),7.93)</f>
        <v>7.93</v>
      </c>
      <c r="AK159" s="320">
        <f>IFERROR(__xludf.DUMMYFUNCTION("""COMPUTED_VALUE"""),0.2403)</f>
        <v>0.2403</v>
      </c>
      <c r="AL159" s="320">
        <f>IFERROR(__xludf.DUMMYFUNCTION("""COMPUTED_VALUE"""),18.59)</f>
        <v>18.59</v>
      </c>
      <c r="AM159" s="320">
        <f>IFERROR(__xludf.DUMMYFUNCTION("""COMPUTED_VALUE"""),42.31)</f>
        <v>42.31</v>
      </c>
      <c r="AN159" s="320">
        <f>IFERROR(__xludf.DUMMYFUNCTION("""COMPUTED_VALUE"""),65.06)</f>
        <v>65.06</v>
      </c>
      <c r="AO159" s="320">
        <f>IFERROR(__xludf.DUMMYFUNCTION("""COMPUTED_VALUE"""),12.09)</f>
        <v>12.09</v>
      </c>
    </row>
    <row r="160" ht="15.75" customHeight="1">
      <c r="A160" s="330">
        <f>IFERROR(__xludf.DUMMYFUNCTION("""COMPUTED_VALUE"""),46076.0)</f>
        <v>46076</v>
      </c>
      <c r="B160" s="319" t="str">
        <f>IFERROR(__xludf.DUMMYFUNCTION("""COMPUTED_VALUE"""),"C. 10-19")</f>
        <v>C. 10-19</v>
      </c>
      <c r="C160" s="320">
        <f>IFERROR(__xludf.DUMMYFUNCTION("""COMPUTED_VALUE"""),28403.0)</f>
        <v>28403</v>
      </c>
      <c r="D160" s="320">
        <f>IFERROR(__xludf.DUMMYFUNCTION("""COMPUTED_VALUE"""),25.41)</f>
        <v>25.41</v>
      </c>
      <c r="E160" s="320">
        <f>IFERROR(__xludf.DUMMYFUNCTION("""COMPUTED_VALUE"""),0.0)</f>
        <v>0</v>
      </c>
      <c r="F160" s="320">
        <f>IFERROR(__xludf.DUMMYFUNCTION("""COMPUTED_VALUE"""),0.0)</f>
        <v>0</v>
      </c>
      <c r="G160" s="320">
        <f>IFERROR(__xludf.DUMMYFUNCTION("""COMPUTED_VALUE"""),0.0)</f>
        <v>0</v>
      </c>
      <c r="H160" s="106"/>
      <c r="I160" s="320">
        <f>IFERROR(__xludf.DUMMYFUNCTION("""COMPUTED_VALUE"""),62.87)</f>
        <v>62.87</v>
      </c>
      <c r="J160" s="320">
        <f>IFERROR(__xludf.DUMMYFUNCTION("""COMPUTED_VALUE"""),29.49)</f>
        <v>29.49</v>
      </c>
      <c r="K160" s="320">
        <f>IFERROR(__xludf.DUMMYFUNCTION("""COMPUTED_VALUE"""),15.08)</f>
        <v>15.08</v>
      </c>
      <c r="L160" s="320">
        <f>IFERROR(__xludf.DUMMYFUNCTION("""COMPUTED_VALUE"""),0.5113)</f>
        <v>0.5113</v>
      </c>
      <c r="M160" s="320">
        <f>IFERROR(__xludf.DUMMYFUNCTION("""COMPUTED_VALUE"""),0.684)</f>
        <v>0.684</v>
      </c>
      <c r="N160" s="320">
        <f>IFERROR(__xludf.DUMMYFUNCTION("""COMPUTED_VALUE"""),0.4844)</f>
        <v>0.4844</v>
      </c>
      <c r="O160" s="320">
        <f>IFERROR(__xludf.DUMMYFUNCTION("""COMPUTED_VALUE"""),1.9559)</f>
        <v>1.9559</v>
      </c>
      <c r="P160" s="320">
        <f>IFERROR(__xludf.DUMMYFUNCTION("""COMPUTED_VALUE"""),132.44)</f>
        <v>132.44</v>
      </c>
      <c r="Q160" s="320">
        <f>IFERROR(__xludf.DUMMYFUNCTION("""COMPUTED_VALUE"""),102.29)</f>
        <v>102.29</v>
      </c>
      <c r="R160" s="320">
        <f>IFERROR(__xludf.DUMMYFUNCTION("""COMPUTED_VALUE"""),30.16)</f>
        <v>30.16</v>
      </c>
      <c r="S160" s="320">
        <f>IFERROR(__xludf.DUMMYFUNCTION("""COMPUTED_VALUE"""),0.08)</f>
        <v>0.08</v>
      </c>
      <c r="T160" s="320">
        <f>IFERROR(__xludf.DUMMYFUNCTION("""COMPUTED_VALUE"""),132.36)</f>
        <v>132.36</v>
      </c>
      <c r="U160" s="320">
        <f>IFERROR(__xludf.DUMMYFUNCTION("""COMPUTED_VALUE"""),119.02)</f>
        <v>119.02</v>
      </c>
      <c r="V160" s="320">
        <f>IFERROR(__xludf.DUMMYFUNCTION("""COMPUTED_VALUE"""),4.0366)</f>
        <v>4.0366</v>
      </c>
      <c r="W160" s="320">
        <f>IFERROR(__xludf.DUMMYFUNCTION("""COMPUTED_VALUE"""),0.06)</f>
        <v>0.06</v>
      </c>
      <c r="X160" s="320">
        <f>IFERROR(__xludf.DUMMYFUNCTION("""COMPUTED_VALUE"""),134.0)</f>
        <v>134</v>
      </c>
      <c r="Y160" s="320">
        <f>IFERROR(__xludf.DUMMYFUNCTION("""COMPUTED_VALUE"""),716.0)</f>
        <v>716</v>
      </c>
      <c r="Z160" s="320">
        <f>IFERROR(__xludf.DUMMYFUNCTION("""COMPUTED_VALUE"""),5445.0)</f>
        <v>5445</v>
      </c>
      <c r="AA160" s="320">
        <f>IFERROR(__xludf.DUMMYFUNCTION("""COMPUTED_VALUE"""),51.983)</f>
        <v>51.983</v>
      </c>
      <c r="AB160" s="320">
        <f>IFERROR(__xludf.DUMMYFUNCTION("""COMPUTED_VALUE"""),0.5828)</f>
        <v>0.5828</v>
      </c>
      <c r="AC160" s="320">
        <f>IFERROR(__xludf.DUMMYFUNCTION("""COMPUTED_VALUE"""),9.62)</f>
        <v>9.62</v>
      </c>
      <c r="AD160" s="320">
        <f>IFERROR(__xludf.DUMMYFUNCTION("""COMPUTED_VALUE"""),4.0)</f>
        <v>4</v>
      </c>
      <c r="AE160" s="320">
        <f>IFERROR(__xludf.DUMMYFUNCTION("""COMPUTED_VALUE"""),7.0)</f>
        <v>7</v>
      </c>
      <c r="AF160" s="320">
        <f>IFERROR(__xludf.DUMMYFUNCTION("""COMPUTED_VALUE"""),13.0)</f>
        <v>13</v>
      </c>
      <c r="AG160" s="320">
        <f>IFERROR(__xludf.DUMMYFUNCTION("""COMPUTED_VALUE"""),20.0)</f>
        <v>20</v>
      </c>
      <c r="AH160" s="320">
        <f>IFERROR(__xludf.DUMMYFUNCTION("""COMPUTED_VALUE"""),60.44)</f>
        <v>60.44</v>
      </c>
      <c r="AI160" s="320">
        <f>IFERROR(__xludf.DUMMYFUNCTION("""COMPUTED_VALUE"""),27.48)</f>
        <v>27.48</v>
      </c>
      <c r="AJ160" s="320">
        <f>IFERROR(__xludf.DUMMYFUNCTION("""COMPUTED_VALUE"""),5.05)</f>
        <v>5.05</v>
      </c>
      <c r="AK160" s="320">
        <f>IFERROR(__xludf.DUMMYFUNCTION("""COMPUTED_VALUE"""),0.1769)</f>
        <v>0.1769</v>
      </c>
      <c r="AL160" s="320">
        <f>IFERROR(__xludf.DUMMYFUNCTION("""COMPUTED_VALUE"""),19.31)</f>
        <v>19.31</v>
      </c>
      <c r="AM160" s="320">
        <f>IFERROR(__xludf.DUMMYFUNCTION("""COMPUTED_VALUE"""),82.98)</f>
        <v>82.98</v>
      </c>
      <c r="AN160" s="320">
        <f>IFERROR(__xludf.DUMMYFUNCTION("""COMPUTED_VALUE"""),72.53)</f>
        <v>72.53</v>
      </c>
      <c r="AO160" s="320">
        <f>IFERROR(__xludf.DUMMYFUNCTION("""COMPUTED_VALUE"""),14.01)</f>
        <v>14.01</v>
      </c>
    </row>
    <row r="161" ht="15.75" customHeight="1">
      <c r="A161" s="330">
        <f>IFERROR(__xludf.DUMMYFUNCTION("""COMPUTED_VALUE"""),46076.0)</f>
        <v>46076</v>
      </c>
      <c r="B161" s="319" t="str">
        <f>IFERROR(__xludf.DUMMYFUNCTION("""COMPUTED_VALUE"""),"D. 20-39")</f>
        <v>D. 20-39</v>
      </c>
      <c r="C161" s="320">
        <f>IFERROR(__xludf.DUMMYFUNCTION("""COMPUTED_VALUE"""),15553.0)</f>
        <v>15553</v>
      </c>
      <c r="D161" s="320">
        <f>IFERROR(__xludf.DUMMYFUNCTION("""COMPUTED_VALUE"""),13.91)</f>
        <v>13.91</v>
      </c>
      <c r="E161" s="320">
        <f>IFERROR(__xludf.DUMMYFUNCTION("""COMPUTED_VALUE"""),0.0)</f>
        <v>0</v>
      </c>
      <c r="F161" s="320">
        <f>IFERROR(__xludf.DUMMYFUNCTION("""COMPUTED_VALUE"""),0.0)</f>
        <v>0</v>
      </c>
      <c r="G161" s="320">
        <f>IFERROR(__xludf.DUMMYFUNCTION("""COMPUTED_VALUE"""),0.0)</f>
        <v>0</v>
      </c>
      <c r="H161" s="106"/>
      <c r="I161" s="320">
        <f>IFERROR(__xludf.DUMMYFUNCTION("""COMPUTED_VALUE"""),90.7)</f>
        <v>90.7</v>
      </c>
      <c r="J161" s="320">
        <f>IFERROR(__xludf.DUMMYFUNCTION("""COMPUTED_VALUE"""),45.02)</f>
        <v>45.02</v>
      </c>
      <c r="K161" s="320">
        <f>IFERROR(__xludf.DUMMYFUNCTION("""COMPUTED_VALUE"""),29.81)</f>
        <v>29.81</v>
      </c>
      <c r="L161" s="320">
        <f>IFERROR(__xludf.DUMMYFUNCTION("""COMPUTED_VALUE"""),0.6621)</f>
        <v>0.6621</v>
      </c>
      <c r="M161" s="320">
        <f>IFERROR(__xludf.DUMMYFUNCTION("""COMPUTED_VALUE"""),0.5396)</f>
        <v>0.5396</v>
      </c>
      <c r="N161" s="320">
        <f>IFERROR(__xludf.DUMMYFUNCTION("""COMPUTED_VALUE"""),0.3784)</f>
        <v>0.3784</v>
      </c>
      <c r="O161" s="320">
        <f>IFERROR(__xludf.DUMMYFUNCTION("""COMPUTED_VALUE"""),1.5104)</f>
        <v>1.5104</v>
      </c>
      <c r="P161" s="320">
        <f>IFERROR(__xludf.DUMMYFUNCTION("""COMPUTED_VALUE"""),220.43)</f>
        <v>220.43</v>
      </c>
      <c r="Q161" s="320">
        <f>IFERROR(__xludf.DUMMYFUNCTION("""COMPUTED_VALUE"""),161.03)</f>
        <v>161.03</v>
      </c>
      <c r="R161" s="320">
        <f>IFERROR(__xludf.DUMMYFUNCTION("""COMPUTED_VALUE"""),59.4)</f>
        <v>59.4</v>
      </c>
      <c r="S161" s="320">
        <f>IFERROR(__xludf.DUMMYFUNCTION("""COMPUTED_VALUE"""),0.17)</f>
        <v>0.17</v>
      </c>
      <c r="T161" s="320">
        <f>IFERROR(__xludf.DUMMYFUNCTION("""COMPUTED_VALUE"""),220.26)</f>
        <v>220.26</v>
      </c>
      <c r="U161" s="320">
        <f>IFERROR(__xludf.DUMMYFUNCTION("""COMPUTED_VALUE"""),207.91)</f>
        <v>207.91</v>
      </c>
      <c r="V161" s="320">
        <f>IFERROR(__xludf.DUMMYFUNCTION("""COMPUTED_VALUE"""),4.618)</f>
        <v>4.618</v>
      </c>
      <c r="W161" s="320">
        <f>IFERROR(__xludf.DUMMYFUNCTION("""COMPUTED_VALUE"""),0.08)</f>
        <v>0.08</v>
      </c>
      <c r="X161" s="320">
        <f>IFERROR(__xludf.DUMMYFUNCTION("""COMPUTED_VALUE"""),169.0)</f>
        <v>169</v>
      </c>
      <c r="Y161" s="320">
        <f>IFERROR(__xludf.DUMMYFUNCTION("""COMPUTED_VALUE"""),1186.0)</f>
        <v>1186</v>
      </c>
      <c r="Z161" s="320">
        <f>IFERROR(__xludf.DUMMYFUNCTION("""COMPUTED_VALUE"""),7999.0)</f>
        <v>7999</v>
      </c>
      <c r="AA161" s="320">
        <f>IFERROR(__xludf.DUMMYFUNCTION("""COMPUTED_VALUE"""),55.4882)</f>
        <v>55.4882</v>
      </c>
      <c r="AB161" s="320">
        <f>IFERROR(__xludf.DUMMYFUNCTION("""COMPUTED_VALUE"""),0.6658)</f>
        <v>0.6658</v>
      </c>
      <c r="AC161" s="320">
        <f>IFERROR(__xludf.DUMMYFUNCTION("""COMPUTED_VALUE"""),19.06)</f>
        <v>19.06</v>
      </c>
      <c r="AD161" s="320">
        <f>IFERROR(__xludf.DUMMYFUNCTION("""COMPUTED_VALUE"""),8.0)</f>
        <v>8</v>
      </c>
      <c r="AE161" s="320">
        <f>IFERROR(__xludf.DUMMYFUNCTION("""COMPUTED_VALUE"""),16.0)</f>
        <v>16</v>
      </c>
      <c r="AF161" s="320">
        <f>IFERROR(__xludf.DUMMYFUNCTION("""COMPUTED_VALUE"""),27.0)</f>
        <v>27</v>
      </c>
      <c r="AG161" s="320">
        <f>IFERROR(__xludf.DUMMYFUNCTION("""COMPUTED_VALUE"""),39.0)</f>
        <v>39</v>
      </c>
      <c r="AH161" s="320">
        <f>IFERROR(__xludf.DUMMYFUNCTION("""COMPUTED_VALUE"""),64.86)</f>
        <v>64.86</v>
      </c>
      <c r="AI161" s="320">
        <f>IFERROR(__xludf.DUMMYFUNCTION("""COMPUTED_VALUE"""),26.87)</f>
        <v>26.87</v>
      </c>
      <c r="AJ161" s="320">
        <f>IFERROR(__xludf.DUMMYFUNCTION("""COMPUTED_VALUE"""),6.62)</f>
        <v>6.62</v>
      </c>
      <c r="AK161" s="320">
        <f>IFERROR(__xludf.DUMMYFUNCTION("""COMPUTED_VALUE"""),0.1632)</f>
        <v>0.1632</v>
      </c>
      <c r="AL161" s="320">
        <f>IFERROR(__xludf.DUMMYFUNCTION("""COMPUTED_VALUE"""),20.2)</f>
        <v>20.2</v>
      </c>
      <c r="AM161" s="320">
        <f>IFERROR(__xludf.DUMMYFUNCTION("""COMPUTED_VALUE"""),140.83)</f>
        <v>140.83</v>
      </c>
      <c r="AN161" s="320">
        <f>IFERROR(__xludf.DUMMYFUNCTION("""COMPUTED_VALUE"""),72.24)</f>
        <v>72.24</v>
      </c>
      <c r="AO161" s="320">
        <f>IFERROR(__xludf.DUMMYFUNCTION("""COMPUTED_VALUE"""),14.59)</f>
        <v>14.59</v>
      </c>
    </row>
    <row r="162" ht="15.75" customHeight="1">
      <c r="A162" s="330">
        <f>IFERROR(__xludf.DUMMYFUNCTION("""COMPUTED_VALUE"""),46076.0)</f>
        <v>46076</v>
      </c>
      <c r="B162" s="319" t="str">
        <f>IFERROR(__xludf.DUMMYFUNCTION("""COMPUTED_VALUE"""),"E. 40-99")</f>
        <v>E. 40-99</v>
      </c>
      <c r="C162" s="320">
        <f>IFERROR(__xludf.DUMMYFUNCTION("""COMPUTED_VALUE"""),6008.0)</f>
        <v>6008</v>
      </c>
      <c r="D162" s="320">
        <f>IFERROR(__xludf.DUMMYFUNCTION("""COMPUTED_VALUE"""),5.37)</f>
        <v>5.37</v>
      </c>
      <c r="E162" s="320">
        <f>IFERROR(__xludf.DUMMYFUNCTION("""COMPUTED_VALUE"""),0.0)</f>
        <v>0</v>
      </c>
      <c r="F162" s="320">
        <f>IFERROR(__xludf.DUMMYFUNCTION("""COMPUTED_VALUE"""),0.0)</f>
        <v>0</v>
      </c>
      <c r="G162" s="320">
        <f>IFERROR(__xludf.DUMMYFUNCTION("""COMPUTED_VALUE"""),0.0)</f>
        <v>0</v>
      </c>
      <c r="H162" s="106"/>
      <c r="I162" s="320">
        <f>IFERROR(__xludf.DUMMYFUNCTION("""COMPUTED_VALUE"""),144.9)</f>
        <v>144.9</v>
      </c>
      <c r="J162" s="320">
        <f>IFERROR(__xludf.DUMMYFUNCTION("""COMPUTED_VALUE"""),76.78)</f>
        <v>76.78</v>
      </c>
      <c r="K162" s="320">
        <f>IFERROR(__xludf.DUMMYFUNCTION("""COMPUTED_VALUE"""),61.14)</f>
        <v>61.14</v>
      </c>
      <c r="L162" s="320">
        <f>IFERROR(__xludf.DUMMYFUNCTION("""COMPUTED_VALUE"""),0.7962)</f>
        <v>0.7962</v>
      </c>
      <c r="M162" s="320">
        <f>IFERROR(__xludf.DUMMYFUNCTION("""COMPUTED_VALUE"""),0.3945)</f>
        <v>0.3945</v>
      </c>
      <c r="N162" s="320">
        <f>IFERROR(__xludf.DUMMYFUNCTION("""COMPUTED_VALUE"""),0.2873)</f>
        <v>0.2873</v>
      </c>
      <c r="O162" s="320">
        <f>IFERROR(__xludf.DUMMYFUNCTION("""COMPUTED_VALUE"""),1.2559)</f>
        <v>1.2559</v>
      </c>
      <c r="P162" s="320">
        <f>IFERROR(__xludf.DUMMYFUNCTION("""COMPUTED_VALUE"""),382.14)</f>
        <v>382.14</v>
      </c>
      <c r="Q162" s="320">
        <f>IFERROR(__xludf.DUMMYFUNCTION("""COMPUTED_VALUE"""),262.8)</f>
        <v>262.8</v>
      </c>
      <c r="R162" s="320">
        <f>IFERROR(__xludf.DUMMYFUNCTION("""COMPUTED_VALUE"""),119.34)</f>
        <v>119.34</v>
      </c>
      <c r="S162" s="320">
        <f>IFERROR(__xludf.DUMMYFUNCTION("""COMPUTED_VALUE"""),0.09)</f>
        <v>0.09</v>
      </c>
      <c r="T162" s="320">
        <f>IFERROR(__xludf.DUMMYFUNCTION("""COMPUTED_VALUE"""),382.05)</f>
        <v>382.05</v>
      </c>
      <c r="U162" s="320">
        <f>IFERROR(__xludf.DUMMYFUNCTION("""COMPUTED_VALUE"""),393.53)</f>
        <v>393.53</v>
      </c>
      <c r="V162" s="320">
        <f>IFERROR(__xludf.DUMMYFUNCTION("""COMPUTED_VALUE"""),5.1252)</f>
        <v>5.1252</v>
      </c>
      <c r="W162" s="320">
        <f>IFERROR(__xludf.DUMMYFUNCTION("""COMPUTED_VALUE"""),0.02)</f>
        <v>0.02</v>
      </c>
      <c r="X162" s="320">
        <f>IFERROR(__xludf.DUMMYFUNCTION("""COMPUTED_VALUE"""),317.0)</f>
        <v>317</v>
      </c>
      <c r="Y162" s="320">
        <f>IFERROR(__xludf.DUMMYFUNCTION("""COMPUTED_VALUE"""),2862.0)</f>
        <v>2862</v>
      </c>
      <c r="Z162" s="320">
        <f>IFERROR(__xludf.DUMMYFUNCTION("""COMPUTED_VALUE"""),11877.0)</f>
        <v>11877</v>
      </c>
      <c r="AA162" s="320">
        <f>IFERROR(__xludf.DUMMYFUNCTION("""COMPUTED_VALUE"""),59.2468)</f>
        <v>59.2468</v>
      </c>
      <c r="AB162" s="320">
        <f>IFERROR(__xludf.DUMMYFUNCTION("""COMPUTED_VALUE"""),0.7393)</f>
        <v>0.7393</v>
      </c>
      <c r="AC162" s="320">
        <f>IFERROR(__xludf.DUMMYFUNCTION("""COMPUTED_VALUE"""),39.02)</f>
        <v>39.02</v>
      </c>
      <c r="AD162" s="320">
        <f>IFERROR(__xludf.DUMMYFUNCTION("""COMPUTED_VALUE"""),17.0)</f>
        <v>17</v>
      </c>
      <c r="AE162" s="320">
        <f>IFERROR(__xludf.DUMMYFUNCTION("""COMPUTED_VALUE"""),32.0)</f>
        <v>32</v>
      </c>
      <c r="AF162" s="320">
        <f>IFERROR(__xludf.DUMMYFUNCTION("""COMPUTED_VALUE"""),53.0)</f>
        <v>53</v>
      </c>
      <c r="AG162" s="320">
        <f>IFERROR(__xludf.DUMMYFUNCTION("""COMPUTED_VALUE"""),79.0)</f>
        <v>79</v>
      </c>
      <c r="AH162" s="320">
        <f>IFERROR(__xludf.DUMMYFUNCTION("""COMPUTED_VALUE"""),57.41)</f>
        <v>57.41</v>
      </c>
      <c r="AI162" s="320">
        <f>IFERROR(__xludf.DUMMYFUNCTION("""COMPUTED_VALUE"""),19.72)</f>
        <v>19.72</v>
      </c>
      <c r="AJ162" s="320">
        <f>IFERROR(__xludf.DUMMYFUNCTION("""COMPUTED_VALUE"""),4.91)</f>
        <v>4.91</v>
      </c>
      <c r="AK162" s="320">
        <f>IFERROR(__xludf.DUMMYFUNCTION("""COMPUTED_VALUE"""),0.124)</f>
        <v>0.124</v>
      </c>
      <c r="AL162" s="320">
        <f>IFERROR(__xludf.DUMMYFUNCTION("""COMPUTED_VALUE"""),21.71)</f>
        <v>21.71</v>
      </c>
      <c r="AM162" s="320">
        <f>IFERROR(__xludf.DUMMYFUNCTION("""COMPUTED_VALUE"""),241.09)</f>
        <v>241.09</v>
      </c>
      <c r="AN162" s="320">
        <f>IFERROR(__xludf.DUMMYFUNCTION("""COMPUTED_VALUE"""),74.67)</f>
        <v>74.67</v>
      </c>
      <c r="AO162" s="320">
        <f>IFERROR(__xludf.DUMMYFUNCTION("""COMPUTED_VALUE"""),16.21)</f>
        <v>16.21</v>
      </c>
    </row>
    <row r="163" ht="15.75" customHeight="1">
      <c r="A163" s="330">
        <f>IFERROR(__xludf.DUMMYFUNCTION("""COMPUTED_VALUE"""),46076.0)</f>
        <v>46076</v>
      </c>
      <c r="B163" s="319" t="str">
        <f>IFERROR(__xludf.DUMMYFUNCTION("""COMPUTED_VALUE"""),"F. 100+")</f>
        <v>F. 100+</v>
      </c>
      <c r="C163" s="320">
        <f>IFERROR(__xludf.DUMMYFUNCTION("""COMPUTED_VALUE"""),618.0)</f>
        <v>618</v>
      </c>
      <c r="D163" s="320">
        <f>IFERROR(__xludf.DUMMYFUNCTION("""COMPUTED_VALUE"""),0.55)</f>
        <v>0.55</v>
      </c>
      <c r="E163" s="320">
        <f>IFERROR(__xludf.DUMMYFUNCTION("""COMPUTED_VALUE"""),0.0)</f>
        <v>0</v>
      </c>
      <c r="F163" s="320">
        <f>IFERROR(__xludf.DUMMYFUNCTION("""COMPUTED_VALUE"""),0.0)</f>
        <v>0</v>
      </c>
      <c r="G163" s="320">
        <f>IFERROR(__xludf.DUMMYFUNCTION("""COMPUTED_VALUE"""),0.0)</f>
        <v>0</v>
      </c>
      <c r="H163" s="106"/>
      <c r="I163" s="320">
        <f>IFERROR(__xludf.DUMMYFUNCTION("""COMPUTED_VALUE"""),256.79)</f>
        <v>256.79</v>
      </c>
      <c r="J163" s="320">
        <f>IFERROR(__xludf.DUMMYFUNCTION("""COMPUTED_VALUE"""),151.23)</f>
        <v>151.23</v>
      </c>
      <c r="K163" s="320">
        <f>IFERROR(__xludf.DUMMYFUNCTION("""COMPUTED_VALUE"""),131.81)</f>
        <v>131.81</v>
      </c>
      <c r="L163" s="320">
        <f>IFERROR(__xludf.DUMMYFUNCTION("""COMPUTED_VALUE"""),0.8716)</f>
        <v>0.8716</v>
      </c>
      <c r="M163" s="320">
        <f>IFERROR(__xludf.DUMMYFUNCTION("""COMPUTED_VALUE"""),0.2782)</f>
        <v>0.2782</v>
      </c>
      <c r="N163" s="320">
        <f>IFERROR(__xludf.DUMMYFUNCTION("""COMPUTED_VALUE"""),0.2071)</f>
        <v>0.2071</v>
      </c>
      <c r="O163" s="320">
        <f>IFERROR(__xludf.DUMMYFUNCTION("""COMPUTED_VALUE"""),1.1473)</f>
        <v>1.1473</v>
      </c>
      <c r="P163" s="320">
        <f>IFERROR(__xludf.DUMMYFUNCTION("""COMPUTED_VALUE"""),694.5)</f>
        <v>694.5</v>
      </c>
      <c r="Q163" s="320">
        <f>IFERROR(__xludf.DUMMYFUNCTION("""COMPUTED_VALUE"""),411.12)</f>
        <v>411.12</v>
      </c>
      <c r="R163" s="320">
        <f>IFERROR(__xludf.DUMMYFUNCTION("""COMPUTED_VALUE"""),283.38)</f>
        <v>283.38</v>
      </c>
      <c r="S163" s="320">
        <f>IFERROR(__xludf.DUMMYFUNCTION("""COMPUTED_VALUE"""),0.0)</f>
        <v>0</v>
      </c>
      <c r="T163" s="320">
        <f>IFERROR(__xludf.DUMMYFUNCTION("""COMPUTED_VALUE"""),694.5)</f>
        <v>694.5</v>
      </c>
      <c r="U163" s="320">
        <f>IFERROR(__xludf.DUMMYFUNCTION("""COMPUTED_VALUE"""),719.82)</f>
        <v>719.82</v>
      </c>
      <c r="V163" s="320">
        <f>IFERROR(__xludf.DUMMYFUNCTION("""COMPUTED_VALUE"""),4.7599)</f>
        <v>4.7599</v>
      </c>
      <c r="W163" s="320">
        <f>IFERROR(__xludf.DUMMYFUNCTION("""COMPUTED_VALUE"""),0.0)</f>
        <v>0</v>
      </c>
      <c r="X163" s="320">
        <f>IFERROR(__xludf.DUMMYFUNCTION("""COMPUTED_VALUE"""),931.0)</f>
        <v>931</v>
      </c>
      <c r="Y163" s="320">
        <f>IFERROR(__xludf.DUMMYFUNCTION("""COMPUTED_VALUE"""),4063.0)</f>
        <v>4063</v>
      </c>
      <c r="Z163" s="320">
        <f>IFERROR(__xludf.DUMMYFUNCTION("""COMPUTED_VALUE"""),11225.0)</f>
        <v>11225</v>
      </c>
      <c r="AA163" s="320">
        <f>IFERROR(__xludf.DUMMYFUNCTION("""COMPUTED_VALUE"""),63.3655)</f>
        <v>63.3655</v>
      </c>
      <c r="AB163" s="320">
        <f>IFERROR(__xludf.DUMMYFUNCTION("""COMPUTED_VALUE"""),0.8932)</f>
        <v>0.8932</v>
      </c>
      <c r="AC163" s="320">
        <f>IFERROR(__xludf.DUMMYFUNCTION("""COMPUTED_VALUE"""),93.58)</f>
        <v>93.58</v>
      </c>
      <c r="AD163" s="320">
        <f>IFERROR(__xludf.DUMMYFUNCTION("""COMPUTED_VALUE"""),42.0)</f>
        <v>42</v>
      </c>
      <c r="AE163" s="320">
        <f>IFERROR(__xludf.DUMMYFUNCTION("""COMPUTED_VALUE"""),80.0)</f>
        <v>80</v>
      </c>
      <c r="AF163" s="320">
        <f>IFERROR(__xludf.DUMMYFUNCTION("""COMPUTED_VALUE"""),127.0)</f>
        <v>127</v>
      </c>
      <c r="AG163" s="320">
        <f>IFERROR(__xludf.DUMMYFUNCTION("""COMPUTED_VALUE"""),178.0)</f>
        <v>178</v>
      </c>
      <c r="AH163" s="320">
        <f>IFERROR(__xludf.DUMMYFUNCTION("""COMPUTED_VALUE"""),50.81)</f>
        <v>50.81</v>
      </c>
      <c r="AI163" s="320">
        <f>IFERROR(__xludf.DUMMYFUNCTION("""COMPUTED_VALUE"""),11.0)</f>
        <v>11</v>
      </c>
      <c r="AJ163" s="320">
        <f>IFERROR(__xludf.DUMMYFUNCTION("""COMPUTED_VALUE"""),1.62)</f>
        <v>1.62</v>
      </c>
      <c r="AK163" s="320">
        <f>IFERROR(__xludf.DUMMYFUNCTION("""COMPUTED_VALUE"""),0.0793)</f>
        <v>0.0793</v>
      </c>
      <c r="AL163" s="320">
        <f>IFERROR(__xludf.DUMMYFUNCTION("""COMPUTED_VALUE"""),22.21)</f>
        <v>22.21</v>
      </c>
      <c r="AM163" s="320">
        <f>IFERROR(__xludf.DUMMYFUNCTION("""COMPUTED_VALUE"""),388.91)</f>
        <v>388.91</v>
      </c>
      <c r="AN163" s="320">
        <f>IFERROR(__xludf.DUMMYFUNCTION("""COMPUTED_VALUE"""),81.76)</f>
        <v>81.76</v>
      </c>
      <c r="AO163" s="320">
        <f>IFERROR(__xludf.DUMMYFUNCTION("""COMPUTED_VALUE"""),18.16)</f>
        <v>18.16</v>
      </c>
    </row>
    <row r="164" ht="15.75" customHeight="1">
      <c r="A164" s="330">
        <f>IFERROR(__xludf.DUMMYFUNCTION("""COMPUTED_VALUE"""),46077.0)</f>
        <v>46077</v>
      </c>
      <c r="B164" s="319" t="str">
        <f>IFERROR(__xludf.DUMMYFUNCTION("""COMPUTED_VALUE"""),"A. 0")</f>
        <v>A. 0</v>
      </c>
      <c r="C164" s="320">
        <f>IFERROR(__xludf.DUMMYFUNCTION("""COMPUTED_VALUE"""),21405.0)</f>
        <v>21405</v>
      </c>
      <c r="D164" s="320">
        <f>IFERROR(__xludf.DUMMYFUNCTION("""COMPUTED_VALUE"""),19.2)</f>
        <v>19.2</v>
      </c>
      <c r="E164" s="320">
        <f>IFERROR(__xludf.DUMMYFUNCTION("""COMPUTED_VALUE"""),0.0)</f>
        <v>0</v>
      </c>
      <c r="F164" s="320">
        <f>IFERROR(__xludf.DUMMYFUNCTION("""COMPUTED_VALUE"""),0.0)</f>
        <v>0</v>
      </c>
      <c r="G164" s="320">
        <f>IFERROR(__xludf.DUMMYFUNCTION("""COMPUTED_VALUE"""),0.0)</f>
        <v>0</v>
      </c>
      <c r="H164" s="106"/>
      <c r="I164" s="320">
        <f>IFERROR(__xludf.DUMMYFUNCTION("""COMPUTED_VALUE"""),6.14)</f>
        <v>6.14</v>
      </c>
      <c r="J164" s="320">
        <f>IFERROR(__xludf.DUMMYFUNCTION("""COMPUTED_VALUE"""),2.55)</f>
        <v>2.55</v>
      </c>
      <c r="K164" s="320">
        <f>IFERROR(__xludf.DUMMYFUNCTION("""COMPUTED_VALUE"""),0.03)</f>
        <v>0.03</v>
      </c>
      <c r="L164" s="320">
        <f>IFERROR(__xludf.DUMMYFUNCTION("""COMPUTED_VALUE"""),0.0126)</f>
        <v>0.0126</v>
      </c>
      <c r="M164" s="320">
        <f>IFERROR(__xludf.DUMMYFUNCTION("""COMPUTED_VALUE"""),0.9903)</f>
        <v>0.9903</v>
      </c>
      <c r="N164" s="320">
        <f>IFERROR(__xludf.DUMMYFUNCTION("""COMPUTED_VALUE"""),0.862)</f>
        <v>0.862</v>
      </c>
      <c r="O164" s="320">
        <f>IFERROR(__xludf.DUMMYFUNCTION("""COMPUTED_VALUE"""),79.556)</f>
        <v>79.556</v>
      </c>
      <c r="P164" s="320">
        <f>IFERROR(__xludf.DUMMYFUNCTION("""COMPUTED_VALUE"""),25.34)</f>
        <v>25.34</v>
      </c>
      <c r="Q164" s="320">
        <f>IFERROR(__xludf.DUMMYFUNCTION("""COMPUTED_VALUE"""),25.21)</f>
        <v>25.21</v>
      </c>
      <c r="R164" s="320">
        <f>IFERROR(__xludf.DUMMYFUNCTION("""COMPUTED_VALUE"""),0.13)</f>
        <v>0.13</v>
      </c>
      <c r="S164" s="320">
        <f>IFERROR(__xludf.DUMMYFUNCTION("""COMPUTED_VALUE"""),0.0)</f>
        <v>0</v>
      </c>
      <c r="T164" s="320">
        <f>IFERROR(__xludf.DUMMYFUNCTION("""COMPUTED_VALUE"""),25.34)</f>
        <v>25.34</v>
      </c>
      <c r="U164" s="320">
        <f>IFERROR(__xludf.DUMMYFUNCTION("""COMPUTED_VALUE"""),2.28)</f>
        <v>2.28</v>
      </c>
      <c r="V164" s="320">
        <f>IFERROR(__xludf.DUMMYFUNCTION("""COMPUTED_VALUE"""),0.8947)</f>
        <v>0.8947</v>
      </c>
      <c r="W164" s="320">
        <f>IFERROR(__xludf.DUMMYFUNCTION("""COMPUTED_VALUE"""),0.0)</f>
        <v>0</v>
      </c>
      <c r="X164" s="320">
        <f>IFERROR(__xludf.DUMMYFUNCTION("""COMPUTED_VALUE"""),311.0)</f>
        <v>311</v>
      </c>
      <c r="Y164" s="320">
        <f>IFERROR(__xludf.DUMMYFUNCTION("""COMPUTED_VALUE"""),3420.0)</f>
        <v>3420</v>
      </c>
      <c r="Z164" s="320">
        <f>IFERROR(__xludf.DUMMYFUNCTION("""COMPUTED_VALUE"""),13994.0)</f>
        <v>13994</v>
      </c>
      <c r="AA164" s="320">
        <f>IFERROR(__xludf.DUMMYFUNCTION("""COMPUTED_VALUE"""),48.8474)</f>
        <v>48.8474</v>
      </c>
      <c r="AB164" s="320">
        <f>IFERROR(__xludf.DUMMYFUNCTION("""COMPUTED_VALUE"""),0.5357)</f>
        <v>0.5357</v>
      </c>
      <c r="AC164" s="106"/>
      <c r="AD164" s="106"/>
      <c r="AE164" s="106"/>
      <c r="AF164" s="106"/>
      <c r="AG164" s="106"/>
      <c r="AH164" s="320">
        <f>IFERROR(__xludf.DUMMYFUNCTION("""COMPUTED_VALUE"""),0.0)</f>
        <v>0</v>
      </c>
      <c r="AI164" s="320">
        <f>IFERROR(__xludf.DUMMYFUNCTION("""COMPUTED_VALUE"""),0.0)</f>
        <v>0</v>
      </c>
      <c r="AJ164" s="320">
        <f>IFERROR(__xludf.DUMMYFUNCTION("""COMPUTED_VALUE"""),0.0)</f>
        <v>0</v>
      </c>
      <c r="AK164" s="320">
        <f>IFERROR(__xludf.DUMMYFUNCTION("""COMPUTED_VALUE"""),0.2846)</f>
        <v>0.2846</v>
      </c>
      <c r="AL164" s="320">
        <f>IFERROR(__xludf.DUMMYFUNCTION("""COMPUTED_VALUE"""),15.67)</f>
        <v>15.67</v>
      </c>
      <c r="AM164" s="320">
        <f>IFERROR(__xludf.DUMMYFUNCTION("""COMPUTED_VALUE"""),9.54)</f>
        <v>9.54</v>
      </c>
      <c r="AN164" s="331"/>
      <c r="AO164" s="331"/>
    </row>
    <row r="165" ht="15.75" customHeight="1">
      <c r="A165" s="330">
        <f>IFERROR(__xludf.DUMMYFUNCTION("""COMPUTED_VALUE"""),46077.0)</f>
        <v>46077</v>
      </c>
      <c r="B165" s="319" t="str">
        <f>IFERROR(__xludf.DUMMYFUNCTION("""COMPUTED_VALUE"""),"B. 1-9")</f>
        <v>B. 1-9</v>
      </c>
      <c r="C165" s="320">
        <f>IFERROR(__xludf.DUMMYFUNCTION("""COMPUTED_VALUE"""),40619.0)</f>
        <v>40619</v>
      </c>
      <c r="D165" s="320">
        <f>IFERROR(__xludf.DUMMYFUNCTION("""COMPUTED_VALUE"""),36.44)</f>
        <v>36.44</v>
      </c>
      <c r="E165" s="320">
        <f>IFERROR(__xludf.DUMMYFUNCTION("""COMPUTED_VALUE"""),0.0)</f>
        <v>0</v>
      </c>
      <c r="F165" s="320">
        <f>IFERROR(__xludf.DUMMYFUNCTION("""COMPUTED_VALUE"""),0.0)</f>
        <v>0</v>
      </c>
      <c r="G165" s="320">
        <f>IFERROR(__xludf.DUMMYFUNCTION("""COMPUTED_VALUE"""),0.0)</f>
        <v>0</v>
      </c>
      <c r="H165" s="106"/>
      <c r="I165" s="320">
        <f>IFERROR(__xludf.DUMMYFUNCTION("""COMPUTED_VALUE"""),29.4)</f>
        <v>29.4</v>
      </c>
      <c r="J165" s="320">
        <f>IFERROR(__xludf.DUMMYFUNCTION("""COMPUTED_VALUE"""),13.21)</f>
        <v>13.21</v>
      </c>
      <c r="K165" s="320">
        <f>IFERROR(__xludf.DUMMYFUNCTION("""COMPUTED_VALUE"""),5.49)</f>
        <v>5.49</v>
      </c>
      <c r="L165" s="320">
        <f>IFERROR(__xludf.DUMMYFUNCTION("""COMPUTED_VALUE"""),0.4156)</f>
        <v>0.4156</v>
      </c>
      <c r="M165" s="320">
        <f>IFERROR(__xludf.DUMMYFUNCTION("""COMPUTED_VALUE"""),0.7621)</f>
        <v>0.7621</v>
      </c>
      <c r="N165" s="320">
        <f>IFERROR(__xludf.DUMMYFUNCTION("""COMPUTED_VALUE"""),0.574)</f>
        <v>0.574</v>
      </c>
      <c r="O165" s="320">
        <f>IFERROR(__xludf.DUMMYFUNCTION("""COMPUTED_VALUE"""),2.4061)</f>
        <v>2.4061</v>
      </c>
      <c r="P165" s="320">
        <f>IFERROR(__xludf.DUMMYFUNCTION("""COMPUTED_VALUE"""),53.51)</f>
        <v>53.51</v>
      </c>
      <c r="Q165" s="320">
        <f>IFERROR(__xludf.DUMMYFUNCTION("""COMPUTED_VALUE"""),41.94)</f>
        <v>41.94</v>
      </c>
      <c r="R165" s="320">
        <f>IFERROR(__xludf.DUMMYFUNCTION("""COMPUTED_VALUE"""),11.57)</f>
        <v>11.57</v>
      </c>
      <c r="S165" s="320">
        <f>IFERROR(__xludf.DUMMYFUNCTION("""COMPUTED_VALUE"""),0.04)</f>
        <v>0.04</v>
      </c>
      <c r="T165" s="320">
        <f>IFERROR(__xludf.DUMMYFUNCTION("""COMPUTED_VALUE"""),53.47)</f>
        <v>53.47</v>
      </c>
      <c r="U165" s="320">
        <f>IFERROR(__xludf.DUMMYFUNCTION("""COMPUTED_VALUE"""),55.16)</f>
        <v>55.16</v>
      </c>
      <c r="V165" s="320">
        <f>IFERROR(__xludf.DUMMYFUNCTION("""COMPUTED_VALUE"""),4.1766)</f>
        <v>4.1766</v>
      </c>
      <c r="W165" s="320">
        <f>IFERROR(__xludf.DUMMYFUNCTION("""COMPUTED_VALUE"""),0.07)</f>
        <v>0.07</v>
      </c>
      <c r="X165" s="320">
        <f>IFERROR(__xludf.DUMMYFUNCTION("""COMPUTED_VALUE"""),144.0)</f>
        <v>144</v>
      </c>
      <c r="Y165" s="320">
        <f>IFERROR(__xludf.DUMMYFUNCTION("""COMPUTED_VALUE"""),850.0)</f>
        <v>850</v>
      </c>
      <c r="Z165" s="320">
        <f>IFERROR(__xludf.DUMMYFUNCTION("""COMPUTED_VALUE"""),5944.0)</f>
        <v>5944</v>
      </c>
      <c r="AA165" s="320">
        <f>IFERROR(__xludf.DUMMYFUNCTION("""COMPUTED_VALUE"""),48.6161)</f>
        <v>48.6161</v>
      </c>
      <c r="AB165" s="320">
        <f>IFERROR(__xludf.DUMMYFUNCTION("""COMPUTED_VALUE"""),0.5239)</f>
        <v>0.5239</v>
      </c>
      <c r="AC165" s="320">
        <f>IFERROR(__xludf.DUMMYFUNCTION("""COMPUTED_VALUE"""),3.96)</f>
        <v>3.96</v>
      </c>
      <c r="AD165" s="320">
        <f>IFERROR(__xludf.DUMMYFUNCTION("""COMPUTED_VALUE"""),1.0)</f>
        <v>1</v>
      </c>
      <c r="AE165" s="320">
        <f>IFERROR(__xludf.DUMMYFUNCTION("""COMPUTED_VALUE"""),3.0)</f>
        <v>3</v>
      </c>
      <c r="AF165" s="320">
        <f>IFERROR(__xludf.DUMMYFUNCTION("""COMPUTED_VALUE"""),5.0)</f>
        <v>5</v>
      </c>
      <c r="AG165" s="320">
        <f>IFERROR(__xludf.DUMMYFUNCTION("""COMPUTED_VALUE"""),9.0)</f>
        <v>9</v>
      </c>
      <c r="AH165" s="320">
        <f>IFERROR(__xludf.DUMMYFUNCTION("""COMPUTED_VALUE"""),72.31)</f>
        <v>72.31</v>
      </c>
      <c r="AI165" s="320">
        <f>IFERROR(__xludf.DUMMYFUNCTION("""COMPUTED_VALUE"""),30.02)</f>
        <v>30.02</v>
      </c>
      <c r="AJ165" s="320">
        <f>IFERROR(__xludf.DUMMYFUNCTION("""COMPUTED_VALUE"""),8.61)</f>
        <v>8.61</v>
      </c>
      <c r="AK165" s="320">
        <f>IFERROR(__xludf.DUMMYFUNCTION("""COMPUTED_VALUE"""),0.239)</f>
        <v>0.239</v>
      </c>
      <c r="AL165" s="320">
        <f>IFERROR(__xludf.DUMMYFUNCTION("""COMPUTED_VALUE"""),18.03)</f>
        <v>18.03</v>
      </c>
      <c r="AM165" s="320">
        <f>IFERROR(__xludf.DUMMYFUNCTION("""COMPUTED_VALUE"""),23.91)</f>
        <v>23.91</v>
      </c>
      <c r="AN165" s="320">
        <f>IFERROR(__xludf.DUMMYFUNCTION("""COMPUTED_VALUE"""),65.33)</f>
        <v>65.33</v>
      </c>
      <c r="AO165" s="320">
        <f>IFERROR(__xludf.DUMMYFUNCTION("""COMPUTED_VALUE"""),11.78)</f>
        <v>11.78</v>
      </c>
    </row>
    <row r="166" ht="15.75" customHeight="1">
      <c r="A166" s="330">
        <f>IFERROR(__xludf.DUMMYFUNCTION("""COMPUTED_VALUE"""),46077.0)</f>
        <v>46077</v>
      </c>
      <c r="B166" s="319" t="str">
        <f>IFERROR(__xludf.DUMMYFUNCTION("""COMPUTED_VALUE"""),"C. 10-19")</f>
        <v>C. 10-19</v>
      </c>
      <c r="C166" s="320">
        <f>IFERROR(__xludf.DUMMYFUNCTION("""COMPUTED_VALUE"""),28431.0)</f>
        <v>28431</v>
      </c>
      <c r="D166" s="320">
        <f>IFERROR(__xludf.DUMMYFUNCTION("""COMPUTED_VALUE"""),25.5)</f>
        <v>25.5</v>
      </c>
      <c r="E166" s="320">
        <f>IFERROR(__xludf.DUMMYFUNCTION("""COMPUTED_VALUE"""),0.0)</f>
        <v>0</v>
      </c>
      <c r="F166" s="320">
        <f>IFERROR(__xludf.DUMMYFUNCTION("""COMPUTED_VALUE"""),0.0)</f>
        <v>0</v>
      </c>
      <c r="G166" s="320">
        <f>IFERROR(__xludf.DUMMYFUNCTION("""COMPUTED_VALUE"""),0.0)</f>
        <v>0</v>
      </c>
      <c r="H166" s="106"/>
      <c r="I166" s="320">
        <f>IFERROR(__xludf.DUMMYFUNCTION("""COMPUTED_VALUE"""),55.44)</f>
        <v>55.44</v>
      </c>
      <c r="J166" s="320">
        <f>IFERROR(__xludf.DUMMYFUNCTION("""COMPUTED_VALUE"""),25.78)</f>
        <v>25.78</v>
      </c>
      <c r="K166" s="320">
        <f>IFERROR(__xludf.DUMMYFUNCTION("""COMPUTED_VALUE"""),14.15)</f>
        <v>14.15</v>
      </c>
      <c r="L166" s="320">
        <f>IFERROR(__xludf.DUMMYFUNCTION("""COMPUTED_VALUE"""),0.549)</f>
        <v>0.549</v>
      </c>
      <c r="M166" s="320">
        <f>IFERROR(__xludf.DUMMYFUNCTION("""COMPUTED_VALUE"""),0.6542)</f>
        <v>0.6542</v>
      </c>
      <c r="N166" s="320">
        <f>IFERROR(__xludf.DUMMYFUNCTION("""COMPUTED_VALUE"""),0.4637)</f>
        <v>0.4637</v>
      </c>
      <c r="O166" s="320">
        <f>IFERROR(__xludf.DUMMYFUNCTION("""COMPUTED_VALUE"""),1.8214)</f>
        <v>1.8214</v>
      </c>
      <c r="P166" s="320">
        <f>IFERROR(__xludf.DUMMYFUNCTION("""COMPUTED_VALUE"""),101.05)</f>
        <v>101.05</v>
      </c>
      <c r="Q166" s="320">
        <f>IFERROR(__xludf.DUMMYFUNCTION("""COMPUTED_VALUE"""),72.03)</f>
        <v>72.03</v>
      </c>
      <c r="R166" s="320">
        <f>IFERROR(__xludf.DUMMYFUNCTION("""COMPUTED_VALUE"""),29.02)</f>
        <v>29.02</v>
      </c>
      <c r="S166" s="320">
        <f>IFERROR(__xludf.DUMMYFUNCTION("""COMPUTED_VALUE"""),0.49)</f>
        <v>0.49</v>
      </c>
      <c r="T166" s="320">
        <f>IFERROR(__xludf.DUMMYFUNCTION("""COMPUTED_VALUE"""),100.56)</f>
        <v>100.56</v>
      </c>
      <c r="U166" s="320">
        <f>IFERROR(__xludf.DUMMYFUNCTION("""COMPUTED_VALUE"""),106.24)</f>
        <v>106.24</v>
      </c>
      <c r="V166" s="320">
        <f>IFERROR(__xludf.DUMMYFUNCTION("""COMPUTED_VALUE"""),4.1219)</f>
        <v>4.1219</v>
      </c>
      <c r="W166" s="320">
        <f>IFERROR(__xludf.DUMMYFUNCTION("""COMPUTED_VALUE"""),0.49)</f>
        <v>0.49</v>
      </c>
      <c r="X166" s="320">
        <f>IFERROR(__xludf.DUMMYFUNCTION("""COMPUTED_VALUE"""),130.0)</f>
        <v>130</v>
      </c>
      <c r="Y166" s="320">
        <f>IFERROR(__xludf.DUMMYFUNCTION("""COMPUTED_VALUE"""),738.0)</f>
        <v>738</v>
      </c>
      <c r="Z166" s="320">
        <f>IFERROR(__xludf.DUMMYFUNCTION("""COMPUTED_VALUE"""),5507.0)</f>
        <v>5507</v>
      </c>
      <c r="AA166" s="320">
        <f>IFERROR(__xludf.DUMMYFUNCTION("""COMPUTED_VALUE"""),52.2976)</f>
        <v>52.2976</v>
      </c>
      <c r="AB166" s="320">
        <f>IFERROR(__xludf.DUMMYFUNCTION("""COMPUTED_VALUE"""),0.5943)</f>
        <v>0.5943</v>
      </c>
      <c r="AC166" s="320">
        <f>IFERROR(__xludf.DUMMYFUNCTION("""COMPUTED_VALUE"""),9.42)</f>
        <v>9.42</v>
      </c>
      <c r="AD166" s="320">
        <f>IFERROR(__xludf.DUMMYFUNCTION("""COMPUTED_VALUE"""),3.0)</f>
        <v>3</v>
      </c>
      <c r="AE166" s="320">
        <f>IFERROR(__xludf.DUMMYFUNCTION("""COMPUTED_VALUE"""),7.0)</f>
        <v>7</v>
      </c>
      <c r="AF166" s="320">
        <f>IFERROR(__xludf.DUMMYFUNCTION("""COMPUTED_VALUE"""),13.0)</f>
        <v>13</v>
      </c>
      <c r="AG166" s="320">
        <f>IFERROR(__xludf.DUMMYFUNCTION("""COMPUTED_VALUE"""),20.0)</f>
        <v>20</v>
      </c>
      <c r="AH166" s="320">
        <f>IFERROR(__xludf.DUMMYFUNCTION("""COMPUTED_VALUE"""),59.59)</f>
        <v>59.59</v>
      </c>
      <c r="AI166" s="320">
        <f>IFERROR(__xludf.DUMMYFUNCTION("""COMPUTED_VALUE"""),26.8)</f>
        <v>26.8</v>
      </c>
      <c r="AJ166" s="320">
        <f>IFERROR(__xludf.DUMMYFUNCTION("""COMPUTED_VALUE"""),4.64)</f>
        <v>4.64</v>
      </c>
      <c r="AK166" s="320">
        <f>IFERROR(__xludf.DUMMYFUNCTION("""COMPUTED_VALUE"""),0.1791)</f>
        <v>0.1791</v>
      </c>
      <c r="AL166" s="320">
        <f>IFERROR(__xludf.DUMMYFUNCTION("""COMPUTED_VALUE"""),18.81)</f>
        <v>18.81</v>
      </c>
      <c r="AM166" s="320">
        <f>IFERROR(__xludf.DUMMYFUNCTION("""COMPUTED_VALUE"""),53.22)</f>
        <v>53.22</v>
      </c>
      <c r="AN166" s="320">
        <f>IFERROR(__xludf.DUMMYFUNCTION("""COMPUTED_VALUE"""),73.0)</f>
        <v>73</v>
      </c>
      <c r="AO166" s="320">
        <f>IFERROR(__xludf.DUMMYFUNCTION("""COMPUTED_VALUE"""),13.73)</f>
        <v>13.73</v>
      </c>
    </row>
    <row r="167" ht="15.75" customHeight="1">
      <c r="A167" s="330">
        <f>IFERROR(__xludf.DUMMYFUNCTION("""COMPUTED_VALUE"""),46077.0)</f>
        <v>46077</v>
      </c>
      <c r="B167" s="319" t="str">
        <f>IFERROR(__xludf.DUMMYFUNCTION("""COMPUTED_VALUE"""),"D. 20-39")</f>
        <v>D. 20-39</v>
      </c>
      <c r="C167" s="320">
        <f>IFERROR(__xludf.DUMMYFUNCTION("""COMPUTED_VALUE"""),14928.0)</f>
        <v>14928</v>
      </c>
      <c r="D167" s="320">
        <f>IFERROR(__xludf.DUMMYFUNCTION("""COMPUTED_VALUE"""),13.39)</f>
        <v>13.39</v>
      </c>
      <c r="E167" s="320">
        <f>IFERROR(__xludf.DUMMYFUNCTION("""COMPUTED_VALUE"""),0.0)</f>
        <v>0</v>
      </c>
      <c r="F167" s="320">
        <f>IFERROR(__xludf.DUMMYFUNCTION("""COMPUTED_VALUE"""),0.0)</f>
        <v>0</v>
      </c>
      <c r="G167" s="320">
        <f>IFERROR(__xludf.DUMMYFUNCTION("""COMPUTED_VALUE"""),0.0)</f>
        <v>0</v>
      </c>
      <c r="H167" s="106"/>
      <c r="I167" s="320">
        <f>IFERROR(__xludf.DUMMYFUNCTION("""COMPUTED_VALUE"""),80.8)</f>
        <v>80.8</v>
      </c>
      <c r="J167" s="320">
        <f>IFERROR(__xludf.DUMMYFUNCTION("""COMPUTED_VALUE"""),40.66)</f>
        <v>40.66</v>
      </c>
      <c r="K167" s="320">
        <f>IFERROR(__xludf.DUMMYFUNCTION("""COMPUTED_VALUE"""),28.35)</f>
        <v>28.35</v>
      </c>
      <c r="L167" s="320">
        <f>IFERROR(__xludf.DUMMYFUNCTION("""COMPUTED_VALUE"""),0.6973)</f>
        <v>0.6973</v>
      </c>
      <c r="M167" s="320">
        <f>IFERROR(__xludf.DUMMYFUNCTION("""COMPUTED_VALUE"""),0.5047)</f>
        <v>0.5047</v>
      </c>
      <c r="N167" s="320">
        <f>IFERROR(__xludf.DUMMYFUNCTION("""COMPUTED_VALUE"""),0.3555)</f>
        <v>0.3555</v>
      </c>
      <c r="O167" s="320">
        <f>IFERROR(__xludf.DUMMYFUNCTION("""COMPUTED_VALUE"""),1.434)</f>
        <v>1.434</v>
      </c>
      <c r="P167" s="320">
        <f>IFERROR(__xludf.DUMMYFUNCTION("""COMPUTED_VALUE"""),178.35)</f>
        <v>178.35</v>
      </c>
      <c r="Q167" s="320">
        <f>IFERROR(__xludf.DUMMYFUNCTION("""COMPUTED_VALUE"""),124.12)</f>
        <v>124.12</v>
      </c>
      <c r="R167" s="320">
        <f>IFERROR(__xludf.DUMMYFUNCTION("""COMPUTED_VALUE"""),54.23)</f>
        <v>54.23</v>
      </c>
      <c r="S167" s="320">
        <f>IFERROR(__xludf.DUMMYFUNCTION("""COMPUTED_VALUE"""),0.0)</f>
        <v>0</v>
      </c>
      <c r="T167" s="320">
        <f>IFERROR(__xludf.DUMMYFUNCTION("""COMPUTED_VALUE"""),178.34)</f>
        <v>178.34</v>
      </c>
      <c r="U167" s="320">
        <f>IFERROR(__xludf.DUMMYFUNCTION("""COMPUTED_VALUE"""),187.9)</f>
        <v>187.9</v>
      </c>
      <c r="V167" s="320">
        <f>IFERROR(__xludf.DUMMYFUNCTION("""COMPUTED_VALUE"""),4.6215)</f>
        <v>4.6215</v>
      </c>
      <c r="W167" s="320">
        <f>IFERROR(__xludf.DUMMYFUNCTION("""COMPUTED_VALUE"""),0.0)</f>
        <v>0</v>
      </c>
      <c r="X167" s="320">
        <f>IFERROR(__xludf.DUMMYFUNCTION("""COMPUTED_VALUE"""),165.0)</f>
        <v>165</v>
      </c>
      <c r="Y167" s="320">
        <f>IFERROR(__xludf.DUMMYFUNCTION("""COMPUTED_VALUE"""),1164.0)</f>
        <v>1164</v>
      </c>
      <c r="Z167" s="320">
        <f>IFERROR(__xludf.DUMMYFUNCTION("""COMPUTED_VALUE"""),7278.0)</f>
        <v>7278</v>
      </c>
      <c r="AA167" s="320">
        <f>IFERROR(__xludf.DUMMYFUNCTION("""COMPUTED_VALUE"""),55.7208)</f>
        <v>55.7208</v>
      </c>
      <c r="AB167" s="320">
        <f>IFERROR(__xludf.DUMMYFUNCTION("""COMPUTED_VALUE"""),0.6868)</f>
        <v>0.6868</v>
      </c>
      <c r="AC167" s="320">
        <f>IFERROR(__xludf.DUMMYFUNCTION("""COMPUTED_VALUE"""),17.71)</f>
        <v>17.71</v>
      </c>
      <c r="AD167" s="320">
        <f>IFERROR(__xludf.DUMMYFUNCTION("""COMPUTED_VALUE"""),7.0)</f>
        <v>7</v>
      </c>
      <c r="AE167" s="320">
        <f>IFERROR(__xludf.DUMMYFUNCTION("""COMPUTED_VALUE"""),14.0)</f>
        <v>14</v>
      </c>
      <c r="AF167" s="320">
        <f>IFERROR(__xludf.DUMMYFUNCTION("""COMPUTED_VALUE"""),25.0)</f>
        <v>25</v>
      </c>
      <c r="AG167" s="320">
        <f>IFERROR(__xludf.DUMMYFUNCTION("""COMPUTED_VALUE"""),36.0)</f>
        <v>36</v>
      </c>
      <c r="AH167" s="320">
        <f>IFERROR(__xludf.DUMMYFUNCTION("""COMPUTED_VALUE"""),60.83)</f>
        <v>60.83</v>
      </c>
      <c r="AI167" s="320">
        <f>IFERROR(__xludf.DUMMYFUNCTION("""COMPUTED_VALUE"""),23.74)</f>
        <v>23.74</v>
      </c>
      <c r="AJ167" s="320">
        <f>IFERROR(__xludf.DUMMYFUNCTION("""COMPUTED_VALUE"""),6.35)</f>
        <v>6.35</v>
      </c>
      <c r="AK167" s="320">
        <f>IFERROR(__xludf.DUMMYFUNCTION("""COMPUTED_VALUE"""),0.1596)</f>
        <v>0.1596</v>
      </c>
      <c r="AL167" s="320">
        <f>IFERROR(__xludf.DUMMYFUNCTION("""COMPUTED_VALUE"""),19.45)</f>
        <v>19.45</v>
      </c>
      <c r="AM167" s="320">
        <f>IFERROR(__xludf.DUMMYFUNCTION("""COMPUTED_VALUE"""),104.67)</f>
        <v>104.67</v>
      </c>
      <c r="AN167" s="320">
        <f>IFERROR(__xludf.DUMMYFUNCTION("""COMPUTED_VALUE"""),73.23)</f>
        <v>73.23</v>
      </c>
      <c r="AO167" s="320">
        <f>IFERROR(__xludf.DUMMYFUNCTION("""COMPUTED_VALUE"""),14.24)</f>
        <v>14.24</v>
      </c>
    </row>
    <row r="168" ht="15.75" customHeight="1">
      <c r="A168" s="330">
        <f>IFERROR(__xludf.DUMMYFUNCTION("""COMPUTED_VALUE"""),46077.0)</f>
        <v>46077</v>
      </c>
      <c r="B168" s="319" t="str">
        <f>IFERROR(__xludf.DUMMYFUNCTION("""COMPUTED_VALUE"""),"E. 40-99")</f>
        <v>E. 40-99</v>
      </c>
      <c r="C168" s="320">
        <f>IFERROR(__xludf.DUMMYFUNCTION("""COMPUTED_VALUE"""),5453.0)</f>
        <v>5453</v>
      </c>
      <c r="D168" s="320">
        <f>IFERROR(__xludf.DUMMYFUNCTION("""COMPUTED_VALUE"""),4.89)</f>
        <v>4.89</v>
      </c>
      <c r="E168" s="320">
        <f>IFERROR(__xludf.DUMMYFUNCTION("""COMPUTED_VALUE"""),0.0)</f>
        <v>0</v>
      </c>
      <c r="F168" s="320">
        <f>IFERROR(__xludf.DUMMYFUNCTION("""COMPUTED_VALUE"""),0.0)</f>
        <v>0</v>
      </c>
      <c r="G168" s="320">
        <f>IFERROR(__xludf.DUMMYFUNCTION("""COMPUTED_VALUE"""),0.0)</f>
        <v>0</v>
      </c>
      <c r="H168" s="106"/>
      <c r="I168" s="320">
        <f>IFERROR(__xludf.DUMMYFUNCTION("""COMPUTED_VALUE"""),127.48)</f>
        <v>127.48</v>
      </c>
      <c r="J168" s="320">
        <f>IFERROR(__xludf.DUMMYFUNCTION("""COMPUTED_VALUE"""),68.78)</f>
        <v>68.78</v>
      </c>
      <c r="K168" s="320">
        <f>IFERROR(__xludf.DUMMYFUNCTION("""COMPUTED_VALUE"""),55.04)</f>
        <v>55.04</v>
      </c>
      <c r="L168" s="320">
        <f>IFERROR(__xludf.DUMMYFUNCTION("""COMPUTED_VALUE"""),0.8002)</f>
        <v>0.8002</v>
      </c>
      <c r="M168" s="320">
        <f>IFERROR(__xludf.DUMMYFUNCTION("""COMPUTED_VALUE"""),0.3847)</f>
        <v>0.3847</v>
      </c>
      <c r="N168" s="320">
        <f>IFERROR(__xludf.DUMMYFUNCTION("""COMPUTED_VALUE"""),0.281)</f>
        <v>0.281</v>
      </c>
      <c r="O168" s="320">
        <f>IFERROR(__xludf.DUMMYFUNCTION("""COMPUTED_VALUE"""),1.2497)</f>
        <v>1.2497</v>
      </c>
      <c r="P168" s="320">
        <f>IFERROR(__xludf.DUMMYFUNCTION("""COMPUTED_VALUE"""),331.16)</f>
        <v>331.16</v>
      </c>
      <c r="Q168" s="320">
        <f>IFERROR(__xludf.DUMMYFUNCTION("""COMPUTED_VALUE"""),214.92)</f>
        <v>214.92</v>
      </c>
      <c r="R168" s="320">
        <f>IFERROR(__xludf.DUMMYFUNCTION("""COMPUTED_VALUE"""),116.24)</f>
        <v>116.24</v>
      </c>
      <c r="S168" s="320">
        <f>IFERROR(__xludf.DUMMYFUNCTION("""COMPUTED_VALUE"""),2.69)</f>
        <v>2.69</v>
      </c>
      <c r="T168" s="320">
        <f>IFERROR(__xludf.DUMMYFUNCTION("""COMPUTED_VALUE"""),328.47)</f>
        <v>328.47</v>
      </c>
      <c r="U168" s="320">
        <f>IFERROR(__xludf.DUMMYFUNCTION("""COMPUTED_VALUE"""),338.63)</f>
        <v>338.63</v>
      </c>
      <c r="V168" s="320">
        <f>IFERROR(__xludf.DUMMYFUNCTION("""COMPUTED_VALUE"""),4.9233)</f>
        <v>4.9233</v>
      </c>
      <c r="W168" s="320">
        <f>IFERROR(__xludf.DUMMYFUNCTION("""COMPUTED_VALUE"""),0.81)</f>
        <v>0.81</v>
      </c>
      <c r="X168" s="320">
        <f>IFERROR(__xludf.DUMMYFUNCTION("""COMPUTED_VALUE"""),311.0)</f>
        <v>311</v>
      </c>
      <c r="Y168" s="320">
        <f>IFERROR(__xludf.DUMMYFUNCTION("""COMPUTED_VALUE"""),2540.0)</f>
        <v>2540</v>
      </c>
      <c r="Z168" s="320">
        <f>IFERROR(__xludf.DUMMYFUNCTION("""COMPUTED_VALUE"""),9896.0)</f>
        <v>9896</v>
      </c>
      <c r="AA168" s="320">
        <f>IFERROR(__xludf.DUMMYFUNCTION("""COMPUTED_VALUE"""),60.1129)</f>
        <v>60.1129</v>
      </c>
      <c r="AB168" s="320">
        <f>IFERROR(__xludf.DUMMYFUNCTION("""COMPUTED_VALUE"""),0.8291)</f>
        <v>0.8291</v>
      </c>
      <c r="AC168" s="320">
        <f>IFERROR(__xludf.DUMMYFUNCTION("""COMPUTED_VALUE"""),38.06)</f>
        <v>38.06</v>
      </c>
      <c r="AD168" s="320">
        <f>IFERROR(__xludf.DUMMYFUNCTION("""COMPUTED_VALUE"""),16.0)</f>
        <v>16</v>
      </c>
      <c r="AE168" s="320">
        <f>IFERROR(__xludf.DUMMYFUNCTION("""COMPUTED_VALUE"""),30.0)</f>
        <v>30</v>
      </c>
      <c r="AF168" s="320">
        <f>IFERROR(__xludf.DUMMYFUNCTION("""COMPUTED_VALUE"""),53.0)</f>
        <v>53</v>
      </c>
      <c r="AG168" s="320">
        <f>IFERROR(__xludf.DUMMYFUNCTION("""COMPUTED_VALUE"""),79.0)</f>
        <v>79</v>
      </c>
      <c r="AH168" s="320">
        <f>IFERROR(__xludf.DUMMYFUNCTION("""COMPUTED_VALUE"""),53.84)</f>
        <v>53.84</v>
      </c>
      <c r="AI168" s="320">
        <f>IFERROR(__xludf.DUMMYFUNCTION("""COMPUTED_VALUE"""),19.7)</f>
        <v>19.7</v>
      </c>
      <c r="AJ168" s="320">
        <f>IFERROR(__xludf.DUMMYFUNCTION("""COMPUTED_VALUE"""),4.62)</f>
        <v>4.62</v>
      </c>
      <c r="AK168" s="320">
        <f>IFERROR(__xludf.DUMMYFUNCTION("""COMPUTED_VALUE"""),0.1179)</f>
        <v>0.1179</v>
      </c>
      <c r="AL168" s="320">
        <f>IFERROR(__xludf.DUMMYFUNCTION("""COMPUTED_VALUE"""),20.88)</f>
        <v>20.88</v>
      </c>
      <c r="AM168" s="320">
        <f>IFERROR(__xludf.DUMMYFUNCTION("""COMPUTED_VALUE"""),194.04)</f>
        <v>194.04</v>
      </c>
      <c r="AN168" s="320">
        <f>IFERROR(__xludf.DUMMYFUNCTION("""COMPUTED_VALUE"""),81.39)</f>
        <v>81.39</v>
      </c>
      <c r="AO168" s="320">
        <f>IFERROR(__xludf.DUMMYFUNCTION("""COMPUTED_VALUE"""),16.99)</f>
        <v>16.99</v>
      </c>
    </row>
    <row r="169" ht="15.75" customHeight="1">
      <c r="A169" s="330">
        <f>IFERROR(__xludf.DUMMYFUNCTION("""COMPUTED_VALUE"""),46077.0)</f>
        <v>46077</v>
      </c>
      <c r="B169" s="319" t="str">
        <f>IFERROR(__xludf.DUMMYFUNCTION("""COMPUTED_VALUE"""),"F. 100+")</f>
        <v>F. 100+</v>
      </c>
      <c r="C169" s="320">
        <f>IFERROR(__xludf.DUMMYFUNCTION("""COMPUTED_VALUE"""),647.0)</f>
        <v>647</v>
      </c>
      <c r="D169" s="320">
        <f>IFERROR(__xludf.DUMMYFUNCTION("""COMPUTED_VALUE"""),0.58)</f>
        <v>0.58</v>
      </c>
      <c r="E169" s="320">
        <f>IFERROR(__xludf.DUMMYFUNCTION("""COMPUTED_VALUE"""),0.0)</f>
        <v>0</v>
      </c>
      <c r="F169" s="320">
        <f>IFERROR(__xludf.DUMMYFUNCTION("""COMPUTED_VALUE"""),0.0)</f>
        <v>0</v>
      </c>
      <c r="G169" s="320">
        <f>IFERROR(__xludf.DUMMYFUNCTION("""COMPUTED_VALUE"""),0.0)</f>
        <v>0</v>
      </c>
      <c r="H169" s="106"/>
      <c r="I169" s="320">
        <f>IFERROR(__xludf.DUMMYFUNCTION("""COMPUTED_VALUE"""),244.56)</f>
        <v>244.56</v>
      </c>
      <c r="J169" s="320">
        <f>IFERROR(__xludf.DUMMYFUNCTION("""COMPUTED_VALUE"""),142.06)</f>
        <v>142.06</v>
      </c>
      <c r="K169" s="320">
        <f>IFERROR(__xludf.DUMMYFUNCTION("""COMPUTED_VALUE"""),124.17)</f>
        <v>124.17</v>
      </c>
      <c r="L169" s="320">
        <f>IFERROR(__xludf.DUMMYFUNCTION("""COMPUTED_VALUE"""),0.8741)</f>
        <v>0.8741</v>
      </c>
      <c r="M169" s="320">
        <f>IFERROR(__xludf.DUMMYFUNCTION("""COMPUTED_VALUE"""),0.279)</f>
        <v>0.279</v>
      </c>
      <c r="N169" s="320">
        <f>IFERROR(__xludf.DUMMYFUNCTION("""COMPUTED_VALUE"""),0.2102)</f>
        <v>0.2102</v>
      </c>
      <c r="O169" s="320">
        <f>IFERROR(__xludf.DUMMYFUNCTION("""COMPUTED_VALUE"""),1.1441)</f>
        <v>1.1441</v>
      </c>
      <c r="P169" s="320">
        <f>IFERROR(__xludf.DUMMYFUNCTION("""COMPUTED_VALUE"""),644.7)</f>
        <v>644.7</v>
      </c>
      <c r="Q169" s="320">
        <f>IFERROR(__xludf.DUMMYFUNCTION("""COMPUTED_VALUE"""),375.35)</f>
        <v>375.35</v>
      </c>
      <c r="R169" s="320">
        <f>IFERROR(__xludf.DUMMYFUNCTION("""COMPUTED_VALUE"""),269.35)</f>
        <v>269.35</v>
      </c>
      <c r="S169" s="320">
        <f>IFERROR(__xludf.DUMMYFUNCTION("""COMPUTED_VALUE"""),10.36)</f>
        <v>10.36</v>
      </c>
      <c r="T169" s="320">
        <f>IFERROR(__xludf.DUMMYFUNCTION("""COMPUTED_VALUE"""),634.35)</f>
        <v>634.35</v>
      </c>
      <c r="U169" s="320">
        <f>IFERROR(__xludf.DUMMYFUNCTION("""COMPUTED_VALUE"""),643.97)</f>
        <v>643.97</v>
      </c>
      <c r="V169" s="320">
        <f>IFERROR(__xludf.DUMMYFUNCTION("""COMPUTED_VALUE"""),4.5332)</f>
        <v>4.5332</v>
      </c>
      <c r="W169" s="320">
        <f>IFERROR(__xludf.DUMMYFUNCTION("""COMPUTED_VALUE"""),1.61)</f>
        <v>1.61</v>
      </c>
      <c r="X169" s="320">
        <f>IFERROR(__xludf.DUMMYFUNCTION("""COMPUTED_VALUE"""),850.0)</f>
        <v>850</v>
      </c>
      <c r="Y169" s="320">
        <f>IFERROR(__xludf.DUMMYFUNCTION("""COMPUTED_VALUE"""),3398.0)</f>
        <v>3398</v>
      </c>
      <c r="Z169" s="320">
        <f>IFERROR(__xludf.DUMMYFUNCTION("""COMPUTED_VALUE"""),9923.0)</f>
        <v>9923</v>
      </c>
      <c r="AA169" s="320">
        <f>IFERROR(__xludf.DUMMYFUNCTION("""COMPUTED_VALUE"""),63.4969)</f>
        <v>63.4969</v>
      </c>
      <c r="AB169" s="320">
        <f>IFERROR(__xludf.DUMMYFUNCTION("""COMPUTED_VALUE"""),0.8964)</f>
        <v>0.8964</v>
      </c>
      <c r="AC169" s="320">
        <f>IFERROR(__xludf.DUMMYFUNCTION("""COMPUTED_VALUE"""),87.7)</f>
        <v>87.7</v>
      </c>
      <c r="AD169" s="320">
        <f>IFERROR(__xludf.DUMMYFUNCTION("""COMPUTED_VALUE"""),37.0)</f>
        <v>37</v>
      </c>
      <c r="AE169" s="320">
        <f>IFERROR(__xludf.DUMMYFUNCTION("""COMPUTED_VALUE"""),71.0)</f>
        <v>71</v>
      </c>
      <c r="AF169" s="320">
        <f>IFERROR(__xludf.DUMMYFUNCTION("""COMPUTED_VALUE"""),121.0)</f>
        <v>121</v>
      </c>
      <c r="AG169" s="320">
        <f>IFERROR(__xludf.DUMMYFUNCTION("""COMPUTED_VALUE"""),166.0)</f>
        <v>166</v>
      </c>
      <c r="AH169" s="320">
        <f>IFERROR(__xludf.DUMMYFUNCTION("""COMPUTED_VALUE"""),45.13)</f>
        <v>45.13</v>
      </c>
      <c r="AI169" s="320">
        <f>IFERROR(__xludf.DUMMYFUNCTION("""COMPUTED_VALUE"""),8.66)</f>
        <v>8.66</v>
      </c>
      <c r="AJ169" s="320">
        <f>IFERROR(__xludf.DUMMYFUNCTION("""COMPUTED_VALUE"""),1.39)</f>
        <v>1.39</v>
      </c>
      <c r="AK169" s="320">
        <f>IFERROR(__xludf.DUMMYFUNCTION("""COMPUTED_VALUE"""),0.085)</f>
        <v>0.085</v>
      </c>
      <c r="AL169" s="320">
        <f>IFERROR(__xludf.DUMMYFUNCTION("""COMPUTED_VALUE"""),22.36)</f>
        <v>22.36</v>
      </c>
      <c r="AM169" s="320">
        <f>IFERROR(__xludf.DUMMYFUNCTION("""COMPUTED_VALUE"""),352.99)</f>
        <v>352.99</v>
      </c>
      <c r="AN169" s="320">
        <f>IFERROR(__xludf.DUMMYFUNCTION("""COMPUTED_VALUE"""),83.42)</f>
        <v>83.42</v>
      </c>
      <c r="AO169" s="320">
        <f>IFERROR(__xludf.DUMMYFUNCTION("""COMPUTED_VALUE"""),18.65)</f>
        <v>18.65</v>
      </c>
    </row>
    <row r="170" ht="15.75" customHeight="1">
      <c r="A170" s="330">
        <f>IFERROR(__xludf.DUMMYFUNCTION("""COMPUTED_VALUE"""),46078.0)</f>
        <v>46078</v>
      </c>
      <c r="B170" s="319" t="str">
        <f>IFERROR(__xludf.DUMMYFUNCTION("""COMPUTED_VALUE"""),"A. 0")</f>
        <v>A. 0</v>
      </c>
      <c r="C170" s="320">
        <f>IFERROR(__xludf.DUMMYFUNCTION("""COMPUTED_VALUE"""),21398.0)</f>
        <v>21398</v>
      </c>
      <c r="D170" s="320">
        <f>IFERROR(__xludf.DUMMYFUNCTION("""COMPUTED_VALUE"""),19.6)</f>
        <v>19.6</v>
      </c>
      <c r="E170" s="320">
        <f>IFERROR(__xludf.DUMMYFUNCTION("""COMPUTED_VALUE"""),0.0)</f>
        <v>0</v>
      </c>
      <c r="F170" s="320">
        <f>IFERROR(__xludf.DUMMYFUNCTION("""COMPUTED_VALUE"""),0.0)</f>
        <v>0</v>
      </c>
      <c r="G170" s="320">
        <f>IFERROR(__xludf.DUMMYFUNCTION("""COMPUTED_VALUE"""),0.0)</f>
        <v>0</v>
      </c>
      <c r="H170" s="106"/>
      <c r="I170" s="320">
        <f>IFERROR(__xludf.DUMMYFUNCTION("""COMPUTED_VALUE"""),6.5)</f>
        <v>6.5</v>
      </c>
      <c r="J170" s="320">
        <f>IFERROR(__xludf.DUMMYFUNCTION("""COMPUTED_VALUE"""),2.7)</f>
        <v>2.7</v>
      </c>
      <c r="K170" s="320">
        <f>IFERROR(__xludf.DUMMYFUNCTION("""COMPUTED_VALUE"""),0.05)</f>
        <v>0.05</v>
      </c>
      <c r="L170" s="320">
        <f>IFERROR(__xludf.DUMMYFUNCTION("""COMPUTED_VALUE"""),0.0185)</f>
        <v>0.0185</v>
      </c>
      <c r="M170" s="320">
        <f>IFERROR(__xludf.DUMMYFUNCTION("""COMPUTED_VALUE"""),0.9853)</f>
        <v>0.9853</v>
      </c>
      <c r="N170" s="320">
        <f>IFERROR(__xludf.DUMMYFUNCTION("""COMPUTED_VALUE"""),0.8131)</f>
        <v>0.8131</v>
      </c>
      <c r="O170" s="320">
        <f>IFERROR(__xludf.DUMMYFUNCTION("""COMPUTED_VALUE"""),53.9635)</f>
        <v>53.9635</v>
      </c>
      <c r="P170" s="320">
        <f>IFERROR(__xludf.DUMMYFUNCTION("""COMPUTED_VALUE"""),21.64)</f>
        <v>21.64</v>
      </c>
      <c r="Q170" s="320">
        <f>IFERROR(__xludf.DUMMYFUNCTION("""COMPUTED_VALUE"""),21.53)</f>
        <v>21.53</v>
      </c>
      <c r="R170" s="320">
        <f>IFERROR(__xludf.DUMMYFUNCTION("""COMPUTED_VALUE"""),0.1)</f>
        <v>0.1</v>
      </c>
      <c r="S170" s="320">
        <f>IFERROR(__xludf.DUMMYFUNCTION("""COMPUTED_VALUE"""),0.0)</f>
        <v>0</v>
      </c>
      <c r="T170" s="320">
        <f>IFERROR(__xludf.DUMMYFUNCTION("""COMPUTED_VALUE"""),21.64)</f>
        <v>21.64</v>
      </c>
      <c r="U170" s="320">
        <f>IFERROR(__xludf.DUMMYFUNCTION("""COMPUTED_VALUE"""),1.79)</f>
        <v>1.79</v>
      </c>
      <c r="V170" s="320">
        <f>IFERROR(__xludf.DUMMYFUNCTION("""COMPUTED_VALUE"""),0.6648)</f>
        <v>0.6648</v>
      </c>
      <c r="W170" s="320">
        <f>IFERROR(__xludf.DUMMYFUNCTION("""COMPUTED_VALUE"""),0.0)</f>
        <v>0</v>
      </c>
      <c r="X170" s="320">
        <f>IFERROR(__xludf.DUMMYFUNCTION("""COMPUTED_VALUE"""),304.0)</f>
        <v>304</v>
      </c>
      <c r="Y170" s="320">
        <f>IFERROR(__xludf.DUMMYFUNCTION("""COMPUTED_VALUE"""),3521.0)</f>
        <v>3521</v>
      </c>
      <c r="Z170" s="320">
        <f>IFERROR(__xludf.DUMMYFUNCTION("""COMPUTED_VALUE"""),14631.0)</f>
        <v>14631</v>
      </c>
      <c r="AA170" s="320">
        <f>IFERROR(__xludf.DUMMYFUNCTION("""COMPUTED_VALUE"""),48.9369)</f>
        <v>48.9369</v>
      </c>
      <c r="AB170" s="320">
        <f>IFERROR(__xludf.DUMMYFUNCTION("""COMPUTED_VALUE"""),0.5398)</f>
        <v>0.5398</v>
      </c>
      <c r="AC170" s="106"/>
      <c r="AD170" s="106"/>
      <c r="AE170" s="106"/>
      <c r="AF170" s="106"/>
      <c r="AG170" s="106"/>
      <c r="AH170" s="320">
        <f>IFERROR(__xludf.DUMMYFUNCTION("""COMPUTED_VALUE"""),0.0)</f>
        <v>0</v>
      </c>
      <c r="AI170" s="320">
        <f>IFERROR(__xludf.DUMMYFUNCTION("""COMPUTED_VALUE"""),0.0)</f>
        <v>0</v>
      </c>
      <c r="AJ170" s="320">
        <f>IFERROR(__xludf.DUMMYFUNCTION("""COMPUTED_VALUE"""),0.0)</f>
        <v>0</v>
      </c>
      <c r="AK170" s="320">
        <f>IFERROR(__xludf.DUMMYFUNCTION("""COMPUTED_VALUE"""),0.2775)</f>
        <v>0.2775</v>
      </c>
      <c r="AL170" s="320">
        <f>IFERROR(__xludf.DUMMYFUNCTION("""COMPUTED_VALUE"""),16.1)</f>
        <v>16.1</v>
      </c>
      <c r="AM170" s="320">
        <f>IFERROR(__xludf.DUMMYFUNCTION("""COMPUTED_VALUE"""),5.43)</f>
        <v>5.43</v>
      </c>
      <c r="AN170" s="331"/>
      <c r="AO170" s="331"/>
    </row>
    <row r="171" ht="15.75" customHeight="1">
      <c r="A171" s="330">
        <f>IFERROR(__xludf.DUMMYFUNCTION("""COMPUTED_VALUE"""),46078.0)</f>
        <v>46078</v>
      </c>
      <c r="B171" s="319" t="str">
        <f>IFERROR(__xludf.DUMMYFUNCTION("""COMPUTED_VALUE"""),"B. 1-9")</f>
        <v>B. 1-9</v>
      </c>
      <c r="C171" s="320">
        <f>IFERROR(__xludf.DUMMYFUNCTION("""COMPUTED_VALUE"""),40361.0)</f>
        <v>40361</v>
      </c>
      <c r="D171" s="320">
        <f>IFERROR(__xludf.DUMMYFUNCTION("""COMPUTED_VALUE"""),36.96)</f>
        <v>36.96</v>
      </c>
      <c r="E171" s="320">
        <f>IFERROR(__xludf.DUMMYFUNCTION("""COMPUTED_VALUE"""),0.0)</f>
        <v>0</v>
      </c>
      <c r="F171" s="320">
        <f>IFERROR(__xludf.DUMMYFUNCTION("""COMPUTED_VALUE"""),0.0)</f>
        <v>0</v>
      </c>
      <c r="G171" s="320">
        <f>IFERROR(__xludf.DUMMYFUNCTION("""COMPUTED_VALUE"""),0.0)</f>
        <v>0</v>
      </c>
      <c r="H171" s="106"/>
      <c r="I171" s="320">
        <f>IFERROR(__xludf.DUMMYFUNCTION("""COMPUTED_VALUE"""),30.87)</f>
        <v>30.87</v>
      </c>
      <c r="J171" s="320">
        <f>IFERROR(__xludf.DUMMYFUNCTION("""COMPUTED_VALUE"""),14.15)</f>
        <v>14.15</v>
      </c>
      <c r="K171" s="320">
        <f>IFERROR(__xludf.DUMMYFUNCTION("""COMPUTED_VALUE"""),5.48)</f>
        <v>5.48</v>
      </c>
      <c r="L171" s="320">
        <f>IFERROR(__xludf.DUMMYFUNCTION("""COMPUTED_VALUE"""),0.387)</f>
        <v>0.387</v>
      </c>
      <c r="M171" s="320">
        <f>IFERROR(__xludf.DUMMYFUNCTION("""COMPUTED_VALUE"""),0.7786)</f>
        <v>0.7786</v>
      </c>
      <c r="N171" s="320">
        <f>IFERROR(__xludf.DUMMYFUNCTION("""COMPUTED_VALUE"""),0.5818)</f>
        <v>0.5818</v>
      </c>
      <c r="O171" s="320">
        <f>IFERROR(__xludf.DUMMYFUNCTION("""COMPUTED_VALUE"""),2.5839)</f>
        <v>2.5839</v>
      </c>
      <c r="P171" s="320">
        <f>IFERROR(__xludf.DUMMYFUNCTION("""COMPUTED_VALUE"""),45.75)</f>
        <v>45.75</v>
      </c>
      <c r="Q171" s="320">
        <f>IFERROR(__xludf.DUMMYFUNCTION("""COMPUTED_VALUE"""),34.18)</f>
        <v>34.18</v>
      </c>
      <c r="R171" s="320">
        <f>IFERROR(__xludf.DUMMYFUNCTION("""COMPUTED_VALUE"""),11.57)</f>
        <v>11.57</v>
      </c>
      <c r="S171" s="320">
        <f>IFERROR(__xludf.DUMMYFUNCTION("""COMPUTED_VALUE"""),0.03)</f>
        <v>0.03</v>
      </c>
      <c r="T171" s="320">
        <f>IFERROR(__xludf.DUMMYFUNCTION("""COMPUTED_VALUE"""),45.72)</f>
        <v>45.72</v>
      </c>
      <c r="U171" s="320">
        <f>IFERROR(__xludf.DUMMYFUNCTION("""COMPUTED_VALUE"""),51.69)</f>
        <v>51.69</v>
      </c>
      <c r="V171" s="320">
        <f>IFERROR(__xludf.DUMMYFUNCTION("""COMPUTED_VALUE"""),3.6518)</f>
        <v>3.6518</v>
      </c>
      <c r="W171" s="320">
        <f>IFERROR(__xludf.DUMMYFUNCTION("""COMPUTED_VALUE"""),0.07)</f>
        <v>0.07</v>
      </c>
      <c r="X171" s="320">
        <f>IFERROR(__xludf.DUMMYFUNCTION("""COMPUTED_VALUE"""),135.0)</f>
        <v>135</v>
      </c>
      <c r="Y171" s="320">
        <f>IFERROR(__xludf.DUMMYFUNCTION("""COMPUTED_VALUE"""),856.0)</f>
        <v>856</v>
      </c>
      <c r="Z171" s="320">
        <f>IFERROR(__xludf.DUMMYFUNCTION("""COMPUTED_VALUE"""),5667.0)</f>
        <v>5667</v>
      </c>
      <c r="AA171" s="320">
        <f>IFERROR(__xludf.DUMMYFUNCTION("""COMPUTED_VALUE"""),48.5807)</f>
        <v>48.5807</v>
      </c>
      <c r="AB171" s="320">
        <f>IFERROR(__xludf.DUMMYFUNCTION("""COMPUTED_VALUE"""),0.5254)</f>
        <v>0.5254</v>
      </c>
      <c r="AC171" s="320">
        <f>IFERROR(__xludf.DUMMYFUNCTION("""COMPUTED_VALUE"""),3.86)</f>
        <v>3.86</v>
      </c>
      <c r="AD171" s="320">
        <f>IFERROR(__xludf.DUMMYFUNCTION("""COMPUTED_VALUE"""),1.0)</f>
        <v>1</v>
      </c>
      <c r="AE171" s="320">
        <f>IFERROR(__xludf.DUMMYFUNCTION("""COMPUTED_VALUE"""),3.0)</f>
        <v>3</v>
      </c>
      <c r="AF171" s="320">
        <f>IFERROR(__xludf.DUMMYFUNCTION("""COMPUTED_VALUE"""),5.0)</f>
        <v>5</v>
      </c>
      <c r="AG171" s="320">
        <f>IFERROR(__xludf.DUMMYFUNCTION("""COMPUTED_VALUE"""),9.0)</f>
        <v>9</v>
      </c>
      <c r="AH171" s="320">
        <f>IFERROR(__xludf.DUMMYFUNCTION("""COMPUTED_VALUE"""),71.7)</f>
        <v>71.7</v>
      </c>
      <c r="AI171" s="320">
        <f>IFERROR(__xludf.DUMMYFUNCTION("""COMPUTED_VALUE"""),28.92)</f>
        <v>28.92</v>
      </c>
      <c r="AJ171" s="320">
        <f>IFERROR(__xludf.DUMMYFUNCTION("""COMPUTED_VALUE"""),7.88)</f>
        <v>7.88</v>
      </c>
      <c r="AK171" s="320">
        <f>IFERROR(__xludf.DUMMYFUNCTION("""COMPUTED_VALUE"""),0.2448)</f>
        <v>0.2448</v>
      </c>
      <c r="AL171" s="320">
        <f>IFERROR(__xludf.DUMMYFUNCTION("""COMPUTED_VALUE"""),18.68)</f>
        <v>18.68</v>
      </c>
      <c r="AM171" s="320">
        <f>IFERROR(__xludf.DUMMYFUNCTION("""COMPUTED_VALUE"""),15.5)</f>
        <v>15.5</v>
      </c>
      <c r="AN171" s="320">
        <f>IFERROR(__xludf.DUMMYFUNCTION("""COMPUTED_VALUE"""),65.77)</f>
        <v>65.77</v>
      </c>
      <c r="AO171" s="320">
        <f>IFERROR(__xludf.DUMMYFUNCTION("""COMPUTED_VALUE"""),12.29)</f>
        <v>12.29</v>
      </c>
    </row>
    <row r="172" ht="15.75" customHeight="1">
      <c r="A172" s="330">
        <f>IFERROR(__xludf.DUMMYFUNCTION("""COMPUTED_VALUE"""),46078.0)</f>
        <v>46078</v>
      </c>
      <c r="B172" s="319" t="str">
        <f>IFERROR(__xludf.DUMMYFUNCTION("""COMPUTED_VALUE"""),"C. 10-19")</f>
        <v>C. 10-19</v>
      </c>
      <c r="C172" s="320">
        <f>IFERROR(__xludf.DUMMYFUNCTION("""COMPUTED_VALUE"""),27555.0)</f>
        <v>27555</v>
      </c>
      <c r="D172" s="320">
        <f>IFERROR(__xludf.DUMMYFUNCTION("""COMPUTED_VALUE"""),25.23)</f>
        <v>25.23</v>
      </c>
      <c r="E172" s="320">
        <f>IFERROR(__xludf.DUMMYFUNCTION("""COMPUTED_VALUE"""),0.0)</f>
        <v>0</v>
      </c>
      <c r="F172" s="320">
        <f>IFERROR(__xludf.DUMMYFUNCTION("""COMPUTED_VALUE"""),0.0)</f>
        <v>0</v>
      </c>
      <c r="G172" s="320">
        <f>IFERROR(__xludf.DUMMYFUNCTION("""COMPUTED_VALUE"""),0.0)</f>
        <v>0</v>
      </c>
      <c r="H172" s="106"/>
      <c r="I172" s="320">
        <f>IFERROR(__xludf.DUMMYFUNCTION("""COMPUTED_VALUE"""),58.37)</f>
        <v>58.37</v>
      </c>
      <c r="J172" s="320">
        <f>IFERROR(__xludf.DUMMYFUNCTION("""COMPUTED_VALUE"""),27.87)</f>
        <v>27.87</v>
      </c>
      <c r="K172" s="320">
        <f>IFERROR(__xludf.DUMMYFUNCTION("""COMPUTED_VALUE"""),14.21)</f>
        <v>14.21</v>
      </c>
      <c r="L172" s="320">
        <f>IFERROR(__xludf.DUMMYFUNCTION("""COMPUTED_VALUE"""),0.5099)</f>
        <v>0.5099</v>
      </c>
      <c r="M172" s="320">
        <f>IFERROR(__xludf.DUMMYFUNCTION("""COMPUTED_VALUE"""),0.676)</f>
        <v>0.676</v>
      </c>
      <c r="N172" s="320">
        <f>IFERROR(__xludf.DUMMYFUNCTION("""COMPUTED_VALUE"""),0.4669)</f>
        <v>0.4669</v>
      </c>
      <c r="O172" s="320">
        <f>IFERROR(__xludf.DUMMYFUNCTION("""COMPUTED_VALUE"""),1.9611)</f>
        <v>1.9611</v>
      </c>
      <c r="P172" s="320">
        <f>IFERROR(__xludf.DUMMYFUNCTION("""COMPUTED_VALUE"""),77.99)</f>
        <v>77.99</v>
      </c>
      <c r="Q172" s="320">
        <f>IFERROR(__xludf.DUMMYFUNCTION("""COMPUTED_VALUE"""),49.84)</f>
        <v>49.84</v>
      </c>
      <c r="R172" s="320">
        <f>IFERROR(__xludf.DUMMYFUNCTION("""COMPUTED_VALUE"""),28.15)</f>
        <v>28.15</v>
      </c>
      <c r="S172" s="320">
        <f>IFERROR(__xludf.DUMMYFUNCTION("""COMPUTED_VALUE"""),0.05)</f>
        <v>0.05</v>
      </c>
      <c r="T172" s="320">
        <f>IFERROR(__xludf.DUMMYFUNCTION("""COMPUTED_VALUE"""),77.93)</f>
        <v>77.93</v>
      </c>
      <c r="U172" s="320">
        <f>IFERROR(__xludf.DUMMYFUNCTION("""COMPUTED_VALUE"""),94.43)</f>
        <v>94.43</v>
      </c>
      <c r="V172" s="320">
        <f>IFERROR(__xludf.DUMMYFUNCTION("""COMPUTED_VALUE"""),3.3888)</f>
        <v>3.3888</v>
      </c>
      <c r="W172" s="320">
        <f>IFERROR(__xludf.DUMMYFUNCTION("""COMPUTED_VALUE"""),0.07)</f>
        <v>0.07</v>
      </c>
      <c r="X172" s="320">
        <f>IFERROR(__xludf.DUMMYFUNCTION("""COMPUTED_VALUE"""),116.0)</f>
        <v>116</v>
      </c>
      <c r="Y172" s="320">
        <f>IFERROR(__xludf.DUMMYFUNCTION("""COMPUTED_VALUE"""),707.0)</f>
        <v>707</v>
      </c>
      <c r="Z172" s="320">
        <f>IFERROR(__xludf.DUMMYFUNCTION("""COMPUTED_VALUE"""),5650.0)</f>
        <v>5650</v>
      </c>
      <c r="AA172" s="320">
        <f>IFERROR(__xludf.DUMMYFUNCTION("""COMPUTED_VALUE"""),52.3355)</f>
        <v>52.3355</v>
      </c>
      <c r="AB172" s="320">
        <f>IFERROR(__xludf.DUMMYFUNCTION("""COMPUTED_VALUE"""),0.6007)</f>
        <v>0.6007</v>
      </c>
      <c r="AC172" s="320">
        <f>IFERROR(__xludf.DUMMYFUNCTION("""COMPUTED_VALUE"""),8.84)</f>
        <v>8.84</v>
      </c>
      <c r="AD172" s="320">
        <f>IFERROR(__xludf.DUMMYFUNCTION("""COMPUTED_VALUE"""),3.0)</f>
        <v>3</v>
      </c>
      <c r="AE172" s="320">
        <f>IFERROR(__xludf.DUMMYFUNCTION("""COMPUTED_VALUE"""),7.0)</f>
        <v>7</v>
      </c>
      <c r="AF172" s="320">
        <f>IFERROR(__xludf.DUMMYFUNCTION("""COMPUTED_VALUE"""),12.0)</f>
        <v>12</v>
      </c>
      <c r="AG172" s="320">
        <f>IFERROR(__xludf.DUMMYFUNCTION("""COMPUTED_VALUE"""),19.0)</f>
        <v>19</v>
      </c>
      <c r="AH172" s="320">
        <f>IFERROR(__xludf.DUMMYFUNCTION("""COMPUTED_VALUE"""),57.15)</f>
        <v>57.15</v>
      </c>
      <c r="AI172" s="320">
        <f>IFERROR(__xludf.DUMMYFUNCTION("""COMPUTED_VALUE"""),23.8)</f>
        <v>23.8</v>
      </c>
      <c r="AJ172" s="320">
        <f>IFERROR(__xludf.DUMMYFUNCTION("""COMPUTED_VALUE"""),3.85)</f>
        <v>3.85</v>
      </c>
      <c r="AK172" s="320">
        <f>IFERROR(__xludf.DUMMYFUNCTION("""COMPUTED_VALUE"""),0.1776)</f>
        <v>0.1776</v>
      </c>
      <c r="AL172" s="320">
        <f>IFERROR(__xludf.DUMMYFUNCTION("""COMPUTED_VALUE"""),19.48)</f>
        <v>19.48</v>
      </c>
      <c r="AM172" s="320">
        <f>IFERROR(__xludf.DUMMYFUNCTION("""COMPUTED_VALUE"""),30.36)</f>
        <v>30.36</v>
      </c>
      <c r="AN172" s="320">
        <f>IFERROR(__xludf.DUMMYFUNCTION("""COMPUTED_VALUE"""),74.01)</f>
        <v>74.01</v>
      </c>
      <c r="AO172" s="320">
        <f>IFERROR(__xludf.DUMMYFUNCTION("""COMPUTED_VALUE"""),14.42)</f>
        <v>14.42</v>
      </c>
    </row>
    <row r="173" ht="15.75" customHeight="1">
      <c r="A173" s="330">
        <f>IFERROR(__xludf.DUMMYFUNCTION("""COMPUTED_VALUE"""),46078.0)</f>
        <v>46078</v>
      </c>
      <c r="B173" s="319" t="str">
        <f>IFERROR(__xludf.DUMMYFUNCTION("""COMPUTED_VALUE"""),"D. 20-39")</f>
        <v>D. 20-39</v>
      </c>
      <c r="C173" s="320">
        <f>IFERROR(__xludf.DUMMYFUNCTION("""COMPUTED_VALUE"""),13843.0)</f>
        <v>13843</v>
      </c>
      <c r="D173" s="320">
        <f>IFERROR(__xludf.DUMMYFUNCTION("""COMPUTED_VALUE"""),12.68)</f>
        <v>12.68</v>
      </c>
      <c r="E173" s="320">
        <f>IFERROR(__xludf.DUMMYFUNCTION("""COMPUTED_VALUE"""),0.0)</f>
        <v>0</v>
      </c>
      <c r="F173" s="320">
        <f>IFERROR(__xludf.DUMMYFUNCTION("""COMPUTED_VALUE"""),0.0)</f>
        <v>0</v>
      </c>
      <c r="G173" s="320">
        <f>IFERROR(__xludf.DUMMYFUNCTION("""COMPUTED_VALUE"""),0.0)</f>
        <v>0</v>
      </c>
      <c r="H173" s="106"/>
      <c r="I173" s="320">
        <f>IFERROR(__xludf.DUMMYFUNCTION("""COMPUTED_VALUE"""),79.78)</f>
        <v>79.78</v>
      </c>
      <c r="J173" s="320">
        <f>IFERROR(__xludf.DUMMYFUNCTION("""COMPUTED_VALUE"""),40.49)</f>
        <v>40.49</v>
      </c>
      <c r="K173" s="320">
        <f>IFERROR(__xludf.DUMMYFUNCTION("""COMPUTED_VALUE"""),26.23)</f>
        <v>26.23</v>
      </c>
      <c r="L173" s="320">
        <f>IFERROR(__xludf.DUMMYFUNCTION("""COMPUTED_VALUE"""),0.6477)</f>
        <v>0.6477</v>
      </c>
      <c r="M173" s="320">
        <f>IFERROR(__xludf.DUMMYFUNCTION("""COMPUTED_VALUE"""),0.5397)</f>
        <v>0.5397</v>
      </c>
      <c r="N173" s="320">
        <f>IFERROR(__xludf.DUMMYFUNCTION("""COMPUTED_VALUE"""),0.3714)</f>
        <v>0.3714</v>
      </c>
      <c r="O173" s="320">
        <f>IFERROR(__xludf.DUMMYFUNCTION("""COMPUTED_VALUE"""),1.544)</f>
        <v>1.544</v>
      </c>
      <c r="P173" s="320">
        <f>IFERROR(__xludf.DUMMYFUNCTION("""COMPUTED_VALUE"""),122.4)</f>
        <v>122.4</v>
      </c>
      <c r="Q173" s="320">
        <f>IFERROR(__xludf.DUMMYFUNCTION("""COMPUTED_VALUE"""),67.51)</f>
        <v>67.51</v>
      </c>
      <c r="R173" s="320">
        <f>IFERROR(__xludf.DUMMYFUNCTION("""COMPUTED_VALUE"""),54.89)</f>
        <v>54.89</v>
      </c>
      <c r="S173" s="320">
        <f>IFERROR(__xludf.DUMMYFUNCTION("""COMPUTED_VALUE"""),0.92)</f>
        <v>0.92</v>
      </c>
      <c r="T173" s="320">
        <f>IFERROR(__xludf.DUMMYFUNCTION("""COMPUTED_VALUE"""),121.47)</f>
        <v>121.47</v>
      </c>
      <c r="U173" s="320">
        <f>IFERROR(__xludf.DUMMYFUNCTION("""COMPUTED_VALUE"""),160.65)</f>
        <v>160.65</v>
      </c>
      <c r="V173" s="320">
        <f>IFERROR(__xludf.DUMMYFUNCTION("""COMPUTED_VALUE"""),3.9674)</f>
        <v>3.9674</v>
      </c>
      <c r="W173" s="320">
        <f>IFERROR(__xludf.DUMMYFUNCTION("""COMPUTED_VALUE"""),0.76)</f>
        <v>0.76</v>
      </c>
      <c r="X173" s="320">
        <f>IFERROR(__xludf.DUMMYFUNCTION("""COMPUTED_VALUE"""),136.0)</f>
        <v>136</v>
      </c>
      <c r="Y173" s="320">
        <f>IFERROR(__xludf.DUMMYFUNCTION("""COMPUTED_VALUE"""),1037.0)</f>
        <v>1037</v>
      </c>
      <c r="Z173" s="320">
        <f>IFERROR(__xludf.DUMMYFUNCTION("""COMPUTED_VALUE"""),6580.0)</f>
        <v>6580</v>
      </c>
      <c r="AA173" s="320">
        <f>IFERROR(__xludf.DUMMYFUNCTION("""COMPUTED_VALUE"""),56.1617)</f>
        <v>56.1617</v>
      </c>
      <c r="AB173" s="320">
        <f>IFERROR(__xludf.DUMMYFUNCTION("""COMPUTED_VALUE"""),0.7393)</f>
        <v>0.7393</v>
      </c>
      <c r="AC173" s="320">
        <f>IFERROR(__xludf.DUMMYFUNCTION("""COMPUTED_VALUE"""),17.3)</f>
        <v>17.3</v>
      </c>
      <c r="AD173" s="320">
        <f>IFERROR(__xludf.DUMMYFUNCTION("""COMPUTED_VALUE"""),7.0)</f>
        <v>7</v>
      </c>
      <c r="AE173" s="320">
        <f>IFERROR(__xludf.DUMMYFUNCTION("""COMPUTED_VALUE"""),13.0)</f>
        <v>13</v>
      </c>
      <c r="AF173" s="320">
        <f>IFERROR(__xludf.DUMMYFUNCTION("""COMPUTED_VALUE"""),24.0)</f>
        <v>24</v>
      </c>
      <c r="AG173" s="320">
        <f>IFERROR(__xludf.DUMMYFUNCTION("""COMPUTED_VALUE"""),36.0)</f>
        <v>36</v>
      </c>
      <c r="AH173" s="320">
        <f>IFERROR(__xludf.DUMMYFUNCTION("""COMPUTED_VALUE"""),58.09)</f>
        <v>58.09</v>
      </c>
      <c r="AI173" s="320">
        <f>IFERROR(__xludf.DUMMYFUNCTION("""COMPUTED_VALUE"""),22.44)</f>
        <v>22.44</v>
      </c>
      <c r="AJ173" s="320">
        <f>IFERROR(__xludf.DUMMYFUNCTION("""COMPUTED_VALUE"""),6.36)</f>
        <v>6.36</v>
      </c>
      <c r="AK173" s="320">
        <f>IFERROR(__xludf.DUMMYFUNCTION("""COMPUTED_VALUE"""),0.1748)</f>
        <v>0.1748</v>
      </c>
      <c r="AL173" s="320">
        <f>IFERROR(__xludf.DUMMYFUNCTION("""COMPUTED_VALUE"""),19.39)</f>
        <v>19.39</v>
      </c>
      <c r="AM173" s="320">
        <f>IFERROR(__xludf.DUMMYFUNCTION("""COMPUTED_VALUE"""),48.12)</f>
        <v>48.12</v>
      </c>
      <c r="AN173" s="320">
        <f>IFERROR(__xludf.DUMMYFUNCTION("""COMPUTED_VALUE"""),77.11)</f>
        <v>77.11</v>
      </c>
      <c r="AO173" s="320">
        <f>IFERROR(__xludf.DUMMYFUNCTION("""COMPUTED_VALUE"""),14.95)</f>
        <v>14.95</v>
      </c>
    </row>
    <row r="174" ht="15.75" customHeight="1">
      <c r="A174" s="330">
        <f>IFERROR(__xludf.DUMMYFUNCTION("""COMPUTED_VALUE"""),46078.0)</f>
        <v>46078</v>
      </c>
      <c r="B174" s="319" t="str">
        <f>IFERROR(__xludf.DUMMYFUNCTION("""COMPUTED_VALUE"""),"E. 40-99")</f>
        <v>E. 40-99</v>
      </c>
      <c r="C174" s="320">
        <f>IFERROR(__xludf.DUMMYFUNCTION("""COMPUTED_VALUE"""),5432.0)</f>
        <v>5432</v>
      </c>
      <c r="D174" s="320">
        <f>IFERROR(__xludf.DUMMYFUNCTION("""COMPUTED_VALUE"""),4.97)</f>
        <v>4.97</v>
      </c>
      <c r="E174" s="320">
        <f>IFERROR(__xludf.DUMMYFUNCTION("""COMPUTED_VALUE"""),0.0)</f>
        <v>0</v>
      </c>
      <c r="F174" s="320">
        <f>IFERROR(__xludf.DUMMYFUNCTION("""COMPUTED_VALUE"""),0.0)</f>
        <v>0</v>
      </c>
      <c r="G174" s="320">
        <f>IFERROR(__xludf.DUMMYFUNCTION("""COMPUTED_VALUE"""),0.0)</f>
        <v>0</v>
      </c>
      <c r="H174" s="106"/>
      <c r="I174" s="320">
        <f>IFERROR(__xludf.DUMMYFUNCTION("""COMPUTED_VALUE"""),129.45)</f>
        <v>129.45</v>
      </c>
      <c r="J174" s="320">
        <f>IFERROR(__xludf.DUMMYFUNCTION("""COMPUTED_VALUE"""),69.69)</f>
        <v>69.69</v>
      </c>
      <c r="K174" s="320">
        <f>IFERROR(__xludf.DUMMYFUNCTION("""COMPUTED_VALUE"""),53.92)</f>
        <v>53.92</v>
      </c>
      <c r="L174" s="320">
        <f>IFERROR(__xludf.DUMMYFUNCTION("""COMPUTED_VALUE"""),0.7737)</f>
        <v>0.7737</v>
      </c>
      <c r="M174" s="320">
        <f>IFERROR(__xludf.DUMMYFUNCTION("""COMPUTED_VALUE"""),0.404)</f>
        <v>0.404</v>
      </c>
      <c r="N174" s="320">
        <f>IFERROR(__xludf.DUMMYFUNCTION("""COMPUTED_VALUE"""),0.2863)</f>
        <v>0.2863</v>
      </c>
      <c r="O174" s="320">
        <f>IFERROR(__xludf.DUMMYFUNCTION("""COMPUTED_VALUE"""),1.2925)</f>
        <v>1.2925</v>
      </c>
      <c r="P174" s="320">
        <f>IFERROR(__xludf.DUMMYFUNCTION("""COMPUTED_VALUE"""),212.17)</f>
        <v>212.17</v>
      </c>
      <c r="Q174" s="320">
        <f>IFERROR(__xludf.DUMMYFUNCTION("""COMPUTED_VALUE"""),97.96)</f>
        <v>97.96</v>
      </c>
      <c r="R174" s="320">
        <f>IFERROR(__xludf.DUMMYFUNCTION("""COMPUTED_VALUE"""),114.2)</f>
        <v>114.2</v>
      </c>
      <c r="S174" s="320">
        <f>IFERROR(__xludf.DUMMYFUNCTION("""COMPUTED_VALUE"""),0.31)</f>
        <v>0.31</v>
      </c>
      <c r="T174" s="320">
        <f>IFERROR(__xludf.DUMMYFUNCTION("""COMPUTED_VALUE"""),211.86)</f>
        <v>211.86</v>
      </c>
      <c r="U174" s="320">
        <f>IFERROR(__xludf.DUMMYFUNCTION("""COMPUTED_VALUE"""),299.32)</f>
        <v>299.32</v>
      </c>
      <c r="V174" s="320">
        <f>IFERROR(__xludf.DUMMYFUNCTION("""COMPUTED_VALUE"""),4.2952)</f>
        <v>4.2952</v>
      </c>
      <c r="W174" s="320">
        <f>IFERROR(__xludf.DUMMYFUNCTION("""COMPUTED_VALUE"""),0.14)</f>
        <v>0.14</v>
      </c>
      <c r="X174" s="320">
        <f>IFERROR(__xludf.DUMMYFUNCTION("""COMPUTED_VALUE"""),248.0)</f>
        <v>248</v>
      </c>
      <c r="Y174" s="320">
        <f>IFERROR(__xludf.DUMMYFUNCTION("""COMPUTED_VALUE"""),2620.0)</f>
        <v>2620</v>
      </c>
      <c r="Z174" s="320">
        <f>IFERROR(__xludf.DUMMYFUNCTION("""COMPUTED_VALUE"""),9877.0)</f>
        <v>9877</v>
      </c>
      <c r="AA174" s="320">
        <f>IFERROR(__xludf.DUMMYFUNCTION("""COMPUTED_VALUE"""),60.1201)</f>
        <v>60.1201</v>
      </c>
      <c r="AB174" s="320">
        <f>IFERROR(__xludf.DUMMYFUNCTION("""COMPUTED_VALUE"""),0.8365)</f>
        <v>0.8365</v>
      </c>
      <c r="AC174" s="320">
        <f>IFERROR(__xludf.DUMMYFUNCTION("""COMPUTED_VALUE"""),36.44)</f>
        <v>36.44</v>
      </c>
      <c r="AD174" s="320">
        <f>IFERROR(__xludf.DUMMYFUNCTION("""COMPUTED_VALUE"""),14.0)</f>
        <v>14</v>
      </c>
      <c r="AE174" s="320">
        <f>IFERROR(__xludf.DUMMYFUNCTION("""COMPUTED_VALUE"""),27.0)</f>
        <v>27</v>
      </c>
      <c r="AF174" s="320">
        <f>IFERROR(__xludf.DUMMYFUNCTION("""COMPUTED_VALUE"""),51.0)</f>
        <v>51</v>
      </c>
      <c r="AG174" s="320">
        <f>IFERROR(__xludf.DUMMYFUNCTION("""COMPUTED_VALUE"""),79.0)</f>
        <v>79</v>
      </c>
      <c r="AH174" s="320">
        <f>IFERROR(__xludf.DUMMYFUNCTION("""COMPUTED_VALUE"""),49.45)</f>
        <v>49.45</v>
      </c>
      <c r="AI174" s="320">
        <f>IFERROR(__xludf.DUMMYFUNCTION("""COMPUTED_VALUE"""),19.05)</f>
        <v>19.05</v>
      </c>
      <c r="AJ174" s="320">
        <f>IFERROR(__xludf.DUMMYFUNCTION("""COMPUTED_VALUE"""),4.62)</f>
        <v>4.62</v>
      </c>
      <c r="AK174" s="320">
        <f>IFERROR(__xludf.DUMMYFUNCTION("""COMPUTED_VALUE"""),0.1294)</f>
        <v>0.1294</v>
      </c>
      <c r="AL174" s="320">
        <f>IFERROR(__xludf.DUMMYFUNCTION("""COMPUTED_VALUE"""),20.95)</f>
        <v>20.95</v>
      </c>
      <c r="AM174" s="320">
        <f>IFERROR(__xludf.DUMMYFUNCTION("""COMPUTED_VALUE"""),77.01)</f>
        <v>77.01</v>
      </c>
      <c r="AN174" s="320">
        <f>IFERROR(__xludf.DUMMYFUNCTION("""COMPUTED_VALUE"""),82.55)</f>
        <v>82.55</v>
      </c>
      <c r="AO174" s="320">
        <f>IFERROR(__xludf.DUMMYFUNCTION("""COMPUTED_VALUE"""),17.29)</f>
        <v>17.29</v>
      </c>
    </row>
    <row r="175" ht="15.75" customHeight="1">
      <c r="A175" s="330">
        <f>IFERROR(__xludf.DUMMYFUNCTION("""COMPUTED_VALUE"""),46078.0)</f>
        <v>46078</v>
      </c>
      <c r="B175" s="319" t="str">
        <f>IFERROR(__xludf.DUMMYFUNCTION("""COMPUTED_VALUE"""),"F. 100+")</f>
        <v>F. 100+</v>
      </c>
      <c r="C175" s="320">
        <f>IFERROR(__xludf.DUMMYFUNCTION("""COMPUTED_VALUE"""),607.0)</f>
        <v>607</v>
      </c>
      <c r="D175" s="320">
        <f>IFERROR(__xludf.DUMMYFUNCTION("""COMPUTED_VALUE"""),0.56)</f>
        <v>0.56</v>
      </c>
      <c r="E175" s="320">
        <f>IFERROR(__xludf.DUMMYFUNCTION("""COMPUTED_VALUE"""),0.0)</f>
        <v>0</v>
      </c>
      <c r="F175" s="320">
        <f>IFERROR(__xludf.DUMMYFUNCTION("""COMPUTED_VALUE"""),0.0)</f>
        <v>0</v>
      </c>
      <c r="G175" s="320">
        <f>IFERROR(__xludf.DUMMYFUNCTION("""COMPUTED_VALUE"""),0.0)</f>
        <v>0</v>
      </c>
      <c r="H175" s="106"/>
      <c r="I175" s="320">
        <f>IFERROR(__xludf.DUMMYFUNCTION("""COMPUTED_VALUE"""),250.64)</f>
        <v>250.64</v>
      </c>
      <c r="J175" s="320">
        <f>IFERROR(__xludf.DUMMYFUNCTION("""COMPUTED_VALUE"""),142.68)</f>
        <v>142.68</v>
      </c>
      <c r="K175" s="320">
        <f>IFERROR(__xludf.DUMMYFUNCTION("""COMPUTED_VALUE"""),119.03)</f>
        <v>119.03</v>
      </c>
      <c r="L175" s="320">
        <f>IFERROR(__xludf.DUMMYFUNCTION("""COMPUTED_VALUE"""),0.8342)</f>
        <v>0.8342</v>
      </c>
      <c r="M175" s="320">
        <f>IFERROR(__xludf.DUMMYFUNCTION("""COMPUTED_VALUE"""),0.3224)</f>
        <v>0.3224</v>
      </c>
      <c r="N175" s="320">
        <f>IFERROR(__xludf.DUMMYFUNCTION("""COMPUTED_VALUE"""),0.2318)</f>
        <v>0.2318</v>
      </c>
      <c r="O175" s="320">
        <f>IFERROR(__xludf.DUMMYFUNCTION("""COMPUTED_VALUE"""),1.1988)</f>
        <v>1.1988</v>
      </c>
      <c r="P175" s="320">
        <f>IFERROR(__xludf.DUMMYFUNCTION("""COMPUTED_VALUE"""),421.66)</f>
        <v>421.66</v>
      </c>
      <c r="Q175" s="320">
        <f>IFERROR(__xludf.DUMMYFUNCTION("""COMPUTED_VALUE"""),164.26)</f>
        <v>164.26</v>
      </c>
      <c r="R175" s="320">
        <f>IFERROR(__xludf.DUMMYFUNCTION("""COMPUTED_VALUE"""),257.41)</f>
        <v>257.41</v>
      </c>
      <c r="S175" s="320">
        <f>IFERROR(__xludf.DUMMYFUNCTION("""COMPUTED_VALUE"""),0.0)</f>
        <v>0</v>
      </c>
      <c r="T175" s="320">
        <f>IFERROR(__xludf.DUMMYFUNCTION("""COMPUTED_VALUE"""),421.66)</f>
        <v>421.66</v>
      </c>
      <c r="U175" s="320">
        <f>IFERROR(__xludf.DUMMYFUNCTION("""COMPUTED_VALUE"""),607.25)</f>
        <v>607.25</v>
      </c>
      <c r="V175" s="320">
        <f>IFERROR(__xludf.DUMMYFUNCTION("""COMPUTED_VALUE"""),4.2559)</f>
        <v>4.2559</v>
      </c>
      <c r="W175" s="320">
        <f>IFERROR(__xludf.DUMMYFUNCTION("""COMPUTED_VALUE"""),0.0)</f>
        <v>0</v>
      </c>
      <c r="X175" s="320">
        <f>IFERROR(__xludf.DUMMYFUNCTION("""COMPUTED_VALUE"""),716.0)</f>
        <v>716</v>
      </c>
      <c r="Y175" s="320">
        <f>IFERROR(__xludf.DUMMYFUNCTION("""COMPUTED_VALUE"""),3105.0)</f>
        <v>3105</v>
      </c>
      <c r="Z175" s="320">
        <f>IFERROR(__xludf.DUMMYFUNCTION("""COMPUTED_VALUE"""),10340.0)</f>
        <v>10340</v>
      </c>
      <c r="AA175" s="320">
        <f>IFERROR(__xludf.DUMMYFUNCTION("""COMPUTED_VALUE"""),63.2453)</f>
        <v>63.2453</v>
      </c>
      <c r="AB175" s="320">
        <f>IFERROR(__xludf.DUMMYFUNCTION("""COMPUTED_VALUE"""),0.892)</f>
        <v>0.892</v>
      </c>
      <c r="AC175" s="320">
        <f>IFERROR(__xludf.DUMMYFUNCTION("""COMPUTED_VALUE"""),77.97)</f>
        <v>77.97</v>
      </c>
      <c r="AD175" s="320">
        <f>IFERROR(__xludf.DUMMYFUNCTION("""COMPUTED_VALUE"""),30.0)</f>
        <v>30</v>
      </c>
      <c r="AE175" s="320">
        <f>IFERROR(__xludf.DUMMYFUNCTION("""COMPUTED_VALUE"""),63.0)</f>
        <v>63</v>
      </c>
      <c r="AF175" s="320">
        <f>IFERROR(__xludf.DUMMYFUNCTION("""COMPUTED_VALUE"""),110.0)</f>
        <v>110</v>
      </c>
      <c r="AG175" s="320">
        <f>IFERROR(__xludf.DUMMYFUNCTION("""COMPUTED_VALUE"""),157.0)</f>
        <v>157</v>
      </c>
      <c r="AH175" s="320">
        <f>IFERROR(__xludf.DUMMYFUNCTION("""COMPUTED_VALUE"""),40.86)</f>
        <v>40.86</v>
      </c>
      <c r="AI175" s="320">
        <f>IFERROR(__xludf.DUMMYFUNCTION("""COMPUTED_VALUE"""),6.26)</f>
        <v>6.26</v>
      </c>
      <c r="AJ175" s="320">
        <f>IFERROR(__xludf.DUMMYFUNCTION("""COMPUTED_VALUE"""),0.82)</f>
        <v>0.82</v>
      </c>
      <c r="AK175" s="320">
        <f>IFERROR(__xludf.DUMMYFUNCTION("""COMPUTED_VALUE"""),0.0659)</f>
        <v>0.0659</v>
      </c>
      <c r="AL175" s="320">
        <f>IFERROR(__xludf.DUMMYFUNCTION("""COMPUTED_VALUE"""),22.75)</f>
        <v>22.75</v>
      </c>
      <c r="AM175" s="320">
        <f>IFERROR(__xludf.DUMMYFUNCTION("""COMPUTED_VALUE"""),141.5)</f>
        <v>141.5</v>
      </c>
      <c r="AN175" s="320">
        <f>IFERROR(__xludf.DUMMYFUNCTION("""COMPUTED_VALUE"""),86.61)</f>
        <v>86.61</v>
      </c>
      <c r="AO175" s="320">
        <f>IFERROR(__xludf.DUMMYFUNCTION("""COMPUTED_VALUE"""),19.7)</f>
        <v>19.7</v>
      </c>
    </row>
    <row r="176" ht="15.75" customHeight="1">
      <c r="A176" s="330">
        <f>IFERROR(__xludf.DUMMYFUNCTION("""COMPUTED_VALUE"""),46079.0)</f>
        <v>46079</v>
      </c>
      <c r="B176" s="319" t="str">
        <f>IFERROR(__xludf.DUMMYFUNCTION("""COMPUTED_VALUE"""),"A. 0")</f>
        <v>A. 0</v>
      </c>
      <c r="C176" s="320">
        <f>IFERROR(__xludf.DUMMYFUNCTION("""COMPUTED_VALUE"""),22108.0)</f>
        <v>22108</v>
      </c>
      <c r="D176" s="320">
        <f>IFERROR(__xludf.DUMMYFUNCTION("""COMPUTED_VALUE"""),20.59)</f>
        <v>20.59</v>
      </c>
      <c r="E176" s="320">
        <f>IFERROR(__xludf.DUMMYFUNCTION("""COMPUTED_VALUE"""),0.0)</f>
        <v>0</v>
      </c>
      <c r="F176" s="320">
        <f>IFERROR(__xludf.DUMMYFUNCTION("""COMPUTED_VALUE"""),0.0)</f>
        <v>0</v>
      </c>
      <c r="G176" s="320">
        <f>IFERROR(__xludf.DUMMYFUNCTION("""COMPUTED_VALUE"""),0.0)</f>
        <v>0</v>
      </c>
      <c r="H176" s="106"/>
      <c r="I176" s="320">
        <f>IFERROR(__xludf.DUMMYFUNCTION("""COMPUTED_VALUE"""),6.49)</f>
        <v>6.49</v>
      </c>
      <c r="J176" s="320">
        <f>IFERROR(__xludf.DUMMYFUNCTION("""COMPUTED_VALUE"""),2.64)</f>
        <v>2.64</v>
      </c>
      <c r="K176" s="320">
        <f>IFERROR(__xludf.DUMMYFUNCTION("""COMPUTED_VALUE"""),0.02)</f>
        <v>0.02</v>
      </c>
      <c r="L176" s="320">
        <f>IFERROR(__xludf.DUMMYFUNCTION("""COMPUTED_VALUE"""),0.0067)</f>
        <v>0.0067</v>
      </c>
      <c r="M176" s="320">
        <f>IFERROR(__xludf.DUMMYFUNCTION("""COMPUTED_VALUE"""),0.995)</f>
        <v>0.995</v>
      </c>
      <c r="N176" s="320">
        <f>IFERROR(__xludf.DUMMYFUNCTION("""COMPUTED_VALUE"""),0.925)</f>
        <v>0.925</v>
      </c>
      <c r="O176" s="320">
        <f>IFERROR(__xludf.DUMMYFUNCTION("""COMPUTED_VALUE"""),148.6565)</f>
        <v>148.6565</v>
      </c>
      <c r="P176" s="320">
        <f>IFERROR(__xludf.DUMMYFUNCTION("""COMPUTED_VALUE"""),22.51)</f>
        <v>22.51</v>
      </c>
      <c r="Q176" s="320">
        <f>IFERROR(__xludf.DUMMYFUNCTION("""COMPUTED_VALUE"""),22.11)</f>
        <v>22.11</v>
      </c>
      <c r="R176" s="320">
        <f>IFERROR(__xludf.DUMMYFUNCTION("""COMPUTED_VALUE"""),0.4)</f>
        <v>0.4</v>
      </c>
      <c r="S176" s="320">
        <f>IFERROR(__xludf.DUMMYFUNCTION("""COMPUTED_VALUE"""),0.0)</f>
        <v>0</v>
      </c>
      <c r="T176" s="320">
        <f>IFERROR(__xludf.DUMMYFUNCTION("""COMPUTED_VALUE"""),22.51)</f>
        <v>22.51</v>
      </c>
      <c r="U176" s="320">
        <f>IFERROR(__xludf.DUMMYFUNCTION("""COMPUTED_VALUE"""),1.58)</f>
        <v>1.58</v>
      </c>
      <c r="V176" s="320">
        <f>IFERROR(__xludf.DUMMYFUNCTION("""COMPUTED_VALUE"""),0.5965)</f>
        <v>0.5965</v>
      </c>
      <c r="W176" s="320">
        <f>IFERROR(__xludf.DUMMYFUNCTION("""COMPUTED_VALUE"""),0.0)</f>
        <v>0</v>
      </c>
      <c r="X176" s="320">
        <f>IFERROR(__xludf.DUMMYFUNCTION("""COMPUTED_VALUE"""),273.0)</f>
        <v>273</v>
      </c>
      <c r="Y176" s="320">
        <f>IFERROR(__xludf.DUMMYFUNCTION("""COMPUTED_VALUE"""),3109.0)</f>
        <v>3109</v>
      </c>
      <c r="Z176" s="320">
        <f>IFERROR(__xludf.DUMMYFUNCTION("""COMPUTED_VALUE"""),13808.0)</f>
        <v>13808</v>
      </c>
      <c r="AA176" s="320">
        <f>IFERROR(__xludf.DUMMYFUNCTION("""COMPUTED_VALUE"""),48.8447)</f>
        <v>48.8447</v>
      </c>
      <c r="AB176" s="320">
        <f>IFERROR(__xludf.DUMMYFUNCTION("""COMPUTED_VALUE"""),0.5353)</f>
        <v>0.5353</v>
      </c>
      <c r="AC176" s="106"/>
      <c r="AD176" s="106"/>
      <c r="AE176" s="106"/>
      <c r="AF176" s="106"/>
      <c r="AG176" s="106"/>
      <c r="AH176" s="320">
        <f>IFERROR(__xludf.DUMMYFUNCTION("""COMPUTED_VALUE"""),0.0)</f>
        <v>0</v>
      </c>
      <c r="AI176" s="320">
        <f>IFERROR(__xludf.DUMMYFUNCTION("""COMPUTED_VALUE"""),0.0)</f>
        <v>0</v>
      </c>
      <c r="AJ176" s="320">
        <f>IFERROR(__xludf.DUMMYFUNCTION("""COMPUTED_VALUE"""),0.0)</f>
        <v>0</v>
      </c>
      <c r="AK176" s="320">
        <f>IFERROR(__xludf.DUMMYFUNCTION("""COMPUTED_VALUE"""),0.2857)</f>
        <v>0.2857</v>
      </c>
      <c r="AL176" s="320">
        <f>IFERROR(__xludf.DUMMYFUNCTION("""COMPUTED_VALUE"""),16.12)</f>
        <v>16.12</v>
      </c>
      <c r="AM176" s="320">
        <f>IFERROR(__xludf.DUMMYFUNCTION("""COMPUTED_VALUE"""),5.99)</f>
        <v>5.99</v>
      </c>
      <c r="AN176" s="331"/>
      <c r="AO176" s="331"/>
    </row>
    <row r="177" ht="15.75" customHeight="1">
      <c r="A177" s="330">
        <f>IFERROR(__xludf.DUMMYFUNCTION("""COMPUTED_VALUE"""),46079.0)</f>
        <v>46079</v>
      </c>
      <c r="B177" s="319" t="str">
        <f>IFERROR(__xludf.DUMMYFUNCTION("""COMPUTED_VALUE"""),"B. 1-9")</f>
        <v>B. 1-9</v>
      </c>
      <c r="C177" s="320">
        <f>IFERROR(__xludf.DUMMYFUNCTION("""COMPUTED_VALUE"""),39416.0)</f>
        <v>39416</v>
      </c>
      <c r="D177" s="320">
        <f>IFERROR(__xludf.DUMMYFUNCTION("""COMPUTED_VALUE"""),36.71)</f>
        <v>36.71</v>
      </c>
      <c r="E177" s="320">
        <f>IFERROR(__xludf.DUMMYFUNCTION("""COMPUTED_VALUE"""),0.0)</f>
        <v>0</v>
      </c>
      <c r="F177" s="320">
        <f>IFERROR(__xludf.DUMMYFUNCTION("""COMPUTED_VALUE"""),0.0)</f>
        <v>0</v>
      </c>
      <c r="G177" s="320">
        <f>IFERROR(__xludf.DUMMYFUNCTION("""COMPUTED_VALUE"""),0.0)</f>
        <v>0</v>
      </c>
      <c r="H177" s="106"/>
      <c r="I177" s="320">
        <f>IFERROR(__xludf.DUMMYFUNCTION("""COMPUTED_VALUE"""),28.49)</f>
        <v>28.49</v>
      </c>
      <c r="J177" s="320">
        <f>IFERROR(__xludf.DUMMYFUNCTION("""COMPUTED_VALUE"""),12.82)</f>
        <v>12.82</v>
      </c>
      <c r="K177" s="320">
        <f>IFERROR(__xludf.DUMMYFUNCTION("""COMPUTED_VALUE"""),5.34)</f>
        <v>5.34</v>
      </c>
      <c r="L177" s="320">
        <f>IFERROR(__xludf.DUMMYFUNCTION("""COMPUTED_VALUE"""),0.4167)</f>
        <v>0.4167</v>
      </c>
      <c r="M177" s="320">
        <f>IFERROR(__xludf.DUMMYFUNCTION("""COMPUTED_VALUE"""),0.76)</f>
        <v>0.76</v>
      </c>
      <c r="N177" s="320">
        <f>IFERROR(__xludf.DUMMYFUNCTION("""COMPUTED_VALUE"""),0.5705)</f>
        <v>0.5705</v>
      </c>
      <c r="O177" s="320">
        <f>IFERROR(__xludf.DUMMYFUNCTION("""COMPUTED_VALUE"""),2.3998)</f>
        <v>2.3998</v>
      </c>
      <c r="P177" s="320">
        <f>IFERROR(__xludf.DUMMYFUNCTION("""COMPUTED_VALUE"""),46.94)</f>
        <v>46.94</v>
      </c>
      <c r="Q177" s="320">
        <f>IFERROR(__xludf.DUMMYFUNCTION("""COMPUTED_VALUE"""),35.78)</f>
        <v>35.78</v>
      </c>
      <c r="R177" s="320">
        <f>IFERROR(__xludf.DUMMYFUNCTION("""COMPUTED_VALUE"""),11.17)</f>
        <v>11.17</v>
      </c>
      <c r="S177" s="320">
        <f>IFERROR(__xludf.DUMMYFUNCTION("""COMPUTED_VALUE"""),0.02)</f>
        <v>0.02</v>
      </c>
      <c r="T177" s="320">
        <f>IFERROR(__xludf.DUMMYFUNCTION("""COMPUTED_VALUE"""),46.92)</f>
        <v>46.92</v>
      </c>
      <c r="U177" s="320">
        <f>IFERROR(__xludf.DUMMYFUNCTION("""COMPUTED_VALUE"""),51.04)</f>
        <v>51.04</v>
      </c>
      <c r="V177" s="320">
        <f>IFERROR(__xludf.DUMMYFUNCTION("""COMPUTED_VALUE"""),3.98)</f>
        <v>3.98</v>
      </c>
      <c r="W177" s="320">
        <f>IFERROR(__xludf.DUMMYFUNCTION("""COMPUTED_VALUE"""),0.04)</f>
        <v>0.04</v>
      </c>
      <c r="X177" s="320">
        <f>IFERROR(__xludf.DUMMYFUNCTION("""COMPUTED_VALUE"""),137.0)</f>
        <v>137</v>
      </c>
      <c r="Y177" s="320">
        <f>IFERROR(__xludf.DUMMYFUNCTION("""COMPUTED_VALUE"""),826.0)</f>
        <v>826</v>
      </c>
      <c r="Z177" s="320">
        <f>IFERROR(__xludf.DUMMYFUNCTION("""COMPUTED_VALUE"""),5809.0)</f>
        <v>5809</v>
      </c>
      <c r="AA177" s="320">
        <f>IFERROR(__xludf.DUMMYFUNCTION("""COMPUTED_VALUE"""),48.5511)</f>
        <v>48.5511</v>
      </c>
      <c r="AB177" s="320">
        <f>IFERROR(__xludf.DUMMYFUNCTION("""COMPUTED_VALUE"""),0.5257)</f>
        <v>0.5257</v>
      </c>
      <c r="AC177" s="320">
        <f>IFERROR(__xludf.DUMMYFUNCTION("""COMPUTED_VALUE"""),3.84)</f>
        <v>3.84</v>
      </c>
      <c r="AD177" s="320">
        <f>IFERROR(__xludf.DUMMYFUNCTION("""COMPUTED_VALUE"""),1.0)</f>
        <v>1</v>
      </c>
      <c r="AE177" s="320">
        <f>IFERROR(__xludf.DUMMYFUNCTION("""COMPUTED_VALUE"""),2.0)</f>
        <v>2</v>
      </c>
      <c r="AF177" s="320">
        <f>IFERROR(__xludf.DUMMYFUNCTION("""COMPUTED_VALUE"""),5.0)</f>
        <v>5</v>
      </c>
      <c r="AG177" s="320">
        <f>IFERROR(__xludf.DUMMYFUNCTION("""COMPUTED_VALUE"""),9.0)</f>
        <v>9</v>
      </c>
      <c r="AH177" s="320">
        <f>IFERROR(__xludf.DUMMYFUNCTION("""COMPUTED_VALUE"""),70.84)</f>
        <v>70.84</v>
      </c>
      <c r="AI177" s="320">
        <f>IFERROR(__xludf.DUMMYFUNCTION("""COMPUTED_VALUE"""),28.65)</f>
        <v>28.65</v>
      </c>
      <c r="AJ177" s="320">
        <f>IFERROR(__xludf.DUMMYFUNCTION("""COMPUTED_VALUE"""),8.29)</f>
        <v>8.29</v>
      </c>
      <c r="AK177" s="320">
        <f>IFERROR(__xludf.DUMMYFUNCTION("""COMPUTED_VALUE"""),0.2531)</f>
        <v>0.2531</v>
      </c>
      <c r="AL177" s="320">
        <f>IFERROR(__xludf.DUMMYFUNCTION("""COMPUTED_VALUE"""),19.71)</f>
        <v>19.71</v>
      </c>
      <c r="AM177" s="320">
        <f>IFERROR(__xludf.DUMMYFUNCTION("""COMPUTED_VALUE"""),16.06)</f>
        <v>16.06</v>
      </c>
      <c r="AN177" s="320">
        <f>IFERROR(__xludf.DUMMYFUNCTION("""COMPUTED_VALUE"""),66.25)</f>
        <v>66.25</v>
      </c>
      <c r="AO177" s="320">
        <f>IFERROR(__xludf.DUMMYFUNCTION("""COMPUTED_VALUE"""),13.06)</f>
        <v>13.06</v>
      </c>
    </row>
    <row r="178" ht="15.75" customHeight="1">
      <c r="A178" s="330">
        <f>IFERROR(__xludf.DUMMYFUNCTION("""COMPUTED_VALUE"""),46079.0)</f>
        <v>46079</v>
      </c>
      <c r="B178" s="319" t="str">
        <f>IFERROR(__xludf.DUMMYFUNCTION("""COMPUTED_VALUE"""),"C. 10-19")</f>
        <v>C. 10-19</v>
      </c>
      <c r="C178" s="320">
        <f>IFERROR(__xludf.DUMMYFUNCTION("""COMPUTED_VALUE"""),26360.0)</f>
        <v>26360</v>
      </c>
      <c r="D178" s="320">
        <f>IFERROR(__xludf.DUMMYFUNCTION("""COMPUTED_VALUE"""),24.55)</f>
        <v>24.55</v>
      </c>
      <c r="E178" s="320">
        <f>IFERROR(__xludf.DUMMYFUNCTION("""COMPUTED_VALUE"""),0.0)</f>
        <v>0</v>
      </c>
      <c r="F178" s="320">
        <f>IFERROR(__xludf.DUMMYFUNCTION("""COMPUTED_VALUE"""),0.0)</f>
        <v>0</v>
      </c>
      <c r="G178" s="320">
        <f>IFERROR(__xludf.DUMMYFUNCTION("""COMPUTED_VALUE"""),0.0)</f>
        <v>0</v>
      </c>
      <c r="H178" s="106"/>
      <c r="I178" s="320">
        <f>IFERROR(__xludf.DUMMYFUNCTION("""COMPUTED_VALUE"""),52.07)</f>
        <v>52.07</v>
      </c>
      <c r="J178" s="320">
        <f>IFERROR(__xludf.DUMMYFUNCTION("""COMPUTED_VALUE"""),24.54)</f>
        <v>24.54</v>
      </c>
      <c r="K178" s="320">
        <f>IFERROR(__xludf.DUMMYFUNCTION("""COMPUTED_VALUE"""),13.48)</f>
        <v>13.48</v>
      </c>
      <c r="L178" s="320">
        <f>IFERROR(__xludf.DUMMYFUNCTION("""COMPUTED_VALUE"""),0.5495)</f>
        <v>0.5495</v>
      </c>
      <c r="M178" s="320">
        <f>IFERROR(__xludf.DUMMYFUNCTION("""COMPUTED_VALUE"""),0.6468)</f>
        <v>0.6468</v>
      </c>
      <c r="N178" s="320">
        <f>IFERROR(__xludf.DUMMYFUNCTION("""COMPUTED_VALUE"""),0.4542)</f>
        <v>0.4542</v>
      </c>
      <c r="O178" s="320">
        <f>IFERROR(__xludf.DUMMYFUNCTION("""COMPUTED_VALUE"""),1.8199)</f>
        <v>1.8199</v>
      </c>
      <c r="P178" s="320">
        <f>IFERROR(__xludf.DUMMYFUNCTION("""COMPUTED_VALUE"""),93.28)</f>
        <v>93.28</v>
      </c>
      <c r="Q178" s="320">
        <f>IFERROR(__xludf.DUMMYFUNCTION("""COMPUTED_VALUE"""),66.0)</f>
        <v>66</v>
      </c>
      <c r="R178" s="320">
        <f>IFERROR(__xludf.DUMMYFUNCTION("""COMPUTED_VALUE"""),27.28)</f>
        <v>27.28</v>
      </c>
      <c r="S178" s="320">
        <f>IFERROR(__xludf.DUMMYFUNCTION("""COMPUTED_VALUE"""),0.26)</f>
        <v>0.26</v>
      </c>
      <c r="T178" s="320">
        <f>IFERROR(__xludf.DUMMYFUNCTION("""COMPUTED_VALUE"""),93.02)</f>
        <v>93.02</v>
      </c>
      <c r="U178" s="320">
        <f>IFERROR(__xludf.DUMMYFUNCTION("""COMPUTED_VALUE"""),94.28)</f>
        <v>94.28</v>
      </c>
      <c r="V178" s="320">
        <f>IFERROR(__xludf.DUMMYFUNCTION("""COMPUTED_VALUE"""),3.842)</f>
        <v>3.842</v>
      </c>
      <c r="W178" s="320">
        <f>IFERROR(__xludf.DUMMYFUNCTION("""COMPUTED_VALUE"""),0.28)</f>
        <v>0.28</v>
      </c>
      <c r="X178" s="320">
        <f>IFERROR(__xludf.DUMMYFUNCTION("""COMPUTED_VALUE"""),124.0)</f>
        <v>124</v>
      </c>
      <c r="Y178" s="320">
        <f>IFERROR(__xludf.DUMMYFUNCTION("""COMPUTED_VALUE"""),707.0)</f>
        <v>707</v>
      </c>
      <c r="Z178" s="320">
        <f>IFERROR(__xludf.DUMMYFUNCTION("""COMPUTED_VALUE"""),5583.0)</f>
        <v>5583</v>
      </c>
      <c r="AA178" s="320">
        <f>IFERROR(__xludf.DUMMYFUNCTION("""COMPUTED_VALUE"""),52.5119)</f>
        <v>52.5119</v>
      </c>
      <c r="AB178" s="320">
        <f>IFERROR(__xludf.DUMMYFUNCTION("""COMPUTED_VALUE"""),0.6185)</f>
        <v>0.6185</v>
      </c>
      <c r="AC178" s="320">
        <f>IFERROR(__xludf.DUMMYFUNCTION("""COMPUTED_VALUE"""),8.9)</f>
        <v>8.9</v>
      </c>
      <c r="AD178" s="320">
        <f>IFERROR(__xludf.DUMMYFUNCTION("""COMPUTED_VALUE"""),3.0)</f>
        <v>3</v>
      </c>
      <c r="AE178" s="320">
        <f>IFERROR(__xludf.DUMMYFUNCTION("""COMPUTED_VALUE"""),7.0)</f>
        <v>7</v>
      </c>
      <c r="AF178" s="320">
        <f>IFERROR(__xludf.DUMMYFUNCTION("""COMPUTED_VALUE"""),12.0)</f>
        <v>12</v>
      </c>
      <c r="AG178" s="320">
        <f>IFERROR(__xludf.DUMMYFUNCTION("""COMPUTED_VALUE"""),19.0)</f>
        <v>19</v>
      </c>
      <c r="AH178" s="320">
        <f>IFERROR(__xludf.DUMMYFUNCTION("""COMPUTED_VALUE"""),56.93)</f>
        <v>56.93</v>
      </c>
      <c r="AI178" s="320">
        <f>IFERROR(__xludf.DUMMYFUNCTION("""COMPUTED_VALUE"""),23.69)</f>
        <v>23.69</v>
      </c>
      <c r="AJ178" s="320">
        <f>IFERROR(__xludf.DUMMYFUNCTION("""COMPUTED_VALUE"""),4.28)</f>
        <v>4.28</v>
      </c>
      <c r="AK178" s="320">
        <f>IFERROR(__xludf.DUMMYFUNCTION("""COMPUTED_VALUE"""),0.1983)</f>
        <v>0.1983</v>
      </c>
      <c r="AL178" s="320">
        <f>IFERROR(__xludf.DUMMYFUNCTION("""COMPUTED_VALUE"""),20.24)</f>
        <v>20.24</v>
      </c>
      <c r="AM178" s="320">
        <f>IFERROR(__xludf.DUMMYFUNCTION("""COMPUTED_VALUE"""),45.76)</f>
        <v>45.76</v>
      </c>
      <c r="AN178" s="320">
        <f>IFERROR(__xludf.DUMMYFUNCTION("""COMPUTED_VALUE"""),75.26)</f>
        <v>75.26</v>
      </c>
      <c r="AO178" s="320">
        <f>IFERROR(__xludf.DUMMYFUNCTION("""COMPUTED_VALUE"""),15.23)</f>
        <v>15.23</v>
      </c>
    </row>
    <row r="179" ht="15.75" customHeight="1">
      <c r="A179" s="330">
        <f>IFERROR(__xludf.DUMMYFUNCTION("""COMPUTED_VALUE"""),46079.0)</f>
        <v>46079</v>
      </c>
      <c r="B179" s="319" t="str">
        <f>IFERROR(__xludf.DUMMYFUNCTION("""COMPUTED_VALUE"""),"D. 20-39")</f>
        <v>D. 20-39</v>
      </c>
      <c r="C179" s="320">
        <f>IFERROR(__xludf.DUMMYFUNCTION("""COMPUTED_VALUE"""),13496.0)</f>
        <v>13496</v>
      </c>
      <c r="D179" s="320">
        <f>IFERROR(__xludf.DUMMYFUNCTION("""COMPUTED_VALUE"""),12.57)</f>
        <v>12.57</v>
      </c>
      <c r="E179" s="320">
        <f>IFERROR(__xludf.DUMMYFUNCTION("""COMPUTED_VALUE"""),0.0)</f>
        <v>0</v>
      </c>
      <c r="F179" s="320">
        <f>IFERROR(__xludf.DUMMYFUNCTION("""COMPUTED_VALUE"""),0.0)</f>
        <v>0</v>
      </c>
      <c r="G179" s="320">
        <f>IFERROR(__xludf.DUMMYFUNCTION("""COMPUTED_VALUE"""),0.0)</f>
        <v>0</v>
      </c>
      <c r="H179" s="106"/>
      <c r="I179" s="320">
        <f>IFERROR(__xludf.DUMMYFUNCTION("""COMPUTED_VALUE"""),74.03)</f>
        <v>74.03</v>
      </c>
      <c r="J179" s="320">
        <f>IFERROR(__xludf.DUMMYFUNCTION("""COMPUTED_VALUE"""),37.36)</f>
        <v>37.36</v>
      </c>
      <c r="K179" s="320">
        <f>IFERROR(__xludf.DUMMYFUNCTION("""COMPUTED_VALUE"""),25.6)</f>
        <v>25.6</v>
      </c>
      <c r="L179" s="320">
        <f>IFERROR(__xludf.DUMMYFUNCTION("""COMPUTED_VALUE"""),0.6853)</f>
        <v>0.6853</v>
      </c>
      <c r="M179" s="320">
        <f>IFERROR(__xludf.DUMMYFUNCTION("""COMPUTED_VALUE"""),0.5106)</f>
        <v>0.5106</v>
      </c>
      <c r="N179" s="320">
        <f>IFERROR(__xludf.DUMMYFUNCTION("""COMPUTED_VALUE"""),0.3583)</f>
        <v>0.3583</v>
      </c>
      <c r="O179" s="320">
        <f>IFERROR(__xludf.DUMMYFUNCTION("""COMPUTED_VALUE"""),1.4591)</f>
        <v>1.4591</v>
      </c>
      <c r="P179" s="320">
        <f>IFERROR(__xludf.DUMMYFUNCTION("""COMPUTED_VALUE"""),177.19)</f>
        <v>177.19</v>
      </c>
      <c r="Q179" s="320">
        <f>IFERROR(__xludf.DUMMYFUNCTION("""COMPUTED_VALUE"""),123.28)</f>
        <v>123.28</v>
      </c>
      <c r="R179" s="320">
        <f>IFERROR(__xludf.DUMMYFUNCTION("""COMPUTED_VALUE"""),53.92)</f>
        <v>53.92</v>
      </c>
      <c r="S179" s="320">
        <f>IFERROR(__xludf.DUMMYFUNCTION("""COMPUTED_VALUE"""),0.51)</f>
        <v>0.51</v>
      </c>
      <c r="T179" s="320">
        <f>IFERROR(__xludf.DUMMYFUNCTION("""COMPUTED_VALUE"""),176.68)</f>
        <v>176.68</v>
      </c>
      <c r="U179" s="320">
        <f>IFERROR(__xludf.DUMMYFUNCTION("""COMPUTED_VALUE"""),166.44)</f>
        <v>166.44</v>
      </c>
      <c r="V179" s="320">
        <f>IFERROR(__xludf.DUMMYFUNCTION("""COMPUTED_VALUE"""),4.4554)</f>
        <v>4.4554</v>
      </c>
      <c r="W179" s="320">
        <f>IFERROR(__xludf.DUMMYFUNCTION("""COMPUTED_VALUE"""),0.29)</f>
        <v>0.29</v>
      </c>
      <c r="X179" s="320">
        <f>IFERROR(__xludf.DUMMYFUNCTION("""COMPUTED_VALUE"""),155.0)</f>
        <v>155</v>
      </c>
      <c r="Y179" s="320">
        <f>IFERROR(__xludf.DUMMYFUNCTION("""COMPUTED_VALUE"""),1061.0)</f>
        <v>1061</v>
      </c>
      <c r="Z179" s="320">
        <f>IFERROR(__xludf.DUMMYFUNCTION("""COMPUTED_VALUE"""),6479.0)</f>
        <v>6479</v>
      </c>
      <c r="AA179" s="320">
        <f>IFERROR(__xludf.DUMMYFUNCTION("""COMPUTED_VALUE"""),56.1311)</f>
        <v>56.1311</v>
      </c>
      <c r="AB179" s="320">
        <f>IFERROR(__xludf.DUMMYFUNCTION("""COMPUTED_VALUE"""),0.7397)</f>
        <v>0.7397</v>
      </c>
      <c r="AC179" s="320">
        <f>IFERROR(__xludf.DUMMYFUNCTION("""COMPUTED_VALUE"""),17.62)</f>
        <v>17.62</v>
      </c>
      <c r="AD179" s="320">
        <f>IFERROR(__xludf.DUMMYFUNCTION("""COMPUTED_VALUE"""),7.0)</f>
        <v>7</v>
      </c>
      <c r="AE179" s="320">
        <f>IFERROR(__xludf.DUMMYFUNCTION("""COMPUTED_VALUE"""),14.0)</f>
        <v>14</v>
      </c>
      <c r="AF179" s="320">
        <f>IFERROR(__xludf.DUMMYFUNCTION("""COMPUTED_VALUE"""),24.0)</f>
        <v>24</v>
      </c>
      <c r="AG179" s="320">
        <f>IFERROR(__xludf.DUMMYFUNCTION("""COMPUTED_VALUE"""),37.0)</f>
        <v>37</v>
      </c>
      <c r="AH179" s="320">
        <f>IFERROR(__xludf.DUMMYFUNCTION("""COMPUTED_VALUE"""),59.22)</f>
        <v>59.22</v>
      </c>
      <c r="AI179" s="320">
        <f>IFERROR(__xludf.DUMMYFUNCTION("""COMPUTED_VALUE"""),22.98)</f>
        <v>22.98</v>
      </c>
      <c r="AJ179" s="320">
        <f>IFERROR(__xludf.DUMMYFUNCTION("""COMPUTED_VALUE"""),7.08)</f>
        <v>7.08</v>
      </c>
      <c r="AK179" s="320">
        <f>IFERROR(__xludf.DUMMYFUNCTION("""COMPUTED_VALUE"""),0.1854)</f>
        <v>0.1854</v>
      </c>
      <c r="AL179" s="320">
        <f>IFERROR(__xludf.DUMMYFUNCTION("""COMPUTED_VALUE"""),19.45)</f>
        <v>19.45</v>
      </c>
      <c r="AM179" s="320">
        <f>IFERROR(__xludf.DUMMYFUNCTION("""COMPUTED_VALUE"""),103.83)</f>
        <v>103.83</v>
      </c>
      <c r="AN179" s="320">
        <f>IFERROR(__xludf.DUMMYFUNCTION("""COMPUTED_VALUE"""),78.14)</f>
        <v>78.14</v>
      </c>
      <c r="AO179" s="320">
        <f>IFERROR(__xludf.DUMMYFUNCTION("""COMPUTED_VALUE"""),15.2)</f>
        <v>15.2</v>
      </c>
    </row>
    <row r="180" ht="15.75" customHeight="1">
      <c r="A180" s="330">
        <f>IFERROR(__xludf.DUMMYFUNCTION("""COMPUTED_VALUE"""),46079.0)</f>
        <v>46079</v>
      </c>
      <c r="B180" s="319" t="str">
        <f>IFERROR(__xludf.DUMMYFUNCTION("""COMPUTED_VALUE"""),"E. 40-99")</f>
        <v>E. 40-99</v>
      </c>
      <c r="C180" s="320">
        <f>IFERROR(__xludf.DUMMYFUNCTION("""COMPUTED_VALUE"""),5407.0)</f>
        <v>5407</v>
      </c>
      <c r="D180" s="320">
        <f>IFERROR(__xludf.DUMMYFUNCTION("""COMPUTED_VALUE"""),5.04)</f>
        <v>5.04</v>
      </c>
      <c r="E180" s="320">
        <f>IFERROR(__xludf.DUMMYFUNCTION("""COMPUTED_VALUE"""),0.0)</f>
        <v>0</v>
      </c>
      <c r="F180" s="320">
        <f>IFERROR(__xludf.DUMMYFUNCTION("""COMPUTED_VALUE"""),0.0)</f>
        <v>0</v>
      </c>
      <c r="G180" s="320">
        <f>IFERROR(__xludf.DUMMYFUNCTION("""COMPUTED_VALUE"""),0.0)</f>
        <v>0</v>
      </c>
      <c r="H180" s="106"/>
      <c r="I180" s="320">
        <f>IFERROR(__xludf.DUMMYFUNCTION("""COMPUTED_VALUE"""),124.74)</f>
        <v>124.74</v>
      </c>
      <c r="J180" s="320">
        <f>IFERROR(__xludf.DUMMYFUNCTION("""COMPUTED_VALUE"""),67.68)</f>
        <v>67.68</v>
      </c>
      <c r="K180" s="320">
        <f>IFERROR(__xludf.DUMMYFUNCTION("""COMPUTED_VALUE"""),54.8)</f>
        <v>54.8</v>
      </c>
      <c r="L180" s="320">
        <f>IFERROR(__xludf.DUMMYFUNCTION("""COMPUTED_VALUE"""),0.8096)</f>
        <v>0.8096</v>
      </c>
      <c r="M180" s="320">
        <f>IFERROR(__xludf.DUMMYFUNCTION("""COMPUTED_VALUE"""),0.3732)</f>
        <v>0.3732</v>
      </c>
      <c r="N180" s="320">
        <f>IFERROR(__xludf.DUMMYFUNCTION("""COMPUTED_VALUE"""),0.2722)</f>
        <v>0.2722</v>
      </c>
      <c r="O180" s="320">
        <f>IFERROR(__xludf.DUMMYFUNCTION("""COMPUTED_VALUE"""),1.2352)</f>
        <v>1.2352</v>
      </c>
      <c r="P180" s="320">
        <f>IFERROR(__xludf.DUMMYFUNCTION("""COMPUTED_VALUE"""),399.45)</f>
        <v>399.45</v>
      </c>
      <c r="Q180" s="320">
        <f>IFERROR(__xludf.DUMMYFUNCTION("""COMPUTED_VALUE"""),283.51)</f>
        <v>283.51</v>
      </c>
      <c r="R180" s="320">
        <f>IFERROR(__xludf.DUMMYFUNCTION("""COMPUTED_VALUE"""),115.94)</f>
        <v>115.94</v>
      </c>
      <c r="S180" s="320">
        <f>IFERROR(__xludf.DUMMYFUNCTION("""COMPUTED_VALUE"""),0.02)</f>
        <v>0.02</v>
      </c>
      <c r="T180" s="320">
        <f>IFERROR(__xludf.DUMMYFUNCTION("""COMPUTED_VALUE"""),399.43)</f>
        <v>399.43</v>
      </c>
      <c r="U180" s="320">
        <f>IFERROR(__xludf.DUMMYFUNCTION("""COMPUTED_VALUE"""),329.67)</f>
        <v>329.67</v>
      </c>
      <c r="V180" s="320">
        <f>IFERROR(__xludf.DUMMYFUNCTION("""COMPUTED_VALUE"""),4.8706)</f>
        <v>4.8706</v>
      </c>
      <c r="W180" s="320">
        <f>IFERROR(__xludf.DUMMYFUNCTION("""COMPUTED_VALUE"""),0.0)</f>
        <v>0</v>
      </c>
      <c r="X180" s="320">
        <f>IFERROR(__xludf.DUMMYFUNCTION("""COMPUTED_VALUE"""),386.0)</f>
        <v>386</v>
      </c>
      <c r="Y180" s="320">
        <f>IFERROR(__xludf.DUMMYFUNCTION("""COMPUTED_VALUE"""),2719.0)</f>
        <v>2719</v>
      </c>
      <c r="Z180" s="320">
        <f>IFERROR(__xludf.DUMMYFUNCTION("""COMPUTED_VALUE"""),10258.0)</f>
        <v>10258</v>
      </c>
      <c r="AA180" s="320">
        <f>IFERROR(__xludf.DUMMYFUNCTION("""COMPUTED_VALUE"""),60.0395)</f>
        <v>60.0395</v>
      </c>
      <c r="AB180" s="320">
        <f>IFERROR(__xludf.DUMMYFUNCTION("""COMPUTED_VALUE"""),0.8227)</f>
        <v>0.8227</v>
      </c>
      <c r="AC180" s="320">
        <f>IFERROR(__xludf.DUMMYFUNCTION("""COMPUTED_VALUE"""),38.74)</f>
        <v>38.74</v>
      </c>
      <c r="AD180" s="320">
        <f>IFERROR(__xludf.DUMMYFUNCTION("""COMPUTED_VALUE"""),16.0)</f>
        <v>16</v>
      </c>
      <c r="AE180" s="320">
        <f>IFERROR(__xludf.DUMMYFUNCTION("""COMPUTED_VALUE"""),31.0)</f>
        <v>31</v>
      </c>
      <c r="AF180" s="320">
        <f>IFERROR(__xludf.DUMMYFUNCTION("""COMPUTED_VALUE"""),54.0)</f>
        <v>54</v>
      </c>
      <c r="AG180" s="320">
        <f>IFERROR(__xludf.DUMMYFUNCTION("""COMPUTED_VALUE"""),79.0)</f>
        <v>79</v>
      </c>
      <c r="AH180" s="320">
        <f>IFERROR(__xludf.DUMMYFUNCTION("""COMPUTED_VALUE"""),54.02)</f>
        <v>54.02</v>
      </c>
      <c r="AI180" s="320">
        <f>IFERROR(__xludf.DUMMYFUNCTION("""COMPUTED_VALUE"""),20.07)</f>
        <v>20.07</v>
      </c>
      <c r="AJ180" s="320">
        <f>IFERROR(__xludf.DUMMYFUNCTION("""COMPUTED_VALUE"""),4.77)</f>
        <v>4.77</v>
      </c>
      <c r="AK180" s="320">
        <f>IFERROR(__xludf.DUMMYFUNCTION("""COMPUTED_VALUE"""),0.1383)</f>
        <v>0.1383</v>
      </c>
      <c r="AL180" s="320">
        <f>IFERROR(__xludf.DUMMYFUNCTION("""COMPUTED_VALUE"""),20.54)</f>
        <v>20.54</v>
      </c>
      <c r="AM180" s="320">
        <f>IFERROR(__xludf.DUMMYFUNCTION("""COMPUTED_VALUE"""),262.97)</f>
        <v>262.97</v>
      </c>
      <c r="AN180" s="320">
        <f>IFERROR(__xludf.DUMMYFUNCTION("""COMPUTED_VALUE"""),82.56)</f>
        <v>82.56</v>
      </c>
      <c r="AO180" s="320">
        <f>IFERROR(__xludf.DUMMYFUNCTION("""COMPUTED_VALUE"""),16.96)</f>
        <v>16.96</v>
      </c>
    </row>
    <row r="181" ht="15.75" customHeight="1">
      <c r="A181" s="330">
        <f>IFERROR(__xludf.DUMMYFUNCTION("""COMPUTED_VALUE"""),46079.0)</f>
        <v>46079</v>
      </c>
      <c r="B181" s="319" t="str">
        <f>IFERROR(__xludf.DUMMYFUNCTION("""COMPUTED_VALUE"""),"F. 100+")</f>
        <v>F. 100+</v>
      </c>
      <c r="C181" s="320">
        <f>IFERROR(__xludf.DUMMYFUNCTION("""COMPUTED_VALUE"""),596.0)</f>
        <v>596</v>
      </c>
      <c r="D181" s="320">
        <f>IFERROR(__xludf.DUMMYFUNCTION("""COMPUTED_VALUE"""),0.56)</f>
        <v>0.56</v>
      </c>
      <c r="E181" s="320">
        <f>IFERROR(__xludf.DUMMYFUNCTION("""COMPUTED_VALUE"""),0.0)</f>
        <v>0</v>
      </c>
      <c r="F181" s="320">
        <f>IFERROR(__xludf.DUMMYFUNCTION("""COMPUTED_VALUE"""),0.0)</f>
        <v>0</v>
      </c>
      <c r="G181" s="320">
        <f>IFERROR(__xludf.DUMMYFUNCTION("""COMPUTED_VALUE"""),0.0)</f>
        <v>0</v>
      </c>
      <c r="H181" s="106"/>
      <c r="I181" s="320">
        <f>IFERROR(__xludf.DUMMYFUNCTION("""COMPUTED_VALUE"""),243.25)</f>
        <v>243.25</v>
      </c>
      <c r="J181" s="320">
        <f>IFERROR(__xludf.DUMMYFUNCTION("""COMPUTED_VALUE"""),138.45)</f>
        <v>138.45</v>
      </c>
      <c r="K181" s="320">
        <f>IFERROR(__xludf.DUMMYFUNCTION("""COMPUTED_VALUE"""),121.66)</f>
        <v>121.66</v>
      </c>
      <c r="L181" s="320">
        <f>IFERROR(__xludf.DUMMYFUNCTION("""COMPUTED_VALUE"""),0.8788)</f>
        <v>0.8788</v>
      </c>
      <c r="M181" s="320">
        <f>IFERROR(__xludf.DUMMYFUNCTION("""COMPUTED_VALUE"""),0.2808)</f>
        <v>0.2808</v>
      </c>
      <c r="N181" s="320">
        <f>IFERROR(__xludf.DUMMYFUNCTION("""COMPUTED_VALUE"""),0.2147)</f>
        <v>0.2147</v>
      </c>
      <c r="O181" s="320">
        <f>IFERROR(__xludf.DUMMYFUNCTION("""COMPUTED_VALUE"""),1.138)</f>
        <v>1.138</v>
      </c>
      <c r="P181" s="320">
        <f>IFERROR(__xludf.DUMMYFUNCTION("""COMPUTED_VALUE"""),841.39)</f>
        <v>841.39</v>
      </c>
      <c r="Q181" s="320">
        <f>IFERROR(__xludf.DUMMYFUNCTION("""COMPUTED_VALUE"""),543.34)</f>
        <v>543.34</v>
      </c>
      <c r="R181" s="320">
        <f>IFERROR(__xludf.DUMMYFUNCTION("""COMPUTED_VALUE"""),298.05)</f>
        <v>298.05</v>
      </c>
      <c r="S181" s="320">
        <f>IFERROR(__xludf.DUMMYFUNCTION("""COMPUTED_VALUE"""),0.0)</f>
        <v>0</v>
      </c>
      <c r="T181" s="320">
        <f>IFERROR(__xludf.DUMMYFUNCTION("""COMPUTED_VALUE"""),841.39)</f>
        <v>841.39</v>
      </c>
      <c r="U181" s="320">
        <f>IFERROR(__xludf.DUMMYFUNCTION("""COMPUTED_VALUE"""),618.79)</f>
        <v>618.79</v>
      </c>
      <c r="V181" s="320">
        <f>IFERROR(__xludf.DUMMYFUNCTION("""COMPUTED_VALUE"""),4.4695)</f>
        <v>4.4695</v>
      </c>
      <c r="W181" s="320">
        <f>IFERROR(__xludf.DUMMYFUNCTION("""COMPUTED_VALUE"""),0.0)</f>
        <v>0</v>
      </c>
      <c r="X181" s="320">
        <f>IFERROR(__xludf.DUMMYFUNCTION("""COMPUTED_VALUE"""),924.0)</f>
        <v>924</v>
      </c>
      <c r="Y181" s="320">
        <f>IFERROR(__xludf.DUMMYFUNCTION("""COMPUTED_VALUE"""),3586.0)</f>
        <v>3586</v>
      </c>
      <c r="Z181" s="320">
        <f>IFERROR(__xludf.DUMMYFUNCTION("""COMPUTED_VALUE"""),11377.0)</f>
        <v>11377</v>
      </c>
      <c r="AA181" s="320">
        <f>IFERROR(__xludf.DUMMYFUNCTION("""COMPUTED_VALUE"""),63.1973)</f>
        <v>63.1973</v>
      </c>
      <c r="AB181" s="320">
        <f>IFERROR(__xludf.DUMMYFUNCTION("""COMPUTED_VALUE"""),0.8795)</f>
        <v>0.8795</v>
      </c>
      <c r="AC181" s="320">
        <f>IFERROR(__xludf.DUMMYFUNCTION("""COMPUTED_VALUE"""),84.18)</f>
        <v>84.18</v>
      </c>
      <c r="AD181" s="320">
        <f>IFERROR(__xludf.DUMMYFUNCTION("""COMPUTED_VALUE"""),37.0)</f>
        <v>37</v>
      </c>
      <c r="AE181" s="320">
        <f>IFERROR(__xludf.DUMMYFUNCTION("""COMPUTED_VALUE"""),68.0)</f>
        <v>68</v>
      </c>
      <c r="AF181" s="320">
        <f>IFERROR(__xludf.DUMMYFUNCTION("""COMPUTED_VALUE"""),112.0)</f>
        <v>112</v>
      </c>
      <c r="AG181" s="320">
        <f>IFERROR(__xludf.DUMMYFUNCTION("""COMPUTED_VALUE"""),162.0)</f>
        <v>162</v>
      </c>
      <c r="AH181" s="320">
        <f>IFERROR(__xludf.DUMMYFUNCTION("""COMPUTED_VALUE"""),44.46)</f>
        <v>44.46</v>
      </c>
      <c r="AI181" s="320">
        <f>IFERROR(__xludf.DUMMYFUNCTION("""COMPUTED_VALUE"""),8.22)</f>
        <v>8.22</v>
      </c>
      <c r="AJ181" s="320">
        <f>IFERROR(__xludf.DUMMYFUNCTION("""COMPUTED_VALUE"""),1.01)</f>
        <v>1.01</v>
      </c>
      <c r="AK181" s="320">
        <f>IFERROR(__xludf.DUMMYFUNCTION("""COMPUTED_VALUE"""),0.0889)</f>
        <v>0.0889</v>
      </c>
      <c r="AL181" s="320">
        <f>IFERROR(__xludf.DUMMYFUNCTION("""COMPUTED_VALUE"""),22.62)</f>
        <v>22.62</v>
      </c>
      <c r="AM181" s="320">
        <f>IFERROR(__xludf.DUMMYFUNCTION("""COMPUTED_VALUE"""),520.72)</f>
        <v>520.72</v>
      </c>
      <c r="AN181" s="320">
        <f>IFERROR(__xludf.DUMMYFUNCTION("""COMPUTED_VALUE"""),85.74)</f>
        <v>85.74</v>
      </c>
      <c r="AO181" s="320">
        <f>IFERROR(__xludf.DUMMYFUNCTION("""COMPUTED_VALUE"""),19.39)</f>
        <v>19.39</v>
      </c>
    </row>
    <row r="182" ht="15.75" customHeight="1">
      <c r="A182" s="330">
        <f>IFERROR(__xludf.DUMMYFUNCTION("""COMPUTED_VALUE"""),46080.0)</f>
        <v>46080</v>
      </c>
      <c r="B182" s="319" t="str">
        <f>IFERROR(__xludf.DUMMYFUNCTION("""COMPUTED_VALUE"""),"A. 0")</f>
        <v>A. 0</v>
      </c>
      <c r="C182" s="320">
        <f>IFERROR(__xludf.DUMMYFUNCTION("""COMPUTED_VALUE"""),20816.0)</f>
        <v>20816</v>
      </c>
      <c r="D182" s="320">
        <f>IFERROR(__xludf.DUMMYFUNCTION("""COMPUTED_VALUE"""),19.79)</f>
        <v>19.79</v>
      </c>
      <c r="E182" s="320">
        <f>IFERROR(__xludf.DUMMYFUNCTION("""COMPUTED_VALUE"""),0.0)</f>
        <v>0</v>
      </c>
      <c r="F182" s="320">
        <f>IFERROR(__xludf.DUMMYFUNCTION("""COMPUTED_VALUE"""),0.0)</f>
        <v>0</v>
      </c>
      <c r="G182" s="320">
        <f>IFERROR(__xludf.DUMMYFUNCTION("""COMPUTED_VALUE"""),0.0)</f>
        <v>0</v>
      </c>
      <c r="H182" s="106"/>
      <c r="I182" s="320">
        <f>IFERROR(__xludf.DUMMYFUNCTION("""COMPUTED_VALUE"""),6.41)</f>
        <v>6.41</v>
      </c>
      <c r="J182" s="320">
        <f>IFERROR(__xludf.DUMMYFUNCTION("""COMPUTED_VALUE"""),2.59)</f>
        <v>2.59</v>
      </c>
      <c r="K182" s="320">
        <f>IFERROR(__xludf.DUMMYFUNCTION("""COMPUTED_VALUE"""),0.06)</f>
        <v>0.06</v>
      </c>
      <c r="L182" s="320">
        <f>IFERROR(__xludf.DUMMYFUNCTION("""COMPUTED_VALUE"""),0.0233)</f>
        <v>0.0233</v>
      </c>
      <c r="M182" s="320">
        <f>IFERROR(__xludf.DUMMYFUNCTION("""COMPUTED_VALUE"""),0.9809)</f>
        <v>0.9809</v>
      </c>
      <c r="N182" s="320">
        <f>IFERROR(__xludf.DUMMYFUNCTION("""COMPUTED_VALUE"""),0.7685)</f>
        <v>0.7685</v>
      </c>
      <c r="O182" s="320">
        <f>IFERROR(__xludf.DUMMYFUNCTION("""COMPUTED_VALUE"""),42.9449)</f>
        <v>42.9449</v>
      </c>
      <c r="P182" s="320">
        <f>IFERROR(__xludf.DUMMYFUNCTION("""COMPUTED_VALUE"""),25.51)</f>
        <v>25.51</v>
      </c>
      <c r="Q182" s="320">
        <f>IFERROR(__xludf.DUMMYFUNCTION("""COMPUTED_VALUE"""),25.39)</f>
        <v>25.39</v>
      </c>
      <c r="R182" s="320">
        <f>IFERROR(__xludf.DUMMYFUNCTION("""COMPUTED_VALUE"""),0.12)</f>
        <v>0.12</v>
      </c>
      <c r="S182" s="320">
        <f>IFERROR(__xludf.DUMMYFUNCTION("""COMPUTED_VALUE"""),0.0)</f>
        <v>0</v>
      </c>
      <c r="T182" s="320">
        <f>IFERROR(__xludf.DUMMYFUNCTION("""COMPUTED_VALUE"""),25.51)</f>
        <v>25.51</v>
      </c>
      <c r="U182" s="320">
        <f>IFERROR(__xludf.DUMMYFUNCTION("""COMPUTED_VALUE"""),1.83)</f>
        <v>1.83</v>
      </c>
      <c r="V182" s="320">
        <f>IFERROR(__xludf.DUMMYFUNCTION("""COMPUTED_VALUE"""),0.709)</f>
        <v>0.709</v>
      </c>
      <c r="W182" s="320">
        <f>IFERROR(__xludf.DUMMYFUNCTION("""COMPUTED_VALUE"""),0.0)</f>
        <v>0</v>
      </c>
      <c r="X182" s="320">
        <f>IFERROR(__xludf.DUMMYFUNCTION("""COMPUTED_VALUE"""),340.0)</f>
        <v>340</v>
      </c>
      <c r="Y182" s="320">
        <f>IFERROR(__xludf.DUMMYFUNCTION("""COMPUTED_VALUE"""),3423.0)</f>
        <v>3423</v>
      </c>
      <c r="Z182" s="320">
        <f>IFERROR(__xludf.DUMMYFUNCTION("""COMPUTED_VALUE"""),14427.0)</f>
        <v>14427</v>
      </c>
      <c r="AA182" s="320">
        <f>IFERROR(__xludf.DUMMYFUNCTION("""COMPUTED_VALUE"""),49.0354)</f>
        <v>49.0354</v>
      </c>
      <c r="AB182" s="320">
        <f>IFERROR(__xludf.DUMMYFUNCTION("""COMPUTED_VALUE"""),0.5394)</f>
        <v>0.5394</v>
      </c>
      <c r="AC182" s="106"/>
      <c r="AD182" s="106"/>
      <c r="AE182" s="106"/>
      <c r="AF182" s="106"/>
      <c r="AG182" s="106"/>
      <c r="AH182" s="320">
        <f>IFERROR(__xludf.DUMMYFUNCTION("""COMPUTED_VALUE"""),0.0)</f>
        <v>0</v>
      </c>
      <c r="AI182" s="320">
        <f>IFERROR(__xludf.DUMMYFUNCTION("""COMPUTED_VALUE"""),0.0)</f>
        <v>0</v>
      </c>
      <c r="AJ182" s="320">
        <f>IFERROR(__xludf.DUMMYFUNCTION("""COMPUTED_VALUE"""),0.0)</f>
        <v>0</v>
      </c>
      <c r="AK182" s="320">
        <f>IFERROR(__xludf.DUMMYFUNCTION("""COMPUTED_VALUE"""),0.304)</f>
        <v>0.304</v>
      </c>
      <c r="AL182" s="320">
        <f>IFERROR(__xludf.DUMMYFUNCTION("""COMPUTED_VALUE"""),17.0)</f>
        <v>17</v>
      </c>
      <c r="AM182" s="320">
        <f>IFERROR(__xludf.DUMMYFUNCTION("""COMPUTED_VALUE"""),8.39)</f>
        <v>8.39</v>
      </c>
      <c r="AN182" s="331"/>
      <c r="AO182" s="331"/>
    </row>
    <row r="183" ht="15.75" customHeight="1">
      <c r="A183" s="330">
        <f>IFERROR(__xludf.DUMMYFUNCTION("""COMPUTED_VALUE"""),46080.0)</f>
        <v>46080</v>
      </c>
      <c r="B183" s="319" t="str">
        <f>IFERROR(__xludf.DUMMYFUNCTION("""COMPUTED_VALUE"""),"B. 1-9")</f>
        <v>B. 1-9</v>
      </c>
      <c r="C183" s="320">
        <f>IFERROR(__xludf.DUMMYFUNCTION("""COMPUTED_VALUE"""),39732.0)</f>
        <v>39732</v>
      </c>
      <c r="D183" s="320">
        <f>IFERROR(__xludf.DUMMYFUNCTION("""COMPUTED_VALUE"""),37.77)</f>
        <v>37.77</v>
      </c>
      <c r="E183" s="320">
        <f>IFERROR(__xludf.DUMMYFUNCTION("""COMPUTED_VALUE"""),0.0)</f>
        <v>0</v>
      </c>
      <c r="F183" s="320">
        <f>IFERROR(__xludf.DUMMYFUNCTION("""COMPUTED_VALUE"""),0.0)</f>
        <v>0</v>
      </c>
      <c r="G183" s="320">
        <f>IFERROR(__xludf.DUMMYFUNCTION("""COMPUTED_VALUE"""),0.0)</f>
        <v>0</v>
      </c>
      <c r="H183" s="106"/>
      <c r="I183" s="320">
        <f>IFERROR(__xludf.DUMMYFUNCTION("""COMPUTED_VALUE"""),31.5)</f>
        <v>31.5</v>
      </c>
      <c r="J183" s="320">
        <f>IFERROR(__xludf.DUMMYFUNCTION("""COMPUTED_VALUE"""),14.22)</f>
        <v>14.22</v>
      </c>
      <c r="K183" s="320">
        <f>IFERROR(__xludf.DUMMYFUNCTION("""COMPUTED_VALUE"""),5.72)</f>
        <v>5.72</v>
      </c>
      <c r="L183" s="320">
        <f>IFERROR(__xludf.DUMMYFUNCTION("""COMPUTED_VALUE"""),0.4018)</f>
        <v>0.4018</v>
      </c>
      <c r="M183" s="320">
        <f>IFERROR(__xludf.DUMMYFUNCTION("""COMPUTED_VALUE"""),0.7677)</f>
        <v>0.7677</v>
      </c>
      <c r="N183" s="320">
        <f>IFERROR(__xludf.DUMMYFUNCTION("""COMPUTED_VALUE"""),0.567)</f>
        <v>0.567</v>
      </c>
      <c r="O183" s="320">
        <f>IFERROR(__xludf.DUMMYFUNCTION("""COMPUTED_VALUE"""),2.4889)</f>
        <v>2.4889</v>
      </c>
      <c r="P183" s="320">
        <f>IFERROR(__xludf.DUMMYFUNCTION("""COMPUTED_VALUE"""),57.36)</f>
        <v>57.36</v>
      </c>
      <c r="Q183" s="320">
        <f>IFERROR(__xludf.DUMMYFUNCTION("""COMPUTED_VALUE"""),45.54)</f>
        <v>45.54</v>
      </c>
      <c r="R183" s="320">
        <f>IFERROR(__xludf.DUMMYFUNCTION("""COMPUTED_VALUE"""),11.82)</f>
        <v>11.82</v>
      </c>
      <c r="S183" s="320">
        <f>IFERROR(__xludf.DUMMYFUNCTION("""COMPUTED_VALUE"""),0.09)</f>
        <v>0.09</v>
      </c>
      <c r="T183" s="320">
        <f>IFERROR(__xludf.DUMMYFUNCTION("""COMPUTED_VALUE"""),57.27)</f>
        <v>57.27</v>
      </c>
      <c r="U183" s="320">
        <f>IFERROR(__xludf.DUMMYFUNCTION("""COMPUTED_VALUE"""),54.98)</f>
        <v>54.98</v>
      </c>
      <c r="V183" s="320">
        <f>IFERROR(__xludf.DUMMYFUNCTION("""COMPUTED_VALUE"""),3.8656)</f>
        <v>3.8656</v>
      </c>
      <c r="W183" s="320">
        <f>IFERROR(__xludf.DUMMYFUNCTION("""COMPUTED_VALUE"""),0.16)</f>
        <v>0.16</v>
      </c>
      <c r="X183" s="320">
        <f>IFERROR(__xludf.DUMMYFUNCTION("""COMPUTED_VALUE"""),137.0)</f>
        <v>137</v>
      </c>
      <c r="Y183" s="320">
        <f>IFERROR(__xludf.DUMMYFUNCTION("""COMPUTED_VALUE"""),814.0)</f>
        <v>814</v>
      </c>
      <c r="Z183" s="320">
        <f>IFERROR(__xludf.DUMMYFUNCTION("""COMPUTED_VALUE"""),5613.0)</f>
        <v>5613</v>
      </c>
      <c r="AA183" s="320">
        <f>IFERROR(__xludf.DUMMYFUNCTION("""COMPUTED_VALUE"""),48.4934)</f>
        <v>48.4934</v>
      </c>
      <c r="AB183" s="320">
        <f>IFERROR(__xludf.DUMMYFUNCTION("""COMPUTED_VALUE"""),0.5245)</f>
        <v>0.5245</v>
      </c>
      <c r="AC183" s="320">
        <f>IFERROR(__xludf.DUMMYFUNCTION("""COMPUTED_VALUE"""),3.94)</f>
        <v>3.94</v>
      </c>
      <c r="AD183" s="320">
        <f>IFERROR(__xludf.DUMMYFUNCTION("""COMPUTED_VALUE"""),1.0)</f>
        <v>1</v>
      </c>
      <c r="AE183" s="320">
        <f>IFERROR(__xludf.DUMMYFUNCTION("""COMPUTED_VALUE"""),3.0)</f>
        <v>3</v>
      </c>
      <c r="AF183" s="320">
        <f>IFERROR(__xludf.DUMMYFUNCTION("""COMPUTED_VALUE"""),5.0)</f>
        <v>5</v>
      </c>
      <c r="AG183" s="320">
        <f>IFERROR(__xludf.DUMMYFUNCTION("""COMPUTED_VALUE"""),9.0)</f>
        <v>9</v>
      </c>
      <c r="AH183" s="320">
        <f>IFERROR(__xludf.DUMMYFUNCTION("""COMPUTED_VALUE"""),72.77)</f>
        <v>72.77</v>
      </c>
      <c r="AI183" s="320">
        <f>IFERROR(__xludf.DUMMYFUNCTION("""COMPUTED_VALUE"""),30.19)</f>
        <v>30.19</v>
      </c>
      <c r="AJ183" s="320">
        <f>IFERROR(__xludf.DUMMYFUNCTION("""COMPUTED_VALUE"""),8.3)</f>
        <v>8.3</v>
      </c>
      <c r="AK183" s="320">
        <f>IFERROR(__xludf.DUMMYFUNCTION("""COMPUTED_VALUE"""),0.2641)</f>
        <v>0.2641</v>
      </c>
      <c r="AL183" s="320">
        <f>IFERROR(__xludf.DUMMYFUNCTION("""COMPUTED_VALUE"""),20.29)</f>
        <v>20.29</v>
      </c>
      <c r="AM183" s="320">
        <f>IFERROR(__xludf.DUMMYFUNCTION("""COMPUTED_VALUE"""),25.25)</f>
        <v>25.25</v>
      </c>
      <c r="AN183" s="320">
        <f>IFERROR(__xludf.DUMMYFUNCTION("""COMPUTED_VALUE"""),66.06)</f>
        <v>66.06</v>
      </c>
      <c r="AO183" s="320">
        <f>IFERROR(__xludf.DUMMYFUNCTION("""COMPUTED_VALUE"""),13.4)</f>
        <v>13.4</v>
      </c>
    </row>
    <row r="184" ht="15.75" customHeight="1">
      <c r="A184" s="330">
        <f>IFERROR(__xludf.DUMMYFUNCTION("""COMPUTED_VALUE"""),46080.0)</f>
        <v>46080</v>
      </c>
      <c r="B184" s="319" t="str">
        <f>IFERROR(__xludf.DUMMYFUNCTION("""COMPUTED_VALUE"""),"C. 10-19")</f>
        <v>C. 10-19</v>
      </c>
      <c r="C184" s="320">
        <f>IFERROR(__xludf.DUMMYFUNCTION("""COMPUTED_VALUE"""),25421.0)</f>
        <v>25421</v>
      </c>
      <c r="D184" s="320">
        <f>IFERROR(__xludf.DUMMYFUNCTION("""COMPUTED_VALUE"""),24.17)</f>
        <v>24.17</v>
      </c>
      <c r="E184" s="320">
        <f>IFERROR(__xludf.DUMMYFUNCTION("""COMPUTED_VALUE"""),0.0)</f>
        <v>0</v>
      </c>
      <c r="F184" s="320">
        <f>IFERROR(__xludf.DUMMYFUNCTION("""COMPUTED_VALUE"""),0.0)</f>
        <v>0</v>
      </c>
      <c r="G184" s="320">
        <f>IFERROR(__xludf.DUMMYFUNCTION("""COMPUTED_VALUE"""),0.0)</f>
        <v>0</v>
      </c>
      <c r="H184" s="106"/>
      <c r="I184" s="320">
        <f>IFERROR(__xludf.DUMMYFUNCTION("""COMPUTED_VALUE"""),56.93)</f>
        <v>56.93</v>
      </c>
      <c r="J184" s="320">
        <f>IFERROR(__xludf.DUMMYFUNCTION("""COMPUTED_VALUE"""),27.01)</f>
        <v>27.01</v>
      </c>
      <c r="K184" s="320">
        <f>IFERROR(__xludf.DUMMYFUNCTION("""COMPUTED_VALUE"""),13.99)</f>
        <v>13.99</v>
      </c>
      <c r="L184" s="320">
        <f>IFERROR(__xludf.DUMMYFUNCTION("""COMPUTED_VALUE"""),0.518)</f>
        <v>0.518</v>
      </c>
      <c r="M184" s="320">
        <f>IFERROR(__xludf.DUMMYFUNCTION("""COMPUTED_VALUE"""),0.6693)</f>
        <v>0.6693</v>
      </c>
      <c r="N184" s="320">
        <f>IFERROR(__xludf.DUMMYFUNCTION("""COMPUTED_VALUE"""),0.464)</f>
        <v>0.464</v>
      </c>
      <c r="O184" s="320">
        <f>IFERROR(__xludf.DUMMYFUNCTION("""COMPUTED_VALUE"""),1.9306)</f>
        <v>1.9306</v>
      </c>
      <c r="P184" s="320">
        <f>IFERROR(__xludf.DUMMYFUNCTION("""COMPUTED_VALUE"""),99.86)</f>
        <v>99.86</v>
      </c>
      <c r="Q184" s="320">
        <f>IFERROR(__xludf.DUMMYFUNCTION("""COMPUTED_VALUE"""),70.59)</f>
        <v>70.59</v>
      </c>
      <c r="R184" s="320">
        <f>IFERROR(__xludf.DUMMYFUNCTION("""COMPUTED_VALUE"""),29.26)</f>
        <v>29.26</v>
      </c>
      <c r="S184" s="320">
        <f>IFERROR(__xludf.DUMMYFUNCTION("""COMPUTED_VALUE"""),0.65)</f>
        <v>0.65</v>
      </c>
      <c r="T184" s="320">
        <f>IFERROR(__xludf.DUMMYFUNCTION("""COMPUTED_VALUE"""),99.2)</f>
        <v>99.2</v>
      </c>
      <c r="U184" s="320">
        <f>IFERROR(__xludf.DUMMYFUNCTION("""COMPUTED_VALUE"""),99.88)</f>
        <v>99.88</v>
      </c>
      <c r="V184" s="320">
        <f>IFERROR(__xludf.DUMMYFUNCTION("""COMPUTED_VALUE"""),3.6979)</f>
        <v>3.6979</v>
      </c>
      <c r="W184" s="320">
        <f>IFERROR(__xludf.DUMMYFUNCTION("""COMPUTED_VALUE"""),0.65)</f>
        <v>0.65</v>
      </c>
      <c r="X184" s="320">
        <f>IFERROR(__xludf.DUMMYFUNCTION("""COMPUTED_VALUE"""),120.0)</f>
        <v>120</v>
      </c>
      <c r="Y184" s="320">
        <f>IFERROR(__xludf.DUMMYFUNCTION("""COMPUTED_VALUE"""),643.0)</f>
        <v>643</v>
      </c>
      <c r="Z184" s="320">
        <f>IFERROR(__xludf.DUMMYFUNCTION("""COMPUTED_VALUE"""),5043.0)</f>
        <v>5043</v>
      </c>
      <c r="AA184" s="320">
        <f>IFERROR(__xludf.DUMMYFUNCTION("""COMPUTED_VALUE"""),52.4582)</f>
        <v>52.4582</v>
      </c>
      <c r="AB184" s="320">
        <f>IFERROR(__xludf.DUMMYFUNCTION("""COMPUTED_VALUE"""),0.6258)</f>
        <v>0.6258</v>
      </c>
      <c r="AC184" s="320">
        <f>IFERROR(__xludf.DUMMYFUNCTION("""COMPUTED_VALUE"""),9.29)</f>
        <v>9.29</v>
      </c>
      <c r="AD184" s="320">
        <f>IFERROR(__xludf.DUMMYFUNCTION("""COMPUTED_VALUE"""),3.0)</f>
        <v>3</v>
      </c>
      <c r="AE184" s="320">
        <f>IFERROR(__xludf.DUMMYFUNCTION("""COMPUTED_VALUE"""),7.0)</f>
        <v>7</v>
      </c>
      <c r="AF184" s="320">
        <f>IFERROR(__xludf.DUMMYFUNCTION("""COMPUTED_VALUE"""),13.0)</f>
        <v>13</v>
      </c>
      <c r="AG184" s="320">
        <f>IFERROR(__xludf.DUMMYFUNCTION("""COMPUTED_VALUE"""),19.0)</f>
        <v>19</v>
      </c>
      <c r="AH184" s="320">
        <f>IFERROR(__xludf.DUMMYFUNCTION("""COMPUTED_VALUE"""),59.92)</f>
        <v>59.92</v>
      </c>
      <c r="AI184" s="320">
        <f>IFERROR(__xludf.DUMMYFUNCTION("""COMPUTED_VALUE"""),25.43)</f>
        <v>25.43</v>
      </c>
      <c r="AJ184" s="320">
        <f>IFERROR(__xludf.DUMMYFUNCTION("""COMPUTED_VALUE"""),4.48)</f>
        <v>4.48</v>
      </c>
      <c r="AK184" s="320">
        <f>IFERROR(__xludf.DUMMYFUNCTION("""COMPUTED_VALUE"""),0.218)</f>
        <v>0.218</v>
      </c>
      <c r="AL184" s="320">
        <f>IFERROR(__xludf.DUMMYFUNCTION("""COMPUTED_VALUE"""),21.4)</f>
        <v>21.4</v>
      </c>
      <c r="AM184" s="320">
        <f>IFERROR(__xludf.DUMMYFUNCTION("""COMPUTED_VALUE"""),49.19)</f>
        <v>49.19</v>
      </c>
      <c r="AN184" s="320">
        <f>IFERROR(__xludf.DUMMYFUNCTION("""COMPUTED_VALUE"""),75.87)</f>
        <v>75.87</v>
      </c>
      <c r="AO184" s="320">
        <f>IFERROR(__xludf.DUMMYFUNCTION("""COMPUTED_VALUE"""),16.24)</f>
        <v>16.24</v>
      </c>
    </row>
    <row r="185" ht="15.75" customHeight="1">
      <c r="A185" s="330">
        <f>IFERROR(__xludf.DUMMYFUNCTION("""COMPUTED_VALUE"""),46080.0)</f>
        <v>46080</v>
      </c>
      <c r="B185" s="319" t="str">
        <f>IFERROR(__xludf.DUMMYFUNCTION("""COMPUTED_VALUE"""),"D. 20-39")</f>
        <v>D. 20-39</v>
      </c>
      <c r="C185" s="320">
        <f>IFERROR(__xludf.DUMMYFUNCTION("""COMPUTED_VALUE"""),13370.0)</f>
        <v>13370</v>
      </c>
      <c r="D185" s="320">
        <f>IFERROR(__xludf.DUMMYFUNCTION("""COMPUTED_VALUE"""),12.71)</f>
        <v>12.71</v>
      </c>
      <c r="E185" s="320">
        <f>IFERROR(__xludf.DUMMYFUNCTION("""COMPUTED_VALUE"""),0.0)</f>
        <v>0</v>
      </c>
      <c r="F185" s="320">
        <f>IFERROR(__xludf.DUMMYFUNCTION("""COMPUTED_VALUE"""),0.0)</f>
        <v>0</v>
      </c>
      <c r="G185" s="320">
        <f>IFERROR(__xludf.DUMMYFUNCTION("""COMPUTED_VALUE"""),0.0)</f>
        <v>0</v>
      </c>
      <c r="H185" s="106"/>
      <c r="I185" s="320">
        <f>IFERROR(__xludf.DUMMYFUNCTION("""COMPUTED_VALUE"""),81.47)</f>
        <v>81.47</v>
      </c>
      <c r="J185" s="320">
        <f>IFERROR(__xludf.DUMMYFUNCTION("""COMPUTED_VALUE"""),40.89)</f>
        <v>40.89</v>
      </c>
      <c r="K185" s="320">
        <f>IFERROR(__xludf.DUMMYFUNCTION("""COMPUTED_VALUE"""),26.61)</f>
        <v>26.61</v>
      </c>
      <c r="L185" s="320">
        <f>IFERROR(__xludf.DUMMYFUNCTION("""COMPUTED_VALUE"""),0.6508)</f>
        <v>0.6508</v>
      </c>
      <c r="M185" s="320">
        <f>IFERROR(__xludf.DUMMYFUNCTION("""COMPUTED_VALUE"""),0.5365)</f>
        <v>0.5365</v>
      </c>
      <c r="N185" s="320">
        <f>IFERROR(__xludf.DUMMYFUNCTION("""COMPUTED_VALUE"""),0.3671)</f>
        <v>0.3671</v>
      </c>
      <c r="O185" s="320">
        <f>IFERROR(__xludf.DUMMYFUNCTION("""COMPUTED_VALUE"""),1.5366)</f>
        <v>1.5366</v>
      </c>
      <c r="P185" s="320">
        <f>IFERROR(__xludf.DUMMYFUNCTION("""COMPUTED_VALUE"""),158.12)</f>
        <v>158.12</v>
      </c>
      <c r="Q185" s="320">
        <f>IFERROR(__xludf.DUMMYFUNCTION("""COMPUTED_VALUE"""),101.77)</f>
        <v>101.77</v>
      </c>
      <c r="R185" s="320">
        <f>IFERROR(__xludf.DUMMYFUNCTION("""COMPUTED_VALUE"""),56.34)</f>
        <v>56.34</v>
      </c>
      <c r="S185" s="320">
        <f>IFERROR(__xludf.DUMMYFUNCTION("""COMPUTED_VALUE"""),0.06)</f>
        <v>0.06</v>
      </c>
      <c r="T185" s="320">
        <f>IFERROR(__xludf.DUMMYFUNCTION("""COMPUTED_VALUE"""),158.06)</f>
        <v>158.06</v>
      </c>
      <c r="U185" s="320">
        <f>IFERROR(__xludf.DUMMYFUNCTION("""COMPUTED_VALUE"""),167.42)</f>
        <v>167.42</v>
      </c>
      <c r="V185" s="320">
        <f>IFERROR(__xludf.DUMMYFUNCTION("""COMPUTED_VALUE"""),4.0947)</f>
        <v>4.0947</v>
      </c>
      <c r="W185" s="320">
        <f>IFERROR(__xludf.DUMMYFUNCTION("""COMPUTED_VALUE"""),0.04)</f>
        <v>0.04</v>
      </c>
      <c r="X185" s="320">
        <f>IFERROR(__xludf.DUMMYFUNCTION("""COMPUTED_VALUE"""),149.0)</f>
        <v>149</v>
      </c>
      <c r="Y185" s="320">
        <f>IFERROR(__xludf.DUMMYFUNCTION("""COMPUTED_VALUE"""),1034.0)</f>
        <v>1034</v>
      </c>
      <c r="Z185" s="320">
        <f>IFERROR(__xludf.DUMMYFUNCTION("""COMPUTED_VALUE"""),6743.0)</f>
        <v>6743</v>
      </c>
      <c r="AA185" s="320">
        <f>IFERROR(__xludf.DUMMYFUNCTION("""COMPUTED_VALUE"""),56.0929)</f>
        <v>56.0929</v>
      </c>
      <c r="AB185" s="320">
        <f>IFERROR(__xludf.DUMMYFUNCTION("""COMPUTED_VALUE"""),0.7399)</f>
        <v>0.7399</v>
      </c>
      <c r="AC185" s="320">
        <f>IFERROR(__xludf.DUMMYFUNCTION("""COMPUTED_VALUE"""),17.76)</f>
        <v>17.76</v>
      </c>
      <c r="AD185" s="320">
        <f>IFERROR(__xludf.DUMMYFUNCTION("""COMPUTED_VALUE"""),7.0)</f>
        <v>7</v>
      </c>
      <c r="AE185" s="320">
        <f>IFERROR(__xludf.DUMMYFUNCTION("""COMPUTED_VALUE"""),14.0)</f>
        <v>14</v>
      </c>
      <c r="AF185" s="320">
        <f>IFERROR(__xludf.DUMMYFUNCTION("""COMPUTED_VALUE"""),24.0)</f>
        <v>24</v>
      </c>
      <c r="AG185" s="320">
        <f>IFERROR(__xludf.DUMMYFUNCTION("""COMPUTED_VALUE"""),37.0)</f>
        <v>37</v>
      </c>
      <c r="AH185" s="320">
        <f>IFERROR(__xludf.DUMMYFUNCTION("""COMPUTED_VALUE"""),60.59)</f>
        <v>60.59</v>
      </c>
      <c r="AI185" s="320">
        <f>IFERROR(__xludf.DUMMYFUNCTION("""COMPUTED_VALUE"""),22.95)</f>
        <v>22.95</v>
      </c>
      <c r="AJ185" s="320">
        <f>IFERROR(__xludf.DUMMYFUNCTION("""COMPUTED_VALUE"""),6.54)</f>
        <v>6.54</v>
      </c>
      <c r="AK185" s="320">
        <f>IFERROR(__xludf.DUMMYFUNCTION("""COMPUTED_VALUE"""),0.2104)</f>
        <v>0.2104</v>
      </c>
      <c r="AL185" s="320">
        <f>IFERROR(__xludf.DUMMYFUNCTION("""COMPUTED_VALUE"""),21.14)</f>
        <v>21.14</v>
      </c>
      <c r="AM185" s="320">
        <f>IFERROR(__xludf.DUMMYFUNCTION("""COMPUTED_VALUE"""),80.64)</f>
        <v>80.64</v>
      </c>
      <c r="AN185" s="320">
        <f>IFERROR(__xludf.DUMMYFUNCTION("""COMPUTED_VALUE"""),78.11)</f>
        <v>78.11</v>
      </c>
      <c r="AO185" s="320">
        <f>IFERROR(__xludf.DUMMYFUNCTION("""COMPUTED_VALUE"""),16.51)</f>
        <v>16.51</v>
      </c>
    </row>
    <row r="186" ht="15.75" customHeight="1">
      <c r="A186" s="330">
        <f>IFERROR(__xludf.DUMMYFUNCTION("""COMPUTED_VALUE"""),46080.0)</f>
        <v>46080</v>
      </c>
      <c r="B186" s="319" t="str">
        <f>IFERROR(__xludf.DUMMYFUNCTION("""COMPUTED_VALUE"""),"E. 40-99")</f>
        <v>E. 40-99</v>
      </c>
      <c r="C186" s="320">
        <f>IFERROR(__xludf.DUMMYFUNCTION("""COMPUTED_VALUE"""),5278.0)</f>
        <v>5278</v>
      </c>
      <c r="D186" s="320">
        <f>IFERROR(__xludf.DUMMYFUNCTION("""COMPUTED_VALUE"""),5.02)</f>
        <v>5.02</v>
      </c>
      <c r="E186" s="320">
        <f>IFERROR(__xludf.DUMMYFUNCTION("""COMPUTED_VALUE"""),0.0)</f>
        <v>0</v>
      </c>
      <c r="F186" s="320">
        <f>IFERROR(__xludf.DUMMYFUNCTION("""COMPUTED_VALUE"""),0.0)</f>
        <v>0</v>
      </c>
      <c r="G186" s="320">
        <f>IFERROR(__xludf.DUMMYFUNCTION("""COMPUTED_VALUE"""),0.0)</f>
        <v>0</v>
      </c>
      <c r="H186" s="106"/>
      <c r="I186" s="320">
        <f>IFERROR(__xludf.DUMMYFUNCTION("""COMPUTED_VALUE"""),132.05)</f>
        <v>132.05</v>
      </c>
      <c r="J186" s="320">
        <f>IFERROR(__xludf.DUMMYFUNCTION("""COMPUTED_VALUE"""),70.93)</f>
        <v>70.93</v>
      </c>
      <c r="K186" s="320">
        <f>IFERROR(__xludf.DUMMYFUNCTION("""COMPUTED_VALUE"""),55.08)</f>
        <v>55.08</v>
      </c>
      <c r="L186" s="320">
        <f>IFERROR(__xludf.DUMMYFUNCTION("""COMPUTED_VALUE"""),0.7765)</f>
        <v>0.7765</v>
      </c>
      <c r="M186" s="320">
        <f>IFERROR(__xludf.DUMMYFUNCTION("""COMPUTED_VALUE"""),0.3998)</f>
        <v>0.3998</v>
      </c>
      <c r="N186" s="320">
        <f>IFERROR(__xludf.DUMMYFUNCTION("""COMPUTED_VALUE"""),0.2813)</f>
        <v>0.2813</v>
      </c>
      <c r="O186" s="320">
        <f>IFERROR(__xludf.DUMMYFUNCTION("""COMPUTED_VALUE"""),1.2878)</f>
        <v>1.2878</v>
      </c>
      <c r="P186" s="320">
        <f>IFERROR(__xludf.DUMMYFUNCTION("""COMPUTED_VALUE"""),278.03)</f>
        <v>278.03</v>
      </c>
      <c r="Q186" s="320">
        <f>IFERROR(__xludf.DUMMYFUNCTION("""COMPUTED_VALUE"""),161.64)</f>
        <v>161.64</v>
      </c>
      <c r="R186" s="320">
        <f>IFERROR(__xludf.DUMMYFUNCTION("""COMPUTED_VALUE"""),116.39)</f>
        <v>116.39</v>
      </c>
      <c r="S186" s="320">
        <f>IFERROR(__xludf.DUMMYFUNCTION("""COMPUTED_VALUE"""),0.53)</f>
        <v>0.53</v>
      </c>
      <c r="T186" s="320">
        <f>IFERROR(__xludf.DUMMYFUNCTION("""COMPUTED_VALUE"""),277.5)</f>
        <v>277.5</v>
      </c>
      <c r="U186" s="320">
        <f>IFERROR(__xludf.DUMMYFUNCTION("""COMPUTED_VALUE"""),307.78)</f>
        <v>307.78</v>
      </c>
      <c r="V186" s="320">
        <f>IFERROR(__xludf.DUMMYFUNCTION("""COMPUTED_VALUE"""),4.3391)</f>
        <v>4.3391</v>
      </c>
      <c r="W186" s="320">
        <f>IFERROR(__xludf.DUMMYFUNCTION("""COMPUTED_VALUE"""),0.19)</f>
        <v>0.19</v>
      </c>
      <c r="X186" s="320">
        <f>IFERROR(__xludf.DUMMYFUNCTION("""COMPUTED_VALUE"""),342.0)</f>
        <v>342</v>
      </c>
      <c r="Y186" s="320">
        <f>IFERROR(__xludf.DUMMYFUNCTION("""COMPUTED_VALUE"""),2758.0)</f>
        <v>2758</v>
      </c>
      <c r="Z186" s="320">
        <f>IFERROR(__xludf.DUMMYFUNCTION("""COMPUTED_VALUE"""),9742.0)</f>
        <v>9742</v>
      </c>
      <c r="AA186" s="320">
        <f>IFERROR(__xludf.DUMMYFUNCTION("""COMPUTED_VALUE"""),60.1426)</f>
        <v>60.1426</v>
      </c>
      <c r="AB186" s="320">
        <f>IFERROR(__xludf.DUMMYFUNCTION("""COMPUTED_VALUE"""),0.8379)</f>
        <v>0.8379</v>
      </c>
      <c r="AC186" s="320">
        <f>IFERROR(__xludf.DUMMYFUNCTION("""COMPUTED_VALUE"""),37.21)</f>
        <v>37.21</v>
      </c>
      <c r="AD186" s="320">
        <f>IFERROR(__xludf.DUMMYFUNCTION("""COMPUTED_VALUE"""),15.0)</f>
        <v>15</v>
      </c>
      <c r="AE186" s="320">
        <f>IFERROR(__xludf.DUMMYFUNCTION("""COMPUTED_VALUE"""),29.0)</f>
        <v>29</v>
      </c>
      <c r="AF186" s="320">
        <f>IFERROR(__xludf.DUMMYFUNCTION("""COMPUTED_VALUE"""),51.0)</f>
        <v>51</v>
      </c>
      <c r="AG186" s="320">
        <f>IFERROR(__xludf.DUMMYFUNCTION("""COMPUTED_VALUE"""),78.0)</f>
        <v>78</v>
      </c>
      <c r="AH186" s="320">
        <f>IFERROR(__xludf.DUMMYFUNCTION("""COMPUTED_VALUE"""),51.84)</f>
        <v>51.84</v>
      </c>
      <c r="AI186" s="320">
        <f>IFERROR(__xludf.DUMMYFUNCTION("""COMPUTED_VALUE"""),18.95)</f>
        <v>18.95</v>
      </c>
      <c r="AJ186" s="320">
        <f>IFERROR(__xludf.DUMMYFUNCTION("""COMPUTED_VALUE"""),4.72)</f>
        <v>4.72</v>
      </c>
      <c r="AK186" s="320">
        <f>IFERROR(__xludf.DUMMYFUNCTION("""COMPUTED_VALUE"""),0.1586)</f>
        <v>0.1586</v>
      </c>
      <c r="AL186" s="320">
        <f>IFERROR(__xludf.DUMMYFUNCTION("""COMPUTED_VALUE"""),22.4)</f>
        <v>22.4</v>
      </c>
      <c r="AM186" s="320">
        <f>IFERROR(__xludf.DUMMYFUNCTION("""COMPUTED_VALUE"""),139.24)</f>
        <v>139.24</v>
      </c>
      <c r="AN186" s="320">
        <f>IFERROR(__xludf.DUMMYFUNCTION("""COMPUTED_VALUE"""),83.63)</f>
        <v>83.63</v>
      </c>
      <c r="AO186" s="320">
        <f>IFERROR(__xludf.DUMMYFUNCTION("""COMPUTED_VALUE"""),18.73)</f>
        <v>18.73</v>
      </c>
    </row>
    <row r="187" ht="15.75" customHeight="1">
      <c r="A187" s="330">
        <f>IFERROR(__xludf.DUMMYFUNCTION("""COMPUTED_VALUE"""),46080.0)</f>
        <v>46080</v>
      </c>
      <c r="B187" s="319" t="str">
        <f>IFERROR(__xludf.DUMMYFUNCTION("""COMPUTED_VALUE"""),"F. 100+")</f>
        <v>F. 100+</v>
      </c>
      <c r="C187" s="320">
        <f>IFERROR(__xludf.DUMMYFUNCTION("""COMPUTED_VALUE"""),578.0)</f>
        <v>578</v>
      </c>
      <c r="D187" s="320">
        <f>IFERROR(__xludf.DUMMYFUNCTION("""COMPUTED_VALUE"""),0.55)</f>
        <v>0.55</v>
      </c>
      <c r="E187" s="320">
        <f>IFERROR(__xludf.DUMMYFUNCTION("""COMPUTED_VALUE"""),0.0)</f>
        <v>0</v>
      </c>
      <c r="F187" s="320">
        <f>IFERROR(__xludf.DUMMYFUNCTION("""COMPUTED_VALUE"""),0.0)</f>
        <v>0</v>
      </c>
      <c r="G187" s="320">
        <f>IFERROR(__xludf.DUMMYFUNCTION("""COMPUTED_VALUE"""),0.0)</f>
        <v>0</v>
      </c>
      <c r="H187" s="106"/>
      <c r="I187" s="320">
        <f>IFERROR(__xludf.DUMMYFUNCTION("""COMPUTED_VALUE"""),255.06)</f>
        <v>255.06</v>
      </c>
      <c r="J187" s="320">
        <f>IFERROR(__xludf.DUMMYFUNCTION("""COMPUTED_VALUE"""),142.91)</f>
        <v>142.91</v>
      </c>
      <c r="K187" s="320">
        <f>IFERROR(__xludf.DUMMYFUNCTION("""COMPUTED_VALUE"""),123.02)</f>
        <v>123.02</v>
      </c>
      <c r="L187" s="320">
        <f>IFERROR(__xludf.DUMMYFUNCTION("""COMPUTED_VALUE"""),0.8608)</f>
        <v>0.8608</v>
      </c>
      <c r="M187" s="320">
        <f>IFERROR(__xludf.DUMMYFUNCTION("""COMPUTED_VALUE"""),0.2932)</f>
        <v>0.2932</v>
      </c>
      <c r="N187" s="320">
        <f>IFERROR(__xludf.DUMMYFUNCTION("""COMPUTED_VALUE"""),0.2163)</f>
        <v>0.2163</v>
      </c>
      <c r="O187" s="320">
        <f>IFERROR(__xludf.DUMMYFUNCTION("""COMPUTED_VALUE"""),1.1617)</f>
        <v>1.1617</v>
      </c>
      <c r="P187" s="320">
        <f>IFERROR(__xludf.DUMMYFUNCTION("""COMPUTED_VALUE"""),588.51)</f>
        <v>588.51</v>
      </c>
      <c r="Q187" s="320">
        <f>IFERROR(__xludf.DUMMYFUNCTION("""COMPUTED_VALUE"""),326.02)</f>
        <v>326.02</v>
      </c>
      <c r="R187" s="320">
        <f>IFERROR(__xludf.DUMMYFUNCTION("""COMPUTED_VALUE"""),262.48)</f>
        <v>262.48</v>
      </c>
      <c r="S187" s="320">
        <f>IFERROR(__xludf.DUMMYFUNCTION("""COMPUTED_VALUE"""),0.0)</f>
        <v>0</v>
      </c>
      <c r="T187" s="320">
        <f>IFERROR(__xludf.DUMMYFUNCTION("""COMPUTED_VALUE"""),588.51)</f>
        <v>588.51</v>
      </c>
      <c r="U187" s="320">
        <f>IFERROR(__xludf.DUMMYFUNCTION("""COMPUTED_VALUE"""),628.11)</f>
        <v>628.11</v>
      </c>
      <c r="V187" s="320">
        <f>IFERROR(__xludf.DUMMYFUNCTION("""COMPUTED_VALUE"""),4.3952)</f>
        <v>4.3952</v>
      </c>
      <c r="W187" s="320">
        <f>IFERROR(__xludf.DUMMYFUNCTION("""COMPUTED_VALUE"""),0.0)</f>
        <v>0</v>
      </c>
      <c r="X187" s="320">
        <f>IFERROR(__xludf.DUMMYFUNCTION("""COMPUTED_VALUE"""),759.0)</f>
        <v>759</v>
      </c>
      <c r="Y187" s="320">
        <f>IFERROR(__xludf.DUMMYFUNCTION("""COMPUTED_VALUE"""),3319.0)</f>
        <v>3319</v>
      </c>
      <c r="Z187" s="320">
        <f>IFERROR(__xludf.DUMMYFUNCTION("""COMPUTED_VALUE"""),11316.0)</f>
        <v>11316</v>
      </c>
      <c r="AA187" s="320">
        <f>IFERROR(__xludf.DUMMYFUNCTION("""COMPUTED_VALUE"""),63.5762)</f>
        <v>63.5762</v>
      </c>
      <c r="AB187" s="320">
        <f>IFERROR(__xludf.DUMMYFUNCTION("""COMPUTED_VALUE"""),0.9028)</f>
        <v>0.9028</v>
      </c>
      <c r="AC187" s="320">
        <f>IFERROR(__xludf.DUMMYFUNCTION("""COMPUTED_VALUE"""),83.55)</f>
        <v>83.55</v>
      </c>
      <c r="AD187" s="320">
        <f>IFERROR(__xludf.DUMMYFUNCTION("""COMPUTED_VALUE"""),31.0)</f>
        <v>31</v>
      </c>
      <c r="AE187" s="320">
        <f>IFERROR(__xludf.DUMMYFUNCTION("""COMPUTED_VALUE"""),66.0)</f>
        <v>66</v>
      </c>
      <c r="AF187" s="320">
        <f>IFERROR(__xludf.DUMMYFUNCTION("""COMPUTED_VALUE"""),119.0)</f>
        <v>119</v>
      </c>
      <c r="AG187" s="320">
        <f>IFERROR(__xludf.DUMMYFUNCTION("""COMPUTED_VALUE"""),168.0)</f>
        <v>168</v>
      </c>
      <c r="AH187" s="320">
        <f>IFERROR(__xludf.DUMMYFUNCTION("""COMPUTED_VALUE"""),43.43)</f>
        <v>43.43</v>
      </c>
      <c r="AI187" s="320">
        <f>IFERROR(__xludf.DUMMYFUNCTION("""COMPUTED_VALUE"""),8.65)</f>
        <v>8.65</v>
      </c>
      <c r="AJ187" s="320">
        <f>IFERROR(__xludf.DUMMYFUNCTION("""COMPUTED_VALUE"""),0.87)</f>
        <v>0.87</v>
      </c>
      <c r="AK187" s="320">
        <f>IFERROR(__xludf.DUMMYFUNCTION("""COMPUTED_VALUE"""),0.1107)</f>
        <v>0.1107</v>
      </c>
      <c r="AL187" s="320">
        <f>IFERROR(__xludf.DUMMYFUNCTION("""COMPUTED_VALUE"""),26.76)</f>
        <v>26.76</v>
      </c>
      <c r="AM187" s="320">
        <f>IFERROR(__xludf.DUMMYFUNCTION("""COMPUTED_VALUE"""),299.26)</f>
        <v>299.26</v>
      </c>
      <c r="AN187" s="320">
        <f>IFERROR(__xludf.DUMMYFUNCTION("""COMPUTED_VALUE"""),85.1)</f>
        <v>85.1</v>
      </c>
      <c r="AO187" s="320">
        <f>IFERROR(__xludf.DUMMYFUNCTION("""COMPUTED_VALUE"""),22.77)</f>
        <v>22.77</v>
      </c>
    </row>
    <row r="188" ht="15.75" customHeight="1">
      <c r="A188" s="330">
        <f>IFERROR(__xludf.DUMMYFUNCTION("""COMPUTED_VALUE"""),46081.0)</f>
        <v>46081</v>
      </c>
      <c r="B188" s="319" t="str">
        <f>IFERROR(__xludf.DUMMYFUNCTION("""COMPUTED_VALUE"""),"A. 0")</f>
        <v>A. 0</v>
      </c>
      <c r="C188" s="320">
        <f>IFERROR(__xludf.DUMMYFUNCTION("""COMPUTED_VALUE"""),20768.0)</f>
        <v>20768</v>
      </c>
      <c r="D188" s="320">
        <f>IFERROR(__xludf.DUMMYFUNCTION("""COMPUTED_VALUE"""),20.15)</f>
        <v>20.15</v>
      </c>
      <c r="E188" s="320">
        <f>IFERROR(__xludf.DUMMYFUNCTION("""COMPUTED_VALUE"""),0.0)</f>
        <v>0</v>
      </c>
      <c r="F188" s="320">
        <f>IFERROR(__xludf.DUMMYFUNCTION("""COMPUTED_VALUE"""),0.0)</f>
        <v>0</v>
      </c>
      <c r="G188" s="320">
        <f>IFERROR(__xludf.DUMMYFUNCTION("""COMPUTED_VALUE"""),0.0)</f>
        <v>0</v>
      </c>
      <c r="H188" s="106"/>
      <c r="I188" s="320">
        <f>IFERROR(__xludf.DUMMYFUNCTION("""COMPUTED_VALUE"""),6.34)</f>
        <v>6.34</v>
      </c>
      <c r="J188" s="320">
        <f>IFERROR(__xludf.DUMMYFUNCTION("""COMPUTED_VALUE"""),2.57)</f>
        <v>2.57</v>
      </c>
      <c r="K188" s="320">
        <f>IFERROR(__xludf.DUMMYFUNCTION("""COMPUTED_VALUE"""),0.02)</f>
        <v>0.02</v>
      </c>
      <c r="L188" s="320">
        <f>IFERROR(__xludf.DUMMYFUNCTION("""COMPUTED_VALUE"""),0.0061)</f>
        <v>0.0061</v>
      </c>
      <c r="M188" s="320">
        <f>IFERROR(__xludf.DUMMYFUNCTION("""COMPUTED_VALUE"""),0.9957)</f>
        <v>0.9957</v>
      </c>
      <c r="N188" s="320">
        <f>IFERROR(__xludf.DUMMYFUNCTION("""COMPUTED_VALUE"""),0.9427)</f>
        <v>0.9427</v>
      </c>
      <c r="O188" s="320">
        <f>IFERROR(__xludf.DUMMYFUNCTION("""COMPUTED_VALUE"""),163.3639)</f>
        <v>163.3639</v>
      </c>
      <c r="P188" s="320">
        <f>IFERROR(__xludf.DUMMYFUNCTION("""COMPUTED_VALUE"""),24.44)</f>
        <v>24.44</v>
      </c>
      <c r="Q188" s="320">
        <f>IFERROR(__xludf.DUMMYFUNCTION("""COMPUTED_VALUE"""),24.33)</f>
        <v>24.33</v>
      </c>
      <c r="R188" s="320">
        <f>IFERROR(__xludf.DUMMYFUNCTION("""COMPUTED_VALUE"""),0.11)</f>
        <v>0.11</v>
      </c>
      <c r="S188" s="320">
        <f>IFERROR(__xludf.DUMMYFUNCTION("""COMPUTED_VALUE"""),0.0)</f>
        <v>0</v>
      </c>
      <c r="T188" s="320">
        <f>IFERROR(__xludf.DUMMYFUNCTION("""COMPUTED_VALUE"""),24.44)</f>
        <v>24.44</v>
      </c>
      <c r="U188" s="320">
        <f>IFERROR(__xludf.DUMMYFUNCTION("""COMPUTED_VALUE"""),1.82)</f>
        <v>1.82</v>
      </c>
      <c r="V188" s="320">
        <f>IFERROR(__xludf.DUMMYFUNCTION("""COMPUTED_VALUE"""),0.7076)</f>
        <v>0.7076</v>
      </c>
      <c r="W188" s="320">
        <f>IFERROR(__xludf.DUMMYFUNCTION("""COMPUTED_VALUE"""),0.0)</f>
        <v>0</v>
      </c>
      <c r="X188" s="320">
        <f>IFERROR(__xludf.DUMMYFUNCTION("""COMPUTED_VALUE"""),277.0)</f>
        <v>277</v>
      </c>
      <c r="Y188" s="320">
        <f>IFERROR(__xludf.DUMMYFUNCTION("""COMPUTED_VALUE"""),3198.0)</f>
        <v>3198</v>
      </c>
      <c r="Z188" s="320">
        <f>IFERROR(__xludf.DUMMYFUNCTION("""COMPUTED_VALUE"""),13625.0)</f>
        <v>13625</v>
      </c>
      <c r="AA188" s="320">
        <f>IFERROR(__xludf.DUMMYFUNCTION("""COMPUTED_VALUE"""),48.7672)</f>
        <v>48.7672</v>
      </c>
      <c r="AB188" s="320">
        <f>IFERROR(__xludf.DUMMYFUNCTION("""COMPUTED_VALUE"""),0.5279)</f>
        <v>0.5279</v>
      </c>
      <c r="AC188" s="106"/>
      <c r="AD188" s="106"/>
      <c r="AE188" s="106"/>
      <c r="AF188" s="106"/>
      <c r="AG188" s="106"/>
      <c r="AH188" s="320">
        <f>IFERROR(__xludf.DUMMYFUNCTION("""COMPUTED_VALUE"""),0.0)</f>
        <v>0</v>
      </c>
      <c r="AI188" s="320">
        <f>IFERROR(__xludf.DUMMYFUNCTION("""COMPUTED_VALUE"""),0.0)</f>
        <v>0</v>
      </c>
      <c r="AJ188" s="320">
        <f>IFERROR(__xludf.DUMMYFUNCTION("""COMPUTED_VALUE"""),0.0)</f>
        <v>0</v>
      </c>
      <c r="AK188" s="320">
        <f>IFERROR(__xludf.DUMMYFUNCTION("""COMPUTED_VALUE"""),0.2966)</f>
        <v>0.2966</v>
      </c>
      <c r="AL188" s="320">
        <f>IFERROR(__xludf.DUMMYFUNCTION("""COMPUTED_VALUE"""),18.41)</f>
        <v>18.41</v>
      </c>
      <c r="AM188" s="320">
        <f>IFERROR(__xludf.DUMMYFUNCTION("""COMPUTED_VALUE"""),5.92)</f>
        <v>5.92</v>
      </c>
      <c r="AN188" s="331"/>
      <c r="AO188" s="331"/>
    </row>
    <row r="189" ht="15.75" customHeight="1">
      <c r="A189" s="330">
        <f>IFERROR(__xludf.DUMMYFUNCTION("""COMPUTED_VALUE"""),46081.0)</f>
        <v>46081</v>
      </c>
      <c r="B189" s="319" t="str">
        <f>IFERROR(__xludf.DUMMYFUNCTION("""COMPUTED_VALUE"""),"B. 1-9")</f>
        <v>B. 1-9</v>
      </c>
      <c r="C189" s="320">
        <f>IFERROR(__xludf.DUMMYFUNCTION("""COMPUTED_VALUE"""),38629.0)</f>
        <v>38629</v>
      </c>
      <c r="D189" s="320">
        <f>IFERROR(__xludf.DUMMYFUNCTION("""COMPUTED_VALUE"""),37.49)</f>
        <v>37.49</v>
      </c>
      <c r="E189" s="320">
        <f>IFERROR(__xludf.DUMMYFUNCTION("""COMPUTED_VALUE"""),0.0)</f>
        <v>0</v>
      </c>
      <c r="F189" s="320">
        <f>IFERROR(__xludf.DUMMYFUNCTION("""COMPUTED_VALUE"""),0.0)</f>
        <v>0</v>
      </c>
      <c r="G189" s="320">
        <f>IFERROR(__xludf.DUMMYFUNCTION("""COMPUTED_VALUE"""),0.0)</f>
        <v>0</v>
      </c>
      <c r="H189" s="106"/>
      <c r="I189" s="320">
        <f>IFERROR(__xludf.DUMMYFUNCTION("""COMPUTED_VALUE"""),30.45)</f>
        <v>30.45</v>
      </c>
      <c r="J189" s="320">
        <f>IFERROR(__xludf.DUMMYFUNCTION("""COMPUTED_VALUE"""),13.75)</f>
        <v>13.75</v>
      </c>
      <c r="K189" s="320">
        <f>IFERROR(__xludf.DUMMYFUNCTION("""COMPUTED_VALUE"""),5.77)</f>
        <v>5.77</v>
      </c>
      <c r="L189" s="320">
        <f>IFERROR(__xludf.DUMMYFUNCTION("""COMPUTED_VALUE"""),0.4198)</f>
        <v>0.4198</v>
      </c>
      <c r="M189" s="320">
        <f>IFERROR(__xludf.DUMMYFUNCTION("""COMPUTED_VALUE"""),0.7545)</f>
        <v>0.7545</v>
      </c>
      <c r="N189" s="320">
        <f>IFERROR(__xludf.DUMMYFUNCTION("""COMPUTED_VALUE"""),0.5591)</f>
        <v>0.5591</v>
      </c>
      <c r="O189" s="320">
        <f>IFERROR(__xludf.DUMMYFUNCTION("""COMPUTED_VALUE"""),2.3822)</f>
        <v>2.3822</v>
      </c>
      <c r="P189" s="320">
        <f>IFERROR(__xludf.DUMMYFUNCTION("""COMPUTED_VALUE"""),53.09)</f>
        <v>53.09</v>
      </c>
      <c r="Q189" s="320">
        <f>IFERROR(__xludf.DUMMYFUNCTION("""COMPUTED_VALUE"""),41.19)</f>
        <v>41.19</v>
      </c>
      <c r="R189" s="320">
        <f>IFERROR(__xludf.DUMMYFUNCTION("""COMPUTED_VALUE"""),11.91)</f>
        <v>11.91</v>
      </c>
      <c r="S189" s="320">
        <f>IFERROR(__xludf.DUMMYFUNCTION("""COMPUTED_VALUE"""),0.01)</f>
        <v>0.01</v>
      </c>
      <c r="T189" s="320">
        <f>IFERROR(__xludf.DUMMYFUNCTION("""COMPUTED_VALUE"""),53.08)</f>
        <v>53.08</v>
      </c>
      <c r="U189" s="320">
        <f>IFERROR(__xludf.DUMMYFUNCTION("""COMPUTED_VALUE"""),55.46)</f>
        <v>55.46</v>
      </c>
      <c r="V189" s="320">
        <f>IFERROR(__xludf.DUMMYFUNCTION("""COMPUTED_VALUE"""),4.0331)</f>
        <v>4.0331</v>
      </c>
      <c r="W189" s="320">
        <f>IFERROR(__xludf.DUMMYFUNCTION("""COMPUTED_VALUE"""),0.02)</f>
        <v>0.02</v>
      </c>
      <c r="X189" s="320">
        <f>IFERROR(__xludf.DUMMYFUNCTION("""COMPUTED_VALUE"""),140.0)</f>
        <v>140</v>
      </c>
      <c r="Y189" s="320">
        <f>IFERROR(__xludf.DUMMYFUNCTION("""COMPUTED_VALUE"""),866.0)</f>
        <v>866</v>
      </c>
      <c r="Z189" s="320">
        <f>IFERROR(__xludf.DUMMYFUNCTION("""COMPUTED_VALUE"""),5836.0)</f>
        <v>5836</v>
      </c>
      <c r="AA189" s="320">
        <f>IFERROR(__xludf.DUMMYFUNCTION("""COMPUTED_VALUE"""),48.5742)</f>
        <v>48.5742</v>
      </c>
      <c r="AB189" s="320">
        <f>IFERROR(__xludf.DUMMYFUNCTION("""COMPUTED_VALUE"""),0.5289)</f>
        <v>0.5289</v>
      </c>
      <c r="AC189" s="320">
        <f>IFERROR(__xludf.DUMMYFUNCTION("""COMPUTED_VALUE"""),4.03)</f>
        <v>4.03</v>
      </c>
      <c r="AD189" s="320">
        <f>IFERROR(__xludf.DUMMYFUNCTION("""COMPUTED_VALUE"""),1.0)</f>
        <v>1</v>
      </c>
      <c r="AE189" s="320">
        <f>IFERROR(__xludf.DUMMYFUNCTION("""COMPUTED_VALUE"""),3.0)</f>
        <v>3</v>
      </c>
      <c r="AF189" s="320">
        <f>IFERROR(__xludf.DUMMYFUNCTION("""COMPUTED_VALUE"""),5.0)</f>
        <v>5</v>
      </c>
      <c r="AG189" s="320">
        <f>IFERROR(__xludf.DUMMYFUNCTION("""COMPUTED_VALUE"""),9.0)</f>
        <v>9</v>
      </c>
      <c r="AH189" s="320">
        <f>IFERROR(__xludf.DUMMYFUNCTION("""COMPUTED_VALUE"""),72.17)</f>
        <v>72.17</v>
      </c>
      <c r="AI189" s="320">
        <f>IFERROR(__xludf.DUMMYFUNCTION("""COMPUTED_VALUE"""),30.86)</f>
        <v>30.86</v>
      </c>
      <c r="AJ189" s="320">
        <f>IFERROR(__xludf.DUMMYFUNCTION("""COMPUTED_VALUE"""),9.07)</f>
        <v>9.07</v>
      </c>
      <c r="AK189" s="320">
        <f>IFERROR(__xludf.DUMMYFUNCTION("""COMPUTED_VALUE"""),0.2547)</f>
        <v>0.2547</v>
      </c>
      <c r="AL189" s="320">
        <f>IFERROR(__xludf.DUMMYFUNCTION("""COMPUTED_VALUE"""),22.04)</f>
        <v>22.04</v>
      </c>
      <c r="AM189" s="320">
        <f>IFERROR(__xludf.DUMMYFUNCTION("""COMPUTED_VALUE"""),19.15)</f>
        <v>19.15</v>
      </c>
      <c r="AN189" s="320">
        <f>IFERROR(__xludf.DUMMYFUNCTION("""COMPUTED_VALUE"""),65.8)</f>
        <v>65.8</v>
      </c>
      <c r="AO189" s="320">
        <f>IFERROR(__xludf.DUMMYFUNCTION("""COMPUTED_VALUE"""),14.5)</f>
        <v>14.5</v>
      </c>
    </row>
    <row r="190" ht="15.75" customHeight="1">
      <c r="A190" s="330">
        <f>IFERROR(__xludf.DUMMYFUNCTION("""COMPUTED_VALUE"""),46081.0)</f>
        <v>46081</v>
      </c>
      <c r="B190" s="319" t="str">
        <f>IFERROR(__xludf.DUMMYFUNCTION("""COMPUTED_VALUE"""),"C. 10-19")</f>
        <v>C. 10-19</v>
      </c>
      <c r="C190" s="320">
        <f>IFERROR(__xludf.DUMMYFUNCTION("""COMPUTED_VALUE"""),24863.0)</f>
        <v>24863</v>
      </c>
      <c r="D190" s="320">
        <f>IFERROR(__xludf.DUMMYFUNCTION("""COMPUTED_VALUE"""),24.13)</f>
        <v>24.13</v>
      </c>
      <c r="E190" s="320">
        <f>IFERROR(__xludf.DUMMYFUNCTION("""COMPUTED_VALUE"""),0.0)</f>
        <v>0</v>
      </c>
      <c r="F190" s="320">
        <f>IFERROR(__xludf.DUMMYFUNCTION("""COMPUTED_VALUE"""),0.0)</f>
        <v>0</v>
      </c>
      <c r="G190" s="320">
        <f>IFERROR(__xludf.DUMMYFUNCTION("""COMPUTED_VALUE"""),0.0)</f>
        <v>0</v>
      </c>
      <c r="H190" s="106"/>
      <c r="I190" s="320">
        <f>IFERROR(__xludf.DUMMYFUNCTION("""COMPUTED_VALUE"""),54.83)</f>
        <v>54.83</v>
      </c>
      <c r="J190" s="320">
        <f>IFERROR(__xludf.DUMMYFUNCTION("""COMPUTED_VALUE"""),25.84)</f>
        <v>25.84</v>
      </c>
      <c r="K190" s="320">
        <f>IFERROR(__xludf.DUMMYFUNCTION("""COMPUTED_VALUE"""),13.84)</f>
        <v>13.84</v>
      </c>
      <c r="L190" s="320">
        <f>IFERROR(__xludf.DUMMYFUNCTION("""COMPUTED_VALUE"""),0.5355)</f>
        <v>0.5355</v>
      </c>
      <c r="M190" s="320">
        <f>IFERROR(__xludf.DUMMYFUNCTION("""COMPUTED_VALUE"""),0.6571)</f>
        <v>0.6571</v>
      </c>
      <c r="N190" s="320">
        <f>IFERROR(__xludf.DUMMYFUNCTION("""COMPUTED_VALUE"""),0.4596)</f>
        <v>0.4596</v>
      </c>
      <c r="O190" s="320">
        <f>IFERROR(__xludf.DUMMYFUNCTION("""COMPUTED_VALUE"""),1.8675)</f>
        <v>1.8675</v>
      </c>
      <c r="P190" s="320">
        <f>IFERROR(__xludf.DUMMYFUNCTION("""COMPUTED_VALUE"""),96.13)</f>
        <v>96.13</v>
      </c>
      <c r="Q190" s="320">
        <f>IFERROR(__xludf.DUMMYFUNCTION("""COMPUTED_VALUE"""),67.22)</f>
        <v>67.22</v>
      </c>
      <c r="R190" s="320">
        <f>IFERROR(__xludf.DUMMYFUNCTION("""COMPUTED_VALUE"""),28.91)</f>
        <v>28.91</v>
      </c>
      <c r="S190" s="320">
        <f>IFERROR(__xludf.DUMMYFUNCTION("""COMPUTED_VALUE"""),0.23)</f>
        <v>0.23</v>
      </c>
      <c r="T190" s="320">
        <f>IFERROR(__xludf.DUMMYFUNCTION("""COMPUTED_VALUE"""),95.89)</f>
        <v>95.89</v>
      </c>
      <c r="U190" s="320">
        <f>IFERROR(__xludf.DUMMYFUNCTION("""COMPUTED_VALUE"""),100.42)</f>
        <v>100.42</v>
      </c>
      <c r="V190" s="320">
        <f>IFERROR(__xludf.DUMMYFUNCTION("""COMPUTED_VALUE"""),3.886)</f>
        <v>3.886</v>
      </c>
      <c r="W190" s="320">
        <f>IFERROR(__xludf.DUMMYFUNCTION("""COMPUTED_VALUE"""),0.24)</f>
        <v>0.24</v>
      </c>
      <c r="X190" s="320">
        <f>IFERROR(__xludf.DUMMYFUNCTION("""COMPUTED_VALUE"""),121.0)</f>
        <v>121</v>
      </c>
      <c r="Y190" s="320">
        <f>IFERROR(__xludf.DUMMYFUNCTION("""COMPUTED_VALUE"""),675.0)</f>
        <v>675</v>
      </c>
      <c r="Z190" s="320">
        <f>IFERROR(__xludf.DUMMYFUNCTION("""COMPUTED_VALUE"""),5423.0)</f>
        <v>5423</v>
      </c>
      <c r="AA190" s="320">
        <f>IFERROR(__xludf.DUMMYFUNCTION("""COMPUTED_VALUE"""),52.4413)</f>
        <v>52.4413</v>
      </c>
      <c r="AB190" s="320">
        <f>IFERROR(__xludf.DUMMYFUNCTION("""COMPUTED_VALUE"""),0.6316)</f>
        <v>0.6316</v>
      </c>
      <c r="AC190" s="320">
        <f>IFERROR(__xludf.DUMMYFUNCTION("""COMPUTED_VALUE"""),9.38)</f>
        <v>9.38</v>
      </c>
      <c r="AD190" s="320">
        <f>IFERROR(__xludf.DUMMYFUNCTION("""COMPUTED_VALUE"""),4.0)</f>
        <v>4</v>
      </c>
      <c r="AE190" s="320">
        <f>IFERROR(__xludf.DUMMYFUNCTION("""COMPUTED_VALUE"""),7.0)</f>
        <v>7</v>
      </c>
      <c r="AF190" s="320">
        <f>IFERROR(__xludf.DUMMYFUNCTION("""COMPUTED_VALUE"""),12.0)</f>
        <v>12</v>
      </c>
      <c r="AG190" s="320">
        <f>IFERROR(__xludf.DUMMYFUNCTION("""COMPUTED_VALUE"""),20.0)</f>
        <v>20</v>
      </c>
      <c r="AH190" s="320">
        <f>IFERROR(__xludf.DUMMYFUNCTION("""COMPUTED_VALUE"""),59.92)</f>
        <v>59.92</v>
      </c>
      <c r="AI190" s="320">
        <f>IFERROR(__xludf.DUMMYFUNCTION("""COMPUTED_VALUE"""),25.66)</f>
        <v>25.66</v>
      </c>
      <c r="AJ190" s="320">
        <f>IFERROR(__xludf.DUMMYFUNCTION("""COMPUTED_VALUE"""),4.74)</f>
        <v>4.74</v>
      </c>
      <c r="AK190" s="320">
        <f>IFERROR(__xludf.DUMMYFUNCTION("""COMPUTED_VALUE"""),0.2056)</f>
        <v>0.2056</v>
      </c>
      <c r="AL190" s="320">
        <f>IFERROR(__xludf.DUMMYFUNCTION("""COMPUTED_VALUE"""),23.07)</f>
        <v>23.07</v>
      </c>
      <c r="AM190" s="320">
        <f>IFERROR(__xludf.DUMMYFUNCTION("""COMPUTED_VALUE"""),44.15)</f>
        <v>44.15</v>
      </c>
      <c r="AN190" s="320">
        <f>IFERROR(__xludf.DUMMYFUNCTION("""COMPUTED_VALUE"""),75.31)</f>
        <v>75.31</v>
      </c>
      <c r="AO190" s="320">
        <f>IFERROR(__xludf.DUMMYFUNCTION("""COMPUTED_VALUE"""),17.37)</f>
        <v>17.37</v>
      </c>
    </row>
    <row r="191" ht="15.75" customHeight="1">
      <c r="A191" s="330">
        <f>IFERROR(__xludf.DUMMYFUNCTION("""COMPUTED_VALUE"""),46081.0)</f>
        <v>46081</v>
      </c>
      <c r="B191" s="319" t="str">
        <f>IFERROR(__xludf.DUMMYFUNCTION("""COMPUTED_VALUE"""),"D. 20-39")</f>
        <v>D. 20-39</v>
      </c>
      <c r="C191" s="320">
        <f>IFERROR(__xludf.DUMMYFUNCTION("""COMPUTED_VALUE"""),12990.0)</f>
        <v>12990</v>
      </c>
      <c r="D191" s="320">
        <f>IFERROR(__xludf.DUMMYFUNCTION("""COMPUTED_VALUE"""),12.61)</f>
        <v>12.61</v>
      </c>
      <c r="E191" s="320">
        <f>IFERROR(__xludf.DUMMYFUNCTION("""COMPUTED_VALUE"""),0.0)</f>
        <v>0</v>
      </c>
      <c r="F191" s="320">
        <f>IFERROR(__xludf.DUMMYFUNCTION("""COMPUTED_VALUE"""),0.0)</f>
        <v>0</v>
      </c>
      <c r="G191" s="320">
        <f>IFERROR(__xludf.DUMMYFUNCTION("""COMPUTED_VALUE"""),0.0)</f>
        <v>0</v>
      </c>
      <c r="H191" s="106"/>
      <c r="I191" s="320">
        <f>IFERROR(__xludf.DUMMYFUNCTION("""COMPUTED_VALUE"""),78.5)</f>
        <v>78.5</v>
      </c>
      <c r="J191" s="320">
        <f>IFERROR(__xludf.DUMMYFUNCTION("""COMPUTED_VALUE"""),39.42)</f>
        <v>39.42</v>
      </c>
      <c r="K191" s="320">
        <f>IFERROR(__xludf.DUMMYFUNCTION("""COMPUTED_VALUE"""),26.37)</f>
        <v>26.37</v>
      </c>
      <c r="L191" s="320">
        <f>IFERROR(__xludf.DUMMYFUNCTION("""COMPUTED_VALUE"""),0.669)</f>
        <v>0.669</v>
      </c>
      <c r="M191" s="320">
        <f>IFERROR(__xludf.DUMMYFUNCTION("""COMPUTED_VALUE"""),0.5244)</f>
        <v>0.5244</v>
      </c>
      <c r="N191" s="320">
        <f>IFERROR(__xludf.DUMMYFUNCTION("""COMPUTED_VALUE"""),0.3653)</f>
        <v>0.3653</v>
      </c>
      <c r="O191" s="320">
        <f>IFERROR(__xludf.DUMMYFUNCTION("""COMPUTED_VALUE"""),1.4947)</f>
        <v>1.4947</v>
      </c>
      <c r="P191" s="320">
        <f>IFERROR(__xludf.DUMMYFUNCTION("""COMPUTED_VALUE"""),164.85)</f>
        <v>164.85</v>
      </c>
      <c r="Q191" s="320">
        <f>IFERROR(__xludf.DUMMYFUNCTION("""COMPUTED_VALUE"""),109.15)</f>
        <v>109.15</v>
      </c>
      <c r="R191" s="320">
        <f>IFERROR(__xludf.DUMMYFUNCTION("""COMPUTED_VALUE"""),55.7)</f>
        <v>55.7</v>
      </c>
      <c r="S191" s="320">
        <f>IFERROR(__xludf.DUMMYFUNCTION("""COMPUTED_VALUE"""),0.45)</f>
        <v>0.45</v>
      </c>
      <c r="T191" s="320">
        <f>IFERROR(__xludf.DUMMYFUNCTION("""COMPUTED_VALUE"""),164.4)</f>
        <v>164.4</v>
      </c>
      <c r="U191" s="320">
        <f>IFERROR(__xludf.DUMMYFUNCTION("""COMPUTED_VALUE"""),169.15)</f>
        <v>169.15</v>
      </c>
      <c r="V191" s="320">
        <f>IFERROR(__xludf.DUMMYFUNCTION("""COMPUTED_VALUE"""),4.2906)</f>
        <v>4.2906</v>
      </c>
      <c r="W191" s="320">
        <f>IFERROR(__xludf.DUMMYFUNCTION("""COMPUTED_VALUE"""),0.27)</f>
        <v>0.27</v>
      </c>
      <c r="X191" s="320">
        <f>IFERROR(__xludf.DUMMYFUNCTION("""COMPUTED_VALUE"""),159.0)</f>
        <v>159</v>
      </c>
      <c r="Y191" s="320">
        <f>IFERROR(__xludf.DUMMYFUNCTION("""COMPUTED_VALUE"""),1070.0)</f>
        <v>1070</v>
      </c>
      <c r="Z191" s="320">
        <f>IFERROR(__xludf.DUMMYFUNCTION("""COMPUTED_VALUE"""),6735.0)</f>
        <v>6735</v>
      </c>
      <c r="AA191" s="320">
        <f>IFERROR(__xludf.DUMMYFUNCTION("""COMPUTED_VALUE"""),56.0937)</f>
        <v>56.0937</v>
      </c>
      <c r="AB191" s="320">
        <f>IFERROR(__xludf.DUMMYFUNCTION("""COMPUTED_VALUE"""),0.7429)</f>
        <v>0.7429</v>
      </c>
      <c r="AC191" s="320">
        <f>IFERROR(__xludf.DUMMYFUNCTION("""COMPUTED_VALUE"""),17.88)</f>
        <v>17.88</v>
      </c>
      <c r="AD191" s="320">
        <f>IFERROR(__xludf.DUMMYFUNCTION("""COMPUTED_VALUE"""),7.0)</f>
        <v>7</v>
      </c>
      <c r="AE191" s="320">
        <f>IFERROR(__xludf.DUMMYFUNCTION("""COMPUTED_VALUE"""),14.0)</f>
        <v>14</v>
      </c>
      <c r="AF191" s="320">
        <f>IFERROR(__xludf.DUMMYFUNCTION("""COMPUTED_VALUE"""),24.0)</f>
        <v>24</v>
      </c>
      <c r="AG191" s="320">
        <f>IFERROR(__xludf.DUMMYFUNCTION("""COMPUTED_VALUE"""),37.0)</f>
        <v>37</v>
      </c>
      <c r="AH191" s="320">
        <f>IFERROR(__xludf.DUMMYFUNCTION("""COMPUTED_VALUE"""),60.12)</f>
        <v>60.12</v>
      </c>
      <c r="AI191" s="320">
        <f>IFERROR(__xludf.DUMMYFUNCTION("""COMPUTED_VALUE"""),23.18)</f>
        <v>23.18</v>
      </c>
      <c r="AJ191" s="320">
        <f>IFERROR(__xludf.DUMMYFUNCTION("""COMPUTED_VALUE"""),7.11)</f>
        <v>7.11</v>
      </c>
      <c r="AK191" s="320">
        <f>IFERROR(__xludf.DUMMYFUNCTION("""COMPUTED_VALUE"""),0.1941)</f>
        <v>0.1941</v>
      </c>
      <c r="AL191" s="320">
        <f>IFERROR(__xludf.DUMMYFUNCTION("""COMPUTED_VALUE"""),22.78)</f>
        <v>22.78</v>
      </c>
      <c r="AM191" s="320">
        <f>IFERROR(__xludf.DUMMYFUNCTION("""COMPUTED_VALUE"""),86.37)</f>
        <v>86.37</v>
      </c>
      <c r="AN191" s="320">
        <f>IFERROR(__xludf.DUMMYFUNCTION("""COMPUTED_VALUE"""),77.32)</f>
        <v>77.32</v>
      </c>
      <c r="AO191" s="320">
        <f>IFERROR(__xludf.DUMMYFUNCTION("""COMPUTED_VALUE"""),17.61)</f>
        <v>17.61</v>
      </c>
    </row>
    <row r="192" ht="15.75" customHeight="1">
      <c r="A192" s="330">
        <f>IFERROR(__xludf.DUMMYFUNCTION("""COMPUTED_VALUE"""),46081.0)</f>
        <v>46081</v>
      </c>
      <c r="B192" s="319" t="str">
        <f>IFERROR(__xludf.DUMMYFUNCTION("""COMPUTED_VALUE"""),"E. 40-99")</f>
        <v>E. 40-99</v>
      </c>
      <c r="C192" s="320">
        <f>IFERROR(__xludf.DUMMYFUNCTION("""COMPUTED_VALUE"""),5243.0)</f>
        <v>5243</v>
      </c>
      <c r="D192" s="320">
        <f>IFERROR(__xludf.DUMMYFUNCTION("""COMPUTED_VALUE"""),5.09)</f>
        <v>5.09</v>
      </c>
      <c r="E192" s="320">
        <f>IFERROR(__xludf.DUMMYFUNCTION("""COMPUTED_VALUE"""),0.0)</f>
        <v>0</v>
      </c>
      <c r="F192" s="320">
        <f>IFERROR(__xludf.DUMMYFUNCTION("""COMPUTED_VALUE"""),0.0)</f>
        <v>0</v>
      </c>
      <c r="G192" s="320">
        <f>IFERROR(__xludf.DUMMYFUNCTION("""COMPUTED_VALUE"""),0.0)</f>
        <v>0</v>
      </c>
      <c r="H192" s="106"/>
      <c r="I192" s="320">
        <f>IFERROR(__xludf.DUMMYFUNCTION("""COMPUTED_VALUE"""),125.74)</f>
        <v>125.74</v>
      </c>
      <c r="J192" s="320">
        <f>IFERROR(__xludf.DUMMYFUNCTION("""COMPUTED_VALUE"""),67.87)</f>
        <v>67.87</v>
      </c>
      <c r="K192" s="320">
        <f>IFERROR(__xludf.DUMMYFUNCTION("""COMPUTED_VALUE"""),54.71)</f>
        <v>54.71</v>
      </c>
      <c r="L192" s="320">
        <f>IFERROR(__xludf.DUMMYFUNCTION("""COMPUTED_VALUE"""),0.8061)</f>
        <v>0.8061</v>
      </c>
      <c r="M192" s="320">
        <f>IFERROR(__xludf.DUMMYFUNCTION("""COMPUTED_VALUE"""),0.3739)</f>
        <v>0.3739</v>
      </c>
      <c r="N192" s="320">
        <f>IFERROR(__xludf.DUMMYFUNCTION("""COMPUTED_VALUE"""),0.2713)</f>
        <v>0.2713</v>
      </c>
      <c r="O192" s="320">
        <f>IFERROR(__xludf.DUMMYFUNCTION("""COMPUTED_VALUE"""),1.2405)</f>
        <v>1.2405</v>
      </c>
      <c r="P192" s="320">
        <f>IFERROR(__xludf.DUMMYFUNCTION("""COMPUTED_VALUE"""),322.64)</f>
        <v>322.64</v>
      </c>
      <c r="Q192" s="320">
        <f>IFERROR(__xludf.DUMMYFUNCTION("""COMPUTED_VALUE"""),207.01)</f>
        <v>207.01</v>
      </c>
      <c r="R192" s="320">
        <f>IFERROR(__xludf.DUMMYFUNCTION("""COMPUTED_VALUE"""),115.63)</f>
        <v>115.63</v>
      </c>
      <c r="S192" s="320">
        <f>IFERROR(__xludf.DUMMYFUNCTION("""COMPUTED_VALUE"""),0.14)</f>
        <v>0.14</v>
      </c>
      <c r="T192" s="320">
        <f>IFERROR(__xludf.DUMMYFUNCTION("""COMPUTED_VALUE"""),322.5)</f>
        <v>322.5</v>
      </c>
      <c r="U192" s="320">
        <f>IFERROR(__xludf.DUMMYFUNCTION("""COMPUTED_VALUE"""),327.46)</f>
        <v>327.46</v>
      </c>
      <c r="V192" s="320">
        <f>IFERROR(__xludf.DUMMYFUNCTION("""COMPUTED_VALUE"""),4.8251)</f>
        <v>4.8251</v>
      </c>
      <c r="W192" s="320">
        <f>IFERROR(__xludf.DUMMYFUNCTION("""COMPUTED_VALUE"""),0.04)</f>
        <v>0.04</v>
      </c>
      <c r="X192" s="320">
        <f>IFERROR(__xludf.DUMMYFUNCTION("""COMPUTED_VALUE"""),335.0)</f>
        <v>335</v>
      </c>
      <c r="Y192" s="320">
        <f>IFERROR(__xludf.DUMMYFUNCTION("""COMPUTED_VALUE"""),2602.0)</f>
        <v>2602</v>
      </c>
      <c r="Z192" s="320">
        <f>IFERROR(__xludf.DUMMYFUNCTION("""COMPUTED_VALUE"""),9892.0)</f>
        <v>9892</v>
      </c>
      <c r="AA192" s="320">
        <f>IFERROR(__xludf.DUMMYFUNCTION("""COMPUTED_VALUE"""),60.2183)</f>
        <v>60.2183</v>
      </c>
      <c r="AB192" s="320">
        <f>IFERROR(__xludf.DUMMYFUNCTION("""COMPUTED_VALUE"""),0.8367)</f>
        <v>0.8367</v>
      </c>
      <c r="AC192" s="320">
        <f>IFERROR(__xludf.DUMMYFUNCTION("""COMPUTED_VALUE"""),38.26)</f>
        <v>38.26</v>
      </c>
      <c r="AD192" s="320">
        <f>IFERROR(__xludf.DUMMYFUNCTION("""COMPUTED_VALUE"""),15.0)</f>
        <v>15</v>
      </c>
      <c r="AE192" s="320">
        <f>IFERROR(__xludf.DUMMYFUNCTION("""COMPUTED_VALUE"""),30.0)</f>
        <v>30</v>
      </c>
      <c r="AF192" s="320">
        <f>IFERROR(__xludf.DUMMYFUNCTION("""COMPUTED_VALUE"""),53.0)</f>
        <v>53</v>
      </c>
      <c r="AG192" s="320">
        <f>IFERROR(__xludf.DUMMYFUNCTION("""COMPUTED_VALUE"""),80.0)</f>
        <v>80</v>
      </c>
      <c r="AH192" s="320">
        <f>IFERROR(__xludf.DUMMYFUNCTION("""COMPUTED_VALUE"""),53.16)</f>
        <v>53.16</v>
      </c>
      <c r="AI192" s="320">
        <f>IFERROR(__xludf.DUMMYFUNCTION("""COMPUTED_VALUE"""),20.33)</f>
        <v>20.33</v>
      </c>
      <c r="AJ192" s="320">
        <f>IFERROR(__xludf.DUMMYFUNCTION("""COMPUTED_VALUE"""),5.05)</f>
        <v>5.05</v>
      </c>
      <c r="AK192" s="320">
        <f>IFERROR(__xludf.DUMMYFUNCTION("""COMPUTED_VALUE"""),0.1543)</f>
        <v>0.1543</v>
      </c>
      <c r="AL192" s="320">
        <f>IFERROR(__xludf.DUMMYFUNCTION("""COMPUTED_VALUE"""),23.28)</f>
        <v>23.28</v>
      </c>
      <c r="AM192" s="320">
        <f>IFERROR(__xludf.DUMMYFUNCTION("""COMPUTED_VALUE"""),183.73)</f>
        <v>183.73</v>
      </c>
      <c r="AN192" s="320">
        <f>IFERROR(__xludf.DUMMYFUNCTION("""COMPUTED_VALUE"""),81.97)</f>
        <v>81.97</v>
      </c>
      <c r="AO192" s="320">
        <f>IFERROR(__xludf.DUMMYFUNCTION("""COMPUTED_VALUE"""),19.08)</f>
        <v>19.08</v>
      </c>
    </row>
    <row r="193" ht="15.75" customHeight="1">
      <c r="A193" s="330">
        <f>IFERROR(__xludf.DUMMYFUNCTION("""COMPUTED_VALUE"""),46081.0)</f>
        <v>46081</v>
      </c>
      <c r="B193" s="319" t="str">
        <f>IFERROR(__xludf.DUMMYFUNCTION("""COMPUTED_VALUE"""),"F. 100+")</f>
        <v>F. 100+</v>
      </c>
      <c r="C193" s="320">
        <f>IFERROR(__xludf.DUMMYFUNCTION("""COMPUTED_VALUE"""),551.0)</f>
        <v>551</v>
      </c>
      <c r="D193" s="320">
        <f>IFERROR(__xludf.DUMMYFUNCTION("""COMPUTED_VALUE"""),0.53)</f>
        <v>0.53</v>
      </c>
      <c r="E193" s="320">
        <f>IFERROR(__xludf.DUMMYFUNCTION("""COMPUTED_VALUE"""),0.0)</f>
        <v>0</v>
      </c>
      <c r="F193" s="320">
        <f>IFERROR(__xludf.DUMMYFUNCTION("""COMPUTED_VALUE"""),0.0)</f>
        <v>0</v>
      </c>
      <c r="G193" s="320">
        <f>IFERROR(__xludf.DUMMYFUNCTION("""COMPUTED_VALUE"""),0.0)</f>
        <v>0</v>
      </c>
      <c r="H193" s="106"/>
      <c r="I193" s="320">
        <f>IFERROR(__xludf.DUMMYFUNCTION("""COMPUTED_VALUE"""),232.97)</f>
        <v>232.97</v>
      </c>
      <c r="J193" s="320">
        <f>IFERROR(__xludf.DUMMYFUNCTION("""COMPUTED_VALUE"""),132.58)</f>
        <v>132.58</v>
      </c>
      <c r="K193" s="320">
        <f>IFERROR(__xludf.DUMMYFUNCTION("""COMPUTED_VALUE"""),116.42)</f>
        <v>116.42</v>
      </c>
      <c r="L193" s="320">
        <f>IFERROR(__xludf.DUMMYFUNCTION("""COMPUTED_VALUE"""),0.8781)</f>
        <v>0.8781</v>
      </c>
      <c r="M193" s="320">
        <f>IFERROR(__xludf.DUMMYFUNCTION("""COMPUTED_VALUE"""),0.2836)</f>
        <v>0.2836</v>
      </c>
      <c r="N193" s="320">
        <f>IFERROR(__xludf.DUMMYFUNCTION("""COMPUTED_VALUE"""),0.217)</f>
        <v>0.217</v>
      </c>
      <c r="O193" s="320">
        <f>IFERROR(__xludf.DUMMYFUNCTION("""COMPUTED_VALUE"""),1.1388)</f>
        <v>1.1388</v>
      </c>
      <c r="P193" s="320">
        <f>IFERROR(__xludf.DUMMYFUNCTION("""COMPUTED_VALUE"""),620.18)</f>
        <v>620.18</v>
      </c>
      <c r="Q193" s="320">
        <f>IFERROR(__xludf.DUMMYFUNCTION("""COMPUTED_VALUE"""),368.32)</f>
        <v>368.32</v>
      </c>
      <c r="R193" s="320">
        <f>IFERROR(__xludf.DUMMYFUNCTION("""COMPUTED_VALUE"""),251.86)</f>
        <v>251.86</v>
      </c>
      <c r="S193" s="320">
        <f>IFERROR(__xludf.DUMMYFUNCTION("""COMPUTED_VALUE"""),0.0)</f>
        <v>0</v>
      </c>
      <c r="T193" s="320">
        <f>IFERROR(__xludf.DUMMYFUNCTION("""COMPUTED_VALUE"""),620.18)</f>
        <v>620.18</v>
      </c>
      <c r="U193" s="320">
        <f>IFERROR(__xludf.DUMMYFUNCTION("""COMPUTED_VALUE"""),567.33)</f>
        <v>567.33</v>
      </c>
      <c r="V193" s="320">
        <f>IFERROR(__xludf.DUMMYFUNCTION("""COMPUTED_VALUE"""),4.2791)</f>
        <v>4.2791</v>
      </c>
      <c r="W193" s="320">
        <f>IFERROR(__xludf.DUMMYFUNCTION("""COMPUTED_VALUE"""),0.0)</f>
        <v>0</v>
      </c>
      <c r="X193" s="320">
        <f>IFERROR(__xludf.DUMMYFUNCTION("""COMPUTED_VALUE"""),906.0)</f>
        <v>906</v>
      </c>
      <c r="Y193" s="320">
        <f>IFERROR(__xludf.DUMMYFUNCTION("""COMPUTED_VALUE"""),3894.0)</f>
        <v>3894</v>
      </c>
      <c r="Z193" s="320">
        <f>IFERROR(__xludf.DUMMYFUNCTION("""COMPUTED_VALUE"""),10766.0)</f>
        <v>10766</v>
      </c>
      <c r="AA193" s="320">
        <f>IFERROR(__xludf.DUMMYFUNCTION("""COMPUTED_VALUE"""),63.2114)</f>
        <v>63.2114</v>
      </c>
      <c r="AB193" s="320">
        <f>IFERROR(__xludf.DUMMYFUNCTION("""COMPUTED_VALUE"""),0.8895)</f>
        <v>0.8895</v>
      </c>
      <c r="AC193" s="320">
        <f>IFERROR(__xludf.DUMMYFUNCTION("""COMPUTED_VALUE"""),80.75)</f>
        <v>80.75</v>
      </c>
      <c r="AD193" s="320">
        <f>IFERROR(__xludf.DUMMYFUNCTION("""COMPUTED_VALUE"""),30.0)</f>
        <v>30</v>
      </c>
      <c r="AE193" s="320">
        <f>IFERROR(__xludf.DUMMYFUNCTION("""COMPUTED_VALUE"""),61.0)</f>
        <v>61</v>
      </c>
      <c r="AF193" s="320">
        <f>IFERROR(__xludf.DUMMYFUNCTION("""COMPUTED_VALUE"""),109.0)</f>
        <v>109</v>
      </c>
      <c r="AG193" s="320">
        <f>IFERROR(__xludf.DUMMYFUNCTION("""COMPUTED_VALUE"""),168.0)</f>
        <v>168</v>
      </c>
      <c r="AH193" s="320">
        <f>IFERROR(__xludf.DUMMYFUNCTION("""COMPUTED_VALUE"""),41.02)</f>
        <v>41.02</v>
      </c>
      <c r="AI193" s="320">
        <f>IFERROR(__xludf.DUMMYFUNCTION("""COMPUTED_VALUE"""),8.53)</f>
        <v>8.53</v>
      </c>
      <c r="AJ193" s="320">
        <f>IFERROR(__xludf.DUMMYFUNCTION("""COMPUTED_VALUE"""),1.09)</f>
        <v>1.09</v>
      </c>
      <c r="AK193" s="320">
        <f>IFERROR(__xludf.DUMMYFUNCTION("""COMPUTED_VALUE"""),0.0962)</f>
        <v>0.0962</v>
      </c>
      <c r="AL193" s="320">
        <f>IFERROR(__xludf.DUMMYFUNCTION("""COMPUTED_VALUE"""),23.23)</f>
        <v>23.23</v>
      </c>
      <c r="AM193" s="320">
        <f>IFERROR(__xludf.DUMMYFUNCTION("""COMPUTED_VALUE"""),345.09)</f>
        <v>345.09</v>
      </c>
      <c r="AN193" s="320">
        <f>IFERROR(__xludf.DUMMYFUNCTION("""COMPUTED_VALUE"""),83.8)</f>
        <v>83.8</v>
      </c>
      <c r="AO193" s="320">
        <f>IFERROR(__xludf.DUMMYFUNCTION("""COMPUTED_VALUE"""),19.47)</f>
        <v>19.47</v>
      </c>
    </row>
    <row r="194" ht="15.75" customHeight="1">
      <c r="A194" s="330">
        <f>IFERROR(__xludf.DUMMYFUNCTION("""COMPUTED_VALUE"""),46082.0)</f>
        <v>46082</v>
      </c>
      <c r="B194" s="319" t="str">
        <f>IFERROR(__xludf.DUMMYFUNCTION("""COMPUTED_VALUE"""),"A. 0")</f>
        <v>A. 0</v>
      </c>
      <c r="C194" s="320">
        <f>IFERROR(__xludf.DUMMYFUNCTION("""COMPUTED_VALUE"""),20931.0)</f>
        <v>20931</v>
      </c>
      <c r="D194" s="320">
        <f>IFERROR(__xludf.DUMMYFUNCTION("""COMPUTED_VALUE"""),20.2)</f>
        <v>20.2</v>
      </c>
      <c r="E194" s="320">
        <f>IFERROR(__xludf.DUMMYFUNCTION("""COMPUTED_VALUE"""),0.0)</f>
        <v>0</v>
      </c>
      <c r="F194" s="320">
        <f>IFERROR(__xludf.DUMMYFUNCTION("""COMPUTED_VALUE"""),0.0)</f>
        <v>0</v>
      </c>
      <c r="G194" s="320">
        <f>IFERROR(__xludf.DUMMYFUNCTION("""COMPUTED_VALUE"""),0.0)</f>
        <v>0</v>
      </c>
      <c r="H194" s="106"/>
      <c r="I194" s="320">
        <f>IFERROR(__xludf.DUMMYFUNCTION("""COMPUTED_VALUE"""),6.48)</f>
        <v>6.48</v>
      </c>
      <c r="J194" s="320">
        <f>IFERROR(__xludf.DUMMYFUNCTION("""COMPUTED_VALUE"""),2.64)</f>
        <v>2.64</v>
      </c>
      <c r="K194" s="320">
        <f>IFERROR(__xludf.DUMMYFUNCTION("""COMPUTED_VALUE"""),0.04)</f>
        <v>0.04</v>
      </c>
      <c r="L194" s="320">
        <f>IFERROR(__xludf.DUMMYFUNCTION("""COMPUTED_VALUE"""),0.0154)</f>
        <v>0.0154</v>
      </c>
      <c r="M194" s="320">
        <f>IFERROR(__xludf.DUMMYFUNCTION("""COMPUTED_VALUE"""),0.9875)</f>
        <v>0.9875</v>
      </c>
      <c r="N194" s="320">
        <f>IFERROR(__xludf.DUMMYFUNCTION("""COMPUTED_VALUE"""),0.8339)</f>
        <v>0.8339</v>
      </c>
      <c r="O194" s="320">
        <f>IFERROR(__xludf.DUMMYFUNCTION("""COMPUTED_VALUE"""),64.9284)</f>
        <v>64.9284</v>
      </c>
      <c r="P194" s="320">
        <f>IFERROR(__xludf.DUMMYFUNCTION("""COMPUTED_VALUE"""),22.54)</f>
        <v>22.54</v>
      </c>
      <c r="Q194" s="320">
        <f>IFERROR(__xludf.DUMMYFUNCTION("""COMPUTED_VALUE"""),22.43)</f>
        <v>22.43</v>
      </c>
      <c r="R194" s="320">
        <f>IFERROR(__xludf.DUMMYFUNCTION("""COMPUTED_VALUE"""),0.11)</f>
        <v>0.11</v>
      </c>
      <c r="S194" s="320">
        <f>IFERROR(__xludf.DUMMYFUNCTION("""COMPUTED_VALUE"""),0.0)</f>
        <v>0</v>
      </c>
      <c r="T194" s="320">
        <f>IFERROR(__xludf.DUMMYFUNCTION("""COMPUTED_VALUE"""),22.54)</f>
        <v>22.54</v>
      </c>
      <c r="U194" s="320">
        <f>IFERROR(__xludf.DUMMYFUNCTION("""COMPUTED_VALUE"""),1.73)</f>
        <v>1.73</v>
      </c>
      <c r="V194" s="320">
        <f>IFERROR(__xludf.DUMMYFUNCTION("""COMPUTED_VALUE"""),0.6553)</f>
        <v>0.6553</v>
      </c>
      <c r="W194" s="320">
        <f>IFERROR(__xludf.DUMMYFUNCTION("""COMPUTED_VALUE"""),0.0)</f>
        <v>0</v>
      </c>
      <c r="X194" s="320">
        <f>IFERROR(__xludf.DUMMYFUNCTION("""COMPUTED_VALUE"""),284.0)</f>
        <v>284</v>
      </c>
      <c r="Y194" s="320">
        <f>IFERROR(__xludf.DUMMYFUNCTION("""COMPUTED_VALUE"""),3514.0)</f>
        <v>3514</v>
      </c>
      <c r="Z194" s="320">
        <f>IFERROR(__xludf.DUMMYFUNCTION("""COMPUTED_VALUE"""),14411.0)</f>
        <v>14411</v>
      </c>
      <c r="AA194" s="320">
        <f>IFERROR(__xludf.DUMMYFUNCTION("""COMPUTED_VALUE"""),49.0494)</f>
        <v>49.0494</v>
      </c>
      <c r="AB194" s="320">
        <f>IFERROR(__xludf.DUMMYFUNCTION("""COMPUTED_VALUE"""),0.5422)</f>
        <v>0.5422</v>
      </c>
      <c r="AC194" s="106"/>
      <c r="AD194" s="106"/>
      <c r="AE194" s="106"/>
      <c r="AF194" s="106"/>
      <c r="AG194" s="106"/>
      <c r="AH194" s="320">
        <f>IFERROR(__xludf.DUMMYFUNCTION("""COMPUTED_VALUE"""),0.0)</f>
        <v>0</v>
      </c>
      <c r="AI194" s="320">
        <f>IFERROR(__xludf.DUMMYFUNCTION("""COMPUTED_VALUE"""),0.0)</f>
        <v>0</v>
      </c>
      <c r="AJ194" s="320">
        <f>IFERROR(__xludf.DUMMYFUNCTION("""COMPUTED_VALUE"""),0.0)</f>
        <v>0</v>
      </c>
      <c r="AK194" s="320">
        <f>IFERROR(__xludf.DUMMYFUNCTION("""COMPUTED_VALUE"""),0.2924)</f>
        <v>0.2924</v>
      </c>
      <c r="AL194" s="320">
        <f>IFERROR(__xludf.DUMMYFUNCTION("""COMPUTED_VALUE"""),18.43)</f>
        <v>18.43</v>
      </c>
      <c r="AM194" s="320">
        <f>IFERROR(__xludf.DUMMYFUNCTION("""COMPUTED_VALUE"""),3.99)</f>
        <v>3.99</v>
      </c>
      <c r="AN194" s="331"/>
      <c r="AO194" s="331"/>
    </row>
    <row r="195" ht="15.75" customHeight="1">
      <c r="A195" s="330">
        <f>IFERROR(__xludf.DUMMYFUNCTION("""COMPUTED_VALUE"""),46082.0)</f>
        <v>46082</v>
      </c>
      <c r="B195" s="319" t="str">
        <f>IFERROR(__xludf.DUMMYFUNCTION("""COMPUTED_VALUE"""),"B. 1-9")</f>
        <v>B. 1-9</v>
      </c>
      <c r="C195" s="320">
        <f>IFERROR(__xludf.DUMMYFUNCTION("""COMPUTED_VALUE"""),38947.0)</f>
        <v>38947</v>
      </c>
      <c r="D195" s="320">
        <f>IFERROR(__xludf.DUMMYFUNCTION("""COMPUTED_VALUE"""),37.58)</f>
        <v>37.58</v>
      </c>
      <c r="E195" s="320">
        <f>IFERROR(__xludf.DUMMYFUNCTION("""COMPUTED_VALUE"""),0.0)</f>
        <v>0</v>
      </c>
      <c r="F195" s="320">
        <f>IFERROR(__xludf.DUMMYFUNCTION("""COMPUTED_VALUE"""),0.0)</f>
        <v>0</v>
      </c>
      <c r="G195" s="320">
        <f>IFERROR(__xludf.DUMMYFUNCTION("""COMPUTED_VALUE"""),0.0)</f>
        <v>0</v>
      </c>
      <c r="H195" s="106"/>
      <c r="I195" s="320">
        <f>IFERROR(__xludf.DUMMYFUNCTION("""COMPUTED_VALUE"""),32.85)</f>
        <v>32.85</v>
      </c>
      <c r="J195" s="320">
        <f>IFERROR(__xludf.DUMMYFUNCTION("""COMPUTED_VALUE"""),15.09)</f>
        <v>15.09</v>
      </c>
      <c r="K195" s="320">
        <f>IFERROR(__xludf.DUMMYFUNCTION("""COMPUTED_VALUE"""),5.78)</f>
        <v>5.78</v>
      </c>
      <c r="L195" s="320">
        <f>IFERROR(__xludf.DUMMYFUNCTION("""COMPUTED_VALUE"""),0.383)</f>
        <v>0.383</v>
      </c>
      <c r="M195" s="320">
        <f>IFERROR(__xludf.DUMMYFUNCTION("""COMPUTED_VALUE"""),0.7805)</f>
        <v>0.7805</v>
      </c>
      <c r="N195" s="320">
        <f>IFERROR(__xludf.DUMMYFUNCTION("""COMPUTED_VALUE"""),0.5785)</f>
        <v>0.5785</v>
      </c>
      <c r="O195" s="320">
        <f>IFERROR(__xludf.DUMMYFUNCTION("""COMPUTED_VALUE"""),2.6111)</f>
        <v>2.6111</v>
      </c>
      <c r="P195" s="320">
        <f>IFERROR(__xludf.DUMMYFUNCTION("""COMPUTED_VALUE"""),48.07)</f>
        <v>48.07</v>
      </c>
      <c r="Q195" s="320">
        <f>IFERROR(__xludf.DUMMYFUNCTION("""COMPUTED_VALUE"""),36.01)</f>
        <v>36.01</v>
      </c>
      <c r="R195" s="320">
        <f>IFERROR(__xludf.DUMMYFUNCTION("""COMPUTED_VALUE"""),12.06)</f>
        <v>12.06</v>
      </c>
      <c r="S195" s="320">
        <f>IFERROR(__xludf.DUMMYFUNCTION("""COMPUTED_VALUE"""),0.04)</f>
        <v>0.04</v>
      </c>
      <c r="T195" s="320">
        <f>IFERROR(__xludf.DUMMYFUNCTION("""COMPUTED_VALUE"""),48.03)</f>
        <v>48.03</v>
      </c>
      <c r="U195" s="320">
        <f>IFERROR(__xludf.DUMMYFUNCTION("""COMPUTED_VALUE"""),54.34)</f>
        <v>54.34</v>
      </c>
      <c r="V195" s="320">
        <f>IFERROR(__xludf.DUMMYFUNCTION("""COMPUTED_VALUE"""),3.6019)</f>
        <v>3.6019</v>
      </c>
      <c r="W195" s="320">
        <f>IFERROR(__xludf.DUMMYFUNCTION("""COMPUTED_VALUE"""),0.08)</f>
        <v>0.08</v>
      </c>
      <c r="X195" s="320">
        <f>IFERROR(__xludf.DUMMYFUNCTION("""COMPUTED_VALUE"""),127.0)</f>
        <v>127</v>
      </c>
      <c r="Y195" s="320">
        <f>IFERROR(__xludf.DUMMYFUNCTION("""COMPUTED_VALUE"""),814.0)</f>
        <v>814</v>
      </c>
      <c r="Z195" s="320">
        <f>IFERROR(__xludf.DUMMYFUNCTION("""COMPUTED_VALUE"""),5714.0)</f>
        <v>5714</v>
      </c>
      <c r="AA195" s="320">
        <f>IFERROR(__xludf.DUMMYFUNCTION("""COMPUTED_VALUE"""),48.4596)</f>
        <v>48.4596</v>
      </c>
      <c r="AB195" s="320">
        <f>IFERROR(__xludf.DUMMYFUNCTION("""COMPUTED_VALUE"""),0.523)</f>
        <v>0.523</v>
      </c>
      <c r="AC195" s="320">
        <f>IFERROR(__xludf.DUMMYFUNCTION("""COMPUTED_VALUE"""),3.94)</f>
        <v>3.94</v>
      </c>
      <c r="AD195" s="320">
        <f>IFERROR(__xludf.DUMMYFUNCTION("""COMPUTED_VALUE"""),1.0)</f>
        <v>1</v>
      </c>
      <c r="AE195" s="320">
        <f>IFERROR(__xludf.DUMMYFUNCTION("""COMPUTED_VALUE"""),3.0)</f>
        <v>3</v>
      </c>
      <c r="AF195" s="320">
        <f>IFERROR(__xludf.DUMMYFUNCTION("""COMPUTED_VALUE"""),5.0)</f>
        <v>5</v>
      </c>
      <c r="AG195" s="320">
        <f>IFERROR(__xludf.DUMMYFUNCTION("""COMPUTED_VALUE"""),9.0)</f>
        <v>9</v>
      </c>
      <c r="AH195" s="320">
        <f>IFERROR(__xludf.DUMMYFUNCTION("""COMPUTED_VALUE"""),73.0)</f>
        <v>73</v>
      </c>
      <c r="AI195" s="320">
        <f>IFERROR(__xludf.DUMMYFUNCTION("""COMPUTED_VALUE"""),29.84)</f>
        <v>29.84</v>
      </c>
      <c r="AJ195" s="320">
        <f>IFERROR(__xludf.DUMMYFUNCTION("""COMPUTED_VALUE"""),7.9)</f>
        <v>7.9</v>
      </c>
      <c r="AK195" s="320">
        <f>IFERROR(__xludf.DUMMYFUNCTION("""COMPUTED_VALUE"""),0.2601)</f>
        <v>0.2601</v>
      </c>
      <c r="AL195" s="320">
        <f>IFERROR(__xludf.DUMMYFUNCTION("""COMPUTED_VALUE"""),21.08)</f>
        <v>21.08</v>
      </c>
      <c r="AM195" s="320">
        <f>IFERROR(__xludf.DUMMYFUNCTION("""COMPUTED_VALUE"""),14.93)</f>
        <v>14.93</v>
      </c>
      <c r="AN195" s="320">
        <f>IFERROR(__xludf.DUMMYFUNCTION("""COMPUTED_VALUE"""),65.52)</f>
        <v>65.52</v>
      </c>
      <c r="AO195" s="320">
        <f>IFERROR(__xludf.DUMMYFUNCTION("""COMPUTED_VALUE"""),13.81)</f>
        <v>13.81</v>
      </c>
    </row>
    <row r="196" ht="15.75" customHeight="1">
      <c r="A196" s="330">
        <f>IFERROR(__xludf.DUMMYFUNCTION("""COMPUTED_VALUE"""),46082.0)</f>
        <v>46082</v>
      </c>
      <c r="B196" s="319" t="str">
        <f>IFERROR(__xludf.DUMMYFUNCTION("""COMPUTED_VALUE"""),"C. 10-19")</f>
        <v>C. 10-19</v>
      </c>
      <c r="C196" s="320">
        <f>IFERROR(__xludf.DUMMYFUNCTION("""COMPUTED_VALUE"""),24752.0)</f>
        <v>24752</v>
      </c>
      <c r="D196" s="320">
        <f>IFERROR(__xludf.DUMMYFUNCTION("""COMPUTED_VALUE"""),23.89)</f>
        <v>23.89</v>
      </c>
      <c r="E196" s="320">
        <f>IFERROR(__xludf.DUMMYFUNCTION("""COMPUTED_VALUE"""),0.0)</f>
        <v>0</v>
      </c>
      <c r="F196" s="320">
        <f>IFERROR(__xludf.DUMMYFUNCTION("""COMPUTED_VALUE"""),0.0)</f>
        <v>0</v>
      </c>
      <c r="G196" s="320">
        <f>IFERROR(__xludf.DUMMYFUNCTION("""COMPUTED_VALUE"""),0.0)</f>
        <v>0</v>
      </c>
      <c r="H196" s="106"/>
      <c r="I196" s="320">
        <f>IFERROR(__xludf.DUMMYFUNCTION("""COMPUTED_VALUE"""),58.93)</f>
        <v>58.93</v>
      </c>
      <c r="J196" s="320">
        <f>IFERROR(__xludf.DUMMYFUNCTION("""COMPUTED_VALUE"""),28.15)</f>
        <v>28.15</v>
      </c>
      <c r="K196" s="320">
        <f>IFERROR(__xludf.DUMMYFUNCTION("""COMPUTED_VALUE"""),14.16)</f>
        <v>14.16</v>
      </c>
      <c r="L196" s="320">
        <f>IFERROR(__xludf.DUMMYFUNCTION("""COMPUTED_VALUE"""),0.503)</f>
        <v>0.503</v>
      </c>
      <c r="M196" s="320">
        <f>IFERROR(__xludf.DUMMYFUNCTION("""COMPUTED_VALUE"""),0.6798)</f>
        <v>0.6798</v>
      </c>
      <c r="N196" s="320">
        <f>IFERROR(__xludf.DUMMYFUNCTION("""COMPUTED_VALUE"""),0.4719)</f>
        <v>0.4719</v>
      </c>
      <c r="O196" s="320">
        <f>IFERROR(__xludf.DUMMYFUNCTION("""COMPUTED_VALUE"""),1.988)</f>
        <v>1.988</v>
      </c>
      <c r="P196" s="320">
        <f>IFERROR(__xludf.DUMMYFUNCTION("""COMPUTED_VALUE"""),81.74)</f>
        <v>81.74</v>
      </c>
      <c r="Q196" s="320">
        <f>IFERROR(__xludf.DUMMYFUNCTION("""COMPUTED_VALUE"""),51.98)</f>
        <v>51.98</v>
      </c>
      <c r="R196" s="320">
        <f>IFERROR(__xludf.DUMMYFUNCTION("""COMPUTED_VALUE"""),29.76)</f>
        <v>29.76</v>
      </c>
      <c r="S196" s="320">
        <f>IFERROR(__xludf.DUMMYFUNCTION("""COMPUTED_VALUE"""),0.68)</f>
        <v>0.68</v>
      </c>
      <c r="T196" s="320">
        <f>IFERROR(__xludf.DUMMYFUNCTION("""COMPUTED_VALUE"""),81.06)</f>
        <v>81.06</v>
      </c>
      <c r="U196" s="320">
        <f>IFERROR(__xludf.DUMMYFUNCTION("""COMPUTED_VALUE"""),95.65)</f>
        <v>95.65</v>
      </c>
      <c r="V196" s="320">
        <f>IFERROR(__xludf.DUMMYFUNCTION("""COMPUTED_VALUE"""),3.3982)</f>
        <v>3.3982</v>
      </c>
      <c r="W196" s="320">
        <f>IFERROR(__xludf.DUMMYFUNCTION("""COMPUTED_VALUE"""),0.83)</f>
        <v>0.83</v>
      </c>
      <c r="X196" s="320">
        <f>IFERROR(__xludf.DUMMYFUNCTION("""COMPUTED_VALUE"""),110.0)</f>
        <v>110</v>
      </c>
      <c r="Y196" s="320">
        <f>IFERROR(__xludf.DUMMYFUNCTION("""COMPUTED_VALUE"""),679.0)</f>
        <v>679</v>
      </c>
      <c r="Z196" s="320">
        <f>IFERROR(__xludf.DUMMYFUNCTION("""COMPUTED_VALUE"""),5231.0)</f>
        <v>5231</v>
      </c>
      <c r="AA196" s="320">
        <f>IFERROR(__xludf.DUMMYFUNCTION("""COMPUTED_VALUE"""),52.4342)</f>
        <v>52.4342</v>
      </c>
      <c r="AB196" s="320">
        <f>IFERROR(__xludf.DUMMYFUNCTION("""COMPUTED_VALUE"""),0.63)</f>
        <v>0.63</v>
      </c>
      <c r="AC196" s="320">
        <f>IFERROR(__xludf.DUMMYFUNCTION("""COMPUTED_VALUE"""),9.31)</f>
        <v>9.31</v>
      </c>
      <c r="AD196" s="320">
        <f>IFERROR(__xludf.DUMMYFUNCTION("""COMPUTED_VALUE"""),4.0)</f>
        <v>4</v>
      </c>
      <c r="AE196" s="320">
        <f>IFERROR(__xludf.DUMMYFUNCTION("""COMPUTED_VALUE"""),7.0)</f>
        <v>7</v>
      </c>
      <c r="AF196" s="320">
        <f>IFERROR(__xludf.DUMMYFUNCTION("""COMPUTED_VALUE"""),13.0)</f>
        <v>13</v>
      </c>
      <c r="AG196" s="320">
        <f>IFERROR(__xludf.DUMMYFUNCTION("""COMPUTED_VALUE"""),19.0)</f>
        <v>19</v>
      </c>
      <c r="AH196" s="320">
        <f>IFERROR(__xludf.DUMMYFUNCTION("""COMPUTED_VALUE"""),59.67)</f>
        <v>59.67</v>
      </c>
      <c r="AI196" s="320">
        <f>IFERROR(__xludf.DUMMYFUNCTION("""COMPUTED_VALUE"""),25.07)</f>
        <v>25.07</v>
      </c>
      <c r="AJ196" s="320">
        <f>IFERROR(__xludf.DUMMYFUNCTION("""COMPUTED_VALUE"""),4.72)</f>
        <v>4.72</v>
      </c>
      <c r="AK196" s="320">
        <f>IFERROR(__xludf.DUMMYFUNCTION("""COMPUTED_VALUE"""),0.2128)</f>
        <v>0.2128</v>
      </c>
      <c r="AL196" s="320">
        <f>IFERROR(__xludf.DUMMYFUNCTION("""COMPUTED_VALUE"""),21.77)</f>
        <v>21.77</v>
      </c>
      <c r="AM196" s="320">
        <f>IFERROR(__xludf.DUMMYFUNCTION("""COMPUTED_VALUE"""),30.21)</f>
        <v>30.21</v>
      </c>
      <c r="AN196" s="320">
        <f>IFERROR(__xludf.DUMMYFUNCTION("""COMPUTED_VALUE"""),75.14)</f>
        <v>75.14</v>
      </c>
      <c r="AO196" s="320">
        <f>IFERROR(__xludf.DUMMYFUNCTION("""COMPUTED_VALUE"""),16.36)</f>
        <v>16.36</v>
      </c>
    </row>
    <row r="197" ht="15.75" customHeight="1">
      <c r="A197" s="330">
        <f>IFERROR(__xludf.DUMMYFUNCTION("""COMPUTED_VALUE"""),46082.0)</f>
        <v>46082</v>
      </c>
      <c r="B197" s="319" t="str">
        <f>IFERROR(__xludf.DUMMYFUNCTION("""COMPUTED_VALUE"""),"D. 20-39")</f>
        <v>D. 20-39</v>
      </c>
      <c r="C197" s="320">
        <f>IFERROR(__xludf.DUMMYFUNCTION("""COMPUTED_VALUE"""),13109.0)</f>
        <v>13109</v>
      </c>
      <c r="D197" s="320">
        <f>IFERROR(__xludf.DUMMYFUNCTION("""COMPUTED_VALUE"""),12.65)</f>
        <v>12.65</v>
      </c>
      <c r="E197" s="320">
        <f>IFERROR(__xludf.DUMMYFUNCTION("""COMPUTED_VALUE"""),0.0)</f>
        <v>0</v>
      </c>
      <c r="F197" s="320">
        <f>IFERROR(__xludf.DUMMYFUNCTION("""COMPUTED_VALUE"""),0.0)</f>
        <v>0</v>
      </c>
      <c r="G197" s="320">
        <f>IFERROR(__xludf.DUMMYFUNCTION("""COMPUTED_VALUE"""),0.0)</f>
        <v>0</v>
      </c>
      <c r="H197" s="106"/>
      <c r="I197" s="320">
        <f>IFERROR(__xludf.DUMMYFUNCTION("""COMPUTED_VALUE"""),84.84)</f>
        <v>84.84</v>
      </c>
      <c r="J197" s="320">
        <f>IFERROR(__xludf.DUMMYFUNCTION("""COMPUTED_VALUE"""),42.86)</f>
        <v>42.86</v>
      </c>
      <c r="K197" s="320">
        <f>IFERROR(__xludf.DUMMYFUNCTION("""COMPUTED_VALUE"""),27.76)</f>
        <v>27.76</v>
      </c>
      <c r="L197" s="320">
        <f>IFERROR(__xludf.DUMMYFUNCTION("""COMPUTED_VALUE"""),0.6478)</f>
        <v>0.6478</v>
      </c>
      <c r="M197" s="320">
        <f>IFERROR(__xludf.DUMMYFUNCTION("""COMPUTED_VALUE"""),0.5408)</f>
        <v>0.5408</v>
      </c>
      <c r="N197" s="320">
        <f>IFERROR(__xludf.DUMMYFUNCTION("""COMPUTED_VALUE"""),0.3707)</f>
        <v>0.3707</v>
      </c>
      <c r="O197" s="320">
        <f>IFERROR(__xludf.DUMMYFUNCTION("""COMPUTED_VALUE"""),1.5437)</f>
        <v>1.5437</v>
      </c>
      <c r="P197" s="320">
        <f>IFERROR(__xludf.DUMMYFUNCTION("""COMPUTED_VALUE"""),134.04)</f>
        <v>134.04</v>
      </c>
      <c r="Q197" s="320">
        <f>IFERROR(__xludf.DUMMYFUNCTION("""COMPUTED_VALUE"""),75.58)</f>
        <v>75.58</v>
      </c>
      <c r="R197" s="320">
        <f>IFERROR(__xludf.DUMMYFUNCTION("""COMPUTED_VALUE"""),58.45)</f>
        <v>58.45</v>
      </c>
      <c r="S197" s="320">
        <f>IFERROR(__xludf.DUMMYFUNCTION("""COMPUTED_VALUE"""),0.4)</f>
        <v>0.4</v>
      </c>
      <c r="T197" s="320">
        <f>IFERROR(__xludf.DUMMYFUNCTION("""COMPUTED_VALUE"""),133.64)</f>
        <v>133.64</v>
      </c>
      <c r="U197" s="320">
        <f>IFERROR(__xludf.DUMMYFUNCTION("""COMPUTED_VALUE"""),167.23)</f>
        <v>167.23</v>
      </c>
      <c r="V197" s="320">
        <f>IFERROR(__xludf.DUMMYFUNCTION("""COMPUTED_VALUE"""),3.9019)</f>
        <v>3.9019</v>
      </c>
      <c r="W197" s="320">
        <f>IFERROR(__xludf.DUMMYFUNCTION("""COMPUTED_VALUE"""),0.3)</f>
        <v>0.3</v>
      </c>
      <c r="X197" s="320">
        <f>IFERROR(__xludf.DUMMYFUNCTION("""COMPUTED_VALUE"""),136.0)</f>
        <v>136</v>
      </c>
      <c r="Y197" s="320">
        <f>IFERROR(__xludf.DUMMYFUNCTION("""COMPUTED_VALUE"""),988.0)</f>
        <v>988</v>
      </c>
      <c r="Z197" s="320">
        <f>IFERROR(__xludf.DUMMYFUNCTION("""COMPUTED_VALUE"""),6656.0)</f>
        <v>6656</v>
      </c>
      <c r="AA197" s="320">
        <f>IFERROR(__xludf.DUMMYFUNCTION("""COMPUTED_VALUE"""),55.9568)</f>
        <v>55.9568</v>
      </c>
      <c r="AB197" s="320">
        <f>IFERROR(__xludf.DUMMYFUNCTION("""COMPUTED_VALUE"""),0.7413)</f>
        <v>0.7413</v>
      </c>
      <c r="AC197" s="320">
        <f>IFERROR(__xludf.DUMMYFUNCTION("""COMPUTED_VALUE"""),18.36)</f>
        <v>18.36</v>
      </c>
      <c r="AD197" s="320">
        <f>IFERROR(__xludf.DUMMYFUNCTION("""COMPUTED_VALUE"""),7.0)</f>
        <v>7</v>
      </c>
      <c r="AE197" s="320">
        <f>IFERROR(__xludf.DUMMYFUNCTION("""COMPUTED_VALUE"""),14.0)</f>
        <v>14</v>
      </c>
      <c r="AF197" s="320">
        <f>IFERROR(__xludf.DUMMYFUNCTION("""COMPUTED_VALUE"""),25.0)</f>
        <v>25</v>
      </c>
      <c r="AG197" s="320">
        <f>IFERROR(__xludf.DUMMYFUNCTION("""COMPUTED_VALUE"""),38.0)</f>
        <v>38</v>
      </c>
      <c r="AH197" s="320">
        <f>IFERROR(__xludf.DUMMYFUNCTION("""COMPUTED_VALUE"""),60.38)</f>
        <v>60.38</v>
      </c>
      <c r="AI197" s="320">
        <f>IFERROR(__xludf.DUMMYFUNCTION("""COMPUTED_VALUE"""),24.11)</f>
        <v>24.11</v>
      </c>
      <c r="AJ197" s="320">
        <f>IFERROR(__xludf.DUMMYFUNCTION("""COMPUTED_VALUE"""),7.93)</f>
        <v>7.93</v>
      </c>
      <c r="AK197" s="320">
        <f>IFERROR(__xludf.DUMMYFUNCTION("""COMPUTED_VALUE"""),0.2022)</f>
        <v>0.2022</v>
      </c>
      <c r="AL197" s="320">
        <f>IFERROR(__xludf.DUMMYFUNCTION("""COMPUTED_VALUE"""),21.59)</f>
        <v>21.59</v>
      </c>
      <c r="AM197" s="320">
        <f>IFERROR(__xludf.DUMMYFUNCTION("""COMPUTED_VALUE"""),53.99)</f>
        <v>53.99</v>
      </c>
      <c r="AN197" s="320">
        <f>IFERROR(__xludf.DUMMYFUNCTION("""COMPUTED_VALUE"""),76.63)</f>
        <v>76.63</v>
      </c>
      <c r="AO197" s="320">
        <f>IFERROR(__xludf.DUMMYFUNCTION("""COMPUTED_VALUE"""),16.54)</f>
        <v>16.54</v>
      </c>
    </row>
    <row r="198" ht="15.75" customHeight="1">
      <c r="A198" s="330">
        <f>IFERROR(__xludf.DUMMYFUNCTION("""COMPUTED_VALUE"""),46082.0)</f>
        <v>46082</v>
      </c>
      <c r="B198" s="319" t="str">
        <f>IFERROR(__xludf.DUMMYFUNCTION("""COMPUTED_VALUE"""),"E. 40-99")</f>
        <v>E. 40-99</v>
      </c>
      <c r="C198" s="320">
        <f>IFERROR(__xludf.DUMMYFUNCTION("""COMPUTED_VALUE"""),5328.0)</f>
        <v>5328</v>
      </c>
      <c r="D198" s="320">
        <f>IFERROR(__xludf.DUMMYFUNCTION("""COMPUTED_VALUE"""),5.14)</f>
        <v>5.14</v>
      </c>
      <c r="E198" s="320">
        <f>IFERROR(__xludf.DUMMYFUNCTION("""COMPUTED_VALUE"""),0.0)</f>
        <v>0</v>
      </c>
      <c r="F198" s="320">
        <f>IFERROR(__xludf.DUMMYFUNCTION("""COMPUTED_VALUE"""),0.0)</f>
        <v>0</v>
      </c>
      <c r="G198" s="320">
        <f>IFERROR(__xludf.DUMMYFUNCTION("""COMPUTED_VALUE"""),0.0)</f>
        <v>0</v>
      </c>
      <c r="H198" s="106"/>
      <c r="I198" s="320">
        <f>IFERROR(__xludf.DUMMYFUNCTION("""COMPUTED_VALUE"""),131.63)</f>
        <v>131.63</v>
      </c>
      <c r="J198" s="320">
        <f>IFERROR(__xludf.DUMMYFUNCTION("""COMPUTED_VALUE"""),71.74)</f>
        <v>71.74</v>
      </c>
      <c r="K198" s="320">
        <f>IFERROR(__xludf.DUMMYFUNCTION("""COMPUTED_VALUE"""),56.16)</f>
        <v>56.16</v>
      </c>
      <c r="L198" s="320">
        <f>IFERROR(__xludf.DUMMYFUNCTION("""COMPUTED_VALUE"""),0.7828)</f>
        <v>0.7828</v>
      </c>
      <c r="M198" s="320">
        <f>IFERROR(__xludf.DUMMYFUNCTION("""COMPUTED_VALUE"""),0.394)</f>
        <v>0.394</v>
      </c>
      <c r="N198" s="320">
        <f>IFERROR(__xludf.DUMMYFUNCTION("""COMPUTED_VALUE"""),0.2788)</f>
        <v>0.2788</v>
      </c>
      <c r="O198" s="320">
        <f>IFERROR(__xludf.DUMMYFUNCTION("""COMPUTED_VALUE"""),1.2775)</f>
        <v>1.2775</v>
      </c>
      <c r="P198" s="320">
        <f>IFERROR(__xludf.DUMMYFUNCTION("""COMPUTED_VALUE"""),243.69)</f>
        <v>243.69</v>
      </c>
      <c r="Q198" s="320">
        <f>IFERROR(__xludf.DUMMYFUNCTION("""COMPUTED_VALUE"""),124.94)</f>
        <v>124.94</v>
      </c>
      <c r="R198" s="320">
        <f>IFERROR(__xludf.DUMMYFUNCTION("""COMPUTED_VALUE"""),118.74)</f>
        <v>118.74</v>
      </c>
      <c r="S198" s="320">
        <f>IFERROR(__xludf.DUMMYFUNCTION("""COMPUTED_VALUE"""),0.0)</f>
        <v>0</v>
      </c>
      <c r="T198" s="320">
        <f>IFERROR(__xludf.DUMMYFUNCTION("""COMPUTED_VALUE"""),243.69)</f>
        <v>243.69</v>
      </c>
      <c r="U198" s="320">
        <f>IFERROR(__xludf.DUMMYFUNCTION("""COMPUTED_VALUE"""),313.39)</f>
        <v>313.39</v>
      </c>
      <c r="V198" s="320">
        <f>IFERROR(__xludf.DUMMYFUNCTION("""COMPUTED_VALUE"""),4.3682)</f>
        <v>4.3682</v>
      </c>
      <c r="W198" s="320">
        <f>IFERROR(__xludf.DUMMYFUNCTION("""COMPUTED_VALUE"""),0.0)</f>
        <v>0</v>
      </c>
      <c r="X198" s="320">
        <f>IFERROR(__xludf.DUMMYFUNCTION("""COMPUTED_VALUE"""),269.0)</f>
        <v>269</v>
      </c>
      <c r="Y198" s="320">
        <f>IFERROR(__xludf.DUMMYFUNCTION("""COMPUTED_VALUE"""),2452.0)</f>
        <v>2452</v>
      </c>
      <c r="Z198" s="320">
        <f>IFERROR(__xludf.DUMMYFUNCTION("""COMPUTED_VALUE"""),9731.0)</f>
        <v>9731</v>
      </c>
      <c r="AA198" s="320">
        <f>IFERROR(__xludf.DUMMYFUNCTION("""COMPUTED_VALUE"""),60.0747)</f>
        <v>60.0747</v>
      </c>
      <c r="AB198" s="320">
        <f>IFERROR(__xludf.DUMMYFUNCTION("""COMPUTED_VALUE"""),0.8401)</f>
        <v>0.8401</v>
      </c>
      <c r="AC198" s="320">
        <f>IFERROR(__xludf.DUMMYFUNCTION("""COMPUTED_VALUE"""),38.27)</f>
        <v>38.27</v>
      </c>
      <c r="AD198" s="320">
        <f>IFERROR(__xludf.DUMMYFUNCTION("""COMPUTED_VALUE"""),15.0)</f>
        <v>15</v>
      </c>
      <c r="AE198" s="320">
        <f>IFERROR(__xludf.DUMMYFUNCTION("""COMPUTED_VALUE"""),30.0)</f>
        <v>30</v>
      </c>
      <c r="AF198" s="320">
        <f>IFERROR(__xludf.DUMMYFUNCTION("""COMPUTED_VALUE"""),53.0)</f>
        <v>53</v>
      </c>
      <c r="AG198" s="320">
        <f>IFERROR(__xludf.DUMMYFUNCTION("""COMPUTED_VALUE"""),81.0)</f>
        <v>81</v>
      </c>
      <c r="AH198" s="320">
        <f>IFERROR(__xludf.DUMMYFUNCTION("""COMPUTED_VALUE"""),52.03)</f>
        <v>52.03</v>
      </c>
      <c r="AI198" s="320">
        <f>IFERROR(__xludf.DUMMYFUNCTION("""COMPUTED_VALUE"""),20.46)</f>
        <v>20.46</v>
      </c>
      <c r="AJ198" s="320">
        <f>IFERROR(__xludf.DUMMYFUNCTION("""COMPUTED_VALUE"""),5.33)</f>
        <v>5.33</v>
      </c>
      <c r="AK198" s="320">
        <f>IFERROR(__xludf.DUMMYFUNCTION("""COMPUTED_VALUE"""),0.153)</f>
        <v>0.153</v>
      </c>
      <c r="AL198" s="320">
        <f>IFERROR(__xludf.DUMMYFUNCTION("""COMPUTED_VALUE"""),22.32)</f>
        <v>22.32</v>
      </c>
      <c r="AM198" s="320">
        <f>IFERROR(__xludf.DUMMYFUNCTION("""COMPUTED_VALUE"""),102.63)</f>
        <v>102.63</v>
      </c>
      <c r="AN198" s="320">
        <f>IFERROR(__xludf.DUMMYFUNCTION("""COMPUTED_VALUE"""),80.91)</f>
        <v>80.91</v>
      </c>
      <c r="AO198" s="320">
        <f>IFERROR(__xludf.DUMMYFUNCTION("""COMPUTED_VALUE"""),18.06)</f>
        <v>18.06</v>
      </c>
    </row>
    <row r="199" ht="15.75" customHeight="1">
      <c r="A199" s="330">
        <f>IFERROR(__xludf.DUMMYFUNCTION("""COMPUTED_VALUE"""),46082.0)</f>
        <v>46082</v>
      </c>
      <c r="B199" s="319" t="str">
        <f>IFERROR(__xludf.DUMMYFUNCTION("""COMPUTED_VALUE"""),"F. 100+")</f>
        <v>F. 100+</v>
      </c>
      <c r="C199" s="320">
        <f>IFERROR(__xludf.DUMMYFUNCTION("""COMPUTED_VALUE"""),562.0)</f>
        <v>562</v>
      </c>
      <c r="D199" s="320">
        <f>IFERROR(__xludf.DUMMYFUNCTION("""COMPUTED_VALUE"""),0.54)</f>
        <v>0.54</v>
      </c>
      <c r="E199" s="320">
        <f>IFERROR(__xludf.DUMMYFUNCTION("""COMPUTED_VALUE"""),0.0)</f>
        <v>0</v>
      </c>
      <c r="F199" s="320">
        <f>IFERROR(__xludf.DUMMYFUNCTION("""COMPUTED_VALUE"""),0.0)</f>
        <v>0</v>
      </c>
      <c r="G199" s="320">
        <f>IFERROR(__xludf.DUMMYFUNCTION("""COMPUTED_VALUE"""),0.0)</f>
        <v>0</v>
      </c>
      <c r="H199" s="106"/>
      <c r="I199" s="320">
        <f>IFERROR(__xludf.DUMMYFUNCTION("""COMPUTED_VALUE"""),256.9)</f>
        <v>256.9</v>
      </c>
      <c r="J199" s="320">
        <f>IFERROR(__xludf.DUMMYFUNCTION("""COMPUTED_VALUE"""),149.6)</f>
        <v>149.6</v>
      </c>
      <c r="K199" s="320">
        <f>IFERROR(__xludf.DUMMYFUNCTION("""COMPUTED_VALUE"""),128.35)</f>
        <v>128.35</v>
      </c>
      <c r="L199" s="320">
        <f>IFERROR(__xludf.DUMMYFUNCTION("""COMPUTED_VALUE"""),0.8579)</f>
        <v>0.8579</v>
      </c>
      <c r="M199" s="320">
        <f>IFERROR(__xludf.DUMMYFUNCTION("""COMPUTED_VALUE"""),0.297)</f>
        <v>0.297</v>
      </c>
      <c r="N199" s="320">
        <f>IFERROR(__xludf.DUMMYFUNCTION("""COMPUTED_VALUE"""),0.2178)</f>
        <v>0.2178</v>
      </c>
      <c r="O199" s="320">
        <f>IFERROR(__xludf.DUMMYFUNCTION("""COMPUTED_VALUE"""),1.1656)</f>
        <v>1.1656</v>
      </c>
      <c r="P199" s="320">
        <f>IFERROR(__xludf.DUMMYFUNCTION("""COMPUTED_VALUE"""),494.71)</f>
        <v>494.71</v>
      </c>
      <c r="Q199" s="320">
        <f>IFERROR(__xludf.DUMMYFUNCTION("""COMPUTED_VALUE"""),221.99)</f>
        <v>221.99</v>
      </c>
      <c r="R199" s="320">
        <f>IFERROR(__xludf.DUMMYFUNCTION("""COMPUTED_VALUE"""),272.72)</f>
        <v>272.72</v>
      </c>
      <c r="S199" s="320">
        <f>IFERROR(__xludf.DUMMYFUNCTION("""COMPUTED_VALUE"""),0.0)</f>
        <v>0</v>
      </c>
      <c r="T199" s="320">
        <f>IFERROR(__xludf.DUMMYFUNCTION("""COMPUTED_VALUE"""),494.71)</f>
        <v>494.71</v>
      </c>
      <c r="U199" s="320">
        <f>IFERROR(__xludf.DUMMYFUNCTION("""COMPUTED_VALUE"""),706.58)</f>
        <v>706.58</v>
      </c>
      <c r="V199" s="320">
        <f>IFERROR(__xludf.DUMMYFUNCTION("""COMPUTED_VALUE"""),4.723)</f>
        <v>4.723</v>
      </c>
      <c r="W199" s="320">
        <f>IFERROR(__xludf.DUMMYFUNCTION("""COMPUTED_VALUE"""),0.0)</f>
        <v>0</v>
      </c>
      <c r="X199" s="320">
        <f>IFERROR(__xludf.DUMMYFUNCTION("""COMPUTED_VALUE"""),800.0)</f>
        <v>800</v>
      </c>
      <c r="Y199" s="320">
        <f>IFERROR(__xludf.DUMMYFUNCTION("""COMPUTED_VALUE"""),4602.0)</f>
        <v>4602</v>
      </c>
      <c r="Z199" s="320">
        <f>IFERROR(__xludf.DUMMYFUNCTION("""COMPUTED_VALUE"""),11702.0)</f>
        <v>11702</v>
      </c>
      <c r="AA199" s="320">
        <f>IFERROR(__xludf.DUMMYFUNCTION("""COMPUTED_VALUE"""),63.3565)</f>
        <v>63.3565</v>
      </c>
      <c r="AB199" s="320">
        <f>IFERROR(__xludf.DUMMYFUNCTION("""COMPUTED_VALUE"""),0.894)</f>
        <v>0.894</v>
      </c>
      <c r="AC199" s="320">
        <f>IFERROR(__xludf.DUMMYFUNCTION("""COMPUTED_VALUE"""),85.85)</f>
        <v>85.85</v>
      </c>
      <c r="AD199" s="320">
        <f>IFERROR(__xludf.DUMMYFUNCTION("""COMPUTED_VALUE"""),31.0)</f>
        <v>31</v>
      </c>
      <c r="AE199" s="320">
        <f>IFERROR(__xludf.DUMMYFUNCTION("""COMPUTED_VALUE"""),71.0)</f>
        <v>71</v>
      </c>
      <c r="AF199" s="320">
        <f>IFERROR(__xludf.DUMMYFUNCTION("""COMPUTED_VALUE"""),123.0)</f>
        <v>123</v>
      </c>
      <c r="AG199" s="320">
        <f>IFERROR(__xludf.DUMMYFUNCTION("""COMPUTED_VALUE"""),175.0)</f>
        <v>175</v>
      </c>
      <c r="AH199" s="320">
        <f>IFERROR(__xludf.DUMMYFUNCTION("""COMPUTED_VALUE"""),44.13)</f>
        <v>44.13</v>
      </c>
      <c r="AI199" s="320">
        <f>IFERROR(__xludf.DUMMYFUNCTION("""COMPUTED_VALUE"""),10.32)</f>
        <v>10.32</v>
      </c>
      <c r="AJ199" s="320">
        <f>IFERROR(__xludf.DUMMYFUNCTION("""COMPUTED_VALUE"""),1.07)</f>
        <v>1.07</v>
      </c>
      <c r="AK199" s="320">
        <f>IFERROR(__xludf.DUMMYFUNCTION("""COMPUTED_VALUE"""),0.1085)</f>
        <v>0.1085</v>
      </c>
      <c r="AL199" s="320">
        <f>IFERROR(__xludf.DUMMYFUNCTION("""COMPUTED_VALUE"""),23.31)</f>
        <v>23.31</v>
      </c>
      <c r="AM199" s="320">
        <f>IFERROR(__xludf.DUMMYFUNCTION("""COMPUTED_VALUE"""),198.68)</f>
        <v>198.68</v>
      </c>
      <c r="AN199" s="320">
        <f>IFERROR(__xludf.DUMMYFUNCTION("""COMPUTED_VALUE"""),82.79)</f>
        <v>82.79</v>
      </c>
      <c r="AO199" s="320">
        <f>IFERROR(__xludf.DUMMYFUNCTION("""COMPUTED_VALUE"""),19.3)</f>
        <v>19.3</v>
      </c>
    </row>
    <row r="200" ht="15.75" customHeight="1">
      <c r="A200" s="330">
        <f>IFERROR(__xludf.DUMMYFUNCTION("""COMPUTED_VALUE"""),46083.0)</f>
        <v>46083</v>
      </c>
      <c r="B200" s="319" t="str">
        <f>IFERROR(__xludf.DUMMYFUNCTION("""COMPUTED_VALUE"""),"A. 0")</f>
        <v>A. 0</v>
      </c>
      <c r="C200" s="320">
        <f>IFERROR(__xludf.DUMMYFUNCTION("""COMPUTED_VALUE"""),21112.0)</f>
        <v>21112</v>
      </c>
      <c r="D200" s="320">
        <f>IFERROR(__xludf.DUMMYFUNCTION("""COMPUTED_VALUE"""),19.32)</f>
        <v>19.32</v>
      </c>
      <c r="E200" s="320">
        <f>IFERROR(__xludf.DUMMYFUNCTION("""COMPUTED_VALUE"""),0.0)</f>
        <v>0</v>
      </c>
      <c r="F200" s="320">
        <f>IFERROR(__xludf.DUMMYFUNCTION("""COMPUTED_VALUE"""),0.0)</f>
        <v>0</v>
      </c>
      <c r="G200" s="320">
        <f>IFERROR(__xludf.DUMMYFUNCTION("""COMPUTED_VALUE"""),0.0)</f>
        <v>0</v>
      </c>
      <c r="H200" s="106"/>
      <c r="I200" s="320">
        <f>IFERROR(__xludf.DUMMYFUNCTION("""COMPUTED_VALUE"""),6.2)</f>
        <v>6.2</v>
      </c>
      <c r="J200" s="320">
        <f>IFERROR(__xludf.DUMMYFUNCTION("""COMPUTED_VALUE"""),2.5)</f>
        <v>2.5</v>
      </c>
      <c r="K200" s="320">
        <f>IFERROR(__xludf.DUMMYFUNCTION("""COMPUTED_VALUE"""),0.11)</f>
        <v>0.11</v>
      </c>
      <c r="L200" s="320">
        <f>IFERROR(__xludf.DUMMYFUNCTION("""COMPUTED_VALUE"""),0.0432)</f>
        <v>0.0432</v>
      </c>
      <c r="M200" s="320">
        <f>IFERROR(__xludf.DUMMYFUNCTION("""COMPUTED_VALUE"""),0.9658)</f>
        <v>0.9658</v>
      </c>
      <c r="N200" s="320">
        <f>IFERROR(__xludf.DUMMYFUNCTION("""COMPUTED_VALUE"""),0.6855)</f>
        <v>0.6855</v>
      </c>
      <c r="O200" s="320">
        <f>IFERROR(__xludf.DUMMYFUNCTION("""COMPUTED_VALUE"""),23.1454)</f>
        <v>23.1454</v>
      </c>
      <c r="P200" s="320">
        <f>IFERROR(__xludf.DUMMYFUNCTION("""COMPUTED_VALUE"""),31.86)</f>
        <v>31.86</v>
      </c>
      <c r="Q200" s="320">
        <f>IFERROR(__xludf.DUMMYFUNCTION("""COMPUTED_VALUE"""),31.74)</f>
        <v>31.74</v>
      </c>
      <c r="R200" s="320">
        <f>IFERROR(__xludf.DUMMYFUNCTION("""COMPUTED_VALUE"""),0.12)</f>
        <v>0.12</v>
      </c>
      <c r="S200" s="320">
        <f>IFERROR(__xludf.DUMMYFUNCTION("""COMPUTED_VALUE"""),0.0)</f>
        <v>0</v>
      </c>
      <c r="T200" s="320">
        <f>IFERROR(__xludf.DUMMYFUNCTION("""COMPUTED_VALUE"""),31.86)</f>
        <v>31.86</v>
      </c>
      <c r="U200" s="320">
        <f>IFERROR(__xludf.DUMMYFUNCTION("""COMPUTED_VALUE"""),1.77)</f>
        <v>1.77</v>
      </c>
      <c r="V200" s="320">
        <f>IFERROR(__xludf.DUMMYFUNCTION("""COMPUTED_VALUE"""),0.7081)</f>
        <v>0.7081</v>
      </c>
      <c r="W200" s="320">
        <f>IFERROR(__xludf.DUMMYFUNCTION("""COMPUTED_VALUE"""),0.0)</f>
        <v>0</v>
      </c>
      <c r="X200" s="320">
        <f>IFERROR(__xludf.DUMMYFUNCTION("""COMPUTED_VALUE"""),368.0)</f>
        <v>368</v>
      </c>
      <c r="Y200" s="320">
        <f>IFERROR(__xludf.DUMMYFUNCTION("""COMPUTED_VALUE"""),3825.0)</f>
        <v>3825</v>
      </c>
      <c r="Z200" s="320">
        <f>IFERROR(__xludf.DUMMYFUNCTION("""COMPUTED_VALUE"""),14859.0)</f>
        <v>14859</v>
      </c>
      <c r="AA200" s="320">
        <f>IFERROR(__xludf.DUMMYFUNCTION("""COMPUTED_VALUE"""),49.2253)</f>
        <v>49.2253</v>
      </c>
      <c r="AB200" s="320">
        <f>IFERROR(__xludf.DUMMYFUNCTION("""COMPUTED_VALUE"""),0.542)</f>
        <v>0.542</v>
      </c>
      <c r="AC200" s="106"/>
      <c r="AD200" s="106"/>
      <c r="AE200" s="106"/>
      <c r="AF200" s="106"/>
      <c r="AG200" s="106"/>
      <c r="AH200" s="320">
        <f>IFERROR(__xludf.DUMMYFUNCTION("""COMPUTED_VALUE"""),0.0)</f>
        <v>0</v>
      </c>
      <c r="AI200" s="320">
        <f>IFERROR(__xludf.DUMMYFUNCTION("""COMPUTED_VALUE"""),0.0)</f>
        <v>0</v>
      </c>
      <c r="AJ200" s="320">
        <f>IFERROR(__xludf.DUMMYFUNCTION("""COMPUTED_VALUE"""),0.0)</f>
        <v>0</v>
      </c>
      <c r="AK200" s="320">
        <f>IFERROR(__xludf.DUMMYFUNCTION("""COMPUTED_VALUE"""),0.2827)</f>
        <v>0.2827</v>
      </c>
      <c r="AL200" s="320">
        <f>IFERROR(__xludf.DUMMYFUNCTION("""COMPUTED_VALUE"""),16.53)</f>
        <v>16.53</v>
      </c>
      <c r="AM200" s="320">
        <f>IFERROR(__xludf.DUMMYFUNCTION("""COMPUTED_VALUE"""),15.21)</f>
        <v>15.21</v>
      </c>
      <c r="AN200" s="331"/>
      <c r="AO200" s="331"/>
    </row>
    <row r="201" ht="15.75" customHeight="1">
      <c r="A201" s="330">
        <f>IFERROR(__xludf.DUMMYFUNCTION("""COMPUTED_VALUE"""),46083.0)</f>
        <v>46083</v>
      </c>
      <c r="B201" s="319" t="str">
        <f>IFERROR(__xludf.DUMMYFUNCTION("""COMPUTED_VALUE"""),"B. 1-9")</f>
        <v>B. 1-9</v>
      </c>
      <c r="C201" s="320">
        <f>IFERROR(__xludf.DUMMYFUNCTION("""COMPUTED_VALUE"""),39955.0)</f>
        <v>39955</v>
      </c>
      <c r="D201" s="320">
        <f>IFERROR(__xludf.DUMMYFUNCTION("""COMPUTED_VALUE"""),36.56)</f>
        <v>36.56</v>
      </c>
      <c r="E201" s="320">
        <f>IFERROR(__xludf.DUMMYFUNCTION("""COMPUTED_VALUE"""),0.0)</f>
        <v>0</v>
      </c>
      <c r="F201" s="320">
        <f>IFERROR(__xludf.DUMMYFUNCTION("""COMPUTED_VALUE"""),0.0)</f>
        <v>0</v>
      </c>
      <c r="G201" s="320">
        <f>IFERROR(__xludf.DUMMYFUNCTION("""COMPUTED_VALUE"""),0.0)</f>
        <v>0</v>
      </c>
      <c r="H201" s="106"/>
      <c r="I201" s="320">
        <f>IFERROR(__xludf.DUMMYFUNCTION("""COMPUTED_VALUE"""),32.98)</f>
        <v>32.98</v>
      </c>
      <c r="J201" s="320">
        <f>IFERROR(__xludf.DUMMYFUNCTION("""COMPUTED_VALUE"""),14.88)</f>
        <v>14.88</v>
      </c>
      <c r="K201" s="320">
        <f>IFERROR(__xludf.DUMMYFUNCTION("""COMPUTED_VALUE"""),5.73)</f>
        <v>5.73</v>
      </c>
      <c r="L201" s="320">
        <f>IFERROR(__xludf.DUMMYFUNCTION("""COMPUTED_VALUE"""),0.3853)</f>
        <v>0.3853</v>
      </c>
      <c r="M201" s="320">
        <f>IFERROR(__xludf.DUMMYFUNCTION("""COMPUTED_VALUE"""),0.7843)</f>
        <v>0.7843</v>
      </c>
      <c r="N201" s="320">
        <f>IFERROR(__xludf.DUMMYFUNCTION("""COMPUTED_VALUE"""),0.5883)</f>
        <v>0.5883</v>
      </c>
      <c r="O201" s="320">
        <f>IFERROR(__xludf.DUMMYFUNCTION("""COMPUTED_VALUE"""),2.5954)</f>
        <v>2.5954</v>
      </c>
      <c r="P201" s="320">
        <f>IFERROR(__xludf.DUMMYFUNCTION("""COMPUTED_VALUE"""),73.29)</f>
        <v>73.29</v>
      </c>
      <c r="Q201" s="320">
        <f>IFERROR(__xludf.DUMMYFUNCTION("""COMPUTED_VALUE"""),61.68)</f>
        <v>61.68</v>
      </c>
      <c r="R201" s="320">
        <f>IFERROR(__xludf.DUMMYFUNCTION("""COMPUTED_VALUE"""),11.6)</f>
        <v>11.6</v>
      </c>
      <c r="S201" s="320">
        <f>IFERROR(__xludf.DUMMYFUNCTION("""COMPUTED_VALUE"""),0.04)</f>
        <v>0.04</v>
      </c>
      <c r="T201" s="320">
        <f>IFERROR(__xludf.DUMMYFUNCTION("""COMPUTED_VALUE"""),73.25)</f>
        <v>73.25</v>
      </c>
      <c r="U201" s="320">
        <f>IFERROR(__xludf.DUMMYFUNCTION("""COMPUTED_VALUE"""),61.62)</f>
        <v>61.62</v>
      </c>
      <c r="V201" s="320">
        <f>IFERROR(__xludf.DUMMYFUNCTION("""COMPUTED_VALUE"""),4.141)</f>
        <v>4.141</v>
      </c>
      <c r="W201" s="320">
        <f>IFERROR(__xludf.DUMMYFUNCTION("""COMPUTED_VALUE"""),0.05)</f>
        <v>0.05</v>
      </c>
      <c r="X201" s="320">
        <f>IFERROR(__xludf.DUMMYFUNCTION("""COMPUTED_VALUE"""),142.0)</f>
        <v>142</v>
      </c>
      <c r="Y201" s="320">
        <f>IFERROR(__xludf.DUMMYFUNCTION("""COMPUTED_VALUE"""),797.0)</f>
        <v>797</v>
      </c>
      <c r="Z201" s="320">
        <f>IFERROR(__xludf.DUMMYFUNCTION("""COMPUTED_VALUE"""),5576.0)</f>
        <v>5576</v>
      </c>
      <c r="AA201" s="320">
        <f>IFERROR(__xludf.DUMMYFUNCTION("""COMPUTED_VALUE"""),48.4238)</f>
        <v>48.4238</v>
      </c>
      <c r="AB201" s="320">
        <f>IFERROR(__xludf.DUMMYFUNCTION("""COMPUTED_VALUE"""),0.5112)</f>
        <v>0.5112</v>
      </c>
      <c r="AC201" s="320">
        <f>IFERROR(__xludf.DUMMYFUNCTION("""COMPUTED_VALUE"""),3.87)</f>
        <v>3.87</v>
      </c>
      <c r="AD201" s="320">
        <f>IFERROR(__xludf.DUMMYFUNCTION("""COMPUTED_VALUE"""),1.0)</f>
        <v>1</v>
      </c>
      <c r="AE201" s="320">
        <f>IFERROR(__xludf.DUMMYFUNCTION("""COMPUTED_VALUE"""),3.0)</f>
        <v>3</v>
      </c>
      <c r="AF201" s="320">
        <f>IFERROR(__xludf.DUMMYFUNCTION("""COMPUTED_VALUE"""),5.0)</f>
        <v>5</v>
      </c>
      <c r="AG201" s="320">
        <f>IFERROR(__xludf.DUMMYFUNCTION("""COMPUTED_VALUE"""),8.0)</f>
        <v>8</v>
      </c>
      <c r="AH201" s="320">
        <f>IFERROR(__xludf.DUMMYFUNCTION("""COMPUTED_VALUE"""),72.78)</f>
        <v>72.78</v>
      </c>
      <c r="AI201" s="320">
        <f>IFERROR(__xludf.DUMMYFUNCTION("""COMPUTED_VALUE"""),29.01)</f>
        <v>29.01</v>
      </c>
      <c r="AJ201" s="320">
        <f>IFERROR(__xludf.DUMMYFUNCTION("""COMPUTED_VALUE"""),7.82)</f>
        <v>7.82</v>
      </c>
      <c r="AK201" s="320">
        <f>IFERROR(__xludf.DUMMYFUNCTION("""COMPUTED_VALUE"""),0.2277)</f>
        <v>0.2277</v>
      </c>
      <c r="AL201" s="320">
        <f>IFERROR(__xludf.DUMMYFUNCTION("""COMPUTED_VALUE"""),18.88)</f>
        <v>18.88</v>
      </c>
      <c r="AM201" s="320">
        <f>IFERROR(__xludf.DUMMYFUNCTION("""COMPUTED_VALUE"""),42.81)</f>
        <v>42.81</v>
      </c>
      <c r="AN201" s="320">
        <f>IFERROR(__xludf.DUMMYFUNCTION("""COMPUTED_VALUE"""),66.08)</f>
        <v>66.08</v>
      </c>
      <c r="AO201" s="320">
        <f>IFERROR(__xludf.DUMMYFUNCTION("""COMPUTED_VALUE"""),12.48)</f>
        <v>12.48</v>
      </c>
    </row>
    <row r="202" ht="15.75" customHeight="1">
      <c r="A202" s="330">
        <f>IFERROR(__xludf.DUMMYFUNCTION("""COMPUTED_VALUE"""),46083.0)</f>
        <v>46083</v>
      </c>
      <c r="B202" s="319" t="str">
        <f>IFERROR(__xludf.DUMMYFUNCTION("""COMPUTED_VALUE"""),"C. 10-19")</f>
        <v>C. 10-19</v>
      </c>
      <c r="C202" s="320">
        <f>IFERROR(__xludf.DUMMYFUNCTION("""COMPUTED_VALUE"""),27097.0)</f>
        <v>27097</v>
      </c>
      <c r="D202" s="320">
        <f>IFERROR(__xludf.DUMMYFUNCTION("""COMPUTED_VALUE"""),24.79)</f>
        <v>24.79</v>
      </c>
      <c r="E202" s="320">
        <f>IFERROR(__xludf.DUMMYFUNCTION("""COMPUTED_VALUE"""),0.0)</f>
        <v>0</v>
      </c>
      <c r="F202" s="320">
        <f>IFERROR(__xludf.DUMMYFUNCTION("""COMPUTED_VALUE"""),0.0)</f>
        <v>0</v>
      </c>
      <c r="G202" s="320">
        <f>IFERROR(__xludf.DUMMYFUNCTION("""COMPUTED_VALUE"""),0.0)</f>
        <v>0</v>
      </c>
      <c r="H202" s="106"/>
      <c r="I202" s="320">
        <f>IFERROR(__xludf.DUMMYFUNCTION("""COMPUTED_VALUE"""),61.53)</f>
        <v>61.53</v>
      </c>
      <c r="J202" s="320">
        <f>IFERROR(__xludf.DUMMYFUNCTION("""COMPUTED_VALUE"""),28.81)</f>
        <v>28.81</v>
      </c>
      <c r="K202" s="320">
        <f>IFERROR(__xludf.DUMMYFUNCTION("""COMPUTED_VALUE"""),15.2)</f>
        <v>15.2</v>
      </c>
      <c r="L202" s="320">
        <f>IFERROR(__xludf.DUMMYFUNCTION("""COMPUTED_VALUE"""),0.5277)</f>
        <v>0.5277</v>
      </c>
      <c r="M202" s="320">
        <f>IFERROR(__xludf.DUMMYFUNCTION("""COMPUTED_VALUE"""),0.6684)</f>
        <v>0.6684</v>
      </c>
      <c r="N202" s="320">
        <f>IFERROR(__xludf.DUMMYFUNCTION("""COMPUTED_VALUE"""),0.4676)</f>
        <v>0.4676</v>
      </c>
      <c r="O202" s="320">
        <f>IFERROR(__xludf.DUMMYFUNCTION("""COMPUTED_VALUE"""),1.895)</f>
        <v>1.895</v>
      </c>
      <c r="P202" s="320">
        <f>IFERROR(__xludf.DUMMYFUNCTION("""COMPUTED_VALUE"""),134.51)</f>
        <v>134.51</v>
      </c>
      <c r="Q202" s="320">
        <f>IFERROR(__xludf.DUMMYFUNCTION("""COMPUTED_VALUE"""),104.77)</f>
        <v>104.77</v>
      </c>
      <c r="R202" s="320">
        <f>IFERROR(__xludf.DUMMYFUNCTION("""COMPUTED_VALUE"""),29.74)</f>
        <v>29.74</v>
      </c>
      <c r="S202" s="320">
        <f>IFERROR(__xludf.DUMMYFUNCTION("""COMPUTED_VALUE"""),0.24)</f>
        <v>0.24</v>
      </c>
      <c r="T202" s="320">
        <f>IFERROR(__xludf.DUMMYFUNCTION("""COMPUTED_VALUE"""),134.27)</f>
        <v>134.27</v>
      </c>
      <c r="U202" s="320">
        <f>IFERROR(__xludf.DUMMYFUNCTION("""COMPUTED_VALUE"""),117.82)</f>
        <v>117.82</v>
      </c>
      <c r="V202" s="320">
        <f>IFERROR(__xludf.DUMMYFUNCTION("""COMPUTED_VALUE"""),4.0896)</f>
        <v>4.0896</v>
      </c>
      <c r="W202" s="320">
        <f>IFERROR(__xludf.DUMMYFUNCTION("""COMPUTED_VALUE"""),0.18)</f>
        <v>0.18</v>
      </c>
      <c r="X202" s="320">
        <f>IFERROR(__xludf.DUMMYFUNCTION("""COMPUTED_VALUE"""),131.0)</f>
        <v>131</v>
      </c>
      <c r="Y202" s="320">
        <f>IFERROR(__xludf.DUMMYFUNCTION("""COMPUTED_VALUE"""),718.0)</f>
        <v>718</v>
      </c>
      <c r="Z202" s="320">
        <f>IFERROR(__xludf.DUMMYFUNCTION("""COMPUTED_VALUE"""),5850.0)</f>
        <v>5850</v>
      </c>
      <c r="AA202" s="320">
        <f>IFERROR(__xludf.DUMMYFUNCTION("""COMPUTED_VALUE"""),52.3364)</f>
        <v>52.3364</v>
      </c>
      <c r="AB202" s="320">
        <f>IFERROR(__xludf.DUMMYFUNCTION("""COMPUTED_VALUE"""),0.5854)</f>
        <v>0.5854</v>
      </c>
      <c r="AC202" s="320">
        <f>IFERROR(__xludf.DUMMYFUNCTION("""COMPUTED_VALUE"""),9.73)</f>
        <v>9.73</v>
      </c>
      <c r="AD202" s="320">
        <f>IFERROR(__xludf.DUMMYFUNCTION("""COMPUTED_VALUE"""),4.0)</f>
        <v>4</v>
      </c>
      <c r="AE202" s="320">
        <f>IFERROR(__xludf.DUMMYFUNCTION("""COMPUTED_VALUE"""),7.0)</f>
        <v>7</v>
      </c>
      <c r="AF202" s="320">
        <f>IFERROR(__xludf.DUMMYFUNCTION("""COMPUTED_VALUE"""),13.0)</f>
        <v>13</v>
      </c>
      <c r="AG202" s="320">
        <f>IFERROR(__xludf.DUMMYFUNCTION("""COMPUTED_VALUE"""),20.0)</f>
        <v>20</v>
      </c>
      <c r="AH202" s="320">
        <f>IFERROR(__xludf.DUMMYFUNCTION("""COMPUTED_VALUE"""),61.13)</f>
        <v>61.13</v>
      </c>
      <c r="AI202" s="320">
        <f>IFERROR(__xludf.DUMMYFUNCTION("""COMPUTED_VALUE"""),27.31)</f>
        <v>27.31</v>
      </c>
      <c r="AJ202" s="320">
        <f>IFERROR(__xludf.DUMMYFUNCTION("""COMPUTED_VALUE"""),5.57)</f>
        <v>5.57</v>
      </c>
      <c r="AK202" s="320">
        <f>IFERROR(__xludf.DUMMYFUNCTION("""COMPUTED_VALUE"""),0.1743)</f>
        <v>0.1743</v>
      </c>
      <c r="AL202" s="320">
        <f>IFERROR(__xludf.DUMMYFUNCTION("""COMPUTED_VALUE"""),19.3)</f>
        <v>19.3</v>
      </c>
      <c r="AM202" s="320">
        <f>IFERROR(__xludf.DUMMYFUNCTION("""COMPUTED_VALUE"""),85.48)</f>
        <v>85.48</v>
      </c>
      <c r="AN202" s="320">
        <f>IFERROR(__xludf.DUMMYFUNCTION("""COMPUTED_VALUE"""),73.28)</f>
        <v>73.28</v>
      </c>
      <c r="AO202" s="320">
        <f>IFERROR(__xludf.DUMMYFUNCTION("""COMPUTED_VALUE"""),14.14)</f>
        <v>14.14</v>
      </c>
    </row>
    <row r="203" ht="15.75" customHeight="1">
      <c r="A203" s="330">
        <f>IFERROR(__xludf.DUMMYFUNCTION("""COMPUTED_VALUE"""),46083.0)</f>
        <v>46083</v>
      </c>
      <c r="B203" s="319" t="str">
        <f>IFERROR(__xludf.DUMMYFUNCTION("""COMPUTED_VALUE"""),"D. 20-39")</f>
        <v>D. 20-39</v>
      </c>
      <c r="C203" s="320">
        <f>IFERROR(__xludf.DUMMYFUNCTION("""COMPUTED_VALUE"""),14591.0)</f>
        <v>14591</v>
      </c>
      <c r="D203" s="320">
        <f>IFERROR(__xludf.DUMMYFUNCTION("""COMPUTED_VALUE"""),13.35)</f>
        <v>13.35</v>
      </c>
      <c r="E203" s="320">
        <f>IFERROR(__xludf.DUMMYFUNCTION("""COMPUTED_VALUE"""),0.0)</f>
        <v>0</v>
      </c>
      <c r="F203" s="320">
        <f>IFERROR(__xludf.DUMMYFUNCTION("""COMPUTED_VALUE"""),0.0)</f>
        <v>0</v>
      </c>
      <c r="G203" s="320">
        <f>IFERROR(__xludf.DUMMYFUNCTION("""COMPUTED_VALUE"""),0.0)</f>
        <v>0</v>
      </c>
      <c r="H203" s="106"/>
      <c r="I203" s="320">
        <f>IFERROR(__xludf.DUMMYFUNCTION("""COMPUTED_VALUE"""),90.6)</f>
        <v>90.6</v>
      </c>
      <c r="J203" s="320">
        <f>IFERROR(__xludf.DUMMYFUNCTION("""COMPUTED_VALUE"""),45.24)</f>
        <v>45.24</v>
      </c>
      <c r="K203" s="320">
        <f>IFERROR(__xludf.DUMMYFUNCTION("""COMPUTED_VALUE"""),31.07)</f>
        <v>31.07</v>
      </c>
      <c r="L203" s="320">
        <f>IFERROR(__xludf.DUMMYFUNCTION("""COMPUTED_VALUE"""),0.6868)</f>
        <v>0.6868</v>
      </c>
      <c r="M203" s="320">
        <f>IFERROR(__xludf.DUMMYFUNCTION("""COMPUTED_VALUE"""),0.5135)</f>
        <v>0.5135</v>
      </c>
      <c r="N203" s="320">
        <f>IFERROR(__xludf.DUMMYFUNCTION("""COMPUTED_VALUE"""),0.3566)</f>
        <v>0.3566</v>
      </c>
      <c r="O203" s="320">
        <f>IFERROR(__xludf.DUMMYFUNCTION("""COMPUTED_VALUE"""),1.4559)</f>
        <v>1.4559</v>
      </c>
      <c r="P203" s="320">
        <f>IFERROR(__xludf.DUMMYFUNCTION("""COMPUTED_VALUE"""),229.52)</f>
        <v>229.52</v>
      </c>
      <c r="Q203" s="320">
        <f>IFERROR(__xludf.DUMMYFUNCTION("""COMPUTED_VALUE"""),169.69)</f>
        <v>169.69</v>
      </c>
      <c r="R203" s="320">
        <f>IFERROR(__xludf.DUMMYFUNCTION("""COMPUTED_VALUE"""),59.83)</f>
        <v>59.83</v>
      </c>
      <c r="S203" s="320">
        <f>IFERROR(__xludf.DUMMYFUNCTION("""COMPUTED_VALUE"""),0.38)</f>
        <v>0.38</v>
      </c>
      <c r="T203" s="320">
        <f>IFERROR(__xludf.DUMMYFUNCTION("""COMPUTED_VALUE"""),229.14)</f>
        <v>229.14</v>
      </c>
      <c r="U203" s="320">
        <f>IFERROR(__xludf.DUMMYFUNCTION("""COMPUTED_VALUE"""),208.14)</f>
        <v>208.14</v>
      </c>
      <c r="V203" s="320">
        <f>IFERROR(__xludf.DUMMYFUNCTION("""COMPUTED_VALUE"""),4.6011)</f>
        <v>4.6011</v>
      </c>
      <c r="W203" s="320">
        <f>IFERROR(__xludf.DUMMYFUNCTION("""COMPUTED_VALUE"""),0.17)</f>
        <v>0.17</v>
      </c>
      <c r="X203" s="320">
        <f>IFERROR(__xludf.DUMMYFUNCTION("""COMPUTED_VALUE"""),187.0)</f>
        <v>187</v>
      </c>
      <c r="Y203" s="320">
        <f>IFERROR(__xludf.DUMMYFUNCTION("""COMPUTED_VALUE"""),1213.0)</f>
        <v>1213</v>
      </c>
      <c r="Z203" s="320">
        <f>IFERROR(__xludf.DUMMYFUNCTION("""COMPUTED_VALUE"""),8275.0)</f>
        <v>8275</v>
      </c>
      <c r="AA203" s="320">
        <f>IFERROR(__xludf.DUMMYFUNCTION("""COMPUTED_VALUE"""),55.8478)</f>
        <v>55.8478</v>
      </c>
      <c r="AB203" s="320">
        <f>IFERROR(__xludf.DUMMYFUNCTION("""COMPUTED_VALUE"""),0.6656)</f>
        <v>0.6656</v>
      </c>
      <c r="AC203" s="320">
        <f>IFERROR(__xludf.DUMMYFUNCTION("""COMPUTED_VALUE"""),19.59)</f>
        <v>19.59</v>
      </c>
      <c r="AD203" s="320">
        <f>IFERROR(__xludf.DUMMYFUNCTION("""COMPUTED_VALUE"""),8.0)</f>
        <v>8</v>
      </c>
      <c r="AE203" s="320">
        <f>IFERROR(__xludf.DUMMYFUNCTION("""COMPUTED_VALUE"""),16.0)</f>
        <v>16</v>
      </c>
      <c r="AF203" s="320">
        <f>IFERROR(__xludf.DUMMYFUNCTION("""COMPUTED_VALUE"""),28.0)</f>
        <v>28</v>
      </c>
      <c r="AG203" s="320">
        <f>IFERROR(__xludf.DUMMYFUNCTION("""COMPUTED_VALUE"""),40.0)</f>
        <v>40</v>
      </c>
      <c r="AH203" s="320">
        <f>IFERROR(__xludf.DUMMYFUNCTION("""COMPUTED_VALUE"""),65.5)</f>
        <v>65.5</v>
      </c>
      <c r="AI203" s="320">
        <f>IFERROR(__xludf.DUMMYFUNCTION("""COMPUTED_VALUE"""),28.96)</f>
        <v>28.96</v>
      </c>
      <c r="AJ203" s="320">
        <f>IFERROR(__xludf.DUMMYFUNCTION("""COMPUTED_VALUE"""),7.1)</f>
        <v>7.1</v>
      </c>
      <c r="AK203" s="320">
        <f>IFERROR(__xludf.DUMMYFUNCTION("""COMPUTED_VALUE"""),0.1629)</f>
        <v>0.1629</v>
      </c>
      <c r="AL203" s="320">
        <f>IFERROR(__xludf.DUMMYFUNCTION("""COMPUTED_VALUE"""),19.86)</f>
        <v>19.86</v>
      </c>
      <c r="AM203" s="320">
        <f>IFERROR(__xludf.DUMMYFUNCTION("""COMPUTED_VALUE"""),149.83)</f>
        <v>149.83</v>
      </c>
      <c r="AN203" s="320">
        <f>IFERROR(__xludf.DUMMYFUNCTION("""COMPUTED_VALUE"""),72.65)</f>
        <v>72.65</v>
      </c>
      <c r="AO203" s="320">
        <f>IFERROR(__xludf.DUMMYFUNCTION("""COMPUTED_VALUE"""),14.43)</f>
        <v>14.43</v>
      </c>
    </row>
    <row r="204" ht="15.75" customHeight="1">
      <c r="A204" s="330">
        <f>IFERROR(__xludf.DUMMYFUNCTION("""COMPUTED_VALUE"""),46083.0)</f>
        <v>46083</v>
      </c>
      <c r="B204" s="319" t="str">
        <f>IFERROR(__xludf.DUMMYFUNCTION("""COMPUTED_VALUE"""),"E. 40-99")</f>
        <v>E. 40-99</v>
      </c>
      <c r="C204" s="320">
        <f>IFERROR(__xludf.DUMMYFUNCTION("""COMPUTED_VALUE"""),5952.0)</f>
        <v>5952</v>
      </c>
      <c r="D204" s="320">
        <f>IFERROR(__xludf.DUMMYFUNCTION("""COMPUTED_VALUE"""),5.45)</f>
        <v>5.45</v>
      </c>
      <c r="E204" s="320">
        <f>IFERROR(__xludf.DUMMYFUNCTION("""COMPUTED_VALUE"""),0.0)</f>
        <v>0</v>
      </c>
      <c r="F204" s="320">
        <f>IFERROR(__xludf.DUMMYFUNCTION("""COMPUTED_VALUE"""),0.0)</f>
        <v>0</v>
      </c>
      <c r="G204" s="320">
        <f>IFERROR(__xludf.DUMMYFUNCTION("""COMPUTED_VALUE"""),0.0)</f>
        <v>0</v>
      </c>
      <c r="H204" s="106"/>
      <c r="I204" s="320">
        <f>IFERROR(__xludf.DUMMYFUNCTION("""COMPUTED_VALUE"""),144.15)</f>
        <v>144.15</v>
      </c>
      <c r="J204" s="320">
        <f>IFERROR(__xludf.DUMMYFUNCTION("""COMPUTED_VALUE"""),77.95)</f>
        <v>77.95</v>
      </c>
      <c r="K204" s="320">
        <f>IFERROR(__xludf.DUMMYFUNCTION("""COMPUTED_VALUE"""),62.84)</f>
        <v>62.84</v>
      </c>
      <c r="L204" s="320">
        <f>IFERROR(__xludf.DUMMYFUNCTION("""COMPUTED_VALUE"""),0.8063)</f>
        <v>0.8063</v>
      </c>
      <c r="M204" s="320">
        <f>IFERROR(__xludf.DUMMYFUNCTION("""COMPUTED_VALUE"""),0.3767)</f>
        <v>0.3767</v>
      </c>
      <c r="N204" s="320">
        <f>IFERROR(__xludf.DUMMYFUNCTION("""COMPUTED_VALUE"""),0.2722)</f>
        <v>0.2722</v>
      </c>
      <c r="O204" s="320">
        <f>IFERROR(__xludf.DUMMYFUNCTION("""COMPUTED_VALUE"""),1.2403)</f>
        <v>1.2403</v>
      </c>
      <c r="P204" s="320">
        <f>IFERROR(__xludf.DUMMYFUNCTION("""COMPUTED_VALUE"""),406.05)</f>
        <v>406.05</v>
      </c>
      <c r="Q204" s="320">
        <f>IFERROR(__xludf.DUMMYFUNCTION("""COMPUTED_VALUE"""),285.37)</f>
        <v>285.37</v>
      </c>
      <c r="R204" s="320">
        <f>IFERROR(__xludf.DUMMYFUNCTION("""COMPUTED_VALUE"""),120.67)</f>
        <v>120.67</v>
      </c>
      <c r="S204" s="320">
        <f>IFERROR(__xludf.DUMMYFUNCTION("""COMPUTED_VALUE"""),0.0)</f>
        <v>0</v>
      </c>
      <c r="T204" s="320">
        <f>IFERROR(__xludf.DUMMYFUNCTION("""COMPUTED_VALUE"""),406.05)</f>
        <v>406.05</v>
      </c>
      <c r="U204" s="320">
        <f>IFERROR(__xludf.DUMMYFUNCTION("""COMPUTED_VALUE"""),381.75)</f>
        <v>381.75</v>
      </c>
      <c r="V204" s="320">
        <f>IFERROR(__xludf.DUMMYFUNCTION("""COMPUTED_VALUE"""),4.8975)</f>
        <v>4.8975</v>
      </c>
      <c r="W204" s="320">
        <f>IFERROR(__xludf.DUMMYFUNCTION("""COMPUTED_VALUE"""),0.0)</f>
        <v>0</v>
      </c>
      <c r="X204" s="320">
        <f>IFERROR(__xludf.DUMMYFUNCTION("""COMPUTED_VALUE"""),375.0)</f>
        <v>375</v>
      </c>
      <c r="Y204" s="320">
        <f>IFERROR(__xludf.DUMMYFUNCTION("""COMPUTED_VALUE"""),2952.0)</f>
        <v>2952</v>
      </c>
      <c r="Z204" s="320">
        <f>IFERROR(__xludf.DUMMYFUNCTION("""COMPUTED_VALUE"""),12299.0)</f>
        <v>12299</v>
      </c>
      <c r="AA204" s="320">
        <f>IFERROR(__xludf.DUMMYFUNCTION("""COMPUTED_VALUE"""),59.4817)</f>
        <v>59.4817</v>
      </c>
      <c r="AB204" s="320">
        <f>IFERROR(__xludf.DUMMYFUNCTION("""COMPUTED_VALUE"""),0.7486)</f>
        <v>0.7486</v>
      </c>
      <c r="AC204" s="320">
        <f>IFERROR(__xludf.DUMMYFUNCTION("""COMPUTED_VALUE"""),39.65)</f>
        <v>39.65</v>
      </c>
      <c r="AD204" s="320">
        <f>IFERROR(__xludf.DUMMYFUNCTION("""COMPUTED_VALUE"""),17.0)</f>
        <v>17</v>
      </c>
      <c r="AE204" s="320">
        <f>IFERROR(__xludf.DUMMYFUNCTION("""COMPUTED_VALUE"""),33.0)</f>
        <v>33</v>
      </c>
      <c r="AF204" s="320">
        <f>IFERROR(__xludf.DUMMYFUNCTION("""COMPUTED_VALUE"""),52.0)</f>
        <v>52</v>
      </c>
      <c r="AG204" s="320">
        <f>IFERROR(__xludf.DUMMYFUNCTION("""COMPUTED_VALUE"""),79.0)</f>
        <v>79</v>
      </c>
      <c r="AH204" s="320">
        <f>IFERROR(__xludf.DUMMYFUNCTION("""COMPUTED_VALUE"""),58.48)</f>
        <v>58.48</v>
      </c>
      <c r="AI204" s="320">
        <f>IFERROR(__xludf.DUMMYFUNCTION("""COMPUTED_VALUE"""),20.21)</f>
        <v>20.21</v>
      </c>
      <c r="AJ204" s="320">
        <f>IFERROR(__xludf.DUMMYFUNCTION("""COMPUTED_VALUE"""),5.02)</f>
        <v>5.02</v>
      </c>
      <c r="AK204" s="320">
        <f>IFERROR(__xludf.DUMMYFUNCTION("""COMPUTED_VALUE"""),0.1198)</f>
        <v>0.1198</v>
      </c>
      <c r="AL204" s="320">
        <f>IFERROR(__xludf.DUMMYFUNCTION("""COMPUTED_VALUE"""),21.31)</f>
        <v>21.31</v>
      </c>
      <c r="AM204" s="320">
        <f>IFERROR(__xludf.DUMMYFUNCTION("""COMPUTED_VALUE"""),264.06)</f>
        <v>264.06</v>
      </c>
      <c r="AN204" s="320">
        <f>IFERROR(__xludf.DUMMYFUNCTION("""COMPUTED_VALUE"""),75.48)</f>
        <v>75.48</v>
      </c>
      <c r="AO204" s="320">
        <f>IFERROR(__xludf.DUMMYFUNCTION("""COMPUTED_VALUE"""),16.08)</f>
        <v>16.08</v>
      </c>
    </row>
    <row r="205" ht="15.75" customHeight="1">
      <c r="A205" s="330">
        <f>IFERROR(__xludf.DUMMYFUNCTION("""COMPUTED_VALUE"""),46083.0)</f>
        <v>46083</v>
      </c>
      <c r="B205" s="319" t="str">
        <f>IFERROR(__xludf.DUMMYFUNCTION("""COMPUTED_VALUE"""),"F. 100+")</f>
        <v>F. 100+</v>
      </c>
      <c r="C205" s="320">
        <f>IFERROR(__xludf.DUMMYFUNCTION("""COMPUTED_VALUE"""),579.0)</f>
        <v>579</v>
      </c>
      <c r="D205" s="320">
        <f>IFERROR(__xludf.DUMMYFUNCTION("""COMPUTED_VALUE"""),0.53)</f>
        <v>0.53</v>
      </c>
      <c r="E205" s="320">
        <f>IFERROR(__xludf.DUMMYFUNCTION("""COMPUTED_VALUE"""),0.0)</f>
        <v>0</v>
      </c>
      <c r="F205" s="320">
        <f>IFERROR(__xludf.DUMMYFUNCTION("""COMPUTED_VALUE"""),0.0)</f>
        <v>0</v>
      </c>
      <c r="G205" s="320">
        <f>IFERROR(__xludf.DUMMYFUNCTION("""COMPUTED_VALUE"""),0.0)</f>
        <v>0</v>
      </c>
      <c r="H205" s="106"/>
      <c r="I205" s="320">
        <f>IFERROR(__xludf.DUMMYFUNCTION("""COMPUTED_VALUE"""),266.67)</f>
        <v>266.67</v>
      </c>
      <c r="J205" s="320">
        <f>IFERROR(__xludf.DUMMYFUNCTION("""COMPUTED_VALUE"""),156.57)</f>
        <v>156.57</v>
      </c>
      <c r="K205" s="320">
        <f>IFERROR(__xludf.DUMMYFUNCTION("""COMPUTED_VALUE"""),135.69)</f>
        <v>135.69</v>
      </c>
      <c r="L205" s="320">
        <f>IFERROR(__xludf.DUMMYFUNCTION("""COMPUTED_VALUE"""),0.8667)</f>
        <v>0.8667</v>
      </c>
      <c r="M205" s="320">
        <f>IFERROR(__xludf.DUMMYFUNCTION("""COMPUTED_VALUE"""),0.2864)</f>
        <v>0.2864</v>
      </c>
      <c r="N205" s="320">
        <f>IFERROR(__xludf.DUMMYFUNCTION("""COMPUTED_VALUE"""),0.2131)</f>
        <v>0.2131</v>
      </c>
      <c r="O205" s="320">
        <f>IFERROR(__xludf.DUMMYFUNCTION("""COMPUTED_VALUE"""),1.1538)</f>
        <v>1.1538</v>
      </c>
      <c r="P205" s="320">
        <f>IFERROR(__xludf.DUMMYFUNCTION("""COMPUTED_VALUE"""),786.34)</f>
        <v>786.34</v>
      </c>
      <c r="Q205" s="320">
        <f>IFERROR(__xludf.DUMMYFUNCTION("""COMPUTED_VALUE"""),496.04)</f>
        <v>496.04</v>
      </c>
      <c r="R205" s="320">
        <f>IFERROR(__xludf.DUMMYFUNCTION("""COMPUTED_VALUE"""),290.3)</f>
        <v>290.3</v>
      </c>
      <c r="S205" s="320">
        <f>IFERROR(__xludf.DUMMYFUNCTION("""COMPUTED_VALUE"""),0.0)</f>
        <v>0</v>
      </c>
      <c r="T205" s="320">
        <f>IFERROR(__xludf.DUMMYFUNCTION("""COMPUTED_VALUE"""),786.34)</f>
        <v>786.34</v>
      </c>
      <c r="U205" s="320">
        <f>IFERROR(__xludf.DUMMYFUNCTION("""COMPUTED_VALUE"""),682.56)</f>
        <v>682.56</v>
      </c>
      <c r="V205" s="320">
        <f>IFERROR(__xludf.DUMMYFUNCTION("""COMPUTED_VALUE"""),4.3595)</f>
        <v>4.3595</v>
      </c>
      <c r="W205" s="320">
        <f>IFERROR(__xludf.DUMMYFUNCTION("""COMPUTED_VALUE"""),0.0)</f>
        <v>0</v>
      </c>
      <c r="X205" s="320">
        <f>IFERROR(__xludf.DUMMYFUNCTION("""COMPUTED_VALUE"""),1089.0)</f>
        <v>1089</v>
      </c>
      <c r="Y205" s="320">
        <f>IFERROR(__xludf.DUMMYFUNCTION("""COMPUTED_VALUE"""),4720.0)</f>
        <v>4720</v>
      </c>
      <c r="Z205" s="320">
        <f>IFERROR(__xludf.DUMMYFUNCTION("""COMPUTED_VALUE"""),13379.0)</f>
        <v>13379</v>
      </c>
      <c r="AA205" s="320">
        <f>IFERROR(__xludf.DUMMYFUNCTION("""COMPUTED_VALUE"""),63.7487)</f>
        <v>63.7487</v>
      </c>
      <c r="AB205" s="320">
        <f>IFERROR(__xludf.DUMMYFUNCTION("""COMPUTED_VALUE"""),0.8916)</f>
        <v>0.8916</v>
      </c>
      <c r="AC205" s="320">
        <f>IFERROR(__xludf.DUMMYFUNCTION("""COMPUTED_VALUE"""),93.35)</f>
        <v>93.35</v>
      </c>
      <c r="AD205" s="320">
        <f>IFERROR(__xludf.DUMMYFUNCTION("""COMPUTED_VALUE"""),38.0)</f>
        <v>38</v>
      </c>
      <c r="AE205" s="320">
        <f>IFERROR(__xludf.DUMMYFUNCTION("""COMPUTED_VALUE"""),82.0)</f>
        <v>82</v>
      </c>
      <c r="AF205" s="320">
        <f>IFERROR(__xludf.DUMMYFUNCTION("""COMPUTED_VALUE"""),134.0)</f>
        <v>134</v>
      </c>
      <c r="AG205" s="320">
        <f>IFERROR(__xludf.DUMMYFUNCTION("""COMPUTED_VALUE"""),183.0)</f>
        <v>183</v>
      </c>
      <c r="AH205" s="320">
        <f>IFERROR(__xludf.DUMMYFUNCTION("""COMPUTED_VALUE"""),50.95)</f>
        <v>50.95</v>
      </c>
      <c r="AI205" s="320">
        <f>IFERROR(__xludf.DUMMYFUNCTION("""COMPUTED_VALUE"""),11.57)</f>
        <v>11.57</v>
      </c>
      <c r="AJ205" s="320">
        <f>IFERROR(__xludf.DUMMYFUNCTION("""COMPUTED_VALUE"""),1.21)</f>
        <v>1.21</v>
      </c>
      <c r="AK205" s="320">
        <f>IFERROR(__xludf.DUMMYFUNCTION("""COMPUTED_VALUE"""),0.0984)</f>
        <v>0.0984</v>
      </c>
      <c r="AL205" s="320">
        <f>IFERROR(__xludf.DUMMYFUNCTION("""COMPUTED_VALUE"""),21.68)</f>
        <v>21.68</v>
      </c>
      <c r="AM205" s="320">
        <f>IFERROR(__xludf.DUMMYFUNCTION("""COMPUTED_VALUE"""),474.36)</f>
        <v>474.36</v>
      </c>
      <c r="AN205" s="320">
        <f>IFERROR(__xludf.DUMMYFUNCTION("""COMPUTED_VALUE"""),84.23)</f>
        <v>84.23</v>
      </c>
      <c r="AO205" s="320">
        <f>IFERROR(__xludf.DUMMYFUNCTION("""COMPUTED_VALUE"""),18.26)</f>
        <v>18.26</v>
      </c>
    </row>
    <row r="206" ht="15.75" customHeight="1">
      <c r="A206" s="330">
        <f>IFERROR(__xludf.DUMMYFUNCTION("""COMPUTED_VALUE"""),46084.0)</f>
        <v>46084</v>
      </c>
      <c r="B206" s="319" t="str">
        <f>IFERROR(__xludf.DUMMYFUNCTION("""COMPUTED_VALUE"""),"A. 0")</f>
        <v>A. 0</v>
      </c>
      <c r="C206" s="320">
        <f>IFERROR(__xludf.DUMMYFUNCTION("""COMPUTED_VALUE"""),19482.0)</f>
        <v>19482</v>
      </c>
      <c r="D206" s="320">
        <f>IFERROR(__xludf.DUMMYFUNCTION("""COMPUTED_VALUE"""),17.85)</f>
        <v>17.85</v>
      </c>
      <c r="E206" s="320">
        <f>IFERROR(__xludf.DUMMYFUNCTION("""COMPUTED_VALUE"""),0.0)</f>
        <v>0</v>
      </c>
      <c r="F206" s="320">
        <f>IFERROR(__xludf.DUMMYFUNCTION("""COMPUTED_VALUE"""),0.0)</f>
        <v>0</v>
      </c>
      <c r="G206" s="320">
        <f>IFERROR(__xludf.DUMMYFUNCTION("""COMPUTED_VALUE"""),0.0)</f>
        <v>0</v>
      </c>
      <c r="H206" s="106"/>
      <c r="I206" s="320">
        <f>IFERROR(__xludf.DUMMYFUNCTION("""COMPUTED_VALUE"""),6.27)</f>
        <v>6.27</v>
      </c>
      <c r="J206" s="320">
        <f>IFERROR(__xludf.DUMMYFUNCTION("""COMPUTED_VALUE"""),2.43)</f>
        <v>2.43</v>
      </c>
      <c r="K206" s="320">
        <f>IFERROR(__xludf.DUMMYFUNCTION("""COMPUTED_VALUE"""),0.07)</f>
        <v>0.07</v>
      </c>
      <c r="L206" s="320">
        <f>IFERROR(__xludf.DUMMYFUNCTION("""COMPUTED_VALUE"""),0.0281)</f>
        <v>0.0281</v>
      </c>
      <c r="M206" s="320">
        <f>IFERROR(__xludf.DUMMYFUNCTION("""COMPUTED_VALUE"""),0.9769)</f>
        <v>0.9769</v>
      </c>
      <c r="N206" s="320">
        <f>IFERROR(__xludf.DUMMYFUNCTION("""COMPUTED_VALUE"""),0.74)</f>
        <v>0.74</v>
      </c>
      <c r="O206" s="320">
        <f>IFERROR(__xludf.DUMMYFUNCTION("""COMPUTED_VALUE"""),35.5303)</f>
        <v>35.5303</v>
      </c>
      <c r="P206" s="320">
        <f>IFERROR(__xludf.DUMMYFUNCTION("""COMPUTED_VALUE"""),33.02)</f>
        <v>33.02</v>
      </c>
      <c r="Q206" s="320">
        <f>IFERROR(__xludf.DUMMYFUNCTION("""COMPUTED_VALUE"""),32.92)</f>
        <v>32.92</v>
      </c>
      <c r="R206" s="320">
        <f>IFERROR(__xludf.DUMMYFUNCTION("""COMPUTED_VALUE"""),0.1)</f>
        <v>0.1</v>
      </c>
      <c r="S206" s="320">
        <f>IFERROR(__xludf.DUMMYFUNCTION("""COMPUTED_VALUE"""),0.0)</f>
        <v>0</v>
      </c>
      <c r="T206" s="320">
        <f>IFERROR(__xludf.DUMMYFUNCTION("""COMPUTED_VALUE"""),33.02)</f>
        <v>33.02</v>
      </c>
      <c r="U206" s="320">
        <f>IFERROR(__xludf.DUMMYFUNCTION("""COMPUTED_VALUE"""),2.14)</f>
        <v>2.14</v>
      </c>
      <c r="V206" s="320">
        <f>IFERROR(__xludf.DUMMYFUNCTION("""COMPUTED_VALUE"""),0.8802)</f>
        <v>0.8802</v>
      </c>
      <c r="W206" s="320">
        <f>IFERROR(__xludf.DUMMYFUNCTION("""COMPUTED_VALUE"""),0.0)</f>
        <v>0</v>
      </c>
      <c r="X206" s="320">
        <f>IFERROR(__xludf.DUMMYFUNCTION("""COMPUTED_VALUE"""),323.0)</f>
        <v>323</v>
      </c>
      <c r="Y206" s="320">
        <f>IFERROR(__xludf.DUMMYFUNCTION("""COMPUTED_VALUE"""),3678.0)</f>
        <v>3678</v>
      </c>
      <c r="Z206" s="320">
        <f>IFERROR(__xludf.DUMMYFUNCTION("""COMPUTED_VALUE"""),14394.0)</f>
        <v>14394</v>
      </c>
      <c r="AA206" s="320">
        <f>IFERROR(__xludf.DUMMYFUNCTION("""COMPUTED_VALUE"""),48.8806)</f>
        <v>48.8806</v>
      </c>
      <c r="AB206" s="320">
        <f>IFERROR(__xludf.DUMMYFUNCTION("""COMPUTED_VALUE"""),0.5261)</f>
        <v>0.5261</v>
      </c>
      <c r="AC206" s="106"/>
      <c r="AD206" s="106"/>
      <c r="AE206" s="106"/>
      <c r="AF206" s="106"/>
      <c r="AG206" s="106"/>
      <c r="AH206" s="320">
        <f>IFERROR(__xludf.DUMMYFUNCTION("""COMPUTED_VALUE"""),0.0)</f>
        <v>0</v>
      </c>
      <c r="AI206" s="320">
        <f>IFERROR(__xludf.DUMMYFUNCTION("""COMPUTED_VALUE"""),0.0)</f>
        <v>0</v>
      </c>
      <c r="AJ206" s="320">
        <f>IFERROR(__xludf.DUMMYFUNCTION("""COMPUTED_VALUE"""),0.0)</f>
        <v>0</v>
      </c>
      <c r="AK206" s="320">
        <f>IFERROR(__xludf.DUMMYFUNCTION("""COMPUTED_VALUE"""),0.2911)</f>
        <v>0.2911</v>
      </c>
      <c r="AL206" s="320">
        <f>IFERROR(__xludf.DUMMYFUNCTION("""COMPUTED_VALUE"""),16.99)</f>
        <v>16.99</v>
      </c>
      <c r="AM206" s="320">
        <f>IFERROR(__xludf.DUMMYFUNCTION("""COMPUTED_VALUE"""),15.93)</f>
        <v>15.93</v>
      </c>
      <c r="AN206" s="331"/>
      <c r="AO206" s="331"/>
    </row>
    <row r="207" ht="15.75" customHeight="1">
      <c r="A207" s="330">
        <f>IFERROR(__xludf.DUMMYFUNCTION("""COMPUTED_VALUE"""),46084.0)</f>
        <v>46084</v>
      </c>
      <c r="B207" s="319" t="str">
        <f>IFERROR(__xludf.DUMMYFUNCTION("""COMPUTED_VALUE"""),"B. 1-9")</f>
        <v>B. 1-9</v>
      </c>
      <c r="C207" s="320">
        <f>IFERROR(__xludf.DUMMYFUNCTION("""COMPUTED_VALUE"""),40382.0)</f>
        <v>40382</v>
      </c>
      <c r="D207" s="320">
        <f>IFERROR(__xludf.DUMMYFUNCTION("""COMPUTED_VALUE"""),36.99)</f>
        <v>36.99</v>
      </c>
      <c r="E207" s="320">
        <f>IFERROR(__xludf.DUMMYFUNCTION("""COMPUTED_VALUE"""),0.0)</f>
        <v>0</v>
      </c>
      <c r="F207" s="320">
        <f>IFERROR(__xludf.DUMMYFUNCTION("""COMPUTED_VALUE"""),0.0)</f>
        <v>0</v>
      </c>
      <c r="G207" s="320">
        <f>IFERROR(__xludf.DUMMYFUNCTION("""COMPUTED_VALUE"""),0.0)</f>
        <v>0</v>
      </c>
      <c r="H207" s="106"/>
      <c r="I207" s="320">
        <f>IFERROR(__xludf.DUMMYFUNCTION("""COMPUTED_VALUE"""),32.09)</f>
        <v>32.09</v>
      </c>
      <c r="J207" s="320">
        <f>IFERROR(__xludf.DUMMYFUNCTION("""COMPUTED_VALUE"""),14.58)</f>
        <v>14.58</v>
      </c>
      <c r="K207" s="320">
        <f>IFERROR(__xludf.DUMMYFUNCTION("""COMPUTED_VALUE"""),6.15)</f>
        <v>6.15</v>
      </c>
      <c r="L207" s="320">
        <f>IFERROR(__xludf.DUMMYFUNCTION("""COMPUTED_VALUE"""),0.4217)</f>
        <v>0.4217</v>
      </c>
      <c r="M207" s="320">
        <f>IFERROR(__xludf.DUMMYFUNCTION("""COMPUTED_VALUE"""),0.7485)</f>
        <v>0.7485</v>
      </c>
      <c r="N207" s="320">
        <f>IFERROR(__xludf.DUMMYFUNCTION("""COMPUTED_VALUE"""),0.5425)</f>
        <v>0.5425</v>
      </c>
      <c r="O207" s="320">
        <f>IFERROR(__xludf.DUMMYFUNCTION("""COMPUTED_VALUE"""),2.3712)</f>
        <v>2.3712</v>
      </c>
      <c r="P207" s="320">
        <f>IFERROR(__xludf.DUMMYFUNCTION("""COMPUTED_VALUE"""),77.32)</f>
        <v>77.32</v>
      </c>
      <c r="Q207" s="320">
        <f>IFERROR(__xludf.DUMMYFUNCTION("""COMPUTED_VALUE"""),64.45)</f>
        <v>64.45</v>
      </c>
      <c r="R207" s="320">
        <f>IFERROR(__xludf.DUMMYFUNCTION("""COMPUTED_VALUE"""),12.87)</f>
        <v>12.87</v>
      </c>
      <c r="S207" s="320">
        <f>IFERROR(__xludf.DUMMYFUNCTION("""COMPUTED_VALUE"""),0.05)</f>
        <v>0.05</v>
      </c>
      <c r="T207" s="320">
        <f>IFERROR(__xludf.DUMMYFUNCTION("""COMPUTED_VALUE"""),77.27)</f>
        <v>77.27</v>
      </c>
      <c r="U207" s="320">
        <f>IFERROR(__xludf.DUMMYFUNCTION("""COMPUTED_VALUE"""),60.11)</f>
        <v>60.11</v>
      </c>
      <c r="V207" s="320">
        <f>IFERROR(__xludf.DUMMYFUNCTION("""COMPUTED_VALUE"""),4.1242)</f>
        <v>4.1242</v>
      </c>
      <c r="W207" s="320">
        <f>IFERROR(__xludf.DUMMYFUNCTION("""COMPUTED_VALUE"""),0.06)</f>
        <v>0.06</v>
      </c>
      <c r="X207" s="320">
        <f>IFERROR(__xludf.DUMMYFUNCTION("""COMPUTED_VALUE"""),157.0)</f>
        <v>157</v>
      </c>
      <c r="Y207" s="320">
        <f>IFERROR(__xludf.DUMMYFUNCTION("""COMPUTED_VALUE"""),909.0)</f>
        <v>909</v>
      </c>
      <c r="Z207" s="320">
        <f>IFERROR(__xludf.DUMMYFUNCTION("""COMPUTED_VALUE"""),6148.0)</f>
        <v>6148</v>
      </c>
      <c r="AA207" s="320">
        <f>IFERROR(__xludf.DUMMYFUNCTION("""COMPUTED_VALUE"""),48.3432)</f>
        <v>48.3432</v>
      </c>
      <c r="AB207" s="320">
        <f>IFERROR(__xludf.DUMMYFUNCTION("""COMPUTED_VALUE"""),0.5162)</f>
        <v>0.5162</v>
      </c>
      <c r="AC207" s="320">
        <f>IFERROR(__xludf.DUMMYFUNCTION("""COMPUTED_VALUE"""),4.42)</f>
        <v>4.42</v>
      </c>
      <c r="AD207" s="320">
        <f>IFERROR(__xludf.DUMMYFUNCTION("""COMPUTED_VALUE"""),2.0)</f>
        <v>2</v>
      </c>
      <c r="AE207" s="320">
        <f>IFERROR(__xludf.DUMMYFUNCTION("""COMPUTED_VALUE"""),3.0)</f>
        <v>3</v>
      </c>
      <c r="AF207" s="320">
        <f>IFERROR(__xludf.DUMMYFUNCTION("""COMPUTED_VALUE"""),6.0)</f>
        <v>6</v>
      </c>
      <c r="AG207" s="320">
        <f>IFERROR(__xludf.DUMMYFUNCTION("""COMPUTED_VALUE"""),10.0)</f>
        <v>10</v>
      </c>
      <c r="AH207" s="320">
        <f>IFERROR(__xludf.DUMMYFUNCTION("""COMPUTED_VALUE"""),75.52)</f>
        <v>75.52</v>
      </c>
      <c r="AI207" s="320">
        <f>IFERROR(__xludf.DUMMYFUNCTION("""COMPUTED_VALUE"""),34.51)</f>
        <v>34.51</v>
      </c>
      <c r="AJ207" s="320">
        <f>IFERROR(__xludf.DUMMYFUNCTION("""COMPUTED_VALUE"""),11.13)</f>
        <v>11.13</v>
      </c>
      <c r="AK207" s="320">
        <f>IFERROR(__xludf.DUMMYFUNCTION("""COMPUTED_VALUE"""),0.2331)</f>
        <v>0.2331</v>
      </c>
      <c r="AL207" s="320">
        <f>IFERROR(__xludf.DUMMYFUNCTION("""COMPUTED_VALUE"""),19.63)</f>
        <v>19.63</v>
      </c>
      <c r="AM207" s="320">
        <f>IFERROR(__xludf.DUMMYFUNCTION("""COMPUTED_VALUE"""),44.82)</f>
        <v>44.82</v>
      </c>
      <c r="AN207" s="320">
        <f>IFERROR(__xludf.DUMMYFUNCTION("""COMPUTED_VALUE"""),65.27)</f>
        <v>65.27</v>
      </c>
      <c r="AO207" s="320">
        <f>IFERROR(__xludf.DUMMYFUNCTION("""COMPUTED_VALUE"""),12.81)</f>
        <v>12.81</v>
      </c>
    </row>
    <row r="208" ht="15.75" customHeight="1">
      <c r="A208" s="330">
        <f>IFERROR(__xludf.DUMMYFUNCTION("""COMPUTED_VALUE"""),46084.0)</f>
        <v>46084</v>
      </c>
      <c r="B208" s="319" t="str">
        <f>IFERROR(__xludf.DUMMYFUNCTION("""COMPUTED_VALUE"""),"C. 10-19")</f>
        <v>C. 10-19</v>
      </c>
      <c r="C208" s="320">
        <f>IFERROR(__xludf.DUMMYFUNCTION("""COMPUTED_VALUE"""),28263.0)</f>
        <v>28263</v>
      </c>
      <c r="D208" s="320">
        <f>IFERROR(__xludf.DUMMYFUNCTION("""COMPUTED_VALUE"""),25.89)</f>
        <v>25.89</v>
      </c>
      <c r="E208" s="320">
        <f>IFERROR(__xludf.DUMMYFUNCTION("""COMPUTED_VALUE"""),0.0)</f>
        <v>0</v>
      </c>
      <c r="F208" s="320">
        <f>IFERROR(__xludf.DUMMYFUNCTION("""COMPUTED_VALUE"""),0.0)</f>
        <v>0</v>
      </c>
      <c r="G208" s="320">
        <f>IFERROR(__xludf.DUMMYFUNCTION("""COMPUTED_VALUE"""),0.0)</f>
        <v>0</v>
      </c>
      <c r="H208" s="106"/>
      <c r="I208" s="320">
        <f>IFERROR(__xludf.DUMMYFUNCTION("""COMPUTED_VALUE"""),61.55)</f>
        <v>61.55</v>
      </c>
      <c r="J208" s="320">
        <f>IFERROR(__xludf.DUMMYFUNCTION("""COMPUTED_VALUE"""),29.42)</f>
        <v>29.42</v>
      </c>
      <c r="K208" s="320">
        <f>IFERROR(__xludf.DUMMYFUNCTION("""COMPUTED_VALUE"""),16.63)</f>
        <v>16.63</v>
      </c>
      <c r="L208" s="320">
        <f>IFERROR(__xludf.DUMMYFUNCTION("""COMPUTED_VALUE"""),0.5652)</f>
        <v>0.5652</v>
      </c>
      <c r="M208" s="320">
        <f>IFERROR(__xludf.DUMMYFUNCTION("""COMPUTED_VALUE"""),0.6281)</f>
        <v>0.6281</v>
      </c>
      <c r="N208" s="320">
        <f>IFERROR(__xludf.DUMMYFUNCTION("""COMPUTED_VALUE"""),0.4276)</f>
        <v>0.4276</v>
      </c>
      <c r="O208" s="320">
        <f>IFERROR(__xludf.DUMMYFUNCTION("""COMPUTED_VALUE"""),1.7692)</f>
        <v>1.7692</v>
      </c>
      <c r="P208" s="320">
        <f>IFERROR(__xludf.DUMMYFUNCTION("""COMPUTED_VALUE"""),148.07)</f>
        <v>148.07</v>
      </c>
      <c r="Q208" s="320">
        <f>IFERROR(__xludf.DUMMYFUNCTION("""COMPUTED_VALUE"""),114.86)</f>
        <v>114.86</v>
      </c>
      <c r="R208" s="320">
        <f>IFERROR(__xludf.DUMMYFUNCTION("""COMPUTED_VALUE"""),33.2)</f>
        <v>33.2</v>
      </c>
      <c r="S208" s="320">
        <f>IFERROR(__xludf.DUMMYFUNCTION("""COMPUTED_VALUE"""),0.95)</f>
        <v>0.95</v>
      </c>
      <c r="T208" s="320">
        <f>IFERROR(__xludf.DUMMYFUNCTION("""COMPUTED_VALUE"""),147.11)</f>
        <v>147.11</v>
      </c>
      <c r="U208" s="320">
        <f>IFERROR(__xludf.DUMMYFUNCTION("""COMPUTED_VALUE"""),120.88)</f>
        <v>120.88</v>
      </c>
      <c r="V208" s="320">
        <f>IFERROR(__xludf.DUMMYFUNCTION("""COMPUTED_VALUE"""),4.1086)</f>
        <v>4.1086</v>
      </c>
      <c r="W208" s="320">
        <f>IFERROR(__xludf.DUMMYFUNCTION("""COMPUTED_VALUE"""),0.64)</f>
        <v>0.64</v>
      </c>
      <c r="X208" s="320">
        <f>IFERROR(__xludf.DUMMYFUNCTION("""COMPUTED_VALUE"""),150.0)</f>
        <v>150</v>
      </c>
      <c r="Y208" s="320">
        <f>IFERROR(__xludf.DUMMYFUNCTION("""COMPUTED_VALUE"""),795.0)</f>
        <v>795</v>
      </c>
      <c r="Z208" s="320">
        <f>IFERROR(__xludf.DUMMYFUNCTION("""COMPUTED_VALUE"""),6201.0)</f>
        <v>6201</v>
      </c>
      <c r="AA208" s="320">
        <f>IFERROR(__xludf.DUMMYFUNCTION("""COMPUTED_VALUE"""),52.1559)</f>
        <v>52.1559</v>
      </c>
      <c r="AB208" s="320">
        <f>IFERROR(__xludf.DUMMYFUNCTION("""COMPUTED_VALUE"""),0.5919)</f>
        <v>0.5919</v>
      </c>
      <c r="AC208" s="320">
        <f>IFERROR(__xludf.DUMMYFUNCTION("""COMPUTED_VALUE"""),10.82)</f>
        <v>10.82</v>
      </c>
      <c r="AD208" s="320">
        <f>IFERROR(__xludf.DUMMYFUNCTION("""COMPUTED_VALUE"""),4.0)</f>
        <v>4</v>
      </c>
      <c r="AE208" s="320">
        <f>IFERROR(__xludf.DUMMYFUNCTION("""COMPUTED_VALUE"""),9.0)</f>
        <v>9</v>
      </c>
      <c r="AF208" s="320">
        <f>IFERROR(__xludf.DUMMYFUNCTION("""COMPUTED_VALUE"""),15.0)</f>
        <v>15</v>
      </c>
      <c r="AG208" s="320">
        <f>IFERROR(__xludf.DUMMYFUNCTION("""COMPUTED_VALUE"""),22.0)</f>
        <v>22</v>
      </c>
      <c r="AH208" s="320">
        <f>IFERROR(__xludf.DUMMYFUNCTION("""COMPUTED_VALUE"""),67.19)</f>
        <v>67.19</v>
      </c>
      <c r="AI208" s="320">
        <f>IFERROR(__xludf.DUMMYFUNCTION("""COMPUTED_VALUE"""),32.81)</f>
        <v>32.81</v>
      </c>
      <c r="AJ208" s="320">
        <f>IFERROR(__xludf.DUMMYFUNCTION("""COMPUTED_VALUE"""),6.71)</f>
        <v>6.71</v>
      </c>
      <c r="AK208" s="320">
        <f>IFERROR(__xludf.DUMMYFUNCTION("""COMPUTED_VALUE"""),0.1774)</f>
        <v>0.1774</v>
      </c>
      <c r="AL208" s="320">
        <f>IFERROR(__xludf.DUMMYFUNCTION("""COMPUTED_VALUE"""),22.86)</f>
        <v>22.86</v>
      </c>
      <c r="AM208" s="320">
        <f>IFERROR(__xludf.DUMMYFUNCTION("""COMPUTED_VALUE"""),92.0)</f>
        <v>92</v>
      </c>
      <c r="AN208" s="320">
        <f>IFERROR(__xludf.DUMMYFUNCTION("""COMPUTED_VALUE"""),72.73)</f>
        <v>72.73</v>
      </c>
      <c r="AO208" s="320">
        <f>IFERROR(__xludf.DUMMYFUNCTION("""COMPUTED_VALUE"""),16.63)</f>
        <v>16.63</v>
      </c>
    </row>
    <row r="209" ht="15.75" customHeight="1">
      <c r="A209" s="330">
        <f>IFERROR(__xludf.DUMMYFUNCTION("""COMPUTED_VALUE"""),46084.0)</f>
        <v>46084</v>
      </c>
      <c r="B209" s="319" t="str">
        <f>IFERROR(__xludf.DUMMYFUNCTION("""COMPUTED_VALUE"""),"D. 20-39")</f>
        <v>D. 20-39</v>
      </c>
      <c r="C209" s="320">
        <f>IFERROR(__xludf.DUMMYFUNCTION("""COMPUTED_VALUE"""),14832.0)</f>
        <v>14832</v>
      </c>
      <c r="D209" s="320">
        <f>IFERROR(__xludf.DUMMYFUNCTION("""COMPUTED_VALUE"""),13.59)</f>
        <v>13.59</v>
      </c>
      <c r="E209" s="320">
        <f>IFERROR(__xludf.DUMMYFUNCTION("""COMPUTED_VALUE"""),0.0)</f>
        <v>0</v>
      </c>
      <c r="F209" s="320">
        <f>IFERROR(__xludf.DUMMYFUNCTION("""COMPUTED_VALUE"""),0.0)</f>
        <v>0</v>
      </c>
      <c r="G209" s="320">
        <f>IFERROR(__xludf.DUMMYFUNCTION("""COMPUTED_VALUE"""),0.0)</f>
        <v>0</v>
      </c>
      <c r="H209" s="106"/>
      <c r="I209" s="320">
        <f>IFERROR(__xludf.DUMMYFUNCTION("""COMPUTED_VALUE"""),89.39)</f>
        <v>89.39</v>
      </c>
      <c r="J209" s="320">
        <f>IFERROR(__xludf.DUMMYFUNCTION("""COMPUTED_VALUE"""),45.39)</f>
        <v>45.39</v>
      </c>
      <c r="K209" s="320">
        <f>IFERROR(__xludf.DUMMYFUNCTION("""COMPUTED_VALUE"""),32.21)</f>
        <v>32.21</v>
      </c>
      <c r="L209" s="320">
        <f>IFERROR(__xludf.DUMMYFUNCTION("""COMPUTED_VALUE"""),0.7097)</f>
        <v>0.7097</v>
      </c>
      <c r="M209" s="320">
        <f>IFERROR(__xludf.DUMMYFUNCTION("""COMPUTED_VALUE"""),0.4848)</f>
        <v>0.4848</v>
      </c>
      <c r="N209" s="320">
        <f>IFERROR(__xludf.DUMMYFUNCTION("""COMPUTED_VALUE"""),0.3349)</f>
        <v>0.3349</v>
      </c>
      <c r="O209" s="320">
        <f>IFERROR(__xludf.DUMMYFUNCTION("""COMPUTED_VALUE"""),1.409)</f>
        <v>1.409</v>
      </c>
      <c r="P209" s="320">
        <f>IFERROR(__xludf.DUMMYFUNCTION("""COMPUTED_VALUE"""),266.73)</f>
        <v>266.73</v>
      </c>
      <c r="Q209" s="320">
        <f>IFERROR(__xludf.DUMMYFUNCTION("""COMPUTED_VALUE"""),204.71)</f>
        <v>204.71</v>
      </c>
      <c r="R209" s="320">
        <f>IFERROR(__xludf.DUMMYFUNCTION("""COMPUTED_VALUE"""),62.02)</f>
        <v>62.02</v>
      </c>
      <c r="S209" s="320">
        <f>IFERROR(__xludf.DUMMYFUNCTION("""COMPUTED_VALUE"""),1.25)</f>
        <v>1.25</v>
      </c>
      <c r="T209" s="320">
        <f>IFERROR(__xludf.DUMMYFUNCTION("""COMPUTED_VALUE"""),265.48)</f>
        <v>265.48</v>
      </c>
      <c r="U209" s="320">
        <f>IFERROR(__xludf.DUMMYFUNCTION("""COMPUTED_VALUE"""),208.36)</f>
        <v>208.36</v>
      </c>
      <c r="V209" s="320">
        <f>IFERROR(__xludf.DUMMYFUNCTION("""COMPUTED_VALUE"""),4.5905)</f>
        <v>4.5905</v>
      </c>
      <c r="W209" s="320">
        <f>IFERROR(__xludf.DUMMYFUNCTION("""COMPUTED_VALUE"""),0.47)</f>
        <v>0.47</v>
      </c>
      <c r="X209" s="320">
        <f>IFERROR(__xludf.DUMMYFUNCTION("""COMPUTED_VALUE"""),212.0)</f>
        <v>212</v>
      </c>
      <c r="Y209" s="320">
        <f>IFERROR(__xludf.DUMMYFUNCTION("""COMPUTED_VALUE"""),1213.0)</f>
        <v>1213</v>
      </c>
      <c r="Z209" s="320">
        <f>IFERROR(__xludf.DUMMYFUNCTION("""COMPUTED_VALUE"""),7770.0)</f>
        <v>7770</v>
      </c>
      <c r="AA209" s="320">
        <f>IFERROR(__xludf.DUMMYFUNCTION("""COMPUTED_VALUE"""),55.6699)</f>
        <v>55.6699</v>
      </c>
      <c r="AB209" s="320">
        <f>IFERROR(__xludf.DUMMYFUNCTION("""COMPUTED_VALUE"""),0.6901)</f>
        <v>0.6901</v>
      </c>
      <c r="AC209" s="320">
        <f>IFERROR(__xludf.DUMMYFUNCTION("""COMPUTED_VALUE"""),20.03)</f>
        <v>20.03</v>
      </c>
      <c r="AD209" s="320">
        <f>IFERROR(__xludf.DUMMYFUNCTION("""COMPUTED_VALUE"""),9.0)</f>
        <v>9</v>
      </c>
      <c r="AE209" s="320">
        <f>IFERROR(__xludf.DUMMYFUNCTION("""COMPUTED_VALUE"""),16.0)</f>
        <v>16</v>
      </c>
      <c r="AF209" s="320">
        <f>IFERROR(__xludf.DUMMYFUNCTION("""COMPUTED_VALUE"""),28.0)</f>
        <v>28</v>
      </c>
      <c r="AG209" s="320">
        <f>IFERROR(__xludf.DUMMYFUNCTION("""COMPUTED_VALUE"""),41.0)</f>
        <v>41</v>
      </c>
      <c r="AH209" s="320">
        <f>IFERROR(__xludf.DUMMYFUNCTION("""COMPUTED_VALUE"""),67.24)</f>
        <v>67.24</v>
      </c>
      <c r="AI209" s="320">
        <f>IFERROR(__xludf.DUMMYFUNCTION("""COMPUTED_VALUE"""),28.42)</f>
        <v>28.42</v>
      </c>
      <c r="AJ209" s="320">
        <f>IFERROR(__xludf.DUMMYFUNCTION("""COMPUTED_VALUE"""),9.12)</f>
        <v>9.12</v>
      </c>
      <c r="AK209" s="320">
        <f>IFERROR(__xludf.DUMMYFUNCTION("""COMPUTED_VALUE"""),0.1654)</f>
        <v>0.1654</v>
      </c>
      <c r="AL209" s="320">
        <f>IFERROR(__xludf.DUMMYFUNCTION("""COMPUTED_VALUE"""),25.68)</f>
        <v>25.68</v>
      </c>
      <c r="AM209" s="320">
        <f>IFERROR(__xludf.DUMMYFUNCTION("""COMPUTED_VALUE"""),179.03)</f>
        <v>179.03</v>
      </c>
      <c r="AN209" s="320">
        <f>IFERROR(__xludf.DUMMYFUNCTION("""COMPUTED_VALUE"""),73.42)</f>
        <v>73.42</v>
      </c>
      <c r="AO209" s="320">
        <f>IFERROR(__xludf.DUMMYFUNCTION("""COMPUTED_VALUE"""),18.85)</f>
        <v>18.85</v>
      </c>
    </row>
    <row r="210" ht="15.75" customHeight="1">
      <c r="A210" s="330">
        <f>IFERROR(__xludf.DUMMYFUNCTION("""COMPUTED_VALUE"""),46084.0)</f>
        <v>46084</v>
      </c>
      <c r="B210" s="319" t="str">
        <f>IFERROR(__xludf.DUMMYFUNCTION("""COMPUTED_VALUE"""),"E. 40-99")</f>
        <v>E. 40-99</v>
      </c>
      <c r="C210" s="320">
        <f>IFERROR(__xludf.DUMMYFUNCTION("""COMPUTED_VALUE"""),5587.0)</f>
        <v>5587</v>
      </c>
      <c r="D210" s="320">
        <f>IFERROR(__xludf.DUMMYFUNCTION("""COMPUTED_VALUE"""),5.12)</f>
        <v>5.12</v>
      </c>
      <c r="E210" s="320">
        <f>IFERROR(__xludf.DUMMYFUNCTION("""COMPUTED_VALUE"""),0.0)</f>
        <v>0</v>
      </c>
      <c r="F210" s="320">
        <f>IFERROR(__xludf.DUMMYFUNCTION("""COMPUTED_VALUE"""),0.0)</f>
        <v>0</v>
      </c>
      <c r="G210" s="320">
        <f>IFERROR(__xludf.DUMMYFUNCTION("""COMPUTED_VALUE"""),0.0)</f>
        <v>0</v>
      </c>
      <c r="H210" s="106"/>
      <c r="I210" s="320">
        <f>IFERROR(__xludf.DUMMYFUNCTION("""COMPUTED_VALUE"""),138.71)</f>
        <v>138.71</v>
      </c>
      <c r="J210" s="320">
        <f>IFERROR(__xludf.DUMMYFUNCTION("""COMPUTED_VALUE"""),76.32)</f>
        <v>76.32</v>
      </c>
      <c r="K210" s="320">
        <f>IFERROR(__xludf.DUMMYFUNCTION("""COMPUTED_VALUE"""),61.21)</f>
        <v>61.21</v>
      </c>
      <c r="L210" s="320">
        <f>IFERROR(__xludf.DUMMYFUNCTION("""COMPUTED_VALUE"""),0.8019)</f>
        <v>0.8019</v>
      </c>
      <c r="M210" s="320">
        <f>IFERROR(__xludf.DUMMYFUNCTION("""COMPUTED_VALUE"""),0.3773)</f>
        <v>0.3773</v>
      </c>
      <c r="N210" s="320">
        <f>IFERROR(__xludf.DUMMYFUNCTION("""COMPUTED_VALUE"""),0.2703)</f>
        <v>0.2703</v>
      </c>
      <c r="O210" s="320">
        <f>IFERROR(__xludf.DUMMYFUNCTION("""COMPUTED_VALUE"""),1.247)</f>
        <v>1.247</v>
      </c>
      <c r="P210" s="320">
        <f>IFERROR(__xludf.DUMMYFUNCTION("""COMPUTED_VALUE"""),527.35)</f>
        <v>527.35</v>
      </c>
      <c r="Q210" s="320">
        <f>IFERROR(__xludf.DUMMYFUNCTION("""COMPUTED_VALUE"""),399.35)</f>
        <v>399.35</v>
      </c>
      <c r="R210" s="320">
        <f>IFERROR(__xludf.DUMMYFUNCTION("""COMPUTED_VALUE"""),128.0)</f>
        <v>128</v>
      </c>
      <c r="S210" s="320">
        <f>IFERROR(__xludf.DUMMYFUNCTION("""COMPUTED_VALUE"""),0.0)</f>
        <v>0</v>
      </c>
      <c r="T210" s="320">
        <f>IFERROR(__xludf.DUMMYFUNCTION("""COMPUTED_VALUE"""),527.35)</f>
        <v>527.35</v>
      </c>
      <c r="U210" s="320">
        <f>IFERROR(__xludf.DUMMYFUNCTION("""COMPUTED_VALUE"""),401.56)</f>
        <v>401.56</v>
      </c>
      <c r="V210" s="320">
        <f>IFERROR(__xludf.DUMMYFUNCTION("""COMPUTED_VALUE"""),5.2613)</f>
        <v>5.2613</v>
      </c>
      <c r="W210" s="320">
        <f>IFERROR(__xludf.DUMMYFUNCTION("""COMPUTED_VALUE"""),0.0)</f>
        <v>0</v>
      </c>
      <c r="X210" s="320">
        <f>IFERROR(__xludf.DUMMYFUNCTION("""COMPUTED_VALUE"""),463.0)</f>
        <v>463</v>
      </c>
      <c r="Y210" s="320">
        <f>IFERROR(__xludf.DUMMYFUNCTION("""COMPUTED_VALUE"""),2506.0)</f>
        <v>2506</v>
      </c>
      <c r="Z210" s="320">
        <f>IFERROR(__xludf.DUMMYFUNCTION("""COMPUTED_VALUE"""),10289.0)</f>
        <v>10289</v>
      </c>
      <c r="AA210" s="320">
        <f>IFERROR(__xludf.DUMMYFUNCTION("""COMPUTED_VALUE"""),59.7562)</f>
        <v>59.7562</v>
      </c>
      <c r="AB210" s="320">
        <f>IFERROR(__xludf.DUMMYFUNCTION("""COMPUTED_VALUE"""),0.8232)</f>
        <v>0.8232</v>
      </c>
      <c r="AC210" s="320">
        <f>IFERROR(__xludf.DUMMYFUNCTION("""COMPUTED_VALUE"""),42.32)</f>
        <v>42.32</v>
      </c>
      <c r="AD210" s="320">
        <f>IFERROR(__xludf.DUMMYFUNCTION("""COMPUTED_VALUE"""),19.0)</f>
        <v>19</v>
      </c>
      <c r="AE210" s="320">
        <f>IFERROR(__xludf.DUMMYFUNCTION("""COMPUTED_VALUE"""),35.0)</f>
        <v>35</v>
      </c>
      <c r="AF210" s="320">
        <f>IFERROR(__xludf.DUMMYFUNCTION("""COMPUTED_VALUE"""),58.0)</f>
        <v>58</v>
      </c>
      <c r="AG210" s="320">
        <f>IFERROR(__xludf.DUMMYFUNCTION("""COMPUTED_VALUE"""),86.0)</f>
        <v>86</v>
      </c>
      <c r="AH210" s="320">
        <f>IFERROR(__xludf.DUMMYFUNCTION("""COMPUTED_VALUE"""),60.19)</f>
        <v>60.19</v>
      </c>
      <c r="AI210" s="320">
        <f>IFERROR(__xludf.DUMMYFUNCTION("""COMPUTED_VALUE"""),24.04)</f>
        <v>24.04</v>
      </c>
      <c r="AJ210" s="320">
        <f>IFERROR(__xludf.DUMMYFUNCTION("""COMPUTED_VALUE"""),5.67)</f>
        <v>5.67</v>
      </c>
      <c r="AK210" s="320">
        <f>IFERROR(__xludf.DUMMYFUNCTION("""COMPUTED_VALUE"""),0.1364)</f>
        <v>0.1364</v>
      </c>
      <c r="AL210" s="320">
        <f>IFERROR(__xludf.DUMMYFUNCTION("""COMPUTED_VALUE"""),28.29)</f>
        <v>28.29</v>
      </c>
      <c r="AM210" s="320">
        <f>IFERROR(__xludf.DUMMYFUNCTION("""COMPUTED_VALUE"""),371.06)</f>
        <v>371.06</v>
      </c>
      <c r="AN210" s="320">
        <f>IFERROR(__xludf.DUMMYFUNCTION("""COMPUTED_VALUE"""),81.66)</f>
        <v>81.66</v>
      </c>
      <c r="AO210" s="320">
        <f>IFERROR(__xludf.DUMMYFUNCTION("""COMPUTED_VALUE"""),23.1)</f>
        <v>23.1</v>
      </c>
    </row>
    <row r="211" ht="15.75" customHeight="1">
      <c r="A211" s="330">
        <f>IFERROR(__xludf.DUMMYFUNCTION("""COMPUTED_VALUE"""),46084.0)</f>
        <v>46084</v>
      </c>
      <c r="B211" s="319" t="str">
        <f>IFERROR(__xludf.DUMMYFUNCTION("""COMPUTED_VALUE"""),"F. 100+")</f>
        <v>F. 100+</v>
      </c>
      <c r="C211" s="320">
        <f>IFERROR(__xludf.DUMMYFUNCTION("""COMPUTED_VALUE"""),610.0)</f>
        <v>610</v>
      </c>
      <c r="D211" s="320">
        <f>IFERROR(__xludf.DUMMYFUNCTION("""COMPUTED_VALUE"""),0.56)</f>
        <v>0.56</v>
      </c>
      <c r="E211" s="320">
        <f>IFERROR(__xludf.DUMMYFUNCTION("""COMPUTED_VALUE"""),0.0)</f>
        <v>0</v>
      </c>
      <c r="F211" s="320">
        <f>IFERROR(__xludf.DUMMYFUNCTION("""COMPUTED_VALUE"""),0.0)</f>
        <v>0</v>
      </c>
      <c r="G211" s="320">
        <f>IFERROR(__xludf.DUMMYFUNCTION("""COMPUTED_VALUE"""),0.0)</f>
        <v>0</v>
      </c>
      <c r="H211" s="106"/>
      <c r="I211" s="320">
        <f>IFERROR(__xludf.DUMMYFUNCTION("""COMPUTED_VALUE"""),254.86)</f>
        <v>254.86</v>
      </c>
      <c r="J211" s="320">
        <f>IFERROR(__xludf.DUMMYFUNCTION("""COMPUTED_VALUE"""),149.25)</f>
        <v>149.25</v>
      </c>
      <c r="K211" s="320">
        <f>IFERROR(__xludf.DUMMYFUNCTION("""COMPUTED_VALUE"""),132.36)</f>
        <v>132.36</v>
      </c>
      <c r="L211" s="320">
        <f>IFERROR(__xludf.DUMMYFUNCTION("""COMPUTED_VALUE"""),0.8869)</f>
        <v>0.8869</v>
      </c>
      <c r="M211" s="320">
        <f>IFERROR(__xludf.DUMMYFUNCTION("""COMPUTED_VALUE"""),0.2664)</f>
        <v>0.2664</v>
      </c>
      <c r="N211" s="320">
        <f>IFERROR(__xludf.DUMMYFUNCTION("""COMPUTED_VALUE"""),0.2052)</f>
        <v>0.2052</v>
      </c>
      <c r="O211" s="320">
        <f>IFERROR(__xludf.DUMMYFUNCTION("""COMPUTED_VALUE"""),1.1276)</f>
        <v>1.1276</v>
      </c>
      <c r="P211" s="320">
        <f>IFERROR(__xludf.DUMMYFUNCTION("""COMPUTED_VALUE"""),1074.9)</f>
        <v>1074.9</v>
      </c>
      <c r="Q211" s="320">
        <f>IFERROR(__xludf.DUMMYFUNCTION("""COMPUTED_VALUE"""),794.24)</f>
        <v>794.24</v>
      </c>
      <c r="R211" s="320">
        <f>IFERROR(__xludf.DUMMYFUNCTION("""COMPUTED_VALUE"""),280.66)</f>
        <v>280.66</v>
      </c>
      <c r="S211" s="320">
        <f>IFERROR(__xludf.DUMMYFUNCTION("""COMPUTED_VALUE"""),0.0)</f>
        <v>0</v>
      </c>
      <c r="T211" s="320">
        <f>IFERROR(__xludf.DUMMYFUNCTION("""COMPUTED_VALUE"""),1074.9)</f>
        <v>1074.9</v>
      </c>
      <c r="U211" s="320">
        <f>IFERROR(__xludf.DUMMYFUNCTION("""COMPUTED_VALUE"""),748.36)</f>
        <v>748.36</v>
      </c>
      <c r="V211" s="320">
        <f>IFERROR(__xludf.DUMMYFUNCTION("""COMPUTED_VALUE"""),5.0143)</f>
        <v>5.0143</v>
      </c>
      <c r="W211" s="320">
        <f>IFERROR(__xludf.DUMMYFUNCTION("""COMPUTED_VALUE"""),0.0)</f>
        <v>0</v>
      </c>
      <c r="X211" s="320">
        <f>IFERROR(__xludf.DUMMYFUNCTION("""COMPUTED_VALUE"""),1351.0)</f>
        <v>1351</v>
      </c>
      <c r="Y211" s="320">
        <f>IFERROR(__xludf.DUMMYFUNCTION("""COMPUTED_VALUE"""),4730.0)</f>
        <v>4730</v>
      </c>
      <c r="Z211" s="320">
        <f>IFERROR(__xludf.DUMMYFUNCTION("""COMPUTED_VALUE"""),10899.0)</f>
        <v>10899</v>
      </c>
      <c r="AA211" s="320">
        <f>IFERROR(__xludf.DUMMYFUNCTION("""COMPUTED_VALUE"""),63.3167)</f>
        <v>63.3167</v>
      </c>
      <c r="AB211" s="320">
        <f>IFERROR(__xludf.DUMMYFUNCTION("""COMPUTED_VALUE"""),0.8871)</f>
        <v>0.8871</v>
      </c>
      <c r="AC211" s="320">
        <f>IFERROR(__xludf.DUMMYFUNCTION("""COMPUTED_VALUE"""),92.19)</f>
        <v>92.19</v>
      </c>
      <c r="AD211" s="320">
        <f>IFERROR(__xludf.DUMMYFUNCTION("""COMPUTED_VALUE"""),46.0)</f>
        <v>46</v>
      </c>
      <c r="AE211" s="320">
        <f>IFERROR(__xludf.DUMMYFUNCTION("""COMPUTED_VALUE"""),81.0)</f>
        <v>81</v>
      </c>
      <c r="AF211" s="320">
        <f>IFERROR(__xludf.DUMMYFUNCTION("""COMPUTED_VALUE"""),125.0)</f>
        <v>125</v>
      </c>
      <c r="AG211" s="320">
        <f>IFERROR(__xludf.DUMMYFUNCTION("""COMPUTED_VALUE"""),172.0)</f>
        <v>172</v>
      </c>
      <c r="AH211" s="320">
        <f>IFERROR(__xludf.DUMMYFUNCTION("""COMPUTED_VALUE"""),50.33)</f>
        <v>50.33</v>
      </c>
      <c r="AI211" s="320">
        <f>IFERROR(__xludf.DUMMYFUNCTION("""COMPUTED_VALUE"""),9.67)</f>
        <v>9.67</v>
      </c>
      <c r="AJ211" s="320">
        <f>IFERROR(__xludf.DUMMYFUNCTION("""COMPUTED_VALUE"""),0.66)</f>
        <v>0.66</v>
      </c>
      <c r="AK211" s="320">
        <f>IFERROR(__xludf.DUMMYFUNCTION("""COMPUTED_VALUE"""),0.0787)</f>
        <v>0.0787</v>
      </c>
      <c r="AL211" s="320">
        <f>IFERROR(__xludf.DUMMYFUNCTION("""COMPUTED_VALUE"""),26.6)</f>
        <v>26.6</v>
      </c>
      <c r="AM211" s="320">
        <f>IFERROR(__xludf.DUMMYFUNCTION("""COMPUTED_VALUE"""),767.64)</f>
        <v>767.64</v>
      </c>
      <c r="AN211" s="320">
        <f>IFERROR(__xludf.DUMMYFUNCTION("""COMPUTED_VALUE"""),84.33)</f>
        <v>84.33</v>
      </c>
      <c r="AO211" s="320">
        <f>IFERROR(__xludf.DUMMYFUNCTION("""COMPUTED_VALUE"""),22.43)</f>
        <v>22.43</v>
      </c>
    </row>
    <row r="212" ht="15.75" customHeight="1">
      <c r="A212" s="330">
        <f>IFERROR(__xludf.DUMMYFUNCTION("""COMPUTED_VALUE"""),46085.0)</f>
        <v>46085</v>
      </c>
      <c r="B212" s="319" t="str">
        <f>IFERROR(__xludf.DUMMYFUNCTION("""COMPUTED_VALUE"""),"A. 0")</f>
        <v>A. 0</v>
      </c>
      <c r="C212" s="320">
        <f>IFERROR(__xludf.DUMMYFUNCTION("""COMPUTED_VALUE"""),19859.0)</f>
        <v>19859</v>
      </c>
      <c r="D212" s="320">
        <f>IFERROR(__xludf.DUMMYFUNCTION("""COMPUTED_VALUE"""),18.63)</f>
        <v>18.63</v>
      </c>
      <c r="E212" s="320">
        <f>IFERROR(__xludf.DUMMYFUNCTION("""COMPUTED_VALUE"""),0.0)</f>
        <v>0</v>
      </c>
      <c r="F212" s="320">
        <f>IFERROR(__xludf.DUMMYFUNCTION("""COMPUTED_VALUE"""),0.0)</f>
        <v>0</v>
      </c>
      <c r="G212" s="320">
        <f>IFERROR(__xludf.DUMMYFUNCTION("""COMPUTED_VALUE"""),0.0)</f>
        <v>0</v>
      </c>
      <c r="H212" s="106"/>
      <c r="I212" s="320">
        <f>IFERROR(__xludf.DUMMYFUNCTION("""COMPUTED_VALUE"""),6.62)</f>
        <v>6.62</v>
      </c>
      <c r="J212" s="320">
        <f>IFERROR(__xludf.DUMMYFUNCTION("""COMPUTED_VALUE"""),2.68)</f>
        <v>2.68</v>
      </c>
      <c r="K212" s="320">
        <f>IFERROR(__xludf.DUMMYFUNCTION("""COMPUTED_VALUE"""),0.04)</f>
        <v>0.04</v>
      </c>
      <c r="L212" s="320">
        <f>IFERROR(__xludf.DUMMYFUNCTION("""COMPUTED_VALUE"""),0.0167)</f>
        <v>0.0167</v>
      </c>
      <c r="M212" s="320">
        <f>IFERROR(__xludf.DUMMYFUNCTION("""COMPUTED_VALUE"""),0.9877)</f>
        <v>0.9877</v>
      </c>
      <c r="N212" s="320">
        <f>IFERROR(__xludf.DUMMYFUNCTION("""COMPUTED_VALUE"""),0.8443)</f>
        <v>0.8443</v>
      </c>
      <c r="O212" s="320">
        <f>IFERROR(__xludf.DUMMYFUNCTION("""COMPUTED_VALUE"""),60.0225)</f>
        <v>60.0225</v>
      </c>
      <c r="P212" s="320">
        <f>IFERROR(__xludf.DUMMYFUNCTION("""COMPUTED_VALUE"""),23.75)</f>
        <v>23.75</v>
      </c>
      <c r="Q212" s="320">
        <f>IFERROR(__xludf.DUMMYFUNCTION("""COMPUTED_VALUE"""),23.58)</f>
        <v>23.58</v>
      </c>
      <c r="R212" s="320">
        <f>IFERROR(__xludf.DUMMYFUNCTION("""COMPUTED_VALUE"""),0.17)</f>
        <v>0.17</v>
      </c>
      <c r="S212" s="320">
        <f>IFERROR(__xludf.DUMMYFUNCTION("""COMPUTED_VALUE"""),0.0)</f>
        <v>0</v>
      </c>
      <c r="T212" s="320">
        <f>IFERROR(__xludf.DUMMYFUNCTION("""COMPUTED_VALUE"""),23.75)</f>
        <v>23.75</v>
      </c>
      <c r="U212" s="320">
        <f>IFERROR(__xludf.DUMMYFUNCTION("""COMPUTED_VALUE"""),1.65)</f>
        <v>1.65</v>
      </c>
      <c r="V212" s="320">
        <f>IFERROR(__xludf.DUMMYFUNCTION("""COMPUTED_VALUE"""),0.617)</f>
        <v>0.617</v>
      </c>
      <c r="W212" s="320">
        <f>IFERROR(__xludf.DUMMYFUNCTION("""COMPUTED_VALUE"""),0.0)</f>
        <v>0</v>
      </c>
      <c r="X212" s="320">
        <f>IFERROR(__xludf.DUMMYFUNCTION("""COMPUTED_VALUE"""),329.0)</f>
        <v>329</v>
      </c>
      <c r="Y212" s="320">
        <f>IFERROR(__xludf.DUMMYFUNCTION("""COMPUTED_VALUE"""),3741.0)</f>
        <v>3741</v>
      </c>
      <c r="Z212" s="320">
        <f>IFERROR(__xludf.DUMMYFUNCTION("""COMPUTED_VALUE"""),14789.0)</f>
        <v>14789</v>
      </c>
      <c r="AA212" s="320">
        <f>IFERROR(__xludf.DUMMYFUNCTION("""COMPUTED_VALUE"""),48.9412)</f>
        <v>48.9412</v>
      </c>
      <c r="AB212" s="320">
        <f>IFERROR(__xludf.DUMMYFUNCTION("""COMPUTED_VALUE"""),0.5333)</f>
        <v>0.5333</v>
      </c>
      <c r="AC212" s="106"/>
      <c r="AD212" s="106"/>
      <c r="AE212" s="106"/>
      <c r="AF212" s="106"/>
      <c r="AG212" s="106"/>
      <c r="AH212" s="320">
        <f>IFERROR(__xludf.DUMMYFUNCTION("""COMPUTED_VALUE"""),0.0)</f>
        <v>0</v>
      </c>
      <c r="AI212" s="320">
        <f>IFERROR(__xludf.DUMMYFUNCTION("""COMPUTED_VALUE"""),0.0)</f>
        <v>0</v>
      </c>
      <c r="AJ212" s="320">
        <f>IFERROR(__xludf.DUMMYFUNCTION("""COMPUTED_VALUE"""),0.0)</f>
        <v>0</v>
      </c>
      <c r="AK212" s="320">
        <f>IFERROR(__xludf.DUMMYFUNCTION("""COMPUTED_VALUE"""),0.2754)</f>
        <v>0.2754</v>
      </c>
      <c r="AL212" s="320">
        <f>IFERROR(__xludf.DUMMYFUNCTION("""COMPUTED_VALUE"""),15.4)</f>
        <v>15.4</v>
      </c>
      <c r="AM212" s="320">
        <f>IFERROR(__xludf.DUMMYFUNCTION("""COMPUTED_VALUE"""),8.18)</f>
        <v>8.18</v>
      </c>
      <c r="AN212" s="331"/>
      <c r="AO212" s="331"/>
    </row>
    <row r="213" ht="15.75" customHeight="1">
      <c r="A213" s="330">
        <f>IFERROR(__xludf.DUMMYFUNCTION("""COMPUTED_VALUE"""),46085.0)</f>
        <v>46085</v>
      </c>
      <c r="B213" s="319" t="str">
        <f>IFERROR(__xludf.DUMMYFUNCTION("""COMPUTED_VALUE"""),"B. 1-9")</f>
        <v>B. 1-9</v>
      </c>
      <c r="C213" s="320">
        <f>IFERROR(__xludf.DUMMYFUNCTION("""COMPUTED_VALUE"""),39087.0)</f>
        <v>39087</v>
      </c>
      <c r="D213" s="320">
        <f>IFERROR(__xludf.DUMMYFUNCTION("""COMPUTED_VALUE"""),36.67)</f>
        <v>36.67</v>
      </c>
      <c r="E213" s="320">
        <f>IFERROR(__xludf.DUMMYFUNCTION("""COMPUTED_VALUE"""),0.0)</f>
        <v>0</v>
      </c>
      <c r="F213" s="320">
        <f>IFERROR(__xludf.DUMMYFUNCTION("""COMPUTED_VALUE"""),0.0)</f>
        <v>0</v>
      </c>
      <c r="G213" s="320">
        <f>IFERROR(__xludf.DUMMYFUNCTION("""COMPUTED_VALUE"""),0.0)</f>
        <v>0</v>
      </c>
      <c r="H213" s="106"/>
      <c r="I213" s="320">
        <f>IFERROR(__xludf.DUMMYFUNCTION("""COMPUTED_VALUE"""),32.0)</f>
        <v>32</v>
      </c>
      <c r="J213" s="320">
        <f>IFERROR(__xludf.DUMMYFUNCTION("""COMPUTED_VALUE"""),14.81)</f>
        <v>14.81</v>
      </c>
      <c r="K213" s="320">
        <f>IFERROR(__xludf.DUMMYFUNCTION("""COMPUTED_VALUE"""),5.94)</f>
        <v>5.94</v>
      </c>
      <c r="L213" s="320">
        <f>IFERROR(__xludf.DUMMYFUNCTION("""COMPUTED_VALUE"""),0.4012)</f>
        <v>0.4012</v>
      </c>
      <c r="M213" s="320">
        <f>IFERROR(__xludf.DUMMYFUNCTION("""COMPUTED_VALUE"""),0.7616)</f>
        <v>0.7616</v>
      </c>
      <c r="N213" s="320">
        <f>IFERROR(__xludf.DUMMYFUNCTION("""COMPUTED_VALUE"""),0.5496)</f>
        <v>0.5496</v>
      </c>
      <c r="O213" s="320">
        <f>IFERROR(__xludf.DUMMYFUNCTION("""COMPUTED_VALUE"""),2.4926)</f>
        <v>2.4926</v>
      </c>
      <c r="P213" s="320">
        <f>IFERROR(__xludf.DUMMYFUNCTION("""COMPUTED_VALUE"""),56.67)</f>
        <v>56.67</v>
      </c>
      <c r="Q213" s="320">
        <f>IFERROR(__xludf.DUMMYFUNCTION("""COMPUTED_VALUE"""),44.24)</f>
        <v>44.24</v>
      </c>
      <c r="R213" s="320">
        <f>IFERROR(__xludf.DUMMYFUNCTION("""COMPUTED_VALUE"""),12.43)</f>
        <v>12.43</v>
      </c>
      <c r="S213" s="320">
        <f>IFERROR(__xludf.DUMMYFUNCTION("""COMPUTED_VALUE"""),0.02)</f>
        <v>0.02</v>
      </c>
      <c r="T213" s="320">
        <f>IFERROR(__xludf.DUMMYFUNCTION("""COMPUTED_VALUE"""),56.66)</f>
        <v>56.66</v>
      </c>
      <c r="U213" s="320">
        <f>IFERROR(__xludf.DUMMYFUNCTION("""COMPUTED_VALUE"""),55.25)</f>
        <v>55.25</v>
      </c>
      <c r="V213" s="320">
        <f>IFERROR(__xludf.DUMMYFUNCTION("""COMPUTED_VALUE"""),3.7314)</f>
        <v>3.7314</v>
      </c>
      <c r="W213" s="320">
        <f>IFERROR(__xludf.DUMMYFUNCTION("""COMPUTED_VALUE"""),0.03)</f>
        <v>0.03</v>
      </c>
      <c r="X213" s="320">
        <f>IFERROR(__xludf.DUMMYFUNCTION("""COMPUTED_VALUE"""),148.0)</f>
        <v>148</v>
      </c>
      <c r="Y213" s="320">
        <f>IFERROR(__xludf.DUMMYFUNCTION("""COMPUTED_VALUE"""),897.0)</f>
        <v>897</v>
      </c>
      <c r="Z213" s="320">
        <f>IFERROR(__xludf.DUMMYFUNCTION("""COMPUTED_VALUE"""),5919.0)</f>
        <v>5919</v>
      </c>
      <c r="AA213" s="320">
        <f>IFERROR(__xludf.DUMMYFUNCTION("""COMPUTED_VALUE"""),48.4411)</f>
        <v>48.4411</v>
      </c>
      <c r="AB213" s="320">
        <f>IFERROR(__xludf.DUMMYFUNCTION("""COMPUTED_VALUE"""),0.5202)</f>
        <v>0.5202</v>
      </c>
      <c r="AC213" s="320">
        <f>IFERROR(__xludf.DUMMYFUNCTION("""COMPUTED_VALUE"""),4.2)</f>
        <v>4.2</v>
      </c>
      <c r="AD213" s="320">
        <f>IFERROR(__xludf.DUMMYFUNCTION("""COMPUTED_VALUE"""),1.0)</f>
        <v>1</v>
      </c>
      <c r="AE213" s="320">
        <f>IFERROR(__xludf.DUMMYFUNCTION("""COMPUTED_VALUE"""),3.0)</f>
        <v>3</v>
      </c>
      <c r="AF213" s="320">
        <f>IFERROR(__xludf.DUMMYFUNCTION("""COMPUTED_VALUE"""),6.0)</f>
        <v>6</v>
      </c>
      <c r="AG213" s="320">
        <f>IFERROR(__xludf.DUMMYFUNCTION("""COMPUTED_VALUE"""),9.0)</f>
        <v>9</v>
      </c>
      <c r="AH213" s="320">
        <f>IFERROR(__xludf.DUMMYFUNCTION("""COMPUTED_VALUE"""),74.27)</f>
        <v>74.27</v>
      </c>
      <c r="AI213" s="320">
        <f>IFERROR(__xludf.DUMMYFUNCTION("""COMPUTED_VALUE"""),32.81)</f>
        <v>32.81</v>
      </c>
      <c r="AJ213" s="320">
        <f>IFERROR(__xludf.DUMMYFUNCTION("""COMPUTED_VALUE"""),9.83)</f>
        <v>9.83</v>
      </c>
      <c r="AK213" s="320">
        <f>IFERROR(__xludf.DUMMYFUNCTION("""COMPUTED_VALUE"""),0.2314)</f>
        <v>0.2314</v>
      </c>
      <c r="AL213" s="320">
        <f>IFERROR(__xludf.DUMMYFUNCTION("""COMPUTED_VALUE"""),18.85)</f>
        <v>18.85</v>
      </c>
      <c r="AM213" s="320">
        <f>IFERROR(__xludf.DUMMYFUNCTION("""COMPUTED_VALUE"""),25.4)</f>
        <v>25.4</v>
      </c>
      <c r="AN213" s="320">
        <f>IFERROR(__xludf.DUMMYFUNCTION("""COMPUTED_VALUE"""),65.7)</f>
        <v>65.7</v>
      </c>
      <c r="AO213" s="320">
        <f>IFERROR(__xludf.DUMMYFUNCTION("""COMPUTED_VALUE"""),12.38)</f>
        <v>12.38</v>
      </c>
    </row>
    <row r="214" ht="15.75" customHeight="1">
      <c r="A214" s="330">
        <f>IFERROR(__xludf.DUMMYFUNCTION("""COMPUTED_VALUE"""),46085.0)</f>
        <v>46085</v>
      </c>
      <c r="B214" s="319" t="str">
        <f>IFERROR(__xludf.DUMMYFUNCTION("""COMPUTED_VALUE"""),"C. 10-19")</f>
        <v>C. 10-19</v>
      </c>
      <c r="C214" s="320">
        <f>IFERROR(__xludf.DUMMYFUNCTION("""COMPUTED_VALUE"""),27583.0)</f>
        <v>27583</v>
      </c>
      <c r="D214" s="320">
        <f>IFERROR(__xludf.DUMMYFUNCTION("""COMPUTED_VALUE"""),25.87)</f>
        <v>25.87</v>
      </c>
      <c r="E214" s="320">
        <f>IFERROR(__xludf.DUMMYFUNCTION("""COMPUTED_VALUE"""),0.0)</f>
        <v>0</v>
      </c>
      <c r="F214" s="320">
        <f>IFERROR(__xludf.DUMMYFUNCTION("""COMPUTED_VALUE"""),0.0)</f>
        <v>0</v>
      </c>
      <c r="G214" s="320">
        <f>IFERROR(__xludf.DUMMYFUNCTION("""COMPUTED_VALUE"""),0.0)</f>
        <v>0</v>
      </c>
      <c r="H214" s="106"/>
      <c r="I214" s="320">
        <f>IFERROR(__xludf.DUMMYFUNCTION("""COMPUTED_VALUE"""),58.71)</f>
        <v>58.71</v>
      </c>
      <c r="J214" s="320">
        <f>IFERROR(__xludf.DUMMYFUNCTION("""COMPUTED_VALUE"""),28.46)</f>
        <v>28.46</v>
      </c>
      <c r="K214" s="320">
        <f>IFERROR(__xludf.DUMMYFUNCTION("""COMPUTED_VALUE"""),15.17)</f>
        <v>15.17</v>
      </c>
      <c r="L214" s="320">
        <f>IFERROR(__xludf.DUMMYFUNCTION("""COMPUTED_VALUE"""),0.5331)</f>
        <v>0.5331</v>
      </c>
      <c r="M214" s="320">
        <f>IFERROR(__xludf.DUMMYFUNCTION("""COMPUTED_VALUE"""),0.6504)</f>
        <v>0.6504</v>
      </c>
      <c r="N214" s="320">
        <f>IFERROR(__xludf.DUMMYFUNCTION("""COMPUTED_VALUE"""),0.4371)</f>
        <v>0.4371</v>
      </c>
      <c r="O214" s="320">
        <f>IFERROR(__xludf.DUMMYFUNCTION("""COMPUTED_VALUE"""),1.8759)</f>
        <v>1.8759</v>
      </c>
      <c r="P214" s="320">
        <f>IFERROR(__xludf.DUMMYFUNCTION("""COMPUTED_VALUE"""),95.11)</f>
        <v>95.11</v>
      </c>
      <c r="Q214" s="320">
        <f>IFERROR(__xludf.DUMMYFUNCTION("""COMPUTED_VALUE"""),65.05)</f>
        <v>65.05</v>
      </c>
      <c r="R214" s="320">
        <f>IFERROR(__xludf.DUMMYFUNCTION("""COMPUTED_VALUE"""),30.06)</f>
        <v>30.06</v>
      </c>
      <c r="S214" s="320">
        <f>IFERROR(__xludf.DUMMYFUNCTION("""COMPUTED_VALUE"""),0.2)</f>
        <v>0.2</v>
      </c>
      <c r="T214" s="320">
        <f>IFERROR(__xludf.DUMMYFUNCTION("""COMPUTED_VALUE"""),94.91)</f>
        <v>94.91</v>
      </c>
      <c r="U214" s="320">
        <f>IFERROR(__xludf.DUMMYFUNCTION("""COMPUTED_VALUE"""),99.94)</f>
        <v>99.94</v>
      </c>
      <c r="V214" s="320">
        <f>IFERROR(__xludf.DUMMYFUNCTION("""COMPUTED_VALUE"""),3.5117)</f>
        <v>3.5117</v>
      </c>
      <c r="W214" s="320">
        <f>IFERROR(__xludf.DUMMYFUNCTION("""COMPUTED_VALUE"""),0.21)</f>
        <v>0.21</v>
      </c>
      <c r="X214" s="320">
        <f>IFERROR(__xludf.DUMMYFUNCTION("""COMPUTED_VALUE"""),128.0)</f>
        <v>128</v>
      </c>
      <c r="Y214" s="320">
        <f>IFERROR(__xludf.DUMMYFUNCTION("""COMPUTED_VALUE"""),702.0)</f>
        <v>702</v>
      </c>
      <c r="Z214" s="320">
        <f>IFERROR(__xludf.DUMMYFUNCTION("""COMPUTED_VALUE"""),5842.0)</f>
        <v>5842</v>
      </c>
      <c r="AA214" s="320">
        <f>IFERROR(__xludf.DUMMYFUNCTION("""COMPUTED_VALUE"""),52.2874)</f>
        <v>52.2874</v>
      </c>
      <c r="AB214" s="320">
        <f>IFERROR(__xludf.DUMMYFUNCTION("""COMPUTED_VALUE"""),0.6118)</f>
        <v>0.6118</v>
      </c>
      <c r="AC214" s="320">
        <f>IFERROR(__xludf.DUMMYFUNCTION("""COMPUTED_VALUE"""),9.7)</f>
        <v>9.7</v>
      </c>
      <c r="AD214" s="320">
        <f>IFERROR(__xludf.DUMMYFUNCTION("""COMPUTED_VALUE"""),4.0)</f>
        <v>4</v>
      </c>
      <c r="AE214" s="320">
        <f>IFERROR(__xludf.DUMMYFUNCTION("""COMPUTED_VALUE"""),8.0)</f>
        <v>8</v>
      </c>
      <c r="AF214" s="320">
        <f>IFERROR(__xludf.DUMMYFUNCTION("""COMPUTED_VALUE"""),13.0)</f>
        <v>13</v>
      </c>
      <c r="AG214" s="320">
        <f>IFERROR(__xludf.DUMMYFUNCTION("""COMPUTED_VALUE"""),20.0)</f>
        <v>20</v>
      </c>
      <c r="AH214" s="320">
        <f>IFERROR(__xludf.DUMMYFUNCTION("""COMPUTED_VALUE"""),61.66)</f>
        <v>61.66</v>
      </c>
      <c r="AI214" s="320">
        <f>IFERROR(__xludf.DUMMYFUNCTION("""COMPUTED_VALUE"""),27.51)</f>
        <v>27.51</v>
      </c>
      <c r="AJ214" s="320">
        <f>IFERROR(__xludf.DUMMYFUNCTION("""COMPUTED_VALUE"""),5.13)</f>
        <v>5.13</v>
      </c>
      <c r="AK214" s="320">
        <f>IFERROR(__xludf.DUMMYFUNCTION("""COMPUTED_VALUE"""),0.1796)</f>
        <v>0.1796</v>
      </c>
      <c r="AL214" s="320">
        <f>IFERROR(__xludf.DUMMYFUNCTION("""COMPUTED_VALUE"""),20.03)</f>
        <v>20.03</v>
      </c>
      <c r="AM214" s="320">
        <f>IFERROR(__xludf.DUMMYFUNCTION("""COMPUTED_VALUE"""),45.02)</f>
        <v>45.02</v>
      </c>
      <c r="AN214" s="320">
        <f>IFERROR(__xludf.DUMMYFUNCTION("""COMPUTED_VALUE"""),73.43)</f>
        <v>73.43</v>
      </c>
      <c r="AO214" s="320">
        <f>IFERROR(__xludf.DUMMYFUNCTION("""COMPUTED_VALUE"""),14.71)</f>
        <v>14.71</v>
      </c>
    </row>
    <row r="215" ht="15.75" customHeight="1">
      <c r="A215" s="330">
        <f>IFERROR(__xludf.DUMMYFUNCTION("""COMPUTED_VALUE"""),46085.0)</f>
        <v>46085</v>
      </c>
      <c r="B215" s="319" t="str">
        <f>IFERROR(__xludf.DUMMYFUNCTION("""COMPUTED_VALUE"""),"D. 20-39")</f>
        <v>D. 20-39</v>
      </c>
      <c r="C215" s="320">
        <f>IFERROR(__xludf.DUMMYFUNCTION("""COMPUTED_VALUE"""),13965.0)</f>
        <v>13965</v>
      </c>
      <c r="D215" s="320">
        <f>IFERROR(__xludf.DUMMYFUNCTION("""COMPUTED_VALUE"""),13.1)</f>
        <v>13.1</v>
      </c>
      <c r="E215" s="320">
        <f>IFERROR(__xludf.DUMMYFUNCTION("""COMPUTED_VALUE"""),0.0)</f>
        <v>0</v>
      </c>
      <c r="F215" s="320">
        <f>IFERROR(__xludf.DUMMYFUNCTION("""COMPUTED_VALUE"""),0.0)</f>
        <v>0</v>
      </c>
      <c r="G215" s="320">
        <f>IFERROR(__xludf.DUMMYFUNCTION("""COMPUTED_VALUE"""),0.0)</f>
        <v>0</v>
      </c>
      <c r="H215" s="106"/>
      <c r="I215" s="320">
        <f>IFERROR(__xludf.DUMMYFUNCTION("""COMPUTED_VALUE"""),82.17)</f>
        <v>82.17</v>
      </c>
      <c r="J215" s="320">
        <f>IFERROR(__xludf.DUMMYFUNCTION("""COMPUTED_VALUE"""),42.1)</f>
        <v>42.1</v>
      </c>
      <c r="K215" s="320">
        <f>IFERROR(__xludf.DUMMYFUNCTION("""COMPUTED_VALUE"""),27.44)</f>
        <v>27.44</v>
      </c>
      <c r="L215" s="320">
        <f>IFERROR(__xludf.DUMMYFUNCTION("""COMPUTED_VALUE"""),0.6517)</f>
        <v>0.6517</v>
      </c>
      <c r="M215" s="320">
        <f>IFERROR(__xludf.DUMMYFUNCTION("""COMPUTED_VALUE"""),0.5321)</f>
        <v>0.5321</v>
      </c>
      <c r="N215" s="320">
        <f>IFERROR(__xludf.DUMMYFUNCTION("""COMPUTED_VALUE"""),0.3587)</f>
        <v>0.3587</v>
      </c>
      <c r="O215" s="320">
        <f>IFERROR(__xludf.DUMMYFUNCTION("""COMPUTED_VALUE"""),1.5343)</f>
        <v>1.5343</v>
      </c>
      <c r="P215" s="320">
        <f>IFERROR(__xludf.DUMMYFUNCTION("""COMPUTED_VALUE"""),150.29)</f>
        <v>150.29</v>
      </c>
      <c r="Q215" s="320">
        <f>IFERROR(__xludf.DUMMYFUNCTION("""COMPUTED_VALUE"""),92.66)</f>
        <v>92.66</v>
      </c>
      <c r="R215" s="320">
        <f>IFERROR(__xludf.DUMMYFUNCTION("""COMPUTED_VALUE"""),57.63)</f>
        <v>57.63</v>
      </c>
      <c r="S215" s="320">
        <f>IFERROR(__xludf.DUMMYFUNCTION("""COMPUTED_VALUE"""),0.2)</f>
        <v>0.2</v>
      </c>
      <c r="T215" s="320">
        <f>IFERROR(__xludf.DUMMYFUNCTION("""COMPUTED_VALUE"""),150.08)</f>
        <v>150.08</v>
      </c>
      <c r="U215" s="320">
        <f>IFERROR(__xludf.DUMMYFUNCTION("""COMPUTED_VALUE"""),168.47)</f>
        <v>168.47</v>
      </c>
      <c r="V215" s="320">
        <f>IFERROR(__xludf.DUMMYFUNCTION("""COMPUTED_VALUE"""),4.0016)</f>
        <v>4.0016</v>
      </c>
      <c r="W215" s="320">
        <f>IFERROR(__xludf.DUMMYFUNCTION("""COMPUTED_VALUE"""),0.14)</f>
        <v>0.14</v>
      </c>
      <c r="X215" s="320">
        <f>IFERROR(__xludf.DUMMYFUNCTION("""COMPUTED_VALUE"""),156.0)</f>
        <v>156</v>
      </c>
      <c r="Y215" s="320">
        <f>IFERROR(__xludf.DUMMYFUNCTION("""COMPUTED_VALUE"""),997.0)</f>
        <v>997</v>
      </c>
      <c r="Z215" s="320">
        <f>IFERROR(__xludf.DUMMYFUNCTION("""COMPUTED_VALUE"""),6316.0)</f>
        <v>6316</v>
      </c>
      <c r="AA215" s="320">
        <f>IFERROR(__xludf.DUMMYFUNCTION("""COMPUTED_VALUE"""),55.985)</f>
        <v>55.985</v>
      </c>
      <c r="AB215" s="320">
        <f>IFERROR(__xludf.DUMMYFUNCTION("""COMPUTED_VALUE"""),0.7449)</f>
        <v>0.7449</v>
      </c>
      <c r="AC215" s="320">
        <f>IFERROR(__xludf.DUMMYFUNCTION("""COMPUTED_VALUE"""),18.28)</f>
        <v>18.28</v>
      </c>
      <c r="AD215" s="320">
        <f>IFERROR(__xludf.DUMMYFUNCTION("""COMPUTED_VALUE"""),8.0)</f>
        <v>8</v>
      </c>
      <c r="AE215" s="320">
        <f>IFERROR(__xludf.DUMMYFUNCTION("""COMPUTED_VALUE"""),14.0)</f>
        <v>14</v>
      </c>
      <c r="AF215" s="320">
        <f>IFERROR(__xludf.DUMMYFUNCTION("""COMPUTED_VALUE"""),25.0)</f>
        <v>25</v>
      </c>
      <c r="AG215" s="320">
        <f>IFERROR(__xludf.DUMMYFUNCTION("""COMPUTED_VALUE"""),38.0)</f>
        <v>38</v>
      </c>
      <c r="AH215" s="320">
        <f>IFERROR(__xludf.DUMMYFUNCTION("""COMPUTED_VALUE"""),61.51)</f>
        <v>61.51</v>
      </c>
      <c r="AI215" s="320">
        <f>IFERROR(__xludf.DUMMYFUNCTION("""COMPUTED_VALUE"""),24.53)</f>
        <v>24.53</v>
      </c>
      <c r="AJ215" s="320">
        <f>IFERROR(__xludf.DUMMYFUNCTION("""COMPUTED_VALUE"""),7.5)</f>
        <v>7.5</v>
      </c>
      <c r="AK215" s="320">
        <f>IFERROR(__xludf.DUMMYFUNCTION("""COMPUTED_VALUE"""),0.1701)</f>
        <v>0.1701</v>
      </c>
      <c r="AL215" s="320">
        <f>IFERROR(__xludf.DUMMYFUNCTION("""COMPUTED_VALUE"""),20.63)</f>
        <v>20.63</v>
      </c>
      <c r="AM215" s="320">
        <f>IFERROR(__xludf.DUMMYFUNCTION("""COMPUTED_VALUE"""),72.02)</f>
        <v>72.02</v>
      </c>
      <c r="AN215" s="320">
        <f>IFERROR(__xludf.DUMMYFUNCTION("""COMPUTED_VALUE"""),76.66)</f>
        <v>76.66</v>
      </c>
      <c r="AO215" s="320">
        <f>IFERROR(__xludf.DUMMYFUNCTION("""COMPUTED_VALUE"""),15.81)</f>
        <v>15.81</v>
      </c>
    </row>
    <row r="216" ht="15.75" customHeight="1">
      <c r="A216" s="330">
        <f>IFERROR(__xludf.DUMMYFUNCTION("""COMPUTED_VALUE"""),46085.0)</f>
        <v>46085</v>
      </c>
      <c r="B216" s="319" t="str">
        <f>IFERROR(__xludf.DUMMYFUNCTION("""COMPUTED_VALUE"""),"E. 40-99")</f>
        <v>E. 40-99</v>
      </c>
      <c r="C216" s="320">
        <f>IFERROR(__xludf.DUMMYFUNCTION("""COMPUTED_VALUE"""),5483.0)</f>
        <v>5483</v>
      </c>
      <c r="D216" s="320">
        <f>IFERROR(__xludf.DUMMYFUNCTION("""COMPUTED_VALUE"""),5.14)</f>
        <v>5.14</v>
      </c>
      <c r="E216" s="320">
        <f>IFERROR(__xludf.DUMMYFUNCTION("""COMPUTED_VALUE"""),0.0)</f>
        <v>0</v>
      </c>
      <c r="F216" s="320">
        <f>IFERROR(__xludf.DUMMYFUNCTION("""COMPUTED_VALUE"""),0.0)</f>
        <v>0</v>
      </c>
      <c r="G216" s="320">
        <f>IFERROR(__xludf.DUMMYFUNCTION("""COMPUTED_VALUE"""),0.0)</f>
        <v>0</v>
      </c>
      <c r="H216" s="106"/>
      <c r="I216" s="320">
        <f>IFERROR(__xludf.DUMMYFUNCTION("""COMPUTED_VALUE"""),130.79)</f>
        <v>130.79</v>
      </c>
      <c r="J216" s="320">
        <f>IFERROR(__xludf.DUMMYFUNCTION("""COMPUTED_VALUE"""),72.0)</f>
        <v>72</v>
      </c>
      <c r="K216" s="320">
        <f>IFERROR(__xludf.DUMMYFUNCTION("""COMPUTED_VALUE"""),55.61)</f>
        <v>55.61</v>
      </c>
      <c r="L216" s="320">
        <f>IFERROR(__xludf.DUMMYFUNCTION("""COMPUTED_VALUE"""),0.7723)</f>
        <v>0.7723</v>
      </c>
      <c r="M216" s="320">
        <f>IFERROR(__xludf.DUMMYFUNCTION("""COMPUTED_VALUE"""),0.4021)</f>
        <v>0.4021</v>
      </c>
      <c r="N216" s="320">
        <f>IFERROR(__xludf.DUMMYFUNCTION("""COMPUTED_VALUE"""),0.2803)</f>
        <v>0.2803</v>
      </c>
      <c r="O216" s="320">
        <f>IFERROR(__xludf.DUMMYFUNCTION("""COMPUTED_VALUE"""),1.2948)</f>
        <v>1.2948</v>
      </c>
      <c r="P216" s="320">
        <f>IFERROR(__xludf.DUMMYFUNCTION("""COMPUTED_VALUE"""),273.77)</f>
        <v>273.77</v>
      </c>
      <c r="Q216" s="320">
        <f>IFERROR(__xludf.DUMMYFUNCTION("""COMPUTED_VALUE"""),156.73)</f>
        <v>156.73</v>
      </c>
      <c r="R216" s="320">
        <f>IFERROR(__xludf.DUMMYFUNCTION("""COMPUTED_VALUE"""),117.03)</f>
        <v>117.03</v>
      </c>
      <c r="S216" s="320">
        <f>IFERROR(__xludf.DUMMYFUNCTION("""COMPUTED_VALUE"""),0.0)</f>
        <v>0</v>
      </c>
      <c r="T216" s="320">
        <f>IFERROR(__xludf.DUMMYFUNCTION("""COMPUTED_VALUE"""),273.77)</f>
        <v>273.77</v>
      </c>
      <c r="U216" s="320">
        <f>IFERROR(__xludf.DUMMYFUNCTION("""COMPUTED_VALUE"""),329.58)</f>
        <v>329.58</v>
      </c>
      <c r="V216" s="320">
        <f>IFERROR(__xludf.DUMMYFUNCTION("""COMPUTED_VALUE"""),4.5774)</f>
        <v>4.5774</v>
      </c>
      <c r="W216" s="320">
        <f>IFERROR(__xludf.DUMMYFUNCTION("""COMPUTED_VALUE"""),0.0)</f>
        <v>0</v>
      </c>
      <c r="X216" s="320">
        <f>IFERROR(__xludf.DUMMYFUNCTION("""COMPUTED_VALUE"""),341.0)</f>
        <v>341</v>
      </c>
      <c r="Y216" s="320">
        <f>IFERROR(__xludf.DUMMYFUNCTION("""COMPUTED_VALUE"""),2249.0)</f>
        <v>2249</v>
      </c>
      <c r="Z216" s="320">
        <f>IFERROR(__xludf.DUMMYFUNCTION("""COMPUTED_VALUE"""),9412.0)</f>
        <v>9412</v>
      </c>
      <c r="AA216" s="320">
        <f>IFERROR(__xludf.DUMMYFUNCTION("""COMPUTED_VALUE"""),59.9077)</f>
        <v>59.9077</v>
      </c>
      <c r="AB216" s="320">
        <f>IFERROR(__xludf.DUMMYFUNCTION("""COMPUTED_VALUE"""),0.8444)</f>
        <v>0.8444</v>
      </c>
      <c r="AC216" s="320">
        <f>IFERROR(__xludf.DUMMYFUNCTION("""COMPUTED_VALUE"""),38.19)</f>
        <v>38.19</v>
      </c>
      <c r="AD216" s="320">
        <f>IFERROR(__xludf.DUMMYFUNCTION("""COMPUTED_VALUE"""),15.0)</f>
        <v>15</v>
      </c>
      <c r="AE216" s="320">
        <f>IFERROR(__xludf.DUMMYFUNCTION("""COMPUTED_VALUE"""),29.0)</f>
        <v>29</v>
      </c>
      <c r="AF216" s="320">
        <f>IFERROR(__xludf.DUMMYFUNCTION("""COMPUTED_VALUE"""),53.0)</f>
        <v>53</v>
      </c>
      <c r="AG216" s="320">
        <f>IFERROR(__xludf.DUMMYFUNCTION("""COMPUTED_VALUE"""),81.0)</f>
        <v>81</v>
      </c>
      <c r="AH216" s="320">
        <f>IFERROR(__xludf.DUMMYFUNCTION("""COMPUTED_VALUE"""),52.4)</f>
        <v>52.4</v>
      </c>
      <c r="AI216" s="320">
        <f>IFERROR(__xludf.DUMMYFUNCTION("""COMPUTED_VALUE"""),20.17)</f>
        <v>20.17</v>
      </c>
      <c r="AJ216" s="320">
        <f>IFERROR(__xludf.DUMMYFUNCTION("""COMPUTED_VALUE"""),5.34)</f>
        <v>5.34</v>
      </c>
      <c r="AK216" s="320">
        <f>IFERROR(__xludf.DUMMYFUNCTION("""COMPUTED_VALUE"""),0.1255)</f>
        <v>0.1255</v>
      </c>
      <c r="AL216" s="320">
        <f>IFERROR(__xludf.DUMMYFUNCTION("""COMPUTED_VALUE"""),21.06)</f>
        <v>21.06</v>
      </c>
      <c r="AM216" s="320">
        <f>IFERROR(__xludf.DUMMYFUNCTION("""COMPUTED_VALUE"""),135.67)</f>
        <v>135.67</v>
      </c>
      <c r="AN216" s="320">
        <f>IFERROR(__xludf.DUMMYFUNCTION("""COMPUTED_VALUE"""),82.65)</f>
        <v>82.65</v>
      </c>
      <c r="AO216" s="320">
        <f>IFERROR(__xludf.DUMMYFUNCTION("""COMPUTED_VALUE"""),17.41)</f>
        <v>17.41</v>
      </c>
    </row>
    <row r="217" ht="15.75" customHeight="1">
      <c r="A217" s="330">
        <f>IFERROR(__xludf.DUMMYFUNCTION("""COMPUTED_VALUE"""),46085.0)</f>
        <v>46085</v>
      </c>
      <c r="B217" s="319" t="str">
        <f>IFERROR(__xludf.DUMMYFUNCTION("""COMPUTED_VALUE"""),"F. 100+")</f>
        <v>F. 100+</v>
      </c>
      <c r="C217" s="320">
        <f>IFERROR(__xludf.DUMMYFUNCTION("""COMPUTED_VALUE"""),626.0)</f>
        <v>626</v>
      </c>
      <c r="D217" s="320">
        <f>IFERROR(__xludf.DUMMYFUNCTION("""COMPUTED_VALUE"""),0.59)</f>
        <v>0.59</v>
      </c>
      <c r="E217" s="320">
        <f>IFERROR(__xludf.DUMMYFUNCTION("""COMPUTED_VALUE"""),0.0)</f>
        <v>0</v>
      </c>
      <c r="F217" s="320">
        <f>IFERROR(__xludf.DUMMYFUNCTION("""COMPUTED_VALUE"""),0.0)</f>
        <v>0</v>
      </c>
      <c r="G217" s="320">
        <f>IFERROR(__xludf.DUMMYFUNCTION("""COMPUTED_VALUE"""),0.0)</f>
        <v>0</v>
      </c>
      <c r="H217" s="106"/>
      <c r="I217" s="320">
        <f>IFERROR(__xludf.DUMMYFUNCTION("""COMPUTED_VALUE"""),244.87)</f>
        <v>244.87</v>
      </c>
      <c r="J217" s="320">
        <f>IFERROR(__xludf.DUMMYFUNCTION("""COMPUTED_VALUE"""),142.38)</f>
        <v>142.38</v>
      </c>
      <c r="K217" s="320">
        <f>IFERROR(__xludf.DUMMYFUNCTION("""COMPUTED_VALUE"""),123.43)</f>
        <v>123.43</v>
      </c>
      <c r="L217" s="320">
        <f>IFERROR(__xludf.DUMMYFUNCTION("""COMPUTED_VALUE"""),0.8669)</f>
        <v>0.8669</v>
      </c>
      <c r="M217" s="320">
        <f>IFERROR(__xludf.DUMMYFUNCTION("""COMPUTED_VALUE"""),0.2866)</f>
        <v>0.2866</v>
      </c>
      <c r="N217" s="320">
        <f>IFERROR(__xludf.DUMMYFUNCTION("""COMPUTED_VALUE"""),0.2122)</f>
        <v>0.2122</v>
      </c>
      <c r="O217" s="320">
        <f>IFERROR(__xludf.DUMMYFUNCTION("""COMPUTED_VALUE"""),1.1536)</f>
        <v>1.1536</v>
      </c>
      <c r="P217" s="320">
        <f>IFERROR(__xludf.DUMMYFUNCTION("""COMPUTED_VALUE"""),533.39)</f>
        <v>533.39</v>
      </c>
      <c r="Q217" s="320">
        <f>IFERROR(__xludf.DUMMYFUNCTION("""COMPUTED_VALUE"""),269.9)</f>
        <v>269.9</v>
      </c>
      <c r="R217" s="320">
        <f>IFERROR(__xludf.DUMMYFUNCTION("""COMPUTED_VALUE"""),263.48)</f>
        <v>263.48</v>
      </c>
      <c r="S217" s="320">
        <f>IFERROR(__xludf.DUMMYFUNCTION("""COMPUTED_VALUE"""),0.0)</f>
        <v>0</v>
      </c>
      <c r="T217" s="320">
        <f>IFERROR(__xludf.DUMMYFUNCTION("""COMPUTED_VALUE"""),533.39)</f>
        <v>533.39</v>
      </c>
      <c r="U217" s="320">
        <f>IFERROR(__xludf.DUMMYFUNCTION("""COMPUTED_VALUE"""),612.22)</f>
        <v>612.22</v>
      </c>
      <c r="V217" s="320">
        <f>IFERROR(__xludf.DUMMYFUNCTION("""COMPUTED_VALUE"""),4.2999)</f>
        <v>4.2999</v>
      </c>
      <c r="W217" s="320">
        <f>IFERROR(__xludf.DUMMYFUNCTION("""COMPUTED_VALUE"""),0.0)</f>
        <v>0</v>
      </c>
      <c r="X217" s="320">
        <f>IFERROR(__xludf.DUMMYFUNCTION("""COMPUTED_VALUE"""),972.0)</f>
        <v>972</v>
      </c>
      <c r="Y217" s="320">
        <f>IFERROR(__xludf.DUMMYFUNCTION("""COMPUTED_VALUE"""),4445.0)</f>
        <v>4445</v>
      </c>
      <c r="Z217" s="320">
        <f>IFERROR(__xludf.DUMMYFUNCTION("""COMPUTED_VALUE"""),10090.0)</f>
        <v>10090</v>
      </c>
      <c r="AA217" s="320">
        <f>IFERROR(__xludf.DUMMYFUNCTION("""COMPUTED_VALUE"""),63.3656)</f>
        <v>63.3656</v>
      </c>
      <c r="AB217" s="320">
        <f>IFERROR(__xludf.DUMMYFUNCTION("""COMPUTED_VALUE"""),0.908)</f>
        <v>0.908</v>
      </c>
      <c r="AC217" s="320">
        <f>IFERROR(__xludf.DUMMYFUNCTION("""COMPUTED_VALUE"""),84.84)</f>
        <v>84.84</v>
      </c>
      <c r="AD217" s="320">
        <f>IFERROR(__xludf.DUMMYFUNCTION("""COMPUTED_VALUE"""),35.0)</f>
        <v>35</v>
      </c>
      <c r="AE217" s="320">
        <f>IFERROR(__xludf.DUMMYFUNCTION("""COMPUTED_VALUE"""),68.0)</f>
        <v>68</v>
      </c>
      <c r="AF217" s="320">
        <f>IFERROR(__xludf.DUMMYFUNCTION("""COMPUTED_VALUE"""),122.0)</f>
        <v>122</v>
      </c>
      <c r="AG217" s="320">
        <f>IFERROR(__xludf.DUMMYFUNCTION("""COMPUTED_VALUE"""),176.0)</f>
        <v>176</v>
      </c>
      <c r="AH217" s="320">
        <f>IFERROR(__xludf.DUMMYFUNCTION("""COMPUTED_VALUE"""),44.57)</f>
        <v>44.57</v>
      </c>
      <c r="AI217" s="320">
        <f>IFERROR(__xludf.DUMMYFUNCTION("""COMPUTED_VALUE"""),10.22)</f>
        <v>10.22</v>
      </c>
      <c r="AJ217" s="320">
        <f>IFERROR(__xludf.DUMMYFUNCTION("""COMPUTED_VALUE"""),0.8)</f>
        <v>0.8</v>
      </c>
      <c r="AK217" s="320">
        <f>IFERROR(__xludf.DUMMYFUNCTION("""COMPUTED_VALUE"""),0.1022)</f>
        <v>0.1022</v>
      </c>
      <c r="AL217" s="320">
        <f>IFERROR(__xludf.DUMMYFUNCTION("""COMPUTED_VALUE"""),23.31)</f>
        <v>23.31</v>
      </c>
      <c r="AM217" s="320">
        <f>IFERROR(__xludf.DUMMYFUNCTION("""COMPUTED_VALUE"""),246.59)</f>
        <v>246.59</v>
      </c>
      <c r="AN217" s="320">
        <f>IFERROR(__xludf.DUMMYFUNCTION("""COMPUTED_VALUE"""),85.58)</f>
        <v>85.58</v>
      </c>
      <c r="AO217" s="320">
        <f>IFERROR(__xludf.DUMMYFUNCTION("""COMPUTED_VALUE"""),19.95)</f>
        <v>19.95</v>
      </c>
    </row>
    <row r="218" ht="15.75" customHeight="1">
      <c r="A218" s="330">
        <f>IFERROR(__xludf.DUMMYFUNCTION("""COMPUTED_VALUE"""),46086.0)</f>
        <v>46086</v>
      </c>
      <c r="B218" s="319" t="str">
        <f>IFERROR(__xludf.DUMMYFUNCTION("""COMPUTED_VALUE"""),"A. 0")</f>
        <v>A. 0</v>
      </c>
      <c r="C218" s="320">
        <f>IFERROR(__xludf.DUMMYFUNCTION("""COMPUTED_VALUE"""),20848.0)</f>
        <v>20848</v>
      </c>
      <c r="D218" s="320">
        <f>IFERROR(__xludf.DUMMYFUNCTION("""COMPUTED_VALUE"""),19.56)</f>
        <v>19.56</v>
      </c>
      <c r="E218" s="320">
        <f>IFERROR(__xludf.DUMMYFUNCTION("""COMPUTED_VALUE"""),0.0)</f>
        <v>0</v>
      </c>
      <c r="F218" s="320">
        <f>IFERROR(__xludf.DUMMYFUNCTION("""COMPUTED_VALUE"""),0.0)</f>
        <v>0</v>
      </c>
      <c r="G218" s="320">
        <f>IFERROR(__xludf.DUMMYFUNCTION("""COMPUTED_VALUE"""),0.0)</f>
        <v>0</v>
      </c>
      <c r="H218" s="106"/>
      <c r="I218" s="320">
        <f>IFERROR(__xludf.DUMMYFUNCTION("""COMPUTED_VALUE"""),6.37)</f>
        <v>6.37</v>
      </c>
      <c r="J218" s="320">
        <f>IFERROR(__xludf.DUMMYFUNCTION("""COMPUTED_VALUE"""),2.59)</f>
        <v>2.59</v>
      </c>
      <c r="K218" s="320">
        <f>IFERROR(__xludf.DUMMYFUNCTION("""COMPUTED_VALUE"""),0.06)</f>
        <v>0.06</v>
      </c>
      <c r="L218" s="320">
        <f>IFERROR(__xludf.DUMMYFUNCTION("""COMPUTED_VALUE"""),0.0239)</f>
        <v>0.0239</v>
      </c>
      <c r="M218" s="320">
        <f>IFERROR(__xludf.DUMMYFUNCTION("""COMPUTED_VALUE"""),0.9816)</f>
        <v>0.9816</v>
      </c>
      <c r="N218" s="320">
        <f>IFERROR(__xludf.DUMMYFUNCTION("""COMPUTED_VALUE"""),0.7876)</f>
        <v>0.7876</v>
      </c>
      <c r="O218" s="320">
        <f>IFERROR(__xludf.DUMMYFUNCTION("""COMPUTED_VALUE"""),41.8906)</f>
        <v>41.8906</v>
      </c>
      <c r="P218" s="320">
        <f>IFERROR(__xludf.DUMMYFUNCTION("""COMPUTED_VALUE"""),22.27)</f>
        <v>22.27</v>
      </c>
      <c r="Q218" s="320">
        <f>IFERROR(__xludf.DUMMYFUNCTION("""COMPUTED_VALUE"""),22.18)</f>
        <v>22.18</v>
      </c>
      <c r="R218" s="320">
        <f>IFERROR(__xludf.DUMMYFUNCTION("""COMPUTED_VALUE"""),0.09)</f>
        <v>0.09</v>
      </c>
      <c r="S218" s="320">
        <f>IFERROR(__xludf.DUMMYFUNCTION("""COMPUTED_VALUE"""),0.0)</f>
        <v>0</v>
      </c>
      <c r="T218" s="320">
        <f>IFERROR(__xludf.DUMMYFUNCTION("""COMPUTED_VALUE"""),22.27)</f>
        <v>22.27</v>
      </c>
      <c r="U218" s="320">
        <f>IFERROR(__xludf.DUMMYFUNCTION("""COMPUTED_VALUE"""),1.82)</f>
        <v>1.82</v>
      </c>
      <c r="V218" s="320">
        <f>IFERROR(__xludf.DUMMYFUNCTION("""COMPUTED_VALUE"""),0.701)</f>
        <v>0.701</v>
      </c>
      <c r="W218" s="320">
        <f>IFERROR(__xludf.DUMMYFUNCTION("""COMPUTED_VALUE"""),0.0)</f>
        <v>0</v>
      </c>
      <c r="X218" s="320">
        <f>IFERROR(__xludf.DUMMYFUNCTION("""COMPUTED_VALUE"""),313.0)</f>
        <v>313</v>
      </c>
      <c r="Y218" s="320">
        <f>IFERROR(__xludf.DUMMYFUNCTION("""COMPUTED_VALUE"""),3573.0)</f>
        <v>3573</v>
      </c>
      <c r="Z218" s="320">
        <f>IFERROR(__xludf.DUMMYFUNCTION("""COMPUTED_VALUE"""),14432.0)</f>
        <v>14432</v>
      </c>
      <c r="AA218" s="320">
        <f>IFERROR(__xludf.DUMMYFUNCTION("""COMPUTED_VALUE"""),48.9482)</f>
        <v>48.9482</v>
      </c>
      <c r="AB218" s="320">
        <f>IFERROR(__xludf.DUMMYFUNCTION("""COMPUTED_VALUE"""),0.5318)</f>
        <v>0.5318</v>
      </c>
      <c r="AC218" s="106"/>
      <c r="AD218" s="106"/>
      <c r="AE218" s="106"/>
      <c r="AF218" s="106"/>
      <c r="AG218" s="106"/>
      <c r="AH218" s="320">
        <f>IFERROR(__xludf.DUMMYFUNCTION("""COMPUTED_VALUE"""),0.0)</f>
        <v>0</v>
      </c>
      <c r="AI218" s="320">
        <f>IFERROR(__xludf.DUMMYFUNCTION("""COMPUTED_VALUE"""),0.0)</f>
        <v>0</v>
      </c>
      <c r="AJ218" s="320">
        <f>IFERROR(__xludf.DUMMYFUNCTION("""COMPUTED_VALUE"""),0.0)</f>
        <v>0</v>
      </c>
      <c r="AK218" s="320">
        <f>IFERROR(__xludf.DUMMYFUNCTION("""COMPUTED_VALUE"""),0.2909)</f>
        <v>0.2909</v>
      </c>
      <c r="AL218" s="320">
        <f>IFERROR(__xludf.DUMMYFUNCTION("""COMPUTED_VALUE"""),16.07)</f>
        <v>16.07</v>
      </c>
      <c r="AM218" s="320">
        <f>IFERROR(__xludf.DUMMYFUNCTION("""COMPUTED_VALUE"""),6.11)</f>
        <v>6.11</v>
      </c>
      <c r="AN218" s="331"/>
      <c r="AO218" s="331"/>
    </row>
    <row r="219" ht="15.75" customHeight="1">
      <c r="A219" s="330">
        <f>IFERROR(__xludf.DUMMYFUNCTION("""COMPUTED_VALUE"""),46086.0)</f>
        <v>46086</v>
      </c>
      <c r="B219" s="319" t="str">
        <f>IFERROR(__xludf.DUMMYFUNCTION("""COMPUTED_VALUE"""),"B. 1-9")</f>
        <v>B. 1-9</v>
      </c>
      <c r="C219" s="320">
        <f>IFERROR(__xludf.DUMMYFUNCTION("""COMPUTED_VALUE"""),38625.0)</f>
        <v>38625</v>
      </c>
      <c r="D219" s="320">
        <f>IFERROR(__xludf.DUMMYFUNCTION("""COMPUTED_VALUE"""),36.23)</f>
        <v>36.23</v>
      </c>
      <c r="E219" s="320">
        <f>IFERROR(__xludf.DUMMYFUNCTION("""COMPUTED_VALUE"""),0.0)</f>
        <v>0</v>
      </c>
      <c r="F219" s="320">
        <f>IFERROR(__xludf.DUMMYFUNCTION("""COMPUTED_VALUE"""),0.0)</f>
        <v>0</v>
      </c>
      <c r="G219" s="320">
        <f>IFERROR(__xludf.DUMMYFUNCTION("""COMPUTED_VALUE"""),0.0)</f>
        <v>0</v>
      </c>
      <c r="H219" s="106"/>
      <c r="I219" s="320">
        <f>IFERROR(__xludf.DUMMYFUNCTION("""COMPUTED_VALUE"""),29.22)</f>
        <v>29.22</v>
      </c>
      <c r="J219" s="320">
        <f>IFERROR(__xludf.DUMMYFUNCTION("""COMPUTED_VALUE"""),13.3)</f>
        <v>13.3</v>
      </c>
      <c r="K219" s="320">
        <f>IFERROR(__xludf.DUMMYFUNCTION("""COMPUTED_VALUE"""),5.64)</f>
        <v>5.64</v>
      </c>
      <c r="L219" s="320">
        <f>IFERROR(__xludf.DUMMYFUNCTION("""COMPUTED_VALUE"""),0.4241)</f>
        <v>0.4241</v>
      </c>
      <c r="M219" s="320">
        <f>IFERROR(__xludf.DUMMYFUNCTION("""COMPUTED_VALUE"""),0.7479)</f>
        <v>0.7479</v>
      </c>
      <c r="N219" s="320">
        <f>IFERROR(__xludf.DUMMYFUNCTION("""COMPUTED_VALUE"""),0.5453)</f>
        <v>0.5453</v>
      </c>
      <c r="O219" s="320">
        <f>IFERROR(__xludf.DUMMYFUNCTION("""COMPUTED_VALUE"""),2.3577)</f>
        <v>2.3577</v>
      </c>
      <c r="P219" s="320">
        <f>IFERROR(__xludf.DUMMYFUNCTION("""COMPUTED_VALUE"""),50.38)</f>
        <v>50.38</v>
      </c>
      <c r="Q219" s="320">
        <f>IFERROR(__xludf.DUMMYFUNCTION("""COMPUTED_VALUE"""),38.67)</f>
        <v>38.67</v>
      </c>
      <c r="R219" s="320">
        <f>IFERROR(__xludf.DUMMYFUNCTION("""COMPUTED_VALUE"""),11.72)</f>
        <v>11.72</v>
      </c>
      <c r="S219" s="320">
        <f>IFERROR(__xludf.DUMMYFUNCTION("""COMPUTED_VALUE"""),0.06)</f>
        <v>0.06</v>
      </c>
      <c r="T219" s="320">
        <f>IFERROR(__xludf.DUMMYFUNCTION("""COMPUTED_VALUE"""),50.32)</f>
        <v>50.32</v>
      </c>
      <c r="U219" s="320">
        <f>IFERROR(__xludf.DUMMYFUNCTION("""COMPUTED_VALUE"""),52.33)</f>
        <v>52.33</v>
      </c>
      <c r="V219" s="320">
        <f>IFERROR(__xludf.DUMMYFUNCTION("""COMPUTED_VALUE"""),3.9346)</f>
        <v>3.9346</v>
      </c>
      <c r="W219" s="320">
        <f>IFERROR(__xludf.DUMMYFUNCTION("""COMPUTED_VALUE"""),0.12)</f>
        <v>0.12</v>
      </c>
      <c r="X219" s="320">
        <f>IFERROR(__xludf.DUMMYFUNCTION("""COMPUTED_VALUE"""),145.0)</f>
        <v>145</v>
      </c>
      <c r="Y219" s="320">
        <f>IFERROR(__xludf.DUMMYFUNCTION("""COMPUTED_VALUE"""),878.0)</f>
        <v>878</v>
      </c>
      <c r="Z219" s="320">
        <f>IFERROR(__xludf.DUMMYFUNCTION("""COMPUTED_VALUE"""),5809.0)</f>
        <v>5809</v>
      </c>
      <c r="AA219" s="320">
        <f>IFERROR(__xludf.DUMMYFUNCTION("""COMPUTED_VALUE"""),48.6323)</f>
        <v>48.6323</v>
      </c>
      <c r="AB219" s="320">
        <f>IFERROR(__xludf.DUMMYFUNCTION("""COMPUTED_VALUE"""),0.5259)</f>
        <v>0.5259</v>
      </c>
      <c r="AC219" s="320">
        <f>IFERROR(__xludf.DUMMYFUNCTION("""COMPUTED_VALUE"""),4.06)</f>
        <v>4.06</v>
      </c>
      <c r="AD219" s="320">
        <f>IFERROR(__xludf.DUMMYFUNCTION("""COMPUTED_VALUE"""),1.0)</f>
        <v>1</v>
      </c>
      <c r="AE219" s="320">
        <f>IFERROR(__xludf.DUMMYFUNCTION("""COMPUTED_VALUE"""),3.0)</f>
        <v>3</v>
      </c>
      <c r="AF219" s="320">
        <f>IFERROR(__xludf.DUMMYFUNCTION("""COMPUTED_VALUE"""),5.0)</f>
        <v>5</v>
      </c>
      <c r="AG219" s="320">
        <f>IFERROR(__xludf.DUMMYFUNCTION("""COMPUTED_VALUE"""),9.0)</f>
        <v>9</v>
      </c>
      <c r="AH219" s="320">
        <f>IFERROR(__xludf.DUMMYFUNCTION("""COMPUTED_VALUE"""),72.67)</f>
        <v>72.67</v>
      </c>
      <c r="AI219" s="320">
        <f>IFERROR(__xludf.DUMMYFUNCTION("""COMPUTED_VALUE"""),31.37)</f>
        <v>31.37</v>
      </c>
      <c r="AJ219" s="320">
        <f>IFERROR(__xludf.DUMMYFUNCTION("""COMPUTED_VALUE"""),9.29)</f>
        <v>9.29</v>
      </c>
      <c r="AK219" s="320">
        <f>IFERROR(__xludf.DUMMYFUNCTION("""COMPUTED_VALUE"""),0.2457)</f>
        <v>0.2457</v>
      </c>
      <c r="AL219" s="320">
        <f>IFERROR(__xludf.DUMMYFUNCTION("""COMPUTED_VALUE"""),19.51)</f>
        <v>19.51</v>
      </c>
      <c r="AM219" s="320">
        <f>IFERROR(__xludf.DUMMYFUNCTION("""COMPUTED_VALUE"""),19.15)</f>
        <v>19.15</v>
      </c>
      <c r="AN219" s="320">
        <f>IFERROR(__xludf.DUMMYFUNCTION("""COMPUTED_VALUE"""),65.58)</f>
        <v>65.58</v>
      </c>
      <c r="AO219" s="320">
        <f>IFERROR(__xludf.DUMMYFUNCTION("""COMPUTED_VALUE"""),12.79)</f>
        <v>12.79</v>
      </c>
    </row>
    <row r="220" ht="15.75" customHeight="1">
      <c r="A220" s="330">
        <f>IFERROR(__xludf.DUMMYFUNCTION("""COMPUTED_VALUE"""),46086.0)</f>
        <v>46086</v>
      </c>
      <c r="B220" s="319" t="str">
        <f>IFERROR(__xludf.DUMMYFUNCTION("""COMPUTED_VALUE"""),"C. 10-19")</f>
        <v>C. 10-19</v>
      </c>
      <c r="C220" s="320">
        <f>IFERROR(__xludf.DUMMYFUNCTION("""COMPUTED_VALUE"""),26869.0)</f>
        <v>26869</v>
      </c>
      <c r="D220" s="320">
        <f>IFERROR(__xludf.DUMMYFUNCTION("""COMPUTED_VALUE"""),25.2)</f>
        <v>25.2</v>
      </c>
      <c r="E220" s="320">
        <f>IFERROR(__xludf.DUMMYFUNCTION("""COMPUTED_VALUE"""),0.0)</f>
        <v>0</v>
      </c>
      <c r="F220" s="320">
        <f>IFERROR(__xludf.DUMMYFUNCTION("""COMPUTED_VALUE"""),0.0)</f>
        <v>0</v>
      </c>
      <c r="G220" s="320">
        <f>IFERROR(__xludf.DUMMYFUNCTION("""COMPUTED_VALUE"""),0.0)</f>
        <v>0</v>
      </c>
      <c r="H220" s="106"/>
      <c r="I220" s="320">
        <f>IFERROR(__xludf.DUMMYFUNCTION("""COMPUTED_VALUE"""),52.97)</f>
        <v>52.97</v>
      </c>
      <c r="J220" s="320">
        <f>IFERROR(__xludf.DUMMYFUNCTION("""COMPUTED_VALUE"""),25.37)</f>
        <v>25.37</v>
      </c>
      <c r="K220" s="320">
        <f>IFERROR(__xludf.DUMMYFUNCTION("""COMPUTED_VALUE"""),13.92)</f>
        <v>13.92</v>
      </c>
      <c r="L220" s="320">
        <f>IFERROR(__xludf.DUMMYFUNCTION("""COMPUTED_VALUE"""),0.5488)</f>
        <v>0.5488</v>
      </c>
      <c r="M220" s="320">
        <f>IFERROR(__xludf.DUMMYFUNCTION("""COMPUTED_VALUE"""),0.6413)</f>
        <v>0.6413</v>
      </c>
      <c r="N220" s="320">
        <f>IFERROR(__xludf.DUMMYFUNCTION("""COMPUTED_VALUE"""),0.4421)</f>
        <v>0.4421</v>
      </c>
      <c r="O220" s="320">
        <f>IFERROR(__xludf.DUMMYFUNCTION("""COMPUTED_VALUE"""),1.822)</f>
        <v>1.822</v>
      </c>
      <c r="P220" s="320">
        <f>IFERROR(__xludf.DUMMYFUNCTION("""COMPUTED_VALUE"""),93.2)</f>
        <v>93.2</v>
      </c>
      <c r="Q220" s="320">
        <f>IFERROR(__xludf.DUMMYFUNCTION("""COMPUTED_VALUE"""),64.68)</f>
        <v>64.68</v>
      </c>
      <c r="R220" s="320">
        <f>IFERROR(__xludf.DUMMYFUNCTION("""COMPUTED_VALUE"""),28.52)</f>
        <v>28.52</v>
      </c>
      <c r="S220" s="320">
        <f>IFERROR(__xludf.DUMMYFUNCTION("""COMPUTED_VALUE"""),0.53)</f>
        <v>0.53</v>
      </c>
      <c r="T220" s="320">
        <f>IFERROR(__xludf.DUMMYFUNCTION("""COMPUTED_VALUE"""),92.67)</f>
        <v>92.67</v>
      </c>
      <c r="U220" s="320">
        <f>IFERROR(__xludf.DUMMYFUNCTION("""COMPUTED_VALUE"""),94.93)</f>
        <v>94.93</v>
      </c>
      <c r="V220" s="320">
        <f>IFERROR(__xludf.DUMMYFUNCTION("""COMPUTED_VALUE"""),3.7424)</f>
        <v>3.7424</v>
      </c>
      <c r="W220" s="320">
        <f>IFERROR(__xludf.DUMMYFUNCTION("""COMPUTED_VALUE"""),0.57)</f>
        <v>0.57</v>
      </c>
      <c r="X220" s="320">
        <f>IFERROR(__xludf.DUMMYFUNCTION("""COMPUTED_VALUE"""),128.0)</f>
        <v>128</v>
      </c>
      <c r="Y220" s="320">
        <f>IFERROR(__xludf.DUMMYFUNCTION("""COMPUTED_VALUE"""),752.0)</f>
        <v>752</v>
      </c>
      <c r="Z220" s="320">
        <f>IFERROR(__xludf.DUMMYFUNCTION("""COMPUTED_VALUE"""),5684.0)</f>
        <v>5684</v>
      </c>
      <c r="AA220" s="320">
        <f>IFERROR(__xludf.DUMMYFUNCTION("""COMPUTED_VALUE"""),52.3679)</f>
        <v>52.3679</v>
      </c>
      <c r="AB220" s="320">
        <f>IFERROR(__xludf.DUMMYFUNCTION("""COMPUTED_VALUE"""),0.629)</f>
        <v>0.629</v>
      </c>
      <c r="AC220" s="320">
        <f>IFERROR(__xludf.DUMMYFUNCTION("""COMPUTED_VALUE"""),9.31)</f>
        <v>9.31</v>
      </c>
      <c r="AD220" s="320">
        <f>IFERROR(__xludf.DUMMYFUNCTION("""COMPUTED_VALUE"""),4.0)</f>
        <v>4</v>
      </c>
      <c r="AE220" s="320">
        <f>IFERROR(__xludf.DUMMYFUNCTION("""COMPUTED_VALUE"""),7.0)</f>
        <v>7</v>
      </c>
      <c r="AF220" s="320">
        <f>IFERROR(__xludf.DUMMYFUNCTION("""COMPUTED_VALUE"""),13.0)</f>
        <v>13</v>
      </c>
      <c r="AG220" s="320">
        <f>IFERROR(__xludf.DUMMYFUNCTION("""COMPUTED_VALUE"""),19.0)</f>
        <v>19</v>
      </c>
      <c r="AH220" s="320">
        <f>IFERROR(__xludf.DUMMYFUNCTION("""COMPUTED_VALUE"""),60.1)</f>
        <v>60.1</v>
      </c>
      <c r="AI220" s="320">
        <f>IFERROR(__xludf.DUMMYFUNCTION("""COMPUTED_VALUE"""),26.25)</f>
        <v>26.25</v>
      </c>
      <c r="AJ220" s="320">
        <f>IFERROR(__xludf.DUMMYFUNCTION("""COMPUTED_VALUE"""),4.26)</f>
        <v>4.26</v>
      </c>
      <c r="AK220" s="320">
        <f>IFERROR(__xludf.DUMMYFUNCTION("""COMPUTED_VALUE"""),0.1971)</f>
        <v>0.1971</v>
      </c>
      <c r="AL220" s="320">
        <f>IFERROR(__xludf.DUMMYFUNCTION("""COMPUTED_VALUE"""),20.38)</f>
        <v>20.38</v>
      </c>
      <c r="AM220" s="320">
        <f>IFERROR(__xludf.DUMMYFUNCTION("""COMPUTED_VALUE"""),44.3)</f>
        <v>44.3</v>
      </c>
      <c r="AN220" s="320">
        <f>IFERROR(__xludf.DUMMYFUNCTION("""COMPUTED_VALUE"""),73.94)</f>
        <v>73.94</v>
      </c>
      <c r="AO220" s="320">
        <f>IFERROR(__xludf.DUMMYFUNCTION("""COMPUTED_VALUE"""),15.07)</f>
        <v>15.07</v>
      </c>
    </row>
    <row r="221" ht="15.75" customHeight="1">
      <c r="A221" s="330">
        <f>IFERROR(__xludf.DUMMYFUNCTION("""COMPUTED_VALUE"""),46086.0)</f>
        <v>46086</v>
      </c>
      <c r="B221" s="319" t="str">
        <f>IFERROR(__xludf.DUMMYFUNCTION("""COMPUTED_VALUE"""),"D. 20-39")</f>
        <v>D. 20-39</v>
      </c>
      <c r="C221" s="320">
        <f>IFERROR(__xludf.DUMMYFUNCTION("""COMPUTED_VALUE"""),14101.0)</f>
        <v>14101</v>
      </c>
      <c r="D221" s="320">
        <f>IFERROR(__xludf.DUMMYFUNCTION("""COMPUTED_VALUE"""),13.23)</f>
        <v>13.23</v>
      </c>
      <c r="E221" s="320">
        <f>IFERROR(__xludf.DUMMYFUNCTION("""COMPUTED_VALUE"""),0.0)</f>
        <v>0</v>
      </c>
      <c r="F221" s="320">
        <f>IFERROR(__xludf.DUMMYFUNCTION("""COMPUTED_VALUE"""),0.0)</f>
        <v>0</v>
      </c>
      <c r="G221" s="320">
        <f>IFERROR(__xludf.DUMMYFUNCTION("""COMPUTED_VALUE"""),0.0)</f>
        <v>0</v>
      </c>
      <c r="H221" s="106"/>
      <c r="I221" s="320">
        <f>IFERROR(__xludf.DUMMYFUNCTION("""COMPUTED_VALUE"""),77.01)</f>
        <v>77.01</v>
      </c>
      <c r="J221" s="320">
        <f>IFERROR(__xludf.DUMMYFUNCTION("""COMPUTED_VALUE"""),39.32)</f>
        <v>39.32</v>
      </c>
      <c r="K221" s="320">
        <f>IFERROR(__xludf.DUMMYFUNCTION("""COMPUTED_VALUE"""),26.01)</f>
        <v>26.01</v>
      </c>
      <c r="L221" s="320">
        <f>IFERROR(__xludf.DUMMYFUNCTION("""COMPUTED_VALUE"""),0.6616)</f>
        <v>0.6616</v>
      </c>
      <c r="M221" s="320">
        <f>IFERROR(__xludf.DUMMYFUNCTION("""COMPUTED_VALUE"""),0.5282)</f>
        <v>0.5282</v>
      </c>
      <c r="N221" s="320">
        <f>IFERROR(__xludf.DUMMYFUNCTION("""COMPUTED_VALUE"""),0.3639)</f>
        <v>0.3639</v>
      </c>
      <c r="O221" s="320">
        <f>IFERROR(__xludf.DUMMYFUNCTION("""COMPUTED_VALUE"""),1.5115)</f>
        <v>1.5115</v>
      </c>
      <c r="P221" s="320">
        <f>IFERROR(__xludf.DUMMYFUNCTION("""COMPUTED_VALUE"""),163.78)</f>
        <v>163.78</v>
      </c>
      <c r="Q221" s="320">
        <f>IFERROR(__xludf.DUMMYFUNCTION("""COMPUTED_VALUE"""),108.82)</f>
        <v>108.82</v>
      </c>
      <c r="R221" s="320">
        <f>IFERROR(__xludf.DUMMYFUNCTION("""COMPUTED_VALUE"""),54.96)</f>
        <v>54.96</v>
      </c>
      <c r="S221" s="320">
        <f>IFERROR(__xludf.DUMMYFUNCTION("""COMPUTED_VALUE"""),0.53)</f>
        <v>0.53</v>
      </c>
      <c r="T221" s="320">
        <f>IFERROR(__xludf.DUMMYFUNCTION("""COMPUTED_VALUE"""),163.25)</f>
        <v>163.25</v>
      </c>
      <c r="U221" s="320">
        <f>IFERROR(__xludf.DUMMYFUNCTION("""COMPUTED_VALUE"""),165.97)</f>
        <v>165.97</v>
      </c>
      <c r="V221" s="320">
        <f>IFERROR(__xludf.DUMMYFUNCTION("""COMPUTED_VALUE"""),4.2214)</f>
        <v>4.2214</v>
      </c>
      <c r="W221" s="320">
        <f>IFERROR(__xludf.DUMMYFUNCTION("""COMPUTED_VALUE"""),0.32)</f>
        <v>0.32</v>
      </c>
      <c r="X221" s="320">
        <f>IFERROR(__xludf.DUMMYFUNCTION("""COMPUTED_VALUE"""),157.0)</f>
        <v>157</v>
      </c>
      <c r="Y221" s="320">
        <f>IFERROR(__xludf.DUMMYFUNCTION("""COMPUTED_VALUE"""),1002.0)</f>
        <v>1002</v>
      </c>
      <c r="Z221" s="320">
        <f>IFERROR(__xludf.DUMMYFUNCTION("""COMPUTED_VALUE"""),6346.0)</f>
        <v>6346</v>
      </c>
      <c r="AA221" s="320">
        <f>IFERROR(__xludf.DUMMYFUNCTION("""COMPUTED_VALUE"""),55.9576)</f>
        <v>55.9576</v>
      </c>
      <c r="AB221" s="320">
        <f>IFERROR(__xludf.DUMMYFUNCTION("""COMPUTED_VALUE"""),0.7454)</f>
        <v>0.7454</v>
      </c>
      <c r="AC221" s="320">
        <f>IFERROR(__xludf.DUMMYFUNCTION("""COMPUTED_VALUE"""),17.51)</f>
        <v>17.51</v>
      </c>
      <c r="AD221" s="320">
        <f>IFERROR(__xludf.DUMMYFUNCTION("""COMPUTED_VALUE"""),7.0)</f>
        <v>7</v>
      </c>
      <c r="AE221" s="320">
        <f>IFERROR(__xludf.DUMMYFUNCTION("""COMPUTED_VALUE"""),14.0)</f>
        <v>14</v>
      </c>
      <c r="AF221" s="320">
        <f>IFERROR(__xludf.DUMMYFUNCTION("""COMPUTED_VALUE"""),24.0)</f>
        <v>24</v>
      </c>
      <c r="AG221" s="320">
        <f>IFERROR(__xludf.DUMMYFUNCTION("""COMPUTED_VALUE"""),36.0)</f>
        <v>36</v>
      </c>
      <c r="AH221" s="320">
        <f>IFERROR(__xludf.DUMMYFUNCTION("""COMPUTED_VALUE"""),60.02)</f>
        <v>60.02</v>
      </c>
      <c r="AI221" s="320">
        <f>IFERROR(__xludf.DUMMYFUNCTION("""COMPUTED_VALUE"""),22.61)</f>
        <v>22.61</v>
      </c>
      <c r="AJ221" s="320">
        <f>IFERROR(__xludf.DUMMYFUNCTION("""COMPUTED_VALUE"""),6.29)</f>
        <v>6.29</v>
      </c>
      <c r="AK221" s="320">
        <f>IFERROR(__xludf.DUMMYFUNCTION("""COMPUTED_VALUE"""),0.1866)</f>
        <v>0.1866</v>
      </c>
      <c r="AL221" s="320">
        <f>IFERROR(__xludf.DUMMYFUNCTION("""COMPUTED_VALUE"""),19.94)</f>
        <v>19.94</v>
      </c>
      <c r="AM221" s="320">
        <f>IFERROR(__xludf.DUMMYFUNCTION("""COMPUTED_VALUE"""),88.88)</f>
        <v>88.88</v>
      </c>
      <c r="AN221" s="320">
        <f>IFERROR(__xludf.DUMMYFUNCTION("""COMPUTED_VALUE"""),76.9)</f>
        <v>76.9</v>
      </c>
      <c r="AO221" s="320">
        <f>IFERROR(__xludf.DUMMYFUNCTION("""COMPUTED_VALUE"""),15.33)</f>
        <v>15.33</v>
      </c>
    </row>
    <row r="222" ht="15.75" customHeight="1">
      <c r="A222" s="330">
        <f>IFERROR(__xludf.DUMMYFUNCTION("""COMPUTED_VALUE"""),46086.0)</f>
        <v>46086</v>
      </c>
      <c r="B222" s="319" t="str">
        <f>IFERROR(__xludf.DUMMYFUNCTION("""COMPUTED_VALUE"""),"E. 40-99")</f>
        <v>E. 40-99</v>
      </c>
      <c r="C222" s="320">
        <f>IFERROR(__xludf.DUMMYFUNCTION("""COMPUTED_VALUE"""),5551.0)</f>
        <v>5551</v>
      </c>
      <c r="D222" s="320">
        <f>IFERROR(__xludf.DUMMYFUNCTION("""COMPUTED_VALUE"""),5.21)</f>
        <v>5.21</v>
      </c>
      <c r="E222" s="320">
        <f>IFERROR(__xludf.DUMMYFUNCTION("""COMPUTED_VALUE"""),0.0)</f>
        <v>0</v>
      </c>
      <c r="F222" s="320">
        <f>IFERROR(__xludf.DUMMYFUNCTION("""COMPUTED_VALUE"""),0.0)</f>
        <v>0</v>
      </c>
      <c r="G222" s="320">
        <f>IFERROR(__xludf.DUMMYFUNCTION("""COMPUTED_VALUE"""),0.0)</f>
        <v>0</v>
      </c>
      <c r="H222" s="106"/>
      <c r="I222" s="320">
        <f>IFERROR(__xludf.DUMMYFUNCTION("""COMPUTED_VALUE"""),126.11)</f>
        <v>126.11</v>
      </c>
      <c r="J222" s="320">
        <f>IFERROR(__xludf.DUMMYFUNCTION("""COMPUTED_VALUE"""),69.65)</f>
        <v>69.65</v>
      </c>
      <c r="K222" s="320">
        <f>IFERROR(__xludf.DUMMYFUNCTION("""COMPUTED_VALUE"""),55.19)</f>
        <v>55.19</v>
      </c>
      <c r="L222" s="320">
        <f>IFERROR(__xludf.DUMMYFUNCTION("""COMPUTED_VALUE"""),0.7923)</f>
        <v>0.7923</v>
      </c>
      <c r="M222" s="320">
        <f>IFERROR(__xludf.DUMMYFUNCTION("""COMPUTED_VALUE"""),0.3881)</f>
        <v>0.3881</v>
      </c>
      <c r="N222" s="320">
        <f>IFERROR(__xludf.DUMMYFUNCTION("""COMPUTED_VALUE"""),0.2785)</f>
        <v>0.2785</v>
      </c>
      <c r="O222" s="320">
        <f>IFERROR(__xludf.DUMMYFUNCTION("""COMPUTED_VALUE"""),1.2621)</f>
        <v>1.2621</v>
      </c>
      <c r="P222" s="320">
        <f>IFERROR(__xludf.DUMMYFUNCTION("""COMPUTED_VALUE"""),330.24)</f>
        <v>330.24</v>
      </c>
      <c r="Q222" s="320">
        <f>IFERROR(__xludf.DUMMYFUNCTION("""COMPUTED_VALUE"""),213.54)</f>
        <v>213.54</v>
      </c>
      <c r="R222" s="320">
        <f>IFERROR(__xludf.DUMMYFUNCTION("""COMPUTED_VALUE"""),116.7)</f>
        <v>116.7</v>
      </c>
      <c r="S222" s="320">
        <f>IFERROR(__xludf.DUMMYFUNCTION("""COMPUTED_VALUE"""),0.0)</f>
        <v>0</v>
      </c>
      <c r="T222" s="320">
        <f>IFERROR(__xludf.DUMMYFUNCTION("""COMPUTED_VALUE"""),330.24)</f>
        <v>330.24</v>
      </c>
      <c r="U222" s="320">
        <f>IFERROR(__xludf.DUMMYFUNCTION("""COMPUTED_VALUE"""),344.15)</f>
        <v>344.15</v>
      </c>
      <c r="V222" s="320">
        <f>IFERROR(__xludf.DUMMYFUNCTION("""COMPUTED_VALUE"""),4.9411)</f>
        <v>4.9411</v>
      </c>
      <c r="W222" s="320">
        <f>IFERROR(__xludf.DUMMYFUNCTION("""COMPUTED_VALUE"""),0.0)</f>
        <v>0</v>
      </c>
      <c r="X222" s="320">
        <f>IFERROR(__xludf.DUMMYFUNCTION("""COMPUTED_VALUE"""),323.0)</f>
        <v>323</v>
      </c>
      <c r="Y222" s="320">
        <f>IFERROR(__xludf.DUMMYFUNCTION("""COMPUTED_VALUE"""),2373.0)</f>
        <v>2373</v>
      </c>
      <c r="Z222" s="320">
        <f>IFERROR(__xludf.DUMMYFUNCTION("""COMPUTED_VALUE"""),9762.0)</f>
        <v>9762</v>
      </c>
      <c r="AA222" s="320">
        <f>IFERROR(__xludf.DUMMYFUNCTION("""COMPUTED_VALUE"""),59.9585)</f>
        <v>59.9585</v>
      </c>
      <c r="AB222" s="320">
        <f>IFERROR(__xludf.DUMMYFUNCTION("""COMPUTED_VALUE"""),0.8311)</f>
        <v>0.8311</v>
      </c>
      <c r="AC222" s="320">
        <f>IFERROR(__xludf.DUMMYFUNCTION("""COMPUTED_VALUE"""),37.88)</f>
        <v>37.88</v>
      </c>
      <c r="AD222" s="320">
        <f>IFERROR(__xludf.DUMMYFUNCTION("""COMPUTED_VALUE"""),16.0)</f>
        <v>16</v>
      </c>
      <c r="AE222" s="320">
        <f>IFERROR(__xludf.DUMMYFUNCTION("""COMPUTED_VALUE"""),30.0)</f>
        <v>30</v>
      </c>
      <c r="AF222" s="320">
        <f>IFERROR(__xludf.DUMMYFUNCTION("""COMPUTED_VALUE"""),52.0)</f>
        <v>52</v>
      </c>
      <c r="AG222" s="320">
        <f>IFERROR(__xludf.DUMMYFUNCTION("""COMPUTED_VALUE"""),78.0)</f>
        <v>78</v>
      </c>
      <c r="AH222" s="320">
        <f>IFERROR(__xludf.DUMMYFUNCTION("""COMPUTED_VALUE"""),52.93)</f>
        <v>52.93</v>
      </c>
      <c r="AI222" s="320">
        <f>IFERROR(__xludf.DUMMYFUNCTION("""COMPUTED_VALUE"""),19.55)</f>
        <v>19.55</v>
      </c>
      <c r="AJ222" s="320">
        <f>IFERROR(__xludf.DUMMYFUNCTION("""COMPUTED_VALUE"""),4.5)</f>
        <v>4.5</v>
      </c>
      <c r="AK222" s="320">
        <f>IFERROR(__xludf.DUMMYFUNCTION("""COMPUTED_VALUE"""),0.1311)</f>
        <v>0.1311</v>
      </c>
      <c r="AL222" s="320">
        <f>IFERROR(__xludf.DUMMYFUNCTION("""COMPUTED_VALUE"""),20.86)</f>
        <v>20.86</v>
      </c>
      <c r="AM222" s="320">
        <f>IFERROR(__xludf.DUMMYFUNCTION("""COMPUTED_VALUE"""),192.68)</f>
        <v>192.68</v>
      </c>
      <c r="AN222" s="320">
        <f>IFERROR(__xludf.DUMMYFUNCTION("""COMPUTED_VALUE"""),82.64)</f>
        <v>82.64</v>
      </c>
      <c r="AO222" s="320">
        <f>IFERROR(__xludf.DUMMYFUNCTION("""COMPUTED_VALUE"""),17.24)</f>
        <v>17.24</v>
      </c>
    </row>
    <row r="223" ht="15.75" customHeight="1">
      <c r="A223" s="330">
        <f>IFERROR(__xludf.DUMMYFUNCTION("""COMPUTED_VALUE"""),46086.0)</f>
        <v>46086</v>
      </c>
      <c r="B223" s="319" t="str">
        <f>IFERROR(__xludf.DUMMYFUNCTION("""COMPUTED_VALUE"""),"F. 100+")</f>
        <v>F. 100+</v>
      </c>
      <c r="C223" s="320">
        <f>IFERROR(__xludf.DUMMYFUNCTION("""COMPUTED_VALUE"""),616.0)</f>
        <v>616</v>
      </c>
      <c r="D223" s="320">
        <f>IFERROR(__xludf.DUMMYFUNCTION("""COMPUTED_VALUE"""),0.58)</f>
        <v>0.58</v>
      </c>
      <c r="E223" s="320">
        <f>IFERROR(__xludf.DUMMYFUNCTION("""COMPUTED_VALUE"""),0.0)</f>
        <v>0</v>
      </c>
      <c r="F223" s="320">
        <f>IFERROR(__xludf.DUMMYFUNCTION("""COMPUTED_VALUE"""),0.0)</f>
        <v>0</v>
      </c>
      <c r="G223" s="320">
        <f>IFERROR(__xludf.DUMMYFUNCTION("""COMPUTED_VALUE"""),0.0)</f>
        <v>0</v>
      </c>
      <c r="H223" s="106"/>
      <c r="I223" s="320">
        <f>IFERROR(__xludf.DUMMYFUNCTION("""COMPUTED_VALUE"""),241.85)</f>
        <v>241.85</v>
      </c>
      <c r="J223" s="320">
        <f>IFERROR(__xludf.DUMMYFUNCTION("""COMPUTED_VALUE"""),141.7)</f>
        <v>141.7</v>
      </c>
      <c r="K223" s="320">
        <f>IFERROR(__xludf.DUMMYFUNCTION("""COMPUTED_VALUE"""),123.06)</f>
        <v>123.06</v>
      </c>
      <c r="L223" s="320">
        <f>IFERROR(__xludf.DUMMYFUNCTION("""COMPUTED_VALUE"""),0.8684)</f>
        <v>0.8684</v>
      </c>
      <c r="M223" s="320">
        <f>IFERROR(__xludf.DUMMYFUNCTION("""COMPUTED_VALUE"""),0.2816)</f>
        <v>0.2816</v>
      </c>
      <c r="N223" s="320">
        <f>IFERROR(__xludf.DUMMYFUNCTION("""COMPUTED_VALUE"""),0.209)</f>
        <v>0.209</v>
      </c>
      <c r="O223" s="320">
        <f>IFERROR(__xludf.DUMMYFUNCTION("""COMPUTED_VALUE"""),1.1515)</f>
        <v>1.1515</v>
      </c>
      <c r="P223" s="320">
        <f>IFERROR(__xludf.DUMMYFUNCTION("""COMPUTED_VALUE"""),623.53)</f>
        <v>623.53</v>
      </c>
      <c r="Q223" s="320">
        <f>IFERROR(__xludf.DUMMYFUNCTION("""COMPUTED_VALUE"""),360.51)</f>
        <v>360.51</v>
      </c>
      <c r="R223" s="320">
        <f>IFERROR(__xludf.DUMMYFUNCTION("""COMPUTED_VALUE"""),263.01)</f>
        <v>263.01</v>
      </c>
      <c r="S223" s="320">
        <f>IFERROR(__xludf.DUMMYFUNCTION("""COMPUTED_VALUE"""),0.0)</f>
        <v>0</v>
      </c>
      <c r="T223" s="320">
        <f>IFERROR(__xludf.DUMMYFUNCTION("""COMPUTED_VALUE"""),623.53)</f>
        <v>623.53</v>
      </c>
      <c r="U223" s="320">
        <f>IFERROR(__xludf.DUMMYFUNCTION("""COMPUTED_VALUE"""),651.62)</f>
        <v>651.62</v>
      </c>
      <c r="V223" s="320">
        <f>IFERROR(__xludf.DUMMYFUNCTION("""COMPUTED_VALUE"""),4.5985)</f>
        <v>4.5985</v>
      </c>
      <c r="W223" s="320">
        <f>IFERROR(__xludf.DUMMYFUNCTION("""COMPUTED_VALUE"""),0.0)</f>
        <v>0</v>
      </c>
      <c r="X223" s="320">
        <f>IFERROR(__xludf.DUMMYFUNCTION("""COMPUTED_VALUE"""),840.0)</f>
        <v>840</v>
      </c>
      <c r="Y223" s="320">
        <f>IFERROR(__xludf.DUMMYFUNCTION("""COMPUTED_VALUE"""),4465.0)</f>
        <v>4465</v>
      </c>
      <c r="Z223" s="320">
        <f>IFERROR(__xludf.DUMMYFUNCTION("""COMPUTED_VALUE"""),12036.0)</f>
        <v>12036</v>
      </c>
      <c r="AA223" s="320">
        <f>IFERROR(__xludf.DUMMYFUNCTION("""COMPUTED_VALUE"""),63.0586)</f>
        <v>63.0586</v>
      </c>
      <c r="AB223" s="320">
        <f>IFERROR(__xludf.DUMMYFUNCTION("""COMPUTED_VALUE"""),0.8949)</f>
        <v>0.8949</v>
      </c>
      <c r="AC223" s="320">
        <f>IFERROR(__xludf.DUMMYFUNCTION("""COMPUTED_VALUE"""),86.31)</f>
        <v>86.31</v>
      </c>
      <c r="AD223" s="320">
        <f>IFERROR(__xludf.DUMMYFUNCTION("""COMPUTED_VALUE"""),33.0)</f>
        <v>33</v>
      </c>
      <c r="AE223" s="320">
        <f>IFERROR(__xludf.DUMMYFUNCTION("""COMPUTED_VALUE"""),72.0)</f>
        <v>72</v>
      </c>
      <c r="AF223" s="320">
        <f>IFERROR(__xludf.DUMMYFUNCTION("""COMPUTED_VALUE"""),123.0)</f>
        <v>123</v>
      </c>
      <c r="AG223" s="320">
        <f>IFERROR(__xludf.DUMMYFUNCTION("""COMPUTED_VALUE"""),177.0)</f>
        <v>177</v>
      </c>
      <c r="AH223" s="320">
        <f>IFERROR(__xludf.DUMMYFUNCTION("""COMPUTED_VALUE"""),45.62)</f>
        <v>45.62</v>
      </c>
      <c r="AI223" s="320">
        <f>IFERROR(__xludf.DUMMYFUNCTION("""COMPUTED_VALUE"""),10.55)</f>
        <v>10.55</v>
      </c>
      <c r="AJ223" s="320">
        <f>IFERROR(__xludf.DUMMYFUNCTION("""COMPUTED_VALUE"""),1.46)</f>
        <v>1.46</v>
      </c>
      <c r="AK223" s="320">
        <f>IFERROR(__xludf.DUMMYFUNCTION("""COMPUTED_VALUE"""),0.0812)</f>
        <v>0.0812</v>
      </c>
      <c r="AL223" s="320">
        <f>IFERROR(__xludf.DUMMYFUNCTION("""COMPUTED_VALUE"""),25.61)</f>
        <v>25.61</v>
      </c>
      <c r="AM223" s="320">
        <f>IFERROR(__xludf.DUMMYFUNCTION("""COMPUTED_VALUE"""),334.91)</f>
        <v>334.91</v>
      </c>
      <c r="AN223" s="320">
        <f>IFERROR(__xludf.DUMMYFUNCTION("""COMPUTED_VALUE"""),84.6)</f>
        <v>84.6</v>
      </c>
      <c r="AO223" s="320">
        <f>IFERROR(__xludf.DUMMYFUNCTION("""COMPUTED_VALUE"""),21.67)</f>
        <v>21.67</v>
      </c>
    </row>
    <row r="224" ht="15.75" customHeight="1">
      <c r="A224" s="330">
        <f>IFERROR(__xludf.DUMMYFUNCTION("""COMPUTED_VALUE"""),46087.0)</f>
        <v>46087</v>
      </c>
      <c r="B224" s="319" t="str">
        <f>IFERROR(__xludf.DUMMYFUNCTION("""COMPUTED_VALUE"""),"A. 0")</f>
        <v>A. 0</v>
      </c>
      <c r="C224" s="320">
        <f>IFERROR(__xludf.DUMMYFUNCTION("""COMPUTED_VALUE"""),18777.0)</f>
        <v>18777</v>
      </c>
      <c r="D224" s="320">
        <f>IFERROR(__xludf.DUMMYFUNCTION("""COMPUTED_VALUE"""),17.83)</f>
        <v>17.83</v>
      </c>
      <c r="E224" s="320">
        <f>IFERROR(__xludf.DUMMYFUNCTION("""COMPUTED_VALUE"""),0.0)</f>
        <v>0</v>
      </c>
      <c r="F224" s="320">
        <f>IFERROR(__xludf.DUMMYFUNCTION("""COMPUTED_VALUE"""),0.0)</f>
        <v>0</v>
      </c>
      <c r="G224" s="320">
        <f>IFERROR(__xludf.DUMMYFUNCTION("""COMPUTED_VALUE"""),0.0)</f>
        <v>0</v>
      </c>
      <c r="H224" s="106"/>
      <c r="I224" s="320">
        <f>IFERROR(__xludf.DUMMYFUNCTION("""COMPUTED_VALUE"""),5.68)</f>
        <v>5.68</v>
      </c>
      <c r="J224" s="320">
        <f>IFERROR(__xludf.DUMMYFUNCTION("""COMPUTED_VALUE"""),2.26)</f>
        <v>2.26</v>
      </c>
      <c r="K224" s="320">
        <f>IFERROR(__xludf.DUMMYFUNCTION("""COMPUTED_VALUE"""),0.03)</f>
        <v>0.03</v>
      </c>
      <c r="L224" s="320">
        <f>IFERROR(__xludf.DUMMYFUNCTION("""COMPUTED_VALUE"""),0.013)</f>
        <v>0.013</v>
      </c>
      <c r="M224" s="320">
        <f>IFERROR(__xludf.DUMMYFUNCTION("""COMPUTED_VALUE"""),0.9901)</f>
        <v>0.9901</v>
      </c>
      <c r="N224" s="320">
        <f>IFERROR(__xludf.DUMMYFUNCTION("""COMPUTED_VALUE"""),0.8751)</f>
        <v>0.8751</v>
      </c>
      <c r="O224" s="320">
        <f>IFERROR(__xludf.DUMMYFUNCTION("""COMPUTED_VALUE"""),76.8571)</f>
        <v>76.8571</v>
      </c>
      <c r="P224" s="320">
        <f>IFERROR(__xludf.DUMMYFUNCTION("""COMPUTED_VALUE"""),27.71)</f>
        <v>27.71</v>
      </c>
      <c r="Q224" s="320">
        <f>IFERROR(__xludf.DUMMYFUNCTION("""COMPUTED_VALUE"""),27.58)</f>
        <v>27.58</v>
      </c>
      <c r="R224" s="320">
        <f>IFERROR(__xludf.DUMMYFUNCTION("""COMPUTED_VALUE"""),0.13)</f>
        <v>0.13</v>
      </c>
      <c r="S224" s="320">
        <f>IFERROR(__xludf.DUMMYFUNCTION("""COMPUTED_VALUE"""),0.0)</f>
        <v>0</v>
      </c>
      <c r="T224" s="320">
        <f>IFERROR(__xludf.DUMMYFUNCTION("""COMPUTED_VALUE"""),27.71)</f>
        <v>27.71</v>
      </c>
      <c r="U224" s="320">
        <f>IFERROR(__xludf.DUMMYFUNCTION("""COMPUTED_VALUE"""),1.75)</f>
        <v>1.75</v>
      </c>
      <c r="V224" s="320">
        <f>IFERROR(__xludf.DUMMYFUNCTION("""COMPUTED_VALUE"""),0.7753)</f>
        <v>0.7753</v>
      </c>
      <c r="W224" s="320">
        <f>IFERROR(__xludf.DUMMYFUNCTION("""COMPUTED_VALUE"""),0.0)</f>
        <v>0</v>
      </c>
      <c r="X224" s="320">
        <f>IFERROR(__xludf.DUMMYFUNCTION("""COMPUTED_VALUE"""),400.0)</f>
        <v>400</v>
      </c>
      <c r="Y224" s="320">
        <f>IFERROR(__xludf.DUMMYFUNCTION("""COMPUTED_VALUE"""),4065.0)</f>
        <v>4065</v>
      </c>
      <c r="Z224" s="320">
        <f>IFERROR(__xludf.DUMMYFUNCTION("""COMPUTED_VALUE"""),15103.0)</f>
        <v>15103</v>
      </c>
      <c r="AA224" s="320">
        <f>IFERROR(__xludf.DUMMYFUNCTION("""COMPUTED_VALUE"""),49.1628)</f>
        <v>49.1628</v>
      </c>
      <c r="AB224" s="320">
        <f>IFERROR(__xludf.DUMMYFUNCTION("""COMPUTED_VALUE"""),0.5424)</f>
        <v>0.5424</v>
      </c>
      <c r="AC224" s="106"/>
      <c r="AD224" s="106"/>
      <c r="AE224" s="106"/>
      <c r="AF224" s="106"/>
      <c r="AG224" s="106"/>
      <c r="AH224" s="320">
        <f>IFERROR(__xludf.DUMMYFUNCTION("""COMPUTED_VALUE"""),0.0)</f>
        <v>0</v>
      </c>
      <c r="AI224" s="320">
        <f>IFERROR(__xludf.DUMMYFUNCTION("""COMPUTED_VALUE"""),0.0)</f>
        <v>0</v>
      </c>
      <c r="AJ224" s="320">
        <f>IFERROR(__xludf.DUMMYFUNCTION("""COMPUTED_VALUE"""),0.0)</f>
        <v>0</v>
      </c>
      <c r="AK224" s="320">
        <f>IFERROR(__xludf.DUMMYFUNCTION("""COMPUTED_VALUE"""),0.3101)</f>
        <v>0.3101</v>
      </c>
      <c r="AL224" s="320">
        <f>IFERROR(__xludf.DUMMYFUNCTION("""COMPUTED_VALUE"""),17.44)</f>
        <v>17.44</v>
      </c>
      <c r="AM224" s="320">
        <f>IFERROR(__xludf.DUMMYFUNCTION("""COMPUTED_VALUE"""),10.14)</f>
        <v>10.14</v>
      </c>
      <c r="AN224" s="331"/>
      <c r="AO224" s="331"/>
    </row>
    <row r="225" ht="15.75" customHeight="1">
      <c r="A225" s="330">
        <f>IFERROR(__xludf.DUMMYFUNCTION("""COMPUTED_VALUE"""),46087.0)</f>
        <v>46087</v>
      </c>
      <c r="B225" s="319" t="str">
        <f>IFERROR(__xludf.DUMMYFUNCTION("""COMPUTED_VALUE"""),"B. 1-9")</f>
        <v>B. 1-9</v>
      </c>
      <c r="C225" s="320">
        <f>IFERROR(__xludf.DUMMYFUNCTION("""COMPUTED_VALUE"""),38615.0)</f>
        <v>38615</v>
      </c>
      <c r="D225" s="320">
        <f>IFERROR(__xludf.DUMMYFUNCTION("""COMPUTED_VALUE"""),36.67)</f>
        <v>36.67</v>
      </c>
      <c r="E225" s="320">
        <f>IFERROR(__xludf.DUMMYFUNCTION("""COMPUTED_VALUE"""),0.0)</f>
        <v>0</v>
      </c>
      <c r="F225" s="320">
        <f>IFERROR(__xludf.DUMMYFUNCTION("""COMPUTED_VALUE"""),0.0)</f>
        <v>0</v>
      </c>
      <c r="G225" s="320">
        <f>IFERROR(__xludf.DUMMYFUNCTION("""COMPUTED_VALUE"""),0.0)</f>
        <v>0</v>
      </c>
      <c r="H225" s="106"/>
      <c r="I225" s="320">
        <f>IFERROR(__xludf.DUMMYFUNCTION("""COMPUTED_VALUE"""),31.53)</f>
        <v>31.53</v>
      </c>
      <c r="J225" s="320">
        <f>IFERROR(__xludf.DUMMYFUNCTION("""COMPUTED_VALUE"""),14.36)</f>
        <v>14.36</v>
      </c>
      <c r="K225" s="320">
        <f>IFERROR(__xludf.DUMMYFUNCTION("""COMPUTED_VALUE"""),6.1)</f>
        <v>6.1</v>
      </c>
      <c r="L225" s="320">
        <f>IFERROR(__xludf.DUMMYFUNCTION("""COMPUTED_VALUE"""),0.4246)</f>
        <v>0.4246</v>
      </c>
      <c r="M225" s="320">
        <f>IFERROR(__xludf.DUMMYFUNCTION("""COMPUTED_VALUE"""),0.744)</f>
        <v>0.744</v>
      </c>
      <c r="N225" s="320">
        <f>IFERROR(__xludf.DUMMYFUNCTION("""COMPUTED_VALUE"""),0.5381)</f>
        <v>0.5381</v>
      </c>
      <c r="O225" s="320">
        <f>IFERROR(__xludf.DUMMYFUNCTION("""COMPUTED_VALUE"""),2.355)</f>
        <v>2.355</v>
      </c>
      <c r="P225" s="320">
        <f>IFERROR(__xludf.DUMMYFUNCTION("""COMPUTED_VALUE"""),60.09)</f>
        <v>60.09</v>
      </c>
      <c r="Q225" s="320">
        <f>IFERROR(__xludf.DUMMYFUNCTION("""COMPUTED_VALUE"""),47.35)</f>
        <v>47.35</v>
      </c>
      <c r="R225" s="320">
        <f>IFERROR(__xludf.DUMMYFUNCTION("""COMPUTED_VALUE"""),12.74)</f>
        <v>12.74</v>
      </c>
      <c r="S225" s="320">
        <f>IFERROR(__xludf.DUMMYFUNCTION("""COMPUTED_VALUE"""),0.09)</f>
        <v>0.09</v>
      </c>
      <c r="T225" s="320">
        <f>IFERROR(__xludf.DUMMYFUNCTION("""COMPUTED_VALUE"""),60.01)</f>
        <v>60.01</v>
      </c>
      <c r="U225" s="320">
        <f>IFERROR(__xludf.DUMMYFUNCTION("""COMPUTED_VALUE"""),55.18)</f>
        <v>55.18</v>
      </c>
      <c r="V225" s="320">
        <f>IFERROR(__xludf.DUMMYFUNCTION("""COMPUTED_VALUE"""),3.842)</f>
        <v>3.842</v>
      </c>
      <c r="W225" s="320">
        <f>IFERROR(__xludf.DUMMYFUNCTION("""COMPUTED_VALUE"""),0.14)</f>
        <v>0.14</v>
      </c>
      <c r="X225" s="320">
        <f>IFERROR(__xludf.DUMMYFUNCTION("""COMPUTED_VALUE"""),144.0)</f>
        <v>144</v>
      </c>
      <c r="Y225" s="320">
        <f>IFERROR(__xludf.DUMMYFUNCTION("""COMPUTED_VALUE"""),867.0)</f>
        <v>867</v>
      </c>
      <c r="Z225" s="320">
        <f>IFERROR(__xludf.DUMMYFUNCTION("""COMPUTED_VALUE"""),5933.0)</f>
        <v>5933</v>
      </c>
      <c r="AA225" s="320">
        <f>IFERROR(__xludf.DUMMYFUNCTION("""COMPUTED_VALUE"""),48.557)</f>
        <v>48.557</v>
      </c>
      <c r="AB225" s="320">
        <f>IFERROR(__xludf.DUMMYFUNCTION("""COMPUTED_VALUE"""),0.5259)</f>
        <v>0.5259</v>
      </c>
      <c r="AC225" s="320">
        <f>IFERROR(__xludf.DUMMYFUNCTION("""COMPUTED_VALUE"""),4.27)</f>
        <v>4.27</v>
      </c>
      <c r="AD225" s="320">
        <f>IFERROR(__xludf.DUMMYFUNCTION("""COMPUTED_VALUE"""),2.0)</f>
        <v>2</v>
      </c>
      <c r="AE225" s="320">
        <f>IFERROR(__xludf.DUMMYFUNCTION("""COMPUTED_VALUE"""),3.0)</f>
        <v>3</v>
      </c>
      <c r="AF225" s="320">
        <f>IFERROR(__xludf.DUMMYFUNCTION("""COMPUTED_VALUE"""),6.0)</f>
        <v>6</v>
      </c>
      <c r="AG225" s="320">
        <f>IFERROR(__xludf.DUMMYFUNCTION("""COMPUTED_VALUE"""),9.0)</f>
        <v>9</v>
      </c>
      <c r="AH225" s="320">
        <f>IFERROR(__xludf.DUMMYFUNCTION("""COMPUTED_VALUE"""),75.45)</f>
        <v>75.45</v>
      </c>
      <c r="AI225" s="320">
        <f>IFERROR(__xludf.DUMMYFUNCTION("""COMPUTED_VALUE"""),34.07)</f>
        <v>34.07</v>
      </c>
      <c r="AJ225" s="320">
        <f>IFERROR(__xludf.DUMMYFUNCTION("""COMPUTED_VALUE"""),9.9)</f>
        <v>9.9</v>
      </c>
      <c r="AK225" s="320">
        <f>IFERROR(__xludf.DUMMYFUNCTION("""COMPUTED_VALUE"""),0.2622)</f>
        <v>0.2622</v>
      </c>
      <c r="AL225" s="320">
        <f>IFERROR(__xludf.DUMMYFUNCTION("""COMPUTED_VALUE"""),20.28)</f>
        <v>20.28</v>
      </c>
      <c r="AM225" s="320">
        <f>IFERROR(__xludf.DUMMYFUNCTION("""COMPUTED_VALUE"""),27.08)</f>
        <v>27.08</v>
      </c>
      <c r="AN225" s="320">
        <f>IFERROR(__xludf.DUMMYFUNCTION("""COMPUTED_VALUE"""),65.85)</f>
        <v>65.85</v>
      </c>
      <c r="AO225" s="320">
        <f>IFERROR(__xludf.DUMMYFUNCTION("""COMPUTED_VALUE"""),13.35)</f>
        <v>13.35</v>
      </c>
    </row>
    <row r="226" ht="15.75" customHeight="1">
      <c r="A226" s="330">
        <f>IFERROR(__xludf.DUMMYFUNCTION("""COMPUTED_VALUE"""),46087.0)</f>
        <v>46087</v>
      </c>
      <c r="B226" s="319" t="str">
        <f>IFERROR(__xludf.DUMMYFUNCTION("""COMPUTED_VALUE"""),"C. 10-19")</f>
        <v>C. 10-19</v>
      </c>
      <c r="C226" s="320">
        <f>IFERROR(__xludf.DUMMYFUNCTION("""COMPUTED_VALUE"""),27198.0)</f>
        <v>27198</v>
      </c>
      <c r="D226" s="320">
        <f>IFERROR(__xludf.DUMMYFUNCTION("""COMPUTED_VALUE"""),25.83)</f>
        <v>25.83</v>
      </c>
      <c r="E226" s="320">
        <f>IFERROR(__xludf.DUMMYFUNCTION("""COMPUTED_VALUE"""),0.0)</f>
        <v>0</v>
      </c>
      <c r="F226" s="320">
        <f>IFERROR(__xludf.DUMMYFUNCTION("""COMPUTED_VALUE"""),0.0)</f>
        <v>0</v>
      </c>
      <c r="G226" s="320">
        <f>IFERROR(__xludf.DUMMYFUNCTION("""COMPUTED_VALUE"""),0.0)</f>
        <v>0</v>
      </c>
      <c r="H226" s="106"/>
      <c r="I226" s="320">
        <f>IFERROR(__xludf.DUMMYFUNCTION("""COMPUTED_VALUE"""),57.34)</f>
        <v>57.34</v>
      </c>
      <c r="J226" s="320">
        <f>IFERROR(__xludf.DUMMYFUNCTION("""COMPUTED_VALUE"""),27.52)</f>
        <v>27.52</v>
      </c>
      <c r="K226" s="320">
        <f>IFERROR(__xludf.DUMMYFUNCTION("""COMPUTED_VALUE"""),14.62)</f>
        <v>14.62</v>
      </c>
      <c r="L226" s="320">
        <f>IFERROR(__xludf.DUMMYFUNCTION("""COMPUTED_VALUE"""),0.531)</f>
        <v>0.531</v>
      </c>
      <c r="M226" s="320">
        <f>IFERROR(__xludf.DUMMYFUNCTION("""COMPUTED_VALUE"""),0.6537)</f>
        <v>0.6537</v>
      </c>
      <c r="N226" s="320">
        <f>IFERROR(__xludf.DUMMYFUNCTION("""COMPUTED_VALUE"""),0.4512)</f>
        <v>0.4512</v>
      </c>
      <c r="O226" s="320">
        <f>IFERROR(__xludf.DUMMYFUNCTION("""COMPUTED_VALUE"""),1.8831)</f>
        <v>1.8831</v>
      </c>
      <c r="P226" s="320">
        <f>IFERROR(__xludf.DUMMYFUNCTION("""COMPUTED_VALUE"""),103.64)</f>
        <v>103.64</v>
      </c>
      <c r="Q226" s="320">
        <f>IFERROR(__xludf.DUMMYFUNCTION("""COMPUTED_VALUE"""),72.84)</f>
        <v>72.84</v>
      </c>
      <c r="R226" s="320">
        <f>IFERROR(__xludf.DUMMYFUNCTION("""COMPUTED_VALUE"""),30.81)</f>
        <v>30.81</v>
      </c>
      <c r="S226" s="320">
        <f>IFERROR(__xludf.DUMMYFUNCTION("""COMPUTED_VALUE"""),0.21)</f>
        <v>0.21</v>
      </c>
      <c r="T226" s="320">
        <f>IFERROR(__xludf.DUMMYFUNCTION("""COMPUTED_VALUE"""),103.44)</f>
        <v>103.44</v>
      </c>
      <c r="U226" s="320">
        <f>IFERROR(__xludf.DUMMYFUNCTION("""COMPUTED_VALUE"""),100.77)</f>
        <v>100.77</v>
      </c>
      <c r="V226" s="320">
        <f>IFERROR(__xludf.DUMMYFUNCTION("""COMPUTED_VALUE"""),3.6612)</f>
        <v>3.6612</v>
      </c>
      <c r="W226" s="320">
        <f>IFERROR(__xludf.DUMMYFUNCTION("""COMPUTED_VALUE"""),0.2)</f>
        <v>0.2</v>
      </c>
      <c r="X226" s="320">
        <f>IFERROR(__xludf.DUMMYFUNCTION("""COMPUTED_VALUE"""),126.0)</f>
        <v>126</v>
      </c>
      <c r="Y226" s="320">
        <f>IFERROR(__xludf.DUMMYFUNCTION("""COMPUTED_VALUE"""),685.0)</f>
        <v>685</v>
      </c>
      <c r="Z226" s="320">
        <f>IFERROR(__xludf.DUMMYFUNCTION("""COMPUTED_VALUE"""),5203.0)</f>
        <v>5203</v>
      </c>
      <c r="AA226" s="320">
        <f>IFERROR(__xludf.DUMMYFUNCTION("""COMPUTED_VALUE"""),52.2503)</f>
        <v>52.2503</v>
      </c>
      <c r="AB226" s="320">
        <f>IFERROR(__xludf.DUMMYFUNCTION("""COMPUTED_VALUE"""),0.6295)</f>
        <v>0.6295</v>
      </c>
      <c r="AC226" s="320">
        <f>IFERROR(__xludf.DUMMYFUNCTION("""COMPUTED_VALUE"""),9.71)</f>
        <v>9.71</v>
      </c>
      <c r="AD226" s="320">
        <f>IFERROR(__xludf.DUMMYFUNCTION("""COMPUTED_VALUE"""),4.0)</f>
        <v>4</v>
      </c>
      <c r="AE226" s="320">
        <f>IFERROR(__xludf.DUMMYFUNCTION("""COMPUTED_VALUE"""),8.0)</f>
        <v>8</v>
      </c>
      <c r="AF226" s="320">
        <f>IFERROR(__xludf.DUMMYFUNCTION("""COMPUTED_VALUE"""),13.0)</f>
        <v>13</v>
      </c>
      <c r="AG226" s="320">
        <f>IFERROR(__xludf.DUMMYFUNCTION("""COMPUTED_VALUE"""),20.0)</f>
        <v>20</v>
      </c>
      <c r="AH226" s="320">
        <f>IFERROR(__xludf.DUMMYFUNCTION("""COMPUTED_VALUE"""),64.2)</f>
        <v>64.2</v>
      </c>
      <c r="AI226" s="320">
        <f>IFERROR(__xludf.DUMMYFUNCTION("""COMPUTED_VALUE"""),27.34)</f>
        <v>27.34</v>
      </c>
      <c r="AJ226" s="320">
        <f>IFERROR(__xludf.DUMMYFUNCTION("""COMPUTED_VALUE"""),4.32)</f>
        <v>4.32</v>
      </c>
      <c r="AK226" s="320">
        <f>IFERROR(__xludf.DUMMYFUNCTION("""COMPUTED_VALUE"""),0.2137)</f>
        <v>0.2137</v>
      </c>
      <c r="AL226" s="320">
        <f>IFERROR(__xludf.DUMMYFUNCTION("""COMPUTED_VALUE"""),20.97)</f>
        <v>20.97</v>
      </c>
      <c r="AM226" s="320">
        <f>IFERROR(__xludf.DUMMYFUNCTION("""COMPUTED_VALUE"""),51.87)</f>
        <v>51.87</v>
      </c>
      <c r="AN226" s="320">
        <f>IFERROR(__xludf.DUMMYFUNCTION("""COMPUTED_VALUE"""),74.13)</f>
        <v>74.13</v>
      </c>
      <c r="AO226" s="320">
        <f>IFERROR(__xludf.DUMMYFUNCTION("""COMPUTED_VALUE"""),15.55)</f>
        <v>15.55</v>
      </c>
    </row>
    <row r="227" ht="15.75" customHeight="1">
      <c r="A227" s="330">
        <f>IFERROR(__xludf.DUMMYFUNCTION("""COMPUTED_VALUE"""),46087.0)</f>
        <v>46087</v>
      </c>
      <c r="B227" s="319" t="str">
        <f>IFERROR(__xludf.DUMMYFUNCTION("""COMPUTED_VALUE"""),"D. 20-39")</f>
        <v>D. 20-39</v>
      </c>
      <c r="C227" s="320">
        <f>IFERROR(__xludf.DUMMYFUNCTION("""COMPUTED_VALUE"""),14338.0)</f>
        <v>14338</v>
      </c>
      <c r="D227" s="320">
        <f>IFERROR(__xludf.DUMMYFUNCTION("""COMPUTED_VALUE"""),13.61)</f>
        <v>13.61</v>
      </c>
      <c r="E227" s="320">
        <f>IFERROR(__xludf.DUMMYFUNCTION("""COMPUTED_VALUE"""),0.0)</f>
        <v>0</v>
      </c>
      <c r="F227" s="320">
        <f>IFERROR(__xludf.DUMMYFUNCTION("""COMPUTED_VALUE"""),0.0)</f>
        <v>0</v>
      </c>
      <c r="G227" s="320">
        <f>IFERROR(__xludf.DUMMYFUNCTION("""COMPUTED_VALUE"""),0.0)</f>
        <v>0</v>
      </c>
      <c r="H227" s="106"/>
      <c r="I227" s="320">
        <f>IFERROR(__xludf.DUMMYFUNCTION("""COMPUTED_VALUE"""),83.21)</f>
        <v>83.21</v>
      </c>
      <c r="J227" s="320">
        <f>IFERROR(__xludf.DUMMYFUNCTION("""COMPUTED_VALUE"""),42.25)</f>
        <v>42.25</v>
      </c>
      <c r="K227" s="320">
        <f>IFERROR(__xludf.DUMMYFUNCTION("""COMPUTED_VALUE"""),27.39)</f>
        <v>27.39</v>
      </c>
      <c r="L227" s="320">
        <f>IFERROR(__xludf.DUMMYFUNCTION("""COMPUTED_VALUE"""),0.6482)</f>
        <v>0.6482</v>
      </c>
      <c r="M227" s="320">
        <f>IFERROR(__xludf.DUMMYFUNCTION("""COMPUTED_VALUE"""),0.5359)</f>
        <v>0.5359</v>
      </c>
      <c r="N227" s="320">
        <f>IFERROR(__xludf.DUMMYFUNCTION("""COMPUTED_VALUE"""),0.3663)</f>
        <v>0.3663</v>
      </c>
      <c r="O227" s="320">
        <f>IFERROR(__xludf.DUMMYFUNCTION("""COMPUTED_VALUE"""),1.5426)</f>
        <v>1.5426</v>
      </c>
      <c r="P227" s="320">
        <f>IFERROR(__xludf.DUMMYFUNCTION("""COMPUTED_VALUE"""),162.94)</f>
        <v>162.94</v>
      </c>
      <c r="Q227" s="320">
        <f>IFERROR(__xludf.DUMMYFUNCTION("""COMPUTED_VALUE"""),104.96)</f>
        <v>104.96</v>
      </c>
      <c r="R227" s="320">
        <f>IFERROR(__xludf.DUMMYFUNCTION("""COMPUTED_VALUE"""),57.99)</f>
        <v>57.99</v>
      </c>
      <c r="S227" s="320">
        <f>IFERROR(__xludf.DUMMYFUNCTION("""COMPUTED_VALUE"""),0.1)</f>
        <v>0.1</v>
      </c>
      <c r="T227" s="320">
        <f>IFERROR(__xludf.DUMMYFUNCTION("""COMPUTED_VALUE"""),162.84)</f>
        <v>162.84</v>
      </c>
      <c r="U227" s="320">
        <f>IFERROR(__xludf.DUMMYFUNCTION("""COMPUTED_VALUE"""),169.38)</f>
        <v>169.38</v>
      </c>
      <c r="V227" s="320">
        <f>IFERROR(__xludf.DUMMYFUNCTION("""COMPUTED_VALUE"""),4.0087)</f>
        <v>4.0087</v>
      </c>
      <c r="W227" s="320">
        <f>IFERROR(__xludf.DUMMYFUNCTION("""COMPUTED_VALUE"""),0.06)</f>
        <v>0.06</v>
      </c>
      <c r="X227" s="320">
        <f>IFERROR(__xludf.DUMMYFUNCTION("""COMPUTED_VALUE"""),155.0)</f>
        <v>155</v>
      </c>
      <c r="Y227" s="320">
        <f>IFERROR(__xludf.DUMMYFUNCTION("""COMPUTED_VALUE"""),967.0)</f>
        <v>967</v>
      </c>
      <c r="Z227" s="320">
        <f>IFERROR(__xludf.DUMMYFUNCTION("""COMPUTED_VALUE"""),6544.0)</f>
        <v>6544</v>
      </c>
      <c r="AA227" s="320">
        <f>IFERROR(__xludf.DUMMYFUNCTION("""COMPUTED_VALUE"""),55.7022)</f>
        <v>55.7022</v>
      </c>
      <c r="AB227" s="320">
        <f>IFERROR(__xludf.DUMMYFUNCTION("""COMPUTED_VALUE"""),0.7371)</f>
        <v>0.7371</v>
      </c>
      <c r="AC227" s="320">
        <f>IFERROR(__xludf.DUMMYFUNCTION("""COMPUTED_VALUE"""),18.03)</f>
        <v>18.03</v>
      </c>
      <c r="AD227" s="320">
        <f>IFERROR(__xludf.DUMMYFUNCTION("""COMPUTED_VALUE"""),8.0)</f>
        <v>8</v>
      </c>
      <c r="AE227" s="320">
        <f>IFERROR(__xludf.DUMMYFUNCTION("""COMPUTED_VALUE"""),14.0)</f>
        <v>14</v>
      </c>
      <c r="AF227" s="320">
        <f>IFERROR(__xludf.DUMMYFUNCTION("""COMPUTED_VALUE"""),25.0)</f>
        <v>25</v>
      </c>
      <c r="AG227" s="320">
        <f>IFERROR(__xludf.DUMMYFUNCTION("""COMPUTED_VALUE"""),36.0)</f>
        <v>36</v>
      </c>
      <c r="AH227" s="320">
        <f>IFERROR(__xludf.DUMMYFUNCTION("""COMPUTED_VALUE"""),62.44)</f>
        <v>62.44</v>
      </c>
      <c r="AI227" s="320">
        <f>IFERROR(__xludf.DUMMYFUNCTION("""COMPUTED_VALUE"""),23.56)</f>
        <v>23.56</v>
      </c>
      <c r="AJ227" s="320">
        <f>IFERROR(__xludf.DUMMYFUNCTION("""COMPUTED_VALUE"""),6.12)</f>
        <v>6.12</v>
      </c>
      <c r="AK227" s="320">
        <f>IFERROR(__xludf.DUMMYFUNCTION("""COMPUTED_VALUE"""),0.2026)</f>
        <v>0.2026</v>
      </c>
      <c r="AL227" s="320">
        <f>IFERROR(__xludf.DUMMYFUNCTION("""COMPUTED_VALUE"""),21.49)</f>
        <v>21.49</v>
      </c>
      <c r="AM227" s="320">
        <f>IFERROR(__xludf.DUMMYFUNCTION("""COMPUTED_VALUE"""),83.47)</f>
        <v>83.47</v>
      </c>
      <c r="AN227" s="320">
        <f>IFERROR(__xludf.DUMMYFUNCTION("""COMPUTED_VALUE"""),76.95)</f>
        <v>76.95</v>
      </c>
      <c r="AO227" s="320">
        <f>IFERROR(__xludf.DUMMYFUNCTION("""COMPUTED_VALUE"""),16.54)</f>
        <v>16.54</v>
      </c>
    </row>
    <row r="228" ht="15.75" customHeight="1">
      <c r="A228" s="330">
        <f>IFERROR(__xludf.DUMMYFUNCTION("""COMPUTED_VALUE"""),46087.0)</f>
        <v>46087</v>
      </c>
      <c r="B228" s="319" t="str">
        <f>IFERROR(__xludf.DUMMYFUNCTION("""COMPUTED_VALUE"""),"E. 40-99")</f>
        <v>E. 40-99</v>
      </c>
      <c r="C228" s="320">
        <f>IFERROR(__xludf.DUMMYFUNCTION("""COMPUTED_VALUE"""),5732.0)</f>
        <v>5732</v>
      </c>
      <c r="D228" s="320">
        <f>IFERROR(__xludf.DUMMYFUNCTION("""COMPUTED_VALUE"""),5.44)</f>
        <v>5.44</v>
      </c>
      <c r="E228" s="320">
        <f>IFERROR(__xludf.DUMMYFUNCTION("""COMPUTED_VALUE"""),0.0)</f>
        <v>0</v>
      </c>
      <c r="F228" s="320">
        <f>IFERROR(__xludf.DUMMYFUNCTION("""COMPUTED_VALUE"""),0.0)</f>
        <v>0</v>
      </c>
      <c r="G228" s="320">
        <f>IFERROR(__xludf.DUMMYFUNCTION("""COMPUTED_VALUE"""),0.0)</f>
        <v>0</v>
      </c>
      <c r="H228" s="106"/>
      <c r="I228" s="320">
        <f>IFERROR(__xludf.DUMMYFUNCTION("""COMPUTED_VALUE"""),133.84)</f>
        <v>133.84</v>
      </c>
      <c r="J228" s="320">
        <f>IFERROR(__xludf.DUMMYFUNCTION("""COMPUTED_VALUE"""),72.34)</f>
        <v>72.34</v>
      </c>
      <c r="K228" s="320">
        <f>IFERROR(__xludf.DUMMYFUNCTION("""COMPUTED_VALUE"""),55.41)</f>
        <v>55.41</v>
      </c>
      <c r="L228" s="320">
        <f>IFERROR(__xludf.DUMMYFUNCTION("""COMPUTED_VALUE"""),0.766)</f>
        <v>0.766</v>
      </c>
      <c r="M228" s="320">
        <f>IFERROR(__xludf.DUMMYFUNCTION("""COMPUTED_VALUE"""),0.4094)</f>
        <v>0.4094</v>
      </c>
      <c r="N228" s="320">
        <f>IFERROR(__xludf.DUMMYFUNCTION("""COMPUTED_VALUE"""),0.2873)</f>
        <v>0.2873</v>
      </c>
      <c r="O228" s="320">
        <f>IFERROR(__xludf.DUMMYFUNCTION("""COMPUTED_VALUE"""),1.3055)</f>
        <v>1.3055</v>
      </c>
      <c r="P228" s="320">
        <f>IFERROR(__xludf.DUMMYFUNCTION("""COMPUTED_VALUE"""),276.35)</f>
        <v>276.35</v>
      </c>
      <c r="Q228" s="320">
        <f>IFERROR(__xludf.DUMMYFUNCTION("""COMPUTED_VALUE"""),158.55)</f>
        <v>158.55</v>
      </c>
      <c r="R228" s="320">
        <f>IFERROR(__xludf.DUMMYFUNCTION("""COMPUTED_VALUE"""),117.8)</f>
        <v>117.8</v>
      </c>
      <c r="S228" s="320">
        <f>IFERROR(__xludf.DUMMYFUNCTION("""COMPUTED_VALUE"""),0.01)</f>
        <v>0.01</v>
      </c>
      <c r="T228" s="320">
        <f>IFERROR(__xludf.DUMMYFUNCTION("""COMPUTED_VALUE"""),276.34)</f>
        <v>276.34</v>
      </c>
      <c r="U228" s="320">
        <f>IFERROR(__xludf.DUMMYFUNCTION("""COMPUTED_VALUE"""),316.93)</f>
        <v>316.93</v>
      </c>
      <c r="V228" s="320">
        <f>IFERROR(__xludf.DUMMYFUNCTION("""COMPUTED_VALUE"""),4.3811)</f>
        <v>4.3811</v>
      </c>
      <c r="W228" s="320">
        <f>IFERROR(__xludf.DUMMYFUNCTION("""COMPUTED_VALUE"""),0.0)</f>
        <v>0</v>
      </c>
      <c r="X228" s="320">
        <f>IFERROR(__xludf.DUMMYFUNCTION("""COMPUTED_VALUE"""),271.0)</f>
        <v>271</v>
      </c>
      <c r="Y228" s="320">
        <f>IFERROR(__xludf.DUMMYFUNCTION("""COMPUTED_VALUE"""),2105.0)</f>
        <v>2105</v>
      </c>
      <c r="Z228" s="320">
        <f>IFERROR(__xludf.DUMMYFUNCTION("""COMPUTED_VALUE"""),9155.0)</f>
        <v>9155</v>
      </c>
      <c r="AA228" s="320">
        <f>IFERROR(__xludf.DUMMYFUNCTION("""COMPUTED_VALUE"""),59.729)</f>
        <v>59.729</v>
      </c>
      <c r="AB228" s="320">
        <f>IFERROR(__xludf.DUMMYFUNCTION("""COMPUTED_VALUE"""),0.8313)</f>
        <v>0.8313</v>
      </c>
      <c r="AC228" s="320">
        <f>IFERROR(__xludf.DUMMYFUNCTION("""COMPUTED_VALUE"""),36.57)</f>
        <v>36.57</v>
      </c>
      <c r="AD228" s="320">
        <f>IFERROR(__xludf.DUMMYFUNCTION("""COMPUTED_VALUE"""),15.0)</f>
        <v>15</v>
      </c>
      <c r="AE228" s="320">
        <f>IFERROR(__xludf.DUMMYFUNCTION("""COMPUTED_VALUE"""),29.0)</f>
        <v>29</v>
      </c>
      <c r="AF228" s="320">
        <f>IFERROR(__xludf.DUMMYFUNCTION("""COMPUTED_VALUE"""),49.0)</f>
        <v>49</v>
      </c>
      <c r="AG228" s="320">
        <f>IFERROR(__xludf.DUMMYFUNCTION("""COMPUTED_VALUE"""),76.0)</f>
        <v>76</v>
      </c>
      <c r="AH228" s="320">
        <f>IFERROR(__xludf.DUMMYFUNCTION("""COMPUTED_VALUE"""),51.85)</f>
        <v>51.85</v>
      </c>
      <c r="AI228" s="320">
        <f>IFERROR(__xludf.DUMMYFUNCTION("""COMPUTED_VALUE"""),17.69)</f>
        <v>17.69</v>
      </c>
      <c r="AJ228" s="320">
        <f>IFERROR(__xludf.DUMMYFUNCTION("""COMPUTED_VALUE"""),3.98)</f>
        <v>3.98</v>
      </c>
      <c r="AK228" s="320">
        <f>IFERROR(__xludf.DUMMYFUNCTION("""COMPUTED_VALUE"""),0.1493)</f>
        <v>0.1493</v>
      </c>
      <c r="AL228" s="320">
        <f>IFERROR(__xludf.DUMMYFUNCTION("""COMPUTED_VALUE"""),21.83)</f>
        <v>21.83</v>
      </c>
      <c r="AM228" s="320">
        <f>IFERROR(__xludf.DUMMYFUNCTION("""COMPUTED_VALUE"""),136.72)</f>
        <v>136.72</v>
      </c>
      <c r="AN228" s="320">
        <f>IFERROR(__xludf.DUMMYFUNCTION("""COMPUTED_VALUE"""),81.91)</f>
        <v>81.91</v>
      </c>
      <c r="AO228" s="320">
        <f>IFERROR(__xludf.DUMMYFUNCTION("""COMPUTED_VALUE"""),17.88)</f>
        <v>17.88</v>
      </c>
    </row>
    <row r="229" ht="15.75" customHeight="1">
      <c r="A229" s="330">
        <f>IFERROR(__xludf.DUMMYFUNCTION("""COMPUTED_VALUE"""),46087.0)</f>
        <v>46087</v>
      </c>
      <c r="B229" s="319" t="str">
        <f>IFERROR(__xludf.DUMMYFUNCTION("""COMPUTED_VALUE"""),"F. 100+")</f>
        <v>F. 100+</v>
      </c>
      <c r="C229" s="320">
        <f>IFERROR(__xludf.DUMMYFUNCTION("""COMPUTED_VALUE"""),655.0)</f>
        <v>655</v>
      </c>
      <c r="D229" s="320">
        <f>IFERROR(__xludf.DUMMYFUNCTION("""COMPUTED_VALUE"""),0.62)</f>
        <v>0.62</v>
      </c>
      <c r="E229" s="320">
        <f>IFERROR(__xludf.DUMMYFUNCTION("""COMPUTED_VALUE"""),0.0)</f>
        <v>0</v>
      </c>
      <c r="F229" s="320">
        <f>IFERROR(__xludf.DUMMYFUNCTION("""COMPUTED_VALUE"""),0.0)</f>
        <v>0</v>
      </c>
      <c r="G229" s="320">
        <f>IFERROR(__xludf.DUMMYFUNCTION("""COMPUTED_VALUE"""),0.0)</f>
        <v>0</v>
      </c>
      <c r="H229" s="106"/>
      <c r="I229" s="320">
        <f>IFERROR(__xludf.DUMMYFUNCTION("""COMPUTED_VALUE"""),250.76)</f>
        <v>250.76</v>
      </c>
      <c r="J229" s="320">
        <f>IFERROR(__xludf.DUMMYFUNCTION("""COMPUTED_VALUE"""),143.09)</f>
        <v>143.09</v>
      </c>
      <c r="K229" s="320">
        <f>IFERROR(__xludf.DUMMYFUNCTION("""COMPUTED_VALUE"""),123.17)</f>
        <v>123.17</v>
      </c>
      <c r="L229" s="320">
        <f>IFERROR(__xludf.DUMMYFUNCTION("""COMPUTED_VALUE"""),0.8608)</f>
        <v>0.8608</v>
      </c>
      <c r="M229" s="320">
        <f>IFERROR(__xludf.DUMMYFUNCTION("""COMPUTED_VALUE"""),0.2883)</f>
        <v>0.2883</v>
      </c>
      <c r="N229" s="320">
        <f>IFERROR(__xludf.DUMMYFUNCTION("""COMPUTED_VALUE"""),0.2122)</f>
        <v>0.2122</v>
      </c>
      <c r="O229" s="320">
        <f>IFERROR(__xludf.DUMMYFUNCTION("""COMPUTED_VALUE"""),1.1617)</f>
        <v>1.1617</v>
      </c>
      <c r="P229" s="320">
        <f>IFERROR(__xludf.DUMMYFUNCTION("""COMPUTED_VALUE"""),529.51)</f>
        <v>529.51</v>
      </c>
      <c r="Q229" s="320">
        <f>IFERROR(__xludf.DUMMYFUNCTION("""COMPUTED_VALUE"""),267.09)</f>
        <v>267.09</v>
      </c>
      <c r="R229" s="320">
        <f>IFERROR(__xludf.DUMMYFUNCTION("""COMPUTED_VALUE"""),262.43)</f>
        <v>262.43</v>
      </c>
      <c r="S229" s="320">
        <f>IFERROR(__xludf.DUMMYFUNCTION("""COMPUTED_VALUE"""),0.0)</f>
        <v>0</v>
      </c>
      <c r="T229" s="320">
        <f>IFERROR(__xludf.DUMMYFUNCTION("""COMPUTED_VALUE"""),529.51)</f>
        <v>529.51</v>
      </c>
      <c r="U229" s="320">
        <f>IFERROR(__xludf.DUMMYFUNCTION("""COMPUTED_VALUE"""),761.98)</f>
        <v>761.98</v>
      </c>
      <c r="V229" s="320">
        <f>IFERROR(__xludf.DUMMYFUNCTION("""COMPUTED_VALUE"""),5.3252)</f>
        <v>5.3252</v>
      </c>
      <c r="W229" s="320">
        <f>IFERROR(__xludf.DUMMYFUNCTION("""COMPUTED_VALUE"""),0.0)</f>
        <v>0</v>
      </c>
      <c r="X229" s="320">
        <f>IFERROR(__xludf.DUMMYFUNCTION("""COMPUTED_VALUE"""),880.0)</f>
        <v>880</v>
      </c>
      <c r="Y229" s="320">
        <f>IFERROR(__xludf.DUMMYFUNCTION("""COMPUTED_VALUE"""),4392.0)</f>
        <v>4392</v>
      </c>
      <c r="Z229" s="320">
        <f>IFERROR(__xludf.DUMMYFUNCTION("""COMPUTED_VALUE"""),11508.0)</f>
        <v>11508</v>
      </c>
      <c r="AA229" s="320">
        <f>IFERROR(__xludf.DUMMYFUNCTION("""COMPUTED_VALUE"""),63.1298)</f>
        <v>63.1298</v>
      </c>
      <c r="AB229" s="320">
        <f>IFERROR(__xludf.DUMMYFUNCTION("""COMPUTED_VALUE"""),0.8924)</f>
        <v>0.8924</v>
      </c>
      <c r="AC229" s="320">
        <f>IFERROR(__xludf.DUMMYFUNCTION("""COMPUTED_VALUE"""),81.34)</f>
        <v>81.34</v>
      </c>
      <c r="AD229" s="320">
        <f>IFERROR(__xludf.DUMMYFUNCTION("""COMPUTED_VALUE"""),31.0)</f>
        <v>31</v>
      </c>
      <c r="AE229" s="320">
        <f>IFERROR(__xludf.DUMMYFUNCTION("""COMPUTED_VALUE"""),68.0)</f>
        <v>68</v>
      </c>
      <c r="AF229" s="320">
        <f>IFERROR(__xludf.DUMMYFUNCTION("""COMPUTED_VALUE"""),117.0)</f>
        <v>117</v>
      </c>
      <c r="AG229" s="320">
        <f>IFERROR(__xludf.DUMMYFUNCTION("""COMPUTED_VALUE"""),158.0)</f>
        <v>158</v>
      </c>
      <c r="AH229" s="320">
        <f>IFERROR(__xludf.DUMMYFUNCTION("""COMPUTED_VALUE"""),43.05)</f>
        <v>43.05</v>
      </c>
      <c r="AI229" s="320">
        <f>IFERROR(__xludf.DUMMYFUNCTION("""COMPUTED_VALUE"""),7.33)</f>
        <v>7.33</v>
      </c>
      <c r="AJ229" s="320">
        <f>IFERROR(__xludf.DUMMYFUNCTION("""COMPUTED_VALUE"""),0.46)</f>
        <v>0.46</v>
      </c>
      <c r="AK229" s="320">
        <f>IFERROR(__xludf.DUMMYFUNCTION("""COMPUTED_VALUE"""),0.1038)</f>
        <v>0.1038</v>
      </c>
      <c r="AL229" s="320">
        <f>IFERROR(__xludf.DUMMYFUNCTION("""COMPUTED_VALUE"""),25.27)</f>
        <v>25.27</v>
      </c>
      <c r="AM229" s="320">
        <f>IFERROR(__xludf.DUMMYFUNCTION("""COMPUTED_VALUE"""),241.82)</f>
        <v>241.82</v>
      </c>
      <c r="AN229" s="320">
        <f>IFERROR(__xludf.DUMMYFUNCTION("""COMPUTED_VALUE"""),84.19)</f>
        <v>84.19</v>
      </c>
      <c r="AO229" s="320">
        <f>IFERROR(__xludf.DUMMYFUNCTION("""COMPUTED_VALUE"""),21.27)</f>
        <v>21.27</v>
      </c>
    </row>
    <row r="230" ht="15.75" customHeight="1">
      <c r="A230" s="330">
        <f>IFERROR(__xludf.DUMMYFUNCTION("""COMPUTED_VALUE"""),46088.0)</f>
        <v>46088</v>
      </c>
      <c r="B230" s="319" t="str">
        <f>IFERROR(__xludf.DUMMYFUNCTION("""COMPUTED_VALUE"""),"A. 0")</f>
        <v>A. 0</v>
      </c>
      <c r="C230" s="320">
        <f>IFERROR(__xludf.DUMMYFUNCTION("""COMPUTED_VALUE"""),19281.0)</f>
        <v>19281</v>
      </c>
      <c r="D230" s="320">
        <f>IFERROR(__xludf.DUMMYFUNCTION("""COMPUTED_VALUE"""),18.42)</f>
        <v>18.42</v>
      </c>
      <c r="E230" s="320">
        <f>IFERROR(__xludf.DUMMYFUNCTION("""COMPUTED_VALUE"""),0.0)</f>
        <v>0</v>
      </c>
      <c r="F230" s="320">
        <f>IFERROR(__xludf.DUMMYFUNCTION("""COMPUTED_VALUE"""),0.0)</f>
        <v>0</v>
      </c>
      <c r="G230" s="320">
        <f>IFERROR(__xludf.DUMMYFUNCTION("""COMPUTED_VALUE"""),0.0)</f>
        <v>0</v>
      </c>
      <c r="H230" s="106"/>
      <c r="I230" s="320">
        <f>IFERROR(__xludf.DUMMYFUNCTION("""COMPUTED_VALUE"""),6.17)</f>
        <v>6.17</v>
      </c>
      <c r="J230" s="320">
        <f>IFERROR(__xludf.DUMMYFUNCTION("""COMPUTED_VALUE"""),2.48)</f>
        <v>2.48</v>
      </c>
      <c r="K230" s="320">
        <f>IFERROR(__xludf.DUMMYFUNCTION("""COMPUTED_VALUE"""),0.03)</f>
        <v>0.03</v>
      </c>
      <c r="L230" s="320">
        <f>IFERROR(__xludf.DUMMYFUNCTION("""COMPUTED_VALUE"""),0.0128)</f>
        <v>0.0128</v>
      </c>
      <c r="M230" s="320">
        <f>IFERROR(__xludf.DUMMYFUNCTION("""COMPUTED_VALUE"""),0.9907)</f>
        <v>0.9907</v>
      </c>
      <c r="N230" s="320">
        <f>IFERROR(__xludf.DUMMYFUNCTION("""COMPUTED_VALUE"""),0.8831)</f>
        <v>0.8831</v>
      </c>
      <c r="O230" s="320">
        <f>IFERROR(__xludf.DUMMYFUNCTION("""COMPUTED_VALUE"""),77.9397)</f>
        <v>77.9397</v>
      </c>
      <c r="P230" s="320">
        <f>IFERROR(__xludf.DUMMYFUNCTION("""COMPUTED_VALUE"""),25.68)</f>
        <v>25.68</v>
      </c>
      <c r="Q230" s="320">
        <f>IFERROR(__xludf.DUMMYFUNCTION("""COMPUTED_VALUE"""),25.58)</f>
        <v>25.58</v>
      </c>
      <c r="R230" s="320">
        <f>IFERROR(__xludf.DUMMYFUNCTION("""COMPUTED_VALUE"""),0.1)</f>
        <v>0.1</v>
      </c>
      <c r="S230" s="320">
        <f>IFERROR(__xludf.DUMMYFUNCTION("""COMPUTED_VALUE"""),0.0)</f>
        <v>0</v>
      </c>
      <c r="T230" s="320">
        <f>IFERROR(__xludf.DUMMYFUNCTION("""COMPUTED_VALUE"""),25.68)</f>
        <v>25.68</v>
      </c>
      <c r="U230" s="320">
        <f>IFERROR(__xludf.DUMMYFUNCTION("""COMPUTED_VALUE"""),2.1)</f>
        <v>2.1</v>
      </c>
      <c r="V230" s="320">
        <f>IFERROR(__xludf.DUMMYFUNCTION("""COMPUTED_VALUE"""),0.8453)</f>
        <v>0.8453</v>
      </c>
      <c r="W230" s="320">
        <f>IFERROR(__xludf.DUMMYFUNCTION("""COMPUTED_VALUE"""),0.0)</f>
        <v>0</v>
      </c>
      <c r="X230" s="320">
        <f>IFERROR(__xludf.DUMMYFUNCTION("""COMPUTED_VALUE"""),322.0)</f>
        <v>322</v>
      </c>
      <c r="Y230" s="320">
        <f>IFERROR(__xludf.DUMMYFUNCTION("""COMPUTED_VALUE"""),3490.0)</f>
        <v>3490</v>
      </c>
      <c r="Z230" s="320">
        <f>IFERROR(__xludf.DUMMYFUNCTION("""COMPUTED_VALUE"""),14148.0)</f>
        <v>14148</v>
      </c>
      <c r="AA230" s="320">
        <f>IFERROR(__xludf.DUMMYFUNCTION("""COMPUTED_VALUE"""),49.0885)</f>
        <v>49.0885</v>
      </c>
      <c r="AB230" s="320">
        <f>IFERROR(__xludf.DUMMYFUNCTION("""COMPUTED_VALUE"""),0.5337)</f>
        <v>0.5337</v>
      </c>
      <c r="AC230" s="106"/>
      <c r="AD230" s="106"/>
      <c r="AE230" s="106"/>
      <c r="AF230" s="106"/>
      <c r="AG230" s="106"/>
      <c r="AH230" s="320">
        <f>IFERROR(__xludf.DUMMYFUNCTION("""COMPUTED_VALUE"""),0.0)</f>
        <v>0</v>
      </c>
      <c r="AI230" s="320">
        <f>IFERROR(__xludf.DUMMYFUNCTION("""COMPUTED_VALUE"""),0.0)</f>
        <v>0</v>
      </c>
      <c r="AJ230" s="320">
        <f>IFERROR(__xludf.DUMMYFUNCTION("""COMPUTED_VALUE"""),0.0)</f>
        <v>0</v>
      </c>
      <c r="AK230" s="320">
        <f>IFERROR(__xludf.DUMMYFUNCTION("""COMPUTED_VALUE"""),0.2927)</f>
        <v>0.2927</v>
      </c>
      <c r="AL230" s="320">
        <f>IFERROR(__xludf.DUMMYFUNCTION("""COMPUTED_VALUE"""),18.64)</f>
        <v>18.64</v>
      </c>
      <c r="AM230" s="320">
        <f>IFERROR(__xludf.DUMMYFUNCTION("""COMPUTED_VALUE"""),6.94)</f>
        <v>6.94</v>
      </c>
      <c r="AN230" s="331"/>
      <c r="AO230" s="331"/>
    </row>
    <row r="231" ht="15.75" customHeight="1">
      <c r="A231" s="330">
        <f>IFERROR(__xludf.DUMMYFUNCTION("""COMPUTED_VALUE"""),46088.0)</f>
        <v>46088</v>
      </c>
      <c r="B231" s="319" t="str">
        <f>IFERROR(__xludf.DUMMYFUNCTION("""COMPUTED_VALUE"""),"B. 1-9")</f>
        <v>B. 1-9</v>
      </c>
      <c r="C231" s="320">
        <f>IFERROR(__xludf.DUMMYFUNCTION("""COMPUTED_VALUE"""),37464.0)</f>
        <v>37464</v>
      </c>
      <c r="D231" s="320">
        <f>IFERROR(__xludf.DUMMYFUNCTION("""COMPUTED_VALUE"""),35.8)</f>
        <v>35.8</v>
      </c>
      <c r="E231" s="320">
        <f>IFERROR(__xludf.DUMMYFUNCTION("""COMPUTED_VALUE"""),0.0)</f>
        <v>0</v>
      </c>
      <c r="F231" s="320">
        <f>IFERROR(__xludf.DUMMYFUNCTION("""COMPUTED_VALUE"""),0.0)</f>
        <v>0</v>
      </c>
      <c r="G231" s="320">
        <f>IFERROR(__xludf.DUMMYFUNCTION("""COMPUTED_VALUE"""),0.0)</f>
        <v>0</v>
      </c>
      <c r="H231" s="106"/>
      <c r="I231" s="320">
        <f>IFERROR(__xludf.DUMMYFUNCTION("""COMPUTED_VALUE"""),29.91)</f>
        <v>29.91</v>
      </c>
      <c r="J231" s="320">
        <f>IFERROR(__xludf.DUMMYFUNCTION("""COMPUTED_VALUE"""),13.63)</f>
        <v>13.63</v>
      </c>
      <c r="K231" s="320">
        <f>IFERROR(__xludf.DUMMYFUNCTION("""COMPUTED_VALUE"""),5.88)</f>
        <v>5.88</v>
      </c>
      <c r="L231" s="320">
        <f>IFERROR(__xludf.DUMMYFUNCTION("""COMPUTED_VALUE"""),0.4319)</f>
        <v>0.4319</v>
      </c>
      <c r="M231" s="320">
        <f>IFERROR(__xludf.DUMMYFUNCTION("""COMPUTED_VALUE"""),0.7403)</f>
        <v>0.7403</v>
      </c>
      <c r="N231" s="320">
        <f>IFERROR(__xludf.DUMMYFUNCTION("""COMPUTED_VALUE"""),0.541)</f>
        <v>0.541</v>
      </c>
      <c r="O231" s="320">
        <f>IFERROR(__xludf.DUMMYFUNCTION("""COMPUTED_VALUE"""),2.3154)</f>
        <v>2.3154</v>
      </c>
      <c r="P231" s="320">
        <f>IFERROR(__xludf.DUMMYFUNCTION("""COMPUTED_VALUE"""),54.38)</f>
        <v>54.38</v>
      </c>
      <c r="Q231" s="320">
        <f>IFERROR(__xludf.DUMMYFUNCTION("""COMPUTED_VALUE"""),42.22)</f>
        <v>42.22</v>
      </c>
      <c r="R231" s="320">
        <f>IFERROR(__xludf.DUMMYFUNCTION("""COMPUTED_VALUE"""),12.16)</f>
        <v>12.16</v>
      </c>
      <c r="S231" s="320">
        <f>IFERROR(__xludf.DUMMYFUNCTION("""COMPUTED_VALUE"""),0.0)</f>
        <v>0</v>
      </c>
      <c r="T231" s="320">
        <f>IFERROR(__xludf.DUMMYFUNCTION("""COMPUTED_VALUE"""),54.38)</f>
        <v>54.38</v>
      </c>
      <c r="U231" s="320">
        <f>IFERROR(__xludf.DUMMYFUNCTION("""COMPUTED_VALUE"""),55.41)</f>
        <v>55.41</v>
      </c>
      <c r="V231" s="320">
        <f>IFERROR(__xludf.DUMMYFUNCTION("""COMPUTED_VALUE"""),4.0666)</f>
        <v>4.0666</v>
      </c>
      <c r="W231" s="320">
        <f>IFERROR(__xludf.DUMMYFUNCTION("""COMPUTED_VALUE"""),0.0)</f>
        <v>0</v>
      </c>
      <c r="X231" s="320">
        <f>IFERROR(__xludf.DUMMYFUNCTION("""COMPUTED_VALUE"""),147.0)</f>
        <v>147</v>
      </c>
      <c r="Y231" s="320">
        <f>IFERROR(__xludf.DUMMYFUNCTION("""COMPUTED_VALUE"""),898.0)</f>
        <v>898</v>
      </c>
      <c r="Z231" s="320">
        <f>IFERROR(__xludf.DUMMYFUNCTION("""COMPUTED_VALUE"""),5971.0)</f>
        <v>5971</v>
      </c>
      <c r="AA231" s="320">
        <f>IFERROR(__xludf.DUMMYFUNCTION("""COMPUTED_VALUE"""),48.8103)</f>
        <v>48.8103</v>
      </c>
      <c r="AB231" s="320">
        <f>IFERROR(__xludf.DUMMYFUNCTION("""COMPUTED_VALUE"""),0.5356)</f>
        <v>0.5356</v>
      </c>
      <c r="AC231" s="320">
        <f>IFERROR(__xludf.DUMMYFUNCTION("""COMPUTED_VALUE"""),4.2)</f>
        <v>4.2</v>
      </c>
      <c r="AD231" s="320">
        <f>IFERROR(__xludf.DUMMYFUNCTION("""COMPUTED_VALUE"""),1.0)</f>
        <v>1</v>
      </c>
      <c r="AE231" s="320">
        <f>IFERROR(__xludf.DUMMYFUNCTION("""COMPUTED_VALUE"""),3.0)</f>
        <v>3</v>
      </c>
      <c r="AF231" s="320">
        <f>IFERROR(__xludf.DUMMYFUNCTION("""COMPUTED_VALUE"""),6.0)</f>
        <v>6</v>
      </c>
      <c r="AG231" s="320">
        <f>IFERROR(__xludf.DUMMYFUNCTION("""COMPUTED_VALUE"""),9.0)</f>
        <v>9</v>
      </c>
      <c r="AH231" s="320">
        <f>IFERROR(__xludf.DUMMYFUNCTION("""COMPUTED_VALUE"""),74.16)</f>
        <v>74.16</v>
      </c>
      <c r="AI231" s="320">
        <f>IFERROR(__xludf.DUMMYFUNCTION("""COMPUTED_VALUE"""),32.79)</f>
        <v>32.79</v>
      </c>
      <c r="AJ231" s="320">
        <f>IFERROR(__xludf.DUMMYFUNCTION("""COMPUTED_VALUE"""),9.78)</f>
        <v>9.78</v>
      </c>
      <c r="AK231" s="320">
        <f>IFERROR(__xludf.DUMMYFUNCTION("""COMPUTED_VALUE"""),0.2517)</f>
        <v>0.2517</v>
      </c>
      <c r="AL231" s="320">
        <f>IFERROR(__xludf.DUMMYFUNCTION("""COMPUTED_VALUE"""),22.02)</f>
        <v>22.02</v>
      </c>
      <c r="AM231" s="320">
        <f>IFERROR(__xludf.DUMMYFUNCTION("""COMPUTED_VALUE"""),20.2)</f>
        <v>20.2</v>
      </c>
      <c r="AN231" s="320">
        <f>IFERROR(__xludf.DUMMYFUNCTION("""COMPUTED_VALUE"""),65.21)</f>
        <v>65.21</v>
      </c>
      <c r="AO231" s="320">
        <f>IFERROR(__xludf.DUMMYFUNCTION("""COMPUTED_VALUE"""),14.36)</f>
        <v>14.36</v>
      </c>
    </row>
    <row r="232" ht="15.75" customHeight="1">
      <c r="A232" s="330">
        <f>IFERROR(__xludf.DUMMYFUNCTION("""COMPUTED_VALUE"""),46088.0)</f>
        <v>46088</v>
      </c>
      <c r="B232" s="319" t="str">
        <f>IFERROR(__xludf.DUMMYFUNCTION("""COMPUTED_VALUE"""),"C. 10-19")</f>
        <v>C. 10-19</v>
      </c>
      <c r="C232" s="320">
        <f>IFERROR(__xludf.DUMMYFUNCTION("""COMPUTED_VALUE"""),26769.0)</f>
        <v>26769</v>
      </c>
      <c r="D232" s="320">
        <f>IFERROR(__xludf.DUMMYFUNCTION("""COMPUTED_VALUE"""),25.58)</f>
        <v>25.58</v>
      </c>
      <c r="E232" s="320">
        <f>IFERROR(__xludf.DUMMYFUNCTION("""COMPUTED_VALUE"""),0.0)</f>
        <v>0</v>
      </c>
      <c r="F232" s="320">
        <f>IFERROR(__xludf.DUMMYFUNCTION("""COMPUTED_VALUE"""),0.0)</f>
        <v>0</v>
      </c>
      <c r="G232" s="320">
        <f>IFERROR(__xludf.DUMMYFUNCTION("""COMPUTED_VALUE"""),0.0)</f>
        <v>0</v>
      </c>
      <c r="H232" s="106"/>
      <c r="I232" s="320">
        <f>IFERROR(__xludf.DUMMYFUNCTION("""COMPUTED_VALUE"""),54.62)</f>
        <v>54.62</v>
      </c>
      <c r="J232" s="320">
        <f>IFERROR(__xludf.DUMMYFUNCTION("""COMPUTED_VALUE"""),26.14)</f>
        <v>26.14</v>
      </c>
      <c r="K232" s="320">
        <f>IFERROR(__xludf.DUMMYFUNCTION("""COMPUTED_VALUE"""),14.15)</f>
        <v>14.15</v>
      </c>
      <c r="L232" s="320">
        <f>IFERROR(__xludf.DUMMYFUNCTION("""COMPUTED_VALUE"""),0.5412)</f>
        <v>0.5412</v>
      </c>
      <c r="M232" s="320">
        <f>IFERROR(__xludf.DUMMYFUNCTION("""COMPUTED_VALUE"""),0.6492)</f>
        <v>0.6492</v>
      </c>
      <c r="N232" s="320">
        <f>IFERROR(__xludf.DUMMYFUNCTION("""COMPUTED_VALUE"""),0.4542)</f>
        <v>0.4542</v>
      </c>
      <c r="O232" s="320">
        <f>IFERROR(__xludf.DUMMYFUNCTION("""COMPUTED_VALUE"""),1.8479)</f>
        <v>1.8479</v>
      </c>
      <c r="P232" s="320">
        <f>IFERROR(__xludf.DUMMYFUNCTION("""COMPUTED_VALUE"""),95.4)</f>
        <v>95.4</v>
      </c>
      <c r="Q232" s="320">
        <f>IFERROR(__xludf.DUMMYFUNCTION("""COMPUTED_VALUE"""),65.67)</f>
        <v>65.67</v>
      </c>
      <c r="R232" s="320">
        <f>IFERROR(__xludf.DUMMYFUNCTION("""COMPUTED_VALUE"""),29.73)</f>
        <v>29.73</v>
      </c>
      <c r="S232" s="320">
        <f>IFERROR(__xludf.DUMMYFUNCTION("""COMPUTED_VALUE"""),0.0)</f>
        <v>0</v>
      </c>
      <c r="T232" s="320">
        <f>IFERROR(__xludf.DUMMYFUNCTION("""COMPUTED_VALUE"""),95.4)</f>
        <v>95.4</v>
      </c>
      <c r="U232" s="320">
        <f>IFERROR(__xludf.DUMMYFUNCTION("""COMPUTED_VALUE"""),99.19)</f>
        <v>99.19</v>
      </c>
      <c r="V232" s="320">
        <f>IFERROR(__xludf.DUMMYFUNCTION("""COMPUTED_VALUE"""),3.7943)</f>
        <v>3.7943</v>
      </c>
      <c r="W232" s="320">
        <f>IFERROR(__xludf.DUMMYFUNCTION("""COMPUTED_VALUE"""),0.0)</f>
        <v>0</v>
      </c>
      <c r="X232" s="320">
        <f>IFERROR(__xludf.DUMMYFUNCTION("""COMPUTED_VALUE"""),125.0)</f>
        <v>125</v>
      </c>
      <c r="Y232" s="320">
        <f>IFERROR(__xludf.DUMMYFUNCTION("""COMPUTED_VALUE"""),712.0)</f>
        <v>712</v>
      </c>
      <c r="Z232" s="320">
        <f>IFERROR(__xludf.DUMMYFUNCTION("""COMPUTED_VALUE"""),5257.0)</f>
        <v>5257</v>
      </c>
      <c r="AA232" s="320">
        <f>IFERROR(__xludf.DUMMYFUNCTION("""COMPUTED_VALUE"""),52.3073)</f>
        <v>52.3073</v>
      </c>
      <c r="AB232" s="320">
        <f>IFERROR(__xludf.DUMMYFUNCTION("""COMPUTED_VALUE"""),0.6334)</f>
        <v>0.6334</v>
      </c>
      <c r="AC232" s="320">
        <f>IFERROR(__xludf.DUMMYFUNCTION("""COMPUTED_VALUE"""),9.55)</f>
        <v>9.55</v>
      </c>
      <c r="AD232" s="320">
        <f>IFERROR(__xludf.DUMMYFUNCTION("""COMPUTED_VALUE"""),4.0)</f>
        <v>4</v>
      </c>
      <c r="AE232" s="320">
        <f>IFERROR(__xludf.DUMMYFUNCTION("""COMPUTED_VALUE"""),8.0)</f>
        <v>8</v>
      </c>
      <c r="AF232" s="320">
        <f>IFERROR(__xludf.DUMMYFUNCTION("""COMPUTED_VALUE"""),13.0)</f>
        <v>13</v>
      </c>
      <c r="AG232" s="320">
        <f>IFERROR(__xludf.DUMMYFUNCTION("""COMPUTED_VALUE"""),19.0)</f>
        <v>19</v>
      </c>
      <c r="AH232" s="320">
        <f>IFERROR(__xludf.DUMMYFUNCTION("""COMPUTED_VALUE"""),62.19)</f>
        <v>62.19</v>
      </c>
      <c r="AI232" s="320">
        <f>IFERROR(__xludf.DUMMYFUNCTION("""COMPUTED_VALUE"""),26.48)</f>
        <v>26.48</v>
      </c>
      <c r="AJ232" s="320">
        <f>IFERROR(__xludf.DUMMYFUNCTION("""COMPUTED_VALUE"""),4.5)</f>
        <v>4.5</v>
      </c>
      <c r="AK232" s="320">
        <f>IFERROR(__xludf.DUMMYFUNCTION("""COMPUTED_VALUE"""),0.2038)</f>
        <v>0.2038</v>
      </c>
      <c r="AL232" s="320">
        <f>IFERROR(__xludf.DUMMYFUNCTION("""COMPUTED_VALUE"""),22.96)</f>
        <v>22.96</v>
      </c>
      <c r="AM232" s="320">
        <f>IFERROR(__xludf.DUMMYFUNCTION("""COMPUTED_VALUE"""),42.72)</f>
        <v>42.72</v>
      </c>
      <c r="AN232" s="320">
        <f>IFERROR(__xludf.DUMMYFUNCTION("""COMPUTED_VALUE"""),73.69)</f>
        <v>73.69</v>
      </c>
      <c r="AO232" s="320">
        <f>IFERROR(__xludf.DUMMYFUNCTION("""COMPUTED_VALUE"""),16.92)</f>
        <v>16.92</v>
      </c>
    </row>
    <row r="233" ht="15.75" customHeight="1">
      <c r="A233" s="330">
        <f>IFERROR(__xludf.DUMMYFUNCTION("""COMPUTED_VALUE"""),46088.0)</f>
        <v>46088</v>
      </c>
      <c r="B233" s="319" t="str">
        <f>IFERROR(__xludf.DUMMYFUNCTION("""COMPUTED_VALUE"""),"D. 20-39")</f>
        <v>D. 20-39</v>
      </c>
      <c r="C233" s="320">
        <f>IFERROR(__xludf.DUMMYFUNCTION("""COMPUTED_VALUE"""),14570.0)</f>
        <v>14570</v>
      </c>
      <c r="D233" s="320">
        <f>IFERROR(__xludf.DUMMYFUNCTION("""COMPUTED_VALUE"""),13.92)</f>
        <v>13.92</v>
      </c>
      <c r="E233" s="320">
        <f>IFERROR(__xludf.DUMMYFUNCTION("""COMPUTED_VALUE"""),0.0)</f>
        <v>0</v>
      </c>
      <c r="F233" s="320">
        <f>IFERROR(__xludf.DUMMYFUNCTION("""COMPUTED_VALUE"""),0.0)</f>
        <v>0</v>
      </c>
      <c r="G233" s="320">
        <f>IFERROR(__xludf.DUMMYFUNCTION("""COMPUTED_VALUE"""),0.0)</f>
        <v>0</v>
      </c>
      <c r="H233" s="106"/>
      <c r="I233" s="320">
        <f>IFERROR(__xludf.DUMMYFUNCTION("""COMPUTED_VALUE"""),79.88)</f>
        <v>79.88</v>
      </c>
      <c r="J233" s="320">
        <f>IFERROR(__xludf.DUMMYFUNCTION("""COMPUTED_VALUE"""),40.28)</f>
        <v>40.28</v>
      </c>
      <c r="K233" s="320">
        <f>IFERROR(__xludf.DUMMYFUNCTION("""COMPUTED_VALUE"""),26.89)</f>
        <v>26.89</v>
      </c>
      <c r="L233" s="320">
        <f>IFERROR(__xludf.DUMMYFUNCTION("""COMPUTED_VALUE"""),0.6677)</f>
        <v>0.6677</v>
      </c>
      <c r="M233" s="320">
        <f>IFERROR(__xludf.DUMMYFUNCTION("""COMPUTED_VALUE"""),0.5237)</f>
        <v>0.5237</v>
      </c>
      <c r="N233" s="320">
        <f>IFERROR(__xludf.DUMMYFUNCTION("""COMPUTED_VALUE"""),0.3639)</f>
        <v>0.3639</v>
      </c>
      <c r="O233" s="320">
        <f>IFERROR(__xludf.DUMMYFUNCTION("""COMPUTED_VALUE"""),1.4976)</f>
        <v>1.4976</v>
      </c>
      <c r="P233" s="320">
        <f>IFERROR(__xludf.DUMMYFUNCTION("""COMPUTED_VALUE"""),163.86)</f>
        <v>163.86</v>
      </c>
      <c r="Q233" s="320">
        <f>IFERROR(__xludf.DUMMYFUNCTION("""COMPUTED_VALUE"""),107.06)</f>
        <v>107.06</v>
      </c>
      <c r="R233" s="320">
        <f>IFERROR(__xludf.DUMMYFUNCTION("""COMPUTED_VALUE"""),56.79)</f>
        <v>56.79</v>
      </c>
      <c r="S233" s="320">
        <f>IFERROR(__xludf.DUMMYFUNCTION("""COMPUTED_VALUE"""),0.62)</f>
        <v>0.62</v>
      </c>
      <c r="T233" s="320">
        <f>IFERROR(__xludf.DUMMYFUNCTION("""COMPUTED_VALUE"""),163.24)</f>
        <v>163.24</v>
      </c>
      <c r="U233" s="320">
        <f>IFERROR(__xludf.DUMMYFUNCTION("""COMPUTED_VALUE"""),173.64)</f>
        <v>173.64</v>
      </c>
      <c r="V233" s="320">
        <f>IFERROR(__xludf.DUMMYFUNCTION("""COMPUTED_VALUE"""),4.3114)</f>
        <v>4.3114</v>
      </c>
      <c r="W233" s="320">
        <f>IFERROR(__xludf.DUMMYFUNCTION("""COMPUTED_VALUE"""),0.38)</f>
        <v>0.38</v>
      </c>
      <c r="X233" s="320">
        <f>IFERROR(__xludf.DUMMYFUNCTION("""COMPUTED_VALUE"""),148.0)</f>
        <v>148</v>
      </c>
      <c r="Y233" s="320">
        <f>IFERROR(__xludf.DUMMYFUNCTION("""COMPUTED_VALUE"""),1023.0)</f>
        <v>1023</v>
      </c>
      <c r="Z233" s="320">
        <f>IFERROR(__xludf.DUMMYFUNCTION("""COMPUTED_VALUE"""),6209.0)</f>
        <v>6209</v>
      </c>
      <c r="AA233" s="320">
        <f>IFERROR(__xludf.DUMMYFUNCTION("""COMPUTED_VALUE"""),55.7732)</f>
        <v>55.7732</v>
      </c>
      <c r="AB233" s="320">
        <f>IFERROR(__xludf.DUMMYFUNCTION("""COMPUTED_VALUE"""),0.7393)</f>
        <v>0.7393</v>
      </c>
      <c r="AC233" s="320">
        <f>IFERROR(__xludf.DUMMYFUNCTION("""COMPUTED_VALUE"""),18.05)</f>
        <v>18.05</v>
      </c>
      <c r="AD233" s="320">
        <f>IFERROR(__xludf.DUMMYFUNCTION("""COMPUTED_VALUE"""),8.0)</f>
        <v>8</v>
      </c>
      <c r="AE233" s="320">
        <f>IFERROR(__xludf.DUMMYFUNCTION("""COMPUTED_VALUE"""),15.0)</f>
        <v>15</v>
      </c>
      <c r="AF233" s="320">
        <f>IFERROR(__xludf.DUMMYFUNCTION("""COMPUTED_VALUE"""),25.0)</f>
        <v>25</v>
      </c>
      <c r="AG233" s="320">
        <f>IFERROR(__xludf.DUMMYFUNCTION("""COMPUTED_VALUE"""),37.0)</f>
        <v>37</v>
      </c>
      <c r="AH233" s="320">
        <f>IFERROR(__xludf.DUMMYFUNCTION("""COMPUTED_VALUE"""),61.67)</f>
        <v>61.67</v>
      </c>
      <c r="AI233" s="320">
        <f>IFERROR(__xludf.DUMMYFUNCTION("""COMPUTED_VALUE"""),23.36)</f>
        <v>23.36</v>
      </c>
      <c r="AJ233" s="320">
        <f>IFERROR(__xludf.DUMMYFUNCTION("""COMPUTED_VALUE"""),6.85)</f>
        <v>6.85</v>
      </c>
      <c r="AK233" s="320">
        <f>IFERROR(__xludf.DUMMYFUNCTION("""COMPUTED_VALUE"""),0.1942)</f>
        <v>0.1942</v>
      </c>
      <c r="AL233" s="320">
        <f>IFERROR(__xludf.DUMMYFUNCTION("""COMPUTED_VALUE"""),22.37)</f>
        <v>22.37</v>
      </c>
      <c r="AM233" s="320">
        <f>IFERROR(__xludf.DUMMYFUNCTION("""COMPUTED_VALUE"""),84.7)</f>
        <v>84.7</v>
      </c>
      <c r="AN233" s="320">
        <f>IFERROR(__xludf.DUMMYFUNCTION("""COMPUTED_VALUE"""),75.79)</f>
        <v>75.79</v>
      </c>
      <c r="AO233" s="320">
        <f>IFERROR(__xludf.DUMMYFUNCTION("""COMPUTED_VALUE"""),16.95)</f>
        <v>16.95</v>
      </c>
    </row>
    <row r="234" ht="15.75" customHeight="1">
      <c r="A234" s="330">
        <f>IFERROR(__xludf.DUMMYFUNCTION("""COMPUTED_VALUE"""),46088.0)</f>
        <v>46088</v>
      </c>
      <c r="B234" s="319" t="str">
        <f>IFERROR(__xludf.DUMMYFUNCTION("""COMPUTED_VALUE"""),"E. 40-99")</f>
        <v>E. 40-99</v>
      </c>
      <c r="C234" s="320">
        <f>IFERROR(__xludf.DUMMYFUNCTION("""COMPUTED_VALUE"""),5905.0)</f>
        <v>5905</v>
      </c>
      <c r="D234" s="320">
        <f>IFERROR(__xludf.DUMMYFUNCTION("""COMPUTED_VALUE"""),5.64)</f>
        <v>5.64</v>
      </c>
      <c r="E234" s="320">
        <f>IFERROR(__xludf.DUMMYFUNCTION("""COMPUTED_VALUE"""),0.0)</f>
        <v>0</v>
      </c>
      <c r="F234" s="320">
        <f>IFERROR(__xludf.DUMMYFUNCTION("""COMPUTED_VALUE"""),0.0)</f>
        <v>0</v>
      </c>
      <c r="G234" s="320">
        <f>IFERROR(__xludf.DUMMYFUNCTION("""COMPUTED_VALUE"""),0.0)</f>
        <v>0</v>
      </c>
      <c r="H234" s="106"/>
      <c r="I234" s="320">
        <f>IFERROR(__xludf.DUMMYFUNCTION("""COMPUTED_VALUE"""),129.59)</f>
        <v>129.59</v>
      </c>
      <c r="J234" s="320">
        <f>IFERROR(__xludf.DUMMYFUNCTION("""COMPUTED_VALUE"""),70.49)</f>
        <v>70.49</v>
      </c>
      <c r="K234" s="320">
        <f>IFERROR(__xludf.DUMMYFUNCTION("""COMPUTED_VALUE"""),55.37)</f>
        <v>55.37</v>
      </c>
      <c r="L234" s="320">
        <f>IFERROR(__xludf.DUMMYFUNCTION("""COMPUTED_VALUE"""),0.7855)</f>
        <v>0.7855</v>
      </c>
      <c r="M234" s="320">
        <f>IFERROR(__xludf.DUMMYFUNCTION("""COMPUTED_VALUE"""),0.3944)</f>
        <v>0.3944</v>
      </c>
      <c r="N234" s="320">
        <f>IFERROR(__xludf.DUMMYFUNCTION("""COMPUTED_VALUE"""),0.2835)</f>
        <v>0.2835</v>
      </c>
      <c r="O234" s="320">
        <f>IFERROR(__xludf.DUMMYFUNCTION("""COMPUTED_VALUE"""),1.273)</f>
        <v>1.273</v>
      </c>
      <c r="P234" s="320">
        <f>IFERROR(__xludf.DUMMYFUNCTION("""COMPUTED_VALUE"""),315.42)</f>
        <v>315.42</v>
      </c>
      <c r="Q234" s="320">
        <f>IFERROR(__xludf.DUMMYFUNCTION("""COMPUTED_VALUE"""),198.41)</f>
        <v>198.41</v>
      </c>
      <c r="R234" s="320">
        <f>IFERROR(__xludf.DUMMYFUNCTION("""COMPUTED_VALUE"""),117.01)</f>
        <v>117.01</v>
      </c>
      <c r="S234" s="320">
        <f>IFERROR(__xludf.DUMMYFUNCTION("""COMPUTED_VALUE"""),0.07)</f>
        <v>0.07</v>
      </c>
      <c r="T234" s="320">
        <f>IFERROR(__xludf.DUMMYFUNCTION("""COMPUTED_VALUE"""),315.35)</f>
        <v>315.35</v>
      </c>
      <c r="U234" s="320">
        <f>IFERROR(__xludf.DUMMYFUNCTION("""COMPUTED_VALUE"""),334.23)</f>
        <v>334.23</v>
      </c>
      <c r="V234" s="320">
        <f>IFERROR(__xludf.DUMMYFUNCTION("""COMPUTED_VALUE"""),4.7415)</f>
        <v>4.7415</v>
      </c>
      <c r="W234" s="320">
        <f>IFERROR(__xludf.DUMMYFUNCTION("""COMPUTED_VALUE"""),0.02)</f>
        <v>0.02</v>
      </c>
      <c r="X234" s="320">
        <f>IFERROR(__xludf.DUMMYFUNCTION("""COMPUTED_VALUE"""),284.0)</f>
        <v>284</v>
      </c>
      <c r="Y234" s="320">
        <f>IFERROR(__xludf.DUMMYFUNCTION("""COMPUTED_VALUE"""),2148.0)</f>
        <v>2148</v>
      </c>
      <c r="Z234" s="320">
        <f>IFERROR(__xludf.DUMMYFUNCTION("""COMPUTED_VALUE"""),9188.0)</f>
        <v>9188</v>
      </c>
      <c r="AA234" s="320">
        <f>IFERROR(__xludf.DUMMYFUNCTION("""COMPUTED_VALUE"""),59.6755)</f>
        <v>59.6755</v>
      </c>
      <c r="AB234" s="320">
        <f>IFERROR(__xludf.DUMMYFUNCTION("""COMPUTED_VALUE"""),0.8311)</f>
        <v>0.8311</v>
      </c>
      <c r="AC234" s="320">
        <f>IFERROR(__xludf.DUMMYFUNCTION("""COMPUTED_VALUE"""),37.65)</f>
        <v>37.65</v>
      </c>
      <c r="AD234" s="320">
        <f>IFERROR(__xludf.DUMMYFUNCTION("""COMPUTED_VALUE"""),15.0)</f>
        <v>15</v>
      </c>
      <c r="AE234" s="320">
        <f>IFERROR(__xludf.DUMMYFUNCTION("""COMPUTED_VALUE"""),29.0)</f>
        <v>29</v>
      </c>
      <c r="AF234" s="320">
        <f>IFERROR(__xludf.DUMMYFUNCTION("""COMPUTED_VALUE"""),51.0)</f>
        <v>51</v>
      </c>
      <c r="AG234" s="320">
        <f>IFERROR(__xludf.DUMMYFUNCTION("""COMPUTED_VALUE"""),80.0)</f>
        <v>80</v>
      </c>
      <c r="AH234" s="320">
        <f>IFERROR(__xludf.DUMMYFUNCTION("""COMPUTED_VALUE"""),52.35)</f>
        <v>52.35</v>
      </c>
      <c r="AI234" s="320">
        <f>IFERROR(__xludf.DUMMYFUNCTION("""COMPUTED_VALUE"""),19.78)</f>
        <v>19.78</v>
      </c>
      <c r="AJ234" s="320">
        <f>IFERROR(__xludf.DUMMYFUNCTION("""COMPUTED_VALUE"""),4.88)</f>
        <v>4.88</v>
      </c>
      <c r="AK234" s="320">
        <f>IFERROR(__xludf.DUMMYFUNCTION("""COMPUTED_VALUE"""),0.1517)</f>
        <v>0.1517</v>
      </c>
      <c r="AL234" s="320">
        <f>IFERROR(__xludf.DUMMYFUNCTION("""COMPUTED_VALUE"""),22.91)</f>
        <v>22.91</v>
      </c>
      <c r="AM234" s="320">
        <f>IFERROR(__xludf.DUMMYFUNCTION("""COMPUTED_VALUE"""),175.51)</f>
        <v>175.51</v>
      </c>
      <c r="AN234" s="320">
        <f>IFERROR(__xludf.DUMMYFUNCTION("""COMPUTED_VALUE"""),80.58)</f>
        <v>80.58</v>
      </c>
      <c r="AO234" s="320">
        <f>IFERROR(__xludf.DUMMYFUNCTION("""COMPUTED_VALUE"""),18.46)</f>
        <v>18.46</v>
      </c>
    </row>
    <row r="235" ht="15.75" customHeight="1">
      <c r="A235" s="330">
        <f>IFERROR(__xludf.DUMMYFUNCTION("""COMPUTED_VALUE"""),46088.0)</f>
        <v>46088</v>
      </c>
      <c r="B235" s="319" t="str">
        <f>IFERROR(__xludf.DUMMYFUNCTION("""COMPUTED_VALUE"""),"F. 100+")</f>
        <v>F. 100+</v>
      </c>
      <c r="C235" s="320">
        <f>IFERROR(__xludf.DUMMYFUNCTION("""COMPUTED_VALUE"""),668.0)</f>
        <v>668</v>
      </c>
      <c r="D235" s="320">
        <f>IFERROR(__xludf.DUMMYFUNCTION("""COMPUTED_VALUE"""),0.64)</f>
        <v>0.64</v>
      </c>
      <c r="E235" s="320">
        <f>IFERROR(__xludf.DUMMYFUNCTION("""COMPUTED_VALUE"""),0.0)</f>
        <v>0</v>
      </c>
      <c r="F235" s="320">
        <f>IFERROR(__xludf.DUMMYFUNCTION("""COMPUTED_VALUE"""),0.0)</f>
        <v>0</v>
      </c>
      <c r="G235" s="320">
        <f>IFERROR(__xludf.DUMMYFUNCTION("""COMPUTED_VALUE"""),0.0)</f>
        <v>0</v>
      </c>
      <c r="H235" s="106"/>
      <c r="I235" s="320">
        <f>IFERROR(__xludf.DUMMYFUNCTION("""COMPUTED_VALUE"""),249.54)</f>
        <v>249.54</v>
      </c>
      <c r="J235" s="320">
        <f>IFERROR(__xludf.DUMMYFUNCTION("""COMPUTED_VALUE"""),146.02)</f>
        <v>146.02</v>
      </c>
      <c r="K235" s="320">
        <f>IFERROR(__xludf.DUMMYFUNCTION("""COMPUTED_VALUE"""),125.05)</f>
        <v>125.05</v>
      </c>
      <c r="L235" s="320">
        <f>IFERROR(__xludf.DUMMYFUNCTION("""COMPUTED_VALUE"""),0.8564)</f>
        <v>0.8564</v>
      </c>
      <c r="M235" s="320">
        <f>IFERROR(__xludf.DUMMYFUNCTION("""COMPUTED_VALUE"""),0.2939)</f>
        <v>0.2939</v>
      </c>
      <c r="N235" s="320">
        <f>IFERROR(__xludf.DUMMYFUNCTION("""COMPUTED_VALUE"""),0.2154)</f>
        <v>0.2154</v>
      </c>
      <c r="O235" s="320">
        <f>IFERROR(__xludf.DUMMYFUNCTION("""COMPUTED_VALUE"""),1.1677)</f>
        <v>1.1677</v>
      </c>
      <c r="P235" s="320">
        <f>IFERROR(__xludf.DUMMYFUNCTION("""COMPUTED_VALUE"""),602.09)</f>
        <v>602.09</v>
      </c>
      <c r="Q235" s="320">
        <f>IFERROR(__xludf.DUMMYFUNCTION("""COMPUTED_VALUE"""),335.65)</f>
        <v>335.65</v>
      </c>
      <c r="R235" s="320">
        <f>IFERROR(__xludf.DUMMYFUNCTION("""COMPUTED_VALUE"""),266.44)</f>
        <v>266.44</v>
      </c>
      <c r="S235" s="320">
        <f>IFERROR(__xludf.DUMMYFUNCTION("""COMPUTED_VALUE"""),0.0)</f>
        <v>0</v>
      </c>
      <c r="T235" s="320">
        <f>IFERROR(__xludf.DUMMYFUNCTION("""COMPUTED_VALUE"""),602.09)</f>
        <v>602.09</v>
      </c>
      <c r="U235" s="320">
        <f>IFERROR(__xludf.DUMMYFUNCTION("""COMPUTED_VALUE"""),634.51)</f>
        <v>634.51</v>
      </c>
      <c r="V235" s="320">
        <f>IFERROR(__xludf.DUMMYFUNCTION("""COMPUTED_VALUE"""),4.3453)</f>
        <v>4.3453</v>
      </c>
      <c r="W235" s="320">
        <f>IFERROR(__xludf.DUMMYFUNCTION("""COMPUTED_VALUE"""),0.0)</f>
        <v>0</v>
      </c>
      <c r="X235" s="320">
        <f>IFERROR(__xludf.DUMMYFUNCTION("""COMPUTED_VALUE"""),818.0)</f>
        <v>818</v>
      </c>
      <c r="Y235" s="320">
        <f>IFERROR(__xludf.DUMMYFUNCTION("""COMPUTED_VALUE"""),4029.0)</f>
        <v>4029</v>
      </c>
      <c r="Z235" s="320">
        <f>IFERROR(__xludf.DUMMYFUNCTION("""COMPUTED_VALUE"""),10441.0)</f>
        <v>10441</v>
      </c>
      <c r="AA235" s="320">
        <f>IFERROR(__xludf.DUMMYFUNCTION("""COMPUTED_VALUE"""),62.6764)</f>
        <v>62.6764</v>
      </c>
      <c r="AB235" s="320">
        <f>IFERROR(__xludf.DUMMYFUNCTION("""COMPUTED_VALUE"""),0.8827)</f>
        <v>0.8827</v>
      </c>
      <c r="AC235" s="320">
        <f>IFERROR(__xludf.DUMMYFUNCTION("""COMPUTED_VALUE"""),85.52)</f>
        <v>85.52</v>
      </c>
      <c r="AD235" s="320">
        <f>IFERROR(__xludf.DUMMYFUNCTION("""COMPUTED_VALUE"""),33.0)</f>
        <v>33</v>
      </c>
      <c r="AE235" s="320">
        <f>IFERROR(__xludf.DUMMYFUNCTION("""COMPUTED_VALUE"""),68.0)</f>
        <v>68</v>
      </c>
      <c r="AF235" s="320">
        <f>IFERROR(__xludf.DUMMYFUNCTION("""COMPUTED_VALUE"""),119.0)</f>
        <v>119</v>
      </c>
      <c r="AG235" s="320">
        <f>IFERROR(__xludf.DUMMYFUNCTION("""COMPUTED_VALUE"""),176.0)</f>
        <v>176</v>
      </c>
      <c r="AH235" s="320">
        <f>IFERROR(__xludf.DUMMYFUNCTION("""COMPUTED_VALUE"""),44.61)</f>
        <v>44.61</v>
      </c>
      <c r="AI235" s="320">
        <f>IFERROR(__xludf.DUMMYFUNCTION("""COMPUTED_VALUE"""),10.93)</f>
        <v>10.93</v>
      </c>
      <c r="AJ235" s="320">
        <f>IFERROR(__xludf.DUMMYFUNCTION("""COMPUTED_VALUE"""),1.65)</f>
        <v>1.65</v>
      </c>
      <c r="AK235" s="320">
        <f>IFERROR(__xludf.DUMMYFUNCTION("""COMPUTED_VALUE"""),0.1108)</f>
        <v>0.1108</v>
      </c>
      <c r="AL235" s="320">
        <f>IFERROR(__xludf.DUMMYFUNCTION("""COMPUTED_VALUE"""),22.19)</f>
        <v>22.19</v>
      </c>
      <c r="AM235" s="320">
        <f>IFERROR(__xludf.DUMMYFUNCTION("""COMPUTED_VALUE"""),313.46)</f>
        <v>313.46</v>
      </c>
      <c r="AN235" s="320">
        <f>IFERROR(__xludf.DUMMYFUNCTION("""COMPUTED_VALUE"""),83.3)</f>
        <v>83.3</v>
      </c>
      <c r="AO235" s="320">
        <f>IFERROR(__xludf.DUMMYFUNCTION("""COMPUTED_VALUE"""),18.48)</f>
        <v>18.48</v>
      </c>
    </row>
    <row r="236" ht="15.75" customHeight="1">
      <c r="A236" s="330">
        <f>IFERROR(__xludf.DUMMYFUNCTION("""COMPUTED_VALUE"""),46089.0)</f>
        <v>46089</v>
      </c>
      <c r="B236" s="319" t="str">
        <f>IFERROR(__xludf.DUMMYFUNCTION("""COMPUTED_VALUE"""),"A. 0")</f>
        <v>A. 0</v>
      </c>
      <c r="C236" s="320">
        <f>IFERROR(__xludf.DUMMYFUNCTION("""COMPUTED_VALUE"""),19613.0)</f>
        <v>19613</v>
      </c>
      <c r="D236" s="320">
        <f>IFERROR(__xludf.DUMMYFUNCTION("""COMPUTED_VALUE"""),18.45)</f>
        <v>18.45</v>
      </c>
      <c r="E236" s="320">
        <f>IFERROR(__xludf.DUMMYFUNCTION("""COMPUTED_VALUE"""),0.0)</f>
        <v>0</v>
      </c>
      <c r="F236" s="320">
        <f>IFERROR(__xludf.DUMMYFUNCTION("""COMPUTED_VALUE"""),0.0)</f>
        <v>0</v>
      </c>
      <c r="G236" s="320">
        <f>IFERROR(__xludf.DUMMYFUNCTION("""COMPUTED_VALUE"""),0.0)</f>
        <v>0</v>
      </c>
      <c r="H236" s="106"/>
      <c r="I236" s="320">
        <f>IFERROR(__xludf.DUMMYFUNCTION("""COMPUTED_VALUE"""),6.18)</f>
        <v>6.18</v>
      </c>
      <c r="J236" s="320">
        <f>IFERROR(__xludf.DUMMYFUNCTION("""COMPUTED_VALUE"""),2.51)</f>
        <v>2.51</v>
      </c>
      <c r="K236" s="320">
        <f>IFERROR(__xludf.DUMMYFUNCTION("""COMPUTED_VALUE"""),0.01)</f>
        <v>0.01</v>
      </c>
      <c r="L236" s="320">
        <f>IFERROR(__xludf.DUMMYFUNCTION("""COMPUTED_VALUE"""),0.0049)</f>
        <v>0.0049</v>
      </c>
      <c r="M236" s="320">
        <f>IFERROR(__xludf.DUMMYFUNCTION("""COMPUTED_VALUE"""),0.9965)</f>
        <v>0.9965</v>
      </c>
      <c r="N236" s="320">
        <f>IFERROR(__xludf.DUMMYFUNCTION("""COMPUTED_VALUE"""),0.9514)</f>
        <v>0.9514</v>
      </c>
      <c r="O236" s="320">
        <f>IFERROR(__xludf.DUMMYFUNCTION("""COMPUTED_VALUE"""),205.1667)</f>
        <v>205.1667</v>
      </c>
      <c r="P236" s="320">
        <f>IFERROR(__xludf.DUMMYFUNCTION("""COMPUTED_VALUE"""),23.68)</f>
        <v>23.68</v>
      </c>
      <c r="Q236" s="320">
        <f>IFERROR(__xludf.DUMMYFUNCTION("""COMPUTED_VALUE"""),23.56)</f>
        <v>23.56</v>
      </c>
      <c r="R236" s="320">
        <f>IFERROR(__xludf.DUMMYFUNCTION("""COMPUTED_VALUE"""),0.13)</f>
        <v>0.13</v>
      </c>
      <c r="S236" s="320">
        <f>IFERROR(__xludf.DUMMYFUNCTION("""COMPUTED_VALUE"""),0.0)</f>
        <v>0</v>
      </c>
      <c r="T236" s="320">
        <f>IFERROR(__xludf.DUMMYFUNCTION("""COMPUTED_VALUE"""),23.68)</f>
        <v>23.68</v>
      </c>
      <c r="U236" s="320">
        <f>IFERROR(__xludf.DUMMYFUNCTION("""COMPUTED_VALUE"""),1.75)</f>
        <v>1.75</v>
      </c>
      <c r="V236" s="320">
        <f>IFERROR(__xludf.DUMMYFUNCTION("""COMPUTED_VALUE"""),0.6986)</f>
        <v>0.6986</v>
      </c>
      <c r="W236" s="320">
        <f>IFERROR(__xludf.DUMMYFUNCTION("""COMPUTED_VALUE"""),0.0)</f>
        <v>0</v>
      </c>
      <c r="X236" s="320">
        <f>IFERROR(__xludf.DUMMYFUNCTION("""COMPUTED_VALUE"""),346.0)</f>
        <v>346</v>
      </c>
      <c r="Y236" s="320">
        <f>IFERROR(__xludf.DUMMYFUNCTION("""COMPUTED_VALUE"""),3698.0)</f>
        <v>3698</v>
      </c>
      <c r="Z236" s="320">
        <f>IFERROR(__xludf.DUMMYFUNCTION("""COMPUTED_VALUE"""),14419.0)</f>
        <v>14419</v>
      </c>
      <c r="AA236" s="320">
        <f>IFERROR(__xludf.DUMMYFUNCTION("""COMPUTED_VALUE"""),49.4289)</f>
        <v>49.4289</v>
      </c>
      <c r="AB236" s="320">
        <f>IFERROR(__xludf.DUMMYFUNCTION("""COMPUTED_VALUE"""),0.5479)</f>
        <v>0.5479</v>
      </c>
      <c r="AC236" s="106"/>
      <c r="AD236" s="106"/>
      <c r="AE236" s="106"/>
      <c r="AF236" s="106"/>
      <c r="AG236" s="106"/>
      <c r="AH236" s="320">
        <f>IFERROR(__xludf.DUMMYFUNCTION("""COMPUTED_VALUE"""),0.0)</f>
        <v>0</v>
      </c>
      <c r="AI236" s="320">
        <f>IFERROR(__xludf.DUMMYFUNCTION("""COMPUTED_VALUE"""),0.0)</f>
        <v>0</v>
      </c>
      <c r="AJ236" s="320">
        <f>IFERROR(__xludf.DUMMYFUNCTION("""COMPUTED_VALUE"""),0.0)</f>
        <v>0</v>
      </c>
      <c r="AK236" s="320">
        <f>IFERROR(__xludf.DUMMYFUNCTION("""COMPUTED_VALUE"""),0.2969)</f>
        <v>0.2969</v>
      </c>
      <c r="AL236" s="320">
        <f>IFERROR(__xludf.DUMMYFUNCTION("""COMPUTED_VALUE"""),18.77)</f>
        <v>18.77</v>
      </c>
      <c r="AM236" s="320">
        <f>IFERROR(__xludf.DUMMYFUNCTION("""COMPUTED_VALUE"""),4.78)</f>
        <v>4.78</v>
      </c>
      <c r="AN236" s="331"/>
      <c r="AO236" s="331"/>
    </row>
    <row r="237" ht="15.75" customHeight="1">
      <c r="A237" s="330">
        <f>IFERROR(__xludf.DUMMYFUNCTION("""COMPUTED_VALUE"""),46089.0)</f>
        <v>46089</v>
      </c>
      <c r="B237" s="319" t="str">
        <f>IFERROR(__xludf.DUMMYFUNCTION("""COMPUTED_VALUE"""),"B. 1-9")</f>
        <v>B. 1-9</v>
      </c>
      <c r="C237" s="320">
        <f>IFERROR(__xludf.DUMMYFUNCTION("""COMPUTED_VALUE"""),37412.0)</f>
        <v>37412</v>
      </c>
      <c r="D237" s="320">
        <f>IFERROR(__xludf.DUMMYFUNCTION("""COMPUTED_VALUE"""),35.2)</f>
        <v>35.2</v>
      </c>
      <c r="E237" s="320">
        <f>IFERROR(__xludf.DUMMYFUNCTION("""COMPUTED_VALUE"""),0.0)</f>
        <v>0</v>
      </c>
      <c r="F237" s="320">
        <f>IFERROR(__xludf.DUMMYFUNCTION("""COMPUTED_VALUE"""),0.0)</f>
        <v>0</v>
      </c>
      <c r="G237" s="320">
        <f>IFERROR(__xludf.DUMMYFUNCTION("""COMPUTED_VALUE"""),0.0)</f>
        <v>0</v>
      </c>
      <c r="H237" s="106"/>
      <c r="I237" s="320">
        <f>IFERROR(__xludf.DUMMYFUNCTION("""COMPUTED_VALUE"""),32.28)</f>
        <v>32.28</v>
      </c>
      <c r="J237" s="320">
        <f>IFERROR(__xludf.DUMMYFUNCTION("""COMPUTED_VALUE"""),14.94)</f>
        <v>14.94</v>
      </c>
      <c r="K237" s="320">
        <f>IFERROR(__xludf.DUMMYFUNCTION("""COMPUTED_VALUE"""),5.94)</f>
        <v>5.94</v>
      </c>
      <c r="L237" s="320">
        <f>IFERROR(__xludf.DUMMYFUNCTION("""COMPUTED_VALUE"""),0.3976)</f>
        <v>0.3976</v>
      </c>
      <c r="M237" s="320">
        <f>IFERROR(__xludf.DUMMYFUNCTION("""COMPUTED_VALUE"""),0.7643)</f>
        <v>0.7643</v>
      </c>
      <c r="N237" s="320">
        <f>IFERROR(__xludf.DUMMYFUNCTION("""COMPUTED_VALUE"""),0.5558)</f>
        <v>0.5558</v>
      </c>
      <c r="O237" s="320">
        <f>IFERROR(__xludf.DUMMYFUNCTION("""COMPUTED_VALUE"""),2.5153)</f>
        <v>2.5153</v>
      </c>
      <c r="P237" s="320">
        <f>IFERROR(__xludf.DUMMYFUNCTION("""COMPUTED_VALUE"""),48.24)</f>
        <v>48.24</v>
      </c>
      <c r="Q237" s="320">
        <f>IFERROR(__xludf.DUMMYFUNCTION("""COMPUTED_VALUE"""),35.91)</f>
        <v>35.91</v>
      </c>
      <c r="R237" s="320">
        <f>IFERROR(__xludf.DUMMYFUNCTION("""COMPUTED_VALUE"""),12.33)</f>
        <v>12.33</v>
      </c>
      <c r="S237" s="320">
        <f>IFERROR(__xludf.DUMMYFUNCTION("""COMPUTED_VALUE"""),0.05)</f>
        <v>0.05</v>
      </c>
      <c r="T237" s="320">
        <f>IFERROR(__xludf.DUMMYFUNCTION("""COMPUTED_VALUE"""),48.19)</f>
        <v>48.19</v>
      </c>
      <c r="U237" s="320">
        <f>IFERROR(__xludf.DUMMYFUNCTION("""COMPUTED_VALUE"""),53.09)</f>
        <v>53.09</v>
      </c>
      <c r="V237" s="320">
        <f>IFERROR(__xludf.DUMMYFUNCTION("""COMPUTED_VALUE"""),3.5546)</f>
        <v>3.5546</v>
      </c>
      <c r="W237" s="320">
        <f>IFERROR(__xludf.DUMMYFUNCTION("""COMPUTED_VALUE"""),0.11)</f>
        <v>0.11</v>
      </c>
      <c r="X237" s="320">
        <f>IFERROR(__xludf.DUMMYFUNCTION("""COMPUTED_VALUE"""),142.0)</f>
        <v>142</v>
      </c>
      <c r="Y237" s="320">
        <f>IFERROR(__xludf.DUMMYFUNCTION("""COMPUTED_VALUE"""),888.0)</f>
        <v>888</v>
      </c>
      <c r="Z237" s="320">
        <f>IFERROR(__xludf.DUMMYFUNCTION("""COMPUTED_VALUE"""),6112.0)</f>
        <v>6112</v>
      </c>
      <c r="AA237" s="320">
        <f>IFERROR(__xludf.DUMMYFUNCTION("""COMPUTED_VALUE"""),48.7963)</f>
        <v>48.7963</v>
      </c>
      <c r="AB237" s="320">
        <f>IFERROR(__xludf.DUMMYFUNCTION("""COMPUTED_VALUE"""),0.5359)</f>
        <v>0.5359</v>
      </c>
      <c r="AC237" s="320">
        <f>IFERROR(__xludf.DUMMYFUNCTION("""COMPUTED_VALUE"""),4.14)</f>
        <v>4.14</v>
      </c>
      <c r="AD237" s="320">
        <f>IFERROR(__xludf.DUMMYFUNCTION("""COMPUTED_VALUE"""),1.0)</f>
        <v>1</v>
      </c>
      <c r="AE237" s="320">
        <f>IFERROR(__xludf.DUMMYFUNCTION("""COMPUTED_VALUE"""),3.0)</f>
        <v>3</v>
      </c>
      <c r="AF237" s="320">
        <f>IFERROR(__xludf.DUMMYFUNCTION("""COMPUTED_VALUE"""),5.0)</f>
        <v>5</v>
      </c>
      <c r="AG237" s="320">
        <f>IFERROR(__xludf.DUMMYFUNCTION("""COMPUTED_VALUE"""),9.0)</f>
        <v>9</v>
      </c>
      <c r="AH237" s="320">
        <f>IFERROR(__xludf.DUMMYFUNCTION("""COMPUTED_VALUE"""),74.65)</f>
        <v>74.65</v>
      </c>
      <c r="AI237" s="320">
        <f>IFERROR(__xludf.DUMMYFUNCTION("""COMPUTED_VALUE"""),32.39)</f>
        <v>32.39</v>
      </c>
      <c r="AJ237" s="320">
        <f>IFERROR(__xludf.DUMMYFUNCTION("""COMPUTED_VALUE"""),8.98)</f>
        <v>8.98</v>
      </c>
      <c r="AK237" s="320">
        <f>IFERROR(__xludf.DUMMYFUNCTION("""COMPUTED_VALUE"""),0.2656)</f>
        <v>0.2656</v>
      </c>
      <c r="AL237" s="320">
        <f>IFERROR(__xludf.DUMMYFUNCTION("""COMPUTED_VALUE"""),20.6)</f>
        <v>20.6</v>
      </c>
      <c r="AM237" s="320">
        <f>IFERROR(__xludf.DUMMYFUNCTION("""COMPUTED_VALUE"""),15.3)</f>
        <v>15.3</v>
      </c>
      <c r="AN237" s="320">
        <f>IFERROR(__xludf.DUMMYFUNCTION("""COMPUTED_VALUE"""),65.48)</f>
        <v>65.48</v>
      </c>
      <c r="AO237" s="320">
        <f>IFERROR(__xludf.DUMMYFUNCTION("""COMPUTED_VALUE"""),13.49)</f>
        <v>13.49</v>
      </c>
    </row>
    <row r="238" ht="15.75" customHeight="1">
      <c r="A238" s="330">
        <f>IFERROR(__xludf.DUMMYFUNCTION("""COMPUTED_VALUE"""),46089.0)</f>
        <v>46089</v>
      </c>
      <c r="B238" s="319" t="str">
        <f>IFERROR(__xludf.DUMMYFUNCTION("""COMPUTED_VALUE"""),"C. 10-19")</f>
        <v>C. 10-19</v>
      </c>
      <c r="C238" s="320">
        <f>IFERROR(__xludf.DUMMYFUNCTION("""COMPUTED_VALUE"""),27399.0)</f>
        <v>27399</v>
      </c>
      <c r="D238" s="320">
        <f>IFERROR(__xludf.DUMMYFUNCTION("""COMPUTED_VALUE"""),25.78)</f>
        <v>25.78</v>
      </c>
      <c r="E238" s="320">
        <f>IFERROR(__xludf.DUMMYFUNCTION("""COMPUTED_VALUE"""),0.0)</f>
        <v>0</v>
      </c>
      <c r="F238" s="320">
        <f>IFERROR(__xludf.DUMMYFUNCTION("""COMPUTED_VALUE"""),0.0)</f>
        <v>0</v>
      </c>
      <c r="G238" s="320">
        <f>IFERROR(__xludf.DUMMYFUNCTION("""COMPUTED_VALUE"""),0.0)</f>
        <v>0</v>
      </c>
      <c r="H238" s="106"/>
      <c r="I238" s="320">
        <f>IFERROR(__xludf.DUMMYFUNCTION("""COMPUTED_VALUE"""),58.95)</f>
        <v>58.95</v>
      </c>
      <c r="J238" s="320">
        <f>IFERROR(__xludf.DUMMYFUNCTION("""COMPUTED_VALUE"""),28.65)</f>
        <v>28.65</v>
      </c>
      <c r="K238" s="320">
        <f>IFERROR(__xludf.DUMMYFUNCTION("""COMPUTED_VALUE"""),14.23)</f>
        <v>14.23</v>
      </c>
      <c r="L238" s="320">
        <f>IFERROR(__xludf.DUMMYFUNCTION("""COMPUTED_VALUE"""),0.4968)</f>
        <v>0.4968</v>
      </c>
      <c r="M238" s="320">
        <f>IFERROR(__xludf.DUMMYFUNCTION("""COMPUTED_VALUE"""),0.6818)</f>
        <v>0.6818</v>
      </c>
      <c r="N238" s="320">
        <f>IFERROR(__xludf.DUMMYFUNCTION("""COMPUTED_VALUE"""),0.4701)</f>
        <v>0.4701</v>
      </c>
      <c r="O238" s="320">
        <f>IFERROR(__xludf.DUMMYFUNCTION("""COMPUTED_VALUE"""),2.0127)</f>
        <v>2.0127</v>
      </c>
      <c r="P238" s="320">
        <f>IFERROR(__xludf.DUMMYFUNCTION("""COMPUTED_VALUE"""),79.26)</f>
        <v>79.26</v>
      </c>
      <c r="Q238" s="320">
        <f>IFERROR(__xludf.DUMMYFUNCTION("""COMPUTED_VALUE"""),49.33)</f>
        <v>49.33</v>
      </c>
      <c r="R238" s="320">
        <f>IFERROR(__xludf.DUMMYFUNCTION("""COMPUTED_VALUE"""),29.93)</f>
        <v>29.93</v>
      </c>
      <c r="S238" s="320">
        <f>IFERROR(__xludf.DUMMYFUNCTION("""COMPUTED_VALUE"""),0.1)</f>
        <v>0.1</v>
      </c>
      <c r="T238" s="320">
        <f>IFERROR(__xludf.DUMMYFUNCTION("""COMPUTED_VALUE"""),79.16)</f>
        <v>79.16</v>
      </c>
      <c r="U238" s="320">
        <f>IFERROR(__xludf.DUMMYFUNCTION("""COMPUTED_VALUE"""),93.22)</f>
        <v>93.22</v>
      </c>
      <c r="V238" s="320">
        <f>IFERROR(__xludf.DUMMYFUNCTION("""COMPUTED_VALUE"""),3.2537)</f>
        <v>3.2537</v>
      </c>
      <c r="W238" s="320">
        <f>IFERROR(__xludf.DUMMYFUNCTION("""COMPUTED_VALUE"""),0.12)</f>
        <v>0.12</v>
      </c>
      <c r="X238" s="320">
        <f>IFERROR(__xludf.DUMMYFUNCTION("""COMPUTED_VALUE"""),116.0)</f>
        <v>116</v>
      </c>
      <c r="Y238" s="320">
        <f>IFERROR(__xludf.DUMMYFUNCTION("""COMPUTED_VALUE"""),645.0)</f>
        <v>645</v>
      </c>
      <c r="Z238" s="320">
        <f>IFERROR(__xludf.DUMMYFUNCTION("""COMPUTED_VALUE"""),5012.0)</f>
        <v>5012</v>
      </c>
      <c r="AA238" s="320">
        <f>IFERROR(__xludf.DUMMYFUNCTION("""COMPUTED_VALUE"""),52.3406)</f>
        <v>52.3406</v>
      </c>
      <c r="AB238" s="320">
        <f>IFERROR(__xludf.DUMMYFUNCTION("""COMPUTED_VALUE"""),0.6357)</f>
        <v>0.6357</v>
      </c>
      <c r="AC238" s="320">
        <f>IFERROR(__xludf.DUMMYFUNCTION("""COMPUTED_VALUE"""),9.27)</f>
        <v>9.27</v>
      </c>
      <c r="AD238" s="320">
        <f>IFERROR(__xludf.DUMMYFUNCTION("""COMPUTED_VALUE"""),4.0)</f>
        <v>4</v>
      </c>
      <c r="AE238" s="320">
        <f>IFERROR(__xludf.DUMMYFUNCTION("""COMPUTED_VALUE"""),7.0)</f>
        <v>7</v>
      </c>
      <c r="AF238" s="320">
        <f>IFERROR(__xludf.DUMMYFUNCTION("""COMPUTED_VALUE"""),13.0)</f>
        <v>13</v>
      </c>
      <c r="AG238" s="320">
        <f>IFERROR(__xludf.DUMMYFUNCTION("""COMPUTED_VALUE"""),19.0)</f>
        <v>19</v>
      </c>
      <c r="AH238" s="320">
        <f>IFERROR(__xludf.DUMMYFUNCTION("""COMPUTED_VALUE"""),60.53)</f>
        <v>60.53</v>
      </c>
      <c r="AI238" s="320">
        <f>IFERROR(__xludf.DUMMYFUNCTION("""COMPUTED_VALUE"""),25.13)</f>
        <v>25.13</v>
      </c>
      <c r="AJ238" s="320">
        <f>IFERROR(__xludf.DUMMYFUNCTION("""COMPUTED_VALUE"""),4.35)</f>
        <v>4.35</v>
      </c>
      <c r="AK238" s="320">
        <f>IFERROR(__xludf.DUMMYFUNCTION("""COMPUTED_VALUE"""),0.2177)</f>
        <v>0.2177</v>
      </c>
      <c r="AL238" s="320">
        <f>IFERROR(__xludf.DUMMYFUNCTION("""COMPUTED_VALUE"""),21.46)</f>
        <v>21.46</v>
      </c>
      <c r="AM238" s="320">
        <f>IFERROR(__xludf.DUMMYFUNCTION("""COMPUTED_VALUE"""),27.87)</f>
        <v>27.87</v>
      </c>
      <c r="AN238" s="320">
        <f>IFERROR(__xludf.DUMMYFUNCTION("""COMPUTED_VALUE"""),73.34)</f>
        <v>73.34</v>
      </c>
      <c r="AO238" s="320">
        <f>IFERROR(__xludf.DUMMYFUNCTION("""COMPUTED_VALUE"""),15.74)</f>
        <v>15.74</v>
      </c>
    </row>
    <row r="239" ht="15.75" customHeight="1">
      <c r="A239" s="330">
        <f>IFERROR(__xludf.DUMMYFUNCTION("""COMPUTED_VALUE"""),46089.0)</f>
        <v>46089</v>
      </c>
      <c r="B239" s="319" t="str">
        <f>IFERROR(__xludf.DUMMYFUNCTION("""COMPUTED_VALUE"""),"D. 20-39")</f>
        <v>D. 20-39</v>
      </c>
      <c r="C239" s="320">
        <f>IFERROR(__xludf.DUMMYFUNCTION("""COMPUTED_VALUE"""),15064.0)</f>
        <v>15064</v>
      </c>
      <c r="D239" s="320">
        <f>IFERROR(__xludf.DUMMYFUNCTION("""COMPUTED_VALUE"""),14.17)</f>
        <v>14.17</v>
      </c>
      <c r="E239" s="320">
        <f>IFERROR(__xludf.DUMMYFUNCTION("""COMPUTED_VALUE"""),0.0)</f>
        <v>0</v>
      </c>
      <c r="F239" s="320">
        <f>IFERROR(__xludf.DUMMYFUNCTION("""COMPUTED_VALUE"""),0.0)</f>
        <v>0</v>
      </c>
      <c r="G239" s="320">
        <f>IFERROR(__xludf.DUMMYFUNCTION("""COMPUTED_VALUE"""),0.0)</f>
        <v>0</v>
      </c>
      <c r="H239" s="106"/>
      <c r="I239" s="320">
        <f>IFERROR(__xludf.DUMMYFUNCTION("""COMPUTED_VALUE"""),87.22)</f>
        <v>87.22</v>
      </c>
      <c r="J239" s="320">
        <f>IFERROR(__xludf.DUMMYFUNCTION("""COMPUTED_VALUE"""),44.56)</f>
        <v>44.56</v>
      </c>
      <c r="K239" s="320">
        <f>IFERROR(__xludf.DUMMYFUNCTION("""COMPUTED_VALUE"""),27.88)</f>
        <v>27.88</v>
      </c>
      <c r="L239" s="320">
        <f>IFERROR(__xludf.DUMMYFUNCTION("""COMPUTED_VALUE"""),0.6257)</f>
        <v>0.6257</v>
      </c>
      <c r="M239" s="320">
        <f>IFERROR(__xludf.DUMMYFUNCTION("""COMPUTED_VALUE"""),0.5558)</f>
        <v>0.5558</v>
      </c>
      <c r="N239" s="320">
        <f>IFERROR(__xludf.DUMMYFUNCTION("""COMPUTED_VALUE"""),0.3767)</f>
        <v>0.3767</v>
      </c>
      <c r="O239" s="320">
        <f>IFERROR(__xludf.DUMMYFUNCTION("""COMPUTED_VALUE"""),1.5981)</f>
        <v>1.5981</v>
      </c>
      <c r="P239" s="320">
        <f>IFERROR(__xludf.DUMMYFUNCTION("""COMPUTED_VALUE"""),133.32)</f>
        <v>133.32</v>
      </c>
      <c r="Q239" s="320">
        <f>IFERROR(__xludf.DUMMYFUNCTION("""COMPUTED_VALUE"""),74.43)</f>
        <v>74.43</v>
      </c>
      <c r="R239" s="320">
        <f>IFERROR(__xludf.DUMMYFUNCTION("""COMPUTED_VALUE"""),58.9)</f>
        <v>58.9</v>
      </c>
      <c r="S239" s="320">
        <f>IFERROR(__xludf.DUMMYFUNCTION("""COMPUTED_VALUE"""),0.05)</f>
        <v>0.05</v>
      </c>
      <c r="T239" s="320">
        <f>IFERROR(__xludf.DUMMYFUNCTION("""COMPUTED_VALUE"""),133.27)</f>
        <v>133.27</v>
      </c>
      <c r="U239" s="320">
        <f>IFERROR(__xludf.DUMMYFUNCTION("""COMPUTED_VALUE"""),164.73)</f>
        <v>164.73</v>
      </c>
      <c r="V239" s="320">
        <f>IFERROR(__xludf.DUMMYFUNCTION("""COMPUTED_VALUE"""),3.6969)</f>
        <v>3.6969</v>
      </c>
      <c r="W239" s="320">
        <f>IFERROR(__xludf.DUMMYFUNCTION("""COMPUTED_VALUE"""),0.04)</f>
        <v>0.04</v>
      </c>
      <c r="X239" s="320">
        <f>IFERROR(__xludf.DUMMYFUNCTION("""COMPUTED_VALUE"""),133.0)</f>
        <v>133</v>
      </c>
      <c r="Y239" s="320">
        <f>IFERROR(__xludf.DUMMYFUNCTION("""COMPUTED_VALUE"""),844.0)</f>
        <v>844</v>
      </c>
      <c r="Z239" s="320">
        <f>IFERROR(__xludf.DUMMYFUNCTION("""COMPUTED_VALUE"""),5956.0)</f>
        <v>5956</v>
      </c>
      <c r="AA239" s="320">
        <f>IFERROR(__xludf.DUMMYFUNCTION("""COMPUTED_VALUE"""),55.5475)</f>
        <v>55.5475</v>
      </c>
      <c r="AB239" s="320">
        <f>IFERROR(__xludf.DUMMYFUNCTION("""COMPUTED_VALUE"""),0.7337)</f>
        <v>0.7337</v>
      </c>
      <c r="AC239" s="320">
        <f>IFERROR(__xludf.DUMMYFUNCTION("""COMPUTED_VALUE"""),17.93)</f>
        <v>17.93</v>
      </c>
      <c r="AD239" s="320">
        <f>IFERROR(__xludf.DUMMYFUNCTION("""COMPUTED_VALUE"""),8.0)</f>
        <v>8</v>
      </c>
      <c r="AE239" s="320">
        <f>IFERROR(__xludf.DUMMYFUNCTION("""COMPUTED_VALUE"""),14.0)</f>
        <v>14</v>
      </c>
      <c r="AF239" s="320">
        <f>IFERROR(__xludf.DUMMYFUNCTION("""COMPUTED_VALUE"""),24.0)</f>
        <v>24</v>
      </c>
      <c r="AG239" s="320">
        <f>IFERROR(__xludf.DUMMYFUNCTION("""COMPUTED_VALUE"""),37.0)</f>
        <v>37</v>
      </c>
      <c r="AH239" s="320">
        <f>IFERROR(__xludf.DUMMYFUNCTION("""COMPUTED_VALUE"""),60.0)</f>
        <v>60</v>
      </c>
      <c r="AI239" s="320">
        <f>IFERROR(__xludf.DUMMYFUNCTION("""COMPUTED_VALUE"""),23.01)</f>
        <v>23.01</v>
      </c>
      <c r="AJ239" s="320">
        <f>IFERROR(__xludf.DUMMYFUNCTION("""COMPUTED_VALUE"""),7.19)</f>
        <v>7.19</v>
      </c>
      <c r="AK239" s="320">
        <f>IFERROR(__xludf.DUMMYFUNCTION("""COMPUTED_VALUE"""),0.2134)</f>
        <v>0.2134</v>
      </c>
      <c r="AL239" s="320">
        <f>IFERROR(__xludf.DUMMYFUNCTION("""COMPUTED_VALUE"""),21.35)</f>
        <v>21.35</v>
      </c>
      <c r="AM239" s="320">
        <f>IFERROR(__xludf.DUMMYFUNCTION("""COMPUTED_VALUE"""),53.08)</f>
        <v>53.08</v>
      </c>
      <c r="AN239" s="320">
        <f>IFERROR(__xludf.DUMMYFUNCTION("""COMPUTED_VALUE"""),75.03)</f>
        <v>75.03</v>
      </c>
      <c r="AO239" s="320">
        <f>IFERROR(__xludf.DUMMYFUNCTION("""COMPUTED_VALUE"""),16.02)</f>
        <v>16.02</v>
      </c>
    </row>
    <row r="240" ht="15.75" customHeight="1">
      <c r="A240" s="330">
        <f>IFERROR(__xludf.DUMMYFUNCTION("""COMPUTED_VALUE"""),46089.0)</f>
        <v>46089</v>
      </c>
      <c r="B240" s="319" t="str">
        <f>IFERROR(__xludf.DUMMYFUNCTION("""COMPUTED_VALUE"""),"E. 40-99")</f>
        <v>E. 40-99</v>
      </c>
      <c r="C240" s="320">
        <f>IFERROR(__xludf.DUMMYFUNCTION("""COMPUTED_VALUE"""),6106.0)</f>
        <v>6106</v>
      </c>
      <c r="D240" s="320">
        <f>IFERROR(__xludf.DUMMYFUNCTION("""COMPUTED_VALUE"""),5.75)</f>
        <v>5.75</v>
      </c>
      <c r="E240" s="320">
        <f>IFERROR(__xludf.DUMMYFUNCTION("""COMPUTED_VALUE"""),0.0)</f>
        <v>0</v>
      </c>
      <c r="F240" s="320">
        <f>IFERROR(__xludf.DUMMYFUNCTION("""COMPUTED_VALUE"""),0.0)</f>
        <v>0</v>
      </c>
      <c r="G240" s="320">
        <f>IFERROR(__xludf.DUMMYFUNCTION("""COMPUTED_VALUE"""),0.0)</f>
        <v>0</v>
      </c>
      <c r="H240" s="106"/>
      <c r="I240" s="320">
        <f>IFERROR(__xludf.DUMMYFUNCTION("""COMPUTED_VALUE"""),133.23)</f>
        <v>133.23</v>
      </c>
      <c r="J240" s="320">
        <f>IFERROR(__xludf.DUMMYFUNCTION("""COMPUTED_VALUE"""),73.01)</f>
        <v>73.01</v>
      </c>
      <c r="K240" s="320">
        <f>IFERROR(__xludf.DUMMYFUNCTION("""COMPUTED_VALUE"""),55.27)</f>
        <v>55.27</v>
      </c>
      <c r="L240" s="320">
        <f>IFERROR(__xludf.DUMMYFUNCTION("""COMPUTED_VALUE"""),0.757)</f>
        <v>0.757</v>
      </c>
      <c r="M240" s="320">
        <f>IFERROR(__xludf.DUMMYFUNCTION("""COMPUTED_VALUE"""),0.4143)</f>
        <v>0.4143</v>
      </c>
      <c r="N240" s="320">
        <f>IFERROR(__xludf.DUMMYFUNCTION("""COMPUTED_VALUE"""),0.287)</f>
        <v>0.287</v>
      </c>
      <c r="O240" s="320">
        <f>IFERROR(__xludf.DUMMYFUNCTION("""COMPUTED_VALUE"""),1.321)</f>
        <v>1.321</v>
      </c>
      <c r="P240" s="320">
        <f>IFERROR(__xludf.DUMMYFUNCTION("""COMPUTED_VALUE"""),230.04)</f>
        <v>230.04</v>
      </c>
      <c r="Q240" s="320">
        <f>IFERROR(__xludf.DUMMYFUNCTION("""COMPUTED_VALUE"""),113.73)</f>
        <v>113.73</v>
      </c>
      <c r="R240" s="320">
        <f>IFERROR(__xludf.DUMMYFUNCTION("""COMPUTED_VALUE"""),116.31)</f>
        <v>116.31</v>
      </c>
      <c r="S240" s="320">
        <f>IFERROR(__xludf.DUMMYFUNCTION("""COMPUTED_VALUE"""),0.02)</f>
        <v>0.02</v>
      </c>
      <c r="T240" s="320">
        <f>IFERROR(__xludf.DUMMYFUNCTION("""COMPUTED_VALUE"""),230.02)</f>
        <v>230.02</v>
      </c>
      <c r="U240" s="320">
        <f>IFERROR(__xludf.DUMMYFUNCTION("""COMPUTED_VALUE"""),303.45)</f>
        <v>303.45</v>
      </c>
      <c r="V240" s="320">
        <f>IFERROR(__xludf.DUMMYFUNCTION("""COMPUTED_VALUE"""),4.156)</f>
        <v>4.156</v>
      </c>
      <c r="W240" s="320">
        <f>IFERROR(__xludf.DUMMYFUNCTION("""COMPUTED_VALUE"""),0.01)</f>
        <v>0.01</v>
      </c>
      <c r="X240" s="320">
        <f>IFERROR(__xludf.DUMMYFUNCTION("""COMPUTED_VALUE"""),230.0)</f>
        <v>230</v>
      </c>
      <c r="Y240" s="320">
        <f>IFERROR(__xludf.DUMMYFUNCTION("""COMPUTED_VALUE"""),1993.0)</f>
        <v>1993</v>
      </c>
      <c r="Z240" s="320">
        <f>IFERROR(__xludf.DUMMYFUNCTION("""COMPUTED_VALUE"""),8821.0)</f>
        <v>8821</v>
      </c>
      <c r="AA240" s="320">
        <f>IFERROR(__xludf.DUMMYFUNCTION("""COMPUTED_VALUE"""),59.4779)</f>
        <v>59.4779</v>
      </c>
      <c r="AB240" s="320">
        <f>IFERROR(__xludf.DUMMYFUNCTION("""COMPUTED_VALUE"""),0.828)</f>
        <v>0.828</v>
      </c>
      <c r="AC240" s="320">
        <f>IFERROR(__xludf.DUMMYFUNCTION("""COMPUTED_VALUE"""),36.44)</f>
        <v>36.44</v>
      </c>
      <c r="AD240" s="320">
        <f>IFERROR(__xludf.DUMMYFUNCTION("""COMPUTED_VALUE"""),15.0)</f>
        <v>15</v>
      </c>
      <c r="AE240" s="320">
        <f>IFERROR(__xludf.DUMMYFUNCTION("""COMPUTED_VALUE"""),28.0)</f>
        <v>28</v>
      </c>
      <c r="AF240" s="320">
        <f>IFERROR(__xludf.DUMMYFUNCTION("""COMPUTED_VALUE"""),50.0)</f>
        <v>50</v>
      </c>
      <c r="AG240" s="320">
        <f>IFERROR(__xludf.DUMMYFUNCTION("""COMPUTED_VALUE"""),76.0)</f>
        <v>76</v>
      </c>
      <c r="AH240" s="320">
        <f>IFERROR(__xludf.DUMMYFUNCTION("""COMPUTED_VALUE"""),50.16)</f>
        <v>50.16</v>
      </c>
      <c r="AI240" s="320">
        <f>IFERROR(__xludf.DUMMYFUNCTION("""COMPUTED_VALUE"""),18.29)</f>
        <v>18.29</v>
      </c>
      <c r="AJ240" s="320">
        <f>IFERROR(__xludf.DUMMYFUNCTION("""COMPUTED_VALUE"""),4.44)</f>
        <v>4.44</v>
      </c>
      <c r="AK240" s="320">
        <f>IFERROR(__xludf.DUMMYFUNCTION("""COMPUTED_VALUE"""),0.1649)</f>
        <v>0.1649</v>
      </c>
      <c r="AL240" s="320">
        <f>IFERROR(__xludf.DUMMYFUNCTION("""COMPUTED_VALUE"""),21.86)</f>
        <v>21.86</v>
      </c>
      <c r="AM240" s="320">
        <f>IFERROR(__xludf.DUMMYFUNCTION("""COMPUTED_VALUE"""),91.86)</f>
        <v>91.86</v>
      </c>
      <c r="AN240" s="320">
        <f>IFERROR(__xludf.DUMMYFUNCTION("""COMPUTED_VALUE"""),79.38)</f>
        <v>79.38</v>
      </c>
      <c r="AO240" s="320">
        <f>IFERROR(__xludf.DUMMYFUNCTION("""COMPUTED_VALUE"""),17.35)</f>
        <v>17.35</v>
      </c>
    </row>
    <row r="241" ht="15.75" customHeight="1">
      <c r="A241" s="330">
        <f>IFERROR(__xludf.DUMMYFUNCTION("""COMPUTED_VALUE"""),46089.0)</f>
        <v>46089</v>
      </c>
      <c r="B241" s="319" t="str">
        <f>IFERROR(__xludf.DUMMYFUNCTION("""COMPUTED_VALUE"""),"F. 100+")</f>
        <v>F. 100+</v>
      </c>
      <c r="C241" s="320">
        <f>IFERROR(__xludf.DUMMYFUNCTION("""COMPUTED_VALUE"""),686.0)</f>
        <v>686</v>
      </c>
      <c r="D241" s="320">
        <f>IFERROR(__xludf.DUMMYFUNCTION("""COMPUTED_VALUE"""),0.65)</f>
        <v>0.65</v>
      </c>
      <c r="E241" s="320">
        <f>IFERROR(__xludf.DUMMYFUNCTION("""COMPUTED_VALUE"""),0.0)</f>
        <v>0</v>
      </c>
      <c r="F241" s="320">
        <f>IFERROR(__xludf.DUMMYFUNCTION("""COMPUTED_VALUE"""),0.0)</f>
        <v>0</v>
      </c>
      <c r="G241" s="320">
        <f>IFERROR(__xludf.DUMMYFUNCTION("""COMPUTED_VALUE"""),0.0)</f>
        <v>0</v>
      </c>
      <c r="H241" s="106"/>
      <c r="I241" s="320">
        <f>IFERROR(__xludf.DUMMYFUNCTION("""COMPUTED_VALUE"""),256.04)</f>
        <v>256.04</v>
      </c>
      <c r="J241" s="320">
        <f>IFERROR(__xludf.DUMMYFUNCTION("""COMPUTED_VALUE"""),150.24)</f>
        <v>150.24</v>
      </c>
      <c r="K241" s="320">
        <f>IFERROR(__xludf.DUMMYFUNCTION("""COMPUTED_VALUE"""),129.01)</f>
        <v>129.01</v>
      </c>
      <c r="L241" s="320">
        <f>IFERROR(__xludf.DUMMYFUNCTION("""COMPUTED_VALUE"""),0.8587)</f>
        <v>0.8587</v>
      </c>
      <c r="M241" s="320">
        <f>IFERROR(__xludf.DUMMYFUNCTION("""COMPUTED_VALUE"""),0.2925)</f>
        <v>0.2925</v>
      </c>
      <c r="N241" s="320">
        <f>IFERROR(__xludf.DUMMYFUNCTION("""COMPUTED_VALUE"""),0.2138)</f>
        <v>0.2138</v>
      </c>
      <c r="O241" s="320">
        <f>IFERROR(__xludf.DUMMYFUNCTION("""COMPUTED_VALUE"""),1.1646)</f>
        <v>1.1646</v>
      </c>
      <c r="P241" s="320">
        <f>IFERROR(__xludf.DUMMYFUNCTION("""COMPUTED_VALUE"""),448.26)</f>
        <v>448.26</v>
      </c>
      <c r="Q241" s="320">
        <f>IFERROR(__xludf.DUMMYFUNCTION("""COMPUTED_VALUE"""),172.13)</f>
        <v>172.13</v>
      </c>
      <c r="R241" s="320">
        <f>IFERROR(__xludf.DUMMYFUNCTION("""COMPUTED_VALUE"""),276.12)</f>
        <v>276.12</v>
      </c>
      <c r="S241" s="320">
        <f>IFERROR(__xludf.DUMMYFUNCTION("""COMPUTED_VALUE"""),0.0)</f>
        <v>0</v>
      </c>
      <c r="T241" s="320">
        <f>IFERROR(__xludf.DUMMYFUNCTION("""COMPUTED_VALUE"""),448.26)</f>
        <v>448.26</v>
      </c>
      <c r="U241" s="320">
        <f>IFERROR(__xludf.DUMMYFUNCTION("""COMPUTED_VALUE"""),716.47)</f>
        <v>716.47</v>
      </c>
      <c r="V241" s="320">
        <f>IFERROR(__xludf.DUMMYFUNCTION("""COMPUTED_VALUE"""),4.7688)</f>
        <v>4.7688</v>
      </c>
      <c r="W241" s="320">
        <f>IFERROR(__xludf.DUMMYFUNCTION("""COMPUTED_VALUE"""),0.0)</f>
        <v>0</v>
      </c>
      <c r="X241" s="320">
        <f>IFERROR(__xludf.DUMMYFUNCTION("""COMPUTED_VALUE"""),561.0)</f>
        <v>561</v>
      </c>
      <c r="Y241" s="320">
        <f>IFERROR(__xludf.DUMMYFUNCTION("""COMPUTED_VALUE"""),3733.0)</f>
        <v>3733</v>
      </c>
      <c r="Z241" s="320">
        <f>IFERROR(__xludf.DUMMYFUNCTION("""COMPUTED_VALUE"""),11990.0)</f>
        <v>11990</v>
      </c>
      <c r="AA241" s="320">
        <f>IFERROR(__xludf.DUMMYFUNCTION("""COMPUTED_VALUE"""),62.3731)</f>
        <v>62.3731</v>
      </c>
      <c r="AB241" s="320">
        <f>IFERROR(__xludf.DUMMYFUNCTION("""COMPUTED_VALUE"""),0.883)</f>
        <v>0.883</v>
      </c>
      <c r="AC241" s="320">
        <f>IFERROR(__xludf.DUMMYFUNCTION("""COMPUTED_VALUE"""),86.29)</f>
        <v>86.29</v>
      </c>
      <c r="AD241" s="320">
        <f>IFERROR(__xludf.DUMMYFUNCTION("""COMPUTED_VALUE"""),31.0)</f>
        <v>31</v>
      </c>
      <c r="AE241" s="320">
        <f>IFERROR(__xludf.DUMMYFUNCTION("""COMPUTED_VALUE"""),70.0)</f>
        <v>70</v>
      </c>
      <c r="AF241" s="320">
        <f>IFERROR(__xludf.DUMMYFUNCTION("""COMPUTED_VALUE"""),120.0)</f>
        <v>120</v>
      </c>
      <c r="AG241" s="320">
        <f>IFERROR(__xludf.DUMMYFUNCTION("""COMPUTED_VALUE"""),175.0)</f>
        <v>175</v>
      </c>
      <c r="AH241" s="320">
        <f>IFERROR(__xludf.DUMMYFUNCTION("""COMPUTED_VALUE"""),45.92)</f>
        <v>45.92</v>
      </c>
      <c r="AI241" s="320">
        <f>IFERROR(__xludf.DUMMYFUNCTION("""COMPUTED_VALUE"""),10.2)</f>
        <v>10.2</v>
      </c>
      <c r="AJ241" s="320">
        <f>IFERROR(__xludf.DUMMYFUNCTION("""COMPUTED_VALUE"""),1.75)</f>
        <v>1.75</v>
      </c>
      <c r="AK241" s="320">
        <f>IFERROR(__xludf.DUMMYFUNCTION("""COMPUTED_VALUE"""),0.1152)</f>
        <v>0.1152</v>
      </c>
      <c r="AL241" s="320">
        <f>IFERROR(__xludf.DUMMYFUNCTION("""COMPUTED_VALUE"""),21.76)</f>
        <v>21.76</v>
      </c>
      <c r="AM241" s="320">
        <f>IFERROR(__xludf.DUMMYFUNCTION("""COMPUTED_VALUE"""),150.37)</f>
        <v>150.37</v>
      </c>
      <c r="AN241" s="320">
        <f>IFERROR(__xludf.DUMMYFUNCTION("""COMPUTED_VALUE"""),80.57)</f>
        <v>80.57</v>
      </c>
      <c r="AO241" s="320">
        <f>IFERROR(__xludf.DUMMYFUNCTION("""COMPUTED_VALUE"""),17.53)</f>
        <v>17.53</v>
      </c>
    </row>
    <row r="242" ht="15.75" customHeight="1">
      <c r="A242" s="330">
        <f>IFERROR(__xludf.DUMMYFUNCTION("""COMPUTED_VALUE"""),46090.0)</f>
        <v>46090</v>
      </c>
      <c r="B242" s="319" t="str">
        <f>IFERROR(__xludf.DUMMYFUNCTION("""COMPUTED_VALUE"""),"A. 0")</f>
        <v>A. 0</v>
      </c>
      <c r="C242" s="320">
        <f>IFERROR(__xludf.DUMMYFUNCTION("""COMPUTED_VALUE"""),19555.0)</f>
        <v>19555</v>
      </c>
      <c r="D242" s="320">
        <f>IFERROR(__xludf.DUMMYFUNCTION("""COMPUTED_VALUE"""),17.59)</f>
        <v>17.59</v>
      </c>
      <c r="E242" s="320">
        <f>IFERROR(__xludf.DUMMYFUNCTION("""COMPUTED_VALUE"""),0.0)</f>
        <v>0</v>
      </c>
      <c r="F242" s="320">
        <f>IFERROR(__xludf.DUMMYFUNCTION("""COMPUTED_VALUE"""),0.0)</f>
        <v>0</v>
      </c>
      <c r="G242" s="320">
        <f>IFERROR(__xludf.DUMMYFUNCTION("""COMPUTED_VALUE"""),0.0)</f>
        <v>0</v>
      </c>
      <c r="H242" s="106"/>
      <c r="I242" s="320">
        <f>IFERROR(__xludf.DUMMYFUNCTION("""COMPUTED_VALUE"""),5.52)</f>
        <v>5.52</v>
      </c>
      <c r="J242" s="320">
        <f>IFERROR(__xludf.DUMMYFUNCTION("""COMPUTED_VALUE"""),2.2)</f>
        <v>2.2</v>
      </c>
      <c r="K242" s="320">
        <f>IFERROR(__xludf.DUMMYFUNCTION("""COMPUTED_VALUE"""),0.09)</f>
        <v>0.09</v>
      </c>
      <c r="L242" s="320">
        <f>IFERROR(__xludf.DUMMYFUNCTION("""COMPUTED_VALUE"""),0.0428)</f>
        <v>0.0428</v>
      </c>
      <c r="M242" s="320">
        <f>IFERROR(__xludf.DUMMYFUNCTION("""COMPUTED_VALUE"""),0.9652)</f>
        <v>0.9652</v>
      </c>
      <c r="N242" s="320">
        <f>IFERROR(__xludf.DUMMYFUNCTION("""COMPUTED_VALUE"""),0.7067)</f>
        <v>0.7067</v>
      </c>
      <c r="O242" s="320">
        <f>IFERROR(__xludf.DUMMYFUNCTION("""COMPUTED_VALUE"""),23.3826)</f>
        <v>23.3826</v>
      </c>
      <c r="P242" s="320">
        <f>IFERROR(__xludf.DUMMYFUNCTION("""COMPUTED_VALUE"""),33.39)</f>
        <v>33.39</v>
      </c>
      <c r="Q242" s="320">
        <f>IFERROR(__xludf.DUMMYFUNCTION("""COMPUTED_VALUE"""),33.29)</f>
        <v>33.29</v>
      </c>
      <c r="R242" s="320">
        <f>IFERROR(__xludf.DUMMYFUNCTION("""COMPUTED_VALUE"""),0.1)</f>
        <v>0.1</v>
      </c>
      <c r="S242" s="320">
        <f>IFERROR(__xludf.DUMMYFUNCTION("""COMPUTED_VALUE"""),0.0)</f>
        <v>0</v>
      </c>
      <c r="T242" s="320">
        <f>IFERROR(__xludf.DUMMYFUNCTION("""COMPUTED_VALUE"""),33.39)</f>
        <v>33.39</v>
      </c>
      <c r="U242" s="320">
        <f>IFERROR(__xludf.DUMMYFUNCTION("""COMPUTED_VALUE"""),1.8)</f>
        <v>1.8</v>
      </c>
      <c r="V242" s="320">
        <f>IFERROR(__xludf.DUMMYFUNCTION("""COMPUTED_VALUE"""),0.817)</f>
        <v>0.817</v>
      </c>
      <c r="W242" s="320">
        <f>IFERROR(__xludf.DUMMYFUNCTION("""COMPUTED_VALUE"""),0.0)</f>
        <v>0</v>
      </c>
      <c r="X242" s="320">
        <f>IFERROR(__xludf.DUMMYFUNCTION("""COMPUTED_VALUE"""),433.0)</f>
        <v>433</v>
      </c>
      <c r="Y242" s="320">
        <f>IFERROR(__xludf.DUMMYFUNCTION("""COMPUTED_VALUE"""),4402.0)</f>
        <v>4402</v>
      </c>
      <c r="Z242" s="320">
        <f>IFERROR(__xludf.DUMMYFUNCTION("""COMPUTED_VALUE"""),15798.0)</f>
        <v>15798</v>
      </c>
      <c r="AA242" s="320">
        <f>IFERROR(__xludf.DUMMYFUNCTION("""COMPUTED_VALUE"""),49.6996)</f>
        <v>49.6996</v>
      </c>
      <c r="AB242" s="320">
        <f>IFERROR(__xludf.DUMMYFUNCTION("""COMPUTED_VALUE"""),0.554)</f>
        <v>0.554</v>
      </c>
      <c r="AC242" s="106"/>
      <c r="AD242" s="106"/>
      <c r="AE242" s="106"/>
      <c r="AF242" s="106"/>
      <c r="AG242" s="106"/>
      <c r="AH242" s="320">
        <f>IFERROR(__xludf.DUMMYFUNCTION("""COMPUTED_VALUE"""),0.0)</f>
        <v>0</v>
      </c>
      <c r="AI242" s="320">
        <f>IFERROR(__xludf.DUMMYFUNCTION("""COMPUTED_VALUE"""),0.0)</f>
        <v>0</v>
      </c>
      <c r="AJ242" s="320">
        <f>IFERROR(__xludf.DUMMYFUNCTION("""COMPUTED_VALUE"""),0.0)</f>
        <v>0</v>
      </c>
      <c r="AK242" s="320">
        <f>IFERROR(__xludf.DUMMYFUNCTION("""COMPUTED_VALUE"""),0.2773)</f>
        <v>0.2773</v>
      </c>
      <c r="AL242" s="320">
        <f>IFERROR(__xludf.DUMMYFUNCTION("""COMPUTED_VALUE"""),16.79)</f>
        <v>16.79</v>
      </c>
      <c r="AM242" s="320">
        <f>IFERROR(__xludf.DUMMYFUNCTION("""COMPUTED_VALUE"""),16.5)</f>
        <v>16.5</v>
      </c>
      <c r="AN242" s="331"/>
      <c r="AO242" s="331"/>
    </row>
    <row r="243" ht="15.75" customHeight="1">
      <c r="A243" s="330">
        <f>IFERROR(__xludf.DUMMYFUNCTION("""COMPUTED_VALUE"""),46090.0)</f>
        <v>46090</v>
      </c>
      <c r="B243" s="319" t="str">
        <f>IFERROR(__xludf.DUMMYFUNCTION("""COMPUTED_VALUE"""),"B. 1-9")</f>
        <v>B. 1-9</v>
      </c>
      <c r="C243" s="320">
        <f>IFERROR(__xludf.DUMMYFUNCTION("""COMPUTED_VALUE"""),37840.0)</f>
        <v>37840</v>
      </c>
      <c r="D243" s="320">
        <f>IFERROR(__xludf.DUMMYFUNCTION("""COMPUTED_VALUE"""),34.04)</f>
        <v>34.04</v>
      </c>
      <c r="E243" s="320">
        <f>IFERROR(__xludf.DUMMYFUNCTION("""COMPUTED_VALUE"""),0.0)</f>
        <v>0</v>
      </c>
      <c r="F243" s="320">
        <f>IFERROR(__xludf.DUMMYFUNCTION("""COMPUTED_VALUE"""),0.0)</f>
        <v>0</v>
      </c>
      <c r="G243" s="320">
        <f>IFERROR(__xludf.DUMMYFUNCTION("""COMPUTED_VALUE"""),0.0)</f>
        <v>0</v>
      </c>
      <c r="H243" s="106"/>
      <c r="I243" s="320">
        <f>IFERROR(__xludf.DUMMYFUNCTION("""COMPUTED_VALUE"""),31.79)</f>
        <v>31.79</v>
      </c>
      <c r="J243" s="320">
        <f>IFERROR(__xludf.DUMMYFUNCTION("""COMPUTED_VALUE"""),14.41)</f>
        <v>14.41</v>
      </c>
      <c r="K243" s="320">
        <f>IFERROR(__xludf.DUMMYFUNCTION("""COMPUTED_VALUE"""),5.78)</f>
        <v>5.78</v>
      </c>
      <c r="L243" s="320">
        <f>IFERROR(__xludf.DUMMYFUNCTION("""COMPUTED_VALUE"""),0.4013)</f>
        <v>0.4013</v>
      </c>
      <c r="M243" s="320">
        <f>IFERROR(__xludf.DUMMYFUNCTION("""COMPUTED_VALUE"""),0.7668)</f>
        <v>0.7668</v>
      </c>
      <c r="N243" s="320">
        <f>IFERROR(__xludf.DUMMYFUNCTION("""COMPUTED_VALUE"""),0.5686)</f>
        <v>0.5686</v>
      </c>
      <c r="O243" s="320">
        <f>IFERROR(__xludf.DUMMYFUNCTION("""COMPUTED_VALUE"""),2.4922)</f>
        <v>2.4922</v>
      </c>
      <c r="P243" s="320">
        <f>IFERROR(__xludf.DUMMYFUNCTION("""COMPUTED_VALUE"""),71.77)</f>
        <v>71.77</v>
      </c>
      <c r="Q243" s="320">
        <f>IFERROR(__xludf.DUMMYFUNCTION("""COMPUTED_VALUE"""),59.95)</f>
        <v>59.95</v>
      </c>
      <c r="R243" s="320">
        <f>IFERROR(__xludf.DUMMYFUNCTION("""COMPUTED_VALUE"""),11.82)</f>
        <v>11.82</v>
      </c>
      <c r="S243" s="320">
        <f>IFERROR(__xludf.DUMMYFUNCTION("""COMPUTED_VALUE"""),0.02)</f>
        <v>0.02</v>
      </c>
      <c r="T243" s="320">
        <f>IFERROR(__xludf.DUMMYFUNCTION("""COMPUTED_VALUE"""),71.75)</f>
        <v>71.75</v>
      </c>
      <c r="U243" s="320">
        <f>IFERROR(__xludf.DUMMYFUNCTION("""COMPUTED_VALUE"""),59.22)</f>
        <v>59.22</v>
      </c>
      <c r="V243" s="320">
        <f>IFERROR(__xludf.DUMMYFUNCTION("""COMPUTED_VALUE"""),4.1088)</f>
        <v>4.1088</v>
      </c>
      <c r="W243" s="320">
        <f>IFERROR(__xludf.DUMMYFUNCTION("""COMPUTED_VALUE"""),0.03)</f>
        <v>0.03</v>
      </c>
      <c r="X243" s="320">
        <f>IFERROR(__xludf.DUMMYFUNCTION("""COMPUTED_VALUE"""),153.0)</f>
        <v>153</v>
      </c>
      <c r="Y243" s="320">
        <f>IFERROR(__xludf.DUMMYFUNCTION("""COMPUTED_VALUE"""),911.0)</f>
        <v>911</v>
      </c>
      <c r="Z243" s="320">
        <f>IFERROR(__xludf.DUMMYFUNCTION("""COMPUTED_VALUE"""),5843.0)</f>
        <v>5843</v>
      </c>
      <c r="AA243" s="320">
        <f>IFERROR(__xludf.DUMMYFUNCTION("""COMPUTED_VALUE"""),48.887)</f>
        <v>48.887</v>
      </c>
      <c r="AB243" s="320">
        <f>IFERROR(__xludf.DUMMYFUNCTION("""COMPUTED_VALUE"""),0.5277)</f>
        <v>0.5277</v>
      </c>
      <c r="AC243" s="320">
        <f>IFERROR(__xludf.DUMMYFUNCTION("""COMPUTED_VALUE"""),3.98)</f>
        <v>3.98</v>
      </c>
      <c r="AD243" s="320">
        <f>IFERROR(__xludf.DUMMYFUNCTION("""COMPUTED_VALUE"""),1.0)</f>
        <v>1</v>
      </c>
      <c r="AE243" s="320">
        <f>IFERROR(__xludf.DUMMYFUNCTION("""COMPUTED_VALUE"""),3.0)</f>
        <v>3</v>
      </c>
      <c r="AF243" s="320">
        <f>IFERROR(__xludf.DUMMYFUNCTION("""COMPUTED_VALUE"""),5.0)</f>
        <v>5</v>
      </c>
      <c r="AG243" s="320">
        <f>IFERROR(__xludf.DUMMYFUNCTION("""COMPUTED_VALUE"""),9.0)</f>
        <v>9</v>
      </c>
      <c r="AH243" s="320">
        <f>IFERROR(__xludf.DUMMYFUNCTION("""COMPUTED_VALUE"""),74.0)</f>
        <v>74</v>
      </c>
      <c r="AI243" s="320">
        <f>IFERROR(__xludf.DUMMYFUNCTION("""COMPUTED_VALUE"""),30.89)</f>
        <v>30.89</v>
      </c>
      <c r="AJ243" s="320">
        <f>IFERROR(__xludf.DUMMYFUNCTION("""COMPUTED_VALUE"""),8.01)</f>
        <v>8.01</v>
      </c>
      <c r="AK243" s="320">
        <f>IFERROR(__xludf.DUMMYFUNCTION("""COMPUTED_VALUE"""),0.2387)</f>
        <v>0.2387</v>
      </c>
      <c r="AL243" s="320">
        <f>IFERROR(__xludf.DUMMYFUNCTION("""COMPUTED_VALUE"""),18.27)</f>
        <v>18.27</v>
      </c>
      <c r="AM243" s="320">
        <f>IFERROR(__xludf.DUMMYFUNCTION("""COMPUTED_VALUE"""),41.69)</f>
        <v>41.69</v>
      </c>
      <c r="AN243" s="320">
        <f>IFERROR(__xludf.DUMMYFUNCTION("""COMPUTED_VALUE"""),66.1)</f>
        <v>66.1</v>
      </c>
      <c r="AO243" s="320">
        <f>IFERROR(__xludf.DUMMYFUNCTION("""COMPUTED_VALUE"""),12.08)</f>
        <v>12.08</v>
      </c>
    </row>
    <row r="244" ht="15.75" customHeight="1">
      <c r="A244" s="330">
        <f>IFERROR(__xludf.DUMMYFUNCTION("""COMPUTED_VALUE"""),46090.0)</f>
        <v>46090</v>
      </c>
      <c r="B244" s="319" t="str">
        <f>IFERROR(__xludf.DUMMYFUNCTION("""COMPUTED_VALUE"""),"C. 10-19")</f>
        <v>C. 10-19</v>
      </c>
      <c r="C244" s="320">
        <f>IFERROR(__xludf.DUMMYFUNCTION("""COMPUTED_VALUE"""),29745.0)</f>
        <v>29745</v>
      </c>
      <c r="D244" s="320">
        <f>IFERROR(__xludf.DUMMYFUNCTION("""COMPUTED_VALUE"""),26.75)</f>
        <v>26.75</v>
      </c>
      <c r="E244" s="320">
        <f>IFERROR(__xludf.DUMMYFUNCTION("""COMPUTED_VALUE"""),0.0)</f>
        <v>0</v>
      </c>
      <c r="F244" s="320">
        <f>IFERROR(__xludf.DUMMYFUNCTION("""COMPUTED_VALUE"""),0.0)</f>
        <v>0</v>
      </c>
      <c r="G244" s="320">
        <f>IFERROR(__xludf.DUMMYFUNCTION("""COMPUTED_VALUE"""),0.0)</f>
        <v>0</v>
      </c>
      <c r="H244" s="106"/>
      <c r="I244" s="320">
        <f>IFERROR(__xludf.DUMMYFUNCTION("""COMPUTED_VALUE"""),59.68)</f>
        <v>59.68</v>
      </c>
      <c r="J244" s="320">
        <f>IFERROR(__xludf.DUMMYFUNCTION("""COMPUTED_VALUE"""),28.2)</f>
        <v>28.2</v>
      </c>
      <c r="K244" s="320">
        <f>IFERROR(__xludf.DUMMYFUNCTION("""COMPUTED_VALUE"""),14.44)</f>
        <v>14.44</v>
      </c>
      <c r="L244" s="320">
        <f>IFERROR(__xludf.DUMMYFUNCTION("""COMPUTED_VALUE"""),0.5121)</f>
        <v>0.5121</v>
      </c>
      <c r="M244" s="320">
        <f>IFERROR(__xludf.DUMMYFUNCTION("""COMPUTED_VALUE"""),0.6804)</f>
        <v>0.6804</v>
      </c>
      <c r="N244" s="320">
        <f>IFERROR(__xludf.DUMMYFUNCTION("""COMPUTED_VALUE"""),0.48)</f>
        <v>0.48</v>
      </c>
      <c r="O244" s="320">
        <f>IFERROR(__xludf.DUMMYFUNCTION("""COMPUTED_VALUE"""),1.9528)</f>
        <v>1.9528</v>
      </c>
      <c r="P244" s="320">
        <f>IFERROR(__xludf.DUMMYFUNCTION("""COMPUTED_VALUE"""),126.79)</f>
        <v>126.79</v>
      </c>
      <c r="Q244" s="320">
        <f>IFERROR(__xludf.DUMMYFUNCTION("""COMPUTED_VALUE"""),98.18)</f>
        <v>98.18</v>
      </c>
      <c r="R244" s="320">
        <f>IFERROR(__xludf.DUMMYFUNCTION("""COMPUTED_VALUE"""),28.61)</f>
        <v>28.61</v>
      </c>
      <c r="S244" s="320">
        <f>IFERROR(__xludf.DUMMYFUNCTION("""COMPUTED_VALUE"""),0.04)</f>
        <v>0.04</v>
      </c>
      <c r="T244" s="320">
        <f>IFERROR(__xludf.DUMMYFUNCTION("""COMPUTED_VALUE"""),126.74)</f>
        <v>126.74</v>
      </c>
      <c r="U244" s="320">
        <f>IFERROR(__xludf.DUMMYFUNCTION("""COMPUTED_VALUE"""),112.46)</f>
        <v>112.46</v>
      </c>
      <c r="V244" s="320">
        <f>IFERROR(__xludf.DUMMYFUNCTION("""COMPUTED_VALUE"""),3.9884)</f>
        <v>3.9884</v>
      </c>
      <c r="W244" s="320">
        <f>IFERROR(__xludf.DUMMYFUNCTION("""COMPUTED_VALUE"""),0.03)</f>
        <v>0.03</v>
      </c>
      <c r="X244" s="320">
        <f>IFERROR(__xludf.DUMMYFUNCTION("""COMPUTED_VALUE"""),139.0)</f>
        <v>139</v>
      </c>
      <c r="Y244" s="320">
        <f>IFERROR(__xludf.DUMMYFUNCTION("""COMPUTED_VALUE"""),715.0)</f>
        <v>715</v>
      </c>
      <c r="Z244" s="320">
        <f>IFERROR(__xludf.DUMMYFUNCTION("""COMPUTED_VALUE"""),5577.0)</f>
        <v>5577</v>
      </c>
      <c r="AA244" s="320">
        <f>IFERROR(__xludf.DUMMYFUNCTION("""COMPUTED_VALUE"""),52.1061)</f>
        <v>52.1061</v>
      </c>
      <c r="AB244" s="320">
        <f>IFERROR(__xludf.DUMMYFUNCTION("""COMPUTED_VALUE"""),0.5883)</f>
        <v>0.5883</v>
      </c>
      <c r="AC244" s="320">
        <f>IFERROR(__xludf.DUMMYFUNCTION("""COMPUTED_VALUE"""),9.22)</f>
        <v>9.22</v>
      </c>
      <c r="AD244" s="320">
        <f>IFERROR(__xludf.DUMMYFUNCTION("""COMPUTED_VALUE"""),4.0)</f>
        <v>4</v>
      </c>
      <c r="AE244" s="320">
        <f>IFERROR(__xludf.DUMMYFUNCTION("""COMPUTED_VALUE"""),7.0)</f>
        <v>7</v>
      </c>
      <c r="AF244" s="320">
        <f>IFERROR(__xludf.DUMMYFUNCTION("""COMPUTED_VALUE"""),13.0)</f>
        <v>13</v>
      </c>
      <c r="AG244" s="320">
        <f>IFERROR(__xludf.DUMMYFUNCTION("""COMPUTED_VALUE"""),19.0)</f>
        <v>19</v>
      </c>
      <c r="AH244" s="320">
        <f>IFERROR(__xludf.DUMMYFUNCTION("""COMPUTED_VALUE"""),60.18)</f>
        <v>60.18</v>
      </c>
      <c r="AI244" s="320">
        <f>IFERROR(__xludf.DUMMYFUNCTION("""COMPUTED_VALUE"""),25.15)</f>
        <v>25.15</v>
      </c>
      <c r="AJ244" s="320">
        <f>IFERROR(__xludf.DUMMYFUNCTION("""COMPUTED_VALUE"""),4.2)</f>
        <v>4.2</v>
      </c>
      <c r="AK244" s="320">
        <f>IFERROR(__xludf.DUMMYFUNCTION("""COMPUTED_VALUE"""),0.1821)</f>
        <v>0.1821</v>
      </c>
      <c r="AL244" s="320">
        <f>IFERROR(__xludf.DUMMYFUNCTION("""COMPUTED_VALUE"""),19.12)</f>
        <v>19.12</v>
      </c>
      <c r="AM244" s="320">
        <f>IFERROR(__xludf.DUMMYFUNCTION("""COMPUTED_VALUE"""),79.05)</f>
        <v>79.05</v>
      </c>
      <c r="AN244" s="320">
        <f>IFERROR(__xludf.DUMMYFUNCTION("""COMPUTED_VALUE"""),72.24)</f>
        <v>72.24</v>
      </c>
      <c r="AO244" s="320">
        <f>IFERROR(__xludf.DUMMYFUNCTION("""COMPUTED_VALUE"""),13.81)</f>
        <v>13.81</v>
      </c>
    </row>
    <row r="245" ht="15.75" customHeight="1">
      <c r="A245" s="330">
        <f>IFERROR(__xludf.DUMMYFUNCTION("""COMPUTED_VALUE"""),46090.0)</f>
        <v>46090</v>
      </c>
      <c r="B245" s="319" t="str">
        <f>IFERROR(__xludf.DUMMYFUNCTION("""COMPUTED_VALUE"""),"D. 20-39")</f>
        <v>D. 20-39</v>
      </c>
      <c r="C245" s="320">
        <f>IFERROR(__xludf.DUMMYFUNCTION("""COMPUTED_VALUE"""),16607.0)</f>
        <v>16607</v>
      </c>
      <c r="D245" s="320">
        <f>IFERROR(__xludf.DUMMYFUNCTION("""COMPUTED_VALUE"""),14.94)</f>
        <v>14.94</v>
      </c>
      <c r="E245" s="320">
        <f>IFERROR(__xludf.DUMMYFUNCTION("""COMPUTED_VALUE"""),0.0)</f>
        <v>0</v>
      </c>
      <c r="F245" s="320">
        <f>IFERROR(__xludf.DUMMYFUNCTION("""COMPUTED_VALUE"""),0.0)</f>
        <v>0</v>
      </c>
      <c r="G245" s="320">
        <f>IFERROR(__xludf.DUMMYFUNCTION("""COMPUTED_VALUE"""),0.0)</f>
        <v>0</v>
      </c>
      <c r="H245" s="106"/>
      <c r="I245" s="320">
        <f>IFERROR(__xludf.DUMMYFUNCTION("""COMPUTED_VALUE"""),90.01)</f>
        <v>90.01</v>
      </c>
      <c r="J245" s="320">
        <f>IFERROR(__xludf.DUMMYFUNCTION("""COMPUTED_VALUE"""),44.64)</f>
        <v>44.64</v>
      </c>
      <c r="K245" s="320">
        <f>IFERROR(__xludf.DUMMYFUNCTION("""COMPUTED_VALUE"""),29.28)</f>
        <v>29.28</v>
      </c>
      <c r="L245" s="320">
        <f>IFERROR(__xludf.DUMMYFUNCTION("""COMPUTED_VALUE"""),0.6559)</f>
        <v>0.6559</v>
      </c>
      <c r="M245" s="320">
        <f>IFERROR(__xludf.DUMMYFUNCTION("""COMPUTED_VALUE"""),0.5442)</f>
        <v>0.5442</v>
      </c>
      <c r="N245" s="320">
        <f>IFERROR(__xludf.DUMMYFUNCTION("""COMPUTED_VALUE"""),0.3812)</f>
        <v>0.3812</v>
      </c>
      <c r="O245" s="320">
        <f>IFERROR(__xludf.DUMMYFUNCTION("""COMPUTED_VALUE"""),1.5246)</f>
        <v>1.5246</v>
      </c>
      <c r="P245" s="320">
        <f>IFERROR(__xludf.DUMMYFUNCTION("""COMPUTED_VALUE"""),218.5)</f>
        <v>218.5</v>
      </c>
      <c r="Q245" s="320">
        <f>IFERROR(__xludf.DUMMYFUNCTION("""COMPUTED_VALUE"""),161.43)</f>
        <v>161.43</v>
      </c>
      <c r="R245" s="320">
        <f>IFERROR(__xludf.DUMMYFUNCTION("""COMPUTED_VALUE"""),57.06)</f>
        <v>57.06</v>
      </c>
      <c r="S245" s="320">
        <f>IFERROR(__xludf.DUMMYFUNCTION("""COMPUTED_VALUE"""),0.78)</f>
        <v>0.78</v>
      </c>
      <c r="T245" s="320">
        <f>IFERROR(__xludf.DUMMYFUNCTION("""COMPUTED_VALUE"""),217.72)</f>
        <v>217.72</v>
      </c>
      <c r="U245" s="320">
        <f>IFERROR(__xludf.DUMMYFUNCTION("""COMPUTED_VALUE"""),198.99)</f>
        <v>198.99</v>
      </c>
      <c r="V245" s="320">
        <f>IFERROR(__xludf.DUMMYFUNCTION("""COMPUTED_VALUE"""),4.4572)</f>
        <v>4.4572</v>
      </c>
      <c r="W245" s="320">
        <f>IFERROR(__xludf.DUMMYFUNCTION("""COMPUTED_VALUE"""),0.36)</f>
        <v>0.36</v>
      </c>
      <c r="X245" s="320">
        <f>IFERROR(__xludf.DUMMYFUNCTION("""COMPUTED_VALUE"""),167.0)</f>
        <v>167</v>
      </c>
      <c r="Y245" s="320">
        <f>IFERROR(__xludf.DUMMYFUNCTION("""COMPUTED_VALUE"""),1008.0)</f>
        <v>1008</v>
      </c>
      <c r="Z245" s="320">
        <f>IFERROR(__xludf.DUMMYFUNCTION("""COMPUTED_VALUE"""),7660.0)</f>
        <v>7660</v>
      </c>
      <c r="AA245" s="320">
        <f>IFERROR(__xludf.DUMMYFUNCTION("""COMPUTED_VALUE"""),55.2321)</f>
        <v>55.2321</v>
      </c>
      <c r="AB245" s="320">
        <f>IFERROR(__xludf.DUMMYFUNCTION("""COMPUTED_VALUE"""),0.6568)</f>
        <v>0.6568</v>
      </c>
      <c r="AC245" s="320">
        <f>IFERROR(__xludf.DUMMYFUNCTION("""COMPUTED_VALUE"""),18.19)</f>
        <v>18.19</v>
      </c>
      <c r="AD245" s="320">
        <f>IFERROR(__xludf.DUMMYFUNCTION("""COMPUTED_VALUE"""),8.0)</f>
        <v>8</v>
      </c>
      <c r="AE245" s="320">
        <f>IFERROR(__xludf.DUMMYFUNCTION("""COMPUTED_VALUE"""),15.0)</f>
        <v>15</v>
      </c>
      <c r="AF245" s="320">
        <f>IFERROR(__xludf.DUMMYFUNCTION("""COMPUTED_VALUE"""),25.0)</f>
        <v>25</v>
      </c>
      <c r="AG245" s="320">
        <f>IFERROR(__xludf.DUMMYFUNCTION("""COMPUTED_VALUE"""),37.0)</f>
        <v>37</v>
      </c>
      <c r="AH245" s="320">
        <f>IFERROR(__xludf.DUMMYFUNCTION("""COMPUTED_VALUE"""),62.57)</f>
        <v>62.57</v>
      </c>
      <c r="AI245" s="320">
        <f>IFERROR(__xludf.DUMMYFUNCTION("""COMPUTED_VALUE"""),24.56)</f>
        <v>24.56</v>
      </c>
      <c r="AJ245" s="320">
        <f>IFERROR(__xludf.DUMMYFUNCTION("""COMPUTED_VALUE"""),5.62)</f>
        <v>5.62</v>
      </c>
      <c r="AK245" s="320">
        <f>IFERROR(__xludf.DUMMYFUNCTION("""COMPUTED_VALUE"""),0.1607)</f>
        <v>0.1607</v>
      </c>
      <c r="AL245" s="320">
        <f>IFERROR(__xludf.DUMMYFUNCTION("""COMPUTED_VALUE"""),19.68)</f>
        <v>19.68</v>
      </c>
      <c r="AM245" s="320">
        <f>IFERROR(__xludf.DUMMYFUNCTION("""COMPUTED_VALUE"""),141.76)</f>
        <v>141.76</v>
      </c>
      <c r="AN245" s="320">
        <f>IFERROR(__xludf.DUMMYFUNCTION("""COMPUTED_VALUE"""),71.98)</f>
        <v>71.98</v>
      </c>
      <c r="AO245" s="320">
        <f>IFERROR(__xludf.DUMMYFUNCTION("""COMPUTED_VALUE"""),14.17)</f>
        <v>14.17</v>
      </c>
    </row>
    <row r="246" ht="15.75" customHeight="1">
      <c r="A246" s="330">
        <f>IFERROR(__xludf.DUMMYFUNCTION("""COMPUTED_VALUE"""),46090.0)</f>
        <v>46090</v>
      </c>
      <c r="B246" s="319" t="str">
        <f>IFERROR(__xludf.DUMMYFUNCTION("""COMPUTED_VALUE"""),"E. 40-99")</f>
        <v>E. 40-99</v>
      </c>
      <c r="C246" s="320">
        <f>IFERROR(__xludf.DUMMYFUNCTION("""COMPUTED_VALUE"""),6774.0)</f>
        <v>6774</v>
      </c>
      <c r="D246" s="320">
        <f>IFERROR(__xludf.DUMMYFUNCTION("""COMPUTED_VALUE"""),6.09)</f>
        <v>6.09</v>
      </c>
      <c r="E246" s="320">
        <f>IFERROR(__xludf.DUMMYFUNCTION("""COMPUTED_VALUE"""),0.0)</f>
        <v>0</v>
      </c>
      <c r="F246" s="320">
        <f>IFERROR(__xludf.DUMMYFUNCTION("""COMPUTED_VALUE"""),0.0)</f>
        <v>0</v>
      </c>
      <c r="G246" s="320">
        <f>IFERROR(__xludf.DUMMYFUNCTION("""COMPUTED_VALUE"""),0.0)</f>
        <v>0</v>
      </c>
      <c r="H246" s="106"/>
      <c r="I246" s="320">
        <f>IFERROR(__xludf.DUMMYFUNCTION("""COMPUTED_VALUE"""),144.09)</f>
        <v>144.09</v>
      </c>
      <c r="J246" s="320">
        <f>IFERROR(__xludf.DUMMYFUNCTION("""COMPUTED_VALUE"""),76.6)</f>
        <v>76.6</v>
      </c>
      <c r="K246" s="320">
        <f>IFERROR(__xludf.DUMMYFUNCTION("""COMPUTED_VALUE"""),60.09)</f>
        <v>60.09</v>
      </c>
      <c r="L246" s="320">
        <f>IFERROR(__xludf.DUMMYFUNCTION("""COMPUTED_VALUE"""),0.7845)</f>
        <v>0.7845</v>
      </c>
      <c r="M246" s="320">
        <f>IFERROR(__xludf.DUMMYFUNCTION("""COMPUTED_VALUE"""),0.4039)</f>
        <v>0.4039</v>
      </c>
      <c r="N246" s="320">
        <f>IFERROR(__xludf.DUMMYFUNCTION("""COMPUTED_VALUE"""),0.2932)</f>
        <v>0.2932</v>
      </c>
      <c r="O246" s="320">
        <f>IFERROR(__xludf.DUMMYFUNCTION("""COMPUTED_VALUE"""),1.2747)</f>
        <v>1.2747</v>
      </c>
      <c r="P246" s="320">
        <f>IFERROR(__xludf.DUMMYFUNCTION("""COMPUTED_VALUE"""),375.64)</f>
        <v>375.64</v>
      </c>
      <c r="Q246" s="320">
        <f>IFERROR(__xludf.DUMMYFUNCTION("""COMPUTED_VALUE"""),261.05)</f>
        <v>261.05</v>
      </c>
      <c r="R246" s="320">
        <f>IFERROR(__xludf.DUMMYFUNCTION("""COMPUTED_VALUE"""),114.6)</f>
        <v>114.6</v>
      </c>
      <c r="S246" s="320">
        <f>IFERROR(__xludf.DUMMYFUNCTION("""COMPUTED_VALUE"""),0.01)</f>
        <v>0.01</v>
      </c>
      <c r="T246" s="320">
        <f>IFERROR(__xludf.DUMMYFUNCTION("""COMPUTED_VALUE"""),375.64)</f>
        <v>375.64</v>
      </c>
      <c r="U246" s="320">
        <f>IFERROR(__xludf.DUMMYFUNCTION("""COMPUTED_VALUE"""),383.84)</f>
        <v>383.84</v>
      </c>
      <c r="V246" s="320">
        <f>IFERROR(__xludf.DUMMYFUNCTION("""COMPUTED_VALUE"""),5.0112)</f>
        <v>5.0112</v>
      </c>
      <c r="W246" s="320">
        <f>IFERROR(__xludf.DUMMYFUNCTION("""COMPUTED_VALUE"""),0.0)</f>
        <v>0</v>
      </c>
      <c r="X246" s="320">
        <f>IFERROR(__xludf.DUMMYFUNCTION("""COMPUTED_VALUE"""),283.0)</f>
        <v>283</v>
      </c>
      <c r="Y246" s="320">
        <f>IFERROR(__xludf.DUMMYFUNCTION("""COMPUTED_VALUE"""),2310.0)</f>
        <v>2310</v>
      </c>
      <c r="Z246" s="320">
        <f>IFERROR(__xludf.DUMMYFUNCTION("""COMPUTED_VALUE"""),10612.0)</f>
        <v>10612</v>
      </c>
      <c r="AA246" s="320">
        <f>IFERROR(__xludf.DUMMYFUNCTION("""COMPUTED_VALUE"""),58.8279)</f>
        <v>58.8279</v>
      </c>
      <c r="AB246" s="320">
        <f>IFERROR(__xludf.DUMMYFUNCTION("""COMPUTED_VALUE"""),0.733)</f>
        <v>0.733</v>
      </c>
      <c r="AC246" s="320">
        <f>IFERROR(__xludf.DUMMYFUNCTION("""COMPUTED_VALUE"""),37.05)</f>
        <v>37.05</v>
      </c>
      <c r="AD246" s="320">
        <f>IFERROR(__xludf.DUMMYFUNCTION("""COMPUTED_VALUE"""),16.0)</f>
        <v>16</v>
      </c>
      <c r="AE246" s="320">
        <f>IFERROR(__xludf.DUMMYFUNCTION("""COMPUTED_VALUE"""),30.0)</f>
        <v>30</v>
      </c>
      <c r="AF246" s="320">
        <f>IFERROR(__xludf.DUMMYFUNCTION("""COMPUTED_VALUE"""),48.0)</f>
        <v>48</v>
      </c>
      <c r="AG246" s="320">
        <f>IFERROR(__xludf.DUMMYFUNCTION("""COMPUTED_VALUE"""),76.0)</f>
        <v>76</v>
      </c>
      <c r="AH246" s="320">
        <f>IFERROR(__xludf.DUMMYFUNCTION("""COMPUTED_VALUE"""),53.6)</f>
        <v>53.6</v>
      </c>
      <c r="AI246" s="320">
        <f>IFERROR(__xludf.DUMMYFUNCTION("""COMPUTED_VALUE"""),17.36)</f>
        <v>17.36</v>
      </c>
      <c r="AJ246" s="320">
        <f>IFERROR(__xludf.DUMMYFUNCTION("""COMPUTED_VALUE"""),4.34)</f>
        <v>4.34</v>
      </c>
      <c r="AK246" s="320">
        <f>IFERROR(__xludf.DUMMYFUNCTION("""COMPUTED_VALUE"""),0.1156)</f>
        <v>0.1156</v>
      </c>
      <c r="AL246" s="320">
        <f>IFERROR(__xludf.DUMMYFUNCTION("""COMPUTED_VALUE"""),21.29)</f>
        <v>21.29</v>
      </c>
      <c r="AM246" s="320">
        <f>IFERROR(__xludf.DUMMYFUNCTION("""COMPUTED_VALUE"""),239.76)</f>
        <v>239.76</v>
      </c>
      <c r="AN246" s="320">
        <f>IFERROR(__xludf.DUMMYFUNCTION("""COMPUTED_VALUE"""),75.07)</f>
        <v>75.07</v>
      </c>
      <c r="AO246" s="320">
        <f>IFERROR(__xludf.DUMMYFUNCTION("""COMPUTED_VALUE"""),15.98)</f>
        <v>15.98</v>
      </c>
    </row>
    <row r="247" ht="15.75" customHeight="1">
      <c r="A247" s="330">
        <f>IFERROR(__xludf.DUMMYFUNCTION("""COMPUTED_VALUE"""),46090.0)</f>
        <v>46090</v>
      </c>
      <c r="B247" s="319" t="str">
        <f>IFERROR(__xludf.DUMMYFUNCTION("""COMPUTED_VALUE"""),"F. 100+")</f>
        <v>F. 100+</v>
      </c>
      <c r="C247" s="320">
        <f>IFERROR(__xludf.DUMMYFUNCTION("""COMPUTED_VALUE"""),655.0)</f>
        <v>655</v>
      </c>
      <c r="D247" s="320">
        <f>IFERROR(__xludf.DUMMYFUNCTION("""COMPUTED_VALUE"""),0.59)</f>
        <v>0.59</v>
      </c>
      <c r="E247" s="320">
        <f>IFERROR(__xludf.DUMMYFUNCTION("""COMPUTED_VALUE"""),0.0)</f>
        <v>0</v>
      </c>
      <c r="F247" s="320">
        <f>IFERROR(__xludf.DUMMYFUNCTION("""COMPUTED_VALUE"""),0.0)</f>
        <v>0</v>
      </c>
      <c r="G247" s="320">
        <f>IFERROR(__xludf.DUMMYFUNCTION("""COMPUTED_VALUE"""),0.0)</f>
        <v>0</v>
      </c>
      <c r="H247" s="106"/>
      <c r="I247" s="320">
        <f>IFERROR(__xludf.DUMMYFUNCTION("""COMPUTED_VALUE"""),256.71)</f>
        <v>256.71</v>
      </c>
      <c r="J247" s="320">
        <f>IFERROR(__xludf.DUMMYFUNCTION("""COMPUTED_VALUE"""),148.45)</f>
        <v>148.45</v>
      </c>
      <c r="K247" s="320">
        <f>IFERROR(__xludf.DUMMYFUNCTION("""COMPUTED_VALUE"""),129.43)</f>
        <v>129.43</v>
      </c>
      <c r="L247" s="320">
        <f>IFERROR(__xludf.DUMMYFUNCTION("""COMPUTED_VALUE"""),0.8719)</f>
        <v>0.8719</v>
      </c>
      <c r="M247" s="320">
        <f>IFERROR(__xludf.DUMMYFUNCTION("""COMPUTED_VALUE"""),0.2797)</f>
        <v>0.2797</v>
      </c>
      <c r="N247" s="320">
        <f>IFERROR(__xludf.DUMMYFUNCTION("""COMPUTED_VALUE"""),0.2108)</f>
        <v>0.2108</v>
      </c>
      <c r="O247" s="320">
        <f>IFERROR(__xludf.DUMMYFUNCTION("""COMPUTED_VALUE"""),1.1469)</f>
        <v>1.1469</v>
      </c>
      <c r="P247" s="320">
        <f>IFERROR(__xludf.DUMMYFUNCTION("""COMPUTED_VALUE"""),678.71)</f>
        <v>678.71</v>
      </c>
      <c r="Q247" s="320">
        <f>IFERROR(__xludf.DUMMYFUNCTION("""COMPUTED_VALUE"""),402.09)</f>
        <v>402.09</v>
      </c>
      <c r="R247" s="320">
        <f>IFERROR(__xludf.DUMMYFUNCTION("""COMPUTED_VALUE"""),276.62)</f>
        <v>276.62</v>
      </c>
      <c r="S247" s="320">
        <f>IFERROR(__xludf.DUMMYFUNCTION("""COMPUTED_VALUE"""),0.0)</f>
        <v>0</v>
      </c>
      <c r="T247" s="320">
        <f>IFERROR(__xludf.DUMMYFUNCTION("""COMPUTED_VALUE"""),678.71)</f>
        <v>678.71</v>
      </c>
      <c r="U247" s="320">
        <f>IFERROR(__xludf.DUMMYFUNCTION("""COMPUTED_VALUE"""),738.93)</f>
        <v>738.93</v>
      </c>
      <c r="V247" s="320">
        <f>IFERROR(__xludf.DUMMYFUNCTION("""COMPUTED_VALUE"""),4.9777)</f>
        <v>4.9777</v>
      </c>
      <c r="W247" s="320">
        <f>IFERROR(__xludf.DUMMYFUNCTION("""COMPUTED_VALUE"""),0.0)</f>
        <v>0</v>
      </c>
      <c r="X247" s="320">
        <f>IFERROR(__xludf.DUMMYFUNCTION("""COMPUTED_VALUE"""),710.0)</f>
        <v>710</v>
      </c>
      <c r="Y247" s="320">
        <f>IFERROR(__xludf.DUMMYFUNCTION("""COMPUTED_VALUE"""),4152.0)</f>
        <v>4152</v>
      </c>
      <c r="Z247" s="320">
        <f>IFERROR(__xludf.DUMMYFUNCTION("""COMPUTED_VALUE"""),11749.0)</f>
        <v>11749</v>
      </c>
      <c r="AA247" s="320">
        <f>IFERROR(__xludf.DUMMYFUNCTION("""COMPUTED_VALUE"""),62.7228)</f>
        <v>62.7228</v>
      </c>
      <c r="AB247" s="320">
        <f>IFERROR(__xludf.DUMMYFUNCTION("""COMPUTED_VALUE"""),0.8819)</f>
        <v>0.8819</v>
      </c>
      <c r="AC247" s="320">
        <f>IFERROR(__xludf.DUMMYFUNCTION("""COMPUTED_VALUE"""),90.89)</f>
        <v>90.89</v>
      </c>
      <c r="AD247" s="320">
        <f>IFERROR(__xludf.DUMMYFUNCTION("""COMPUTED_VALUE"""),39.0)</f>
        <v>39</v>
      </c>
      <c r="AE247" s="320">
        <f>IFERROR(__xludf.DUMMYFUNCTION("""COMPUTED_VALUE"""),73.0)</f>
        <v>73</v>
      </c>
      <c r="AF247" s="320">
        <f>IFERROR(__xludf.DUMMYFUNCTION("""COMPUTED_VALUE"""),132.0)</f>
        <v>132</v>
      </c>
      <c r="AG247" s="320">
        <f>IFERROR(__xludf.DUMMYFUNCTION("""COMPUTED_VALUE"""),191.0)</f>
        <v>191</v>
      </c>
      <c r="AH247" s="320">
        <f>IFERROR(__xludf.DUMMYFUNCTION("""COMPUTED_VALUE"""),45.19)</f>
        <v>45.19</v>
      </c>
      <c r="AI247" s="320">
        <f>IFERROR(__xludf.DUMMYFUNCTION("""COMPUTED_VALUE"""),12.98)</f>
        <v>12.98</v>
      </c>
      <c r="AJ247" s="320">
        <f>IFERROR(__xludf.DUMMYFUNCTION("""COMPUTED_VALUE"""),1.53)</f>
        <v>1.53</v>
      </c>
      <c r="AK247" s="320">
        <f>IFERROR(__xludf.DUMMYFUNCTION("""COMPUTED_VALUE"""),0.0809)</f>
        <v>0.0809</v>
      </c>
      <c r="AL247" s="320">
        <f>IFERROR(__xludf.DUMMYFUNCTION("""COMPUTED_VALUE"""),22.27)</f>
        <v>22.27</v>
      </c>
      <c r="AM247" s="320">
        <f>IFERROR(__xludf.DUMMYFUNCTION("""COMPUTED_VALUE"""),379.83)</f>
        <v>379.83</v>
      </c>
      <c r="AN247" s="320">
        <f>IFERROR(__xludf.DUMMYFUNCTION("""COMPUTED_VALUE"""),84.38)</f>
        <v>84.38</v>
      </c>
      <c r="AO247" s="320">
        <f>IFERROR(__xludf.DUMMYFUNCTION("""COMPUTED_VALUE"""),18.79)</f>
        <v>18.79</v>
      </c>
    </row>
    <row r="248" ht="15.75" customHeight="1">
      <c r="A248" s="330">
        <f>IFERROR(__xludf.DUMMYFUNCTION("""COMPUTED_VALUE"""),46091.0)</f>
        <v>46091</v>
      </c>
      <c r="B248" s="319" t="str">
        <f>IFERROR(__xludf.DUMMYFUNCTION("""COMPUTED_VALUE"""),"A. 0")</f>
        <v>A. 0</v>
      </c>
      <c r="C248" s="320">
        <f>IFERROR(__xludf.DUMMYFUNCTION("""COMPUTED_VALUE"""),20050.0)</f>
        <v>20050</v>
      </c>
      <c r="D248" s="320">
        <f>IFERROR(__xludf.DUMMYFUNCTION("""COMPUTED_VALUE"""),18.18)</f>
        <v>18.18</v>
      </c>
      <c r="E248" s="320">
        <f>IFERROR(__xludf.DUMMYFUNCTION("""COMPUTED_VALUE"""),0.0)</f>
        <v>0</v>
      </c>
      <c r="F248" s="320">
        <f>IFERROR(__xludf.DUMMYFUNCTION("""COMPUTED_VALUE"""),0.0)</f>
        <v>0</v>
      </c>
      <c r="G248" s="320">
        <f>IFERROR(__xludf.DUMMYFUNCTION("""COMPUTED_VALUE"""),0.0)</f>
        <v>0</v>
      </c>
      <c r="H248" s="106"/>
      <c r="I248" s="320">
        <f>IFERROR(__xludf.DUMMYFUNCTION("""COMPUTED_VALUE"""),6.0)</f>
        <v>6</v>
      </c>
      <c r="J248" s="320">
        <f>IFERROR(__xludf.DUMMYFUNCTION("""COMPUTED_VALUE"""),2.43)</f>
        <v>2.43</v>
      </c>
      <c r="K248" s="320">
        <f>IFERROR(__xludf.DUMMYFUNCTION("""COMPUTED_VALUE"""),0.08)</f>
        <v>0.08</v>
      </c>
      <c r="L248" s="320">
        <f>IFERROR(__xludf.DUMMYFUNCTION("""COMPUTED_VALUE"""),0.0333)</f>
        <v>0.0333</v>
      </c>
      <c r="M248" s="320">
        <f>IFERROR(__xludf.DUMMYFUNCTION("""COMPUTED_VALUE"""),0.9739)</f>
        <v>0.9739</v>
      </c>
      <c r="N248" s="320">
        <f>IFERROR(__xludf.DUMMYFUNCTION("""COMPUTED_VALUE"""),0.7345)</f>
        <v>0.7345</v>
      </c>
      <c r="O248" s="320">
        <f>IFERROR(__xludf.DUMMYFUNCTION("""COMPUTED_VALUE"""),30.0234)</f>
        <v>30.0234</v>
      </c>
      <c r="P248" s="320">
        <f>IFERROR(__xludf.DUMMYFUNCTION("""COMPUTED_VALUE"""),25.67)</f>
        <v>25.67</v>
      </c>
      <c r="Q248" s="320">
        <f>IFERROR(__xludf.DUMMYFUNCTION("""COMPUTED_VALUE"""),25.56)</f>
        <v>25.56</v>
      </c>
      <c r="R248" s="320">
        <f>IFERROR(__xludf.DUMMYFUNCTION("""COMPUTED_VALUE"""),0.1)</f>
        <v>0.1</v>
      </c>
      <c r="S248" s="320">
        <f>IFERROR(__xludf.DUMMYFUNCTION("""COMPUTED_VALUE"""),0.04)</f>
        <v>0.04</v>
      </c>
      <c r="T248" s="320">
        <f>IFERROR(__xludf.DUMMYFUNCTION("""COMPUTED_VALUE"""),25.63)</f>
        <v>25.63</v>
      </c>
      <c r="U248" s="320">
        <f>IFERROR(__xludf.DUMMYFUNCTION("""COMPUTED_VALUE"""),1.58)</f>
        <v>1.58</v>
      </c>
      <c r="V248" s="320">
        <f>IFERROR(__xludf.DUMMYFUNCTION("""COMPUTED_VALUE"""),0.6483)</f>
        <v>0.6483</v>
      </c>
      <c r="W248" s="320">
        <f>IFERROR(__xludf.DUMMYFUNCTION("""COMPUTED_VALUE"""),0.15)</f>
        <v>0.15</v>
      </c>
      <c r="X248" s="320">
        <f>IFERROR(__xludf.DUMMYFUNCTION("""COMPUTED_VALUE"""),360.0)</f>
        <v>360</v>
      </c>
      <c r="Y248" s="320">
        <f>IFERROR(__xludf.DUMMYFUNCTION("""COMPUTED_VALUE"""),3892.0)</f>
        <v>3892</v>
      </c>
      <c r="Z248" s="320">
        <f>IFERROR(__xludf.DUMMYFUNCTION("""COMPUTED_VALUE"""),14712.0)</f>
        <v>14712</v>
      </c>
      <c r="AA248" s="320">
        <f>IFERROR(__xludf.DUMMYFUNCTION("""COMPUTED_VALUE"""),49.3917)</f>
        <v>49.3917</v>
      </c>
      <c r="AB248" s="320">
        <f>IFERROR(__xludf.DUMMYFUNCTION("""COMPUTED_VALUE"""),0.543)</f>
        <v>0.543</v>
      </c>
      <c r="AC248" s="106"/>
      <c r="AD248" s="106"/>
      <c r="AE248" s="106"/>
      <c r="AF248" s="106"/>
      <c r="AG248" s="106"/>
      <c r="AH248" s="320">
        <f>IFERROR(__xludf.DUMMYFUNCTION("""COMPUTED_VALUE"""),0.0)</f>
        <v>0</v>
      </c>
      <c r="AI248" s="320">
        <f>IFERROR(__xludf.DUMMYFUNCTION("""COMPUTED_VALUE"""),0.0)</f>
        <v>0</v>
      </c>
      <c r="AJ248" s="320">
        <f>IFERROR(__xludf.DUMMYFUNCTION("""COMPUTED_VALUE"""),0.0)</f>
        <v>0</v>
      </c>
      <c r="AK248" s="320">
        <f>IFERROR(__xludf.DUMMYFUNCTION("""COMPUTED_VALUE"""),0.2718)</f>
        <v>0.2718</v>
      </c>
      <c r="AL248" s="320">
        <f>IFERROR(__xludf.DUMMYFUNCTION("""COMPUTED_VALUE"""),15.78)</f>
        <v>15.78</v>
      </c>
      <c r="AM248" s="320">
        <f>IFERROR(__xludf.DUMMYFUNCTION("""COMPUTED_VALUE"""),9.78)</f>
        <v>9.78</v>
      </c>
      <c r="AN248" s="331"/>
      <c r="AO248" s="331"/>
    </row>
    <row r="249" ht="15.75" customHeight="1">
      <c r="A249" s="330">
        <f>IFERROR(__xludf.DUMMYFUNCTION("""COMPUTED_VALUE"""),46091.0)</f>
        <v>46091</v>
      </c>
      <c r="B249" s="319" t="str">
        <f>IFERROR(__xludf.DUMMYFUNCTION("""COMPUTED_VALUE"""),"B. 1-9")</f>
        <v>B. 1-9</v>
      </c>
      <c r="C249" s="320">
        <f>IFERROR(__xludf.DUMMYFUNCTION("""COMPUTED_VALUE"""),38681.0)</f>
        <v>38681</v>
      </c>
      <c r="D249" s="320">
        <f>IFERROR(__xludf.DUMMYFUNCTION("""COMPUTED_VALUE"""),35.07)</f>
        <v>35.07</v>
      </c>
      <c r="E249" s="320">
        <f>IFERROR(__xludf.DUMMYFUNCTION("""COMPUTED_VALUE"""),0.0)</f>
        <v>0</v>
      </c>
      <c r="F249" s="320">
        <f>IFERROR(__xludf.DUMMYFUNCTION("""COMPUTED_VALUE"""),0.0)</f>
        <v>0</v>
      </c>
      <c r="G249" s="320">
        <f>IFERROR(__xludf.DUMMYFUNCTION("""COMPUTED_VALUE"""),0.0)</f>
        <v>0</v>
      </c>
      <c r="H249" s="106"/>
      <c r="I249" s="320">
        <f>IFERROR(__xludf.DUMMYFUNCTION("""COMPUTED_VALUE"""),28.33)</f>
        <v>28.33</v>
      </c>
      <c r="J249" s="320">
        <f>IFERROR(__xludf.DUMMYFUNCTION("""COMPUTED_VALUE"""),12.76)</f>
        <v>12.76</v>
      </c>
      <c r="K249" s="320">
        <f>IFERROR(__xludf.DUMMYFUNCTION("""COMPUTED_VALUE"""),5.47)</f>
        <v>5.47</v>
      </c>
      <c r="L249" s="320">
        <f>IFERROR(__xludf.DUMMYFUNCTION("""COMPUTED_VALUE"""),0.4285)</f>
        <v>0.4285</v>
      </c>
      <c r="M249" s="320">
        <f>IFERROR(__xludf.DUMMYFUNCTION("""COMPUTED_VALUE"""),0.7502)</f>
        <v>0.7502</v>
      </c>
      <c r="N249" s="320">
        <f>IFERROR(__xludf.DUMMYFUNCTION("""COMPUTED_VALUE"""),0.5629)</f>
        <v>0.5629</v>
      </c>
      <c r="O249" s="320">
        <f>IFERROR(__xludf.DUMMYFUNCTION("""COMPUTED_VALUE"""),2.3336)</f>
        <v>2.3336</v>
      </c>
      <c r="P249" s="320">
        <f>IFERROR(__xludf.DUMMYFUNCTION("""COMPUTED_VALUE"""),53.25)</f>
        <v>53.25</v>
      </c>
      <c r="Q249" s="320">
        <f>IFERROR(__xludf.DUMMYFUNCTION("""COMPUTED_VALUE"""),41.8)</f>
        <v>41.8</v>
      </c>
      <c r="R249" s="320">
        <f>IFERROR(__xludf.DUMMYFUNCTION("""COMPUTED_VALUE"""),11.45)</f>
        <v>11.45</v>
      </c>
      <c r="S249" s="320">
        <f>IFERROR(__xludf.DUMMYFUNCTION("""COMPUTED_VALUE"""),0.0)</f>
        <v>0</v>
      </c>
      <c r="T249" s="320">
        <f>IFERROR(__xludf.DUMMYFUNCTION("""COMPUTED_VALUE"""),53.25)</f>
        <v>53.25</v>
      </c>
      <c r="U249" s="320">
        <f>IFERROR(__xludf.DUMMYFUNCTION("""COMPUTED_VALUE"""),53.72)</f>
        <v>53.72</v>
      </c>
      <c r="V249" s="320">
        <f>IFERROR(__xludf.DUMMYFUNCTION("""COMPUTED_VALUE"""),4.2105)</f>
        <v>4.2105</v>
      </c>
      <c r="W249" s="320">
        <f>IFERROR(__xludf.DUMMYFUNCTION("""COMPUTED_VALUE"""),0.0)</f>
        <v>0</v>
      </c>
      <c r="X249" s="320">
        <f>IFERROR(__xludf.DUMMYFUNCTION("""COMPUTED_VALUE"""),154.0)</f>
        <v>154</v>
      </c>
      <c r="Y249" s="320">
        <f>IFERROR(__xludf.DUMMYFUNCTION("""COMPUTED_VALUE"""),895.0)</f>
        <v>895</v>
      </c>
      <c r="Z249" s="320">
        <f>IFERROR(__xludf.DUMMYFUNCTION("""COMPUTED_VALUE"""),6023.0)</f>
        <v>6023</v>
      </c>
      <c r="AA249" s="320">
        <f>IFERROR(__xludf.DUMMYFUNCTION("""COMPUTED_VALUE"""),49.0097)</f>
        <v>49.0097</v>
      </c>
      <c r="AB249" s="320">
        <f>IFERROR(__xludf.DUMMYFUNCTION("""COMPUTED_VALUE"""),0.5329)</f>
        <v>0.5329</v>
      </c>
      <c r="AC249" s="320">
        <f>IFERROR(__xludf.DUMMYFUNCTION("""COMPUTED_VALUE"""),3.99)</f>
        <v>3.99</v>
      </c>
      <c r="AD249" s="320">
        <f>IFERROR(__xludf.DUMMYFUNCTION("""COMPUTED_VALUE"""),1.0)</f>
        <v>1</v>
      </c>
      <c r="AE249" s="320">
        <f>IFERROR(__xludf.DUMMYFUNCTION("""COMPUTED_VALUE"""),3.0)</f>
        <v>3</v>
      </c>
      <c r="AF249" s="320">
        <f>IFERROR(__xludf.DUMMYFUNCTION("""COMPUTED_VALUE"""),5.0)</f>
        <v>5</v>
      </c>
      <c r="AG249" s="320">
        <f>IFERROR(__xludf.DUMMYFUNCTION("""COMPUTED_VALUE"""),9.0)</f>
        <v>9</v>
      </c>
      <c r="AH249" s="320">
        <f>IFERROR(__xludf.DUMMYFUNCTION("""COMPUTED_VALUE"""),72.88)</f>
        <v>72.88</v>
      </c>
      <c r="AI249" s="320">
        <f>IFERROR(__xludf.DUMMYFUNCTION("""COMPUTED_VALUE"""),30.79)</f>
        <v>30.79</v>
      </c>
      <c r="AJ249" s="320">
        <f>IFERROR(__xludf.DUMMYFUNCTION("""COMPUTED_VALUE"""),8.87)</f>
        <v>8.87</v>
      </c>
      <c r="AK249" s="320">
        <f>IFERROR(__xludf.DUMMYFUNCTION("""COMPUTED_VALUE"""),0.2334)</f>
        <v>0.2334</v>
      </c>
      <c r="AL249" s="320">
        <f>IFERROR(__xludf.DUMMYFUNCTION("""COMPUTED_VALUE"""),17.92)</f>
        <v>17.92</v>
      </c>
      <c r="AM249" s="320">
        <f>IFERROR(__xludf.DUMMYFUNCTION("""COMPUTED_VALUE"""),23.88)</f>
        <v>23.88</v>
      </c>
      <c r="AN249" s="320">
        <f>IFERROR(__xludf.DUMMYFUNCTION("""COMPUTED_VALUE"""),66.32)</f>
        <v>66.32</v>
      </c>
      <c r="AO249" s="320">
        <f>IFERROR(__xludf.DUMMYFUNCTION("""COMPUTED_VALUE"""),11.88)</f>
        <v>11.88</v>
      </c>
    </row>
    <row r="250" ht="15.75" customHeight="1">
      <c r="A250" s="330">
        <f>IFERROR(__xludf.DUMMYFUNCTION("""COMPUTED_VALUE"""),46091.0)</f>
        <v>46091</v>
      </c>
      <c r="B250" s="319" t="str">
        <f>IFERROR(__xludf.DUMMYFUNCTION("""COMPUTED_VALUE"""),"C. 10-19")</f>
        <v>C. 10-19</v>
      </c>
      <c r="C250" s="320">
        <f>IFERROR(__xludf.DUMMYFUNCTION("""COMPUTED_VALUE"""),29017.0)</f>
        <v>29017</v>
      </c>
      <c r="D250" s="320">
        <f>IFERROR(__xludf.DUMMYFUNCTION("""COMPUTED_VALUE"""),26.31)</f>
        <v>26.31</v>
      </c>
      <c r="E250" s="320">
        <f>IFERROR(__xludf.DUMMYFUNCTION("""COMPUTED_VALUE"""),0.0)</f>
        <v>0</v>
      </c>
      <c r="F250" s="320">
        <f>IFERROR(__xludf.DUMMYFUNCTION("""COMPUTED_VALUE"""),0.0)</f>
        <v>0</v>
      </c>
      <c r="G250" s="320">
        <f>IFERROR(__xludf.DUMMYFUNCTION("""COMPUTED_VALUE"""),0.0)</f>
        <v>0</v>
      </c>
      <c r="H250" s="106"/>
      <c r="I250" s="320">
        <f>IFERROR(__xludf.DUMMYFUNCTION("""COMPUTED_VALUE"""),53.14)</f>
        <v>53.14</v>
      </c>
      <c r="J250" s="320">
        <f>IFERROR(__xludf.DUMMYFUNCTION("""COMPUTED_VALUE"""),25.16)</f>
        <v>25.16</v>
      </c>
      <c r="K250" s="320">
        <f>IFERROR(__xludf.DUMMYFUNCTION("""COMPUTED_VALUE"""),13.83)</f>
        <v>13.83</v>
      </c>
      <c r="L250" s="320">
        <f>IFERROR(__xludf.DUMMYFUNCTION("""COMPUTED_VALUE"""),0.5495)</f>
        <v>0.5495</v>
      </c>
      <c r="M250" s="320">
        <f>IFERROR(__xludf.DUMMYFUNCTION("""COMPUTED_VALUE"""),0.651)</f>
        <v>0.651</v>
      </c>
      <c r="N250" s="320">
        <f>IFERROR(__xludf.DUMMYFUNCTION("""COMPUTED_VALUE"""),0.4616)</f>
        <v>0.4616</v>
      </c>
      <c r="O250" s="320">
        <f>IFERROR(__xludf.DUMMYFUNCTION("""COMPUTED_VALUE"""),1.8199)</f>
        <v>1.8199</v>
      </c>
      <c r="P250" s="320">
        <f>IFERROR(__xludf.DUMMYFUNCTION("""COMPUTED_VALUE"""),97.04)</f>
        <v>97.04</v>
      </c>
      <c r="Q250" s="320">
        <f>IFERROR(__xludf.DUMMYFUNCTION("""COMPUTED_VALUE"""),68.81)</f>
        <v>68.81</v>
      </c>
      <c r="R250" s="320">
        <f>IFERROR(__xludf.DUMMYFUNCTION("""COMPUTED_VALUE"""),28.23)</f>
        <v>28.23</v>
      </c>
      <c r="S250" s="320">
        <f>IFERROR(__xludf.DUMMYFUNCTION("""COMPUTED_VALUE"""),0.35)</f>
        <v>0.35</v>
      </c>
      <c r="T250" s="320">
        <f>IFERROR(__xludf.DUMMYFUNCTION("""COMPUTED_VALUE"""),96.7)</f>
        <v>96.7</v>
      </c>
      <c r="U250" s="320">
        <f>IFERROR(__xludf.DUMMYFUNCTION("""COMPUTED_VALUE"""),99.12)</f>
        <v>99.12</v>
      </c>
      <c r="V250" s="320">
        <f>IFERROR(__xludf.DUMMYFUNCTION("""COMPUTED_VALUE"""),3.9391)</f>
        <v>3.9391</v>
      </c>
      <c r="W250" s="320">
        <f>IFERROR(__xludf.DUMMYFUNCTION("""COMPUTED_VALUE"""),0.36)</f>
        <v>0.36</v>
      </c>
      <c r="X250" s="320">
        <f>IFERROR(__xludf.DUMMYFUNCTION("""COMPUTED_VALUE"""),132.0)</f>
        <v>132</v>
      </c>
      <c r="Y250" s="320">
        <f>IFERROR(__xludf.DUMMYFUNCTION("""COMPUTED_VALUE"""),750.0)</f>
        <v>750</v>
      </c>
      <c r="Z250" s="320">
        <f>IFERROR(__xludf.DUMMYFUNCTION("""COMPUTED_VALUE"""),6008.0)</f>
        <v>6008</v>
      </c>
      <c r="AA250" s="320">
        <f>IFERROR(__xludf.DUMMYFUNCTION("""COMPUTED_VALUE"""),52.2378)</f>
        <v>52.2378</v>
      </c>
      <c r="AB250" s="320">
        <f>IFERROR(__xludf.DUMMYFUNCTION("""COMPUTED_VALUE"""),0.5988)</f>
        <v>0.5988</v>
      </c>
      <c r="AC250" s="320">
        <f>IFERROR(__xludf.DUMMYFUNCTION("""COMPUTED_VALUE"""),9.1)</f>
        <v>9.1</v>
      </c>
      <c r="AD250" s="320">
        <f>IFERROR(__xludf.DUMMYFUNCTION("""COMPUTED_VALUE"""),3.0)</f>
        <v>3</v>
      </c>
      <c r="AE250" s="320">
        <f>IFERROR(__xludf.DUMMYFUNCTION("""COMPUTED_VALUE"""),7.0)</f>
        <v>7</v>
      </c>
      <c r="AF250" s="320">
        <f>IFERROR(__xludf.DUMMYFUNCTION("""COMPUTED_VALUE"""),12.0)</f>
        <v>12</v>
      </c>
      <c r="AG250" s="320">
        <f>IFERROR(__xludf.DUMMYFUNCTION("""COMPUTED_VALUE"""),19.0)</f>
        <v>19</v>
      </c>
      <c r="AH250" s="320">
        <f>IFERROR(__xludf.DUMMYFUNCTION("""COMPUTED_VALUE"""),59.09)</f>
        <v>59.09</v>
      </c>
      <c r="AI250" s="320">
        <f>IFERROR(__xludf.DUMMYFUNCTION("""COMPUTED_VALUE"""),24.79)</f>
        <v>24.79</v>
      </c>
      <c r="AJ250" s="320">
        <f>IFERROR(__xludf.DUMMYFUNCTION("""COMPUTED_VALUE"""),4.02)</f>
        <v>4.02</v>
      </c>
      <c r="AK250" s="320">
        <f>IFERROR(__xludf.DUMMYFUNCTION("""COMPUTED_VALUE"""),0.1815)</f>
        <v>0.1815</v>
      </c>
      <c r="AL250" s="320">
        <f>IFERROR(__xludf.DUMMYFUNCTION("""COMPUTED_VALUE"""),18.77)</f>
        <v>18.77</v>
      </c>
      <c r="AM250" s="320">
        <f>IFERROR(__xludf.DUMMYFUNCTION("""COMPUTED_VALUE"""),50.04)</f>
        <v>50.04</v>
      </c>
      <c r="AN250" s="320">
        <f>IFERROR(__xludf.DUMMYFUNCTION("""COMPUTED_VALUE"""),72.73)</f>
        <v>72.73</v>
      </c>
      <c r="AO250" s="320">
        <f>IFERROR(__xludf.DUMMYFUNCTION("""COMPUTED_VALUE"""),13.65)</f>
        <v>13.65</v>
      </c>
    </row>
    <row r="251" ht="15.75" customHeight="1">
      <c r="A251" s="330">
        <f>IFERROR(__xludf.DUMMYFUNCTION("""COMPUTED_VALUE"""),46091.0)</f>
        <v>46091</v>
      </c>
      <c r="B251" s="319" t="str">
        <f>IFERROR(__xludf.DUMMYFUNCTION("""COMPUTED_VALUE"""),"D. 20-39")</f>
        <v>D. 20-39</v>
      </c>
      <c r="C251" s="320">
        <f>IFERROR(__xludf.DUMMYFUNCTION("""COMPUTED_VALUE"""),16044.0)</f>
        <v>16044</v>
      </c>
      <c r="D251" s="320">
        <f>IFERROR(__xludf.DUMMYFUNCTION("""COMPUTED_VALUE"""),14.55)</f>
        <v>14.55</v>
      </c>
      <c r="E251" s="320">
        <f>IFERROR(__xludf.DUMMYFUNCTION("""COMPUTED_VALUE"""),0.0)</f>
        <v>0</v>
      </c>
      <c r="F251" s="320">
        <f>IFERROR(__xludf.DUMMYFUNCTION("""COMPUTED_VALUE"""),0.0)</f>
        <v>0</v>
      </c>
      <c r="G251" s="320">
        <f>IFERROR(__xludf.DUMMYFUNCTION("""COMPUTED_VALUE"""),0.0)</f>
        <v>0</v>
      </c>
      <c r="H251" s="106"/>
      <c r="I251" s="320">
        <f>IFERROR(__xludf.DUMMYFUNCTION("""COMPUTED_VALUE"""),82.15)</f>
        <v>82.15</v>
      </c>
      <c r="J251" s="320">
        <f>IFERROR(__xludf.DUMMYFUNCTION("""COMPUTED_VALUE"""),41.45)</f>
        <v>41.45</v>
      </c>
      <c r="K251" s="320">
        <f>IFERROR(__xludf.DUMMYFUNCTION("""COMPUTED_VALUE"""),28.63)</f>
        <v>28.63</v>
      </c>
      <c r="L251" s="320">
        <f>IFERROR(__xludf.DUMMYFUNCTION("""COMPUTED_VALUE"""),0.6908)</f>
        <v>0.6908</v>
      </c>
      <c r="M251" s="320">
        <f>IFERROR(__xludf.DUMMYFUNCTION("""COMPUTED_VALUE"""),0.508)</f>
        <v>0.508</v>
      </c>
      <c r="N251" s="320">
        <f>IFERROR(__xludf.DUMMYFUNCTION("""COMPUTED_VALUE"""),0.3563)</f>
        <v>0.3563</v>
      </c>
      <c r="O251" s="320">
        <f>IFERROR(__xludf.DUMMYFUNCTION("""COMPUTED_VALUE"""),1.4477)</f>
        <v>1.4477</v>
      </c>
      <c r="P251" s="320">
        <f>IFERROR(__xludf.DUMMYFUNCTION("""COMPUTED_VALUE"""),175.76)</f>
        <v>175.76</v>
      </c>
      <c r="Q251" s="320">
        <f>IFERROR(__xludf.DUMMYFUNCTION("""COMPUTED_VALUE"""),121.83)</f>
        <v>121.83</v>
      </c>
      <c r="R251" s="320">
        <f>IFERROR(__xludf.DUMMYFUNCTION("""COMPUTED_VALUE"""),53.93)</f>
        <v>53.93</v>
      </c>
      <c r="S251" s="320">
        <f>IFERROR(__xludf.DUMMYFUNCTION("""COMPUTED_VALUE"""),0.37)</f>
        <v>0.37</v>
      </c>
      <c r="T251" s="320">
        <f>IFERROR(__xludf.DUMMYFUNCTION("""COMPUTED_VALUE"""),175.38)</f>
        <v>175.38</v>
      </c>
      <c r="U251" s="320">
        <f>IFERROR(__xludf.DUMMYFUNCTION("""COMPUTED_VALUE"""),180.76)</f>
        <v>180.76</v>
      </c>
      <c r="V251" s="320">
        <f>IFERROR(__xludf.DUMMYFUNCTION("""COMPUTED_VALUE"""),4.3607)</f>
        <v>4.3607</v>
      </c>
      <c r="W251" s="320">
        <f>IFERROR(__xludf.DUMMYFUNCTION("""COMPUTED_VALUE"""),0.21)</f>
        <v>0.21</v>
      </c>
      <c r="X251" s="320">
        <f>IFERROR(__xludf.DUMMYFUNCTION("""COMPUTED_VALUE"""),163.0)</f>
        <v>163</v>
      </c>
      <c r="Y251" s="320">
        <f>IFERROR(__xludf.DUMMYFUNCTION("""COMPUTED_VALUE"""),1042.0)</f>
        <v>1042</v>
      </c>
      <c r="Z251" s="320">
        <f>IFERROR(__xludf.DUMMYFUNCTION("""COMPUTED_VALUE"""),7323.0)</f>
        <v>7323</v>
      </c>
      <c r="AA251" s="320">
        <f>IFERROR(__xludf.DUMMYFUNCTION("""COMPUTED_VALUE"""),55.5371)</f>
        <v>55.5371</v>
      </c>
      <c r="AB251" s="320">
        <f>IFERROR(__xludf.DUMMYFUNCTION("""COMPUTED_VALUE"""),0.6783)</f>
        <v>0.6783</v>
      </c>
      <c r="AC251" s="320">
        <f>IFERROR(__xludf.DUMMYFUNCTION("""COMPUTED_VALUE"""),17.14)</f>
        <v>17.14</v>
      </c>
      <c r="AD251" s="320">
        <f>IFERROR(__xludf.DUMMYFUNCTION("""COMPUTED_VALUE"""),7.0)</f>
        <v>7</v>
      </c>
      <c r="AE251" s="320">
        <f>IFERROR(__xludf.DUMMYFUNCTION("""COMPUTED_VALUE"""),13.0)</f>
        <v>13</v>
      </c>
      <c r="AF251" s="320">
        <f>IFERROR(__xludf.DUMMYFUNCTION("""COMPUTED_VALUE"""),24.0)</f>
        <v>24</v>
      </c>
      <c r="AG251" s="320">
        <f>IFERROR(__xludf.DUMMYFUNCTION("""COMPUTED_VALUE"""),35.0)</f>
        <v>35</v>
      </c>
      <c r="AH251" s="320">
        <f>IFERROR(__xludf.DUMMYFUNCTION("""COMPUTED_VALUE"""),59.03)</f>
        <v>59.03</v>
      </c>
      <c r="AI251" s="320">
        <f>IFERROR(__xludf.DUMMYFUNCTION("""COMPUTED_VALUE"""),21.8)</f>
        <v>21.8</v>
      </c>
      <c r="AJ251" s="320">
        <f>IFERROR(__xludf.DUMMYFUNCTION("""COMPUTED_VALUE"""),6.05)</f>
        <v>6.05</v>
      </c>
      <c r="AK251" s="320">
        <f>IFERROR(__xludf.DUMMYFUNCTION("""COMPUTED_VALUE"""),0.1611)</f>
        <v>0.1611</v>
      </c>
      <c r="AL251" s="320">
        <f>IFERROR(__xludf.DUMMYFUNCTION("""COMPUTED_VALUE"""),19.19)</f>
        <v>19.19</v>
      </c>
      <c r="AM251" s="320">
        <f>IFERROR(__xludf.DUMMYFUNCTION("""COMPUTED_VALUE"""),102.64)</f>
        <v>102.64</v>
      </c>
      <c r="AN251" s="320">
        <f>IFERROR(__xludf.DUMMYFUNCTION("""COMPUTED_VALUE"""),73.32)</f>
        <v>73.32</v>
      </c>
      <c r="AO251" s="320">
        <f>IFERROR(__xludf.DUMMYFUNCTION("""COMPUTED_VALUE"""),14.07)</f>
        <v>14.07</v>
      </c>
    </row>
    <row r="252" ht="15.75" customHeight="1">
      <c r="A252" s="330">
        <f>IFERROR(__xludf.DUMMYFUNCTION("""COMPUTED_VALUE"""),46091.0)</f>
        <v>46091</v>
      </c>
      <c r="B252" s="319" t="str">
        <f>IFERROR(__xludf.DUMMYFUNCTION("""COMPUTED_VALUE"""),"E. 40-99")</f>
        <v>E. 40-99</v>
      </c>
      <c r="C252" s="320">
        <f>IFERROR(__xludf.DUMMYFUNCTION("""COMPUTED_VALUE"""),5855.0)</f>
        <v>5855</v>
      </c>
      <c r="D252" s="320">
        <f>IFERROR(__xludf.DUMMYFUNCTION("""COMPUTED_VALUE"""),5.31)</f>
        <v>5.31</v>
      </c>
      <c r="E252" s="320">
        <f>IFERROR(__xludf.DUMMYFUNCTION("""COMPUTED_VALUE"""),0.0)</f>
        <v>0</v>
      </c>
      <c r="F252" s="320">
        <f>IFERROR(__xludf.DUMMYFUNCTION("""COMPUTED_VALUE"""),0.0)</f>
        <v>0</v>
      </c>
      <c r="G252" s="320">
        <f>IFERROR(__xludf.DUMMYFUNCTION("""COMPUTED_VALUE"""),0.0)</f>
        <v>0</v>
      </c>
      <c r="H252" s="106"/>
      <c r="I252" s="320">
        <f>IFERROR(__xludf.DUMMYFUNCTION("""COMPUTED_VALUE"""),129.11)</f>
        <v>129.11</v>
      </c>
      <c r="J252" s="320">
        <f>IFERROR(__xludf.DUMMYFUNCTION("""COMPUTED_VALUE"""),69.27)</f>
        <v>69.27</v>
      </c>
      <c r="K252" s="320">
        <f>IFERROR(__xludf.DUMMYFUNCTION("""COMPUTED_VALUE"""),55.2)</f>
        <v>55.2</v>
      </c>
      <c r="L252" s="320">
        <f>IFERROR(__xludf.DUMMYFUNCTION("""COMPUTED_VALUE"""),0.7968)</f>
        <v>0.7968</v>
      </c>
      <c r="M252" s="320">
        <f>IFERROR(__xludf.DUMMYFUNCTION("""COMPUTED_VALUE"""),0.3869)</f>
        <v>0.3869</v>
      </c>
      <c r="N252" s="320">
        <f>IFERROR(__xludf.DUMMYFUNCTION("""COMPUTED_VALUE"""),0.2828)</f>
        <v>0.2828</v>
      </c>
      <c r="O252" s="320">
        <f>IFERROR(__xludf.DUMMYFUNCTION("""COMPUTED_VALUE"""),1.2551)</f>
        <v>1.2551</v>
      </c>
      <c r="P252" s="320">
        <f>IFERROR(__xludf.DUMMYFUNCTION("""COMPUTED_VALUE"""),325.78)</f>
        <v>325.78</v>
      </c>
      <c r="Q252" s="320">
        <f>IFERROR(__xludf.DUMMYFUNCTION("""COMPUTED_VALUE"""),210.22)</f>
        <v>210.22</v>
      </c>
      <c r="R252" s="320">
        <f>IFERROR(__xludf.DUMMYFUNCTION("""COMPUTED_VALUE"""),115.56)</f>
        <v>115.56</v>
      </c>
      <c r="S252" s="320">
        <f>IFERROR(__xludf.DUMMYFUNCTION("""COMPUTED_VALUE"""),0.0)</f>
        <v>0</v>
      </c>
      <c r="T252" s="320">
        <f>IFERROR(__xludf.DUMMYFUNCTION("""COMPUTED_VALUE"""),325.78)</f>
        <v>325.78</v>
      </c>
      <c r="U252" s="320">
        <f>IFERROR(__xludf.DUMMYFUNCTION("""COMPUTED_VALUE"""),326.67)</f>
        <v>326.67</v>
      </c>
      <c r="V252" s="320">
        <f>IFERROR(__xludf.DUMMYFUNCTION("""COMPUTED_VALUE"""),4.7157)</f>
        <v>4.7157</v>
      </c>
      <c r="W252" s="320">
        <f>IFERROR(__xludf.DUMMYFUNCTION("""COMPUTED_VALUE"""),0.0)</f>
        <v>0</v>
      </c>
      <c r="X252" s="320">
        <f>IFERROR(__xludf.DUMMYFUNCTION("""COMPUTED_VALUE"""),277.0)</f>
        <v>277</v>
      </c>
      <c r="Y252" s="320">
        <f>IFERROR(__xludf.DUMMYFUNCTION("""COMPUTED_VALUE"""),2024.0)</f>
        <v>2024</v>
      </c>
      <c r="Z252" s="320">
        <f>IFERROR(__xludf.DUMMYFUNCTION("""COMPUTED_VALUE"""),8753.0)</f>
        <v>8753</v>
      </c>
      <c r="AA252" s="320">
        <f>IFERROR(__xludf.DUMMYFUNCTION("""COMPUTED_VALUE"""),59.5237)</f>
        <v>59.5237</v>
      </c>
      <c r="AB252" s="320">
        <f>IFERROR(__xludf.DUMMYFUNCTION("""COMPUTED_VALUE"""),0.821)</f>
        <v>0.821</v>
      </c>
      <c r="AC252" s="320">
        <f>IFERROR(__xludf.DUMMYFUNCTION("""COMPUTED_VALUE"""),37.45)</f>
        <v>37.45</v>
      </c>
      <c r="AD252" s="320">
        <f>IFERROR(__xludf.DUMMYFUNCTION("""COMPUTED_VALUE"""),15.0)</f>
        <v>15</v>
      </c>
      <c r="AE252" s="320">
        <f>IFERROR(__xludf.DUMMYFUNCTION("""COMPUTED_VALUE"""),29.0)</f>
        <v>29</v>
      </c>
      <c r="AF252" s="320">
        <f>IFERROR(__xludf.DUMMYFUNCTION("""COMPUTED_VALUE"""),51.0)</f>
        <v>51</v>
      </c>
      <c r="AG252" s="320">
        <f>IFERROR(__xludf.DUMMYFUNCTION("""COMPUTED_VALUE"""),78.0)</f>
        <v>78</v>
      </c>
      <c r="AH252" s="320">
        <f>IFERROR(__xludf.DUMMYFUNCTION("""COMPUTED_VALUE"""),52.35)</f>
        <v>52.35</v>
      </c>
      <c r="AI252" s="320">
        <f>IFERROR(__xludf.DUMMYFUNCTION("""COMPUTED_VALUE"""),19.04)</f>
        <v>19.04</v>
      </c>
      <c r="AJ252" s="320">
        <f>IFERROR(__xludf.DUMMYFUNCTION("""COMPUTED_VALUE"""),4.59)</f>
        <v>4.59</v>
      </c>
      <c r="AK252" s="320">
        <f>IFERROR(__xludf.DUMMYFUNCTION("""COMPUTED_VALUE"""),0.1214)</f>
        <v>0.1214</v>
      </c>
      <c r="AL252" s="320">
        <f>IFERROR(__xludf.DUMMYFUNCTION("""COMPUTED_VALUE"""),20.71)</f>
        <v>20.71</v>
      </c>
      <c r="AM252" s="320">
        <f>IFERROR(__xludf.DUMMYFUNCTION("""COMPUTED_VALUE"""),189.52)</f>
        <v>189.52</v>
      </c>
      <c r="AN252" s="320">
        <f>IFERROR(__xludf.DUMMYFUNCTION("""COMPUTED_VALUE"""),82.35)</f>
        <v>82.35</v>
      </c>
      <c r="AO252" s="320">
        <f>IFERROR(__xludf.DUMMYFUNCTION("""COMPUTED_VALUE"""),17.05)</f>
        <v>17.05</v>
      </c>
    </row>
    <row r="253" ht="15.75" customHeight="1">
      <c r="A253" s="330">
        <f>IFERROR(__xludf.DUMMYFUNCTION("""COMPUTED_VALUE"""),46091.0)</f>
        <v>46091</v>
      </c>
      <c r="B253" s="319" t="str">
        <f>IFERROR(__xludf.DUMMYFUNCTION("""COMPUTED_VALUE"""),"F. 100+")</f>
        <v>F. 100+</v>
      </c>
      <c r="C253" s="320">
        <f>IFERROR(__xludf.DUMMYFUNCTION("""COMPUTED_VALUE"""),654.0)</f>
        <v>654</v>
      </c>
      <c r="D253" s="320">
        <f>IFERROR(__xludf.DUMMYFUNCTION("""COMPUTED_VALUE"""),0.59)</f>
        <v>0.59</v>
      </c>
      <c r="E253" s="320">
        <f>IFERROR(__xludf.DUMMYFUNCTION("""COMPUTED_VALUE"""),0.0)</f>
        <v>0</v>
      </c>
      <c r="F253" s="320">
        <f>IFERROR(__xludf.DUMMYFUNCTION("""COMPUTED_VALUE"""),0.0)</f>
        <v>0</v>
      </c>
      <c r="G253" s="320">
        <f>IFERROR(__xludf.DUMMYFUNCTION("""COMPUTED_VALUE"""),0.0)</f>
        <v>0</v>
      </c>
      <c r="H253" s="106"/>
      <c r="I253" s="320">
        <f>IFERROR(__xludf.DUMMYFUNCTION("""COMPUTED_VALUE"""),252.51)</f>
        <v>252.51</v>
      </c>
      <c r="J253" s="320">
        <f>IFERROR(__xludf.DUMMYFUNCTION("""COMPUTED_VALUE"""),149.0)</f>
        <v>149</v>
      </c>
      <c r="K253" s="320">
        <f>IFERROR(__xludf.DUMMYFUNCTION("""COMPUTED_VALUE"""),130.59)</f>
        <v>130.59</v>
      </c>
      <c r="L253" s="320">
        <f>IFERROR(__xludf.DUMMYFUNCTION("""COMPUTED_VALUE"""),0.8764)</f>
        <v>0.8764</v>
      </c>
      <c r="M253" s="320">
        <f>IFERROR(__xludf.DUMMYFUNCTION("""COMPUTED_VALUE"""),0.2764)</f>
        <v>0.2764</v>
      </c>
      <c r="N253" s="320">
        <f>IFERROR(__xludf.DUMMYFUNCTION("""COMPUTED_VALUE"""),0.209)</f>
        <v>0.209</v>
      </c>
      <c r="O253" s="320">
        <f>IFERROR(__xludf.DUMMYFUNCTION("""COMPUTED_VALUE"""),1.141)</f>
        <v>1.141</v>
      </c>
      <c r="P253" s="320">
        <f>IFERROR(__xludf.DUMMYFUNCTION("""COMPUTED_VALUE"""),645.7)</f>
        <v>645.7</v>
      </c>
      <c r="Q253" s="320">
        <f>IFERROR(__xludf.DUMMYFUNCTION("""COMPUTED_VALUE"""),368.83)</f>
        <v>368.83</v>
      </c>
      <c r="R253" s="320">
        <f>IFERROR(__xludf.DUMMYFUNCTION("""COMPUTED_VALUE"""),276.87)</f>
        <v>276.87</v>
      </c>
      <c r="S253" s="320">
        <f>IFERROR(__xludf.DUMMYFUNCTION("""COMPUTED_VALUE"""),0.0)</f>
        <v>0</v>
      </c>
      <c r="T253" s="320">
        <f>IFERROR(__xludf.DUMMYFUNCTION("""COMPUTED_VALUE"""),645.7)</f>
        <v>645.7</v>
      </c>
      <c r="U253" s="320">
        <f>IFERROR(__xludf.DUMMYFUNCTION("""COMPUTED_VALUE"""),737.23)</f>
        <v>737.23</v>
      </c>
      <c r="V253" s="320">
        <f>IFERROR(__xludf.DUMMYFUNCTION("""COMPUTED_VALUE"""),4.9478)</f>
        <v>4.9478</v>
      </c>
      <c r="W253" s="320">
        <f>IFERROR(__xludf.DUMMYFUNCTION("""COMPUTED_VALUE"""),0.0)</f>
        <v>0</v>
      </c>
      <c r="X253" s="320">
        <f>IFERROR(__xludf.DUMMYFUNCTION("""COMPUTED_VALUE"""),734.0)</f>
        <v>734</v>
      </c>
      <c r="Y253" s="320">
        <f>IFERROR(__xludf.DUMMYFUNCTION("""COMPUTED_VALUE"""),4225.0)</f>
        <v>4225</v>
      </c>
      <c r="Z253" s="320">
        <f>IFERROR(__xludf.DUMMYFUNCTION("""COMPUTED_VALUE"""),11505.0)</f>
        <v>11505</v>
      </c>
      <c r="AA253" s="320">
        <f>IFERROR(__xludf.DUMMYFUNCTION("""COMPUTED_VALUE"""),63.3123)</f>
        <v>63.3123</v>
      </c>
      <c r="AB253" s="320">
        <f>IFERROR(__xludf.DUMMYFUNCTION("""COMPUTED_VALUE"""),0.8981)</f>
        <v>0.8981</v>
      </c>
      <c r="AC253" s="320">
        <f>IFERROR(__xludf.DUMMYFUNCTION("""COMPUTED_VALUE"""),87.81)</f>
        <v>87.81</v>
      </c>
      <c r="AD253" s="320">
        <f>IFERROR(__xludf.DUMMYFUNCTION("""COMPUTED_VALUE"""),40.0)</f>
        <v>40</v>
      </c>
      <c r="AE253" s="320">
        <f>IFERROR(__xludf.DUMMYFUNCTION("""COMPUTED_VALUE"""),72.0)</f>
        <v>72</v>
      </c>
      <c r="AF253" s="320">
        <f>IFERROR(__xludf.DUMMYFUNCTION("""COMPUTED_VALUE"""),121.0)</f>
        <v>121</v>
      </c>
      <c r="AG253" s="320">
        <f>IFERROR(__xludf.DUMMYFUNCTION("""COMPUTED_VALUE"""),169.0)</f>
        <v>169</v>
      </c>
      <c r="AH253" s="320">
        <f>IFERROR(__xludf.DUMMYFUNCTION("""COMPUTED_VALUE"""),46.64)</f>
        <v>46.64</v>
      </c>
      <c r="AI253" s="320">
        <f>IFERROR(__xludf.DUMMYFUNCTION("""COMPUTED_VALUE"""),8.1)</f>
        <v>8.1</v>
      </c>
      <c r="AJ253" s="320">
        <f>IFERROR(__xludf.DUMMYFUNCTION("""COMPUTED_VALUE"""),1.83)</f>
        <v>1.83</v>
      </c>
      <c r="AK253" s="320">
        <f>IFERROR(__xludf.DUMMYFUNCTION("""COMPUTED_VALUE"""),0.0795)</f>
        <v>0.0795</v>
      </c>
      <c r="AL253" s="320">
        <f>IFERROR(__xludf.DUMMYFUNCTION("""COMPUTED_VALUE"""),20.78)</f>
        <v>20.78</v>
      </c>
      <c r="AM253" s="320">
        <f>IFERROR(__xludf.DUMMYFUNCTION("""COMPUTED_VALUE"""),348.05)</f>
        <v>348.05</v>
      </c>
      <c r="AN253" s="320">
        <f>IFERROR(__xludf.DUMMYFUNCTION("""COMPUTED_VALUE"""),84.75)</f>
        <v>84.75</v>
      </c>
      <c r="AO253" s="320">
        <f>IFERROR(__xludf.DUMMYFUNCTION("""COMPUTED_VALUE"""),17.61)</f>
        <v>17.61</v>
      </c>
    </row>
    <row r="254" ht="15.75" customHeight="1">
      <c r="A254" s="330">
        <f>IFERROR(__xludf.DUMMYFUNCTION("""COMPUTED_VALUE"""),46092.0)</f>
        <v>46092</v>
      </c>
      <c r="B254" s="319" t="str">
        <f>IFERROR(__xludf.DUMMYFUNCTION("""COMPUTED_VALUE"""),"A. 0")</f>
        <v>A. 0</v>
      </c>
      <c r="C254" s="320">
        <f>IFERROR(__xludf.DUMMYFUNCTION("""COMPUTED_VALUE"""),20866.0)</f>
        <v>20866</v>
      </c>
      <c r="D254" s="320">
        <f>IFERROR(__xludf.DUMMYFUNCTION("""COMPUTED_VALUE"""),19.15)</f>
        <v>19.15</v>
      </c>
      <c r="E254" s="320">
        <f>IFERROR(__xludf.DUMMYFUNCTION("""COMPUTED_VALUE"""),0.0)</f>
        <v>0</v>
      </c>
      <c r="F254" s="320">
        <f>IFERROR(__xludf.DUMMYFUNCTION("""COMPUTED_VALUE"""),0.0)</f>
        <v>0</v>
      </c>
      <c r="G254" s="320">
        <f>IFERROR(__xludf.DUMMYFUNCTION("""COMPUTED_VALUE"""),0.0)</f>
        <v>0</v>
      </c>
      <c r="H254" s="106"/>
      <c r="I254" s="320">
        <f>IFERROR(__xludf.DUMMYFUNCTION("""COMPUTED_VALUE"""),6.17)</f>
        <v>6.17</v>
      </c>
      <c r="J254" s="320">
        <f>IFERROR(__xludf.DUMMYFUNCTION("""COMPUTED_VALUE"""),2.49)</f>
        <v>2.49</v>
      </c>
      <c r="K254" s="320">
        <f>IFERROR(__xludf.DUMMYFUNCTION("""COMPUTED_VALUE"""),0.04)</f>
        <v>0.04</v>
      </c>
      <c r="L254" s="320">
        <f>IFERROR(__xludf.DUMMYFUNCTION("""COMPUTED_VALUE"""),0.0153)</f>
        <v>0.0153</v>
      </c>
      <c r="M254" s="320">
        <f>IFERROR(__xludf.DUMMYFUNCTION("""COMPUTED_VALUE"""),0.9885)</f>
        <v>0.9885</v>
      </c>
      <c r="N254" s="320">
        <f>IFERROR(__xludf.DUMMYFUNCTION("""COMPUTED_VALUE"""),0.8568)</f>
        <v>0.8568</v>
      </c>
      <c r="O254" s="320">
        <f>IFERROR(__xludf.DUMMYFUNCTION("""COMPUTED_VALUE"""),65.147)</f>
        <v>65.147</v>
      </c>
      <c r="P254" s="320">
        <f>IFERROR(__xludf.DUMMYFUNCTION("""COMPUTED_VALUE"""),21.93)</f>
        <v>21.93</v>
      </c>
      <c r="Q254" s="320">
        <f>IFERROR(__xludf.DUMMYFUNCTION("""COMPUTED_VALUE"""),21.81)</f>
        <v>21.81</v>
      </c>
      <c r="R254" s="320">
        <f>IFERROR(__xludf.DUMMYFUNCTION("""COMPUTED_VALUE"""),0.12)</f>
        <v>0.12</v>
      </c>
      <c r="S254" s="320">
        <f>IFERROR(__xludf.DUMMYFUNCTION("""COMPUTED_VALUE"""),0.0)</f>
        <v>0</v>
      </c>
      <c r="T254" s="320">
        <f>IFERROR(__xludf.DUMMYFUNCTION("""COMPUTED_VALUE"""),21.93)</f>
        <v>21.93</v>
      </c>
      <c r="U254" s="320">
        <f>IFERROR(__xludf.DUMMYFUNCTION("""COMPUTED_VALUE"""),1.77)</f>
        <v>1.77</v>
      </c>
      <c r="V254" s="320">
        <f>IFERROR(__xludf.DUMMYFUNCTION("""COMPUTED_VALUE"""),0.7125)</f>
        <v>0.7125</v>
      </c>
      <c r="W254" s="320">
        <f>IFERROR(__xludf.DUMMYFUNCTION("""COMPUTED_VALUE"""),0.0)</f>
        <v>0</v>
      </c>
      <c r="X254" s="320">
        <f>IFERROR(__xludf.DUMMYFUNCTION("""COMPUTED_VALUE"""),336.0)</f>
        <v>336</v>
      </c>
      <c r="Y254" s="320">
        <f>IFERROR(__xludf.DUMMYFUNCTION("""COMPUTED_VALUE"""),3887.0)</f>
        <v>3887</v>
      </c>
      <c r="Z254" s="320">
        <f>IFERROR(__xludf.DUMMYFUNCTION("""COMPUTED_VALUE"""),14982.0)</f>
        <v>14982</v>
      </c>
      <c r="AA254" s="320">
        <f>IFERROR(__xludf.DUMMYFUNCTION("""COMPUTED_VALUE"""),49.4167)</f>
        <v>49.4167</v>
      </c>
      <c r="AB254" s="320">
        <f>IFERROR(__xludf.DUMMYFUNCTION("""COMPUTED_VALUE"""),0.5485)</f>
        <v>0.5485</v>
      </c>
      <c r="AC254" s="106"/>
      <c r="AD254" s="106"/>
      <c r="AE254" s="106"/>
      <c r="AF254" s="106"/>
      <c r="AG254" s="106"/>
      <c r="AH254" s="320">
        <f>IFERROR(__xludf.DUMMYFUNCTION("""COMPUTED_VALUE"""),0.0)</f>
        <v>0</v>
      </c>
      <c r="AI254" s="320">
        <f>IFERROR(__xludf.DUMMYFUNCTION("""COMPUTED_VALUE"""),0.0)</f>
        <v>0</v>
      </c>
      <c r="AJ254" s="320">
        <f>IFERROR(__xludf.DUMMYFUNCTION("""COMPUTED_VALUE"""),0.0)</f>
        <v>0</v>
      </c>
      <c r="AK254" s="320">
        <f>IFERROR(__xludf.DUMMYFUNCTION("""COMPUTED_VALUE"""),0.285)</f>
        <v>0.285</v>
      </c>
      <c r="AL254" s="320">
        <f>IFERROR(__xludf.DUMMYFUNCTION("""COMPUTED_VALUE"""),16.05)</f>
        <v>16.05</v>
      </c>
      <c r="AM254" s="320">
        <f>IFERROR(__xludf.DUMMYFUNCTION("""COMPUTED_VALUE"""),5.76)</f>
        <v>5.76</v>
      </c>
      <c r="AN254" s="331"/>
      <c r="AO254" s="331"/>
    </row>
    <row r="255" ht="15.75" customHeight="1">
      <c r="A255" s="330">
        <f>IFERROR(__xludf.DUMMYFUNCTION("""COMPUTED_VALUE"""),46092.0)</f>
        <v>46092</v>
      </c>
      <c r="B255" s="319" t="str">
        <f>IFERROR(__xludf.DUMMYFUNCTION("""COMPUTED_VALUE"""),"B. 1-9")</f>
        <v>B. 1-9</v>
      </c>
      <c r="C255" s="320">
        <f>IFERROR(__xludf.DUMMYFUNCTION("""COMPUTED_VALUE"""),38888.0)</f>
        <v>38888</v>
      </c>
      <c r="D255" s="320">
        <f>IFERROR(__xludf.DUMMYFUNCTION("""COMPUTED_VALUE"""),35.69)</f>
        <v>35.69</v>
      </c>
      <c r="E255" s="320">
        <f>IFERROR(__xludf.DUMMYFUNCTION("""COMPUTED_VALUE"""),0.0)</f>
        <v>0</v>
      </c>
      <c r="F255" s="320">
        <f>IFERROR(__xludf.DUMMYFUNCTION("""COMPUTED_VALUE"""),0.0)</f>
        <v>0</v>
      </c>
      <c r="G255" s="320">
        <f>IFERROR(__xludf.DUMMYFUNCTION("""COMPUTED_VALUE"""),0.0)</f>
        <v>0</v>
      </c>
      <c r="H255" s="106"/>
      <c r="I255" s="320">
        <f>IFERROR(__xludf.DUMMYFUNCTION("""COMPUTED_VALUE"""),29.5)</f>
        <v>29.5</v>
      </c>
      <c r="J255" s="320">
        <f>IFERROR(__xludf.DUMMYFUNCTION("""COMPUTED_VALUE"""),13.39)</f>
        <v>13.39</v>
      </c>
      <c r="K255" s="320">
        <f>IFERROR(__xludf.DUMMYFUNCTION("""COMPUTED_VALUE"""),5.45)</f>
        <v>5.45</v>
      </c>
      <c r="L255" s="320">
        <f>IFERROR(__xludf.DUMMYFUNCTION("""COMPUTED_VALUE"""),0.4067)</f>
        <v>0.4067</v>
      </c>
      <c r="M255" s="320">
        <f>IFERROR(__xludf.DUMMYFUNCTION("""COMPUTED_VALUE"""),0.7626)</f>
        <v>0.7626</v>
      </c>
      <c r="N255" s="320">
        <f>IFERROR(__xludf.DUMMYFUNCTION("""COMPUTED_VALUE"""),0.5671)</f>
        <v>0.5671</v>
      </c>
      <c r="O255" s="320">
        <f>IFERROR(__xludf.DUMMYFUNCTION("""COMPUTED_VALUE"""),2.4586)</f>
        <v>2.4586</v>
      </c>
      <c r="P255" s="320">
        <f>IFERROR(__xludf.DUMMYFUNCTION("""COMPUTED_VALUE"""),46.16)</f>
        <v>46.16</v>
      </c>
      <c r="Q255" s="320">
        <f>IFERROR(__xludf.DUMMYFUNCTION("""COMPUTED_VALUE"""),34.66)</f>
        <v>34.66</v>
      </c>
      <c r="R255" s="320">
        <f>IFERROR(__xludf.DUMMYFUNCTION("""COMPUTED_VALUE"""),11.51)</f>
        <v>11.51</v>
      </c>
      <c r="S255" s="320">
        <f>IFERROR(__xludf.DUMMYFUNCTION("""COMPUTED_VALUE"""),0.1)</f>
        <v>0.1</v>
      </c>
      <c r="T255" s="320">
        <f>IFERROR(__xludf.DUMMYFUNCTION("""COMPUTED_VALUE"""),46.07)</f>
        <v>46.07</v>
      </c>
      <c r="U255" s="320">
        <f>IFERROR(__xludf.DUMMYFUNCTION("""COMPUTED_VALUE"""),50.26)</f>
        <v>50.26</v>
      </c>
      <c r="V255" s="320">
        <f>IFERROR(__xludf.DUMMYFUNCTION("""COMPUTED_VALUE"""),3.7526)</f>
        <v>3.7526</v>
      </c>
      <c r="W255" s="320">
        <f>IFERROR(__xludf.DUMMYFUNCTION("""COMPUTED_VALUE"""),0.21)</f>
        <v>0.21</v>
      </c>
      <c r="X255" s="320">
        <f>IFERROR(__xludf.DUMMYFUNCTION("""COMPUTED_VALUE"""),141.0)</f>
        <v>141</v>
      </c>
      <c r="Y255" s="320">
        <f>IFERROR(__xludf.DUMMYFUNCTION("""COMPUTED_VALUE"""),888.0)</f>
        <v>888</v>
      </c>
      <c r="Z255" s="320">
        <f>IFERROR(__xludf.DUMMYFUNCTION("""COMPUTED_VALUE"""),5594.0)</f>
        <v>5594</v>
      </c>
      <c r="AA255" s="320">
        <f>IFERROR(__xludf.DUMMYFUNCTION("""COMPUTED_VALUE"""),49.095)</f>
        <v>49.095</v>
      </c>
      <c r="AB255" s="320">
        <f>IFERROR(__xludf.DUMMYFUNCTION("""COMPUTED_VALUE"""),0.5346)</f>
        <v>0.5346</v>
      </c>
      <c r="AC255" s="320">
        <f>IFERROR(__xludf.DUMMYFUNCTION("""COMPUTED_VALUE"""),3.9)</f>
        <v>3.9</v>
      </c>
      <c r="AD255" s="320">
        <f>IFERROR(__xludf.DUMMYFUNCTION("""COMPUTED_VALUE"""),1.0)</f>
        <v>1</v>
      </c>
      <c r="AE255" s="320">
        <f>IFERROR(__xludf.DUMMYFUNCTION("""COMPUTED_VALUE"""),3.0)</f>
        <v>3</v>
      </c>
      <c r="AF255" s="320">
        <f>IFERROR(__xludf.DUMMYFUNCTION("""COMPUTED_VALUE"""),5.0)</f>
        <v>5</v>
      </c>
      <c r="AG255" s="320">
        <f>IFERROR(__xludf.DUMMYFUNCTION("""COMPUTED_VALUE"""),9.0)</f>
        <v>9</v>
      </c>
      <c r="AH255" s="320">
        <f>IFERROR(__xludf.DUMMYFUNCTION("""COMPUTED_VALUE"""),72.5)</f>
        <v>72.5</v>
      </c>
      <c r="AI255" s="320">
        <f>IFERROR(__xludf.DUMMYFUNCTION("""COMPUTED_VALUE"""),30.2)</f>
        <v>30.2</v>
      </c>
      <c r="AJ255" s="320">
        <f>IFERROR(__xludf.DUMMYFUNCTION("""COMPUTED_VALUE"""),8.02)</f>
        <v>8.02</v>
      </c>
      <c r="AK255" s="320">
        <f>IFERROR(__xludf.DUMMYFUNCTION("""COMPUTED_VALUE"""),0.2415)</f>
        <v>0.2415</v>
      </c>
      <c r="AL255" s="320">
        <f>IFERROR(__xludf.DUMMYFUNCTION("""COMPUTED_VALUE"""),18.63)</f>
        <v>18.63</v>
      </c>
      <c r="AM255" s="320">
        <f>IFERROR(__xludf.DUMMYFUNCTION("""COMPUTED_VALUE"""),16.02)</f>
        <v>16.02</v>
      </c>
      <c r="AN255" s="320">
        <f>IFERROR(__xludf.DUMMYFUNCTION("""COMPUTED_VALUE"""),66.66)</f>
        <v>66.66</v>
      </c>
      <c r="AO255" s="320">
        <f>IFERROR(__xludf.DUMMYFUNCTION("""COMPUTED_VALUE"""),12.42)</f>
        <v>12.42</v>
      </c>
    </row>
    <row r="256" ht="15.75" customHeight="1">
      <c r="A256" s="330">
        <f>IFERROR(__xludf.DUMMYFUNCTION("""COMPUTED_VALUE"""),46092.0)</f>
        <v>46092</v>
      </c>
      <c r="B256" s="319" t="str">
        <f>IFERROR(__xludf.DUMMYFUNCTION("""COMPUTED_VALUE"""),"C. 10-19")</f>
        <v>C. 10-19</v>
      </c>
      <c r="C256" s="320">
        <f>IFERROR(__xludf.DUMMYFUNCTION("""COMPUTED_VALUE"""),28194.0)</f>
        <v>28194</v>
      </c>
      <c r="D256" s="320">
        <f>IFERROR(__xludf.DUMMYFUNCTION("""COMPUTED_VALUE"""),25.88)</f>
        <v>25.88</v>
      </c>
      <c r="E256" s="320">
        <f>IFERROR(__xludf.DUMMYFUNCTION("""COMPUTED_VALUE"""),0.0)</f>
        <v>0</v>
      </c>
      <c r="F256" s="320">
        <f>IFERROR(__xludf.DUMMYFUNCTION("""COMPUTED_VALUE"""),0.0)</f>
        <v>0</v>
      </c>
      <c r="G256" s="320">
        <f>IFERROR(__xludf.DUMMYFUNCTION("""COMPUTED_VALUE"""),0.0)</f>
        <v>0</v>
      </c>
      <c r="H256" s="106"/>
      <c r="I256" s="320">
        <f>IFERROR(__xludf.DUMMYFUNCTION("""COMPUTED_VALUE"""),56.29)</f>
        <v>56.29</v>
      </c>
      <c r="J256" s="320">
        <f>IFERROR(__xludf.DUMMYFUNCTION("""COMPUTED_VALUE"""),26.88)</f>
        <v>26.88</v>
      </c>
      <c r="K256" s="320">
        <f>IFERROR(__xludf.DUMMYFUNCTION("""COMPUTED_VALUE"""),14.14)</f>
        <v>14.14</v>
      </c>
      <c r="L256" s="320">
        <f>IFERROR(__xludf.DUMMYFUNCTION("""COMPUTED_VALUE"""),0.5261)</f>
        <v>0.5261</v>
      </c>
      <c r="M256" s="320">
        <f>IFERROR(__xludf.DUMMYFUNCTION("""COMPUTED_VALUE"""),0.6625)</f>
        <v>0.6625</v>
      </c>
      <c r="N256" s="320">
        <f>IFERROR(__xludf.DUMMYFUNCTION("""COMPUTED_VALUE"""),0.4591)</f>
        <v>0.4591</v>
      </c>
      <c r="O256" s="320">
        <f>IFERROR(__xludf.DUMMYFUNCTION("""COMPUTED_VALUE"""),1.9006)</f>
        <v>1.9006</v>
      </c>
      <c r="P256" s="320">
        <f>IFERROR(__xludf.DUMMYFUNCTION("""COMPUTED_VALUE"""),76.48)</f>
        <v>76.48</v>
      </c>
      <c r="Q256" s="320">
        <f>IFERROR(__xludf.DUMMYFUNCTION("""COMPUTED_VALUE"""),48.69)</f>
        <v>48.69</v>
      </c>
      <c r="R256" s="320">
        <f>IFERROR(__xludf.DUMMYFUNCTION("""COMPUTED_VALUE"""),27.79)</f>
        <v>27.79</v>
      </c>
      <c r="S256" s="320">
        <f>IFERROR(__xludf.DUMMYFUNCTION("""COMPUTED_VALUE"""),0.0)</f>
        <v>0</v>
      </c>
      <c r="T256" s="320">
        <f>IFERROR(__xludf.DUMMYFUNCTION("""COMPUTED_VALUE"""),76.48)</f>
        <v>76.48</v>
      </c>
      <c r="U256" s="320">
        <f>IFERROR(__xludf.DUMMYFUNCTION("""COMPUTED_VALUE"""),91.01)</f>
        <v>91.01</v>
      </c>
      <c r="V256" s="320">
        <f>IFERROR(__xludf.DUMMYFUNCTION("""COMPUTED_VALUE"""),3.3857)</f>
        <v>3.3857</v>
      </c>
      <c r="W256" s="320">
        <f>IFERROR(__xludf.DUMMYFUNCTION("""COMPUTED_VALUE"""),0.0)</f>
        <v>0</v>
      </c>
      <c r="X256" s="320">
        <f>IFERROR(__xludf.DUMMYFUNCTION("""COMPUTED_VALUE"""),115.0)</f>
        <v>115</v>
      </c>
      <c r="Y256" s="320">
        <f>IFERROR(__xludf.DUMMYFUNCTION("""COMPUTED_VALUE"""),693.0)</f>
        <v>693</v>
      </c>
      <c r="Z256" s="320">
        <f>IFERROR(__xludf.DUMMYFUNCTION("""COMPUTED_VALUE"""),5534.0)</f>
        <v>5534</v>
      </c>
      <c r="AA256" s="320">
        <f>IFERROR(__xludf.DUMMYFUNCTION("""COMPUTED_VALUE"""),52.1624)</f>
        <v>52.1624</v>
      </c>
      <c r="AB256" s="320">
        <f>IFERROR(__xludf.DUMMYFUNCTION("""COMPUTED_VALUE"""),0.6037)</f>
        <v>0.6037</v>
      </c>
      <c r="AC256" s="320">
        <f>IFERROR(__xludf.DUMMYFUNCTION("""COMPUTED_VALUE"""),8.71)</f>
        <v>8.71</v>
      </c>
      <c r="AD256" s="320">
        <f>IFERROR(__xludf.DUMMYFUNCTION("""COMPUTED_VALUE"""),3.0)</f>
        <v>3</v>
      </c>
      <c r="AE256" s="320">
        <f>IFERROR(__xludf.DUMMYFUNCTION("""COMPUTED_VALUE"""),7.0)</f>
        <v>7</v>
      </c>
      <c r="AF256" s="320">
        <f>IFERROR(__xludf.DUMMYFUNCTION("""COMPUTED_VALUE"""),12.0)</f>
        <v>12</v>
      </c>
      <c r="AG256" s="320">
        <f>IFERROR(__xludf.DUMMYFUNCTION("""COMPUTED_VALUE"""),18.0)</f>
        <v>18</v>
      </c>
      <c r="AH256" s="320">
        <f>IFERROR(__xludf.DUMMYFUNCTION("""COMPUTED_VALUE"""),57.07)</f>
        <v>57.07</v>
      </c>
      <c r="AI256" s="320">
        <f>IFERROR(__xludf.DUMMYFUNCTION("""COMPUTED_VALUE"""),23.27)</f>
        <v>23.27</v>
      </c>
      <c r="AJ256" s="320">
        <f>IFERROR(__xludf.DUMMYFUNCTION("""COMPUTED_VALUE"""),3.55)</f>
        <v>3.55</v>
      </c>
      <c r="AK256" s="320">
        <f>IFERROR(__xludf.DUMMYFUNCTION("""COMPUTED_VALUE"""),0.1846)</f>
        <v>0.1846</v>
      </c>
      <c r="AL256" s="320">
        <f>IFERROR(__xludf.DUMMYFUNCTION("""COMPUTED_VALUE"""),19.26)</f>
        <v>19.26</v>
      </c>
      <c r="AM256" s="320">
        <f>IFERROR(__xludf.DUMMYFUNCTION("""COMPUTED_VALUE"""),29.43)</f>
        <v>29.43</v>
      </c>
      <c r="AN256" s="320">
        <f>IFERROR(__xludf.DUMMYFUNCTION("""COMPUTED_VALUE"""),73.53)</f>
        <v>73.53</v>
      </c>
      <c r="AO256" s="320">
        <f>IFERROR(__xludf.DUMMYFUNCTION("""COMPUTED_VALUE"""),14.16)</f>
        <v>14.16</v>
      </c>
    </row>
    <row r="257" ht="15.75" customHeight="1">
      <c r="A257" s="330">
        <f>IFERROR(__xludf.DUMMYFUNCTION("""COMPUTED_VALUE"""),46092.0)</f>
        <v>46092</v>
      </c>
      <c r="B257" s="319" t="str">
        <f>IFERROR(__xludf.DUMMYFUNCTION("""COMPUTED_VALUE"""),"D. 20-39")</f>
        <v>D. 20-39</v>
      </c>
      <c r="C257" s="320">
        <f>IFERROR(__xludf.DUMMYFUNCTION("""COMPUTED_VALUE"""),14568.0)</f>
        <v>14568</v>
      </c>
      <c r="D257" s="320">
        <f>IFERROR(__xludf.DUMMYFUNCTION("""COMPUTED_VALUE"""),13.37)</f>
        <v>13.37</v>
      </c>
      <c r="E257" s="320">
        <f>IFERROR(__xludf.DUMMYFUNCTION("""COMPUTED_VALUE"""),0.0)</f>
        <v>0</v>
      </c>
      <c r="F257" s="320">
        <f>IFERROR(__xludf.DUMMYFUNCTION("""COMPUTED_VALUE"""),0.0)</f>
        <v>0</v>
      </c>
      <c r="G257" s="320">
        <f>IFERROR(__xludf.DUMMYFUNCTION("""COMPUTED_VALUE"""),0.0)</f>
        <v>0</v>
      </c>
      <c r="H257" s="106"/>
      <c r="I257" s="320">
        <f>IFERROR(__xludf.DUMMYFUNCTION("""COMPUTED_VALUE"""),78.72)</f>
        <v>78.72</v>
      </c>
      <c r="J257" s="320">
        <f>IFERROR(__xludf.DUMMYFUNCTION("""COMPUTED_VALUE"""),40.09)</f>
        <v>40.09</v>
      </c>
      <c r="K257" s="320">
        <f>IFERROR(__xludf.DUMMYFUNCTION("""COMPUTED_VALUE"""),26.02)</f>
        <v>26.02</v>
      </c>
      <c r="L257" s="320">
        <f>IFERROR(__xludf.DUMMYFUNCTION("""COMPUTED_VALUE"""),0.6492)</f>
        <v>0.6492</v>
      </c>
      <c r="M257" s="320">
        <f>IFERROR(__xludf.DUMMYFUNCTION("""COMPUTED_VALUE"""),0.5384)</f>
        <v>0.5384</v>
      </c>
      <c r="N257" s="320">
        <f>IFERROR(__xludf.DUMMYFUNCTION("""COMPUTED_VALUE"""),0.3726)</f>
        <v>0.3726</v>
      </c>
      <c r="O257" s="320">
        <f>IFERROR(__xludf.DUMMYFUNCTION("""COMPUTED_VALUE"""),1.5404)</f>
        <v>1.5404</v>
      </c>
      <c r="P257" s="320">
        <f>IFERROR(__xludf.DUMMYFUNCTION("""COMPUTED_VALUE"""),125.09)</f>
        <v>125.09</v>
      </c>
      <c r="Q257" s="320">
        <f>IFERROR(__xludf.DUMMYFUNCTION("""COMPUTED_VALUE"""),70.8)</f>
        <v>70.8</v>
      </c>
      <c r="R257" s="320">
        <f>IFERROR(__xludf.DUMMYFUNCTION("""COMPUTED_VALUE"""),54.29)</f>
        <v>54.29</v>
      </c>
      <c r="S257" s="320">
        <f>IFERROR(__xludf.DUMMYFUNCTION("""COMPUTED_VALUE"""),0.86)</f>
        <v>0.86</v>
      </c>
      <c r="T257" s="320">
        <f>IFERROR(__xludf.DUMMYFUNCTION("""COMPUTED_VALUE"""),124.24)</f>
        <v>124.24</v>
      </c>
      <c r="U257" s="320">
        <f>IFERROR(__xludf.DUMMYFUNCTION("""COMPUTED_VALUE"""),156.92)</f>
        <v>156.92</v>
      </c>
      <c r="V257" s="320">
        <f>IFERROR(__xludf.DUMMYFUNCTION("""COMPUTED_VALUE"""),3.9145)</f>
        <v>3.9145</v>
      </c>
      <c r="W257" s="320">
        <f>IFERROR(__xludf.DUMMYFUNCTION("""COMPUTED_VALUE"""),0.69)</f>
        <v>0.69</v>
      </c>
      <c r="X257" s="320">
        <f>IFERROR(__xludf.DUMMYFUNCTION("""COMPUTED_VALUE"""),138.0)</f>
        <v>138</v>
      </c>
      <c r="Y257" s="320">
        <f>IFERROR(__xludf.DUMMYFUNCTION("""COMPUTED_VALUE"""),954.0)</f>
        <v>954</v>
      </c>
      <c r="Z257" s="320">
        <f>IFERROR(__xludf.DUMMYFUNCTION("""COMPUTED_VALUE"""),6407.0)</f>
        <v>6407</v>
      </c>
      <c r="AA257" s="320">
        <f>IFERROR(__xludf.DUMMYFUNCTION("""COMPUTED_VALUE"""),55.8918)</f>
        <v>55.8918</v>
      </c>
      <c r="AB257" s="320">
        <f>IFERROR(__xludf.DUMMYFUNCTION("""COMPUTED_VALUE"""),0.7325)</f>
        <v>0.7325</v>
      </c>
      <c r="AC257" s="320">
        <f>IFERROR(__xludf.DUMMYFUNCTION("""COMPUTED_VALUE"""),17.05)</f>
        <v>17.05</v>
      </c>
      <c r="AD257" s="320">
        <f>IFERROR(__xludf.DUMMYFUNCTION("""COMPUTED_VALUE"""),7.0)</f>
        <v>7</v>
      </c>
      <c r="AE257" s="320">
        <f>IFERROR(__xludf.DUMMYFUNCTION("""COMPUTED_VALUE"""),13.0)</f>
        <v>13</v>
      </c>
      <c r="AF257" s="320">
        <f>IFERROR(__xludf.DUMMYFUNCTION("""COMPUTED_VALUE"""),23.0)</f>
        <v>23</v>
      </c>
      <c r="AG257" s="320">
        <f>IFERROR(__xludf.DUMMYFUNCTION("""COMPUTED_VALUE"""),36.0)</f>
        <v>36</v>
      </c>
      <c r="AH257" s="320">
        <f>IFERROR(__xludf.DUMMYFUNCTION("""COMPUTED_VALUE"""),57.47)</f>
        <v>57.47</v>
      </c>
      <c r="AI257" s="320">
        <f>IFERROR(__xludf.DUMMYFUNCTION("""COMPUTED_VALUE"""),21.42)</f>
        <v>21.42</v>
      </c>
      <c r="AJ257" s="320">
        <f>IFERROR(__xludf.DUMMYFUNCTION("""COMPUTED_VALUE"""),6.4)</f>
        <v>6.4</v>
      </c>
      <c r="AK257" s="320">
        <f>IFERROR(__xludf.DUMMYFUNCTION("""COMPUTED_VALUE"""),0.1792)</f>
        <v>0.1792</v>
      </c>
      <c r="AL257" s="320">
        <f>IFERROR(__xludf.DUMMYFUNCTION("""COMPUTED_VALUE"""),19.36)</f>
        <v>19.36</v>
      </c>
      <c r="AM257" s="320">
        <f>IFERROR(__xludf.DUMMYFUNCTION("""COMPUTED_VALUE"""),51.44)</f>
        <v>51.44</v>
      </c>
      <c r="AN257" s="320">
        <f>IFERROR(__xludf.DUMMYFUNCTION("""COMPUTED_VALUE"""),77.27)</f>
        <v>77.27</v>
      </c>
      <c r="AO257" s="320">
        <f>IFERROR(__xludf.DUMMYFUNCTION("""COMPUTED_VALUE"""),14.96)</f>
        <v>14.96</v>
      </c>
    </row>
    <row r="258" ht="15.75" customHeight="1">
      <c r="A258" s="330">
        <f>IFERROR(__xludf.DUMMYFUNCTION("""COMPUTED_VALUE"""),46092.0)</f>
        <v>46092</v>
      </c>
      <c r="B258" s="319" t="str">
        <f>IFERROR(__xludf.DUMMYFUNCTION("""COMPUTED_VALUE"""),"E. 40-99")</f>
        <v>E. 40-99</v>
      </c>
      <c r="C258" s="320">
        <f>IFERROR(__xludf.DUMMYFUNCTION("""COMPUTED_VALUE"""),5784.0)</f>
        <v>5784</v>
      </c>
      <c r="D258" s="320">
        <f>IFERROR(__xludf.DUMMYFUNCTION("""COMPUTED_VALUE"""),5.31)</f>
        <v>5.31</v>
      </c>
      <c r="E258" s="320">
        <f>IFERROR(__xludf.DUMMYFUNCTION("""COMPUTED_VALUE"""),0.0)</f>
        <v>0</v>
      </c>
      <c r="F258" s="320">
        <f>IFERROR(__xludf.DUMMYFUNCTION("""COMPUTED_VALUE"""),0.0)</f>
        <v>0</v>
      </c>
      <c r="G258" s="320">
        <f>IFERROR(__xludf.DUMMYFUNCTION("""COMPUTED_VALUE"""),0.0)</f>
        <v>0</v>
      </c>
      <c r="H258" s="106"/>
      <c r="I258" s="320">
        <f>IFERROR(__xludf.DUMMYFUNCTION("""COMPUTED_VALUE"""),131.66)</f>
        <v>131.66</v>
      </c>
      <c r="J258" s="320">
        <f>IFERROR(__xludf.DUMMYFUNCTION("""COMPUTED_VALUE"""),70.66)</f>
        <v>70.66</v>
      </c>
      <c r="K258" s="320">
        <f>IFERROR(__xludf.DUMMYFUNCTION("""COMPUTED_VALUE"""),54.11)</f>
        <v>54.11</v>
      </c>
      <c r="L258" s="320">
        <f>IFERROR(__xludf.DUMMYFUNCTION("""COMPUTED_VALUE"""),0.7658)</f>
        <v>0.7658</v>
      </c>
      <c r="M258" s="320">
        <f>IFERROR(__xludf.DUMMYFUNCTION("""COMPUTED_VALUE"""),0.4111)</f>
        <v>0.4111</v>
      </c>
      <c r="N258" s="320">
        <f>IFERROR(__xludf.DUMMYFUNCTION("""COMPUTED_VALUE"""),0.2896)</f>
        <v>0.2896</v>
      </c>
      <c r="O258" s="320">
        <f>IFERROR(__xludf.DUMMYFUNCTION("""COMPUTED_VALUE"""),1.3058)</f>
        <v>1.3058</v>
      </c>
      <c r="P258" s="320">
        <f>IFERROR(__xludf.DUMMYFUNCTION("""COMPUTED_VALUE"""),216.24)</f>
        <v>216.24</v>
      </c>
      <c r="Q258" s="320">
        <f>IFERROR(__xludf.DUMMYFUNCTION("""COMPUTED_VALUE"""),101.84)</f>
        <v>101.84</v>
      </c>
      <c r="R258" s="320">
        <f>IFERROR(__xludf.DUMMYFUNCTION("""COMPUTED_VALUE"""),114.4)</f>
        <v>114.4</v>
      </c>
      <c r="S258" s="320">
        <f>IFERROR(__xludf.DUMMYFUNCTION("""COMPUTED_VALUE"""),0.03)</f>
        <v>0.03</v>
      </c>
      <c r="T258" s="320">
        <f>IFERROR(__xludf.DUMMYFUNCTION("""COMPUTED_VALUE"""),216.21)</f>
        <v>216.21</v>
      </c>
      <c r="U258" s="320">
        <f>IFERROR(__xludf.DUMMYFUNCTION("""COMPUTED_VALUE"""),290.73)</f>
        <v>290.73</v>
      </c>
      <c r="V258" s="320">
        <f>IFERROR(__xludf.DUMMYFUNCTION("""COMPUTED_VALUE"""),4.1147)</f>
        <v>4.1147</v>
      </c>
      <c r="W258" s="320">
        <f>IFERROR(__xludf.DUMMYFUNCTION("""COMPUTED_VALUE"""),0.01)</f>
        <v>0.01</v>
      </c>
      <c r="X258" s="320">
        <f>IFERROR(__xludf.DUMMYFUNCTION("""COMPUTED_VALUE"""),226.0)</f>
        <v>226</v>
      </c>
      <c r="Y258" s="320">
        <f>IFERROR(__xludf.DUMMYFUNCTION("""COMPUTED_VALUE"""),1986.0)</f>
        <v>1986</v>
      </c>
      <c r="Z258" s="320">
        <f>IFERROR(__xludf.DUMMYFUNCTION("""COMPUTED_VALUE"""),8554.0)</f>
        <v>8554</v>
      </c>
      <c r="AA258" s="320">
        <f>IFERROR(__xludf.DUMMYFUNCTION("""COMPUTED_VALUE"""),59.5196)</f>
        <v>59.5196</v>
      </c>
      <c r="AB258" s="320">
        <f>IFERROR(__xludf.DUMMYFUNCTION("""COMPUTED_VALUE"""),0.83)</f>
        <v>0.83</v>
      </c>
      <c r="AC258" s="320">
        <f>IFERROR(__xludf.DUMMYFUNCTION("""COMPUTED_VALUE"""),35.97)</f>
        <v>35.97</v>
      </c>
      <c r="AD258" s="320">
        <f>IFERROR(__xludf.DUMMYFUNCTION("""COMPUTED_VALUE"""),13.0)</f>
        <v>13</v>
      </c>
      <c r="AE258" s="320">
        <f>IFERROR(__xludf.DUMMYFUNCTION("""COMPUTED_VALUE"""),27.0)</f>
        <v>27</v>
      </c>
      <c r="AF258" s="320">
        <f>IFERROR(__xludf.DUMMYFUNCTION("""COMPUTED_VALUE"""),50.0)</f>
        <v>50</v>
      </c>
      <c r="AG258" s="320">
        <f>IFERROR(__xludf.DUMMYFUNCTION("""COMPUTED_VALUE"""),77.0)</f>
        <v>77</v>
      </c>
      <c r="AH258" s="320">
        <f>IFERROR(__xludf.DUMMYFUNCTION("""COMPUTED_VALUE"""),49.08)</f>
        <v>49.08</v>
      </c>
      <c r="AI258" s="320">
        <f>IFERROR(__xludf.DUMMYFUNCTION("""COMPUTED_VALUE"""),18.24)</f>
        <v>18.24</v>
      </c>
      <c r="AJ258" s="320">
        <f>IFERROR(__xludf.DUMMYFUNCTION("""COMPUTED_VALUE"""),4.48)</f>
        <v>4.48</v>
      </c>
      <c r="AK258" s="320">
        <f>IFERROR(__xludf.DUMMYFUNCTION("""COMPUTED_VALUE"""),0.1226)</f>
        <v>0.1226</v>
      </c>
      <c r="AL258" s="320">
        <f>IFERROR(__xludf.DUMMYFUNCTION("""COMPUTED_VALUE"""),20.26)</f>
        <v>20.26</v>
      </c>
      <c r="AM258" s="320">
        <f>IFERROR(__xludf.DUMMYFUNCTION("""COMPUTED_VALUE"""),81.58)</f>
        <v>81.58</v>
      </c>
      <c r="AN258" s="320">
        <f>IFERROR(__xludf.DUMMYFUNCTION("""COMPUTED_VALUE"""),83.04)</f>
        <v>83.04</v>
      </c>
      <c r="AO258" s="320">
        <f>IFERROR(__xludf.DUMMYFUNCTION("""COMPUTED_VALUE"""),16.82)</f>
        <v>16.82</v>
      </c>
    </row>
    <row r="259" ht="15.75" customHeight="1">
      <c r="A259" s="330">
        <f>IFERROR(__xludf.DUMMYFUNCTION("""COMPUTED_VALUE"""),46092.0)</f>
        <v>46092</v>
      </c>
      <c r="B259" s="319" t="str">
        <f>IFERROR(__xludf.DUMMYFUNCTION("""COMPUTED_VALUE"""),"F. 100+")</f>
        <v>F. 100+</v>
      </c>
      <c r="C259" s="320">
        <f>IFERROR(__xludf.DUMMYFUNCTION("""COMPUTED_VALUE"""),649.0)</f>
        <v>649</v>
      </c>
      <c r="D259" s="320">
        <f>IFERROR(__xludf.DUMMYFUNCTION("""COMPUTED_VALUE"""),0.6)</f>
        <v>0.6</v>
      </c>
      <c r="E259" s="320">
        <f>IFERROR(__xludf.DUMMYFUNCTION("""COMPUTED_VALUE"""),0.0)</f>
        <v>0</v>
      </c>
      <c r="F259" s="320">
        <f>IFERROR(__xludf.DUMMYFUNCTION("""COMPUTED_VALUE"""),0.0)</f>
        <v>0</v>
      </c>
      <c r="G259" s="320">
        <f>IFERROR(__xludf.DUMMYFUNCTION("""COMPUTED_VALUE"""),0.0)</f>
        <v>0</v>
      </c>
      <c r="H259" s="106"/>
      <c r="I259" s="320">
        <f>IFERROR(__xludf.DUMMYFUNCTION("""COMPUTED_VALUE"""),253.71)</f>
        <v>253.71</v>
      </c>
      <c r="J259" s="320">
        <f>IFERROR(__xludf.DUMMYFUNCTION("""COMPUTED_VALUE"""),147.91)</f>
        <v>147.91</v>
      </c>
      <c r="K259" s="320">
        <f>IFERROR(__xludf.DUMMYFUNCTION("""COMPUTED_VALUE"""),128.6)</f>
        <v>128.6</v>
      </c>
      <c r="L259" s="320">
        <f>IFERROR(__xludf.DUMMYFUNCTION("""COMPUTED_VALUE"""),0.8694)</f>
        <v>0.8694</v>
      </c>
      <c r="M259" s="320">
        <f>IFERROR(__xludf.DUMMYFUNCTION("""COMPUTED_VALUE"""),0.2854)</f>
        <v>0.2854</v>
      </c>
      <c r="N259" s="320">
        <f>IFERROR(__xludf.DUMMYFUNCTION("""COMPUTED_VALUE"""),0.2144)</f>
        <v>0.2144</v>
      </c>
      <c r="O259" s="320">
        <f>IFERROR(__xludf.DUMMYFUNCTION("""COMPUTED_VALUE"""),1.1502)</f>
        <v>1.1502</v>
      </c>
      <c r="P259" s="320">
        <f>IFERROR(__xludf.DUMMYFUNCTION("""COMPUTED_VALUE"""),434.44)</f>
        <v>434.44</v>
      </c>
      <c r="Q259" s="320">
        <f>IFERROR(__xludf.DUMMYFUNCTION("""COMPUTED_VALUE"""),162.2)</f>
        <v>162.2</v>
      </c>
      <c r="R259" s="320">
        <f>IFERROR(__xludf.DUMMYFUNCTION("""COMPUTED_VALUE"""),272.24)</f>
        <v>272.24</v>
      </c>
      <c r="S259" s="320">
        <f>IFERROR(__xludf.DUMMYFUNCTION("""COMPUTED_VALUE"""),0.0)</f>
        <v>0</v>
      </c>
      <c r="T259" s="320">
        <f>IFERROR(__xludf.DUMMYFUNCTION("""COMPUTED_VALUE"""),434.44)</f>
        <v>434.44</v>
      </c>
      <c r="U259" s="320">
        <f>IFERROR(__xludf.DUMMYFUNCTION("""COMPUTED_VALUE"""),836.75)</f>
        <v>836.75</v>
      </c>
      <c r="V259" s="320">
        <f>IFERROR(__xludf.DUMMYFUNCTION("""COMPUTED_VALUE"""),5.657)</f>
        <v>5.657</v>
      </c>
      <c r="W259" s="320">
        <f>IFERROR(__xludf.DUMMYFUNCTION("""COMPUTED_VALUE"""),0.0)</f>
        <v>0</v>
      </c>
      <c r="X259" s="320">
        <f>IFERROR(__xludf.DUMMYFUNCTION("""COMPUTED_VALUE"""),694.0)</f>
        <v>694</v>
      </c>
      <c r="Y259" s="320">
        <f>IFERROR(__xludf.DUMMYFUNCTION("""COMPUTED_VALUE"""),4304.0)</f>
        <v>4304</v>
      </c>
      <c r="Z259" s="320">
        <f>IFERROR(__xludf.DUMMYFUNCTION("""COMPUTED_VALUE"""),13253.0)</f>
        <v>13253</v>
      </c>
      <c r="AA259" s="320">
        <f>IFERROR(__xludf.DUMMYFUNCTION("""COMPUTED_VALUE"""),63.2025)</f>
        <v>63.2025</v>
      </c>
      <c r="AB259" s="320">
        <f>IFERROR(__xludf.DUMMYFUNCTION("""COMPUTED_VALUE"""),0.8986)</f>
        <v>0.8986</v>
      </c>
      <c r="AC259" s="320">
        <f>IFERROR(__xludf.DUMMYFUNCTION("""COMPUTED_VALUE"""),87.58)</f>
        <v>87.58</v>
      </c>
      <c r="AD259" s="320">
        <f>IFERROR(__xludf.DUMMYFUNCTION("""COMPUTED_VALUE"""),34.0)</f>
        <v>34</v>
      </c>
      <c r="AE259" s="320">
        <f>IFERROR(__xludf.DUMMYFUNCTION("""COMPUTED_VALUE"""),71.0)</f>
        <v>71</v>
      </c>
      <c r="AF259" s="320">
        <f>IFERROR(__xludf.DUMMYFUNCTION("""COMPUTED_VALUE"""),120.0)</f>
        <v>120</v>
      </c>
      <c r="AG259" s="320">
        <f>IFERROR(__xludf.DUMMYFUNCTION("""COMPUTED_VALUE"""),180.0)</f>
        <v>180</v>
      </c>
      <c r="AH259" s="320">
        <f>IFERROR(__xludf.DUMMYFUNCTION("""COMPUTED_VALUE"""),45.45)</f>
        <v>45.45</v>
      </c>
      <c r="AI259" s="320">
        <f>IFERROR(__xludf.DUMMYFUNCTION("""COMPUTED_VALUE"""),11.56)</f>
        <v>11.56</v>
      </c>
      <c r="AJ259" s="320">
        <f>IFERROR(__xludf.DUMMYFUNCTION("""COMPUTED_VALUE"""),1.69)</f>
        <v>1.69</v>
      </c>
      <c r="AK259" s="320">
        <f>IFERROR(__xludf.DUMMYFUNCTION("""COMPUTED_VALUE"""),0.074)</f>
        <v>0.074</v>
      </c>
      <c r="AL259" s="320">
        <f>IFERROR(__xludf.DUMMYFUNCTION("""COMPUTED_VALUE"""),23.58)</f>
        <v>23.58</v>
      </c>
      <c r="AM259" s="320">
        <f>IFERROR(__xludf.DUMMYFUNCTION("""COMPUTED_VALUE"""),138.61)</f>
        <v>138.61</v>
      </c>
      <c r="AN259" s="320">
        <f>IFERROR(__xludf.DUMMYFUNCTION("""COMPUTED_VALUE"""),85.38)</f>
        <v>85.38</v>
      </c>
      <c r="AO259" s="320">
        <f>IFERROR(__xludf.DUMMYFUNCTION("""COMPUTED_VALUE"""),20.13)</f>
        <v>20.13</v>
      </c>
    </row>
    <row r="260" ht="15.75" customHeight="1">
      <c r="A260" s="330">
        <f>IFERROR(__xludf.DUMMYFUNCTION("""COMPUTED_VALUE"""),46093.0)</f>
        <v>46093</v>
      </c>
      <c r="B260" s="319" t="str">
        <f>IFERROR(__xludf.DUMMYFUNCTION("""COMPUTED_VALUE"""),"A. 0")</f>
        <v>A. 0</v>
      </c>
      <c r="C260" s="320">
        <f>IFERROR(__xludf.DUMMYFUNCTION("""COMPUTED_VALUE"""),21127.0)</f>
        <v>21127</v>
      </c>
      <c r="D260" s="320">
        <f>IFERROR(__xludf.DUMMYFUNCTION("""COMPUTED_VALUE"""),19.77)</f>
        <v>19.77</v>
      </c>
      <c r="E260" s="320">
        <f>IFERROR(__xludf.DUMMYFUNCTION("""COMPUTED_VALUE"""),0.0)</f>
        <v>0</v>
      </c>
      <c r="F260" s="320">
        <f>IFERROR(__xludf.DUMMYFUNCTION("""COMPUTED_VALUE"""),0.0)</f>
        <v>0</v>
      </c>
      <c r="G260" s="320">
        <f>IFERROR(__xludf.DUMMYFUNCTION("""COMPUTED_VALUE"""),0.0)</f>
        <v>0</v>
      </c>
      <c r="H260" s="106"/>
      <c r="I260" s="320">
        <f>IFERROR(__xludf.DUMMYFUNCTION("""COMPUTED_VALUE"""),6.42)</f>
        <v>6.42</v>
      </c>
      <c r="J260" s="320">
        <f>IFERROR(__xludf.DUMMYFUNCTION("""COMPUTED_VALUE"""),2.59)</f>
        <v>2.59</v>
      </c>
      <c r="K260" s="320">
        <f>IFERROR(__xludf.DUMMYFUNCTION("""COMPUTED_VALUE"""),0.04)</f>
        <v>0.04</v>
      </c>
      <c r="L260" s="320">
        <f>IFERROR(__xludf.DUMMYFUNCTION("""COMPUTED_VALUE"""),0.0169)</f>
        <v>0.0169</v>
      </c>
      <c r="M260" s="320">
        <f>IFERROR(__xludf.DUMMYFUNCTION("""COMPUTED_VALUE"""),0.9862)</f>
        <v>0.9862</v>
      </c>
      <c r="N260" s="320">
        <f>IFERROR(__xludf.DUMMYFUNCTION("""COMPUTED_VALUE"""),0.8274)</f>
        <v>0.8274</v>
      </c>
      <c r="O260" s="320">
        <f>IFERROR(__xludf.DUMMYFUNCTION("""COMPUTED_VALUE"""),59.1145)</f>
        <v>59.1145</v>
      </c>
      <c r="P260" s="320">
        <f>IFERROR(__xludf.DUMMYFUNCTION("""COMPUTED_VALUE"""),22.74)</f>
        <v>22.74</v>
      </c>
      <c r="Q260" s="320">
        <f>IFERROR(__xludf.DUMMYFUNCTION("""COMPUTED_VALUE"""),22.62)</f>
        <v>22.62</v>
      </c>
      <c r="R260" s="320">
        <f>IFERROR(__xludf.DUMMYFUNCTION("""COMPUTED_VALUE"""),0.12)</f>
        <v>0.12</v>
      </c>
      <c r="S260" s="320">
        <f>IFERROR(__xludf.DUMMYFUNCTION("""COMPUTED_VALUE"""),0.0)</f>
        <v>0</v>
      </c>
      <c r="T260" s="320">
        <f>IFERROR(__xludf.DUMMYFUNCTION("""COMPUTED_VALUE"""),22.74)</f>
        <v>22.74</v>
      </c>
      <c r="U260" s="320">
        <f>IFERROR(__xludf.DUMMYFUNCTION("""COMPUTED_VALUE"""),1.76)</f>
        <v>1.76</v>
      </c>
      <c r="V260" s="320">
        <f>IFERROR(__xludf.DUMMYFUNCTION("""COMPUTED_VALUE"""),0.6787)</f>
        <v>0.6787</v>
      </c>
      <c r="W260" s="320">
        <f>IFERROR(__xludf.DUMMYFUNCTION("""COMPUTED_VALUE"""),0.0)</f>
        <v>0</v>
      </c>
      <c r="X260" s="320">
        <f>IFERROR(__xludf.DUMMYFUNCTION("""COMPUTED_VALUE"""),294.0)</f>
        <v>294</v>
      </c>
      <c r="Y260" s="320">
        <f>IFERROR(__xludf.DUMMYFUNCTION("""COMPUTED_VALUE"""),3405.0)</f>
        <v>3405</v>
      </c>
      <c r="Z260" s="320">
        <f>IFERROR(__xludf.DUMMYFUNCTION("""COMPUTED_VALUE"""),14268.0)</f>
        <v>14268</v>
      </c>
      <c r="AA260" s="320">
        <f>IFERROR(__xludf.DUMMYFUNCTION("""COMPUTED_VALUE"""),49.1899)</f>
        <v>49.1899</v>
      </c>
      <c r="AB260" s="320">
        <f>IFERROR(__xludf.DUMMYFUNCTION("""COMPUTED_VALUE"""),0.543)</f>
        <v>0.543</v>
      </c>
      <c r="AC260" s="106"/>
      <c r="AD260" s="106"/>
      <c r="AE260" s="106"/>
      <c r="AF260" s="106"/>
      <c r="AG260" s="106"/>
      <c r="AH260" s="320">
        <f>IFERROR(__xludf.DUMMYFUNCTION("""COMPUTED_VALUE"""),0.0)</f>
        <v>0</v>
      </c>
      <c r="AI260" s="320">
        <f>IFERROR(__xludf.DUMMYFUNCTION("""COMPUTED_VALUE"""),0.0)</f>
        <v>0</v>
      </c>
      <c r="AJ260" s="320">
        <f>IFERROR(__xludf.DUMMYFUNCTION("""COMPUTED_VALUE"""),0.0)</f>
        <v>0</v>
      </c>
      <c r="AK260" s="320">
        <f>IFERROR(__xludf.DUMMYFUNCTION("""COMPUTED_VALUE"""),0.2843)</f>
        <v>0.2843</v>
      </c>
      <c r="AL260" s="320">
        <f>IFERROR(__xludf.DUMMYFUNCTION("""COMPUTED_VALUE"""),16.31)</f>
        <v>16.31</v>
      </c>
      <c r="AM260" s="320">
        <f>IFERROR(__xludf.DUMMYFUNCTION("""COMPUTED_VALUE"""),6.31)</f>
        <v>6.31</v>
      </c>
      <c r="AN260" s="331"/>
      <c r="AO260" s="331"/>
    </row>
    <row r="261" ht="15.75" customHeight="1">
      <c r="A261" s="330">
        <f>IFERROR(__xludf.DUMMYFUNCTION("""COMPUTED_VALUE"""),46093.0)</f>
        <v>46093</v>
      </c>
      <c r="B261" s="319" t="str">
        <f>IFERROR(__xludf.DUMMYFUNCTION("""COMPUTED_VALUE"""),"B. 1-9")</f>
        <v>B. 1-9</v>
      </c>
      <c r="C261" s="320">
        <f>IFERROR(__xludf.DUMMYFUNCTION("""COMPUTED_VALUE"""),38206.0)</f>
        <v>38206</v>
      </c>
      <c r="D261" s="320">
        <f>IFERROR(__xludf.DUMMYFUNCTION("""COMPUTED_VALUE"""),35.76)</f>
        <v>35.76</v>
      </c>
      <c r="E261" s="320">
        <f>IFERROR(__xludf.DUMMYFUNCTION("""COMPUTED_VALUE"""),0.0)</f>
        <v>0</v>
      </c>
      <c r="F261" s="320">
        <f>IFERROR(__xludf.DUMMYFUNCTION("""COMPUTED_VALUE"""),0.0)</f>
        <v>0</v>
      </c>
      <c r="G261" s="320">
        <f>IFERROR(__xludf.DUMMYFUNCTION("""COMPUTED_VALUE"""),0.0)</f>
        <v>0</v>
      </c>
      <c r="H261" s="106"/>
      <c r="I261" s="320">
        <f>IFERROR(__xludf.DUMMYFUNCTION("""COMPUTED_VALUE"""),27.65)</f>
        <v>27.65</v>
      </c>
      <c r="J261" s="320">
        <f>IFERROR(__xludf.DUMMYFUNCTION("""COMPUTED_VALUE"""),12.43)</f>
        <v>12.43</v>
      </c>
      <c r="K261" s="320">
        <f>IFERROR(__xludf.DUMMYFUNCTION("""COMPUTED_VALUE"""),5.39)</f>
        <v>5.39</v>
      </c>
      <c r="L261" s="320">
        <f>IFERROR(__xludf.DUMMYFUNCTION("""COMPUTED_VALUE"""),0.4334)</f>
        <v>0.4334</v>
      </c>
      <c r="M261" s="320">
        <f>IFERROR(__xludf.DUMMYFUNCTION("""COMPUTED_VALUE"""),0.7442)</f>
        <v>0.7442</v>
      </c>
      <c r="N261" s="320">
        <f>IFERROR(__xludf.DUMMYFUNCTION("""COMPUTED_VALUE"""),0.5542)</f>
        <v>0.5542</v>
      </c>
      <c r="O261" s="320">
        <f>IFERROR(__xludf.DUMMYFUNCTION("""COMPUTED_VALUE"""),2.3071)</f>
        <v>2.3071</v>
      </c>
      <c r="P261" s="320">
        <f>IFERROR(__xludf.DUMMYFUNCTION("""COMPUTED_VALUE"""),46.6)</f>
        <v>46.6</v>
      </c>
      <c r="Q261" s="320">
        <f>IFERROR(__xludf.DUMMYFUNCTION("""COMPUTED_VALUE"""),35.39)</f>
        <v>35.39</v>
      </c>
      <c r="R261" s="320">
        <f>IFERROR(__xludf.DUMMYFUNCTION("""COMPUTED_VALUE"""),11.2)</f>
        <v>11.2</v>
      </c>
      <c r="S261" s="320">
        <f>IFERROR(__xludf.DUMMYFUNCTION("""COMPUTED_VALUE"""),0.01)</f>
        <v>0.01</v>
      </c>
      <c r="T261" s="320">
        <f>IFERROR(__xludf.DUMMYFUNCTION("""COMPUTED_VALUE"""),46.58)</f>
        <v>46.58</v>
      </c>
      <c r="U261" s="320">
        <f>IFERROR(__xludf.DUMMYFUNCTION("""COMPUTED_VALUE"""),49.9)</f>
        <v>49.9</v>
      </c>
      <c r="V261" s="320">
        <f>IFERROR(__xludf.DUMMYFUNCTION("""COMPUTED_VALUE"""),4.015)</f>
        <v>4.015</v>
      </c>
      <c r="W261" s="320">
        <f>IFERROR(__xludf.DUMMYFUNCTION("""COMPUTED_VALUE"""),0.03)</f>
        <v>0.03</v>
      </c>
      <c r="X261" s="320">
        <f>IFERROR(__xludf.DUMMYFUNCTION("""COMPUTED_VALUE"""),142.0)</f>
        <v>142</v>
      </c>
      <c r="Y261" s="320">
        <f>IFERROR(__xludf.DUMMYFUNCTION("""COMPUTED_VALUE"""),885.0)</f>
        <v>885</v>
      </c>
      <c r="Z261" s="320">
        <f>IFERROR(__xludf.DUMMYFUNCTION("""COMPUTED_VALUE"""),6167.0)</f>
        <v>6167</v>
      </c>
      <c r="AA261" s="320">
        <f>IFERROR(__xludf.DUMMYFUNCTION("""COMPUTED_VALUE"""),49.0994)</f>
        <v>49.0994</v>
      </c>
      <c r="AB261" s="320">
        <f>IFERROR(__xludf.DUMMYFUNCTION("""COMPUTED_VALUE"""),0.5374)</f>
        <v>0.5374</v>
      </c>
      <c r="AC261" s="320">
        <f>IFERROR(__xludf.DUMMYFUNCTION("""COMPUTED_VALUE"""),3.91)</f>
        <v>3.91</v>
      </c>
      <c r="AD261" s="320">
        <f>IFERROR(__xludf.DUMMYFUNCTION("""COMPUTED_VALUE"""),1.0)</f>
        <v>1</v>
      </c>
      <c r="AE261" s="320">
        <f>IFERROR(__xludf.DUMMYFUNCTION("""COMPUTED_VALUE"""),3.0)</f>
        <v>3</v>
      </c>
      <c r="AF261" s="320">
        <f>IFERROR(__xludf.DUMMYFUNCTION("""COMPUTED_VALUE"""),5.0)</f>
        <v>5</v>
      </c>
      <c r="AG261" s="320">
        <f>IFERROR(__xludf.DUMMYFUNCTION("""COMPUTED_VALUE"""),9.0)</f>
        <v>9</v>
      </c>
      <c r="AH261" s="320">
        <f>IFERROR(__xludf.DUMMYFUNCTION("""COMPUTED_VALUE"""),71.8)</f>
        <v>71.8</v>
      </c>
      <c r="AI261" s="320">
        <f>IFERROR(__xludf.DUMMYFUNCTION("""COMPUTED_VALUE"""),30.22)</f>
        <v>30.22</v>
      </c>
      <c r="AJ261" s="320">
        <f>IFERROR(__xludf.DUMMYFUNCTION("""COMPUTED_VALUE"""),8.37)</f>
        <v>8.37</v>
      </c>
      <c r="AK261" s="320">
        <f>IFERROR(__xludf.DUMMYFUNCTION("""COMPUTED_VALUE"""),0.2493)</f>
        <v>0.2493</v>
      </c>
      <c r="AL261" s="320">
        <f>IFERROR(__xludf.DUMMYFUNCTION("""COMPUTED_VALUE"""),19.47)</f>
        <v>19.47</v>
      </c>
      <c r="AM261" s="320">
        <f>IFERROR(__xludf.DUMMYFUNCTION("""COMPUTED_VALUE"""),15.92)</f>
        <v>15.92</v>
      </c>
      <c r="AN261" s="320">
        <f>IFERROR(__xludf.DUMMYFUNCTION("""COMPUTED_VALUE"""),66.86)</f>
        <v>66.86</v>
      </c>
      <c r="AO261" s="320">
        <f>IFERROR(__xludf.DUMMYFUNCTION("""COMPUTED_VALUE"""),13.02)</f>
        <v>13.02</v>
      </c>
    </row>
    <row r="262" ht="15.75" customHeight="1">
      <c r="A262" s="330">
        <f>IFERROR(__xludf.DUMMYFUNCTION("""COMPUTED_VALUE"""),46093.0)</f>
        <v>46093</v>
      </c>
      <c r="B262" s="319" t="str">
        <f>IFERROR(__xludf.DUMMYFUNCTION("""COMPUTED_VALUE"""),"C. 10-19")</f>
        <v>C. 10-19</v>
      </c>
      <c r="C262" s="320">
        <f>IFERROR(__xludf.DUMMYFUNCTION("""COMPUTED_VALUE"""),27012.0)</f>
        <v>27012</v>
      </c>
      <c r="D262" s="320">
        <f>IFERROR(__xludf.DUMMYFUNCTION("""COMPUTED_VALUE"""),25.28)</f>
        <v>25.28</v>
      </c>
      <c r="E262" s="320">
        <f>IFERROR(__xludf.DUMMYFUNCTION("""COMPUTED_VALUE"""),0.0)</f>
        <v>0</v>
      </c>
      <c r="F262" s="320">
        <f>IFERROR(__xludf.DUMMYFUNCTION("""COMPUTED_VALUE"""),0.0)</f>
        <v>0</v>
      </c>
      <c r="G262" s="320">
        <f>IFERROR(__xludf.DUMMYFUNCTION("""COMPUTED_VALUE"""),0.0)</f>
        <v>0</v>
      </c>
      <c r="H262" s="106"/>
      <c r="I262" s="320">
        <f>IFERROR(__xludf.DUMMYFUNCTION("""COMPUTED_VALUE"""),50.85)</f>
        <v>50.85</v>
      </c>
      <c r="J262" s="320">
        <f>IFERROR(__xludf.DUMMYFUNCTION("""COMPUTED_VALUE"""),24.0)</f>
        <v>24</v>
      </c>
      <c r="K262" s="320">
        <f>IFERROR(__xludf.DUMMYFUNCTION("""COMPUTED_VALUE"""),13.49)</f>
        <v>13.49</v>
      </c>
      <c r="L262" s="320">
        <f>IFERROR(__xludf.DUMMYFUNCTION("""COMPUTED_VALUE"""),0.5618)</f>
        <v>0.5618</v>
      </c>
      <c r="M262" s="320">
        <f>IFERROR(__xludf.DUMMYFUNCTION("""COMPUTED_VALUE"""),0.6364)</f>
        <v>0.6364</v>
      </c>
      <c r="N262" s="320">
        <f>IFERROR(__xludf.DUMMYFUNCTION("""COMPUTED_VALUE"""),0.4474)</f>
        <v>0.4474</v>
      </c>
      <c r="O262" s="320">
        <f>IFERROR(__xludf.DUMMYFUNCTION("""COMPUTED_VALUE"""),1.7801)</f>
        <v>1.7801</v>
      </c>
      <c r="P262" s="320">
        <f>IFERROR(__xludf.DUMMYFUNCTION("""COMPUTED_VALUE"""),90.23)</f>
        <v>90.23</v>
      </c>
      <c r="Q262" s="320">
        <f>IFERROR(__xludf.DUMMYFUNCTION("""COMPUTED_VALUE"""),63.05)</f>
        <v>63.05</v>
      </c>
      <c r="R262" s="320">
        <f>IFERROR(__xludf.DUMMYFUNCTION("""COMPUTED_VALUE"""),27.18)</f>
        <v>27.18</v>
      </c>
      <c r="S262" s="320">
        <f>IFERROR(__xludf.DUMMYFUNCTION("""COMPUTED_VALUE"""),0.07)</f>
        <v>0.07</v>
      </c>
      <c r="T262" s="320">
        <f>IFERROR(__xludf.DUMMYFUNCTION("""COMPUTED_VALUE"""),90.16)</f>
        <v>90.16</v>
      </c>
      <c r="U262" s="320">
        <f>IFERROR(__xludf.DUMMYFUNCTION("""COMPUTED_VALUE"""),91.05)</f>
        <v>91.05</v>
      </c>
      <c r="V262" s="320">
        <f>IFERROR(__xludf.DUMMYFUNCTION("""COMPUTED_VALUE"""),3.793)</f>
        <v>3.793</v>
      </c>
      <c r="W262" s="320">
        <f>IFERROR(__xludf.DUMMYFUNCTION("""COMPUTED_VALUE"""),0.08)</f>
        <v>0.08</v>
      </c>
      <c r="X262" s="320">
        <f>IFERROR(__xludf.DUMMYFUNCTION("""COMPUTED_VALUE"""),123.0)</f>
        <v>123</v>
      </c>
      <c r="Y262" s="320">
        <f>IFERROR(__xludf.DUMMYFUNCTION("""COMPUTED_VALUE"""),699.0)</f>
        <v>699</v>
      </c>
      <c r="Z262" s="320">
        <f>IFERROR(__xludf.DUMMYFUNCTION("""COMPUTED_VALUE"""),5517.0)</f>
        <v>5517</v>
      </c>
      <c r="AA262" s="320">
        <f>IFERROR(__xludf.DUMMYFUNCTION("""COMPUTED_VALUE"""),52.3262)</f>
        <v>52.3262</v>
      </c>
      <c r="AB262" s="320">
        <f>IFERROR(__xludf.DUMMYFUNCTION("""COMPUTED_VALUE"""),0.621)</f>
        <v>0.621</v>
      </c>
      <c r="AC262" s="320">
        <f>IFERROR(__xludf.DUMMYFUNCTION("""COMPUTED_VALUE"""),8.84)</f>
        <v>8.84</v>
      </c>
      <c r="AD262" s="320">
        <f>IFERROR(__xludf.DUMMYFUNCTION("""COMPUTED_VALUE"""),3.0)</f>
        <v>3</v>
      </c>
      <c r="AE262" s="320">
        <f>IFERROR(__xludf.DUMMYFUNCTION("""COMPUTED_VALUE"""),7.0)</f>
        <v>7</v>
      </c>
      <c r="AF262" s="320">
        <f>IFERROR(__xludf.DUMMYFUNCTION("""COMPUTED_VALUE"""),12.0)</f>
        <v>12</v>
      </c>
      <c r="AG262" s="320">
        <f>IFERROR(__xludf.DUMMYFUNCTION("""COMPUTED_VALUE"""),19.0)</f>
        <v>19</v>
      </c>
      <c r="AH262" s="320">
        <f>IFERROR(__xludf.DUMMYFUNCTION("""COMPUTED_VALUE"""),56.95)</f>
        <v>56.95</v>
      </c>
      <c r="AI262" s="320">
        <f>IFERROR(__xludf.DUMMYFUNCTION("""COMPUTED_VALUE"""),23.29)</f>
        <v>23.29</v>
      </c>
      <c r="AJ262" s="320">
        <f>IFERROR(__xludf.DUMMYFUNCTION("""COMPUTED_VALUE"""),4.02)</f>
        <v>4.02</v>
      </c>
      <c r="AK262" s="320">
        <f>IFERROR(__xludf.DUMMYFUNCTION("""COMPUTED_VALUE"""),0.2003)</f>
        <v>0.2003</v>
      </c>
      <c r="AL262" s="320">
        <f>IFERROR(__xludf.DUMMYFUNCTION("""COMPUTED_VALUE"""),20.03)</f>
        <v>20.03</v>
      </c>
      <c r="AM262" s="320">
        <f>IFERROR(__xludf.DUMMYFUNCTION("""COMPUTED_VALUE"""),43.02)</f>
        <v>43.02</v>
      </c>
      <c r="AN262" s="320">
        <f>IFERROR(__xludf.DUMMYFUNCTION("""COMPUTED_VALUE"""),74.71)</f>
        <v>74.71</v>
      </c>
      <c r="AO262" s="320">
        <f>IFERROR(__xludf.DUMMYFUNCTION("""COMPUTED_VALUE"""),14.96)</f>
        <v>14.96</v>
      </c>
    </row>
    <row r="263" ht="15.75" customHeight="1">
      <c r="A263" s="330">
        <f>IFERROR(__xludf.DUMMYFUNCTION("""COMPUTED_VALUE"""),46093.0)</f>
        <v>46093</v>
      </c>
      <c r="B263" s="319" t="str">
        <f>IFERROR(__xludf.DUMMYFUNCTION("""COMPUTED_VALUE"""),"D. 20-39")</f>
        <v>D. 20-39</v>
      </c>
      <c r="C263" s="320">
        <f>IFERROR(__xludf.DUMMYFUNCTION("""COMPUTED_VALUE"""),14137.0)</f>
        <v>14137</v>
      </c>
      <c r="D263" s="320">
        <f>IFERROR(__xludf.DUMMYFUNCTION("""COMPUTED_VALUE"""),13.23)</f>
        <v>13.23</v>
      </c>
      <c r="E263" s="320">
        <f>IFERROR(__xludf.DUMMYFUNCTION("""COMPUTED_VALUE"""),0.0)</f>
        <v>0</v>
      </c>
      <c r="F263" s="320">
        <f>IFERROR(__xludf.DUMMYFUNCTION("""COMPUTED_VALUE"""),0.0)</f>
        <v>0</v>
      </c>
      <c r="G263" s="320">
        <f>IFERROR(__xludf.DUMMYFUNCTION("""COMPUTED_VALUE"""),0.0)</f>
        <v>0</v>
      </c>
      <c r="H263" s="106"/>
      <c r="I263" s="320">
        <f>IFERROR(__xludf.DUMMYFUNCTION("""COMPUTED_VALUE"""),75.72)</f>
        <v>75.72</v>
      </c>
      <c r="J263" s="320">
        <f>IFERROR(__xludf.DUMMYFUNCTION("""COMPUTED_VALUE"""),38.12)</f>
        <v>38.12</v>
      </c>
      <c r="K263" s="320">
        <f>IFERROR(__xludf.DUMMYFUNCTION("""COMPUTED_VALUE"""),25.94)</f>
        <v>25.94</v>
      </c>
      <c r="L263" s="320">
        <f>IFERROR(__xludf.DUMMYFUNCTION("""COMPUTED_VALUE"""),0.6805)</f>
        <v>0.6805</v>
      </c>
      <c r="M263" s="320">
        <f>IFERROR(__xludf.DUMMYFUNCTION("""COMPUTED_VALUE"""),0.5128)</f>
        <v>0.5128</v>
      </c>
      <c r="N263" s="320">
        <f>IFERROR(__xludf.DUMMYFUNCTION("""COMPUTED_VALUE"""),0.3598)</f>
        <v>0.3598</v>
      </c>
      <c r="O263" s="320">
        <f>IFERROR(__xludf.DUMMYFUNCTION("""COMPUTED_VALUE"""),1.4695)</f>
        <v>1.4695</v>
      </c>
      <c r="P263" s="320">
        <f>IFERROR(__xludf.DUMMYFUNCTION("""COMPUTED_VALUE"""),176.49)</f>
        <v>176.49</v>
      </c>
      <c r="Q263" s="320">
        <f>IFERROR(__xludf.DUMMYFUNCTION("""COMPUTED_VALUE"""),121.59)</f>
        <v>121.59</v>
      </c>
      <c r="R263" s="320">
        <f>IFERROR(__xludf.DUMMYFUNCTION("""COMPUTED_VALUE"""),54.9)</f>
        <v>54.9</v>
      </c>
      <c r="S263" s="320">
        <f>IFERROR(__xludf.DUMMYFUNCTION("""COMPUTED_VALUE"""),0.02)</f>
        <v>0.02</v>
      </c>
      <c r="T263" s="320">
        <f>IFERROR(__xludf.DUMMYFUNCTION("""COMPUTED_VALUE"""),176.46)</f>
        <v>176.46</v>
      </c>
      <c r="U263" s="320">
        <f>IFERROR(__xludf.DUMMYFUNCTION("""COMPUTED_VALUE"""),163.41)</f>
        <v>163.41</v>
      </c>
      <c r="V263" s="320">
        <f>IFERROR(__xludf.DUMMYFUNCTION("""COMPUTED_VALUE"""),4.2866)</f>
        <v>4.2866</v>
      </c>
      <c r="W263" s="320">
        <f>IFERROR(__xludf.DUMMYFUNCTION("""COMPUTED_VALUE"""),0.01)</f>
        <v>0.01</v>
      </c>
      <c r="X263" s="320">
        <f>IFERROR(__xludf.DUMMYFUNCTION("""COMPUTED_VALUE"""),160.0)</f>
        <v>160</v>
      </c>
      <c r="Y263" s="320">
        <f>IFERROR(__xludf.DUMMYFUNCTION("""COMPUTED_VALUE"""),1033.0)</f>
        <v>1033</v>
      </c>
      <c r="Z263" s="320">
        <f>IFERROR(__xludf.DUMMYFUNCTION("""COMPUTED_VALUE"""),6479.0)</f>
        <v>6479</v>
      </c>
      <c r="AA263" s="320">
        <f>IFERROR(__xludf.DUMMYFUNCTION("""COMPUTED_VALUE"""),55.8869)</f>
        <v>55.8869</v>
      </c>
      <c r="AB263" s="320">
        <f>IFERROR(__xludf.DUMMYFUNCTION("""COMPUTED_VALUE"""),0.7345)</f>
        <v>0.7345</v>
      </c>
      <c r="AC263" s="320">
        <f>IFERROR(__xludf.DUMMYFUNCTION("""COMPUTED_VALUE"""),17.59)</f>
        <v>17.59</v>
      </c>
      <c r="AD263" s="320">
        <f>IFERROR(__xludf.DUMMYFUNCTION("""COMPUTED_VALUE"""),7.0)</f>
        <v>7</v>
      </c>
      <c r="AE263" s="320">
        <f>IFERROR(__xludf.DUMMYFUNCTION("""COMPUTED_VALUE"""),14.0)</f>
        <v>14</v>
      </c>
      <c r="AF263" s="320">
        <f>IFERROR(__xludf.DUMMYFUNCTION("""COMPUTED_VALUE"""),24.0)</f>
        <v>24</v>
      </c>
      <c r="AG263" s="320">
        <f>IFERROR(__xludf.DUMMYFUNCTION("""COMPUTED_VALUE"""),37.0)</f>
        <v>37</v>
      </c>
      <c r="AH263" s="320">
        <f>IFERROR(__xludf.DUMMYFUNCTION("""COMPUTED_VALUE"""),59.06)</f>
        <v>59.06</v>
      </c>
      <c r="AI263" s="320">
        <f>IFERROR(__xludf.DUMMYFUNCTION("""COMPUTED_VALUE"""),22.56)</f>
        <v>22.56</v>
      </c>
      <c r="AJ263" s="320">
        <f>IFERROR(__xludf.DUMMYFUNCTION("""COMPUTED_VALUE"""),7.24)</f>
        <v>7.24</v>
      </c>
      <c r="AK263" s="320">
        <f>IFERROR(__xludf.DUMMYFUNCTION("""COMPUTED_VALUE"""),0.1863)</f>
        <v>0.1863</v>
      </c>
      <c r="AL263" s="320">
        <f>IFERROR(__xludf.DUMMYFUNCTION("""COMPUTED_VALUE"""),19.84)</f>
        <v>19.84</v>
      </c>
      <c r="AM263" s="320">
        <f>IFERROR(__xludf.DUMMYFUNCTION("""COMPUTED_VALUE"""),101.75)</f>
        <v>101.75</v>
      </c>
      <c r="AN263" s="320">
        <f>IFERROR(__xludf.DUMMYFUNCTION("""COMPUTED_VALUE"""),78.28)</f>
        <v>78.28</v>
      </c>
      <c r="AO263" s="320">
        <f>IFERROR(__xludf.DUMMYFUNCTION("""COMPUTED_VALUE"""),15.53)</f>
        <v>15.53</v>
      </c>
    </row>
    <row r="264" ht="15.75" customHeight="1">
      <c r="A264" s="330">
        <f>IFERROR(__xludf.DUMMYFUNCTION("""COMPUTED_VALUE"""),46093.0)</f>
        <v>46093</v>
      </c>
      <c r="B264" s="319" t="str">
        <f>IFERROR(__xludf.DUMMYFUNCTION("""COMPUTED_VALUE"""),"E. 40-99")</f>
        <v>E. 40-99</v>
      </c>
      <c r="C264" s="320">
        <f>IFERROR(__xludf.DUMMYFUNCTION("""COMPUTED_VALUE"""),5690.0)</f>
        <v>5690</v>
      </c>
      <c r="D264" s="320">
        <f>IFERROR(__xludf.DUMMYFUNCTION("""COMPUTED_VALUE"""),5.33)</f>
        <v>5.33</v>
      </c>
      <c r="E264" s="320">
        <f>IFERROR(__xludf.DUMMYFUNCTION("""COMPUTED_VALUE"""),0.0)</f>
        <v>0</v>
      </c>
      <c r="F264" s="320">
        <f>IFERROR(__xludf.DUMMYFUNCTION("""COMPUTED_VALUE"""),0.0)</f>
        <v>0</v>
      </c>
      <c r="G264" s="320">
        <f>IFERROR(__xludf.DUMMYFUNCTION("""COMPUTED_VALUE"""),0.0)</f>
        <v>0</v>
      </c>
      <c r="H264" s="106"/>
      <c r="I264" s="320">
        <f>IFERROR(__xludf.DUMMYFUNCTION("""COMPUTED_VALUE"""),127.49)</f>
        <v>127.49</v>
      </c>
      <c r="J264" s="320">
        <f>IFERROR(__xludf.DUMMYFUNCTION("""COMPUTED_VALUE"""),69.03)</f>
        <v>69.03</v>
      </c>
      <c r="K264" s="320">
        <f>IFERROR(__xludf.DUMMYFUNCTION("""COMPUTED_VALUE"""),55.25)</f>
        <v>55.25</v>
      </c>
      <c r="L264" s="320">
        <f>IFERROR(__xludf.DUMMYFUNCTION("""COMPUTED_VALUE"""),0.8003)</f>
        <v>0.8003</v>
      </c>
      <c r="M264" s="320">
        <f>IFERROR(__xludf.DUMMYFUNCTION("""COMPUTED_VALUE"""),0.3806)</f>
        <v>0.3806</v>
      </c>
      <c r="N264" s="320">
        <f>IFERROR(__xludf.DUMMYFUNCTION("""COMPUTED_VALUE"""),0.2751)</f>
        <v>0.2751</v>
      </c>
      <c r="O264" s="320">
        <f>IFERROR(__xludf.DUMMYFUNCTION("""COMPUTED_VALUE"""),1.2496)</f>
        <v>1.2496</v>
      </c>
      <c r="P264" s="320">
        <f>IFERROR(__xludf.DUMMYFUNCTION("""COMPUTED_VALUE"""),383.99)</f>
        <v>383.99</v>
      </c>
      <c r="Q264" s="320">
        <f>IFERROR(__xludf.DUMMYFUNCTION("""COMPUTED_VALUE"""),267.43)</f>
        <v>267.43</v>
      </c>
      <c r="R264" s="320">
        <f>IFERROR(__xludf.DUMMYFUNCTION("""COMPUTED_VALUE"""),116.56)</f>
        <v>116.56</v>
      </c>
      <c r="S264" s="320">
        <f>IFERROR(__xludf.DUMMYFUNCTION("""COMPUTED_VALUE"""),0.0)</f>
        <v>0</v>
      </c>
      <c r="T264" s="320">
        <f>IFERROR(__xludf.DUMMYFUNCTION("""COMPUTED_VALUE"""),383.99)</f>
        <v>383.99</v>
      </c>
      <c r="U264" s="320">
        <f>IFERROR(__xludf.DUMMYFUNCTION("""COMPUTED_VALUE"""),319.97)</f>
        <v>319.97</v>
      </c>
      <c r="V264" s="320">
        <f>IFERROR(__xludf.DUMMYFUNCTION("""COMPUTED_VALUE"""),4.6349)</f>
        <v>4.6349</v>
      </c>
      <c r="W264" s="320">
        <f>IFERROR(__xludf.DUMMYFUNCTION("""COMPUTED_VALUE"""),0.0)</f>
        <v>0</v>
      </c>
      <c r="X264" s="320">
        <f>IFERROR(__xludf.DUMMYFUNCTION("""COMPUTED_VALUE"""),306.0)</f>
        <v>306</v>
      </c>
      <c r="Y264" s="320">
        <f>IFERROR(__xludf.DUMMYFUNCTION("""COMPUTED_VALUE"""),2126.0)</f>
        <v>2126</v>
      </c>
      <c r="Z264" s="320">
        <f>IFERROR(__xludf.DUMMYFUNCTION("""COMPUTED_VALUE"""),8941.0)</f>
        <v>8941</v>
      </c>
      <c r="AA264" s="320">
        <f>IFERROR(__xludf.DUMMYFUNCTION("""COMPUTED_VALUE"""),59.4653)</f>
        <v>59.4653</v>
      </c>
      <c r="AB264" s="320">
        <f>IFERROR(__xludf.DUMMYFUNCTION("""COMPUTED_VALUE"""),0.8192)</f>
        <v>0.8192</v>
      </c>
      <c r="AC264" s="320">
        <f>IFERROR(__xludf.DUMMYFUNCTION("""COMPUTED_VALUE"""),38.6)</f>
        <v>38.6</v>
      </c>
      <c r="AD264" s="320">
        <f>IFERROR(__xludf.DUMMYFUNCTION("""COMPUTED_VALUE"""),15.0)</f>
        <v>15</v>
      </c>
      <c r="AE264" s="320">
        <f>IFERROR(__xludf.DUMMYFUNCTION("""COMPUTED_VALUE"""),30.0)</f>
        <v>30</v>
      </c>
      <c r="AF264" s="320">
        <f>IFERROR(__xludf.DUMMYFUNCTION("""COMPUTED_VALUE"""),54.0)</f>
        <v>54</v>
      </c>
      <c r="AG264" s="320">
        <f>IFERROR(__xludf.DUMMYFUNCTION("""COMPUTED_VALUE"""),80.0)</f>
        <v>80</v>
      </c>
      <c r="AH264" s="320">
        <f>IFERROR(__xludf.DUMMYFUNCTION("""COMPUTED_VALUE"""),53.43)</f>
        <v>53.43</v>
      </c>
      <c r="AI264" s="320">
        <f>IFERROR(__xludf.DUMMYFUNCTION("""COMPUTED_VALUE"""),20.65)</f>
        <v>20.65</v>
      </c>
      <c r="AJ264" s="320">
        <f>IFERROR(__xludf.DUMMYFUNCTION("""COMPUTED_VALUE"""),5.29)</f>
        <v>5.29</v>
      </c>
      <c r="AK264" s="320">
        <f>IFERROR(__xludf.DUMMYFUNCTION("""COMPUTED_VALUE"""),0.1327)</f>
        <v>0.1327</v>
      </c>
      <c r="AL264" s="320">
        <f>IFERROR(__xludf.DUMMYFUNCTION("""COMPUTED_VALUE"""),21.04)</f>
        <v>21.04</v>
      </c>
      <c r="AM264" s="320">
        <f>IFERROR(__xludf.DUMMYFUNCTION("""COMPUTED_VALUE"""),246.39)</f>
        <v>246.39</v>
      </c>
      <c r="AN264" s="320">
        <f>IFERROR(__xludf.DUMMYFUNCTION("""COMPUTED_VALUE"""),83.44)</f>
        <v>83.44</v>
      </c>
      <c r="AO264" s="320">
        <f>IFERROR(__xludf.DUMMYFUNCTION("""COMPUTED_VALUE"""),17.56)</f>
        <v>17.56</v>
      </c>
    </row>
    <row r="265" ht="15.75" customHeight="1">
      <c r="A265" s="330">
        <f>IFERROR(__xludf.DUMMYFUNCTION("""COMPUTED_VALUE"""),46093.0)</f>
        <v>46093</v>
      </c>
      <c r="B265" s="319" t="str">
        <f>IFERROR(__xludf.DUMMYFUNCTION("""COMPUTED_VALUE"""),"F. 100+")</f>
        <v>F. 100+</v>
      </c>
      <c r="C265" s="320">
        <f>IFERROR(__xludf.DUMMYFUNCTION("""COMPUTED_VALUE"""),676.0)</f>
        <v>676</v>
      </c>
      <c r="D265" s="320">
        <f>IFERROR(__xludf.DUMMYFUNCTION("""COMPUTED_VALUE"""),0.63)</f>
        <v>0.63</v>
      </c>
      <c r="E265" s="320">
        <f>IFERROR(__xludf.DUMMYFUNCTION("""COMPUTED_VALUE"""),0.0)</f>
        <v>0</v>
      </c>
      <c r="F265" s="320">
        <f>IFERROR(__xludf.DUMMYFUNCTION("""COMPUTED_VALUE"""),0.0)</f>
        <v>0</v>
      </c>
      <c r="G265" s="320">
        <f>IFERROR(__xludf.DUMMYFUNCTION("""COMPUTED_VALUE"""),0.0)</f>
        <v>0</v>
      </c>
      <c r="H265" s="106"/>
      <c r="I265" s="320">
        <f>IFERROR(__xludf.DUMMYFUNCTION("""COMPUTED_VALUE"""),251.72)</f>
        <v>251.72</v>
      </c>
      <c r="J265" s="320">
        <f>IFERROR(__xludf.DUMMYFUNCTION("""COMPUTED_VALUE"""),148.72)</f>
        <v>148.72</v>
      </c>
      <c r="K265" s="320">
        <f>IFERROR(__xludf.DUMMYFUNCTION("""COMPUTED_VALUE"""),131.69)</f>
        <v>131.69</v>
      </c>
      <c r="L265" s="320">
        <f>IFERROR(__xludf.DUMMYFUNCTION("""COMPUTED_VALUE"""),0.8855)</f>
        <v>0.8855</v>
      </c>
      <c r="M265" s="320">
        <f>IFERROR(__xludf.DUMMYFUNCTION("""COMPUTED_VALUE"""),0.2664)</f>
        <v>0.2664</v>
      </c>
      <c r="N265" s="320">
        <f>IFERROR(__xludf.DUMMYFUNCTION("""COMPUTED_VALUE"""),0.2029)</f>
        <v>0.2029</v>
      </c>
      <c r="O265" s="320">
        <f>IFERROR(__xludf.DUMMYFUNCTION("""COMPUTED_VALUE"""),1.1293)</f>
        <v>1.1293</v>
      </c>
      <c r="P265" s="320">
        <f>IFERROR(__xludf.DUMMYFUNCTION("""COMPUTED_VALUE"""),800.24)</f>
        <v>800.24</v>
      </c>
      <c r="Q265" s="320">
        <f>IFERROR(__xludf.DUMMYFUNCTION("""COMPUTED_VALUE"""),521.44)</f>
        <v>521.44</v>
      </c>
      <c r="R265" s="320">
        <f>IFERROR(__xludf.DUMMYFUNCTION("""COMPUTED_VALUE"""),278.79)</f>
        <v>278.79</v>
      </c>
      <c r="S265" s="320">
        <f>IFERROR(__xludf.DUMMYFUNCTION("""COMPUTED_VALUE"""),0.0)</f>
        <v>0</v>
      </c>
      <c r="T265" s="320">
        <f>IFERROR(__xludf.DUMMYFUNCTION("""COMPUTED_VALUE"""),800.24)</f>
        <v>800.24</v>
      </c>
      <c r="U265" s="320">
        <f>IFERROR(__xludf.DUMMYFUNCTION("""COMPUTED_VALUE"""),838.98)</f>
        <v>838.98</v>
      </c>
      <c r="V265" s="320">
        <f>IFERROR(__xludf.DUMMYFUNCTION("""COMPUTED_VALUE"""),5.6413)</f>
        <v>5.6413</v>
      </c>
      <c r="W265" s="320">
        <f>IFERROR(__xludf.DUMMYFUNCTION("""COMPUTED_VALUE"""),0.0)</f>
        <v>0</v>
      </c>
      <c r="X265" s="320">
        <f>IFERROR(__xludf.DUMMYFUNCTION("""COMPUTED_VALUE"""),886.0)</f>
        <v>886</v>
      </c>
      <c r="Y265" s="320">
        <f>IFERROR(__xludf.DUMMYFUNCTION("""COMPUTED_VALUE"""),4365.0)</f>
        <v>4365</v>
      </c>
      <c r="Z265" s="320">
        <f>IFERROR(__xludf.DUMMYFUNCTION("""COMPUTED_VALUE"""),13091.0)</f>
        <v>13091</v>
      </c>
      <c r="AA265" s="320">
        <f>IFERROR(__xludf.DUMMYFUNCTION("""COMPUTED_VALUE"""),62.9492)</f>
        <v>62.9492</v>
      </c>
      <c r="AB265" s="320">
        <f>IFERROR(__xludf.DUMMYFUNCTION("""COMPUTED_VALUE"""),0.886)</f>
        <v>0.886</v>
      </c>
      <c r="AC265" s="320">
        <f>IFERROR(__xludf.DUMMYFUNCTION("""COMPUTED_VALUE"""),94.86)</f>
        <v>94.86</v>
      </c>
      <c r="AD265" s="320">
        <f>IFERROR(__xludf.DUMMYFUNCTION("""COMPUTED_VALUE"""),38.0)</f>
        <v>38</v>
      </c>
      <c r="AE265" s="320">
        <f>IFERROR(__xludf.DUMMYFUNCTION("""COMPUTED_VALUE"""),80.0)</f>
        <v>80</v>
      </c>
      <c r="AF265" s="320">
        <f>IFERROR(__xludf.DUMMYFUNCTION("""COMPUTED_VALUE"""),133.0)</f>
        <v>133</v>
      </c>
      <c r="AG265" s="320">
        <f>IFERROR(__xludf.DUMMYFUNCTION("""COMPUTED_VALUE"""),194.0)</f>
        <v>194</v>
      </c>
      <c r="AH265" s="320">
        <f>IFERROR(__xludf.DUMMYFUNCTION("""COMPUTED_VALUE"""),50.74)</f>
        <v>50.74</v>
      </c>
      <c r="AI265" s="320">
        <f>IFERROR(__xludf.DUMMYFUNCTION("""COMPUTED_VALUE"""),14.35)</f>
        <v>14.35</v>
      </c>
      <c r="AJ265" s="320">
        <f>IFERROR(__xludf.DUMMYFUNCTION("""COMPUTED_VALUE"""),1.92)</f>
        <v>1.92</v>
      </c>
      <c r="AK265" s="320">
        <f>IFERROR(__xludf.DUMMYFUNCTION("""COMPUTED_VALUE"""),0.0769)</f>
        <v>0.0769</v>
      </c>
      <c r="AL265" s="320">
        <f>IFERROR(__xludf.DUMMYFUNCTION("""COMPUTED_VALUE"""),25.05)</f>
        <v>25.05</v>
      </c>
      <c r="AM265" s="320">
        <f>IFERROR(__xludf.DUMMYFUNCTION("""COMPUTED_VALUE"""),496.39)</f>
        <v>496.39</v>
      </c>
      <c r="AN265" s="320">
        <f>IFERROR(__xludf.DUMMYFUNCTION("""COMPUTED_VALUE"""),85.46)</f>
        <v>85.46</v>
      </c>
      <c r="AO265" s="320">
        <f>IFERROR(__xludf.DUMMYFUNCTION("""COMPUTED_VALUE"""),21.41)</f>
        <v>21.41</v>
      </c>
    </row>
    <row r="266" ht="15.75" customHeight="1">
      <c r="A266" s="330">
        <f>IFERROR(__xludf.DUMMYFUNCTION("""COMPUTED_VALUE"""),46094.0)</f>
        <v>46094</v>
      </c>
      <c r="B266" s="319" t="str">
        <f>IFERROR(__xludf.DUMMYFUNCTION("""COMPUTED_VALUE"""),"A. 0")</f>
        <v>A. 0</v>
      </c>
      <c r="C266" s="320">
        <f>IFERROR(__xludf.DUMMYFUNCTION("""COMPUTED_VALUE"""),20004.0)</f>
        <v>20004</v>
      </c>
      <c r="D266" s="320">
        <f>IFERROR(__xludf.DUMMYFUNCTION("""COMPUTED_VALUE"""),19.03)</f>
        <v>19.03</v>
      </c>
      <c r="E266" s="320">
        <f>IFERROR(__xludf.DUMMYFUNCTION("""COMPUTED_VALUE"""),0.0)</f>
        <v>0</v>
      </c>
      <c r="F266" s="320">
        <f>IFERROR(__xludf.DUMMYFUNCTION("""COMPUTED_VALUE"""),0.0)</f>
        <v>0</v>
      </c>
      <c r="G266" s="320">
        <f>IFERROR(__xludf.DUMMYFUNCTION("""COMPUTED_VALUE"""),0.0)</f>
        <v>0</v>
      </c>
      <c r="H266" s="106"/>
      <c r="I266" s="320">
        <f>IFERROR(__xludf.DUMMYFUNCTION("""COMPUTED_VALUE"""),5.96)</f>
        <v>5.96</v>
      </c>
      <c r="J266" s="320">
        <f>IFERROR(__xludf.DUMMYFUNCTION("""COMPUTED_VALUE"""),2.31)</f>
        <v>2.31</v>
      </c>
      <c r="K266" s="320">
        <f>IFERROR(__xludf.DUMMYFUNCTION("""COMPUTED_VALUE"""),0.04)</f>
        <v>0.04</v>
      </c>
      <c r="L266" s="320">
        <f>IFERROR(__xludf.DUMMYFUNCTION("""COMPUTED_VALUE"""),0.0176)</f>
        <v>0.0176</v>
      </c>
      <c r="M266" s="320">
        <f>IFERROR(__xludf.DUMMYFUNCTION("""COMPUTED_VALUE"""),0.9865)</f>
        <v>0.9865</v>
      </c>
      <c r="N266" s="320">
        <f>IFERROR(__xludf.DUMMYFUNCTION("""COMPUTED_VALUE"""),0.8484)</f>
        <v>0.8484</v>
      </c>
      <c r="O266" s="320">
        <f>IFERROR(__xludf.DUMMYFUNCTION("""COMPUTED_VALUE"""),56.9494)</f>
        <v>56.9494</v>
      </c>
      <c r="P266" s="320">
        <f>IFERROR(__xludf.DUMMYFUNCTION("""COMPUTED_VALUE"""),26.63)</f>
        <v>26.63</v>
      </c>
      <c r="Q266" s="320">
        <f>IFERROR(__xludf.DUMMYFUNCTION("""COMPUTED_VALUE"""),26.51)</f>
        <v>26.51</v>
      </c>
      <c r="R266" s="320">
        <f>IFERROR(__xludf.DUMMYFUNCTION("""COMPUTED_VALUE"""),0.12)</f>
        <v>0.12</v>
      </c>
      <c r="S266" s="320">
        <f>IFERROR(__xludf.DUMMYFUNCTION("""COMPUTED_VALUE"""),0.0)</f>
        <v>0</v>
      </c>
      <c r="T266" s="320">
        <f>IFERROR(__xludf.DUMMYFUNCTION("""COMPUTED_VALUE"""),26.63)</f>
        <v>26.63</v>
      </c>
      <c r="U266" s="320">
        <f>IFERROR(__xludf.DUMMYFUNCTION("""COMPUTED_VALUE"""),1.71)</f>
        <v>1.71</v>
      </c>
      <c r="V266" s="320">
        <f>IFERROR(__xludf.DUMMYFUNCTION("""COMPUTED_VALUE"""),0.7394)</f>
        <v>0.7394</v>
      </c>
      <c r="W266" s="320">
        <f>IFERROR(__xludf.DUMMYFUNCTION("""COMPUTED_VALUE"""),0.0)</f>
        <v>0</v>
      </c>
      <c r="X266" s="320">
        <f>IFERROR(__xludf.DUMMYFUNCTION("""COMPUTED_VALUE"""),371.0)</f>
        <v>371</v>
      </c>
      <c r="Y266" s="320">
        <f>IFERROR(__xludf.DUMMYFUNCTION("""COMPUTED_VALUE"""),3801.0)</f>
        <v>3801</v>
      </c>
      <c r="Z266" s="320">
        <f>IFERROR(__xludf.DUMMYFUNCTION("""COMPUTED_VALUE"""),14762.0)</f>
        <v>14762</v>
      </c>
      <c r="AA266" s="320">
        <f>IFERROR(__xludf.DUMMYFUNCTION("""COMPUTED_VALUE"""),49.5671)</f>
        <v>49.5671</v>
      </c>
      <c r="AB266" s="320">
        <f>IFERROR(__xludf.DUMMYFUNCTION("""COMPUTED_VALUE"""),0.5516)</f>
        <v>0.5516</v>
      </c>
      <c r="AC266" s="106"/>
      <c r="AD266" s="106"/>
      <c r="AE266" s="106"/>
      <c r="AF266" s="106"/>
      <c r="AG266" s="106"/>
      <c r="AH266" s="320">
        <f>IFERROR(__xludf.DUMMYFUNCTION("""COMPUTED_VALUE"""),0.0)</f>
        <v>0</v>
      </c>
      <c r="AI266" s="320">
        <f>IFERROR(__xludf.DUMMYFUNCTION("""COMPUTED_VALUE"""),0.0)</f>
        <v>0</v>
      </c>
      <c r="AJ266" s="320">
        <f>IFERROR(__xludf.DUMMYFUNCTION("""COMPUTED_VALUE"""),0.0)</f>
        <v>0</v>
      </c>
      <c r="AK266" s="320">
        <f>IFERROR(__xludf.DUMMYFUNCTION("""COMPUTED_VALUE"""),0.3056)</f>
        <v>0.3056</v>
      </c>
      <c r="AL266" s="320">
        <f>IFERROR(__xludf.DUMMYFUNCTION("""COMPUTED_VALUE"""),17.59)</f>
        <v>17.59</v>
      </c>
      <c r="AM266" s="320">
        <f>IFERROR(__xludf.DUMMYFUNCTION("""COMPUTED_VALUE"""),8.93)</f>
        <v>8.93</v>
      </c>
      <c r="AN266" s="331"/>
      <c r="AO266" s="331"/>
    </row>
    <row r="267" ht="15.75" customHeight="1">
      <c r="A267" s="330">
        <f>IFERROR(__xludf.DUMMYFUNCTION("""COMPUTED_VALUE"""),46094.0)</f>
        <v>46094</v>
      </c>
      <c r="B267" s="319" t="str">
        <f>IFERROR(__xludf.DUMMYFUNCTION("""COMPUTED_VALUE"""),"B. 1-9")</f>
        <v>B. 1-9</v>
      </c>
      <c r="C267" s="320">
        <f>IFERROR(__xludf.DUMMYFUNCTION("""COMPUTED_VALUE"""),38780.0)</f>
        <v>38780</v>
      </c>
      <c r="D267" s="320">
        <f>IFERROR(__xludf.DUMMYFUNCTION("""COMPUTED_VALUE"""),36.9)</f>
        <v>36.9</v>
      </c>
      <c r="E267" s="320">
        <f>IFERROR(__xludf.DUMMYFUNCTION("""COMPUTED_VALUE"""),0.0)</f>
        <v>0</v>
      </c>
      <c r="F267" s="320">
        <f>IFERROR(__xludf.DUMMYFUNCTION("""COMPUTED_VALUE"""),0.0)</f>
        <v>0</v>
      </c>
      <c r="G267" s="320">
        <f>IFERROR(__xludf.DUMMYFUNCTION("""COMPUTED_VALUE"""),0.0)</f>
        <v>0</v>
      </c>
      <c r="H267" s="106"/>
      <c r="I267" s="320">
        <f>IFERROR(__xludf.DUMMYFUNCTION("""COMPUTED_VALUE"""),30.55)</f>
        <v>30.55</v>
      </c>
      <c r="J267" s="320">
        <f>IFERROR(__xludf.DUMMYFUNCTION("""COMPUTED_VALUE"""),13.77)</f>
        <v>13.77</v>
      </c>
      <c r="K267" s="320">
        <f>IFERROR(__xludf.DUMMYFUNCTION("""COMPUTED_VALUE"""),5.78)</f>
        <v>5.78</v>
      </c>
      <c r="L267" s="320">
        <f>IFERROR(__xludf.DUMMYFUNCTION("""COMPUTED_VALUE"""),0.4196)</f>
        <v>0.4196</v>
      </c>
      <c r="M267" s="320">
        <f>IFERROR(__xludf.DUMMYFUNCTION("""COMPUTED_VALUE"""),0.753)</f>
        <v>0.753</v>
      </c>
      <c r="N267" s="320">
        <f>IFERROR(__xludf.DUMMYFUNCTION("""COMPUTED_VALUE"""),0.5551)</f>
        <v>0.5551</v>
      </c>
      <c r="O267" s="320">
        <f>IFERROR(__xludf.DUMMYFUNCTION("""COMPUTED_VALUE"""),2.3831)</f>
        <v>2.3831</v>
      </c>
      <c r="P267" s="320">
        <f>IFERROR(__xludf.DUMMYFUNCTION("""COMPUTED_VALUE"""),57.06)</f>
        <v>57.06</v>
      </c>
      <c r="Q267" s="320">
        <f>IFERROR(__xludf.DUMMYFUNCTION("""COMPUTED_VALUE"""),45.06)</f>
        <v>45.06</v>
      </c>
      <c r="R267" s="320">
        <f>IFERROR(__xludf.DUMMYFUNCTION("""COMPUTED_VALUE"""),12.01)</f>
        <v>12.01</v>
      </c>
      <c r="S267" s="320">
        <f>IFERROR(__xludf.DUMMYFUNCTION("""COMPUTED_VALUE"""),0.03)</f>
        <v>0.03</v>
      </c>
      <c r="T267" s="320">
        <f>IFERROR(__xludf.DUMMYFUNCTION("""COMPUTED_VALUE"""),57.04)</f>
        <v>57.04</v>
      </c>
      <c r="U267" s="320">
        <f>IFERROR(__xludf.DUMMYFUNCTION("""COMPUTED_VALUE"""),53.83)</f>
        <v>53.83</v>
      </c>
      <c r="V267" s="320">
        <f>IFERROR(__xludf.DUMMYFUNCTION("""COMPUTED_VALUE"""),3.9104)</f>
        <v>3.9104</v>
      </c>
      <c r="W267" s="320">
        <f>IFERROR(__xludf.DUMMYFUNCTION("""COMPUTED_VALUE"""),0.05)</f>
        <v>0.05</v>
      </c>
      <c r="X267" s="320">
        <f>IFERROR(__xludf.DUMMYFUNCTION("""COMPUTED_VALUE"""),139.0)</f>
        <v>139</v>
      </c>
      <c r="Y267" s="320">
        <f>IFERROR(__xludf.DUMMYFUNCTION("""COMPUTED_VALUE"""),862.0)</f>
        <v>862</v>
      </c>
      <c r="Z267" s="320">
        <f>IFERROR(__xludf.DUMMYFUNCTION("""COMPUTED_VALUE"""),5769.0)</f>
        <v>5769</v>
      </c>
      <c r="AA267" s="320">
        <f>IFERROR(__xludf.DUMMYFUNCTION("""COMPUTED_VALUE"""),48.9332)</f>
        <v>48.9332</v>
      </c>
      <c r="AB267" s="320">
        <f>IFERROR(__xludf.DUMMYFUNCTION("""COMPUTED_VALUE"""),0.5358)</f>
        <v>0.5358</v>
      </c>
      <c r="AC267" s="320">
        <f>IFERROR(__xludf.DUMMYFUNCTION("""COMPUTED_VALUE"""),4.03)</f>
        <v>4.03</v>
      </c>
      <c r="AD267" s="320">
        <f>IFERROR(__xludf.DUMMYFUNCTION("""COMPUTED_VALUE"""),1.0)</f>
        <v>1</v>
      </c>
      <c r="AE267" s="320">
        <f>IFERROR(__xludf.DUMMYFUNCTION("""COMPUTED_VALUE"""),3.0)</f>
        <v>3</v>
      </c>
      <c r="AF267" s="320">
        <f>IFERROR(__xludf.DUMMYFUNCTION("""COMPUTED_VALUE"""),5.0)</f>
        <v>5</v>
      </c>
      <c r="AG267" s="320">
        <f>IFERROR(__xludf.DUMMYFUNCTION("""COMPUTED_VALUE"""),9.0)</f>
        <v>9</v>
      </c>
      <c r="AH267" s="320">
        <f>IFERROR(__xludf.DUMMYFUNCTION("""COMPUTED_VALUE"""),73.45)</f>
        <v>73.45</v>
      </c>
      <c r="AI267" s="320">
        <f>IFERROR(__xludf.DUMMYFUNCTION("""COMPUTED_VALUE"""),31.46)</f>
        <v>31.46</v>
      </c>
      <c r="AJ267" s="320">
        <f>IFERROR(__xludf.DUMMYFUNCTION("""COMPUTED_VALUE"""),8.62)</f>
        <v>8.62</v>
      </c>
      <c r="AK267" s="320">
        <f>IFERROR(__xludf.DUMMYFUNCTION("""COMPUTED_VALUE"""),0.2657)</f>
        <v>0.2657</v>
      </c>
      <c r="AL267" s="320">
        <f>IFERROR(__xludf.DUMMYFUNCTION("""COMPUTED_VALUE"""),20.13)</f>
        <v>20.13</v>
      </c>
      <c r="AM267" s="320">
        <f>IFERROR(__xludf.DUMMYFUNCTION("""COMPUTED_VALUE"""),24.93)</f>
        <v>24.93</v>
      </c>
      <c r="AN267" s="320">
        <f>IFERROR(__xludf.DUMMYFUNCTION("""COMPUTED_VALUE"""),66.81)</f>
        <v>66.81</v>
      </c>
      <c r="AO267" s="320">
        <f>IFERROR(__xludf.DUMMYFUNCTION("""COMPUTED_VALUE"""),13.45)</f>
        <v>13.45</v>
      </c>
    </row>
    <row r="268" ht="15.75" customHeight="1">
      <c r="A268" s="330">
        <f>IFERROR(__xludf.DUMMYFUNCTION("""COMPUTED_VALUE"""),46094.0)</f>
        <v>46094</v>
      </c>
      <c r="B268" s="319" t="str">
        <f>IFERROR(__xludf.DUMMYFUNCTION("""COMPUTED_VALUE"""),"C. 10-19")</f>
        <v>C. 10-19</v>
      </c>
      <c r="C268" s="320">
        <f>IFERROR(__xludf.DUMMYFUNCTION("""COMPUTED_VALUE"""),25990.0)</f>
        <v>25990</v>
      </c>
      <c r="D268" s="320">
        <f>IFERROR(__xludf.DUMMYFUNCTION("""COMPUTED_VALUE"""),24.73)</f>
        <v>24.73</v>
      </c>
      <c r="E268" s="320">
        <f>IFERROR(__xludf.DUMMYFUNCTION("""COMPUTED_VALUE"""),0.0)</f>
        <v>0</v>
      </c>
      <c r="F268" s="320">
        <f>IFERROR(__xludf.DUMMYFUNCTION("""COMPUTED_VALUE"""),0.0)</f>
        <v>0</v>
      </c>
      <c r="G268" s="320">
        <f>IFERROR(__xludf.DUMMYFUNCTION("""COMPUTED_VALUE"""),0.0)</f>
        <v>0</v>
      </c>
      <c r="H268" s="106"/>
      <c r="I268" s="320">
        <f>IFERROR(__xludf.DUMMYFUNCTION("""COMPUTED_VALUE"""),56.28)</f>
        <v>56.28</v>
      </c>
      <c r="J268" s="320">
        <f>IFERROR(__xludf.DUMMYFUNCTION("""COMPUTED_VALUE"""),26.75)</f>
        <v>26.75</v>
      </c>
      <c r="K268" s="320">
        <f>IFERROR(__xludf.DUMMYFUNCTION("""COMPUTED_VALUE"""),14.17)</f>
        <v>14.17</v>
      </c>
      <c r="L268" s="320">
        <f>IFERROR(__xludf.DUMMYFUNCTION("""COMPUTED_VALUE"""),0.5296)</f>
        <v>0.5296</v>
      </c>
      <c r="M268" s="320">
        <f>IFERROR(__xludf.DUMMYFUNCTION("""COMPUTED_VALUE"""),0.6581)</f>
        <v>0.6581</v>
      </c>
      <c r="N268" s="320">
        <f>IFERROR(__xludf.DUMMYFUNCTION("""COMPUTED_VALUE"""),0.4578)</f>
        <v>0.4578</v>
      </c>
      <c r="O268" s="320">
        <f>IFERROR(__xludf.DUMMYFUNCTION("""COMPUTED_VALUE"""),1.8881)</f>
        <v>1.8881</v>
      </c>
      <c r="P268" s="320">
        <f>IFERROR(__xludf.DUMMYFUNCTION("""COMPUTED_VALUE"""),99.72)</f>
        <v>99.72</v>
      </c>
      <c r="Q268" s="320">
        <f>IFERROR(__xludf.DUMMYFUNCTION("""COMPUTED_VALUE"""),70.15)</f>
        <v>70.15</v>
      </c>
      <c r="R268" s="320">
        <f>IFERROR(__xludf.DUMMYFUNCTION("""COMPUTED_VALUE"""),29.57)</f>
        <v>29.57</v>
      </c>
      <c r="S268" s="320">
        <f>IFERROR(__xludf.DUMMYFUNCTION("""COMPUTED_VALUE"""),0.4)</f>
        <v>0.4</v>
      </c>
      <c r="T268" s="320">
        <f>IFERROR(__xludf.DUMMYFUNCTION("""COMPUTED_VALUE"""),99.31)</f>
        <v>99.31</v>
      </c>
      <c r="U268" s="320">
        <f>IFERROR(__xludf.DUMMYFUNCTION("""COMPUTED_VALUE"""),98.22)</f>
        <v>98.22</v>
      </c>
      <c r="V268" s="320">
        <f>IFERROR(__xludf.DUMMYFUNCTION("""COMPUTED_VALUE"""),3.6719)</f>
        <v>3.6719</v>
      </c>
      <c r="W268" s="320">
        <f>IFERROR(__xludf.DUMMYFUNCTION("""COMPUTED_VALUE"""),0.4)</f>
        <v>0.4</v>
      </c>
      <c r="X268" s="320">
        <f>IFERROR(__xludf.DUMMYFUNCTION("""COMPUTED_VALUE"""),124.0)</f>
        <v>124</v>
      </c>
      <c r="Y268" s="320">
        <f>IFERROR(__xludf.DUMMYFUNCTION("""COMPUTED_VALUE"""),674.0)</f>
        <v>674</v>
      </c>
      <c r="Z268" s="320">
        <f>IFERROR(__xludf.DUMMYFUNCTION("""COMPUTED_VALUE"""),5218.0)</f>
        <v>5218</v>
      </c>
      <c r="AA268" s="320">
        <f>IFERROR(__xludf.DUMMYFUNCTION("""COMPUTED_VALUE"""),52.3102)</f>
        <v>52.3102</v>
      </c>
      <c r="AB268" s="320">
        <f>IFERROR(__xludf.DUMMYFUNCTION("""COMPUTED_VALUE"""),0.6271)</f>
        <v>0.6271</v>
      </c>
      <c r="AC268" s="320">
        <f>IFERROR(__xludf.DUMMYFUNCTION("""COMPUTED_VALUE"""),9.41)</f>
        <v>9.41</v>
      </c>
      <c r="AD268" s="320">
        <f>IFERROR(__xludf.DUMMYFUNCTION("""COMPUTED_VALUE"""),3.0)</f>
        <v>3</v>
      </c>
      <c r="AE268" s="320">
        <f>IFERROR(__xludf.DUMMYFUNCTION("""COMPUTED_VALUE"""),7.0)</f>
        <v>7</v>
      </c>
      <c r="AF268" s="320">
        <f>IFERROR(__xludf.DUMMYFUNCTION("""COMPUTED_VALUE"""),13.0)</f>
        <v>13</v>
      </c>
      <c r="AG268" s="320">
        <f>IFERROR(__xludf.DUMMYFUNCTION("""COMPUTED_VALUE"""),19.0)</f>
        <v>19</v>
      </c>
      <c r="AH268" s="320">
        <f>IFERROR(__xludf.DUMMYFUNCTION("""COMPUTED_VALUE"""),60.48)</f>
        <v>60.48</v>
      </c>
      <c r="AI268" s="320">
        <f>IFERROR(__xludf.DUMMYFUNCTION("""COMPUTED_VALUE"""),25.96)</f>
        <v>25.96</v>
      </c>
      <c r="AJ268" s="320">
        <f>IFERROR(__xludf.DUMMYFUNCTION("""COMPUTED_VALUE"""),4.82)</f>
        <v>4.82</v>
      </c>
      <c r="AK268" s="320">
        <f>IFERROR(__xludf.DUMMYFUNCTION("""COMPUTED_VALUE"""),0.2149)</f>
        <v>0.2149</v>
      </c>
      <c r="AL268" s="320">
        <f>IFERROR(__xludf.DUMMYFUNCTION("""COMPUTED_VALUE"""),21.09)</f>
        <v>21.09</v>
      </c>
      <c r="AM268" s="320">
        <f>IFERROR(__xludf.DUMMYFUNCTION("""COMPUTED_VALUE"""),49.06)</f>
        <v>49.06</v>
      </c>
      <c r="AN268" s="320">
        <f>IFERROR(__xludf.DUMMYFUNCTION("""COMPUTED_VALUE"""),75.37)</f>
        <v>75.37</v>
      </c>
      <c r="AO268" s="320">
        <f>IFERROR(__xludf.DUMMYFUNCTION("""COMPUTED_VALUE"""),15.9)</f>
        <v>15.9</v>
      </c>
    </row>
    <row r="269" ht="15.75" customHeight="1">
      <c r="A269" s="330">
        <f>IFERROR(__xludf.DUMMYFUNCTION("""COMPUTED_VALUE"""),46094.0)</f>
        <v>46094</v>
      </c>
      <c r="B269" s="319" t="str">
        <f>IFERROR(__xludf.DUMMYFUNCTION("""COMPUTED_VALUE"""),"D. 20-39")</f>
        <v>D. 20-39</v>
      </c>
      <c r="C269" s="320">
        <f>IFERROR(__xludf.DUMMYFUNCTION("""COMPUTED_VALUE"""),14032.0)</f>
        <v>14032</v>
      </c>
      <c r="D269" s="320">
        <f>IFERROR(__xludf.DUMMYFUNCTION("""COMPUTED_VALUE"""),13.35)</f>
        <v>13.35</v>
      </c>
      <c r="E269" s="320">
        <f>IFERROR(__xludf.DUMMYFUNCTION("""COMPUTED_VALUE"""),0.0)</f>
        <v>0</v>
      </c>
      <c r="F269" s="320">
        <f>IFERROR(__xludf.DUMMYFUNCTION("""COMPUTED_VALUE"""),0.0)</f>
        <v>0</v>
      </c>
      <c r="G269" s="320">
        <f>IFERROR(__xludf.DUMMYFUNCTION("""COMPUTED_VALUE"""),0.0)</f>
        <v>0</v>
      </c>
      <c r="H269" s="106"/>
      <c r="I269" s="320">
        <f>IFERROR(__xludf.DUMMYFUNCTION("""COMPUTED_VALUE"""),82.23)</f>
        <v>82.23</v>
      </c>
      <c r="J269" s="320">
        <f>IFERROR(__xludf.DUMMYFUNCTION("""COMPUTED_VALUE"""),41.4)</f>
        <v>41.4</v>
      </c>
      <c r="K269" s="320">
        <f>IFERROR(__xludf.DUMMYFUNCTION("""COMPUTED_VALUE"""),26.92)</f>
        <v>26.92</v>
      </c>
      <c r="L269" s="320">
        <f>IFERROR(__xludf.DUMMYFUNCTION("""COMPUTED_VALUE"""),0.6503)</f>
        <v>0.6503</v>
      </c>
      <c r="M269" s="320">
        <f>IFERROR(__xludf.DUMMYFUNCTION("""COMPUTED_VALUE"""),0.5349)</f>
        <v>0.5349</v>
      </c>
      <c r="N269" s="320">
        <f>IFERROR(__xludf.DUMMYFUNCTION("""COMPUTED_VALUE"""),0.3665)</f>
        <v>0.3665</v>
      </c>
      <c r="O269" s="320">
        <f>IFERROR(__xludf.DUMMYFUNCTION("""COMPUTED_VALUE"""),1.5377)</f>
        <v>1.5377</v>
      </c>
      <c r="P269" s="320">
        <f>IFERROR(__xludf.DUMMYFUNCTION("""COMPUTED_VALUE"""),161.6)</f>
        <v>161.6</v>
      </c>
      <c r="Q269" s="320">
        <f>IFERROR(__xludf.DUMMYFUNCTION("""COMPUTED_VALUE"""),104.75)</f>
        <v>104.75</v>
      </c>
      <c r="R269" s="320">
        <f>IFERROR(__xludf.DUMMYFUNCTION("""COMPUTED_VALUE"""),56.85)</f>
        <v>56.85</v>
      </c>
      <c r="S269" s="320">
        <f>IFERROR(__xludf.DUMMYFUNCTION("""COMPUTED_VALUE"""),0.16)</f>
        <v>0.16</v>
      </c>
      <c r="T269" s="320">
        <f>IFERROR(__xludf.DUMMYFUNCTION("""COMPUTED_VALUE"""),161.44)</f>
        <v>161.44</v>
      </c>
      <c r="U269" s="320">
        <f>IFERROR(__xludf.DUMMYFUNCTION("""COMPUTED_VALUE"""),165.36)</f>
        <v>165.36</v>
      </c>
      <c r="V269" s="320">
        <f>IFERROR(__xludf.DUMMYFUNCTION("""COMPUTED_VALUE"""),3.9941)</f>
        <v>3.9941</v>
      </c>
      <c r="W269" s="320">
        <f>IFERROR(__xludf.DUMMYFUNCTION("""COMPUTED_VALUE"""),0.1)</f>
        <v>0.1</v>
      </c>
      <c r="X269" s="320">
        <f>IFERROR(__xludf.DUMMYFUNCTION("""COMPUTED_VALUE"""),156.0)</f>
        <v>156</v>
      </c>
      <c r="Y269" s="320">
        <f>IFERROR(__xludf.DUMMYFUNCTION("""COMPUTED_VALUE"""),958.0)</f>
        <v>958</v>
      </c>
      <c r="Z269" s="320">
        <f>IFERROR(__xludf.DUMMYFUNCTION("""COMPUTED_VALUE"""),5929.0)</f>
        <v>5929</v>
      </c>
      <c r="AA269" s="320">
        <f>IFERROR(__xludf.DUMMYFUNCTION("""COMPUTED_VALUE"""),55.8178)</f>
        <v>55.8178</v>
      </c>
      <c r="AB269" s="320">
        <f>IFERROR(__xludf.DUMMYFUNCTION("""COMPUTED_VALUE"""),0.7381)</f>
        <v>0.7381</v>
      </c>
      <c r="AC269" s="320">
        <f>IFERROR(__xludf.DUMMYFUNCTION("""COMPUTED_VALUE"""),17.96)</f>
        <v>17.96</v>
      </c>
      <c r="AD269" s="320">
        <f>IFERROR(__xludf.DUMMYFUNCTION("""COMPUTED_VALUE"""),7.0)</f>
        <v>7</v>
      </c>
      <c r="AE269" s="320">
        <f>IFERROR(__xludf.DUMMYFUNCTION("""COMPUTED_VALUE"""),14.0)</f>
        <v>14</v>
      </c>
      <c r="AF269" s="320">
        <f>IFERROR(__xludf.DUMMYFUNCTION("""COMPUTED_VALUE"""),25.0)</f>
        <v>25</v>
      </c>
      <c r="AG269" s="320">
        <f>IFERROR(__xludf.DUMMYFUNCTION("""COMPUTED_VALUE"""),37.0)</f>
        <v>37</v>
      </c>
      <c r="AH269" s="320">
        <f>IFERROR(__xludf.DUMMYFUNCTION("""COMPUTED_VALUE"""),60.14)</f>
        <v>60.14</v>
      </c>
      <c r="AI269" s="320">
        <f>IFERROR(__xludf.DUMMYFUNCTION("""COMPUTED_VALUE"""),23.36)</f>
        <v>23.36</v>
      </c>
      <c r="AJ269" s="320">
        <f>IFERROR(__xludf.DUMMYFUNCTION("""COMPUTED_VALUE"""),6.92)</f>
        <v>6.92</v>
      </c>
      <c r="AK269" s="320">
        <f>IFERROR(__xludf.DUMMYFUNCTION("""COMPUTED_VALUE"""),0.2037)</f>
        <v>0.2037</v>
      </c>
      <c r="AL269" s="320">
        <f>IFERROR(__xludf.DUMMYFUNCTION("""COMPUTED_VALUE"""),21.08)</f>
        <v>21.08</v>
      </c>
      <c r="AM269" s="320">
        <f>IFERROR(__xludf.DUMMYFUNCTION("""COMPUTED_VALUE"""),83.67)</f>
        <v>83.67</v>
      </c>
      <c r="AN269" s="320">
        <f>IFERROR(__xludf.DUMMYFUNCTION("""COMPUTED_VALUE"""),78.14)</f>
        <v>78.14</v>
      </c>
      <c r="AO269" s="320">
        <f>IFERROR(__xludf.DUMMYFUNCTION("""COMPUTED_VALUE"""),16.47)</f>
        <v>16.47</v>
      </c>
    </row>
    <row r="270" ht="15.75" customHeight="1">
      <c r="A270" s="330">
        <f>IFERROR(__xludf.DUMMYFUNCTION("""COMPUTED_VALUE"""),46094.0)</f>
        <v>46094</v>
      </c>
      <c r="B270" s="319" t="str">
        <f>IFERROR(__xludf.DUMMYFUNCTION("""COMPUTED_VALUE"""),"E. 40-99")</f>
        <v>E. 40-99</v>
      </c>
      <c r="C270" s="320">
        <f>IFERROR(__xludf.DUMMYFUNCTION("""COMPUTED_VALUE"""),5617.0)</f>
        <v>5617</v>
      </c>
      <c r="D270" s="320">
        <f>IFERROR(__xludf.DUMMYFUNCTION("""COMPUTED_VALUE"""),5.34)</f>
        <v>5.34</v>
      </c>
      <c r="E270" s="320">
        <f>IFERROR(__xludf.DUMMYFUNCTION("""COMPUTED_VALUE"""),0.0)</f>
        <v>0</v>
      </c>
      <c r="F270" s="320">
        <f>IFERROR(__xludf.DUMMYFUNCTION("""COMPUTED_VALUE"""),0.0)</f>
        <v>0</v>
      </c>
      <c r="G270" s="320">
        <f>IFERROR(__xludf.DUMMYFUNCTION("""COMPUTED_VALUE"""),0.0)</f>
        <v>0</v>
      </c>
      <c r="H270" s="106"/>
      <c r="I270" s="320">
        <f>IFERROR(__xludf.DUMMYFUNCTION("""COMPUTED_VALUE"""),130.33)</f>
        <v>130.33</v>
      </c>
      <c r="J270" s="320">
        <f>IFERROR(__xludf.DUMMYFUNCTION("""COMPUTED_VALUE"""),69.9)</f>
        <v>69.9</v>
      </c>
      <c r="K270" s="320">
        <f>IFERROR(__xludf.DUMMYFUNCTION("""COMPUTED_VALUE"""),53.8)</f>
        <v>53.8</v>
      </c>
      <c r="L270" s="320">
        <f>IFERROR(__xludf.DUMMYFUNCTION("""COMPUTED_VALUE"""),0.7696)</f>
        <v>0.7696</v>
      </c>
      <c r="M270" s="320">
        <f>IFERROR(__xludf.DUMMYFUNCTION("""COMPUTED_VALUE"""),0.4061)</f>
        <v>0.4061</v>
      </c>
      <c r="N270" s="320">
        <f>IFERROR(__xludf.DUMMYFUNCTION("""COMPUTED_VALUE"""),0.2846)</f>
        <v>0.2846</v>
      </c>
      <c r="O270" s="320">
        <f>IFERROR(__xludf.DUMMYFUNCTION("""COMPUTED_VALUE"""),1.2993)</f>
        <v>1.2993</v>
      </c>
      <c r="P270" s="320">
        <f>IFERROR(__xludf.DUMMYFUNCTION("""COMPUTED_VALUE"""),277.19)</f>
        <v>277.19</v>
      </c>
      <c r="Q270" s="320">
        <f>IFERROR(__xludf.DUMMYFUNCTION("""COMPUTED_VALUE"""),162.83)</f>
        <v>162.83</v>
      </c>
      <c r="R270" s="320">
        <f>IFERROR(__xludf.DUMMYFUNCTION("""COMPUTED_VALUE"""),114.36)</f>
        <v>114.36</v>
      </c>
      <c r="S270" s="320">
        <f>IFERROR(__xludf.DUMMYFUNCTION("""COMPUTED_VALUE"""),0.0)</f>
        <v>0</v>
      </c>
      <c r="T270" s="320">
        <f>IFERROR(__xludf.DUMMYFUNCTION("""COMPUTED_VALUE"""),277.19)</f>
        <v>277.19</v>
      </c>
      <c r="U270" s="320">
        <f>IFERROR(__xludf.DUMMYFUNCTION("""COMPUTED_VALUE"""),298.15)</f>
        <v>298.15</v>
      </c>
      <c r="V270" s="320">
        <f>IFERROR(__xludf.DUMMYFUNCTION("""COMPUTED_VALUE"""),4.2651)</f>
        <v>4.2651</v>
      </c>
      <c r="W270" s="320">
        <f>IFERROR(__xludf.DUMMYFUNCTION("""COMPUTED_VALUE"""),0.0)</f>
        <v>0</v>
      </c>
      <c r="X270" s="320">
        <f>IFERROR(__xludf.DUMMYFUNCTION("""COMPUTED_VALUE"""),281.0)</f>
        <v>281</v>
      </c>
      <c r="Y270" s="320">
        <f>IFERROR(__xludf.DUMMYFUNCTION("""COMPUTED_VALUE"""),2070.0)</f>
        <v>2070</v>
      </c>
      <c r="Z270" s="320">
        <f>IFERROR(__xludf.DUMMYFUNCTION("""COMPUTED_VALUE"""),8569.0)</f>
        <v>8569</v>
      </c>
      <c r="AA270" s="320">
        <f>IFERROR(__xludf.DUMMYFUNCTION("""COMPUTED_VALUE"""),59.5561)</f>
        <v>59.5561</v>
      </c>
      <c r="AB270" s="320">
        <f>IFERROR(__xludf.DUMMYFUNCTION("""COMPUTED_VALUE"""),0.8299)</f>
        <v>0.8299</v>
      </c>
      <c r="AC270" s="320">
        <f>IFERROR(__xludf.DUMMYFUNCTION("""COMPUTED_VALUE"""),35.96)</f>
        <v>35.96</v>
      </c>
      <c r="AD270" s="320">
        <f>IFERROR(__xludf.DUMMYFUNCTION("""COMPUTED_VALUE"""),14.0)</f>
        <v>14</v>
      </c>
      <c r="AE270" s="320">
        <f>IFERROR(__xludf.DUMMYFUNCTION("""COMPUTED_VALUE"""),28.0)</f>
        <v>28</v>
      </c>
      <c r="AF270" s="320">
        <f>IFERROR(__xludf.DUMMYFUNCTION("""COMPUTED_VALUE"""),50.0)</f>
        <v>50</v>
      </c>
      <c r="AG270" s="320">
        <f>IFERROR(__xludf.DUMMYFUNCTION("""COMPUTED_VALUE"""),75.0)</f>
        <v>75</v>
      </c>
      <c r="AH270" s="320">
        <f>IFERROR(__xludf.DUMMYFUNCTION("""COMPUTED_VALUE"""),50.08)</f>
        <v>50.08</v>
      </c>
      <c r="AI270" s="320">
        <f>IFERROR(__xludf.DUMMYFUNCTION("""COMPUTED_VALUE"""),17.66)</f>
        <v>17.66</v>
      </c>
      <c r="AJ270" s="320">
        <f>IFERROR(__xludf.DUMMYFUNCTION("""COMPUTED_VALUE"""),4.08)</f>
        <v>4.08</v>
      </c>
      <c r="AK270" s="320">
        <f>IFERROR(__xludf.DUMMYFUNCTION("""COMPUTED_VALUE"""),0.1495)</f>
        <v>0.1495</v>
      </c>
      <c r="AL270" s="320">
        <f>IFERROR(__xludf.DUMMYFUNCTION("""COMPUTED_VALUE"""),22.09)</f>
        <v>22.09</v>
      </c>
      <c r="AM270" s="320">
        <f>IFERROR(__xludf.DUMMYFUNCTION("""COMPUTED_VALUE"""),140.74)</f>
        <v>140.74</v>
      </c>
      <c r="AN270" s="320">
        <f>IFERROR(__xludf.DUMMYFUNCTION("""COMPUTED_VALUE"""),82.98)</f>
        <v>82.98</v>
      </c>
      <c r="AO270" s="320">
        <f>IFERROR(__xludf.DUMMYFUNCTION("""COMPUTED_VALUE"""),18.33)</f>
        <v>18.33</v>
      </c>
    </row>
    <row r="271" ht="15.75" customHeight="1">
      <c r="A271" s="330">
        <f>IFERROR(__xludf.DUMMYFUNCTION("""COMPUTED_VALUE"""),46094.0)</f>
        <v>46094</v>
      </c>
      <c r="B271" s="319" t="str">
        <f>IFERROR(__xludf.DUMMYFUNCTION("""COMPUTED_VALUE"""),"F. 100+")</f>
        <v>F. 100+</v>
      </c>
      <c r="C271" s="320">
        <f>IFERROR(__xludf.DUMMYFUNCTION("""COMPUTED_VALUE"""),676.0)</f>
        <v>676</v>
      </c>
      <c r="D271" s="320">
        <f>IFERROR(__xludf.DUMMYFUNCTION("""COMPUTED_VALUE"""),0.64)</f>
        <v>0.64</v>
      </c>
      <c r="E271" s="320">
        <f>IFERROR(__xludf.DUMMYFUNCTION("""COMPUTED_VALUE"""),0.0)</f>
        <v>0</v>
      </c>
      <c r="F271" s="320">
        <f>IFERROR(__xludf.DUMMYFUNCTION("""COMPUTED_VALUE"""),0.0)</f>
        <v>0</v>
      </c>
      <c r="G271" s="320">
        <f>IFERROR(__xludf.DUMMYFUNCTION("""COMPUTED_VALUE"""),0.0)</f>
        <v>0</v>
      </c>
      <c r="H271" s="106"/>
      <c r="I271" s="320">
        <f>IFERROR(__xludf.DUMMYFUNCTION("""COMPUTED_VALUE"""),254.78)</f>
        <v>254.78</v>
      </c>
      <c r="J271" s="320">
        <f>IFERROR(__xludf.DUMMYFUNCTION("""COMPUTED_VALUE"""),148.87)</f>
        <v>148.87</v>
      </c>
      <c r="K271" s="320">
        <f>IFERROR(__xludf.DUMMYFUNCTION("""COMPUTED_VALUE"""),130.24)</f>
        <v>130.24</v>
      </c>
      <c r="L271" s="320">
        <f>IFERROR(__xludf.DUMMYFUNCTION("""COMPUTED_VALUE"""),0.8748)</f>
        <v>0.8748</v>
      </c>
      <c r="M271" s="320">
        <f>IFERROR(__xludf.DUMMYFUNCTION("""COMPUTED_VALUE"""),0.2754)</f>
        <v>0.2754</v>
      </c>
      <c r="N271" s="320">
        <f>IFERROR(__xludf.DUMMYFUNCTION("""COMPUTED_VALUE"""),0.2064)</f>
        <v>0.2064</v>
      </c>
      <c r="O271" s="320">
        <f>IFERROR(__xludf.DUMMYFUNCTION("""COMPUTED_VALUE"""),1.1431)</f>
        <v>1.1431</v>
      </c>
      <c r="P271" s="320">
        <f>IFERROR(__xludf.DUMMYFUNCTION("""COMPUTED_VALUE"""),591.51)</f>
        <v>591.51</v>
      </c>
      <c r="Q271" s="320">
        <f>IFERROR(__xludf.DUMMYFUNCTION("""COMPUTED_VALUE"""),316.76)</f>
        <v>316.76</v>
      </c>
      <c r="R271" s="320">
        <f>IFERROR(__xludf.DUMMYFUNCTION("""COMPUTED_VALUE"""),274.76)</f>
        <v>274.76</v>
      </c>
      <c r="S271" s="320">
        <f>IFERROR(__xludf.DUMMYFUNCTION("""COMPUTED_VALUE"""),0.0)</f>
        <v>0</v>
      </c>
      <c r="T271" s="320">
        <f>IFERROR(__xludf.DUMMYFUNCTION("""COMPUTED_VALUE"""),591.51)</f>
        <v>591.51</v>
      </c>
      <c r="U271" s="320">
        <f>IFERROR(__xludf.DUMMYFUNCTION("""COMPUTED_VALUE"""),689.13)</f>
        <v>689.13</v>
      </c>
      <c r="V271" s="320">
        <f>IFERROR(__xludf.DUMMYFUNCTION("""COMPUTED_VALUE"""),4.629)</f>
        <v>4.629</v>
      </c>
      <c r="W271" s="320">
        <f>IFERROR(__xludf.DUMMYFUNCTION("""COMPUTED_VALUE"""),0.0)</f>
        <v>0</v>
      </c>
      <c r="X271" s="320">
        <f>IFERROR(__xludf.DUMMYFUNCTION("""COMPUTED_VALUE"""),816.0)</f>
        <v>816</v>
      </c>
      <c r="Y271" s="320">
        <f>IFERROR(__xludf.DUMMYFUNCTION("""COMPUTED_VALUE"""),4253.0)</f>
        <v>4253</v>
      </c>
      <c r="Z271" s="320">
        <f>IFERROR(__xludf.DUMMYFUNCTION("""COMPUTED_VALUE"""),12731.0)</f>
        <v>12731</v>
      </c>
      <c r="AA271" s="320">
        <f>IFERROR(__xludf.DUMMYFUNCTION("""COMPUTED_VALUE"""),63.1349)</f>
        <v>63.1349</v>
      </c>
      <c r="AB271" s="320">
        <f>IFERROR(__xludf.DUMMYFUNCTION("""COMPUTED_VALUE"""),0.905)</f>
        <v>0.905</v>
      </c>
      <c r="AC271" s="320">
        <f>IFERROR(__xludf.DUMMYFUNCTION("""COMPUTED_VALUE"""),88.34)</f>
        <v>88.34</v>
      </c>
      <c r="AD271" s="320">
        <f>IFERROR(__xludf.DUMMYFUNCTION("""COMPUTED_VALUE"""),34.0)</f>
        <v>34</v>
      </c>
      <c r="AE271" s="320">
        <f>IFERROR(__xludf.DUMMYFUNCTION("""COMPUTED_VALUE"""),74.0)</f>
        <v>74</v>
      </c>
      <c r="AF271" s="320">
        <f>IFERROR(__xludf.DUMMYFUNCTION("""COMPUTED_VALUE"""),120.0)</f>
        <v>120</v>
      </c>
      <c r="AG271" s="320">
        <f>IFERROR(__xludf.DUMMYFUNCTION("""COMPUTED_VALUE"""),176.0)</f>
        <v>176</v>
      </c>
      <c r="AH271" s="320">
        <f>IFERROR(__xludf.DUMMYFUNCTION("""COMPUTED_VALUE"""),47.63)</f>
        <v>47.63</v>
      </c>
      <c r="AI271" s="320">
        <f>IFERROR(__xludf.DUMMYFUNCTION("""COMPUTED_VALUE"""),10.06)</f>
        <v>10.06</v>
      </c>
      <c r="AJ271" s="320">
        <f>IFERROR(__xludf.DUMMYFUNCTION("""COMPUTED_VALUE"""),1.78)</f>
        <v>1.78</v>
      </c>
      <c r="AK271" s="320">
        <f>IFERROR(__xludf.DUMMYFUNCTION("""COMPUTED_VALUE"""),0.1124)</f>
        <v>0.1124</v>
      </c>
      <c r="AL271" s="320">
        <f>IFERROR(__xludf.DUMMYFUNCTION("""COMPUTED_VALUE"""),25.68)</f>
        <v>25.68</v>
      </c>
      <c r="AM271" s="320">
        <f>IFERROR(__xludf.DUMMYFUNCTION("""COMPUTED_VALUE"""),291.08)</f>
        <v>291.08</v>
      </c>
      <c r="AN271" s="320">
        <f>IFERROR(__xludf.DUMMYFUNCTION("""COMPUTED_VALUE"""),86.2)</f>
        <v>86.2</v>
      </c>
      <c r="AO271" s="320">
        <f>IFERROR(__xludf.DUMMYFUNCTION("""COMPUTED_VALUE"""),22.14)</f>
        <v>22.14</v>
      </c>
    </row>
    <row r="272" ht="15.75" customHeight="1">
      <c r="A272" s="330">
        <f>IFERROR(__xludf.DUMMYFUNCTION("""COMPUTED_VALUE"""),46095.0)</f>
        <v>46095</v>
      </c>
      <c r="B272" s="319" t="str">
        <f>IFERROR(__xludf.DUMMYFUNCTION("""COMPUTED_VALUE"""),"A. 0")</f>
        <v>A. 0</v>
      </c>
      <c r="C272" s="320">
        <f>IFERROR(__xludf.DUMMYFUNCTION("""COMPUTED_VALUE"""),19763.0)</f>
        <v>19763</v>
      </c>
      <c r="D272" s="320">
        <f>IFERROR(__xludf.DUMMYFUNCTION("""COMPUTED_VALUE"""),19.07)</f>
        <v>19.07</v>
      </c>
      <c r="E272" s="320">
        <f>IFERROR(__xludf.DUMMYFUNCTION("""COMPUTED_VALUE"""),0.0)</f>
        <v>0</v>
      </c>
      <c r="F272" s="320">
        <f>IFERROR(__xludf.DUMMYFUNCTION("""COMPUTED_VALUE"""),0.0)</f>
        <v>0</v>
      </c>
      <c r="G272" s="320">
        <f>IFERROR(__xludf.DUMMYFUNCTION("""COMPUTED_VALUE"""),0.0)</f>
        <v>0</v>
      </c>
      <c r="H272" s="106"/>
      <c r="I272" s="320">
        <f>IFERROR(__xludf.DUMMYFUNCTION("""COMPUTED_VALUE"""),6.03)</f>
        <v>6.03</v>
      </c>
      <c r="J272" s="320">
        <f>IFERROR(__xludf.DUMMYFUNCTION("""COMPUTED_VALUE"""),2.4)</f>
        <v>2.4</v>
      </c>
      <c r="K272" s="320">
        <f>IFERROR(__xludf.DUMMYFUNCTION("""COMPUTED_VALUE"""),0.02)</f>
        <v>0.02</v>
      </c>
      <c r="L272" s="320">
        <f>IFERROR(__xludf.DUMMYFUNCTION("""COMPUTED_VALUE"""),0.009)</f>
        <v>0.009</v>
      </c>
      <c r="M272" s="320">
        <f>IFERROR(__xludf.DUMMYFUNCTION("""COMPUTED_VALUE"""),0.993)</f>
        <v>0.993</v>
      </c>
      <c r="N272" s="320">
        <f>IFERROR(__xludf.DUMMYFUNCTION("""COMPUTED_VALUE"""),0.9103)</f>
        <v>0.9103</v>
      </c>
      <c r="O272" s="320">
        <f>IFERROR(__xludf.DUMMYFUNCTION("""COMPUTED_VALUE"""),111.3906)</f>
        <v>111.3906</v>
      </c>
      <c r="P272" s="320">
        <f>IFERROR(__xludf.DUMMYFUNCTION("""COMPUTED_VALUE"""),25.76)</f>
        <v>25.76</v>
      </c>
      <c r="Q272" s="320">
        <f>IFERROR(__xludf.DUMMYFUNCTION("""COMPUTED_VALUE"""),25.66)</f>
        <v>25.66</v>
      </c>
      <c r="R272" s="320">
        <f>IFERROR(__xludf.DUMMYFUNCTION("""COMPUTED_VALUE"""),0.1)</f>
        <v>0.1</v>
      </c>
      <c r="S272" s="320">
        <f>IFERROR(__xludf.DUMMYFUNCTION("""COMPUTED_VALUE"""),0.0)</f>
        <v>0</v>
      </c>
      <c r="T272" s="320">
        <f>IFERROR(__xludf.DUMMYFUNCTION("""COMPUTED_VALUE"""),25.76)</f>
        <v>25.76</v>
      </c>
      <c r="U272" s="320">
        <f>IFERROR(__xludf.DUMMYFUNCTION("""COMPUTED_VALUE"""),1.62)</f>
        <v>1.62</v>
      </c>
      <c r="V272" s="320">
        <f>IFERROR(__xludf.DUMMYFUNCTION("""COMPUTED_VALUE"""),0.6749)</f>
        <v>0.6749</v>
      </c>
      <c r="W272" s="320">
        <f>IFERROR(__xludf.DUMMYFUNCTION("""COMPUTED_VALUE"""),0.0)</f>
        <v>0</v>
      </c>
      <c r="X272" s="320">
        <f>IFERROR(__xludf.DUMMYFUNCTION("""COMPUTED_VALUE"""),315.0)</f>
        <v>315</v>
      </c>
      <c r="Y272" s="320">
        <f>IFERROR(__xludf.DUMMYFUNCTION("""COMPUTED_VALUE"""),3623.0)</f>
        <v>3623</v>
      </c>
      <c r="Z272" s="320">
        <f>IFERROR(__xludf.DUMMYFUNCTION("""COMPUTED_VALUE"""),14462.0)</f>
        <v>14462</v>
      </c>
      <c r="AA272" s="320">
        <f>IFERROR(__xludf.DUMMYFUNCTION("""COMPUTED_VALUE"""),49.2087)</f>
        <v>49.2087</v>
      </c>
      <c r="AB272" s="320">
        <f>IFERROR(__xludf.DUMMYFUNCTION("""COMPUTED_VALUE"""),0.5413)</f>
        <v>0.5413</v>
      </c>
      <c r="AC272" s="106"/>
      <c r="AD272" s="106"/>
      <c r="AE272" s="106"/>
      <c r="AF272" s="106"/>
      <c r="AG272" s="106"/>
      <c r="AH272" s="320">
        <f>IFERROR(__xludf.DUMMYFUNCTION("""COMPUTED_VALUE"""),0.0)</f>
        <v>0</v>
      </c>
      <c r="AI272" s="320">
        <f>IFERROR(__xludf.DUMMYFUNCTION("""COMPUTED_VALUE"""),0.0)</f>
        <v>0</v>
      </c>
      <c r="AJ272" s="320">
        <f>IFERROR(__xludf.DUMMYFUNCTION("""COMPUTED_VALUE"""),0.0)</f>
        <v>0</v>
      </c>
      <c r="AK272" s="320">
        <f>IFERROR(__xludf.DUMMYFUNCTION("""COMPUTED_VALUE"""),0.2917)</f>
        <v>0.2917</v>
      </c>
      <c r="AL272" s="320">
        <f>IFERROR(__xludf.DUMMYFUNCTION("""COMPUTED_VALUE"""),19.0)</f>
        <v>19</v>
      </c>
      <c r="AM272" s="320">
        <f>IFERROR(__xludf.DUMMYFUNCTION("""COMPUTED_VALUE"""),6.66)</f>
        <v>6.66</v>
      </c>
      <c r="AN272" s="331"/>
      <c r="AO272" s="331"/>
    </row>
    <row r="273" ht="15.75" customHeight="1">
      <c r="A273" s="330">
        <f>IFERROR(__xludf.DUMMYFUNCTION("""COMPUTED_VALUE"""),46095.0)</f>
        <v>46095</v>
      </c>
      <c r="B273" s="319" t="str">
        <f>IFERROR(__xludf.DUMMYFUNCTION("""COMPUTED_VALUE"""),"B. 1-9")</f>
        <v>B. 1-9</v>
      </c>
      <c r="C273" s="320">
        <f>IFERROR(__xludf.DUMMYFUNCTION("""COMPUTED_VALUE"""),38042.0)</f>
        <v>38042</v>
      </c>
      <c r="D273" s="320">
        <f>IFERROR(__xludf.DUMMYFUNCTION("""COMPUTED_VALUE"""),36.72)</f>
        <v>36.72</v>
      </c>
      <c r="E273" s="320">
        <f>IFERROR(__xludf.DUMMYFUNCTION("""COMPUTED_VALUE"""),0.0)</f>
        <v>0</v>
      </c>
      <c r="F273" s="320">
        <f>IFERROR(__xludf.DUMMYFUNCTION("""COMPUTED_VALUE"""),0.0)</f>
        <v>0</v>
      </c>
      <c r="G273" s="320">
        <f>IFERROR(__xludf.DUMMYFUNCTION("""COMPUTED_VALUE"""),0.0)</f>
        <v>0</v>
      </c>
      <c r="H273" s="106"/>
      <c r="I273" s="320">
        <f>IFERROR(__xludf.DUMMYFUNCTION("""COMPUTED_VALUE"""),29.64)</f>
        <v>29.64</v>
      </c>
      <c r="J273" s="320">
        <f>IFERROR(__xludf.DUMMYFUNCTION("""COMPUTED_VALUE"""),13.43)</f>
        <v>13.43</v>
      </c>
      <c r="K273" s="320">
        <f>IFERROR(__xludf.DUMMYFUNCTION("""COMPUTED_VALUE"""),5.87)</f>
        <v>5.87</v>
      </c>
      <c r="L273" s="320">
        <f>IFERROR(__xludf.DUMMYFUNCTION("""COMPUTED_VALUE"""),0.4369)</f>
        <v>0.4369</v>
      </c>
      <c r="M273" s="320">
        <f>IFERROR(__xludf.DUMMYFUNCTION("""COMPUTED_VALUE"""),0.7395)</f>
        <v>0.7395</v>
      </c>
      <c r="N273" s="320">
        <f>IFERROR(__xludf.DUMMYFUNCTION("""COMPUTED_VALUE"""),0.5434)</f>
        <v>0.5434</v>
      </c>
      <c r="O273" s="320">
        <f>IFERROR(__xludf.DUMMYFUNCTION("""COMPUTED_VALUE"""),2.2891)</f>
        <v>2.2891</v>
      </c>
      <c r="P273" s="320">
        <f>IFERROR(__xludf.DUMMYFUNCTION("""COMPUTED_VALUE"""),53.65)</f>
        <v>53.65</v>
      </c>
      <c r="Q273" s="320">
        <f>IFERROR(__xludf.DUMMYFUNCTION("""COMPUTED_VALUE"""),41.45)</f>
        <v>41.45</v>
      </c>
      <c r="R273" s="320">
        <f>IFERROR(__xludf.DUMMYFUNCTION("""COMPUTED_VALUE"""),12.2)</f>
        <v>12.2</v>
      </c>
      <c r="S273" s="320">
        <f>IFERROR(__xludf.DUMMYFUNCTION("""COMPUTED_VALUE"""),0.03)</f>
        <v>0.03</v>
      </c>
      <c r="T273" s="320">
        <f>IFERROR(__xludf.DUMMYFUNCTION("""COMPUTED_VALUE"""),53.62)</f>
        <v>53.62</v>
      </c>
      <c r="U273" s="320">
        <f>IFERROR(__xludf.DUMMYFUNCTION("""COMPUTED_VALUE"""),55.03)</f>
        <v>55.03</v>
      </c>
      <c r="V273" s="320">
        <f>IFERROR(__xludf.DUMMYFUNCTION("""COMPUTED_VALUE"""),4.098)</f>
        <v>4.098</v>
      </c>
      <c r="W273" s="320">
        <f>IFERROR(__xludf.DUMMYFUNCTION("""COMPUTED_VALUE"""),0.06)</f>
        <v>0.06</v>
      </c>
      <c r="X273" s="320">
        <f>IFERROR(__xludf.DUMMYFUNCTION("""COMPUTED_VALUE"""),149.0)</f>
        <v>149</v>
      </c>
      <c r="Y273" s="320">
        <f>IFERROR(__xludf.DUMMYFUNCTION("""COMPUTED_VALUE"""),885.0)</f>
        <v>885</v>
      </c>
      <c r="Z273" s="320">
        <f>IFERROR(__xludf.DUMMYFUNCTION("""COMPUTED_VALUE"""),5859.0)</f>
        <v>5859</v>
      </c>
      <c r="AA273" s="320">
        <f>IFERROR(__xludf.DUMMYFUNCTION("""COMPUTED_VALUE"""),49.0482)</f>
        <v>49.0482</v>
      </c>
      <c r="AB273" s="320">
        <f>IFERROR(__xludf.DUMMYFUNCTION("""COMPUTED_VALUE"""),0.5407)</f>
        <v>0.5407</v>
      </c>
      <c r="AC273" s="320">
        <f>IFERROR(__xludf.DUMMYFUNCTION("""COMPUTED_VALUE"""),4.16)</f>
        <v>4.16</v>
      </c>
      <c r="AD273" s="320">
        <f>IFERROR(__xludf.DUMMYFUNCTION("""COMPUTED_VALUE"""),1.0)</f>
        <v>1</v>
      </c>
      <c r="AE273" s="320">
        <f>IFERROR(__xludf.DUMMYFUNCTION("""COMPUTED_VALUE"""),3.0)</f>
        <v>3</v>
      </c>
      <c r="AF273" s="320">
        <f>IFERROR(__xludf.DUMMYFUNCTION("""COMPUTED_VALUE"""),5.0)</f>
        <v>5</v>
      </c>
      <c r="AG273" s="320">
        <f>IFERROR(__xludf.DUMMYFUNCTION("""COMPUTED_VALUE"""),9.0)</f>
        <v>9</v>
      </c>
      <c r="AH273" s="320">
        <f>IFERROR(__xludf.DUMMYFUNCTION("""COMPUTED_VALUE"""),73.57)</f>
        <v>73.57</v>
      </c>
      <c r="AI273" s="320">
        <f>IFERROR(__xludf.DUMMYFUNCTION("""COMPUTED_VALUE"""),32.26)</f>
        <v>32.26</v>
      </c>
      <c r="AJ273" s="320">
        <f>IFERROR(__xludf.DUMMYFUNCTION("""COMPUTED_VALUE"""),9.69)</f>
        <v>9.69</v>
      </c>
      <c r="AK273" s="320">
        <f>IFERROR(__xludf.DUMMYFUNCTION("""COMPUTED_VALUE"""),0.2492)</f>
        <v>0.2492</v>
      </c>
      <c r="AL273" s="320">
        <f>IFERROR(__xludf.DUMMYFUNCTION("""COMPUTED_VALUE"""),21.91)</f>
        <v>21.91</v>
      </c>
      <c r="AM273" s="320">
        <f>IFERROR(__xludf.DUMMYFUNCTION("""COMPUTED_VALUE"""),19.54)</f>
        <v>19.54</v>
      </c>
      <c r="AN273" s="320">
        <f>IFERROR(__xludf.DUMMYFUNCTION("""COMPUTED_VALUE"""),66.44)</f>
        <v>66.44</v>
      </c>
      <c r="AO273" s="320">
        <f>IFERROR(__xludf.DUMMYFUNCTION("""COMPUTED_VALUE"""),14.56)</f>
        <v>14.56</v>
      </c>
    </row>
    <row r="274" ht="15.75" customHeight="1">
      <c r="A274" s="330">
        <f>IFERROR(__xludf.DUMMYFUNCTION("""COMPUTED_VALUE"""),46095.0)</f>
        <v>46095</v>
      </c>
      <c r="B274" s="319" t="str">
        <f>IFERROR(__xludf.DUMMYFUNCTION("""COMPUTED_VALUE"""),"C. 10-19")</f>
        <v>C. 10-19</v>
      </c>
      <c r="C274" s="320">
        <f>IFERROR(__xludf.DUMMYFUNCTION("""COMPUTED_VALUE"""),25414.0)</f>
        <v>25414</v>
      </c>
      <c r="D274" s="320">
        <f>IFERROR(__xludf.DUMMYFUNCTION("""COMPUTED_VALUE"""),24.53)</f>
        <v>24.53</v>
      </c>
      <c r="E274" s="320">
        <f>IFERROR(__xludf.DUMMYFUNCTION("""COMPUTED_VALUE"""),0.0)</f>
        <v>0</v>
      </c>
      <c r="F274" s="320">
        <f>IFERROR(__xludf.DUMMYFUNCTION("""COMPUTED_VALUE"""),0.0)</f>
        <v>0</v>
      </c>
      <c r="G274" s="320">
        <f>IFERROR(__xludf.DUMMYFUNCTION("""COMPUTED_VALUE"""),0.0)</f>
        <v>0</v>
      </c>
      <c r="H274" s="106"/>
      <c r="I274" s="320">
        <f>IFERROR(__xludf.DUMMYFUNCTION("""COMPUTED_VALUE"""),54.8)</f>
        <v>54.8</v>
      </c>
      <c r="J274" s="320">
        <f>IFERROR(__xludf.DUMMYFUNCTION("""COMPUTED_VALUE"""),26.01)</f>
        <v>26.01</v>
      </c>
      <c r="K274" s="320">
        <f>IFERROR(__xludf.DUMMYFUNCTION("""COMPUTED_VALUE"""),14.21)</f>
        <v>14.21</v>
      </c>
      <c r="L274" s="320">
        <f>IFERROR(__xludf.DUMMYFUNCTION("""COMPUTED_VALUE"""),0.5463)</f>
        <v>0.5463</v>
      </c>
      <c r="M274" s="320">
        <f>IFERROR(__xludf.DUMMYFUNCTION("""COMPUTED_VALUE"""),0.6458)</f>
        <v>0.6458</v>
      </c>
      <c r="N274" s="320">
        <f>IFERROR(__xludf.DUMMYFUNCTION("""COMPUTED_VALUE"""),0.4527)</f>
        <v>0.4527</v>
      </c>
      <c r="O274" s="320">
        <f>IFERROR(__xludf.DUMMYFUNCTION("""COMPUTED_VALUE"""),1.8304)</f>
        <v>1.8304</v>
      </c>
      <c r="P274" s="320">
        <f>IFERROR(__xludf.DUMMYFUNCTION("""COMPUTED_VALUE"""),97.6)</f>
        <v>97.6</v>
      </c>
      <c r="Q274" s="320">
        <f>IFERROR(__xludf.DUMMYFUNCTION("""COMPUTED_VALUE"""),67.88)</f>
        <v>67.88</v>
      </c>
      <c r="R274" s="320">
        <f>IFERROR(__xludf.DUMMYFUNCTION("""COMPUTED_VALUE"""),29.73)</f>
        <v>29.73</v>
      </c>
      <c r="S274" s="320">
        <f>IFERROR(__xludf.DUMMYFUNCTION("""COMPUTED_VALUE"""),0.09)</f>
        <v>0.09</v>
      </c>
      <c r="T274" s="320">
        <f>IFERROR(__xludf.DUMMYFUNCTION("""COMPUTED_VALUE"""),97.51)</f>
        <v>97.51</v>
      </c>
      <c r="U274" s="320">
        <f>IFERROR(__xludf.DUMMYFUNCTION("""COMPUTED_VALUE"""),99.15)</f>
        <v>99.15</v>
      </c>
      <c r="V274" s="320">
        <f>IFERROR(__xludf.DUMMYFUNCTION("""COMPUTED_VALUE"""),3.8112)</f>
        <v>3.8112</v>
      </c>
      <c r="W274" s="320">
        <f>IFERROR(__xludf.DUMMYFUNCTION("""COMPUTED_VALUE"""),0.09)</f>
        <v>0.09</v>
      </c>
      <c r="X274" s="320">
        <f>IFERROR(__xludf.DUMMYFUNCTION("""COMPUTED_VALUE"""),126.0)</f>
        <v>126</v>
      </c>
      <c r="Y274" s="320">
        <f>IFERROR(__xludf.DUMMYFUNCTION("""COMPUTED_VALUE"""),666.0)</f>
        <v>666</v>
      </c>
      <c r="Z274" s="320">
        <f>IFERROR(__xludf.DUMMYFUNCTION("""COMPUTED_VALUE"""),5413.0)</f>
        <v>5413</v>
      </c>
      <c r="AA274" s="320">
        <f>IFERROR(__xludf.DUMMYFUNCTION("""COMPUTED_VALUE"""),52.4304)</f>
        <v>52.4304</v>
      </c>
      <c r="AB274" s="320">
        <f>IFERROR(__xludf.DUMMYFUNCTION("""COMPUTED_VALUE"""),0.6322)</f>
        <v>0.6322</v>
      </c>
      <c r="AC274" s="320">
        <f>IFERROR(__xludf.DUMMYFUNCTION("""COMPUTED_VALUE"""),9.57)</f>
        <v>9.57</v>
      </c>
      <c r="AD274" s="320">
        <f>IFERROR(__xludf.DUMMYFUNCTION("""COMPUTED_VALUE"""),4.0)</f>
        <v>4</v>
      </c>
      <c r="AE274" s="320">
        <f>IFERROR(__xludf.DUMMYFUNCTION("""COMPUTED_VALUE"""),8.0)</f>
        <v>8</v>
      </c>
      <c r="AF274" s="320">
        <f>IFERROR(__xludf.DUMMYFUNCTION("""COMPUTED_VALUE"""),13.0)</f>
        <v>13</v>
      </c>
      <c r="AG274" s="320">
        <f>IFERROR(__xludf.DUMMYFUNCTION("""COMPUTED_VALUE"""),20.0)</f>
        <v>20</v>
      </c>
      <c r="AH274" s="320">
        <f>IFERROR(__xludf.DUMMYFUNCTION("""COMPUTED_VALUE"""),61.16)</f>
        <v>61.16</v>
      </c>
      <c r="AI274" s="320">
        <f>IFERROR(__xludf.DUMMYFUNCTION("""COMPUTED_VALUE"""),26.45)</f>
        <v>26.45</v>
      </c>
      <c r="AJ274" s="320">
        <f>IFERROR(__xludf.DUMMYFUNCTION("""COMPUTED_VALUE"""),5.05)</f>
        <v>5.05</v>
      </c>
      <c r="AK274" s="320">
        <f>IFERROR(__xludf.DUMMYFUNCTION("""COMPUTED_VALUE"""),0.2035)</f>
        <v>0.2035</v>
      </c>
      <c r="AL274" s="320">
        <f>IFERROR(__xludf.DUMMYFUNCTION("""COMPUTED_VALUE"""),23.28)</f>
        <v>23.28</v>
      </c>
      <c r="AM274" s="320">
        <f>IFERROR(__xludf.DUMMYFUNCTION("""COMPUTED_VALUE"""),44.6)</f>
        <v>44.6</v>
      </c>
      <c r="AN274" s="320">
        <f>IFERROR(__xludf.DUMMYFUNCTION("""COMPUTED_VALUE"""),74.64)</f>
        <v>74.64</v>
      </c>
      <c r="AO274" s="320">
        <f>IFERROR(__xludf.DUMMYFUNCTION("""COMPUTED_VALUE"""),17.38)</f>
        <v>17.38</v>
      </c>
    </row>
    <row r="275" ht="15.75" customHeight="1">
      <c r="A275" s="330">
        <f>IFERROR(__xludf.DUMMYFUNCTION("""COMPUTED_VALUE"""),46095.0)</f>
        <v>46095</v>
      </c>
      <c r="B275" s="319" t="str">
        <f>IFERROR(__xludf.DUMMYFUNCTION("""COMPUTED_VALUE"""),"D. 20-39")</f>
        <v>D. 20-39</v>
      </c>
      <c r="C275" s="320">
        <f>IFERROR(__xludf.DUMMYFUNCTION("""COMPUTED_VALUE"""),14102.0)</f>
        <v>14102</v>
      </c>
      <c r="D275" s="320">
        <f>IFERROR(__xludf.DUMMYFUNCTION("""COMPUTED_VALUE"""),13.61)</f>
        <v>13.61</v>
      </c>
      <c r="E275" s="320">
        <f>IFERROR(__xludf.DUMMYFUNCTION("""COMPUTED_VALUE"""),0.0)</f>
        <v>0</v>
      </c>
      <c r="F275" s="320">
        <f>IFERROR(__xludf.DUMMYFUNCTION("""COMPUTED_VALUE"""),0.0)</f>
        <v>0</v>
      </c>
      <c r="G275" s="320">
        <f>IFERROR(__xludf.DUMMYFUNCTION("""COMPUTED_VALUE"""),0.0)</f>
        <v>0</v>
      </c>
      <c r="H275" s="106"/>
      <c r="I275" s="320">
        <f>IFERROR(__xludf.DUMMYFUNCTION("""COMPUTED_VALUE"""),80.72)</f>
        <v>80.72</v>
      </c>
      <c r="J275" s="320">
        <f>IFERROR(__xludf.DUMMYFUNCTION("""COMPUTED_VALUE"""),41.01)</f>
        <v>41.01</v>
      </c>
      <c r="K275" s="320">
        <f>IFERROR(__xludf.DUMMYFUNCTION("""COMPUTED_VALUE"""),27.47)</f>
        <v>27.47</v>
      </c>
      <c r="L275" s="320">
        <f>IFERROR(__xludf.DUMMYFUNCTION("""COMPUTED_VALUE"""),0.67)</f>
        <v>0.67</v>
      </c>
      <c r="M275" s="320">
        <f>IFERROR(__xludf.DUMMYFUNCTION("""COMPUTED_VALUE"""),0.5194)</f>
        <v>0.5194</v>
      </c>
      <c r="N275" s="320">
        <f>IFERROR(__xludf.DUMMYFUNCTION("""COMPUTED_VALUE"""),0.3595)</f>
        <v>0.3595</v>
      </c>
      <c r="O275" s="320">
        <f>IFERROR(__xludf.DUMMYFUNCTION("""COMPUTED_VALUE"""),1.4925)</f>
        <v>1.4925</v>
      </c>
      <c r="P275" s="320">
        <f>IFERROR(__xludf.DUMMYFUNCTION("""COMPUTED_VALUE"""),170.69)</f>
        <v>170.69</v>
      </c>
      <c r="Q275" s="320">
        <f>IFERROR(__xludf.DUMMYFUNCTION("""COMPUTED_VALUE"""),112.73)</f>
        <v>112.73</v>
      </c>
      <c r="R275" s="320">
        <f>IFERROR(__xludf.DUMMYFUNCTION("""COMPUTED_VALUE"""),57.96)</f>
        <v>57.96</v>
      </c>
      <c r="S275" s="320">
        <f>IFERROR(__xludf.DUMMYFUNCTION("""COMPUTED_VALUE"""),0.09)</f>
        <v>0.09</v>
      </c>
      <c r="T275" s="320">
        <f>IFERROR(__xludf.DUMMYFUNCTION("""COMPUTED_VALUE"""),170.6)</f>
        <v>170.6</v>
      </c>
      <c r="U275" s="320">
        <f>IFERROR(__xludf.DUMMYFUNCTION("""COMPUTED_VALUE"""),173.56)</f>
        <v>173.56</v>
      </c>
      <c r="V275" s="320">
        <f>IFERROR(__xludf.DUMMYFUNCTION("""COMPUTED_VALUE"""),4.2324)</f>
        <v>4.2324</v>
      </c>
      <c r="W275" s="320">
        <f>IFERROR(__xludf.DUMMYFUNCTION("""COMPUTED_VALUE"""),0.05)</f>
        <v>0.05</v>
      </c>
      <c r="X275" s="320">
        <f>IFERROR(__xludf.DUMMYFUNCTION("""COMPUTED_VALUE"""),163.0)</f>
        <v>163</v>
      </c>
      <c r="Y275" s="320">
        <f>IFERROR(__xludf.DUMMYFUNCTION("""COMPUTED_VALUE"""),1050.0)</f>
        <v>1050</v>
      </c>
      <c r="Z275" s="320">
        <f>IFERROR(__xludf.DUMMYFUNCTION("""COMPUTED_VALUE"""),6503.0)</f>
        <v>6503</v>
      </c>
      <c r="AA275" s="320">
        <f>IFERROR(__xludf.DUMMYFUNCTION("""COMPUTED_VALUE"""),55.7412)</f>
        <v>55.7412</v>
      </c>
      <c r="AB275" s="320">
        <f>IFERROR(__xludf.DUMMYFUNCTION("""COMPUTED_VALUE"""),0.7405)</f>
        <v>0.7405</v>
      </c>
      <c r="AC275" s="320">
        <f>IFERROR(__xludf.DUMMYFUNCTION("""COMPUTED_VALUE"""),18.46)</f>
        <v>18.46</v>
      </c>
      <c r="AD275" s="320">
        <f>IFERROR(__xludf.DUMMYFUNCTION("""COMPUTED_VALUE"""),8.0)</f>
        <v>8</v>
      </c>
      <c r="AE275" s="320">
        <f>IFERROR(__xludf.DUMMYFUNCTION("""COMPUTED_VALUE"""),14.0)</f>
        <v>14</v>
      </c>
      <c r="AF275" s="320">
        <f>IFERROR(__xludf.DUMMYFUNCTION("""COMPUTED_VALUE"""),25.0)</f>
        <v>25</v>
      </c>
      <c r="AG275" s="320">
        <f>IFERROR(__xludf.DUMMYFUNCTION("""COMPUTED_VALUE"""),38.0)</f>
        <v>38</v>
      </c>
      <c r="AH275" s="320">
        <f>IFERROR(__xludf.DUMMYFUNCTION("""COMPUTED_VALUE"""),60.69)</f>
        <v>60.69</v>
      </c>
      <c r="AI275" s="320">
        <f>IFERROR(__xludf.DUMMYFUNCTION("""COMPUTED_VALUE"""),24.73)</f>
        <v>24.73</v>
      </c>
      <c r="AJ275" s="320">
        <f>IFERROR(__xludf.DUMMYFUNCTION("""COMPUTED_VALUE"""),7.89)</f>
        <v>7.89</v>
      </c>
      <c r="AK275" s="320">
        <f>IFERROR(__xludf.DUMMYFUNCTION("""COMPUTED_VALUE"""),0.1891)</f>
        <v>0.1891</v>
      </c>
      <c r="AL275" s="320">
        <f>IFERROR(__xludf.DUMMYFUNCTION("""COMPUTED_VALUE"""),22.91)</f>
        <v>22.91</v>
      </c>
      <c r="AM275" s="320">
        <f>IFERROR(__xludf.DUMMYFUNCTION("""COMPUTED_VALUE"""),89.83)</f>
        <v>89.83</v>
      </c>
      <c r="AN275" s="320">
        <f>IFERROR(__xludf.DUMMYFUNCTION("""COMPUTED_VALUE"""),77.14)</f>
        <v>77.14</v>
      </c>
      <c r="AO275" s="320">
        <f>IFERROR(__xludf.DUMMYFUNCTION("""COMPUTED_VALUE"""),17.67)</f>
        <v>17.67</v>
      </c>
    </row>
    <row r="276" ht="15.75" customHeight="1">
      <c r="A276" s="330">
        <f>IFERROR(__xludf.DUMMYFUNCTION("""COMPUTED_VALUE"""),46095.0)</f>
        <v>46095</v>
      </c>
      <c r="B276" s="319" t="str">
        <f>IFERROR(__xludf.DUMMYFUNCTION("""COMPUTED_VALUE"""),"E. 40-99")</f>
        <v>E. 40-99</v>
      </c>
      <c r="C276" s="320">
        <f>IFERROR(__xludf.DUMMYFUNCTION("""COMPUTED_VALUE"""),5612.0)</f>
        <v>5612</v>
      </c>
      <c r="D276" s="320">
        <f>IFERROR(__xludf.DUMMYFUNCTION("""COMPUTED_VALUE"""),5.42)</f>
        <v>5.42</v>
      </c>
      <c r="E276" s="320">
        <f>IFERROR(__xludf.DUMMYFUNCTION("""COMPUTED_VALUE"""),0.0)</f>
        <v>0</v>
      </c>
      <c r="F276" s="320">
        <f>IFERROR(__xludf.DUMMYFUNCTION("""COMPUTED_VALUE"""),0.0)</f>
        <v>0</v>
      </c>
      <c r="G276" s="320">
        <f>IFERROR(__xludf.DUMMYFUNCTION("""COMPUTED_VALUE"""),0.0)</f>
        <v>0</v>
      </c>
      <c r="H276" s="106"/>
      <c r="I276" s="320">
        <f>IFERROR(__xludf.DUMMYFUNCTION("""COMPUTED_VALUE"""),126.19)</f>
        <v>126.19</v>
      </c>
      <c r="J276" s="320">
        <f>IFERROR(__xludf.DUMMYFUNCTION("""COMPUTED_VALUE"""),68.64)</f>
        <v>68.64</v>
      </c>
      <c r="K276" s="320">
        <f>IFERROR(__xludf.DUMMYFUNCTION("""COMPUTED_VALUE"""),54.51)</f>
        <v>54.51</v>
      </c>
      <c r="L276" s="320">
        <f>IFERROR(__xludf.DUMMYFUNCTION("""COMPUTED_VALUE"""),0.7941)</f>
        <v>0.7941</v>
      </c>
      <c r="M276" s="320">
        <f>IFERROR(__xludf.DUMMYFUNCTION("""COMPUTED_VALUE"""),0.384)</f>
        <v>0.384</v>
      </c>
      <c r="N276" s="320">
        <f>IFERROR(__xludf.DUMMYFUNCTION("""COMPUTED_VALUE"""),0.2764)</f>
        <v>0.2764</v>
      </c>
      <c r="O276" s="320">
        <f>IFERROR(__xludf.DUMMYFUNCTION("""COMPUTED_VALUE"""),1.2593)</f>
        <v>1.2593</v>
      </c>
      <c r="P276" s="320">
        <f>IFERROR(__xludf.DUMMYFUNCTION("""COMPUTED_VALUE"""),309.21)</f>
        <v>309.21</v>
      </c>
      <c r="Q276" s="320">
        <f>IFERROR(__xludf.DUMMYFUNCTION("""COMPUTED_VALUE"""),194.06)</f>
        <v>194.06</v>
      </c>
      <c r="R276" s="320">
        <f>IFERROR(__xludf.DUMMYFUNCTION("""COMPUTED_VALUE"""),115.15)</f>
        <v>115.15</v>
      </c>
      <c r="S276" s="320">
        <f>IFERROR(__xludf.DUMMYFUNCTION("""COMPUTED_VALUE"""),0.0)</f>
        <v>0</v>
      </c>
      <c r="T276" s="320">
        <f>IFERROR(__xludf.DUMMYFUNCTION("""COMPUTED_VALUE"""),309.21)</f>
        <v>309.21</v>
      </c>
      <c r="U276" s="320">
        <f>IFERROR(__xludf.DUMMYFUNCTION("""COMPUTED_VALUE"""),306.05)</f>
        <v>306.05</v>
      </c>
      <c r="V276" s="320">
        <f>IFERROR(__xludf.DUMMYFUNCTION("""COMPUTED_VALUE"""),4.4587)</f>
        <v>4.4587</v>
      </c>
      <c r="W276" s="320">
        <f>IFERROR(__xludf.DUMMYFUNCTION("""COMPUTED_VALUE"""),0.0)</f>
        <v>0</v>
      </c>
      <c r="X276" s="320">
        <f>IFERROR(__xludf.DUMMYFUNCTION("""COMPUTED_VALUE"""),279.0)</f>
        <v>279</v>
      </c>
      <c r="Y276" s="320">
        <f>IFERROR(__xludf.DUMMYFUNCTION("""COMPUTED_VALUE"""),2073.0)</f>
        <v>2073</v>
      </c>
      <c r="Z276" s="320">
        <f>IFERROR(__xludf.DUMMYFUNCTION("""COMPUTED_VALUE"""),8838.0)</f>
        <v>8838</v>
      </c>
      <c r="AA276" s="320">
        <f>IFERROR(__xludf.DUMMYFUNCTION("""COMPUTED_VALUE"""),59.5329)</f>
        <v>59.5329</v>
      </c>
      <c r="AB276" s="320">
        <f>IFERROR(__xludf.DUMMYFUNCTION("""COMPUTED_VALUE"""),0.8289)</f>
        <v>0.8289</v>
      </c>
      <c r="AC276" s="320">
        <f>IFERROR(__xludf.DUMMYFUNCTION("""COMPUTED_VALUE"""),37.41)</f>
        <v>37.41</v>
      </c>
      <c r="AD276" s="320">
        <f>IFERROR(__xludf.DUMMYFUNCTION("""COMPUTED_VALUE"""),14.0)</f>
        <v>14</v>
      </c>
      <c r="AE276" s="320">
        <f>IFERROR(__xludf.DUMMYFUNCTION("""COMPUTED_VALUE"""),29.0)</f>
        <v>29</v>
      </c>
      <c r="AF276" s="320">
        <f>IFERROR(__xludf.DUMMYFUNCTION("""COMPUTED_VALUE"""),51.0)</f>
        <v>51</v>
      </c>
      <c r="AG276" s="320">
        <f>IFERROR(__xludf.DUMMYFUNCTION("""COMPUTED_VALUE"""),79.0)</f>
        <v>79</v>
      </c>
      <c r="AH276" s="320">
        <f>IFERROR(__xludf.DUMMYFUNCTION("""COMPUTED_VALUE"""),51.89)</f>
        <v>51.89</v>
      </c>
      <c r="AI276" s="320">
        <f>IFERROR(__xludf.DUMMYFUNCTION("""COMPUTED_VALUE"""),19.33)</f>
        <v>19.33</v>
      </c>
      <c r="AJ276" s="320">
        <f>IFERROR(__xludf.DUMMYFUNCTION("""COMPUTED_VALUE"""),4.88)</f>
        <v>4.88</v>
      </c>
      <c r="AK276" s="320">
        <f>IFERROR(__xludf.DUMMYFUNCTION("""COMPUTED_VALUE"""),0.1401)</f>
        <v>0.1401</v>
      </c>
      <c r="AL276" s="320">
        <f>IFERROR(__xludf.DUMMYFUNCTION("""COMPUTED_VALUE"""),23.6)</f>
        <v>23.6</v>
      </c>
      <c r="AM276" s="320">
        <f>IFERROR(__xludf.DUMMYFUNCTION("""COMPUTED_VALUE"""),170.47)</f>
        <v>170.47</v>
      </c>
      <c r="AN276" s="320">
        <f>IFERROR(__xludf.DUMMYFUNCTION("""COMPUTED_VALUE"""),81.59)</f>
        <v>81.59</v>
      </c>
      <c r="AO276" s="320">
        <f>IFERROR(__xludf.DUMMYFUNCTION("""COMPUTED_VALUE"""),19.26)</f>
        <v>19.26</v>
      </c>
    </row>
    <row r="277" ht="15.75" customHeight="1">
      <c r="A277" s="330">
        <f>IFERROR(__xludf.DUMMYFUNCTION("""COMPUTED_VALUE"""),46095.0)</f>
        <v>46095</v>
      </c>
      <c r="B277" s="319" t="str">
        <f>IFERROR(__xludf.DUMMYFUNCTION("""COMPUTED_VALUE"""),"F. 100+")</f>
        <v>F. 100+</v>
      </c>
      <c r="C277" s="320">
        <f>IFERROR(__xludf.DUMMYFUNCTION("""COMPUTED_VALUE"""),681.0)</f>
        <v>681</v>
      </c>
      <c r="D277" s="320">
        <f>IFERROR(__xludf.DUMMYFUNCTION("""COMPUTED_VALUE"""),0.66)</f>
        <v>0.66</v>
      </c>
      <c r="E277" s="320">
        <f>IFERROR(__xludf.DUMMYFUNCTION("""COMPUTED_VALUE"""),0.0)</f>
        <v>0</v>
      </c>
      <c r="F277" s="320">
        <f>IFERROR(__xludf.DUMMYFUNCTION("""COMPUTED_VALUE"""),0.0)</f>
        <v>0</v>
      </c>
      <c r="G277" s="320">
        <f>IFERROR(__xludf.DUMMYFUNCTION("""COMPUTED_VALUE"""),0.0)</f>
        <v>0</v>
      </c>
      <c r="H277" s="106"/>
      <c r="I277" s="320">
        <f>IFERROR(__xludf.DUMMYFUNCTION("""COMPUTED_VALUE"""),238.27)</f>
        <v>238.27</v>
      </c>
      <c r="J277" s="320">
        <f>IFERROR(__xludf.DUMMYFUNCTION("""COMPUTED_VALUE"""),143.04)</f>
        <v>143.04</v>
      </c>
      <c r="K277" s="320">
        <f>IFERROR(__xludf.DUMMYFUNCTION("""COMPUTED_VALUE"""),125.99)</f>
        <v>125.99</v>
      </c>
      <c r="L277" s="320">
        <f>IFERROR(__xludf.DUMMYFUNCTION("""COMPUTED_VALUE"""),0.8808)</f>
        <v>0.8808</v>
      </c>
      <c r="M277" s="320">
        <f>IFERROR(__xludf.DUMMYFUNCTION("""COMPUTED_VALUE"""),0.2699)</f>
        <v>0.2699</v>
      </c>
      <c r="N277" s="320">
        <f>IFERROR(__xludf.DUMMYFUNCTION("""COMPUTED_VALUE"""),0.2075)</f>
        <v>0.2075</v>
      </c>
      <c r="O277" s="320">
        <f>IFERROR(__xludf.DUMMYFUNCTION("""COMPUTED_VALUE"""),1.1353)</f>
        <v>1.1353</v>
      </c>
      <c r="P277" s="320">
        <f>IFERROR(__xludf.DUMMYFUNCTION("""COMPUTED_VALUE"""),661.17)</f>
        <v>661.17</v>
      </c>
      <c r="Q277" s="320">
        <f>IFERROR(__xludf.DUMMYFUNCTION("""COMPUTED_VALUE"""),396.51)</f>
        <v>396.51</v>
      </c>
      <c r="R277" s="320">
        <f>IFERROR(__xludf.DUMMYFUNCTION("""COMPUTED_VALUE"""),264.65)</f>
        <v>264.65</v>
      </c>
      <c r="S277" s="320">
        <f>IFERROR(__xludf.DUMMYFUNCTION("""COMPUTED_VALUE"""),0.0)</f>
        <v>0</v>
      </c>
      <c r="T277" s="320">
        <f>IFERROR(__xludf.DUMMYFUNCTION("""COMPUTED_VALUE"""),661.17)</f>
        <v>661.17</v>
      </c>
      <c r="U277" s="320">
        <f>IFERROR(__xludf.DUMMYFUNCTION("""COMPUTED_VALUE"""),643.25)</f>
        <v>643.25</v>
      </c>
      <c r="V277" s="320">
        <f>IFERROR(__xludf.DUMMYFUNCTION("""COMPUTED_VALUE"""),4.4971)</f>
        <v>4.4971</v>
      </c>
      <c r="W277" s="320">
        <f>IFERROR(__xludf.DUMMYFUNCTION("""COMPUTED_VALUE"""),0.0)</f>
        <v>0</v>
      </c>
      <c r="X277" s="320">
        <f>IFERROR(__xludf.DUMMYFUNCTION("""COMPUTED_VALUE"""),939.0)</f>
        <v>939</v>
      </c>
      <c r="Y277" s="320">
        <f>IFERROR(__xludf.DUMMYFUNCTION("""COMPUTED_VALUE"""),4733.0)</f>
        <v>4733</v>
      </c>
      <c r="Z277" s="320">
        <f>IFERROR(__xludf.DUMMYFUNCTION("""COMPUTED_VALUE"""),11816.0)</f>
        <v>11816</v>
      </c>
      <c r="AA277" s="320">
        <f>IFERROR(__xludf.DUMMYFUNCTION("""COMPUTED_VALUE"""),63.0024)</f>
        <v>63.0024</v>
      </c>
      <c r="AB277" s="320">
        <f>IFERROR(__xludf.DUMMYFUNCTION("""COMPUTED_VALUE"""),0.9026)</f>
        <v>0.9026</v>
      </c>
      <c r="AC277" s="320">
        <f>IFERROR(__xludf.DUMMYFUNCTION("""COMPUTED_VALUE"""),87.3)</f>
        <v>87.3</v>
      </c>
      <c r="AD277" s="320">
        <f>IFERROR(__xludf.DUMMYFUNCTION("""COMPUTED_VALUE"""),34.0)</f>
        <v>34</v>
      </c>
      <c r="AE277" s="320">
        <f>IFERROR(__xludf.DUMMYFUNCTION("""COMPUTED_VALUE"""),69.0)</f>
        <v>69</v>
      </c>
      <c r="AF277" s="320">
        <f>IFERROR(__xludf.DUMMYFUNCTION("""COMPUTED_VALUE"""),122.0)</f>
        <v>122</v>
      </c>
      <c r="AG277" s="320">
        <f>IFERROR(__xludf.DUMMYFUNCTION("""COMPUTED_VALUE"""),180.0)</f>
        <v>180</v>
      </c>
      <c r="AH277" s="320">
        <f>IFERROR(__xludf.DUMMYFUNCTION("""COMPUTED_VALUE"""),44.93)</f>
        <v>44.93</v>
      </c>
      <c r="AI277" s="320">
        <f>IFERROR(__xludf.DUMMYFUNCTION("""COMPUTED_VALUE"""),11.01)</f>
        <v>11.01</v>
      </c>
      <c r="AJ277" s="320">
        <f>IFERROR(__xludf.DUMMYFUNCTION("""COMPUTED_VALUE"""),1.62)</f>
        <v>1.62</v>
      </c>
      <c r="AK277" s="320">
        <f>IFERROR(__xludf.DUMMYFUNCTION("""COMPUTED_VALUE"""),0.1072)</f>
        <v>0.1072</v>
      </c>
      <c r="AL277" s="320">
        <f>IFERROR(__xludf.DUMMYFUNCTION("""COMPUTED_VALUE"""),26.27)</f>
        <v>26.27</v>
      </c>
      <c r="AM277" s="320">
        <f>IFERROR(__xludf.DUMMYFUNCTION("""COMPUTED_VALUE"""),370.24)</f>
        <v>370.24</v>
      </c>
      <c r="AN277" s="320">
        <f>IFERROR(__xludf.DUMMYFUNCTION("""COMPUTED_VALUE"""),84.22)</f>
        <v>84.22</v>
      </c>
      <c r="AO277" s="320">
        <f>IFERROR(__xludf.DUMMYFUNCTION("""COMPUTED_VALUE"""),22.12)</f>
        <v>22.12</v>
      </c>
    </row>
    <row r="278" ht="15.75" customHeight="1">
      <c r="A278" s="330">
        <f>IFERROR(__xludf.DUMMYFUNCTION("""COMPUTED_VALUE"""),46096.0)</f>
        <v>46096</v>
      </c>
      <c r="B278" s="319" t="str">
        <f>IFERROR(__xludf.DUMMYFUNCTION("""COMPUTED_VALUE"""),"A. 0")</f>
        <v>A. 0</v>
      </c>
      <c r="C278" s="320">
        <f>IFERROR(__xludf.DUMMYFUNCTION("""COMPUTED_VALUE"""),19583.0)</f>
        <v>19583</v>
      </c>
      <c r="D278" s="320">
        <f>IFERROR(__xludf.DUMMYFUNCTION("""COMPUTED_VALUE"""),18.64)</f>
        <v>18.64</v>
      </c>
      <c r="E278" s="320">
        <f>IFERROR(__xludf.DUMMYFUNCTION("""COMPUTED_VALUE"""),0.0)</f>
        <v>0</v>
      </c>
      <c r="F278" s="320">
        <f>IFERROR(__xludf.DUMMYFUNCTION("""COMPUTED_VALUE"""),0.0)</f>
        <v>0</v>
      </c>
      <c r="G278" s="320">
        <f>IFERROR(__xludf.DUMMYFUNCTION("""COMPUTED_VALUE"""),0.0)</f>
        <v>0</v>
      </c>
      <c r="H278" s="106"/>
      <c r="I278" s="320">
        <f>IFERROR(__xludf.DUMMYFUNCTION("""COMPUTED_VALUE"""),6.17)</f>
        <v>6.17</v>
      </c>
      <c r="J278" s="320">
        <f>IFERROR(__xludf.DUMMYFUNCTION("""COMPUTED_VALUE"""),2.51)</f>
        <v>2.51</v>
      </c>
      <c r="K278" s="320">
        <f>IFERROR(__xludf.DUMMYFUNCTION("""COMPUTED_VALUE"""),0.03)</f>
        <v>0.03</v>
      </c>
      <c r="L278" s="320">
        <f>IFERROR(__xludf.DUMMYFUNCTION("""COMPUTED_VALUE"""),0.0125)</f>
        <v>0.0125</v>
      </c>
      <c r="M278" s="320">
        <f>IFERROR(__xludf.DUMMYFUNCTION("""COMPUTED_VALUE"""),0.9908)</f>
        <v>0.9908</v>
      </c>
      <c r="N278" s="320">
        <f>IFERROR(__xludf.DUMMYFUNCTION("""COMPUTED_VALUE"""),0.8769)</f>
        <v>0.8769</v>
      </c>
      <c r="O278" s="320">
        <f>IFERROR(__xludf.DUMMYFUNCTION("""COMPUTED_VALUE"""),79.7565)</f>
        <v>79.7565</v>
      </c>
      <c r="P278" s="320">
        <f>IFERROR(__xludf.DUMMYFUNCTION("""COMPUTED_VALUE"""),23.49)</f>
        <v>23.49</v>
      </c>
      <c r="Q278" s="320">
        <f>IFERROR(__xludf.DUMMYFUNCTION("""COMPUTED_VALUE"""),23.34)</f>
        <v>23.34</v>
      </c>
      <c r="R278" s="320">
        <f>IFERROR(__xludf.DUMMYFUNCTION("""COMPUTED_VALUE"""),0.15)</f>
        <v>0.15</v>
      </c>
      <c r="S278" s="320">
        <f>IFERROR(__xludf.DUMMYFUNCTION("""COMPUTED_VALUE"""),0.0)</f>
        <v>0</v>
      </c>
      <c r="T278" s="320">
        <f>IFERROR(__xludf.DUMMYFUNCTION("""COMPUTED_VALUE"""),23.49)</f>
        <v>23.49</v>
      </c>
      <c r="U278" s="320">
        <f>IFERROR(__xludf.DUMMYFUNCTION("""COMPUTED_VALUE"""),1.6)</f>
        <v>1.6</v>
      </c>
      <c r="V278" s="320">
        <f>IFERROR(__xludf.DUMMYFUNCTION("""COMPUTED_VALUE"""),0.6361)</f>
        <v>0.6361</v>
      </c>
      <c r="W278" s="320">
        <f>IFERROR(__xludf.DUMMYFUNCTION("""COMPUTED_VALUE"""),0.0)</f>
        <v>0</v>
      </c>
      <c r="X278" s="320">
        <f>IFERROR(__xludf.DUMMYFUNCTION("""COMPUTED_VALUE"""),330.0)</f>
        <v>330</v>
      </c>
      <c r="Y278" s="320">
        <f>IFERROR(__xludf.DUMMYFUNCTION("""COMPUTED_VALUE"""),3713.0)</f>
        <v>3713</v>
      </c>
      <c r="Z278" s="320">
        <f>IFERROR(__xludf.DUMMYFUNCTION("""COMPUTED_VALUE"""),14734.0)</f>
        <v>14734</v>
      </c>
      <c r="AA278" s="320">
        <f>IFERROR(__xludf.DUMMYFUNCTION("""COMPUTED_VALUE"""),49.3739)</f>
        <v>49.3739</v>
      </c>
      <c r="AB278" s="320">
        <f>IFERROR(__xludf.DUMMYFUNCTION("""COMPUTED_VALUE"""),0.5529)</f>
        <v>0.5529</v>
      </c>
      <c r="AC278" s="106"/>
      <c r="AD278" s="106"/>
      <c r="AE278" s="106"/>
      <c r="AF278" s="106"/>
      <c r="AG278" s="106"/>
      <c r="AH278" s="320">
        <f>IFERROR(__xludf.DUMMYFUNCTION("""COMPUTED_VALUE"""),0.0)</f>
        <v>0</v>
      </c>
      <c r="AI278" s="320">
        <f>IFERROR(__xludf.DUMMYFUNCTION("""COMPUTED_VALUE"""),0.0)</f>
        <v>0</v>
      </c>
      <c r="AJ278" s="320">
        <f>IFERROR(__xludf.DUMMYFUNCTION("""COMPUTED_VALUE"""),0.0)</f>
        <v>0</v>
      </c>
      <c r="AK278" s="320">
        <f>IFERROR(__xludf.DUMMYFUNCTION("""COMPUTED_VALUE"""),0.2939)</f>
        <v>0.2939</v>
      </c>
      <c r="AL278" s="320">
        <f>IFERROR(__xludf.DUMMYFUNCTION("""COMPUTED_VALUE"""),19.04)</f>
        <v>19.04</v>
      </c>
      <c r="AM278" s="320">
        <f>IFERROR(__xludf.DUMMYFUNCTION("""COMPUTED_VALUE"""),4.3)</f>
        <v>4.3</v>
      </c>
      <c r="AN278" s="331"/>
      <c r="AO278" s="331"/>
    </row>
    <row r="279" ht="15.75" customHeight="1">
      <c r="A279" s="330">
        <f>IFERROR(__xludf.DUMMYFUNCTION("""COMPUTED_VALUE"""),46096.0)</f>
        <v>46096</v>
      </c>
      <c r="B279" s="319" t="str">
        <f>IFERROR(__xludf.DUMMYFUNCTION("""COMPUTED_VALUE"""),"B. 1-9")</f>
        <v>B. 1-9</v>
      </c>
      <c r="C279" s="320">
        <f>IFERROR(__xludf.DUMMYFUNCTION("""COMPUTED_VALUE"""),38676.0)</f>
        <v>38676</v>
      </c>
      <c r="D279" s="320">
        <f>IFERROR(__xludf.DUMMYFUNCTION("""COMPUTED_VALUE"""),36.81)</f>
        <v>36.81</v>
      </c>
      <c r="E279" s="320">
        <f>IFERROR(__xludf.DUMMYFUNCTION("""COMPUTED_VALUE"""),0.0)</f>
        <v>0</v>
      </c>
      <c r="F279" s="320">
        <f>IFERROR(__xludf.DUMMYFUNCTION("""COMPUTED_VALUE"""),0.0)</f>
        <v>0</v>
      </c>
      <c r="G279" s="320">
        <f>IFERROR(__xludf.DUMMYFUNCTION("""COMPUTED_VALUE"""),0.0)</f>
        <v>0</v>
      </c>
      <c r="H279" s="106"/>
      <c r="I279" s="320">
        <f>IFERROR(__xludf.DUMMYFUNCTION("""COMPUTED_VALUE"""),32.04)</f>
        <v>32.04</v>
      </c>
      <c r="J279" s="320">
        <f>IFERROR(__xludf.DUMMYFUNCTION("""COMPUTED_VALUE"""),14.75)</f>
        <v>14.75</v>
      </c>
      <c r="K279" s="320">
        <f>IFERROR(__xludf.DUMMYFUNCTION("""COMPUTED_VALUE"""),5.99)</f>
        <v>5.99</v>
      </c>
      <c r="L279" s="320">
        <f>IFERROR(__xludf.DUMMYFUNCTION("""COMPUTED_VALUE"""),0.406)</f>
        <v>0.406</v>
      </c>
      <c r="M279" s="320">
        <f>IFERROR(__xludf.DUMMYFUNCTION("""COMPUTED_VALUE"""),0.7588)</f>
        <v>0.7588</v>
      </c>
      <c r="N279" s="320">
        <f>IFERROR(__xludf.DUMMYFUNCTION("""COMPUTED_VALUE"""),0.5544)</f>
        <v>0.5544</v>
      </c>
      <c r="O279" s="320">
        <f>IFERROR(__xludf.DUMMYFUNCTION("""COMPUTED_VALUE"""),2.4629)</f>
        <v>2.4629</v>
      </c>
      <c r="P279" s="320">
        <f>IFERROR(__xludf.DUMMYFUNCTION("""COMPUTED_VALUE"""),48.46)</f>
        <v>48.46</v>
      </c>
      <c r="Q279" s="320">
        <f>IFERROR(__xludf.DUMMYFUNCTION("""COMPUTED_VALUE"""),35.99)</f>
        <v>35.99</v>
      </c>
      <c r="R279" s="320">
        <f>IFERROR(__xludf.DUMMYFUNCTION("""COMPUTED_VALUE"""),12.46)</f>
        <v>12.46</v>
      </c>
      <c r="S279" s="320">
        <f>IFERROR(__xludf.DUMMYFUNCTION("""COMPUTED_VALUE"""),0.02)</f>
        <v>0.02</v>
      </c>
      <c r="T279" s="320">
        <f>IFERROR(__xludf.DUMMYFUNCTION("""COMPUTED_VALUE"""),48.44)</f>
        <v>48.44</v>
      </c>
      <c r="U279" s="320">
        <f>IFERROR(__xludf.DUMMYFUNCTION("""COMPUTED_VALUE"""),53.28)</f>
        <v>53.28</v>
      </c>
      <c r="V279" s="320">
        <f>IFERROR(__xludf.DUMMYFUNCTION("""COMPUTED_VALUE"""),3.6129)</f>
        <v>3.6129</v>
      </c>
      <c r="W279" s="320">
        <f>IFERROR(__xludf.DUMMYFUNCTION("""COMPUTED_VALUE"""),0.03)</f>
        <v>0.03</v>
      </c>
      <c r="X279" s="320">
        <f>IFERROR(__xludf.DUMMYFUNCTION("""COMPUTED_VALUE"""),138.0)</f>
        <v>138</v>
      </c>
      <c r="Y279" s="320">
        <f>IFERROR(__xludf.DUMMYFUNCTION("""COMPUTED_VALUE"""),865.0)</f>
        <v>865</v>
      </c>
      <c r="Z279" s="320">
        <f>IFERROR(__xludf.DUMMYFUNCTION("""COMPUTED_VALUE"""),5810.0)</f>
        <v>5810</v>
      </c>
      <c r="AA279" s="320">
        <f>IFERROR(__xludf.DUMMYFUNCTION("""COMPUTED_VALUE"""),48.9281)</f>
        <v>48.9281</v>
      </c>
      <c r="AB279" s="320">
        <f>IFERROR(__xludf.DUMMYFUNCTION("""COMPUTED_VALUE"""),0.5401)</f>
        <v>0.5401</v>
      </c>
      <c r="AC279" s="320">
        <f>IFERROR(__xludf.DUMMYFUNCTION("""COMPUTED_VALUE"""),4.15)</f>
        <v>4.15</v>
      </c>
      <c r="AD279" s="320">
        <f>IFERROR(__xludf.DUMMYFUNCTION("""COMPUTED_VALUE"""),1.0)</f>
        <v>1</v>
      </c>
      <c r="AE279" s="320">
        <f>IFERROR(__xludf.DUMMYFUNCTION("""COMPUTED_VALUE"""),3.0)</f>
        <v>3</v>
      </c>
      <c r="AF279" s="320">
        <f>IFERROR(__xludf.DUMMYFUNCTION("""COMPUTED_VALUE"""),5.0)</f>
        <v>5</v>
      </c>
      <c r="AG279" s="320">
        <f>IFERROR(__xludf.DUMMYFUNCTION("""COMPUTED_VALUE"""),9.0)</f>
        <v>9</v>
      </c>
      <c r="AH279" s="320">
        <f>IFERROR(__xludf.DUMMYFUNCTION("""COMPUTED_VALUE"""),74.03)</f>
        <v>74.03</v>
      </c>
      <c r="AI279" s="320">
        <f>IFERROR(__xludf.DUMMYFUNCTION("""COMPUTED_VALUE"""),32.3)</f>
        <v>32.3</v>
      </c>
      <c r="AJ279" s="320">
        <f>IFERROR(__xludf.DUMMYFUNCTION("""COMPUTED_VALUE"""),9.17)</f>
        <v>9.17</v>
      </c>
      <c r="AK279" s="320">
        <f>IFERROR(__xludf.DUMMYFUNCTION("""COMPUTED_VALUE"""),0.2612)</f>
        <v>0.2612</v>
      </c>
      <c r="AL279" s="320">
        <f>IFERROR(__xludf.DUMMYFUNCTION("""COMPUTED_VALUE"""),20.92)</f>
        <v>20.92</v>
      </c>
      <c r="AM279" s="320">
        <f>IFERROR(__xludf.DUMMYFUNCTION("""COMPUTED_VALUE"""),15.07)</f>
        <v>15.07</v>
      </c>
      <c r="AN279" s="320">
        <f>IFERROR(__xludf.DUMMYFUNCTION("""COMPUTED_VALUE"""),65.81)</f>
        <v>65.81</v>
      </c>
      <c r="AO279" s="320">
        <f>IFERROR(__xludf.DUMMYFUNCTION("""COMPUTED_VALUE"""),13.77)</f>
        <v>13.77</v>
      </c>
    </row>
    <row r="280" ht="15.75" customHeight="1">
      <c r="A280" s="330">
        <f>IFERROR(__xludf.DUMMYFUNCTION("""COMPUTED_VALUE"""),46096.0)</f>
        <v>46096</v>
      </c>
      <c r="B280" s="319" t="str">
        <f>IFERROR(__xludf.DUMMYFUNCTION("""COMPUTED_VALUE"""),"C. 10-19")</f>
        <v>C. 10-19</v>
      </c>
      <c r="C280" s="320">
        <f>IFERROR(__xludf.DUMMYFUNCTION("""COMPUTED_VALUE"""),26029.0)</f>
        <v>26029</v>
      </c>
      <c r="D280" s="320">
        <f>IFERROR(__xludf.DUMMYFUNCTION("""COMPUTED_VALUE"""),24.77)</f>
        <v>24.77</v>
      </c>
      <c r="E280" s="320">
        <f>IFERROR(__xludf.DUMMYFUNCTION("""COMPUTED_VALUE"""),0.0)</f>
        <v>0</v>
      </c>
      <c r="F280" s="320">
        <f>IFERROR(__xludf.DUMMYFUNCTION("""COMPUTED_VALUE"""),0.0)</f>
        <v>0</v>
      </c>
      <c r="G280" s="320">
        <f>IFERROR(__xludf.DUMMYFUNCTION("""COMPUTED_VALUE"""),0.0)</f>
        <v>0</v>
      </c>
      <c r="H280" s="106"/>
      <c r="I280" s="320">
        <f>IFERROR(__xludf.DUMMYFUNCTION("""COMPUTED_VALUE"""),59.47)</f>
        <v>59.47</v>
      </c>
      <c r="J280" s="320">
        <f>IFERROR(__xludf.DUMMYFUNCTION("""COMPUTED_VALUE"""),28.52)</f>
        <v>28.52</v>
      </c>
      <c r="K280" s="320">
        <f>IFERROR(__xludf.DUMMYFUNCTION("""COMPUTED_VALUE"""),14.69)</f>
        <v>14.69</v>
      </c>
      <c r="L280" s="320">
        <f>IFERROR(__xludf.DUMMYFUNCTION("""COMPUTED_VALUE"""),0.5151)</f>
        <v>0.5151</v>
      </c>
      <c r="M280" s="320">
        <f>IFERROR(__xludf.DUMMYFUNCTION("""COMPUTED_VALUE"""),0.6677)</f>
        <v>0.6677</v>
      </c>
      <c r="N280" s="320">
        <f>IFERROR(__xludf.DUMMYFUNCTION("""COMPUTED_VALUE"""),0.4617)</f>
        <v>0.4617</v>
      </c>
      <c r="O280" s="320">
        <f>IFERROR(__xludf.DUMMYFUNCTION("""COMPUTED_VALUE"""),1.9413)</f>
        <v>1.9413</v>
      </c>
      <c r="P280" s="320">
        <f>IFERROR(__xludf.DUMMYFUNCTION("""COMPUTED_VALUE"""),83.64)</f>
        <v>83.64</v>
      </c>
      <c r="Q280" s="320">
        <f>IFERROR(__xludf.DUMMYFUNCTION("""COMPUTED_VALUE"""),52.73)</f>
        <v>52.73</v>
      </c>
      <c r="R280" s="320">
        <f>IFERROR(__xludf.DUMMYFUNCTION("""COMPUTED_VALUE"""),30.91)</f>
        <v>30.91</v>
      </c>
      <c r="S280" s="320">
        <f>IFERROR(__xludf.DUMMYFUNCTION("""COMPUTED_VALUE"""),0.03)</f>
        <v>0.03</v>
      </c>
      <c r="T280" s="320">
        <f>IFERROR(__xludf.DUMMYFUNCTION("""COMPUTED_VALUE"""),83.61)</f>
        <v>83.61</v>
      </c>
      <c r="U280" s="320">
        <f>IFERROR(__xludf.DUMMYFUNCTION("""COMPUTED_VALUE"""),95.32)</f>
        <v>95.32</v>
      </c>
      <c r="V280" s="320">
        <f>IFERROR(__xludf.DUMMYFUNCTION("""COMPUTED_VALUE"""),3.3421)</f>
        <v>3.3421</v>
      </c>
      <c r="W280" s="320">
        <f>IFERROR(__xludf.DUMMYFUNCTION("""COMPUTED_VALUE"""),0.03)</f>
        <v>0.03</v>
      </c>
      <c r="X280" s="320">
        <f>IFERROR(__xludf.DUMMYFUNCTION("""COMPUTED_VALUE"""),112.0)</f>
        <v>112</v>
      </c>
      <c r="Y280" s="320">
        <f>IFERROR(__xludf.DUMMYFUNCTION("""COMPUTED_VALUE"""),648.0)</f>
        <v>648</v>
      </c>
      <c r="Z280" s="320">
        <f>IFERROR(__xludf.DUMMYFUNCTION("""COMPUTED_VALUE"""),5031.0)</f>
        <v>5031</v>
      </c>
      <c r="AA280" s="320">
        <f>IFERROR(__xludf.DUMMYFUNCTION("""COMPUTED_VALUE"""),52.4255)</f>
        <v>52.4255</v>
      </c>
      <c r="AB280" s="320">
        <f>IFERROR(__xludf.DUMMYFUNCTION("""COMPUTED_VALUE"""),0.6348)</f>
        <v>0.6348</v>
      </c>
      <c r="AC280" s="320">
        <f>IFERROR(__xludf.DUMMYFUNCTION("""COMPUTED_VALUE"""),9.63)</f>
        <v>9.63</v>
      </c>
      <c r="AD280" s="320">
        <f>IFERROR(__xludf.DUMMYFUNCTION("""COMPUTED_VALUE"""),4.0)</f>
        <v>4</v>
      </c>
      <c r="AE280" s="320">
        <f>IFERROR(__xludf.DUMMYFUNCTION("""COMPUTED_VALUE"""),8.0)</f>
        <v>8</v>
      </c>
      <c r="AF280" s="320">
        <f>IFERROR(__xludf.DUMMYFUNCTION("""COMPUTED_VALUE"""),13.0)</f>
        <v>13</v>
      </c>
      <c r="AG280" s="320">
        <f>IFERROR(__xludf.DUMMYFUNCTION("""COMPUTED_VALUE"""),20.0)</f>
        <v>20</v>
      </c>
      <c r="AH280" s="320">
        <f>IFERROR(__xludf.DUMMYFUNCTION("""COMPUTED_VALUE"""),61.51)</f>
        <v>61.51</v>
      </c>
      <c r="AI280" s="320">
        <f>IFERROR(__xludf.DUMMYFUNCTION("""COMPUTED_VALUE"""),26.69)</f>
        <v>26.69</v>
      </c>
      <c r="AJ280" s="320">
        <f>IFERROR(__xludf.DUMMYFUNCTION("""COMPUTED_VALUE"""),5.11)</f>
        <v>5.11</v>
      </c>
      <c r="AK280" s="320">
        <f>IFERROR(__xludf.DUMMYFUNCTION("""COMPUTED_VALUE"""),0.2203)</f>
        <v>0.2203</v>
      </c>
      <c r="AL280" s="320">
        <f>IFERROR(__xludf.DUMMYFUNCTION("""COMPUTED_VALUE"""),22.01)</f>
        <v>22.01</v>
      </c>
      <c r="AM280" s="320">
        <f>IFERROR(__xludf.DUMMYFUNCTION("""COMPUTED_VALUE"""),30.72)</f>
        <v>30.72</v>
      </c>
      <c r="AN280" s="320">
        <f>IFERROR(__xludf.DUMMYFUNCTION("""COMPUTED_VALUE"""),73.97)</f>
        <v>73.97</v>
      </c>
      <c r="AO280" s="320">
        <f>IFERROR(__xludf.DUMMYFUNCTION("""COMPUTED_VALUE"""),16.28)</f>
        <v>16.28</v>
      </c>
    </row>
    <row r="281" ht="15.75" customHeight="1">
      <c r="A281" s="330">
        <f>IFERROR(__xludf.DUMMYFUNCTION("""COMPUTED_VALUE"""),46096.0)</f>
        <v>46096</v>
      </c>
      <c r="B281" s="319" t="str">
        <f>IFERROR(__xludf.DUMMYFUNCTION("""COMPUTED_VALUE"""),"D. 20-39")</f>
        <v>D. 20-39</v>
      </c>
      <c r="C281" s="320">
        <f>IFERROR(__xludf.DUMMYFUNCTION("""COMPUTED_VALUE"""),14332.0)</f>
        <v>14332</v>
      </c>
      <c r="D281" s="320">
        <f>IFERROR(__xludf.DUMMYFUNCTION("""COMPUTED_VALUE"""),13.64)</f>
        <v>13.64</v>
      </c>
      <c r="E281" s="320">
        <f>IFERROR(__xludf.DUMMYFUNCTION("""COMPUTED_VALUE"""),0.0)</f>
        <v>0</v>
      </c>
      <c r="F281" s="320">
        <f>IFERROR(__xludf.DUMMYFUNCTION("""COMPUTED_VALUE"""),0.0)</f>
        <v>0</v>
      </c>
      <c r="G281" s="320">
        <f>IFERROR(__xludf.DUMMYFUNCTION("""COMPUTED_VALUE"""),0.0)</f>
        <v>0</v>
      </c>
      <c r="H281" s="106"/>
      <c r="I281" s="320">
        <f>IFERROR(__xludf.DUMMYFUNCTION("""COMPUTED_VALUE"""),86.38)</f>
        <v>86.38</v>
      </c>
      <c r="J281" s="320">
        <f>IFERROR(__xludf.DUMMYFUNCTION("""COMPUTED_VALUE"""),43.88)</f>
        <v>43.88</v>
      </c>
      <c r="K281" s="320">
        <f>IFERROR(__xludf.DUMMYFUNCTION("""COMPUTED_VALUE"""),28.44)</f>
        <v>28.44</v>
      </c>
      <c r="L281" s="320">
        <f>IFERROR(__xludf.DUMMYFUNCTION("""COMPUTED_VALUE"""),0.648)</f>
        <v>0.648</v>
      </c>
      <c r="M281" s="320">
        <f>IFERROR(__xludf.DUMMYFUNCTION("""COMPUTED_VALUE"""),0.5355)</f>
        <v>0.5355</v>
      </c>
      <c r="N281" s="320">
        <f>IFERROR(__xludf.DUMMYFUNCTION("""COMPUTED_VALUE"""),0.3649)</f>
        <v>0.3649</v>
      </c>
      <c r="O281" s="320">
        <f>IFERROR(__xludf.DUMMYFUNCTION("""COMPUTED_VALUE"""),1.5431)</f>
        <v>1.5431</v>
      </c>
      <c r="P281" s="320">
        <f>IFERROR(__xludf.DUMMYFUNCTION("""COMPUTED_VALUE"""),139.84)</f>
        <v>139.84</v>
      </c>
      <c r="Q281" s="320">
        <f>IFERROR(__xludf.DUMMYFUNCTION("""COMPUTED_VALUE"""),79.78)</f>
        <v>79.78</v>
      </c>
      <c r="R281" s="320">
        <f>IFERROR(__xludf.DUMMYFUNCTION("""COMPUTED_VALUE"""),60.07)</f>
        <v>60.07</v>
      </c>
      <c r="S281" s="320">
        <f>IFERROR(__xludf.DUMMYFUNCTION("""COMPUTED_VALUE"""),0.05)</f>
        <v>0.05</v>
      </c>
      <c r="T281" s="320">
        <f>IFERROR(__xludf.DUMMYFUNCTION("""COMPUTED_VALUE"""),139.8)</f>
        <v>139.8</v>
      </c>
      <c r="U281" s="320">
        <f>IFERROR(__xludf.DUMMYFUNCTION("""COMPUTED_VALUE"""),167.46)</f>
        <v>167.46</v>
      </c>
      <c r="V281" s="320">
        <f>IFERROR(__xludf.DUMMYFUNCTION("""COMPUTED_VALUE"""),3.8159)</f>
        <v>3.8159</v>
      </c>
      <c r="W281" s="320">
        <f>IFERROR(__xludf.DUMMYFUNCTION("""COMPUTED_VALUE"""),0.03)</f>
        <v>0.03</v>
      </c>
      <c r="X281" s="320">
        <f>IFERROR(__xludf.DUMMYFUNCTION("""COMPUTED_VALUE"""),137.0)</f>
        <v>137</v>
      </c>
      <c r="Y281" s="320">
        <f>IFERROR(__xludf.DUMMYFUNCTION("""COMPUTED_VALUE"""),931.0)</f>
        <v>931</v>
      </c>
      <c r="Z281" s="320">
        <f>IFERROR(__xludf.DUMMYFUNCTION("""COMPUTED_VALUE"""),6172.0)</f>
        <v>6172</v>
      </c>
      <c r="AA281" s="320">
        <f>IFERROR(__xludf.DUMMYFUNCTION("""COMPUTED_VALUE"""),55.7372)</f>
        <v>55.7372</v>
      </c>
      <c r="AB281" s="320">
        <f>IFERROR(__xludf.DUMMYFUNCTION("""COMPUTED_VALUE"""),0.7434)</f>
        <v>0.7434</v>
      </c>
      <c r="AC281" s="320">
        <f>IFERROR(__xludf.DUMMYFUNCTION("""COMPUTED_VALUE"""),18.65)</f>
        <v>18.65</v>
      </c>
      <c r="AD281" s="320">
        <f>IFERROR(__xludf.DUMMYFUNCTION("""COMPUTED_VALUE"""),8.0)</f>
        <v>8</v>
      </c>
      <c r="AE281" s="320">
        <f>IFERROR(__xludf.DUMMYFUNCTION("""COMPUTED_VALUE"""),14.0)</f>
        <v>14</v>
      </c>
      <c r="AF281" s="320">
        <f>IFERROR(__xludf.DUMMYFUNCTION("""COMPUTED_VALUE"""),25.0)</f>
        <v>25</v>
      </c>
      <c r="AG281" s="320">
        <f>IFERROR(__xludf.DUMMYFUNCTION("""COMPUTED_VALUE"""),39.0)</f>
        <v>39</v>
      </c>
      <c r="AH281" s="320">
        <f>IFERROR(__xludf.DUMMYFUNCTION("""COMPUTED_VALUE"""),61.05)</f>
        <v>61.05</v>
      </c>
      <c r="AI281" s="320">
        <f>IFERROR(__xludf.DUMMYFUNCTION("""COMPUTED_VALUE"""),24.8)</f>
        <v>24.8</v>
      </c>
      <c r="AJ281" s="320">
        <f>IFERROR(__xludf.DUMMYFUNCTION("""COMPUTED_VALUE"""),8.36)</f>
        <v>8.36</v>
      </c>
      <c r="AK281" s="320">
        <f>IFERROR(__xludf.DUMMYFUNCTION("""COMPUTED_VALUE"""),0.2075)</f>
        <v>0.2075</v>
      </c>
      <c r="AL281" s="320">
        <f>IFERROR(__xludf.DUMMYFUNCTION("""COMPUTED_VALUE"""),21.55)</f>
        <v>21.55</v>
      </c>
      <c r="AM281" s="320">
        <f>IFERROR(__xludf.DUMMYFUNCTION("""COMPUTED_VALUE"""),58.22)</f>
        <v>58.22</v>
      </c>
      <c r="AN281" s="320">
        <f>IFERROR(__xludf.DUMMYFUNCTION("""COMPUTED_VALUE"""),76.51)</f>
        <v>76.51</v>
      </c>
      <c r="AO281" s="320">
        <f>IFERROR(__xludf.DUMMYFUNCTION("""COMPUTED_VALUE"""),16.49)</f>
        <v>16.49</v>
      </c>
    </row>
    <row r="282" ht="15.75" customHeight="1">
      <c r="A282" s="330">
        <f>IFERROR(__xludf.DUMMYFUNCTION("""COMPUTED_VALUE"""),46096.0)</f>
        <v>46096</v>
      </c>
      <c r="B282" s="319" t="str">
        <f>IFERROR(__xludf.DUMMYFUNCTION("""COMPUTED_VALUE"""),"E. 40-99")</f>
        <v>E. 40-99</v>
      </c>
      <c r="C282" s="320">
        <f>IFERROR(__xludf.DUMMYFUNCTION("""COMPUTED_VALUE"""),5758.0)</f>
        <v>5758</v>
      </c>
      <c r="D282" s="320">
        <f>IFERROR(__xludf.DUMMYFUNCTION("""COMPUTED_VALUE"""),5.48)</f>
        <v>5.48</v>
      </c>
      <c r="E282" s="320">
        <f>IFERROR(__xludf.DUMMYFUNCTION("""COMPUTED_VALUE"""),0.0)</f>
        <v>0</v>
      </c>
      <c r="F282" s="320">
        <f>IFERROR(__xludf.DUMMYFUNCTION("""COMPUTED_VALUE"""),0.0)</f>
        <v>0</v>
      </c>
      <c r="G282" s="320">
        <f>IFERROR(__xludf.DUMMYFUNCTION("""COMPUTED_VALUE"""),0.0)</f>
        <v>0</v>
      </c>
      <c r="H282" s="106"/>
      <c r="I282" s="320">
        <f>IFERROR(__xludf.DUMMYFUNCTION("""COMPUTED_VALUE"""),133.17)</f>
        <v>133.17</v>
      </c>
      <c r="J282" s="320">
        <f>IFERROR(__xludf.DUMMYFUNCTION("""COMPUTED_VALUE"""),73.1)</f>
        <v>73.1</v>
      </c>
      <c r="K282" s="320">
        <f>IFERROR(__xludf.DUMMYFUNCTION("""COMPUTED_VALUE"""),56.91)</f>
        <v>56.91</v>
      </c>
      <c r="L282" s="320">
        <f>IFERROR(__xludf.DUMMYFUNCTION("""COMPUTED_VALUE"""),0.7785)</f>
        <v>0.7785</v>
      </c>
      <c r="M282" s="320">
        <f>IFERROR(__xludf.DUMMYFUNCTION("""COMPUTED_VALUE"""),0.396)</f>
        <v>0.396</v>
      </c>
      <c r="N282" s="320">
        <f>IFERROR(__xludf.DUMMYFUNCTION("""COMPUTED_VALUE"""),0.2783)</f>
        <v>0.2783</v>
      </c>
      <c r="O282" s="320">
        <f>IFERROR(__xludf.DUMMYFUNCTION("""COMPUTED_VALUE"""),1.2846)</f>
        <v>1.2846</v>
      </c>
      <c r="P282" s="320">
        <f>IFERROR(__xludf.DUMMYFUNCTION("""COMPUTED_VALUE"""),246.7)</f>
        <v>246.7</v>
      </c>
      <c r="Q282" s="320">
        <f>IFERROR(__xludf.DUMMYFUNCTION("""COMPUTED_VALUE"""),126.21)</f>
        <v>126.21</v>
      </c>
      <c r="R282" s="320">
        <f>IFERROR(__xludf.DUMMYFUNCTION("""COMPUTED_VALUE"""),120.5)</f>
        <v>120.5</v>
      </c>
      <c r="S282" s="320">
        <f>IFERROR(__xludf.DUMMYFUNCTION("""COMPUTED_VALUE"""),0.0)</f>
        <v>0</v>
      </c>
      <c r="T282" s="320">
        <f>IFERROR(__xludf.DUMMYFUNCTION("""COMPUTED_VALUE"""),246.7)</f>
        <v>246.7</v>
      </c>
      <c r="U282" s="320">
        <f>IFERROR(__xludf.DUMMYFUNCTION("""COMPUTED_VALUE"""),304.56)</f>
        <v>304.56</v>
      </c>
      <c r="V282" s="320">
        <f>IFERROR(__xludf.DUMMYFUNCTION("""COMPUTED_VALUE"""),4.1664)</f>
        <v>4.1664</v>
      </c>
      <c r="W282" s="320">
        <f>IFERROR(__xludf.DUMMYFUNCTION("""COMPUTED_VALUE"""),0.0)</f>
        <v>0</v>
      </c>
      <c r="X282" s="320">
        <f>IFERROR(__xludf.DUMMYFUNCTION("""COMPUTED_VALUE"""),238.0)</f>
        <v>238</v>
      </c>
      <c r="Y282" s="320">
        <f>IFERROR(__xludf.DUMMYFUNCTION("""COMPUTED_VALUE"""),2049.0)</f>
        <v>2049</v>
      </c>
      <c r="Z282" s="320">
        <f>IFERROR(__xludf.DUMMYFUNCTION("""COMPUTED_VALUE"""),8535.0)</f>
        <v>8535</v>
      </c>
      <c r="AA282" s="320">
        <f>IFERROR(__xludf.DUMMYFUNCTION("""COMPUTED_VALUE"""),59.5588)</f>
        <v>59.5588</v>
      </c>
      <c r="AB282" s="320">
        <f>IFERROR(__xludf.DUMMYFUNCTION("""COMPUTED_VALUE"""),0.8335)</f>
        <v>0.8335</v>
      </c>
      <c r="AC282" s="320">
        <f>IFERROR(__xludf.DUMMYFUNCTION("""COMPUTED_VALUE"""),38.44)</f>
        <v>38.44</v>
      </c>
      <c r="AD282" s="320">
        <f>IFERROR(__xludf.DUMMYFUNCTION("""COMPUTED_VALUE"""),14.0)</f>
        <v>14</v>
      </c>
      <c r="AE282" s="320">
        <f>IFERROR(__xludf.DUMMYFUNCTION("""COMPUTED_VALUE"""),29.0)</f>
        <v>29</v>
      </c>
      <c r="AF282" s="320">
        <f>IFERROR(__xludf.DUMMYFUNCTION("""COMPUTED_VALUE"""),53.0)</f>
        <v>53</v>
      </c>
      <c r="AG282" s="320">
        <f>IFERROR(__xludf.DUMMYFUNCTION("""COMPUTED_VALUE"""),82.0)</f>
        <v>82</v>
      </c>
      <c r="AH282" s="320">
        <f>IFERROR(__xludf.DUMMYFUNCTION("""COMPUTED_VALUE"""),52.1)</f>
        <v>52.1</v>
      </c>
      <c r="AI282" s="320">
        <f>IFERROR(__xludf.DUMMYFUNCTION("""COMPUTED_VALUE"""),20.7)</f>
        <v>20.7</v>
      </c>
      <c r="AJ282" s="320">
        <f>IFERROR(__xludf.DUMMYFUNCTION("""COMPUTED_VALUE"""),5.8)</f>
        <v>5.8</v>
      </c>
      <c r="AK282" s="320">
        <f>IFERROR(__xludf.DUMMYFUNCTION("""COMPUTED_VALUE"""),0.1688)</f>
        <v>0.1688</v>
      </c>
      <c r="AL282" s="320">
        <f>IFERROR(__xludf.DUMMYFUNCTION("""COMPUTED_VALUE"""),22.13)</f>
        <v>22.13</v>
      </c>
      <c r="AM282" s="320">
        <f>IFERROR(__xludf.DUMMYFUNCTION("""COMPUTED_VALUE"""),104.08)</f>
        <v>104.08</v>
      </c>
      <c r="AN282" s="320">
        <f>IFERROR(__xludf.DUMMYFUNCTION("""COMPUTED_VALUE"""),79.78)</f>
        <v>79.78</v>
      </c>
      <c r="AO282" s="320">
        <f>IFERROR(__xludf.DUMMYFUNCTION("""COMPUTED_VALUE"""),17.66)</f>
        <v>17.66</v>
      </c>
    </row>
    <row r="283" ht="15.75" customHeight="1">
      <c r="A283" s="330">
        <f>IFERROR(__xludf.DUMMYFUNCTION("""COMPUTED_VALUE"""),46096.0)</f>
        <v>46096</v>
      </c>
      <c r="B283" s="319" t="str">
        <f>IFERROR(__xludf.DUMMYFUNCTION("""COMPUTED_VALUE"""),"F. 100+")</f>
        <v>F. 100+</v>
      </c>
      <c r="C283" s="320">
        <f>IFERROR(__xludf.DUMMYFUNCTION("""COMPUTED_VALUE"""),698.0)</f>
        <v>698</v>
      </c>
      <c r="D283" s="320">
        <f>IFERROR(__xludf.DUMMYFUNCTION("""COMPUTED_VALUE"""),0.66)</f>
        <v>0.66</v>
      </c>
      <c r="E283" s="320">
        <f>IFERROR(__xludf.DUMMYFUNCTION("""COMPUTED_VALUE"""),0.0)</f>
        <v>0</v>
      </c>
      <c r="F283" s="320">
        <f>IFERROR(__xludf.DUMMYFUNCTION("""COMPUTED_VALUE"""),0.0)</f>
        <v>0</v>
      </c>
      <c r="G283" s="320">
        <f>IFERROR(__xludf.DUMMYFUNCTION("""COMPUTED_VALUE"""),0.0)</f>
        <v>0</v>
      </c>
      <c r="H283" s="106"/>
      <c r="I283" s="320">
        <f>IFERROR(__xludf.DUMMYFUNCTION("""COMPUTED_VALUE"""),240.93)</f>
        <v>240.93</v>
      </c>
      <c r="J283" s="320">
        <f>IFERROR(__xludf.DUMMYFUNCTION("""COMPUTED_VALUE"""),141.69)</f>
        <v>141.69</v>
      </c>
      <c r="K283" s="320">
        <f>IFERROR(__xludf.DUMMYFUNCTION("""COMPUTED_VALUE"""),122.91)</f>
        <v>122.91</v>
      </c>
      <c r="L283" s="320">
        <f>IFERROR(__xludf.DUMMYFUNCTION("""COMPUTED_VALUE"""),0.8674)</f>
        <v>0.8674</v>
      </c>
      <c r="M283" s="320">
        <f>IFERROR(__xludf.DUMMYFUNCTION("""COMPUTED_VALUE"""),0.2836)</f>
        <v>0.2836</v>
      </c>
      <c r="N283" s="320">
        <f>IFERROR(__xludf.DUMMYFUNCTION("""COMPUTED_VALUE"""),0.2108)</f>
        <v>0.2108</v>
      </c>
      <c r="O283" s="320">
        <f>IFERROR(__xludf.DUMMYFUNCTION("""COMPUTED_VALUE"""),1.1529)</f>
        <v>1.1529</v>
      </c>
      <c r="P283" s="320">
        <f>IFERROR(__xludf.DUMMYFUNCTION("""COMPUTED_VALUE"""),484.64)</f>
        <v>484.64</v>
      </c>
      <c r="Q283" s="320">
        <f>IFERROR(__xludf.DUMMYFUNCTION("""COMPUTED_VALUE"""),224.02)</f>
        <v>224.02</v>
      </c>
      <c r="R283" s="320">
        <f>IFERROR(__xludf.DUMMYFUNCTION("""COMPUTED_VALUE"""),260.62)</f>
        <v>260.62</v>
      </c>
      <c r="S283" s="320">
        <f>IFERROR(__xludf.DUMMYFUNCTION("""COMPUTED_VALUE"""),0.0)</f>
        <v>0</v>
      </c>
      <c r="T283" s="320">
        <f>IFERROR(__xludf.DUMMYFUNCTION("""COMPUTED_VALUE"""),484.64)</f>
        <v>484.64</v>
      </c>
      <c r="U283" s="320">
        <f>IFERROR(__xludf.DUMMYFUNCTION("""COMPUTED_VALUE"""),634.03)</f>
        <v>634.03</v>
      </c>
      <c r="V283" s="320">
        <f>IFERROR(__xludf.DUMMYFUNCTION("""COMPUTED_VALUE"""),4.4746)</f>
        <v>4.4746</v>
      </c>
      <c r="W283" s="320">
        <f>IFERROR(__xludf.DUMMYFUNCTION("""COMPUTED_VALUE"""),0.0)</f>
        <v>0</v>
      </c>
      <c r="X283" s="320">
        <f>IFERROR(__xludf.DUMMYFUNCTION("""COMPUTED_VALUE"""),760.0)</f>
        <v>760</v>
      </c>
      <c r="Y283" s="320">
        <f>IFERROR(__xludf.DUMMYFUNCTION("""COMPUTED_VALUE"""),4218.0)</f>
        <v>4218</v>
      </c>
      <c r="Z283" s="320">
        <f>IFERROR(__xludf.DUMMYFUNCTION("""COMPUTED_VALUE"""),12211.0)</f>
        <v>12211</v>
      </c>
      <c r="AA283" s="320">
        <f>IFERROR(__xludf.DUMMYFUNCTION("""COMPUTED_VALUE"""),63.2126)</f>
        <v>63.2126</v>
      </c>
      <c r="AB283" s="320">
        <f>IFERROR(__xludf.DUMMYFUNCTION("""COMPUTED_VALUE"""),0.9061)</f>
        <v>0.9061</v>
      </c>
      <c r="AC283" s="320">
        <f>IFERROR(__xludf.DUMMYFUNCTION("""COMPUTED_VALUE"""),83.82)</f>
        <v>83.82</v>
      </c>
      <c r="AD283" s="320">
        <f>IFERROR(__xludf.DUMMYFUNCTION("""COMPUTED_VALUE"""),32.0)</f>
        <v>32</v>
      </c>
      <c r="AE283" s="320">
        <f>IFERROR(__xludf.DUMMYFUNCTION("""COMPUTED_VALUE"""),69.0)</f>
        <v>69</v>
      </c>
      <c r="AF283" s="320">
        <f>IFERROR(__xludf.DUMMYFUNCTION("""COMPUTED_VALUE"""),123.0)</f>
        <v>123</v>
      </c>
      <c r="AG283" s="320">
        <f>IFERROR(__xludf.DUMMYFUNCTION("""COMPUTED_VALUE"""),168.0)</f>
        <v>168</v>
      </c>
      <c r="AH283" s="320">
        <f>IFERROR(__xludf.DUMMYFUNCTION("""COMPUTED_VALUE"""),46.13)</f>
        <v>46.13</v>
      </c>
      <c r="AI283" s="320">
        <f>IFERROR(__xludf.DUMMYFUNCTION("""COMPUTED_VALUE"""),8.6)</f>
        <v>8.6</v>
      </c>
      <c r="AJ283" s="320">
        <f>IFERROR(__xludf.DUMMYFUNCTION("""COMPUTED_VALUE"""),1.15)</f>
        <v>1.15</v>
      </c>
      <c r="AK283" s="320">
        <f>IFERROR(__xludf.DUMMYFUNCTION("""COMPUTED_VALUE"""),0.1089)</f>
        <v>0.1089</v>
      </c>
      <c r="AL283" s="320">
        <f>IFERROR(__xludf.DUMMYFUNCTION("""COMPUTED_VALUE"""),22.12)</f>
        <v>22.12</v>
      </c>
      <c r="AM283" s="320">
        <f>IFERROR(__xludf.DUMMYFUNCTION("""COMPUTED_VALUE"""),201.9)</f>
        <v>201.9</v>
      </c>
      <c r="AN283" s="320">
        <f>IFERROR(__xludf.DUMMYFUNCTION("""COMPUTED_VALUE"""),82.48)</f>
        <v>82.48</v>
      </c>
      <c r="AO283" s="320">
        <f>IFERROR(__xludf.DUMMYFUNCTION("""COMPUTED_VALUE"""),18.24)</f>
        <v>18.24</v>
      </c>
    </row>
    <row r="284" ht="15.75" customHeight="1">
      <c r="A284" s="330">
        <f>IFERROR(__xludf.DUMMYFUNCTION("""COMPUTED_VALUE"""),46097.0)</f>
        <v>46097</v>
      </c>
      <c r="B284" s="319" t="str">
        <f>IFERROR(__xludf.DUMMYFUNCTION("""COMPUTED_VALUE"""),"A. 0")</f>
        <v>A. 0</v>
      </c>
      <c r="C284" s="320">
        <f>IFERROR(__xludf.DUMMYFUNCTION("""COMPUTED_VALUE"""),20046.0)</f>
        <v>20046</v>
      </c>
      <c r="D284" s="320">
        <f>IFERROR(__xludf.DUMMYFUNCTION("""COMPUTED_VALUE"""),18.17)</f>
        <v>18.17</v>
      </c>
      <c r="E284" s="320">
        <f>IFERROR(__xludf.DUMMYFUNCTION("""COMPUTED_VALUE"""),0.0)</f>
        <v>0</v>
      </c>
      <c r="F284" s="320">
        <f>IFERROR(__xludf.DUMMYFUNCTION("""COMPUTED_VALUE"""),0.0)</f>
        <v>0</v>
      </c>
      <c r="G284" s="320">
        <f>IFERROR(__xludf.DUMMYFUNCTION("""COMPUTED_VALUE"""),0.0)</f>
        <v>0</v>
      </c>
      <c r="H284" s="106"/>
      <c r="I284" s="320">
        <f>IFERROR(__xludf.DUMMYFUNCTION("""COMPUTED_VALUE"""),5.65)</f>
        <v>5.65</v>
      </c>
      <c r="J284" s="320">
        <f>IFERROR(__xludf.DUMMYFUNCTION("""COMPUTED_VALUE"""),2.25)</f>
        <v>2.25</v>
      </c>
      <c r="K284" s="320">
        <f>IFERROR(__xludf.DUMMYFUNCTION("""COMPUTED_VALUE"""),0.09)</f>
        <v>0.09</v>
      </c>
      <c r="L284" s="320">
        <f>IFERROR(__xludf.DUMMYFUNCTION("""COMPUTED_VALUE"""),0.0405)</f>
        <v>0.0405</v>
      </c>
      <c r="M284" s="320">
        <f>IFERROR(__xludf.DUMMYFUNCTION("""COMPUTED_VALUE"""),0.9671)</f>
        <v>0.9671</v>
      </c>
      <c r="N284" s="320">
        <f>IFERROR(__xludf.DUMMYFUNCTION("""COMPUTED_VALUE"""),0.7151)</f>
        <v>0.7151</v>
      </c>
      <c r="O284" s="320">
        <f>IFERROR(__xludf.DUMMYFUNCTION("""COMPUTED_VALUE"""),24.7193)</f>
        <v>24.7193</v>
      </c>
      <c r="P284" s="320">
        <f>IFERROR(__xludf.DUMMYFUNCTION("""COMPUTED_VALUE"""),32.55)</f>
        <v>32.55</v>
      </c>
      <c r="Q284" s="320">
        <f>IFERROR(__xludf.DUMMYFUNCTION("""COMPUTED_VALUE"""),32.37)</f>
        <v>32.37</v>
      </c>
      <c r="R284" s="320">
        <f>IFERROR(__xludf.DUMMYFUNCTION("""COMPUTED_VALUE"""),0.18)</f>
        <v>0.18</v>
      </c>
      <c r="S284" s="320">
        <f>IFERROR(__xludf.DUMMYFUNCTION("""COMPUTED_VALUE"""),0.0)</f>
        <v>0</v>
      </c>
      <c r="T284" s="320">
        <f>IFERROR(__xludf.DUMMYFUNCTION("""COMPUTED_VALUE"""),32.55)</f>
        <v>32.55</v>
      </c>
      <c r="U284" s="320">
        <f>IFERROR(__xludf.DUMMYFUNCTION("""COMPUTED_VALUE"""),1.75)</f>
        <v>1.75</v>
      </c>
      <c r="V284" s="320">
        <f>IFERROR(__xludf.DUMMYFUNCTION("""COMPUTED_VALUE"""),0.7774)</f>
        <v>0.7774</v>
      </c>
      <c r="W284" s="320">
        <f>IFERROR(__xludf.DUMMYFUNCTION("""COMPUTED_VALUE"""),0.0)</f>
        <v>0</v>
      </c>
      <c r="X284" s="320">
        <f>IFERROR(__xludf.DUMMYFUNCTION("""COMPUTED_VALUE"""),425.0)</f>
        <v>425</v>
      </c>
      <c r="Y284" s="320">
        <f>IFERROR(__xludf.DUMMYFUNCTION("""COMPUTED_VALUE"""),4228.0)</f>
        <v>4228</v>
      </c>
      <c r="Z284" s="320">
        <f>IFERROR(__xludf.DUMMYFUNCTION("""COMPUTED_VALUE"""),16267.0)</f>
        <v>16267</v>
      </c>
      <c r="AA284" s="320">
        <f>IFERROR(__xludf.DUMMYFUNCTION("""COMPUTED_VALUE"""),49.6506)</f>
        <v>49.6506</v>
      </c>
      <c r="AB284" s="320">
        <f>IFERROR(__xludf.DUMMYFUNCTION("""COMPUTED_VALUE"""),0.5558)</f>
        <v>0.5558</v>
      </c>
      <c r="AC284" s="106"/>
      <c r="AD284" s="106"/>
      <c r="AE284" s="106"/>
      <c r="AF284" s="106"/>
      <c r="AG284" s="106"/>
      <c r="AH284" s="320">
        <f>IFERROR(__xludf.DUMMYFUNCTION("""COMPUTED_VALUE"""),0.0)</f>
        <v>0</v>
      </c>
      <c r="AI284" s="320">
        <f>IFERROR(__xludf.DUMMYFUNCTION("""COMPUTED_VALUE"""),0.0)</f>
        <v>0</v>
      </c>
      <c r="AJ284" s="320">
        <f>IFERROR(__xludf.DUMMYFUNCTION("""COMPUTED_VALUE"""),0.0)</f>
        <v>0</v>
      </c>
      <c r="AK284" s="320">
        <f>IFERROR(__xludf.DUMMYFUNCTION("""COMPUTED_VALUE"""),0.2843)</f>
        <v>0.2843</v>
      </c>
      <c r="AL284" s="320">
        <f>IFERROR(__xludf.DUMMYFUNCTION("""COMPUTED_VALUE"""),17.0)</f>
        <v>17</v>
      </c>
      <c r="AM284" s="320">
        <f>IFERROR(__xludf.DUMMYFUNCTION("""COMPUTED_VALUE"""),15.37)</f>
        <v>15.37</v>
      </c>
      <c r="AN284" s="331"/>
      <c r="AO284" s="331"/>
    </row>
    <row r="285" ht="15.75" customHeight="1">
      <c r="A285" s="330">
        <f>IFERROR(__xludf.DUMMYFUNCTION("""COMPUTED_VALUE"""),46097.0)</f>
        <v>46097</v>
      </c>
      <c r="B285" s="319" t="str">
        <f>IFERROR(__xludf.DUMMYFUNCTION("""COMPUTED_VALUE"""),"B. 1-9")</f>
        <v>B. 1-9</v>
      </c>
      <c r="C285" s="320">
        <f>IFERROR(__xludf.DUMMYFUNCTION("""COMPUTED_VALUE"""),39604.0)</f>
        <v>39604</v>
      </c>
      <c r="D285" s="320">
        <f>IFERROR(__xludf.DUMMYFUNCTION("""COMPUTED_VALUE"""),35.89)</f>
        <v>35.89</v>
      </c>
      <c r="E285" s="320">
        <f>IFERROR(__xludf.DUMMYFUNCTION("""COMPUTED_VALUE"""),0.0)</f>
        <v>0</v>
      </c>
      <c r="F285" s="320">
        <f>IFERROR(__xludf.DUMMYFUNCTION("""COMPUTED_VALUE"""),0.0)</f>
        <v>0</v>
      </c>
      <c r="G285" s="320">
        <f>IFERROR(__xludf.DUMMYFUNCTION("""COMPUTED_VALUE"""),0.0)</f>
        <v>0</v>
      </c>
      <c r="H285" s="106"/>
      <c r="I285" s="320">
        <f>IFERROR(__xludf.DUMMYFUNCTION("""COMPUTED_VALUE"""),32.63)</f>
        <v>32.63</v>
      </c>
      <c r="J285" s="320">
        <f>IFERROR(__xludf.DUMMYFUNCTION("""COMPUTED_VALUE"""),14.78)</f>
        <v>14.78</v>
      </c>
      <c r="K285" s="320">
        <f>IFERROR(__xludf.DUMMYFUNCTION("""COMPUTED_VALUE"""),5.92)</f>
        <v>5.92</v>
      </c>
      <c r="L285" s="320">
        <f>IFERROR(__xludf.DUMMYFUNCTION("""COMPUTED_VALUE"""),0.4007)</f>
        <v>0.4007</v>
      </c>
      <c r="M285" s="320">
        <f>IFERROR(__xludf.DUMMYFUNCTION("""COMPUTED_VALUE"""),0.7695)</f>
        <v>0.7695</v>
      </c>
      <c r="N285" s="320">
        <f>IFERROR(__xludf.DUMMYFUNCTION("""COMPUTED_VALUE"""),0.5687)</f>
        <v>0.5687</v>
      </c>
      <c r="O285" s="320">
        <f>IFERROR(__xludf.DUMMYFUNCTION("""COMPUTED_VALUE"""),2.4953)</f>
        <v>2.4953</v>
      </c>
      <c r="P285" s="320">
        <f>IFERROR(__xludf.DUMMYFUNCTION("""COMPUTED_VALUE"""),73.15)</f>
        <v>73.15</v>
      </c>
      <c r="Q285" s="320">
        <f>IFERROR(__xludf.DUMMYFUNCTION("""COMPUTED_VALUE"""),61.27)</f>
        <v>61.27</v>
      </c>
      <c r="R285" s="320">
        <f>IFERROR(__xludf.DUMMYFUNCTION("""COMPUTED_VALUE"""),11.88)</f>
        <v>11.88</v>
      </c>
      <c r="S285" s="320">
        <f>IFERROR(__xludf.DUMMYFUNCTION("""COMPUTED_VALUE"""),0.0)</f>
        <v>0</v>
      </c>
      <c r="T285" s="320">
        <f>IFERROR(__xludf.DUMMYFUNCTION("""COMPUTED_VALUE"""),73.15)</f>
        <v>73.15</v>
      </c>
      <c r="U285" s="320">
        <f>IFERROR(__xludf.DUMMYFUNCTION("""COMPUTED_VALUE"""),60.93)</f>
        <v>60.93</v>
      </c>
      <c r="V285" s="320">
        <f>IFERROR(__xludf.DUMMYFUNCTION("""COMPUTED_VALUE"""),4.1226)</f>
        <v>4.1226</v>
      </c>
      <c r="W285" s="320">
        <f>IFERROR(__xludf.DUMMYFUNCTION("""COMPUTED_VALUE"""),0.0)</f>
        <v>0</v>
      </c>
      <c r="X285" s="320">
        <f>IFERROR(__xludf.DUMMYFUNCTION("""COMPUTED_VALUE"""),149.0)</f>
        <v>149</v>
      </c>
      <c r="Y285" s="320">
        <f>IFERROR(__xludf.DUMMYFUNCTION("""COMPUTED_VALUE"""),843.0)</f>
        <v>843</v>
      </c>
      <c r="Z285" s="320">
        <f>IFERROR(__xludf.DUMMYFUNCTION("""COMPUTED_VALUE"""),5850.0)</f>
        <v>5850</v>
      </c>
      <c r="AA285" s="320">
        <f>IFERROR(__xludf.DUMMYFUNCTION("""COMPUTED_VALUE"""),48.783)</f>
        <v>48.783</v>
      </c>
      <c r="AB285" s="320">
        <f>IFERROR(__xludf.DUMMYFUNCTION("""COMPUTED_VALUE"""),0.5223)</f>
        <v>0.5223</v>
      </c>
      <c r="AC285" s="320">
        <f>IFERROR(__xludf.DUMMYFUNCTION("""COMPUTED_VALUE"""),4.04)</f>
        <v>4.04</v>
      </c>
      <c r="AD285" s="320">
        <f>IFERROR(__xludf.DUMMYFUNCTION("""COMPUTED_VALUE"""),1.0)</f>
        <v>1</v>
      </c>
      <c r="AE285" s="320">
        <f>IFERROR(__xludf.DUMMYFUNCTION("""COMPUTED_VALUE"""),3.0)</f>
        <v>3</v>
      </c>
      <c r="AF285" s="320">
        <f>IFERROR(__xludf.DUMMYFUNCTION("""COMPUTED_VALUE"""),5.0)</f>
        <v>5</v>
      </c>
      <c r="AG285" s="320">
        <f>IFERROR(__xludf.DUMMYFUNCTION("""COMPUTED_VALUE"""),9.0)</f>
        <v>9</v>
      </c>
      <c r="AH285" s="320">
        <f>IFERROR(__xludf.DUMMYFUNCTION("""COMPUTED_VALUE"""),74.31)</f>
        <v>74.31</v>
      </c>
      <c r="AI285" s="320">
        <f>IFERROR(__xludf.DUMMYFUNCTION("""COMPUTED_VALUE"""),31.11)</f>
        <v>31.11</v>
      </c>
      <c r="AJ285" s="320">
        <f>IFERROR(__xludf.DUMMYFUNCTION("""COMPUTED_VALUE"""),8.42)</f>
        <v>8.42</v>
      </c>
      <c r="AK285" s="320">
        <f>IFERROR(__xludf.DUMMYFUNCTION("""COMPUTED_VALUE"""),0.2387)</f>
        <v>0.2387</v>
      </c>
      <c r="AL285" s="320">
        <f>IFERROR(__xludf.DUMMYFUNCTION("""COMPUTED_VALUE"""),18.82)</f>
        <v>18.82</v>
      </c>
      <c r="AM285" s="320">
        <f>IFERROR(__xludf.DUMMYFUNCTION("""COMPUTED_VALUE"""),42.46)</f>
        <v>42.46</v>
      </c>
      <c r="AN285" s="320">
        <f>IFERROR(__xludf.DUMMYFUNCTION("""COMPUTED_VALUE"""),65.86)</f>
        <v>65.86</v>
      </c>
      <c r="AO285" s="320">
        <f>IFERROR(__xludf.DUMMYFUNCTION("""COMPUTED_VALUE"""),12.39)</f>
        <v>12.39</v>
      </c>
    </row>
    <row r="286" ht="15.75" customHeight="1">
      <c r="A286" s="330">
        <f>IFERROR(__xludf.DUMMYFUNCTION("""COMPUTED_VALUE"""),46097.0)</f>
        <v>46097</v>
      </c>
      <c r="B286" s="319" t="str">
        <f>IFERROR(__xludf.DUMMYFUNCTION("""COMPUTED_VALUE"""),"C. 10-19")</f>
        <v>C. 10-19</v>
      </c>
      <c r="C286" s="320">
        <f>IFERROR(__xludf.DUMMYFUNCTION("""COMPUTED_VALUE"""),27809.0)</f>
        <v>27809</v>
      </c>
      <c r="D286" s="320">
        <f>IFERROR(__xludf.DUMMYFUNCTION("""COMPUTED_VALUE"""),25.2)</f>
        <v>25.2</v>
      </c>
      <c r="E286" s="320">
        <f>IFERROR(__xludf.DUMMYFUNCTION("""COMPUTED_VALUE"""),0.0)</f>
        <v>0</v>
      </c>
      <c r="F286" s="320">
        <f>IFERROR(__xludf.DUMMYFUNCTION("""COMPUTED_VALUE"""),0.0)</f>
        <v>0</v>
      </c>
      <c r="G286" s="320">
        <f>IFERROR(__xludf.DUMMYFUNCTION("""COMPUTED_VALUE"""),0.0)</f>
        <v>0</v>
      </c>
      <c r="H286" s="106"/>
      <c r="I286" s="320">
        <f>IFERROR(__xludf.DUMMYFUNCTION("""COMPUTED_VALUE"""),60.97)</f>
        <v>60.97</v>
      </c>
      <c r="J286" s="320">
        <f>IFERROR(__xludf.DUMMYFUNCTION("""COMPUTED_VALUE"""),28.76)</f>
        <v>28.76</v>
      </c>
      <c r="K286" s="320">
        <f>IFERROR(__xludf.DUMMYFUNCTION("""COMPUTED_VALUE"""),15.25)</f>
        <v>15.25</v>
      </c>
      <c r="L286" s="320">
        <f>IFERROR(__xludf.DUMMYFUNCTION("""COMPUTED_VALUE"""),0.5304)</f>
        <v>0.5304</v>
      </c>
      <c r="M286" s="320">
        <f>IFERROR(__xludf.DUMMYFUNCTION("""COMPUTED_VALUE"""),0.6655)</f>
        <v>0.6655</v>
      </c>
      <c r="N286" s="320">
        <f>IFERROR(__xludf.DUMMYFUNCTION("""COMPUTED_VALUE"""),0.4667)</f>
        <v>0.4667</v>
      </c>
      <c r="O286" s="320">
        <f>IFERROR(__xludf.DUMMYFUNCTION("""COMPUTED_VALUE"""),1.8853)</f>
        <v>1.8853</v>
      </c>
      <c r="P286" s="320">
        <f>IFERROR(__xludf.DUMMYFUNCTION("""COMPUTED_VALUE"""),133.49)</f>
        <v>133.49</v>
      </c>
      <c r="Q286" s="320">
        <f>IFERROR(__xludf.DUMMYFUNCTION("""COMPUTED_VALUE"""),103.77)</f>
        <v>103.77</v>
      </c>
      <c r="R286" s="320">
        <f>IFERROR(__xludf.DUMMYFUNCTION("""COMPUTED_VALUE"""),29.72)</f>
        <v>29.72</v>
      </c>
      <c r="S286" s="320">
        <f>IFERROR(__xludf.DUMMYFUNCTION("""COMPUTED_VALUE"""),0.03)</f>
        <v>0.03</v>
      </c>
      <c r="T286" s="320">
        <f>IFERROR(__xludf.DUMMYFUNCTION("""COMPUTED_VALUE"""),133.46)</f>
        <v>133.46</v>
      </c>
      <c r="U286" s="320">
        <f>IFERROR(__xludf.DUMMYFUNCTION("""COMPUTED_VALUE"""),119.08)</f>
        <v>119.08</v>
      </c>
      <c r="V286" s="320">
        <f>IFERROR(__xludf.DUMMYFUNCTION("""COMPUTED_VALUE"""),4.1404)</f>
        <v>4.1404</v>
      </c>
      <c r="W286" s="320">
        <f>IFERROR(__xludf.DUMMYFUNCTION("""COMPUTED_VALUE"""),0.02)</f>
        <v>0.02</v>
      </c>
      <c r="X286" s="320">
        <f>IFERROR(__xludf.DUMMYFUNCTION("""COMPUTED_VALUE"""),136.0)</f>
        <v>136</v>
      </c>
      <c r="Y286" s="320">
        <f>IFERROR(__xludf.DUMMYFUNCTION("""COMPUTED_VALUE"""),734.0)</f>
        <v>734</v>
      </c>
      <c r="Z286" s="320">
        <f>IFERROR(__xludf.DUMMYFUNCTION("""COMPUTED_VALUE"""),5548.0)</f>
        <v>5548</v>
      </c>
      <c r="AA286" s="320">
        <f>IFERROR(__xludf.DUMMYFUNCTION("""COMPUTED_VALUE"""),52.237)</f>
        <v>52.237</v>
      </c>
      <c r="AB286" s="320">
        <f>IFERROR(__xludf.DUMMYFUNCTION("""COMPUTED_VALUE"""),0.589)</f>
        <v>0.589</v>
      </c>
      <c r="AC286" s="320">
        <f>IFERROR(__xludf.DUMMYFUNCTION("""COMPUTED_VALUE"""),9.86)</f>
        <v>9.86</v>
      </c>
      <c r="AD286" s="320">
        <f>IFERROR(__xludf.DUMMYFUNCTION("""COMPUTED_VALUE"""),4.0)</f>
        <v>4</v>
      </c>
      <c r="AE286" s="320">
        <f>IFERROR(__xludf.DUMMYFUNCTION("""COMPUTED_VALUE"""),8.0)</f>
        <v>8</v>
      </c>
      <c r="AF286" s="320">
        <f>IFERROR(__xludf.DUMMYFUNCTION("""COMPUTED_VALUE"""),14.0)</f>
        <v>14</v>
      </c>
      <c r="AG286" s="320">
        <f>IFERROR(__xludf.DUMMYFUNCTION("""COMPUTED_VALUE"""),21.0)</f>
        <v>21</v>
      </c>
      <c r="AH286" s="320">
        <f>IFERROR(__xludf.DUMMYFUNCTION("""COMPUTED_VALUE"""),62.11)</f>
        <v>62.11</v>
      </c>
      <c r="AI286" s="320">
        <f>IFERROR(__xludf.DUMMYFUNCTION("""COMPUTED_VALUE"""),27.95)</f>
        <v>27.95</v>
      </c>
      <c r="AJ286" s="320">
        <f>IFERROR(__xludf.DUMMYFUNCTION("""COMPUTED_VALUE"""),5.73)</f>
        <v>5.73</v>
      </c>
      <c r="AK286" s="320">
        <f>IFERROR(__xludf.DUMMYFUNCTION("""COMPUTED_VALUE"""),0.1783)</f>
        <v>0.1783</v>
      </c>
      <c r="AL286" s="320">
        <f>IFERROR(__xludf.DUMMYFUNCTION("""COMPUTED_VALUE"""),18.94)</f>
        <v>18.94</v>
      </c>
      <c r="AM286" s="320">
        <f>IFERROR(__xludf.DUMMYFUNCTION("""COMPUTED_VALUE"""),84.84)</f>
        <v>84.84</v>
      </c>
      <c r="AN286" s="320">
        <f>IFERROR(__xludf.DUMMYFUNCTION("""COMPUTED_VALUE"""),72.77)</f>
        <v>72.77</v>
      </c>
      <c r="AO286" s="320">
        <f>IFERROR(__xludf.DUMMYFUNCTION("""COMPUTED_VALUE"""),13.78)</f>
        <v>13.78</v>
      </c>
    </row>
    <row r="287" ht="15.75" customHeight="1">
      <c r="A287" s="330">
        <f>IFERROR(__xludf.DUMMYFUNCTION("""COMPUTED_VALUE"""),46097.0)</f>
        <v>46097</v>
      </c>
      <c r="B287" s="319" t="str">
        <f>IFERROR(__xludf.DUMMYFUNCTION("""COMPUTED_VALUE"""),"D. 20-39")</f>
        <v>D. 20-39</v>
      </c>
      <c r="C287" s="320">
        <f>IFERROR(__xludf.DUMMYFUNCTION("""COMPUTED_VALUE"""),15776.0)</f>
        <v>15776</v>
      </c>
      <c r="D287" s="320">
        <f>IFERROR(__xludf.DUMMYFUNCTION("""COMPUTED_VALUE"""),14.3)</f>
        <v>14.3</v>
      </c>
      <c r="E287" s="320">
        <f>IFERROR(__xludf.DUMMYFUNCTION("""COMPUTED_VALUE"""),0.0)</f>
        <v>0</v>
      </c>
      <c r="F287" s="320">
        <f>IFERROR(__xludf.DUMMYFUNCTION("""COMPUTED_VALUE"""),0.0)</f>
        <v>0</v>
      </c>
      <c r="G287" s="320">
        <f>IFERROR(__xludf.DUMMYFUNCTION("""COMPUTED_VALUE"""),0.0)</f>
        <v>0</v>
      </c>
      <c r="H287" s="106"/>
      <c r="I287" s="320">
        <f>IFERROR(__xludf.DUMMYFUNCTION("""COMPUTED_VALUE"""),89.89)</f>
        <v>89.89</v>
      </c>
      <c r="J287" s="320">
        <f>IFERROR(__xludf.DUMMYFUNCTION("""COMPUTED_VALUE"""),45.06)</f>
        <v>45.06</v>
      </c>
      <c r="K287" s="320">
        <f>IFERROR(__xludf.DUMMYFUNCTION("""COMPUTED_VALUE"""),30.6)</f>
        <v>30.6</v>
      </c>
      <c r="L287" s="320">
        <f>IFERROR(__xludf.DUMMYFUNCTION("""COMPUTED_VALUE"""),0.679)</f>
        <v>0.679</v>
      </c>
      <c r="M287" s="320">
        <f>IFERROR(__xludf.DUMMYFUNCTION("""COMPUTED_VALUE"""),0.5206)</f>
        <v>0.5206</v>
      </c>
      <c r="N287" s="320">
        <f>IFERROR(__xludf.DUMMYFUNCTION("""COMPUTED_VALUE"""),0.363)</f>
        <v>0.363</v>
      </c>
      <c r="O287" s="320">
        <f>IFERROR(__xludf.DUMMYFUNCTION("""COMPUTED_VALUE"""),1.4727)</f>
        <v>1.4727</v>
      </c>
      <c r="P287" s="320">
        <f>IFERROR(__xludf.DUMMYFUNCTION("""COMPUTED_VALUE"""),227.36)</f>
        <v>227.36</v>
      </c>
      <c r="Q287" s="320">
        <f>IFERROR(__xludf.DUMMYFUNCTION("""COMPUTED_VALUE"""),168.32)</f>
        <v>168.32</v>
      </c>
      <c r="R287" s="320">
        <f>IFERROR(__xludf.DUMMYFUNCTION("""COMPUTED_VALUE"""),59.04)</f>
        <v>59.04</v>
      </c>
      <c r="S287" s="320">
        <f>IFERROR(__xludf.DUMMYFUNCTION("""COMPUTED_VALUE"""),0.35)</f>
        <v>0.35</v>
      </c>
      <c r="T287" s="320">
        <f>IFERROR(__xludf.DUMMYFUNCTION("""COMPUTED_VALUE"""),227.01)</f>
        <v>227.01</v>
      </c>
      <c r="U287" s="320">
        <f>IFERROR(__xludf.DUMMYFUNCTION("""COMPUTED_VALUE"""),208.85)</f>
        <v>208.85</v>
      </c>
      <c r="V287" s="320">
        <f>IFERROR(__xludf.DUMMYFUNCTION("""COMPUTED_VALUE"""),4.6352)</f>
        <v>4.6352</v>
      </c>
      <c r="W287" s="320">
        <f>IFERROR(__xludf.DUMMYFUNCTION("""COMPUTED_VALUE"""),0.15)</f>
        <v>0.15</v>
      </c>
      <c r="X287" s="320">
        <f>IFERROR(__xludf.DUMMYFUNCTION("""COMPUTED_VALUE"""),177.0)</f>
        <v>177</v>
      </c>
      <c r="Y287" s="320">
        <f>IFERROR(__xludf.DUMMYFUNCTION("""COMPUTED_VALUE"""),1089.0)</f>
        <v>1089</v>
      </c>
      <c r="Z287" s="320">
        <f>IFERROR(__xludf.DUMMYFUNCTION("""COMPUTED_VALUE"""),7351.0)</f>
        <v>7351</v>
      </c>
      <c r="AA287" s="320">
        <f>IFERROR(__xludf.DUMMYFUNCTION("""COMPUTED_VALUE"""),55.5402)</f>
        <v>55.5402</v>
      </c>
      <c r="AB287" s="320">
        <f>IFERROR(__xludf.DUMMYFUNCTION("""COMPUTED_VALUE"""),0.6712)</f>
        <v>0.6712</v>
      </c>
      <c r="AC287" s="320">
        <f>IFERROR(__xludf.DUMMYFUNCTION("""COMPUTED_VALUE"""),19.47)</f>
        <v>19.47</v>
      </c>
      <c r="AD287" s="320">
        <f>IFERROR(__xludf.DUMMYFUNCTION("""COMPUTED_VALUE"""),8.0)</f>
        <v>8</v>
      </c>
      <c r="AE287" s="320">
        <f>IFERROR(__xludf.DUMMYFUNCTION("""COMPUTED_VALUE"""),16.0)</f>
        <v>16</v>
      </c>
      <c r="AF287" s="320">
        <f>IFERROR(__xludf.DUMMYFUNCTION("""COMPUTED_VALUE"""),27.0)</f>
        <v>27</v>
      </c>
      <c r="AG287" s="320">
        <f>IFERROR(__xludf.DUMMYFUNCTION("""COMPUTED_VALUE"""),39.0)</f>
        <v>39</v>
      </c>
      <c r="AH287" s="320">
        <f>IFERROR(__xludf.DUMMYFUNCTION("""COMPUTED_VALUE"""),65.24)</f>
        <v>65.24</v>
      </c>
      <c r="AI287" s="320">
        <f>IFERROR(__xludf.DUMMYFUNCTION("""COMPUTED_VALUE"""),28.15)</f>
        <v>28.15</v>
      </c>
      <c r="AJ287" s="320">
        <f>IFERROR(__xludf.DUMMYFUNCTION("""COMPUTED_VALUE"""),7.21)</f>
        <v>7.21</v>
      </c>
      <c r="AK287" s="320">
        <f>IFERROR(__xludf.DUMMYFUNCTION("""COMPUTED_VALUE"""),0.1604)</f>
        <v>0.1604</v>
      </c>
      <c r="AL287" s="320">
        <f>IFERROR(__xludf.DUMMYFUNCTION("""COMPUTED_VALUE"""),19.93)</f>
        <v>19.93</v>
      </c>
      <c r="AM287" s="320">
        <f>IFERROR(__xludf.DUMMYFUNCTION("""COMPUTED_VALUE"""),148.39)</f>
        <v>148.39</v>
      </c>
      <c r="AN287" s="320">
        <f>IFERROR(__xludf.DUMMYFUNCTION("""COMPUTED_VALUE"""),73.55)</f>
        <v>73.55</v>
      </c>
      <c r="AO287" s="320">
        <f>IFERROR(__xludf.DUMMYFUNCTION("""COMPUTED_VALUE"""),14.66)</f>
        <v>14.66</v>
      </c>
    </row>
    <row r="288" ht="15.75" customHeight="1">
      <c r="A288" s="330">
        <f>IFERROR(__xludf.DUMMYFUNCTION("""COMPUTED_VALUE"""),46097.0)</f>
        <v>46097</v>
      </c>
      <c r="B288" s="319" t="str">
        <f>IFERROR(__xludf.DUMMYFUNCTION("""COMPUTED_VALUE"""),"E. 40-99")</f>
        <v>E. 40-99</v>
      </c>
      <c r="C288" s="320">
        <f>IFERROR(__xludf.DUMMYFUNCTION("""COMPUTED_VALUE"""),6388.0)</f>
        <v>6388</v>
      </c>
      <c r="D288" s="320">
        <f>IFERROR(__xludf.DUMMYFUNCTION("""COMPUTED_VALUE"""),5.79)</f>
        <v>5.79</v>
      </c>
      <c r="E288" s="320">
        <f>IFERROR(__xludf.DUMMYFUNCTION("""COMPUTED_VALUE"""),0.0)</f>
        <v>0</v>
      </c>
      <c r="F288" s="320">
        <f>IFERROR(__xludf.DUMMYFUNCTION("""COMPUTED_VALUE"""),0.0)</f>
        <v>0</v>
      </c>
      <c r="G288" s="320">
        <f>IFERROR(__xludf.DUMMYFUNCTION("""COMPUTED_VALUE"""),0.0)</f>
        <v>0</v>
      </c>
      <c r="H288" s="106"/>
      <c r="I288" s="320">
        <f>IFERROR(__xludf.DUMMYFUNCTION("""COMPUTED_VALUE"""),144.66)</f>
        <v>144.66</v>
      </c>
      <c r="J288" s="320">
        <f>IFERROR(__xludf.DUMMYFUNCTION("""COMPUTED_VALUE"""),78.2)</f>
        <v>78.2</v>
      </c>
      <c r="K288" s="320">
        <f>IFERROR(__xludf.DUMMYFUNCTION("""COMPUTED_VALUE"""),62.45)</f>
        <v>62.45</v>
      </c>
      <c r="L288" s="320">
        <f>IFERROR(__xludf.DUMMYFUNCTION("""COMPUTED_VALUE"""),0.7986)</f>
        <v>0.7986</v>
      </c>
      <c r="M288" s="320">
        <f>IFERROR(__xludf.DUMMYFUNCTION("""COMPUTED_VALUE"""),0.3862)</f>
        <v>0.3862</v>
      </c>
      <c r="N288" s="320">
        <f>IFERROR(__xludf.DUMMYFUNCTION("""COMPUTED_VALUE"""),0.2789)</f>
        <v>0.2789</v>
      </c>
      <c r="O288" s="320">
        <f>IFERROR(__xludf.DUMMYFUNCTION("""COMPUTED_VALUE"""),1.2522)</f>
        <v>1.2522</v>
      </c>
      <c r="P288" s="320">
        <f>IFERROR(__xludf.DUMMYFUNCTION("""COMPUTED_VALUE"""),402.83)</f>
        <v>402.83</v>
      </c>
      <c r="Q288" s="320">
        <f>IFERROR(__xludf.DUMMYFUNCTION("""COMPUTED_VALUE"""),284.0)</f>
        <v>284</v>
      </c>
      <c r="R288" s="320">
        <f>IFERROR(__xludf.DUMMYFUNCTION("""COMPUTED_VALUE"""),118.82)</f>
        <v>118.82</v>
      </c>
      <c r="S288" s="320">
        <f>IFERROR(__xludf.DUMMYFUNCTION("""COMPUTED_VALUE"""),0.01)</f>
        <v>0.01</v>
      </c>
      <c r="T288" s="320">
        <f>IFERROR(__xludf.DUMMYFUNCTION("""COMPUTED_VALUE"""),402.82)</f>
        <v>402.82</v>
      </c>
      <c r="U288" s="320">
        <f>IFERROR(__xludf.DUMMYFUNCTION("""COMPUTED_VALUE"""),375.95)</f>
        <v>375.95</v>
      </c>
      <c r="V288" s="320">
        <f>IFERROR(__xludf.DUMMYFUNCTION("""COMPUTED_VALUE"""),4.8074)</f>
        <v>4.8074</v>
      </c>
      <c r="W288" s="320">
        <f>IFERROR(__xludf.DUMMYFUNCTION("""COMPUTED_VALUE"""),0.0)</f>
        <v>0</v>
      </c>
      <c r="X288" s="320">
        <f>IFERROR(__xludf.DUMMYFUNCTION("""COMPUTED_VALUE"""),352.0)</f>
        <v>352</v>
      </c>
      <c r="Y288" s="320">
        <f>IFERROR(__xludf.DUMMYFUNCTION("""COMPUTED_VALUE"""),2384.0)</f>
        <v>2384</v>
      </c>
      <c r="Z288" s="320">
        <f>IFERROR(__xludf.DUMMYFUNCTION("""COMPUTED_VALUE"""),10473.0)</f>
        <v>10473</v>
      </c>
      <c r="AA288" s="320">
        <f>IFERROR(__xludf.DUMMYFUNCTION("""COMPUTED_VALUE"""),58.6603)</f>
        <v>58.6603</v>
      </c>
      <c r="AB288" s="320">
        <f>IFERROR(__xludf.DUMMYFUNCTION("""COMPUTED_VALUE"""),0.7398)</f>
        <v>0.7398</v>
      </c>
      <c r="AC288" s="320">
        <f>IFERROR(__xludf.DUMMYFUNCTION("""COMPUTED_VALUE"""),38.96)</f>
        <v>38.96</v>
      </c>
      <c r="AD288" s="320">
        <f>IFERROR(__xludf.DUMMYFUNCTION("""COMPUTED_VALUE"""),17.0)</f>
        <v>17</v>
      </c>
      <c r="AE288" s="320">
        <f>IFERROR(__xludf.DUMMYFUNCTION("""COMPUTED_VALUE"""),33.0)</f>
        <v>33</v>
      </c>
      <c r="AF288" s="320">
        <f>IFERROR(__xludf.DUMMYFUNCTION("""COMPUTED_VALUE"""),51.0)</f>
        <v>51</v>
      </c>
      <c r="AG288" s="320">
        <f>IFERROR(__xludf.DUMMYFUNCTION("""COMPUTED_VALUE"""),79.0)</f>
        <v>79</v>
      </c>
      <c r="AH288" s="320">
        <f>IFERROR(__xludf.DUMMYFUNCTION("""COMPUTED_VALUE"""),57.22)</f>
        <v>57.22</v>
      </c>
      <c r="AI288" s="320">
        <f>IFERROR(__xludf.DUMMYFUNCTION("""COMPUTED_VALUE"""),19.29)</f>
        <v>19.29</v>
      </c>
      <c r="AJ288" s="320">
        <f>IFERROR(__xludf.DUMMYFUNCTION("""COMPUTED_VALUE"""),5.07)</f>
        <v>5.07</v>
      </c>
      <c r="AK288" s="320">
        <f>IFERROR(__xludf.DUMMYFUNCTION("""COMPUTED_VALUE"""),0.1194)</f>
        <v>0.1194</v>
      </c>
      <c r="AL288" s="320">
        <f>IFERROR(__xludf.DUMMYFUNCTION("""COMPUTED_VALUE"""),20.85)</f>
        <v>20.85</v>
      </c>
      <c r="AM288" s="320">
        <f>IFERROR(__xludf.DUMMYFUNCTION("""COMPUTED_VALUE"""),263.15)</f>
        <v>263.15</v>
      </c>
      <c r="AN288" s="320">
        <f>IFERROR(__xludf.DUMMYFUNCTION("""COMPUTED_VALUE"""),74.77)</f>
        <v>74.77</v>
      </c>
      <c r="AO288" s="320">
        <f>IFERROR(__xludf.DUMMYFUNCTION("""COMPUTED_VALUE"""),15.59)</f>
        <v>15.59</v>
      </c>
    </row>
    <row r="289" ht="15.75" customHeight="1">
      <c r="A289" s="330">
        <f>IFERROR(__xludf.DUMMYFUNCTION("""COMPUTED_VALUE"""),46097.0)</f>
        <v>46097</v>
      </c>
      <c r="B289" s="319" t="str">
        <f>IFERROR(__xludf.DUMMYFUNCTION("""COMPUTED_VALUE"""),"F. 100+")</f>
        <v>F. 100+</v>
      </c>
      <c r="C289" s="320">
        <f>IFERROR(__xludf.DUMMYFUNCTION("""COMPUTED_VALUE"""),730.0)</f>
        <v>730</v>
      </c>
      <c r="D289" s="320">
        <f>IFERROR(__xludf.DUMMYFUNCTION("""COMPUTED_VALUE"""),0.66)</f>
        <v>0.66</v>
      </c>
      <c r="E289" s="320">
        <f>IFERROR(__xludf.DUMMYFUNCTION("""COMPUTED_VALUE"""),0.0)</f>
        <v>0</v>
      </c>
      <c r="F289" s="320">
        <f>IFERROR(__xludf.DUMMYFUNCTION("""COMPUTED_VALUE"""),0.0)</f>
        <v>0</v>
      </c>
      <c r="G289" s="320">
        <f>IFERROR(__xludf.DUMMYFUNCTION("""COMPUTED_VALUE"""),0.0)</f>
        <v>0</v>
      </c>
      <c r="H289" s="106"/>
      <c r="I289" s="320">
        <f>IFERROR(__xludf.DUMMYFUNCTION("""COMPUTED_VALUE"""),248.15)</f>
        <v>248.15</v>
      </c>
      <c r="J289" s="320">
        <f>IFERROR(__xludf.DUMMYFUNCTION("""COMPUTED_VALUE"""),147.31)</f>
        <v>147.31</v>
      </c>
      <c r="K289" s="320">
        <f>IFERROR(__xludf.DUMMYFUNCTION("""COMPUTED_VALUE"""),129.7)</f>
        <v>129.7</v>
      </c>
      <c r="L289" s="320">
        <f>IFERROR(__xludf.DUMMYFUNCTION("""COMPUTED_VALUE"""),0.8805)</f>
        <v>0.8805</v>
      </c>
      <c r="M289" s="320">
        <f>IFERROR(__xludf.DUMMYFUNCTION("""COMPUTED_VALUE"""),0.2722)</f>
        <v>0.2722</v>
      </c>
      <c r="N289" s="320">
        <f>IFERROR(__xludf.DUMMYFUNCTION("""COMPUTED_VALUE"""),0.2069)</f>
        <v>0.2069</v>
      </c>
      <c r="O289" s="320">
        <f>IFERROR(__xludf.DUMMYFUNCTION("""COMPUTED_VALUE"""),1.1358)</f>
        <v>1.1358</v>
      </c>
      <c r="P289" s="320">
        <f>IFERROR(__xludf.DUMMYFUNCTION("""COMPUTED_VALUE"""),762.72)</f>
        <v>762.72</v>
      </c>
      <c r="Q289" s="320">
        <f>IFERROR(__xludf.DUMMYFUNCTION("""COMPUTED_VALUE"""),488.89)</f>
        <v>488.89</v>
      </c>
      <c r="R289" s="320">
        <f>IFERROR(__xludf.DUMMYFUNCTION("""COMPUTED_VALUE"""),273.84)</f>
        <v>273.84</v>
      </c>
      <c r="S289" s="320">
        <f>IFERROR(__xludf.DUMMYFUNCTION("""COMPUTED_VALUE"""),0.0)</f>
        <v>0</v>
      </c>
      <c r="T289" s="320">
        <f>IFERROR(__xludf.DUMMYFUNCTION("""COMPUTED_VALUE"""),762.72)</f>
        <v>762.72</v>
      </c>
      <c r="U289" s="320">
        <f>IFERROR(__xludf.DUMMYFUNCTION("""COMPUTED_VALUE"""),746.99)</f>
        <v>746.99</v>
      </c>
      <c r="V289" s="320">
        <f>IFERROR(__xludf.DUMMYFUNCTION("""COMPUTED_VALUE"""),5.0708)</f>
        <v>5.0708</v>
      </c>
      <c r="W289" s="320">
        <f>IFERROR(__xludf.DUMMYFUNCTION("""COMPUTED_VALUE"""),0.0)</f>
        <v>0</v>
      </c>
      <c r="X289" s="320">
        <f>IFERROR(__xludf.DUMMYFUNCTION("""COMPUTED_VALUE"""),823.0)</f>
        <v>823</v>
      </c>
      <c r="Y289" s="320">
        <f>IFERROR(__xludf.DUMMYFUNCTION("""COMPUTED_VALUE"""),4256.0)</f>
        <v>4256</v>
      </c>
      <c r="Z289" s="320">
        <f>IFERROR(__xludf.DUMMYFUNCTION("""COMPUTED_VALUE"""),12359.0)</f>
        <v>12359</v>
      </c>
      <c r="AA289" s="320">
        <f>IFERROR(__xludf.DUMMYFUNCTION("""COMPUTED_VALUE"""),62.9655)</f>
        <v>62.9655</v>
      </c>
      <c r="AB289" s="320">
        <f>IFERROR(__xludf.DUMMYFUNCTION("""COMPUTED_VALUE"""),0.8877)</f>
        <v>0.8877</v>
      </c>
      <c r="AC289" s="320">
        <f>IFERROR(__xludf.DUMMYFUNCTION("""COMPUTED_VALUE"""),92.95)</f>
        <v>92.95</v>
      </c>
      <c r="AD289" s="320">
        <f>IFERROR(__xludf.DUMMYFUNCTION("""COMPUTED_VALUE"""),37.0)</f>
        <v>37</v>
      </c>
      <c r="AE289" s="320">
        <f>IFERROR(__xludf.DUMMYFUNCTION("""COMPUTED_VALUE"""),82.0)</f>
        <v>82</v>
      </c>
      <c r="AF289" s="320">
        <f>IFERROR(__xludf.DUMMYFUNCTION("""COMPUTED_VALUE"""),125.0)</f>
        <v>125</v>
      </c>
      <c r="AG289" s="320">
        <f>IFERROR(__xludf.DUMMYFUNCTION("""COMPUTED_VALUE"""),185.0)</f>
        <v>185</v>
      </c>
      <c r="AH289" s="320">
        <f>IFERROR(__xludf.DUMMYFUNCTION("""COMPUTED_VALUE"""),51.78)</f>
        <v>51.78</v>
      </c>
      <c r="AI289" s="320">
        <f>IFERROR(__xludf.DUMMYFUNCTION("""COMPUTED_VALUE"""),12.74)</f>
        <v>12.74</v>
      </c>
      <c r="AJ289" s="320">
        <f>IFERROR(__xludf.DUMMYFUNCTION("""COMPUTED_VALUE"""),1.64)</f>
        <v>1.64</v>
      </c>
      <c r="AK289" s="320">
        <f>IFERROR(__xludf.DUMMYFUNCTION("""COMPUTED_VALUE"""),0.0863)</f>
        <v>0.0863</v>
      </c>
      <c r="AL289" s="320">
        <f>IFERROR(__xludf.DUMMYFUNCTION("""COMPUTED_VALUE"""),22.62)</f>
        <v>22.62</v>
      </c>
      <c r="AM289" s="320">
        <f>IFERROR(__xludf.DUMMYFUNCTION("""COMPUTED_VALUE"""),466.26)</f>
        <v>466.26</v>
      </c>
      <c r="AN289" s="320">
        <f>IFERROR(__xludf.DUMMYFUNCTION("""COMPUTED_VALUE"""),84.11)</f>
        <v>84.11</v>
      </c>
      <c r="AO289" s="320">
        <f>IFERROR(__xludf.DUMMYFUNCTION("""COMPUTED_VALUE"""),19.03)</f>
        <v>19.03</v>
      </c>
    </row>
    <row r="290" ht="15.75" customHeight="1">
      <c r="A290" s="330">
        <f>IFERROR(__xludf.DUMMYFUNCTION("""COMPUTED_VALUE"""),46098.0)</f>
        <v>46098</v>
      </c>
      <c r="B290" s="319" t="str">
        <f>IFERROR(__xludf.DUMMYFUNCTION("""COMPUTED_VALUE"""),"A. 0")</f>
        <v>A. 0</v>
      </c>
      <c r="C290" s="320">
        <f>IFERROR(__xludf.DUMMYFUNCTION("""COMPUTED_VALUE"""),20411.0)</f>
        <v>20411</v>
      </c>
      <c r="D290" s="320">
        <f>IFERROR(__xludf.DUMMYFUNCTION("""COMPUTED_VALUE"""),18.66)</f>
        <v>18.66</v>
      </c>
      <c r="E290" s="320">
        <f>IFERROR(__xludf.DUMMYFUNCTION("""COMPUTED_VALUE"""),0.0)</f>
        <v>0</v>
      </c>
      <c r="F290" s="320">
        <f>IFERROR(__xludf.DUMMYFUNCTION("""COMPUTED_VALUE"""),0.0)</f>
        <v>0</v>
      </c>
      <c r="G290" s="320">
        <f>IFERROR(__xludf.DUMMYFUNCTION("""COMPUTED_VALUE"""),0.0)</f>
        <v>0</v>
      </c>
      <c r="H290" s="106"/>
      <c r="I290" s="320">
        <f>IFERROR(__xludf.DUMMYFUNCTION("""COMPUTED_VALUE"""),6.15)</f>
        <v>6.15</v>
      </c>
      <c r="J290" s="320">
        <f>IFERROR(__xludf.DUMMYFUNCTION("""COMPUTED_VALUE"""),2.57)</f>
        <v>2.57</v>
      </c>
      <c r="K290" s="320">
        <f>IFERROR(__xludf.DUMMYFUNCTION("""COMPUTED_VALUE"""),0.07)</f>
        <v>0.07</v>
      </c>
      <c r="L290" s="320">
        <f>IFERROR(__xludf.DUMMYFUNCTION("""COMPUTED_VALUE"""),0.0292)</f>
        <v>0.0292</v>
      </c>
      <c r="M290" s="320">
        <f>IFERROR(__xludf.DUMMYFUNCTION("""COMPUTED_VALUE"""),0.977)</f>
        <v>0.977</v>
      </c>
      <c r="N290" s="320">
        <f>IFERROR(__xludf.DUMMYFUNCTION("""COMPUTED_VALUE"""),0.7512)</f>
        <v>0.7512</v>
      </c>
      <c r="O290" s="320">
        <f>IFERROR(__xludf.DUMMYFUNCTION("""COMPUTED_VALUE"""),34.2837)</f>
        <v>34.2837</v>
      </c>
      <c r="P290" s="320">
        <f>IFERROR(__xludf.DUMMYFUNCTION("""COMPUTED_VALUE"""),25.92)</f>
        <v>25.92</v>
      </c>
      <c r="Q290" s="320">
        <f>IFERROR(__xludf.DUMMYFUNCTION("""COMPUTED_VALUE"""),25.85)</f>
        <v>25.85</v>
      </c>
      <c r="R290" s="320">
        <f>IFERROR(__xludf.DUMMYFUNCTION("""COMPUTED_VALUE"""),0.07)</f>
        <v>0.07</v>
      </c>
      <c r="S290" s="320">
        <f>IFERROR(__xludf.DUMMYFUNCTION("""COMPUTED_VALUE"""),0.0)</f>
        <v>0</v>
      </c>
      <c r="T290" s="320">
        <f>IFERROR(__xludf.DUMMYFUNCTION("""COMPUTED_VALUE"""),25.92)</f>
        <v>25.92</v>
      </c>
      <c r="U290" s="320">
        <f>IFERROR(__xludf.DUMMYFUNCTION("""COMPUTED_VALUE"""),2.2)</f>
        <v>2.2</v>
      </c>
      <c r="V290" s="320">
        <f>IFERROR(__xludf.DUMMYFUNCTION("""COMPUTED_VALUE"""),0.856)</f>
        <v>0.856</v>
      </c>
      <c r="W290" s="320">
        <f>IFERROR(__xludf.DUMMYFUNCTION("""COMPUTED_VALUE"""),0.0)</f>
        <v>0</v>
      </c>
      <c r="X290" s="320">
        <f>IFERROR(__xludf.DUMMYFUNCTION("""COMPUTED_VALUE"""),350.0)</f>
        <v>350</v>
      </c>
      <c r="Y290" s="320">
        <f>IFERROR(__xludf.DUMMYFUNCTION("""COMPUTED_VALUE"""),3769.0)</f>
        <v>3769</v>
      </c>
      <c r="Z290" s="320">
        <f>IFERROR(__xludf.DUMMYFUNCTION("""COMPUTED_VALUE"""),14848.0)</f>
        <v>14848</v>
      </c>
      <c r="AA290" s="320">
        <f>IFERROR(__xludf.DUMMYFUNCTION("""COMPUTED_VALUE"""),49.193)</f>
        <v>49.193</v>
      </c>
      <c r="AB290" s="320">
        <f>IFERROR(__xludf.DUMMYFUNCTION("""COMPUTED_VALUE"""),0.5415)</f>
        <v>0.5415</v>
      </c>
      <c r="AC290" s="106"/>
      <c r="AD290" s="106"/>
      <c r="AE290" s="106"/>
      <c r="AF290" s="106"/>
      <c r="AG290" s="106"/>
      <c r="AH290" s="320">
        <f>IFERROR(__xludf.DUMMYFUNCTION("""COMPUTED_VALUE"""),0.0)</f>
        <v>0</v>
      </c>
      <c r="AI290" s="320">
        <f>IFERROR(__xludf.DUMMYFUNCTION("""COMPUTED_VALUE"""),0.0)</f>
        <v>0</v>
      </c>
      <c r="AJ290" s="320">
        <f>IFERROR(__xludf.DUMMYFUNCTION("""COMPUTED_VALUE"""),0.0)</f>
        <v>0</v>
      </c>
      <c r="AK290" s="320">
        <f>IFERROR(__xludf.DUMMYFUNCTION("""COMPUTED_VALUE"""),0.2753)</f>
        <v>0.2753</v>
      </c>
      <c r="AL290" s="320">
        <f>IFERROR(__xludf.DUMMYFUNCTION("""COMPUTED_VALUE"""),15.98)</f>
        <v>15.98</v>
      </c>
      <c r="AM290" s="320">
        <f>IFERROR(__xludf.DUMMYFUNCTION("""COMPUTED_VALUE"""),9.86)</f>
        <v>9.86</v>
      </c>
      <c r="AN290" s="331"/>
      <c r="AO290" s="331"/>
    </row>
    <row r="291" ht="15.75" customHeight="1">
      <c r="A291" s="330">
        <f>IFERROR(__xludf.DUMMYFUNCTION("""COMPUTED_VALUE"""),46098.0)</f>
        <v>46098</v>
      </c>
      <c r="B291" s="319" t="str">
        <f>IFERROR(__xludf.DUMMYFUNCTION("""COMPUTED_VALUE"""),"B. 1-9")</f>
        <v>B. 1-9</v>
      </c>
      <c r="C291" s="320">
        <f>IFERROR(__xludf.DUMMYFUNCTION("""COMPUTED_VALUE"""),39128.0)</f>
        <v>39128</v>
      </c>
      <c r="D291" s="320">
        <f>IFERROR(__xludf.DUMMYFUNCTION("""COMPUTED_VALUE"""),35.77)</f>
        <v>35.77</v>
      </c>
      <c r="E291" s="320">
        <f>IFERROR(__xludf.DUMMYFUNCTION("""COMPUTED_VALUE"""),0.0)</f>
        <v>0</v>
      </c>
      <c r="F291" s="320">
        <f>IFERROR(__xludf.DUMMYFUNCTION("""COMPUTED_VALUE"""),0.0)</f>
        <v>0</v>
      </c>
      <c r="G291" s="320">
        <f>IFERROR(__xludf.DUMMYFUNCTION("""COMPUTED_VALUE"""),0.0)</f>
        <v>0</v>
      </c>
      <c r="H291" s="106"/>
      <c r="I291" s="320">
        <f>IFERROR(__xludf.DUMMYFUNCTION("""COMPUTED_VALUE"""),28.85)</f>
        <v>28.85</v>
      </c>
      <c r="J291" s="320">
        <f>IFERROR(__xludf.DUMMYFUNCTION("""COMPUTED_VALUE"""),13.06)</f>
        <v>13.06</v>
      </c>
      <c r="K291" s="320">
        <f>IFERROR(__xludf.DUMMYFUNCTION("""COMPUTED_VALUE"""),5.52)</f>
        <v>5.52</v>
      </c>
      <c r="L291" s="320">
        <f>IFERROR(__xludf.DUMMYFUNCTION("""COMPUTED_VALUE"""),0.4227)</f>
        <v>0.4227</v>
      </c>
      <c r="M291" s="320">
        <f>IFERROR(__xludf.DUMMYFUNCTION("""COMPUTED_VALUE"""),0.756)</f>
        <v>0.756</v>
      </c>
      <c r="N291" s="320">
        <f>IFERROR(__xludf.DUMMYFUNCTION("""COMPUTED_VALUE"""),0.5638)</f>
        <v>0.5638</v>
      </c>
      <c r="O291" s="320">
        <f>IFERROR(__xludf.DUMMYFUNCTION("""COMPUTED_VALUE"""),2.3658)</f>
        <v>2.3658</v>
      </c>
      <c r="P291" s="320">
        <f>IFERROR(__xludf.DUMMYFUNCTION("""COMPUTED_VALUE"""),54.34)</f>
        <v>54.34</v>
      </c>
      <c r="Q291" s="320">
        <f>IFERROR(__xludf.DUMMYFUNCTION("""COMPUTED_VALUE"""),42.88)</f>
        <v>42.88</v>
      </c>
      <c r="R291" s="320">
        <f>IFERROR(__xludf.DUMMYFUNCTION("""COMPUTED_VALUE"""),11.46)</f>
        <v>11.46</v>
      </c>
      <c r="S291" s="320">
        <f>IFERROR(__xludf.DUMMYFUNCTION("""COMPUTED_VALUE"""),0.0)</f>
        <v>0</v>
      </c>
      <c r="T291" s="320">
        <f>IFERROR(__xludf.DUMMYFUNCTION("""COMPUTED_VALUE"""),54.34)</f>
        <v>54.34</v>
      </c>
      <c r="U291" s="320">
        <f>IFERROR(__xludf.DUMMYFUNCTION("""COMPUTED_VALUE"""),54.18)</f>
        <v>54.18</v>
      </c>
      <c r="V291" s="320">
        <f>IFERROR(__xludf.DUMMYFUNCTION("""COMPUTED_VALUE"""),4.1483)</f>
        <v>4.1483</v>
      </c>
      <c r="W291" s="320">
        <f>IFERROR(__xludf.DUMMYFUNCTION("""COMPUTED_VALUE"""),0.0)</f>
        <v>0</v>
      </c>
      <c r="X291" s="320">
        <f>IFERROR(__xludf.DUMMYFUNCTION("""COMPUTED_VALUE"""),150.0)</f>
        <v>150</v>
      </c>
      <c r="Y291" s="320">
        <f>IFERROR(__xludf.DUMMYFUNCTION("""COMPUTED_VALUE"""),878.0)</f>
        <v>878</v>
      </c>
      <c r="Z291" s="320">
        <f>IFERROR(__xludf.DUMMYFUNCTION("""COMPUTED_VALUE"""),6063.0)</f>
        <v>6063</v>
      </c>
      <c r="AA291" s="320">
        <f>IFERROR(__xludf.DUMMYFUNCTION("""COMPUTED_VALUE"""),48.87)</f>
        <v>48.87</v>
      </c>
      <c r="AB291" s="320">
        <f>IFERROR(__xludf.DUMMYFUNCTION("""COMPUTED_VALUE"""),0.5261)</f>
        <v>0.5261</v>
      </c>
      <c r="AC291" s="320">
        <f>IFERROR(__xludf.DUMMYFUNCTION("""COMPUTED_VALUE"""),4.02)</f>
        <v>4.02</v>
      </c>
      <c r="AD291" s="320">
        <f>IFERROR(__xludf.DUMMYFUNCTION("""COMPUTED_VALUE"""),1.0)</f>
        <v>1</v>
      </c>
      <c r="AE291" s="320">
        <f>IFERROR(__xludf.DUMMYFUNCTION("""COMPUTED_VALUE"""),3.0)</f>
        <v>3</v>
      </c>
      <c r="AF291" s="320">
        <f>IFERROR(__xludf.DUMMYFUNCTION("""COMPUTED_VALUE"""),5.0)</f>
        <v>5</v>
      </c>
      <c r="AG291" s="320">
        <f>IFERROR(__xludf.DUMMYFUNCTION("""COMPUTED_VALUE"""),9.0)</f>
        <v>9</v>
      </c>
      <c r="AH291" s="320">
        <f>IFERROR(__xludf.DUMMYFUNCTION("""COMPUTED_VALUE"""),72.67)</f>
        <v>72.67</v>
      </c>
      <c r="AI291" s="320">
        <f>IFERROR(__xludf.DUMMYFUNCTION("""COMPUTED_VALUE"""),30.74)</f>
        <v>30.74</v>
      </c>
      <c r="AJ291" s="320">
        <f>IFERROR(__xludf.DUMMYFUNCTION("""COMPUTED_VALUE"""),8.89)</f>
        <v>8.89</v>
      </c>
      <c r="AK291" s="320">
        <f>IFERROR(__xludf.DUMMYFUNCTION("""COMPUTED_VALUE"""),0.2408)</f>
        <v>0.2408</v>
      </c>
      <c r="AL291" s="320">
        <f>IFERROR(__xludf.DUMMYFUNCTION("""COMPUTED_VALUE"""),18.06)</f>
        <v>18.06</v>
      </c>
      <c r="AM291" s="320">
        <f>IFERROR(__xludf.DUMMYFUNCTION("""COMPUTED_VALUE"""),24.82)</f>
        <v>24.82</v>
      </c>
      <c r="AN291" s="320">
        <f>IFERROR(__xludf.DUMMYFUNCTION("""COMPUTED_VALUE"""),66.03)</f>
        <v>66.03</v>
      </c>
      <c r="AO291" s="320">
        <f>IFERROR(__xludf.DUMMYFUNCTION("""COMPUTED_VALUE"""),11.93)</f>
        <v>11.93</v>
      </c>
    </row>
    <row r="292" ht="15.75" customHeight="1">
      <c r="A292" s="330">
        <f>IFERROR(__xludf.DUMMYFUNCTION("""COMPUTED_VALUE"""),46098.0)</f>
        <v>46098</v>
      </c>
      <c r="B292" s="319" t="str">
        <f>IFERROR(__xludf.DUMMYFUNCTION("""COMPUTED_VALUE"""),"C. 10-19")</f>
        <v>C. 10-19</v>
      </c>
      <c r="C292" s="320">
        <f>IFERROR(__xludf.DUMMYFUNCTION("""COMPUTED_VALUE"""),27703.0)</f>
        <v>27703</v>
      </c>
      <c r="D292" s="320">
        <f>IFERROR(__xludf.DUMMYFUNCTION("""COMPUTED_VALUE"""),25.33)</f>
        <v>25.33</v>
      </c>
      <c r="E292" s="320">
        <f>IFERROR(__xludf.DUMMYFUNCTION("""COMPUTED_VALUE"""),0.0)</f>
        <v>0</v>
      </c>
      <c r="F292" s="320">
        <f>IFERROR(__xludf.DUMMYFUNCTION("""COMPUTED_VALUE"""),0.0)</f>
        <v>0</v>
      </c>
      <c r="G292" s="320">
        <f>IFERROR(__xludf.DUMMYFUNCTION("""COMPUTED_VALUE"""),0.0)</f>
        <v>0</v>
      </c>
      <c r="H292" s="106"/>
      <c r="I292" s="320">
        <f>IFERROR(__xludf.DUMMYFUNCTION("""COMPUTED_VALUE"""),54.39)</f>
        <v>54.39</v>
      </c>
      <c r="J292" s="320">
        <f>IFERROR(__xludf.DUMMYFUNCTION("""COMPUTED_VALUE"""),25.63)</f>
        <v>25.63</v>
      </c>
      <c r="K292" s="320">
        <f>IFERROR(__xludf.DUMMYFUNCTION("""COMPUTED_VALUE"""),14.52)</f>
        <v>14.52</v>
      </c>
      <c r="L292" s="320">
        <f>IFERROR(__xludf.DUMMYFUNCTION("""COMPUTED_VALUE"""),0.5664)</f>
        <v>0.5664</v>
      </c>
      <c r="M292" s="320">
        <f>IFERROR(__xludf.DUMMYFUNCTION("""COMPUTED_VALUE"""),0.6355)</f>
        <v>0.6355</v>
      </c>
      <c r="N292" s="320">
        <f>IFERROR(__xludf.DUMMYFUNCTION("""COMPUTED_VALUE"""),0.4449)</f>
        <v>0.4449</v>
      </c>
      <c r="O292" s="320">
        <f>IFERROR(__xludf.DUMMYFUNCTION("""COMPUTED_VALUE"""),1.7654)</f>
        <v>1.7654</v>
      </c>
      <c r="P292" s="320">
        <f>IFERROR(__xludf.DUMMYFUNCTION("""COMPUTED_VALUE"""),102.95)</f>
        <v>102.95</v>
      </c>
      <c r="Q292" s="320">
        <f>IFERROR(__xludf.DUMMYFUNCTION("""COMPUTED_VALUE"""),73.72)</f>
        <v>73.72</v>
      </c>
      <c r="R292" s="320">
        <f>IFERROR(__xludf.DUMMYFUNCTION("""COMPUTED_VALUE"""),29.23)</f>
        <v>29.23</v>
      </c>
      <c r="S292" s="320">
        <f>IFERROR(__xludf.DUMMYFUNCTION("""COMPUTED_VALUE"""),0.21)</f>
        <v>0.21</v>
      </c>
      <c r="T292" s="320">
        <f>IFERROR(__xludf.DUMMYFUNCTION("""COMPUTED_VALUE"""),102.74)</f>
        <v>102.74</v>
      </c>
      <c r="U292" s="320">
        <f>IFERROR(__xludf.DUMMYFUNCTION("""COMPUTED_VALUE"""),103.54)</f>
        <v>103.54</v>
      </c>
      <c r="V292" s="320">
        <f>IFERROR(__xludf.DUMMYFUNCTION("""COMPUTED_VALUE"""),4.0389)</f>
        <v>4.0389</v>
      </c>
      <c r="W292" s="320">
        <f>IFERROR(__xludf.DUMMYFUNCTION("""COMPUTED_VALUE"""),0.2)</f>
        <v>0.2</v>
      </c>
      <c r="X292" s="320">
        <f>IFERROR(__xludf.DUMMYFUNCTION("""COMPUTED_VALUE"""),137.0)</f>
        <v>137</v>
      </c>
      <c r="Y292" s="320">
        <f>IFERROR(__xludf.DUMMYFUNCTION("""COMPUTED_VALUE"""),758.0)</f>
        <v>758</v>
      </c>
      <c r="Z292" s="320">
        <f>IFERROR(__xludf.DUMMYFUNCTION("""COMPUTED_VALUE"""),5733.0)</f>
        <v>5733</v>
      </c>
      <c r="AA292" s="320">
        <f>IFERROR(__xludf.DUMMYFUNCTION("""COMPUTED_VALUE"""),52.371)</f>
        <v>52.371</v>
      </c>
      <c r="AB292" s="320">
        <f>IFERROR(__xludf.DUMMYFUNCTION("""COMPUTED_VALUE"""),0.604)</f>
        <v>0.604</v>
      </c>
      <c r="AC292" s="320">
        <f>IFERROR(__xludf.DUMMYFUNCTION("""COMPUTED_VALUE"""),9.77)</f>
        <v>9.77</v>
      </c>
      <c r="AD292" s="320">
        <f>IFERROR(__xludf.DUMMYFUNCTION("""COMPUTED_VALUE"""),4.0)</f>
        <v>4</v>
      </c>
      <c r="AE292" s="320">
        <f>IFERROR(__xludf.DUMMYFUNCTION("""COMPUTED_VALUE"""),8.0)</f>
        <v>8</v>
      </c>
      <c r="AF292" s="320">
        <f>IFERROR(__xludf.DUMMYFUNCTION("""COMPUTED_VALUE"""),13.0)</f>
        <v>13</v>
      </c>
      <c r="AG292" s="320">
        <f>IFERROR(__xludf.DUMMYFUNCTION("""COMPUTED_VALUE"""),21.0)</f>
        <v>21</v>
      </c>
      <c r="AH292" s="320">
        <f>IFERROR(__xludf.DUMMYFUNCTION("""COMPUTED_VALUE"""),61.85)</f>
        <v>61.85</v>
      </c>
      <c r="AI292" s="320">
        <f>IFERROR(__xludf.DUMMYFUNCTION("""COMPUTED_VALUE"""),28.11)</f>
        <v>28.11</v>
      </c>
      <c r="AJ292" s="320">
        <f>IFERROR(__xludf.DUMMYFUNCTION("""COMPUTED_VALUE"""),5.2)</f>
        <v>5.2</v>
      </c>
      <c r="AK292" s="320">
        <f>IFERROR(__xludf.DUMMYFUNCTION("""COMPUTED_VALUE"""),0.185)</f>
        <v>0.185</v>
      </c>
      <c r="AL292" s="320">
        <f>IFERROR(__xludf.DUMMYFUNCTION("""COMPUTED_VALUE"""),18.55)</f>
        <v>18.55</v>
      </c>
      <c r="AM292" s="320">
        <f>IFERROR(__xludf.DUMMYFUNCTION("""COMPUTED_VALUE"""),55.17)</f>
        <v>55.17</v>
      </c>
      <c r="AN292" s="320">
        <f>IFERROR(__xludf.DUMMYFUNCTION("""COMPUTED_VALUE"""),72.92)</f>
        <v>72.92</v>
      </c>
      <c r="AO292" s="320">
        <f>IFERROR(__xludf.DUMMYFUNCTION("""COMPUTED_VALUE"""),13.53)</f>
        <v>13.53</v>
      </c>
    </row>
    <row r="293" ht="15.75" customHeight="1">
      <c r="A293" s="330">
        <f>IFERROR(__xludf.DUMMYFUNCTION("""COMPUTED_VALUE"""),46098.0)</f>
        <v>46098</v>
      </c>
      <c r="B293" s="319" t="str">
        <f>IFERROR(__xludf.DUMMYFUNCTION("""COMPUTED_VALUE"""),"D. 20-39")</f>
        <v>D. 20-39</v>
      </c>
      <c r="C293" s="320">
        <f>IFERROR(__xludf.DUMMYFUNCTION("""COMPUTED_VALUE"""),15609.0)</f>
        <v>15609</v>
      </c>
      <c r="D293" s="320">
        <f>IFERROR(__xludf.DUMMYFUNCTION("""COMPUTED_VALUE"""),14.27)</f>
        <v>14.27</v>
      </c>
      <c r="E293" s="320">
        <f>IFERROR(__xludf.DUMMYFUNCTION("""COMPUTED_VALUE"""),0.0)</f>
        <v>0</v>
      </c>
      <c r="F293" s="320">
        <f>IFERROR(__xludf.DUMMYFUNCTION("""COMPUTED_VALUE"""),0.0)</f>
        <v>0</v>
      </c>
      <c r="G293" s="320">
        <f>IFERROR(__xludf.DUMMYFUNCTION("""COMPUTED_VALUE"""),0.0)</f>
        <v>0</v>
      </c>
      <c r="H293" s="106"/>
      <c r="I293" s="320">
        <f>IFERROR(__xludf.DUMMYFUNCTION("""COMPUTED_VALUE"""),80.58)</f>
        <v>80.58</v>
      </c>
      <c r="J293" s="320">
        <f>IFERROR(__xludf.DUMMYFUNCTION("""COMPUTED_VALUE"""),40.97)</f>
        <v>40.97</v>
      </c>
      <c r="K293" s="320">
        <f>IFERROR(__xludf.DUMMYFUNCTION("""COMPUTED_VALUE"""),28.77)</f>
        <v>28.77</v>
      </c>
      <c r="L293" s="320">
        <f>IFERROR(__xludf.DUMMYFUNCTION("""COMPUTED_VALUE"""),0.7023)</f>
        <v>0.7023</v>
      </c>
      <c r="M293" s="320">
        <f>IFERROR(__xludf.DUMMYFUNCTION("""COMPUTED_VALUE"""),0.4957)</f>
        <v>0.4957</v>
      </c>
      <c r="N293" s="320">
        <f>IFERROR(__xludf.DUMMYFUNCTION("""COMPUTED_VALUE"""),0.3462)</f>
        <v>0.3462</v>
      </c>
      <c r="O293" s="320">
        <f>IFERROR(__xludf.DUMMYFUNCTION("""COMPUTED_VALUE"""),1.4238)</f>
        <v>1.4238</v>
      </c>
      <c r="P293" s="320">
        <f>IFERROR(__xludf.DUMMYFUNCTION("""COMPUTED_VALUE"""),183.09)</f>
        <v>183.09</v>
      </c>
      <c r="Q293" s="320">
        <f>IFERROR(__xludf.DUMMYFUNCTION("""COMPUTED_VALUE"""),127.72)</f>
        <v>127.72</v>
      </c>
      <c r="R293" s="320">
        <f>IFERROR(__xludf.DUMMYFUNCTION("""COMPUTED_VALUE"""),55.37)</f>
        <v>55.37</v>
      </c>
      <c r="S293" s="320">
        <f>IFERROR(__xludf.DUMMYFUNCTION("""COMPUTED_VALUE"""),0.09)</f>
        <v>0.09</v>
      </c>
      <c r="T293" s="320">
        <f>IFERROR(__xludf.DUMMYFUNCTION("""COMPUTED_VALUE"""),183.01)</f>
        <v>183.01</v>
      </c>
      <c r="U293" s="320">
        <f>IFERROR(__xludf.DUMMYFUNCTION("""COMPUTED_VALUE"""),181.31)</f>
        <v>181.31</v>
      </c>
      <c r="V293" s="320">
        <f>IFERROR(__xludf.DUMMYFUNCTION("""COMPUTED_VALUE"""),4.426)</f>
        <v>4.426</v>
      </c>
      <c r="W293" s="320">
        <f>IFERROR(__xludf.DUMMYFUNCTION("""COMPUTED_VALUE"""),0.05)</f>
        <v>0.05</v>
      </c>
      <c r="X293" s="320">
        <f>IFERROR(__xludf.DUMMYFUNCTION("""COMPUTED_VALUE"""),176.0)</f>
        <v>176</v>
      </c>
      <c r="Y293" s="320">
        <f>IFERROR(__xludf.DUMMYFUNCTION("""COMPUTED_VALUE"""),1160.0)</f>
        <v>1160</v>
      </c>
      <c r="Z293" s="320">
        <f>IFERROR(__xludf.DUMMYFUNCTION("""COMPUTED_VALUE"""),7928.0)</f>
        <v>7928</v>
      </c>
      <c r="AA293" s="320">
        <f>IFERROR(__xludf.DUMMYFUNCTION("""COMPUTED_VALUE"""),55.6285)</f>
        <v>55.6285</v>
      </c>
      <c r="AB293" s="320">
        <f>IFERROR(__xludf.DUMMYFUNCTION("""COMPUTED_VALUE"""),0.6949)</f>
        <v>0.6949</v>
      </c>
      <c r="AC293" s="320">
        <f>IFERROR(__xludf.DUMMYFUNCTION("""COMPUTED_VALUE"""),18.04)</f>
        <v>18.04</v>
      </c>
      <c r="AD293" s="320">
        <f>IFERROR(__xludf.DUMMYFUNCTION("""COMPUTED_VALUE"""),7.0)</f>
        <v>7</v>
      </c>
      <c r="AE293" s="320">
        <f>IFERROR(__xludf.DUMMYFUNCTION("""COMPUTED_VALUE"""),14.0)</f>
        <v>14</v>
      </c>
      <c r="AF293" s="320">
        <f>IFERROR(__xludf.DUMMYFUNCTION("""COMPUTED_VALUE"""),25.0)</f>
        <v>25</v>
      </c>
      <c r="AG293" s="320">
        <f>IFERROR(__xludf.DUMMYFUNCTION("""COMPUTED_VALUE"""),37.0)</f>
        <v>37</v>
      </c>
      <c r="AH293" s="320">
        <f>IFERROR(__xludf.DUMMYFUNCTION("""COMPUTED_VALUE"""),61.16)</f>
        <v>61.16</v>
      </c>
      <c r="AI293" s="320">
        <f>IFERROR(__xludf.DUMMYFUNCTION("""COMPUTED_VALUE"""),24.22)</f>
        <v>24.22</v>
      </c>
      <c r="AJ293" s="320">
        <f>IFERROR(__xludf.DUMMYFUNCTION("""COMPUTED_VALUE"""),7.08)</f>
        <v>7.08</v>
      </c>
      <c r="AK293" s="320">
        <f>IFERROR(__xludf.DUMMYFUNCTION("""COMPUTED_VALUE"""),0.1657)</f>
        <v>0.1657</v>
      </c>
      <c r="AL293" s="320">
        <f>IFERROR(__xludf.DUMMYFUNCTION("""COMPUTED_VALUE"""),19.52)</f>
        <v>19.52</v>
      </c>
      <c r="AM293" s="320">
        <f>IFERROR(__xludf.DUMMYFUNCTION("""COMPUTED_VALUE"""),108.2)</f>
        <v>108.2</v>
      </c>
      <c r="AN293" s="320">
        <f>IFERROR(__xludf.DUMMYFUNCTION("""COMPUTED_VALUE"""),74.53)</f>
        <v>74.53</v>
      </c>
      <c r="AO293" s="320">
        <f>IFERROR(__xludf.DUMMYFUNCTION("""COMPUTED_VALUE"""),14.55)</f>
        <v>14.55</v>
      </c>
    </row>
    <row r="294" ht="15.75" customHeight="1">
      <c r="A294" s="330">
        <f>IFERROR(__xludf.DUMMYFUNCTION("""COMPUTED_VALUE"""),46098.0)</f>
        <v>46098</v>
      </c>
      <c r="B294" s="319" t="str">
        <f>IFERROR(__xludf.DUMMYFUNCTION("""COMPUTED_VALUE"""),"E. 40-99")</f>
        <v>E. 40-99</v>
      </c>
      <c r="C294" s="320">
        <f>IFERROR(__xludf.DUMMYFUNCTION("""COMPUTED_VALUE"""),5848.0)</f>
        <v>5848</v>
      </c>
      <c r="D294" s="320">
        <f>IFERROR(__xludf.DUMMYFUNCTION("""COMPUTED_VALUE"""),5.35)</f>
        <v>5.35</v>
      </c>
      <c r="E294" s="320">
        <f>IFERROR(__xludf.DUMMYFUNCTION("""COMPUTED_VALUE"""),0.0)</f>
        <v>0</v>
      </c>
      <c r="F294" s="320">
        <f>IFERROR(__xludf.DUMMYFUNCTION("""COMPUTED_VALUE"""),0.0)</f>
        <v>0</v>
      </c>
      <c r="G294" s="320">
        <f>IFERROR(__xludf.DUMMYFUNCTION("""COMPUTED_VALUE"""),0.0)</f>
        <v>0</v>
      </c>
      <c r="H294" s="106"/>
      <c r="I294" s="320">
        <f>IFERROR(__xludf.DUMMYFUNCTION("""COMPUTED_VALUE"""),127.26)</f>
        <v>127.26</v>
      </c>
      <c r="J294" s="320">
        <f>IFERROR(__xludf.DUMMYFUNCTION("""COMPUTED_VALUE"""),70.1)</f>
        <v>70.1</v>
      </c>
      <c r="K294" s="320">
        <f>IFERROR(__xludf.DUMMYFUNCTION("""COMPUTED_VALUE"""),56.08)</f>
        <v>56.08</v>
      </c>
      <c r="L294" s="320">
        <f>IFERROR(__xludf.DUMMYFUNCTION("""COMPUTED_VALUE"""),0.8)</f>
        <v>0.8</v>
      </c>
      <c r="M294" s="320">
        <f>IFERROR(__xludf.DUMMYFUNCTION("""COMPUTED_VALUE"""),0.3811)</f>
        <v>0.3811</v>
      </c>
      <c r="N294" s="320">
        <f>IFERROR(__xludf.DUMMYFUNCTION("""COMPUTED_VALUE"""),0.275)</f>
        <v>0.275</v>
      </c>
      <c r="O294" s="320">
        <f>IFERROR(__xludf.DUMMYFUNCTION("""COMPUTED_VALUE"""),1.25)</f>
        <v>1.25</v>
      </c>
      <c r="P294" s="320">
        <f>IFERROR(__xludf.DUMMYFUNCTION("""COMPUTED_VALUE"""),348.34)</f>
        <v>348.34</v>
      </c>
      <c r="Q294" s="320">
        <f>IFERROR(__xludf.DUMMYFUNCTION("""COMPUTED_VALUE"""),230.83)</f>
        <v>230.83</v>
      </c>
      <c r="R294" s="320">
        <f>IFERROR(__xludf.DUMMYFUNCTION("""COMPUTED_VALUE"""),117.51)</f>
        <v>117.51</v>
      </c>
      <c r="S294" s="320">
        <f>IFERROR(__xludf.DUMMYFUNCTION("""COMPUTED_VALUE"""),0.0)</f>
        <v>0</v>
      </c>
      <c r="T294" s="320">
        <f>IFERROR(__xludf.DUMMYFUNCTION("""COMPUTED_VALUE"""),348.34)</f>
        <v>348.34</v>
      </c>
      <c r="U294" s="320">
        <f>IFERROR(__xludf.DUMMYFUNCTION("""COMPUTED_VALUE"""),329.02)</f>
        <v>329.02</v>
      </c>
      <c r="V294" s="320">
        <f>IFERROR(__xludf.DUMMYFUNCTION("""COMPUTED_VALUE"""),4.6936)</f>
        <v>4.6936</v>
      </c>
      <c r="W294" s="320">
        <f>IFERROR(__xludf.DUMMYFUNCTION("""COMPUTED_VALUE"""),0.0)</f>
        <v>0</v>
      </c>
      <c r="X294" s="320">
        <f>IFERROR(__xludf.DUMMYFUNCTION("""COMPUTED_VALUE"""),327.0)</f>
        <v>327</v>
      </c>
      <c r="Y294" s="320">
        <f>IFERROR(__xludf.DUMMYFUNCTION("""COMPUTED_VALUE"""),2090.0)</f>
        <v>2090</v>
      </c>
      <c r="Z294" s="320">
        <f>IFERROR(__xludf.DUMMYFUNCTION("""COMPUTED_VALUE"""),8733.0)</f>
        <v>8733</v>
      </c>
      <c r="AA294" s="320">
        <f>IFERROR(__xludf.DUMMYFUNCTION("""COMPUTED_VALUE"""),59.3965)</f>
        <v>59.3965</v>
      </c>
      <c r="AB294" s="320">
        <f>IFERROR(__xludf.DUMMYFUNCTION("""COMPUTED_VALUE"""),0.8334)</f>
        <v>0.8334</v>
      </c>
      <c r="AC294" s="320">
        <f>IFERROR(__xludf.DUMMYFUNCTION("""COMPUTED_VALUE"""),39.06)</f>
        <v>39.06</v>
      </c>
      <c r="AD294" s="320">
        <f>IFERROR(__xludf.DUMMYFUNCTION("""COMPUTED_VALUE"""),16.0)</f>
        <v>16</v>
      </c>
      <c r="AE294" s="320">
        <f>IFERROR(__xludf.DUMMYFUNCTION("""COMPUTED_VALUE"""),31.0)</f>
        <v>31</v>
      </c>
      <c r="AF294" s="320">
        <f>IFERROR(__xludf.DUMMYFUNCTION("""COMPUTED_VALUE"""),54.0)</f>
        <v>54</v>
      </c>
      <c r="AG294" s="320">
        <f>IFERROR(__xludf.DUMMYFUNCTION("""COMPUTED_VALUE"""),80.0)</f>
        <v>80</v>
      </c>
      <c r="AH294" s="320">
        <f>IFERROR(__xludf.DUMMYFUNCTION("""COMPUTED_VALUE"""),55.44)</f>
        <v>55.44</v>
      </c>
      <c r="AI294" s="320">
        <f>IFERROR(__xludf.DUMMYFUNCTION("""COMPUTED_VALUE"""),20.5)</f>
        <v>20.5</v>
      </c>
      <c r="AJ294" s="320">
        <f>IFERROR(__xludf.DUMMYFUNCTION("""COMPUTED_VALUE"""),4.77)</f>
        <v>4.77</v>
      </c>
      <c r="AK294" s="320">
        <f>IFERROR(__xludf.DUMMYFUNCTION("""COMPUTED_VALUE"""),0.1296)</f>
        <v>0.1296</v>
      </c>
      <c r="AL294" s="320">
        <f>IFERROR(__xludf.DUMMYFUNCTION("""COMPUTED_VALUE"""),20.1)</f>
        <v>20.1</v>
      </c>
      <c r="AM294" s="320">
        <f>IFERROR(__xludf.DUMMYFUNCTION("""COMPUTED_VALUE"""),210.73)</f>
        <v>210.73</v>
      </c>
      <c r="AN294" s="320">
        <f>IFERROR(__xludf.DUMMYFUNCTION("""COMPUTED_VALUE"""),81.25)</f>
        <v>81.25</v>
      </c>
      <c r="AO294" s="320">
        <f>IFERROR(__xludf.DUMMYFUNCTION("""COMPUTED_VALUE"""),16.33)</f>
        <v>16.33</v>
      </c>
    </row>
    <row r="295" ht="15.75" customHeight="1">
      <c r="A295" s="330">
        <f>IFERROR(__xludf.DUMMYFUNCTION("""COMPUTED_VALUE"""),46098.0)</f>
        <v>46098</v>
      </c>
      <c r="B295" s="319" t="str">
        <f>IFERROR(__xludf.DUMMYFUNCTION("""COMPUTED_VALUE"""),"F. 100+")</f>
        <v>F. 100+</v>
      </c>
      <c r="C295" s="320">
        <f>IFERROR(__xludf.DUMMYFUNCTION("""COMPUTED_VALUE"""),683.0)</f>
        <v>683</v>
      </c>
      <c r="D295" s="320">
        <f>IFERROR(__xludf.DUMMYFUNCTION("""COMPUTED_VALUE"""),0.62)</f>
        <v>0.62</v>
      </c>
      <c r="E295" s="320">
        <f>IFERROR(__xludf.DUMMYFUNCTION("""COMPUTED_VALUE"""),0.0)</f>
        <v>0</v>
      </c>
      <c r="F295" s="320">
        <f>IFERROR(__xludf.DUMMYFUNCTION("""COMPUTED_VALUE"""),0.0)</f>
        <v>0</v>
      </c>
      <c r="G295" s="320">
        <f>IFERROR(__xludf.DUMMYFUNCTION("""COMPUTED_VALUE"""),0.0)</f>
        <v>0</v>
      </c>
      <c r="H295" s="106"/>
      <c r="I295" s="320">
        <f>IFERROR(__xludf.DUMMYFUNCTION("""COMPUTED_VALUE"""),235.14)</f>
        <v>235.14</v>
      </c>
      <c r="J295" s="320">
        <f>IFERROR(__xludf.DUMMYFUNCTION("""COMPUTED_VALUE"""),141.59)</f>
        <v>141.59</v>
      </c>
      <c r="K295" s="320">
        <f>IFERROR(__xludf.DUMMYFUNCTION("""COMPUTED_VALUE"""),123.77)</f>
        <v>123.77</v>
      </c>
      <c r="L295" s="320">
        <f>IFERROR(__xludf.DUMMYFUNCTION("""COMPUTED_VALUE"""),0.8742)</f>
        <v>0.8742</v>
      </c>
      <c r="M295" s="320">
        <f>IFERROR(__xludf.DUMMYFUNCTION("""COMPUTED_VALUE"""),0.2738)</f>
        <v>0.2738</v>
      </c>
      <c r="N295" s="320">
        <f>IFERROR(__xludf.DUMMYFUNCTION("""COMPUTED_VALUE"""),0.2047)</f>
        <v>0.2047</v>
      </c>
      <c r="O295" s="320">
        <f>IFERROR(__xludf.DUMMYFUNCTION("""COMPUTED_VALUE"""),1.1439)</f>
        <v>1.1439</v>
      </c>
      <c r="P295" s="320">
        <f>IFERROR(__xludf.DUMMYFUNCTION("""COMPUTED_VALUE"""),743.79)</f>
        <v>743.79</v>
      </c>
      <c r="Q295" s="320">
        <f>IFERROR(__xludf.DUMMYFUNCTION("""COMPUTED_VALUE"""),481.45)</f>
        <v>481.45</v>
      </c>
      <c r="R295" s="320">
        <f>IFERROR(__xludf.DUMMYFUNCTION("""COMPUTED_VALUE"""),262.34)</f>
        <v>262.34</v>
      </c>
      <c r="S295" s="320">
        <f>IFERROR(__xludf.DUMMYFUNCTION("""COMPUTED_VALUE"""),45.02)</f>
        <v>45.02</v>
      </c>
      <c r="T295" s="320">
        <f>IFERROR(__xludf.DUMMYFUNCTION("""COMPUTED_VALUE"""),698.77)</f>
        <v>698.77</v>
      </c>
      <c r="U295" s="320">
        <f>IFERROR(__xludf.DUMMYFUNCTION("""COMPUTED_VALUE"""),844.8)</f>
        <v>844.8</v>
      </c>
      <c r="V295" s="320">
        <f>IFERROR(__xludf.DUMMYFUNCTION("""COMPUTED_VALUE"""),5.9667)</f>
        <v>5.9667</v>
      </c>
      <c r="W295" s="320">
        <f>IFERROR(__xludf.DUMMYFUNCTION("""COMPUTED_VALUE"""),6.05)</f>
        <v>6.05</v>
      </c>
      <c r="X295" s="320">
        <f>IFERROR(__xludf.DUMMYFUNCTION("""COMPUTED_VALUE"""),823.0)</f>
        <v>823</v>
      </c>
      <c r="Y295" s="320">
        <f>IFERROR(__xludf.DUMMYFUNCTION("""COMPUTED_VALUE"""),4004.0)</f>
        <v>4004</v>
      </c>
      <c r="Z295" s="320">
        <f>IFERROR(__xludf.DUMMYFUNCTION("""COMPUTED_VALUE"""),11549.0)</f>
        <v>11549</v>
      </c>
      <c r="AA295" s="320">
        <f>IFERROR(__xludf.DUMMYFUNCTION("""COMPUTED_VALUE"""),62.8869)</f>
        <v>62.8869</v>
      </c>
      <c r="AB295" s="320">
        <f>IFERROR(__xludf.DUMMYFUNCTION("""COMPUTED_VALUE"""),0.9003)</f>
        <v>0.9003</v>
      </c>
      <c r="AC295" s="320">
        <f>IFERROR(__xludf.DUMMYFUNCTION("""COMPUTED_VALUE"""),86.63)</f>
        <v>86.63</v>
      </c>
      <c r="AD295" s="320">
        <f>IFERROR(__xludf.DUMMYFUNCTION("""COMPUTED_VALUE"""),35.0)</f>
        <v>35</v>
      </c>
      <c r="AE295" s="320">
        <f>IFERROR(__xludf.DUMMYFUNCTION("""COMPUTED_VALUE"""),70.0)</f>
        <v>70</v>
      </c>
      <c r="AF295" s="320">
        <f>IFERROR(__xludf.DUMMYFUNCTION("""COMPUTED_VALUE"""),124.0)</f>
        <v>124</v>
      </c>
      <c r="AG295" s="320">
        <f>IFERROR(__xludf.DUMMYFUNCTION("""COMPUTED_VALUE"""),174.0)</f>
        <v>174</v>
      </c>
      <c r="AH295" s="320">
        <f>IFERROR(__xludf.DUMMYFUNCTION("""COMPUTED_VALUE"""),46.41)</f>
        <v>46.41</v>
      </c>
      <c r="AI295" s="320">
        <f>IFERROR(__xludf.DUMMYFUNCTION("""COMPUTED_VALUE"""),9.37)</f>
        <v>9.37</v>
      </c>
      <c r="AJ295" s="320">
        <f>IFERROR(__xludf.DUMMYFUNCTION("""COMPUTED_VALUE"""),0.88)</f>
        <v>0.88</v>
      </c>
      <c r="AK295" s="320">
        <f>IFERROR(__xludf.DUMMYFUNCTION("""COMPUTED_VALUE"""),0.0732)</f>
        <v>0.0732</v>
      </c>
      <c r="AL295" s="320">
        <f>IFERROR(__xludf.DUMMYFUNCTION("""COMPUTED_VALUE"""),19.58)</f>
        <v>19.58</v>
      </c>
      <c r="AM295" s="320">
        <f>IFERROR(__xludf.DUMMYFUNCTION("""COMPUTED_VALUE"""),461.87)</f>
        <v>461.87</v>
      </c>
      <c r="AN295" s="320">
        <f>IFERROR(__xludf.DUMMYFUNCTION("""COMPUTED_VALUE"""),86.15)</f>
        <v>86.15</v>
      </c>
      <c r="AO295" s="320">
        <f>IFERROR(__xludf.DUMMYFUNCTION("""COMPUTED_VALUE"""),16.87)</f>
        <v>16.87</v>
      </c>
    </row>
    <row r="296" ht="15.75" customHeight="1">
      <c r="A296" s="330">
        <f>IFERROR(__xludf.DUMMYFUNCTION("""COMPUTED_VALUE"""),46099.0)</f>
        <v>46099</v>
      </c>
      <c r="B296" s="319" t="str">
        <f>IFERROR(__xludf.DUMMYFUNCTION("""COMPUTED_VALUE"""),"A. 0")</f>
        <v>A. 0</v>
      </c>
      <c r="C296" s="320">
        <f>IFERROR(__xludf.DUMMYFUNCTION("""COMPUTED_VALUE"""),20694.0)</f>
        <v>20694</v>
      </c>
      <c r="D296" s="320">
        <f>IFERROR(__xludf.DUMMYFUNCTION("""COMPUTED_VALUE"""),19.36)</f>
        <v>19.36</v>
      </c>
      <c r="E296" s="320">
        <f>IFERROR(__xludf.DUMMYFUNCTION("""COMPUTED_VALUE"""),0.0)</f>
        <v>0</v>
      </c>
      <c r="F296" s="320">
        <f>IFERROR(__xludf.DUMMYFUNCTION("""COMPUTED_VALUE"""),0.0)</f>
        <v>0</v>
      </c>
      <c r="G296" s="320">
        <f>IFERROR(__xludf.DUMMYFUNCTION("""COMPUTED_VALUE"""),0.0)</f>
        <v>0</v>
      </c>
      <c r="H296" s="106"/>
      <c r="I296" s="320">
        <f>IFERROR(__xludf.DUMMYFUNCTION("""COMPUTED_VALUE"""),6.32)</f>
        <v>6.32</v>
      </c>
      <c r="J296" s="320">
        <f>IFERROR(__xludf.DUMMYFUNCTION("""COMPUTED_VALUE"""),2.64)</f>
        <v>2.64</v>
      </c>
      <c r="K296" s="320">
        <f>IFERROR(__xludf.DUMMYFUNCTION("""COMPUTED_VALUE"""),0.04)</f>
        <v>0.04</v>
      </c>
      <c r="L296" s="320">
        <f>IFERROR(__xludf.DUMMYFUNCTION("""COMPUTED_VALUE"""),0.015)</f>
        <v>0.015</v>
      </c>
      <c r="M296" s="320">
        <f>IFERROR(__xludf.DUMMYFUNCTION("""COMPUTED_VALUE"""),0.9894)</f>
        <v>0.9894</v>
      </c>
      <c r="N296" s="320">
        <f>IFERROR(__xludf.DUMMYFUNCTION("""COMPUTED_VALUE"""),0.8598)</f>
        <v>0.8598</v>
      </c>
      <c r="O296" s="320">
        <f>IFERROR(__xludf.DUMMYFUNCTION("""COMPUTED_VALUE"""),66.6593)</f>
        <v>66.6593</v>
      </c>
      <c r="P296" s="320">
        <f>IFERROR(__xludf.DUMMYFUNCTION("""COMPUTED_VALUE"""),21.9)</f>
        <v>21.9</v>
      </c>
      <c r="Q296" s="320">
        <f>IFERROR(__xludf.DUMMYFUNCTION("""COMPUTED_VALUE"""),21.79)</f>
        <v>21.79</v>
      </c>
      <c r="R296" s="320">
        <f>IFERROR(__xludf.DUMMYFUNCTION("""COMPUTED_VALUE"""),0.11)</f>
        <v>0.11</v>
      </c>
      <c r="S296" s="320">
        <f>IFERROR(__xludf.DUMMYFUNCTION("""COMPUTED_VALUE"""),0.0)</f>
        <v>0</v>
      </c>
      <c r="T296" s="320">
        <f>IFERROR(__xludf.DUMMYFUNCTION("""COMPUTED_VALUE"""),21.9)</f>
        <v>21.9</v>
      </c>
      <c r="U296" s="320">
        <f>IFERROR(__xludf.DUMMYFUNCTION("""COMPUTED_VALUE"""),2.08)</f>
        <v>2.08</v>
      </c>
      <c r="V296" s="320">
        <f>IFERROR(__xludf.DUMMYFUNCTION("""COMPUTED_VALUE"""),0.7885)</f>
        <v>0.7885</v>
      </c>
      <c r="W296" s="320">
        <f>IFERROR(__xludf.DUMMYFUNCTION("""COMPUTED_VALUE"""),0.0)</f>
        <v>0</v>
      </c>
      <c r="X296" s="320">
        <f>IFERROR(__xludf.DUMMYFUNCTION("""COMPUTED_VALUE"""),337.0)</f>
        <v>337</v>
      </c>
      <c r="Y296" s="320">
        <f>IFERROR(__xludf.DUMMYFUNCTION("""COMPUTED_VALUE"""),3803.0)</f>
        <v>3803</v>
      </c>
      <c r="Z296" s="320">
        <f>IFERROR(__xludf.DUMMYFUNCTION("""COMPUTED_VALUE"""),14803.0)</f>
        <v>14803</v>
      </c>
      <c r="AA296" s="320">
        <f>IFERROR(__xludf.DUMMYFUNCTION("""COMPUTED_VALUE"""),49.358)</f>
        <v>49.358</v>
      </c>
      <c r="AB296" s="320">
        <f>IFERROR(__xludf.DUMMYFUNCTION("""COMPUTED_VALUE"""),0.5513)</f>
        <v>0.5513</v>
      </c>
      <c r="AC296" s="106"/>
      <c r="AD296" s="106"/>
      <c r="AE296" s="106"/>
      <c r="AF296" s="106"/>
      <c r="AG296" s="106"/>
      <c r="AH296" s="320">
        <f>IFERROR(__xludf.DUMMYFUNCTION("""COMPUTED_VALUE"""),0.0)</f>
        <v>0</v>
      </c>
      <c r="AI296" s="320">
        <f>IFERROR(__xludf.DUMMYFUNCTION("""COMPUTED_VALUE"""),0.0)</f>
        <v>0</v>
      </c>
      <c r="AJ296" s="320">
        <f>IFERROR(__xludf.DUMMYFUNCTION("""COMPUTED_VALUE"""),0.0)</f>
        <v>0</v>
      </c>
      <c r="AK296" s="320">
        <f>IFERROR(__xludf.DUMMYFUNCTION("""COMPUTED_VALUE"""),0.2746)</f>
        <v>0.2746</v>
      </c>
      <c r="AL296" s="320">
        <f>IFERROR(__xludf.DUMMYFUNCTION("""COMPUTED_VALUE"""),16.18)</f>
        <v>16.18</v>
      </c>
      <c r="AM296" s="320">
        <f>IFERROR(__xludf.DUMMYFUNCTION("""COMPUTED_VALUE"""),5.61)</f>
        <v>5.61</v>
      </c>
      <c r="AN296" s="331"/>
      <c r="AO296" s="331"/>
    </row>
    <row r="297" ht="15.75" customHeight="1">
      <c r="A297" s="330">
        <f>IFERROR(__xludf.DUMMYFUNCTION("""COMPUTED_VALUE"""),46099.0)</f>
        <v>46099</v>
      </c>
      <c r="B297" s="319" t="str">
        <f>IFERROR(__xludf.DUMMYFUNCTION("""COMPUTED_VALUE"""),"B. 1-9")</f>
        <v>B. 1-9</v>
      </c>
      <c r="C297" s="320">
        <f>IFERROR(__xludf.DUMMYFUNCTION("""COMPUTED_VALUE"""),38464.0)</f>
        <v>38464</v>
      </c>
      <c r="D297" s="320">
        <f>IFERROR(__xludf.DUMMYFUNCTION("""COMPUTED_VALUE"""),35.98)</f>
        <v>35.98</v>
      </c>
      <c r="E297" s="320">
        <f>IFERROR(__xludf.DUMMYFUNCTION("""COMPUTED_VALUE"""),0.0)</f>
        <v>0</v>
      </c>
      <c r="F297" s="320">
        <f>IFERROR(__xludf.DUMMYFUNCTION("""COMPUTED_VALUE"""),0.0)</f>
        <v>0</v>
      </c>
      <c r="G297" s="320">
        <f>IFERROR(__xludf.DUMMYFUNCTION("""COMPUTED_VALUE"""),0.0)</f>
        <v>0</v>
      </c>
      <c r="H297" s="106"/>
      <c r="I297" s="320">
        <f>IFERROR(__xludf.DUMMYFUNCTION("""COMPUTED_VALUE"""),30.01)</f>
        <v>30.01</v>
      </c>
      <c r="J297" s="320">
        <f>IFERROR(__xludf.DUMMYFUNCTION("""COMPUTED_VALUE"""),13.85)</f>
        <v>13.85</v>
      </c>
      <c r="K297" s="320">
        <f>IFERROR(__xludf.DUMMYFUNCTION("""COMPUTED_VALUE"""),5.55)</f>
        <v>5.55</v>
      </c>
      <c r="L297" s="320">
        <f>IFERROR(__xludf.DUMMYFUNCTION("""COMPUTED_VALUE"""),0.4005)</f>
        <v>0.4005</v>
      </c>
      <c r="M297" s="320">
        <f>IFERROR(__xludf.DUMMYFUNCTION("""COMPUTED_VALUE"""),0.7664)</f>
        <v>0.7664</v>
      </c>
      <c r="N297" s="320">
        <f>IFERROR(__xludf.DUMMYFUNCTION("""COMPUTED_VALUE"""),0.5633)</f>
        <v>0.5633</v>
      </c>
      <c r="O297" s="320">
        <f>IFERROR(__xludf.DUMMYFUNCTION("""COMPUTED_VALUE"""),2.4967)</f>
        <v>2.4967</v>
      </c>
      <c r="P297" s="320">
        <f>IFERROR(__xludf.DUMMYFUNCTION("""COMPUTED_VALUE"""),46.34)</f>
        <v>46.34</v>
      </c>
      <c r="Q297" s="320">
        <f>IFERROR(__xludf.DUMMYFUNCTION("""COMPUTED_VALUE"""),34.71)</f>
        <v>34.71</v>
      </c>
      <c r="R297" s="320">
        <f>IFERROR(__xludf.DUMMYFUNCTION("""COMPUTED_VALUE"""),11.64)</f>
        <v>11.64</v>
      </c>
      <c r="S297" s="320">
        <f>IFERROR(__xludf.DUMMYFUNCTION("""COMPUTED_VALUE"""),0.0)</f>
        <v>0</v>
      </c>
      <c r="T297" s="320">
        <f>IFERROR(__xludf.DUMMYFUNCTION("""COMPUTED_VALUE"""),46.34)</f>
        <v>46.34</v>
      </c>
      <c r="U297" s="320">
        <f>IFERROR(__xludf.DUMMYFUNCTION("""COMPUTED_VALUE"""),49.18)</f>
        <v>49.18</v>
      </c>
      <c r="V297" s="320">
        <f>IFERROR(__xludf.DUMMYFUNCTION("""COMPUTED_VALUE"""),3.5522)</f>
        <v>3.5522</v>
      </c>
      <c r="W297" s="320">
        <f>IFERROR(__xludf.DUMMYFUNCTION("""COMPUTED_VALUE"""),0.01)</f>
        <v>0.01</v>
      </c>
      <c r="X297" s="320">
        <f>IFERROR(__xludf.DUMMYFUNCTION("""COMPUTED_VALUE"""),139.0)</f>
        <v>139</v>
      </c>
      <c r="Y297" s="320">
        <f>IFERROR(__xludf.DUMMYFUNCTION("""COMPUTED_VALUE"""),853.0)</f>
        <v>853</v>
      </c>
      <c r="Z297" s="320">
        <f>IFERROR(__xludf.DUMMYFUNCTION("""COMPUTED_VALUE"""),5834.0)</f>
        <v>5834</v>
      </c>
      <c r="AA297" s="320">
        <f>IFERROR(__xludf.DUMMYFUNCTION("""COMPUTED_VALUE"""),48.7166)</f>
        <v>48.7166</v>
      </c>
      <c r="AB297" s="320">
        <f>IFERROR(__xludf.DUMMYFUNCTION("""COMPUTED_VALUE"""),0.527)</f>
        <v>0.527</v>
      </c>
      <c r="AC297" s="320">
        <f>IFERROR(__xludf.DUMMYFUNCTION("""COMPUTED_VALUE"""),3.97)</f>
        <v>3.97</v>
      </c>
      <c r="AD297" s="320">
        <f>IFERROR(__xludf.DUMMYFUNCTION("""COMPUTED_VALUE"""),1.0)</f>
        <v>1</v>
      </c>
      <c r="AE297" s="320">
        <f>IFERROR(__xludf.DUMMYFUNCTION("""COMPUTED_VALUE"""),3.0)</f>
        <v>3</v>
      </c>
      <c r="AF297" s="320">
        <f>IFERROR(__xludf.DUMMYFUNCTION("""COMPUTED_VALUE"""),5.0)</f>
        <v>5</v>
      </c>
      <c r="AG297" s="320">
        <f>IFERROR(__xludf.DUMMYFUNCTION("""COMPUTED_VALUE"""),9.0)</f>
        <v>9</v>
      </c>
      <c r="AH297" s="320">
        <f>IFERROR(__xludf.DUMMYFUNCTION("""COMPUTED_VALUE"""),72.73)</f>
        <v>72.73</v>
      </c>
      <c r="AI297" s="320">
        <f>IFERROR(__xludf.DUMMYFUNCTION("""COMPUTED_VALUE"""),30.52)</f>
        <v>30.52</v>
      </c>
      <c r="AJ297" s="320">
        <f>IFERROR(__xludf.DUMMYFUNCTION("""COMPUTED_VALUE"""),8.28)</f>
        <v>8.28</v>
      </c>
      <c r="AK297" s="320">
        <f>IFERROR(__xludf.DUMMYFUNCTION("""COMPUTED_VALUE"""),0.2414)</f>
        <v>0.2414</v>
      </c>
      <c r="AL297" s="320">
        <f>IFERROR(__xludf.DUMMYFUNCTION("""COMPUTED_VALUE"""),18.4)</f>
        <v>18.4</v>
      </c>
      <c r="AM297" s="320">
        <f>IFERROR(__xludf.DUMMYFUNCTION("""COMPUTED_VALUE"""),16.31)</f>
        <v>16.31</v>
      </c>
      <c r="AN297" s="320">
        <f>IFERROR(__xludf.DUMMYFUNCTION("""COMPUTED_VALUE"""),66.17)</f>
        <v>66.17</v>
      </c>
      <c r="AO297" s="320">
        <f>IFERROR(__xludf.DUMMYFUNCTION("""COMPUTED_VALUE"""),12.18)</f>
        <v>12.18</v>
      </c>
    </row>
    <row r="298" ht="15.75" customHeight="1">
      <c r="A298" s="330">
        <f>IFERROR(__xludf.DUMMYFUNCTION("""COMPUTED_VALUE"""),46099.0)</f>
        <v>46099</v>
      </c>
      <c r="B298" s="319" t="str">
        <f>IFERROR(__xludf.DUMMYFUNCTION("""COMPUTED_VALUE"""),"C. 10-19")</f>
        <v>C. 10-19</v>
      </c>
      <c r="C298" s="320">
        <f>IFERROR(__xludf.DUMMYFUNCTION("""COMPUTED_VALUE"""),26750.0)</f>
        <v>26750</v>
      </c>
      <c r="D298" s="320">
        <f>IFERROR(__xludf.DUMMYFUNCTION("""COMPUTED_VALUE"""),25.02)</f>
        <v>25.02</v>
      </c>
      <c r="E298" s="320">
        <f>IFERROR(__xludf.DUMMYFUNCTION("""COMPUTED_VALUE"""),0.0)</f>
        <v>0</v>
      </c>
      <c r="F298" s="320">
        <f>IFERROR(__xludf.DUMMYFUNCTION("""COMPUTED_VALUE"""),0.0)</f>
        <v>0</v>
      </c>
      <c r="G298" s="320">
        <f>IFERROR(__xludf.DUMMYFUNCTION("""COMPUTED_VALUE"""),0.0)</f>
        <v>0</v>
      </c>
      <c r="H298" s="106"/>
      <c r="I298" s="320">
        <f>IFERROR(__xludf.DUMMYFUNCTION("""COMPUTED_VALUE"""),56.89)</f>
        <v>56.89</v>
      </c>
      <c r="J298" s="320">
        <f>IFERROR(__xludf.DUMMYFUNCTION("""COMPUTED_VALUE"""),27.37)</f>
        <v>27.37</v>
      </c>
      <c r="K298" s="320">
        <f>IFERROR(__xludf.DUMMYFUNCTION("""COMPUTED_VALUE"""),14.47)</f>
        <v>14.47</v>
      </c>
      <c r="L298" s="320">
        <f>IFERROR(__xludf.DUMMYFUNCTION("""COMPUTED_VALUE"""),0.5288)</f>
        <v>0.5288</v>
      </c>
      <c r="M298" s="320">
        <f>IFERROR(__xludf.DUMMYFUNCTION("""COMPUTED_VALUE"""),0.6585)</f>
        <v>0.6585</v>
      </c>
      <c r="N298" s="320">
        <f>IFERROR(__xludf.DUMMYFUNCTION("""COMPUTED_VALUE"""),0.4495)</f>
        <v>0.4495</v>
      </c>
      <c r="O298" s="320">
        <f>IFERROR(__xludf.DUMMYFUNCTION("""COMPUTED_VALUE"""),1.8912)</f>
        <v>1.8912</v>
      </c>
      <c r="P298" s="320">
        <f>IFERROR(__xludf.DUMMYFUNCTION("""COMPUTED_VALUE"""),82.46)</f>
        <v>82.46</v>
      </c>
      <c r="Q298" s="320">
        <f>IFERROR(__xludf.DUMMYFUNCTION("""COMPUTED_VALUE"""),53.97)</f>
        <v>53.97</v>
      </c>
      <c r="R298" s="320">
        <f>IFERROR(__xludf.DUMMYFUNCTION("""COMPUTED_VALUE"""),28.49)</f>
        <v>28.49</v>
      </c>
      <c r="S298" s="320">
        <f>IFERROR(__xludf.DUMMYFUNCTION("""COMPUTED_VALUE"""),0.48)</f>
        <v>0.48</v>
      </c>
      <c r="T298" s="320">
        <f>IFERROR(__xludf.DUMMYFUNCTION("""COMPUTED_VALUE"""),81.98)</f>
        <v>81.98</v>
      </c>
      <c r="U298" s="320">
        <f>IFERROR(__xludf.DUMMYFUNCTION("""COMPUTED_VALUE"""),93.57)</f>
        <v>93.57</v>
      </c>
      <c r="V298" s="320">
        <f>IFERROR(__xludf.DUMMYFUNCTION("""COMPUTED_VALUE"""),3.4192)</f>
        <v>3.4192</v>
      </c>
      <c r="W298" s="320">
        <f>IFERROR(__xludf.DUMMYFUNCTION("""COMPUTED_VALUE"""),0.58)</f>
        <v>0.58</v>
      </c>
      <c r="X298" s="320">
        <f>IFERROR(__xludf.DUMMYFUNCTION("""COMPUTED_VALUE"""),123.0)</f>
        <v>123</v>
      </c>
      <c r="Y298" s="320">
        <f>IFERROR(__xludf.DUMMYFUNCTION("""COMPUTED_VALUE"""),741.0)</f>
        <v>741</v>
      </c>
      <c r="Z298" s="320">
        <f>IFERROR(__xludf.DUMMYFUNCTION("""COMPUTED_VALUE"""),5557.0)</f>
        <v>5557</v>
      </c>
      <c r="AA298" s="320">
        <f>IFERROR(__xludf.DUMMYFUNCTION("""COMPUTED_VALUE"""),52.2349)</f>
        <v>52.2349</v>
      </c>
      <c r="AB298" s="320">
        <f>IFERROR(__xludf.DUMMYFUNCTION("""COMPUTED_VALUE"""),0.6094)</f>
        <v>0.6094</v>
      </c>
      <c r="AC298" s="320">
        <f>IFERROR(__xludf.DUMMYFUNCTION("""COMPUTED_VALUE"""),9.19)</f>
        <v>9.19</v>
      </c>
      <c r="AD298" s="320">
        <f>IFERROR(__xludf.DUMMYFUNCTION("""COMPUTED_VALUE"""),3.0)</f>
        <v>3</v>
      </c>
      <c r="AE298" s="320">
        <f>IFERROR(__xludf.DUMMYFUNCTION("""COMPUTED_VALUE"""),7.0)</f>
        <v>7</v>
      </c>
      <c r="AF298" s="320">
        <f>IFERROR(__xludf.DUMMYFUNCTION("""COMPUTED_VALUE"""),12.0)</f>
        <v>12</v>
      </c>
      <c r="AG298" s="320">
        <f>IFERROR(__xludf.DUMMYFUNCTION("""COMPUTED_VALUE"""),19.0)</f>
        <v>19</v>
      </c>
      <c r="AH298" s="320">
        <f>IFERROR(__xludf.DUMMYFUNCTION("""COMPUTED_VALUE"""),59.07)</f>
        <v>59.07</v>
      </c>
      <c r="AI298" s="320">
        <f>IFERROR(__xludf.DUMMYFUNCTION("""COMPUTED_VALUE"""),24.8)</f>
        <v>24.8</v>
      </c>
      <c r="AJ298" s="320">
        <f>IFERROR(__xludf.DUMMYFUNCTION("""COMPUTED_VALUE"""),4.4)</f>
        <v>4.4</v>
      </c>
      <c r="AK298" s="320">
        <f>IFERROR(__xludf.DUMMYFUNCTION("""COMPUTED_VALUE"""),0.1866)</f>
        <v>0.1866</v>
      </c>
      <c r="AL298" s="320">
        <f>IFERROR(__xludf.DUMMYFUNCTION("""COMPUTED_VALUE"""),19.47)</f>
        <v>19.47</v>
      </c>
      <c r="AM298" s="320">
        <f>IFERROR(__xludf.DUMMYFUNCTION("""COMPUTED_VALUE"""),34.5)</f>
        <v>34.5</v>
      </c>
      <c r="AN298" s="320">
        <f>IFERROR(__xludf.DUMMYFUNCTION("""COMPUTED_VALUE"""),73.86)</f>
        <v>73.86</v>
      </c>
      <c r="AO298" s="320">
        <f>IFERROR(__xludf.DUMMYFUNCTION("""COMPUTED_VALUE"""),14.38)</f>
        <v>14.38</v>
      </c>
    </row>
    <row r="299" ht="15.75" customHeight="1">
      <c r="A299" s="330">
        <f>IFERROR(__xludf.DUMMYFUNCTION("""COMPUTED_VALUE"""),46099.0)</f>
        <v>46099</v>
      </c>
      <c r="B299" s="319" t="str">
        <f>IFERROR(__xludf.DUMMYFUNCTION("""COMPUTED_VALUE"""),"D. 20-39")</f>
        <v>D. 20-39</v>
      </c>
      <c r="C299" s="320">
        <f>IFERROR(__xludf.DUMMYFUNCTION("""COMPUTED_VALUE"""),14603.0)</f>
        <v>14603</v>
      </c>
      <c r="D299" s="320">
        <f>IFERROR(__xludf.DUMMYFUNCTION("""COMPUTED_VALUE"""),13.66)</f>
        <v>13.66</v>
      </c>
      <c r="E299" s="320">
        <f>IFERROR(__xludf.DUMMYFUNCTION("""COMPUTED_VALUE"""),0.0)</f>
        <v>0</v>
      </c>
      <c r="F299" s="320">
        <f>IFERROR(__xludf.DUMMYFUNCTION("""COMPUTED_VALUE"""),0.0)</f>
        <v>0</v>
      </c>
      <c r="G299" s="320">
        <f>IFERROR(__xludf.DUMMYFUNCTION("""COMPUTED_VALUE"""),0.0)</f>
        <v>0</v>
      </c>
      <c r="H299" s="106"/>
      <c r="I299" s="320">
        <f>IFERROR(__xludf.DUMMYFUNCTION("""COMPUTED_VALUE"""),77.74)</f>
        <v>77.74</v>
      </c>
      <c r="J299" s="320">
        <f>IFERROR(__xludf.DUMMYFUNCTION("""COMPUTED_VALUE"""),39.81)</f>
        <v>39.81</v>
      </c>
      <c r="K299" s="320">
        <f>IFERROR(__xludf.DUMMYFUNCTION("""COMPUTED_VALUE"""),26.04)</f>
        <v>26.04</v>
      </c>
      <c r="L299" s="320">
        <f>IFERROR(__xludf.DUMMYFUNCTION("""COMPUTED_VALUE"""),0.6541)</f>
        <v>0.6541</v>
      </c>
      <c r="M299" s="320">
        <f>IFERROR(__xludf.DUMMYFUNCTION("""COMPUTED_VALUE"""),0.5314)</f>
        <v>0.5314</v>
      </c>
      <c r="N299" s="320">
        <f>IFERROR(__xludf.DUMMYFUNCTION("""COMPUTED_VALUE"""),0.3604)</f>
        <v>0.3604</v>
      </c>
      <c r="O299" s="320">
        <f>IFERROR(__xludf.DUMMYFUNCTION("""COMPUTED_VALUE"""),1.5287)</f>
        <v>1.5287</v>
      </c>
      <c r="P299" s="320">
        <f>IFERROR(__xludf.DUMMYFUNCTION("""COMPUTED_VALUE"""),128.81)</f>
        <v>128.81</v>
      </c>
      <c r="Q299" s="320">
        <f>IFERROR(__xludf.DUMMYFUNCTION("""COMPUTED_VALUE"""),73.87)</f>
        <v>73.87</v>
      </c>
      <c r="R299" s="320">
        <f>IFERROR(__xludf.DUMMYFUNCTION("""COMPUTED_VALUE"""),54.94)</f>
        <v>54.94</v>
      </c>
      <c r="S299" s="320">
        <f>IFERROR(__xludf.DUMMYFUNCTION("""COMPUTED_VALUE"""),0.0)</f>
        <v>0</v>
      </c>
      <c r="T299" s="320">
        <f>IFERROR(__xludf.DUMMYFUNCTION("""COMPUTED_VALUE"""),128.8)</f>
        <v>128.8</v>
      </c>
      <c r="U299" s="320">
        <f>IFERROR(__xludf.DUMMYFUNCTION("""COMPUTED_VALUE"""),156.3)</f>
        <v>156.3</v>
      </c>
      <c r="V299" s="320">
        <f>IFERROR(__xludf.DUMMYFUNCTION("""COMPUTED_VALUE"""),3.9263)</f>
        <v>3.9263</v>
      </c>
      <c r="W299" s="320">
        <f>IFERROR(__xludf.DUMMYFUNCTION("""COMPUTED_VALUE"""),0.0)</f>
        <v>0</v>
      </c>
      <c r="X299" s="320">
        <f>IFERROR(__xludf.DUMMYFUNCTION("""COMPUTED_VALUE"""),143.0)</f>
        <v>143</v>
      </c>
      <c r="Y299" s="320">
        <f>IFERROR(__xludf.DUMMYFUNCTION("""COMPUTED_VALUE"""),969.0)</f>
        <v>969</v>
      </c>
      <c r="Z299" s="320">
        <f>IFERROR(__xludf.DUMMYFUNCTION("""COMPUTED_VALUE"""),6296.0)</f>
        <v>6296</v>
      </c>
      <c r="AA299" s="320">
        <f>IFERROR(__xludf.DUMMYFUNCTION("""COMPUTED_VALUE"""),55.8427)</f>
        <v>55.8427</v>
      </c>
      <c r="AB299" s="320">
        <f>IFERROR(__xludf.DUMMYFUNCTION("""COMPUTED_VALUE"""),0.7427)</f>
        <v>0.7427</v>
      </c>
      <c r="AC299" s="320">
        <f>IFERROR(__xludf.DUMMYFUNCTION("""COMPUTED_VALUE"""),17.52)</f>
        <v>17.52</v>
      </c>
      <c r="AD299" s="320">
        <f>IFERROR(__xludf.DUMMYFUNCTION("""COMPUTED_VALUE"""),7.0)</f>
        <v>7</v>
      </c>
      <c r="AE299" s="320">
        <f>IFERROR(__xludf.DUMMYFUNCTION("""COMPUTED_VALUE"""),14.0)</f>
        <v>14</v>
      </c>
      <c r="AF299" s="320">
        <f>IFERROR(__xludf.DUMMYFUNCTION("""COMPUTED_VALUE"""),24.0)</f>
        <v>24</v>
      </c>
      <c r="AG299" s="320">
        <f>IFERROR(__xludf.DUMMYFUNCTION("""COMPUTED_VALUE"""),36.0)</f>
        <v>36</v>
      </c>
      <c r="AH299" s="320">
        <f>IFERROR(__xludf.DUMMYFUNCTION("""COMPUTED_VALUE"""),58.88)</f>
        <v>58.88</v>
      </c>
      <c r="AI299" s="320">
        <f>IFERROR(__xludf.DUMMYFUNCTION("""COMPUTED_VALUE"""),22.96)</f>
        <v>22.96</v>
      </c>
      <c r="AJ299" s="320">
        <f>IFERROR(__xludf.DUMMYFUNCTION("""COMPUTED_VALUE"""),6.61)</f>
        <v>6.61</v>
      </c>
      <c r="AK299" s="320">
        <f>IFERROR(__xludf.DUMMYFUNCTION("""COMPUTED_VALUE"""),0.1812)</f>
        <v>0.1812</v>
      </c>
      <c r="AL299" s="320">
        <f>IFERROR(__xludf.DUMMYFUNCTION("""COMPUTED_VALUE"""),19.34)</f>
        <v>19.34</v>
      </c>
      <c r="AM299" s="320">
        <f>IFERROR(__xludf.DUMMYFUNCTION("""COMPUTED_VALUE"""),54.53)</f>
        <v>54.53</v>
      </c>
      <c r="AN299" s="320">
        <f>IFERROR(__xludf.DUMMYFUNCTION("""COMPUTED_VALUE"""),77.81)</f>
        <v>77.81</v>
      </c>
      <c r="AO299" s="320">
        <f>IFERROR(__xludf.DUMMYFUNCTION("""COMPUTED_VALUE"""),15.05)</f>
        <v>15.05</v>
      </c>
    </row>
    <row r="300" ht="15.75" customHeight="1">
      <c r="A300" s="330">
        <f>IFERROR(__xludf.DUMMYFUNCTION("""COMPUTED_VALUE"""),46099.0)</f>
        <v>46099</v>
      </c>
      <c r="B300" s="319" t="str">
        <f>IFERROR(__xludf.DUMMYFUNCTION("""COMPUTED_VALUE"""),"E. 40-99")</f>
        <v>E. 40-99</v>
      </c>
      <c r="C300" s="320">
        <f>IFERROR(__xludf.DUMMYFUNCTION("""COMPUTED_VALUE"""),5705.0)</f>
        <v>5705</v>
      </c>
      <c r="D300" s="320">
        <f>IFERROR(__xludf.DUMMYFUNCTION("""COMPUTED_VALUE"""),5.34)</f>
        <v>5.34</v>
      </c>
      <c r="E300" s="320">
        <f>IFERROR(__xludf.DUMMYFUNCTION("""COMPUTED_VALUE"""),0.0)</f>
        <v>0</v>
      </c>
      <c r="F300" s="320">
        <f>IFERROR(__xludf.DUMMYFUNCTION("""COMPUTED_VALUE"""),0.0)</f>
        <v>0</v>
      </c>
      <c r="G300" s="320">
        <f>IFERROR(__xludf.DUMMYFUNCTION("""COMPUTED_VALUE"""),0.0)</f>
        <v>0</v>
      </c>
      <c r="H300" s="106"/>
      <c r="I300" s="320">
        <f>IFERROR(__xludf.DUMMYFUNCTION("""COMPUTED_VALUE"""),125.48)</f>
        <v>125.48</v>
      </c>
      <c r="J300" s="320">
        <f>IFERROR(__xludf.DUMMYFUNCTION("""COMPUTED_VALUE"""),68.87)</f>
        <v>68.87</v>
      </c>
      <c r="K300" s="320">
        <f>IFERROR(__xludf.DUMMYFUNCTION("""COMPUTED_VALUE"""),53.33)</f>
        <v>53.33</v>
      </c>
      <c r="L300" s="320">
        <f>IFERROR(__xludf.DUMMYFUNCTION("""COMPUTED_VALUE"""),0.7743)</f>
        <v>0.7743</v>
      </c>
      <c r="M300" s="320">
        <f>IFERROR(__xludf.DUMMYFUNCTION("""COMPUTED_VALUE"""),0.4018)</f>
        <v>0.4018</v>
      </c>
      <c r="N300" s="320">
        <f>IFERROR(__xludf.DUMMYFUNCTION("""COMPUTED_VALUE"""),0.2823)</f>
        <v>0.2823</v>
      </c>
      <c r="O300" s="320">
        <f>IFERROR(__xludf.DUMMYFUNCTION("""COMPUTED_VALUE"""),1.2914)</f>
        <v>1.2914</v>
      </c>
      <c r="P300" s="320">
        <f>IFERROR(__xludf.DUMMYFUNCTION("""COMPUTED_VALUE"""),236.81)</f>
        <v>236.81</v>
      </c>
      <c r="Q300" s="320">
        <f>IFERROR(__xludf.DUMMYFUNCTION("""COMPUTED_VALUE"""),124.28)</f>
        <v>124.28</v>
      </c>
      <c r="R300" s="320">
        <f>IFERROR(__xludf.DUMMYFUNCTION("""COMPUTED_VALUE"""),112.53)</f>
        <v>112.53</v>
      </c>
      <c r="S300" s="320">
        <f>IFERROR(__xludf.DUMMYFUNCTION("""COMPUTED_VALUE"""),0.0)</f>
        <v>0</v>
      </c>
      <c r="T300" s="320">
        <f>IFERROR(__xludf.DUMMYFUNCTION("""COMPUTED_VALUE"""),236.81)</f>
        <v>236.81</v>
      </c>
      <c r="U300" s="320">
        <f>IFERROR(__xludf.DUMMYFUNCTION("""COMPUTED_VALUE"""),288.67)</f>
        <v>288.67</v>
      </c>
      <c r="V300" s="320">
        <f>IFERROR(__xludf.DUMMYFUNCTION("""COMPUTED_VALUE"""),4.1912)</f>
        <v>4.1912</v>
      </c>
      <c r="W300" s="320">
        <f>IFERROR(__xludf.DUMMYFUNCTION("""COMPUTED_VALUE"""),0.0)</f>
        <v>0</v>
      </c>
      <c r="X300" s="320">
        <f>IFERROR(__xludf.DUMMYFUNCTION("""COMPUTED_VALUE"""),266.0)</f>
        <v>266</v>
      </c>
      <c r="Y300" s="320">
        <f>IFERROR(__xludf.DUMMYFUNCTION("""COMPUTED_VALUE"""),1994.0)</f>
        <v>1994</v>
      </c>
      <c r="Z300" s="320">
        <f>IFERROR(__xludf.DUMMYFUNCTION("""COMPUTED_VALUE"""),8580.0)</f>
        <v>8580</v>
      </c>
      <c r="AA300" s="320">
        <f>IFERROR(__xludf.DUMMYFUNCTION("""COMPUTED_VALUE"""),59.4296)</f>
        <v>59.4296</v>
      </c>
      <c r="AB300" s="320">
        <f>IFERROR(__xludf.DUMMYFUNCTION("""COMPUTED_VALUE"""),0.8382)</f>
        <v>0.8382</v>
      </c>
      <c r="AC300" s="320">
        <f>IFERROR(__xludf.DUMMYFUNCTION("""COMPUTED_VALUE"""),35.94)</f>
        <v>35.94</v>
      </c>
      <c r="AD300" s="320">
        <f>IFERROR(__xludf.DUMMYFUNCTION("""COMPUTED_VALUE"""),14.0)</f>
        <v>14</v>
      </c>
      <c r="AE300" s="320">
        <f>IFERROR(__xludf.DUMMYFUNCTION("""COMPUTED_VALUE"""),27.0)</f>
        <v>27</v>
      </c>
      <c r="AF300" s="320">
        <f>IFERROR(__xludf.DUMMYFUNCTION("""COMPUTED_VALUE"""),50.0)</f>
        <v>50</v>
      </c>
      <c r="AG300" s="320">
        <f>IFERROR(__xludf.DUMMYFUNCTION("""COMPUTED_VALUE"""),77.0)</f>
        <v>77</v>
      </c>
      <c r="AH300" s="320">
        <f>IFERROR(__xludf.DUMMYFUNCTION("""COMPUTED_VALUE"""),50.18)</f>
        <v>50.18</v>
      </c>
      <c r="AI300" s="320">
        <f>IFERROR(__xludf.DUMMYFUNCTION("""COMPUTED_VALUE"""),18.0)</f>
        <v>18</v>
      </c>
      <c r="AJ300" s="320">
        <f>IFERROR(__xludf.DUMMYFUNCTION("""COMPUTED_VALUE"""),4.26)</f>
        <v>4.26</v>
      </c>
      <c r="AK300" s="320">
        <f>IFERROR(__xludf.DUMMYFUNCTION("""COMPUTED_VALUE"""),0.1309)</f>
        <v>0.1309</v>
      </c>
      <c r="AL300" s="320">
        <f>IFERROR(__xludf.DUMMYFUNCTION("""COMPUTED_VALUE"""),19.9)</f>
        <v>19.9</v>
      </c>
      <c r="AM300" s="320">
        <f>IFERROR(__xludf.DUMMYFUNCTION("""COMPUTED_VALUE"""),104.38)</f>
        <v>104.38</v>
      </c>
      <c r="AN300" s="320">
        <f>IFERROR(__xludf.DUMMYFUNCTION("""COMPUTED_VALUE"""),82.72)</f>
        <v>82.72</v>
      </c>
      <c r="AO300" s="320">
        <f>IFERROR(__xludf.DUMMYFUNCTION("""COMPUTED_VALUE"""),16.46)</f>
        <v>16.46</v>
      </c>
    </row>
    <row r="301" ht="15.75" customHeight="1">
      <c r="A301" s="330">
        <f>IFERROR(__xludf.DUMMYFUNCTION("""COMPUTED_VALUE"""),46099.0)</f>
        <v>46099</v>
      </c>
      <c r="B301" s="319" t="str">
        <f>IFERROR(__xludf.DUMMYFUNCTION("""COMPUTED_VALUE"""),"F. 100+")</f>
        <v>F. 100+</v>
      </c>
      <c r="C301" s="320">
        <f>IFERROR(__xludf.DUMMYFUNCTION("""COMPUTED_VALUE"""),686.0)</f>
        <v>686</v>
      </c>
      <c r="D301" s="320">
        <f>IFERROR(__xludf.DUMMYFUNCTION("""COMPUTED_VALUE"""),0.64)</f>
        <v>0.64</v>
      </c>
      <c r="E301" s="320">
        <f>IFERROR(__xludf.DUMMYFUNCTION("""COMPUTED_VALUE"""),0.0)</f>
        <v>0</v>
      </c>
      <c r="F301" s="320">
        <f>IFERROR(__xludf.DUMMYFUNCTION("""COMPUTED_VALUE"""),0.0)</f>
        <v>0</v>
      </c>
      <c r="G301" s="320">
        <f>IFERROR(__xludf.DUMMYFUNCTION("""COMPUTED_VALUE"""),0.0)</f>
        <v>0</v>
      </c>
      <c r="H301" s="106"/>
      <c r="I301" s="320">
        <f>IFERROR(__xludf.DUMMYFUNCTION("""COMPUTED_VALUE"""),233.52)</f>
        <v>233.52</v>
      </c>
      <c r="J301" s="320">
        <f>IFERROR(__xludf.DUMMYFUNCTION("""COMPUTED_VALUE"""),140.46)</f>
        <v>140.46</v>
      </c>
      <c r="K301" s="320">
        <f>IFERROR(__xludf.DUMMYFUNCTION("""COMPUTED_VALUE"""),122.31)</f>
        <v>122.31</v>
      </c>
      <c r="L301" s="320">
        <f>IFERROR(__xludf.DUMMYFUNCTION("""COMPUTED_VALUE"""),0.8708)</f>
        <v>0.8708</v>
      </c>
      <c r="M301" s="320">
        <f>IFERROR(__xludf.DUMMYFUNCTION("""COMPUTED_VALUE"""),0.2795)</f>
        <v>0.2795</v>
      </c>
      <c r="N301" s="320">
        <f>IFERROR(__xludf.DUMMYFUNCTION("""COMPUTED_VALUE"""),0.2089)</f>
        <v>0.2089</v>
      </c>
      <c r="O301" s="320">
        <f>IFERROR(__xludf.DUMMYFUNCTION("""COMPUTED_VALUE"""),1.1484)</f>
        <v>1.1484</v>
      </c>
      <c r="P301" s="320">
        <f>IFERROR(__xludf.DUMMYFUNCTION("""COMPUTED_VALUE"""),507.07)</f>
        <v>507.07</v>
      </c>
      <c r="Q301" s="320">
        <f>IFERROR(__xludf.DUMMYFUNCTION("""COMPUTED_VALUE"""),247.25)</f>
        <v>247.25</v>
      </c>
      <c r="R301" s="320">
        <f>IFERROR(__xludf.DUMMYFUNCTION("""COMPUTED_VALUE"""),259.83)</f>
        <v>259.83</v>
      </c>
      <c r="S301" s="320">
        <f>IFERROR(__xludf.DUMMYFUNCTION("""COMPUTED_VALUE"""),0.0)</f>
        <v>0</v>
      </c>
      <c r="T301" s="320">
        <f>IFERROR(__xludf.DUMMYFUNCTION("""COMPUTED_VALUE"""),507.07)</f>
        <v>507.07</v>
      </c>
      <c r="U301" s="320">
        <f>IFERROR(__xludf.DUMMYFUNCTION("""COMPUTED_VALUE"""),655.17)</f>
        <v>655.17</v>
      </c>
      <c r="V301" s="320">
        <f>IFERROR(__xludf.DUMMYFUNCTION("""COMPUTED_VALUE"""),4.6646)</f>
        <v>4.6646</v>
      </c>
      <c r="W301" s="320">
        <f>IFERROR(__xludf.DUMMYFUNCTION("""COMPUTED_VALUE"""),0.0)</f>
        <v>0</v>
      </c>
      <c r="X301" s="320">
        <f>IFERROR(__xludf.DUMMYFUNCTION("""COMPUTED_VALUE"""),822.0)</f>
        <v>822</v>
      </c>
      <c r="Y301" s="320">
        <f>IFERROR(__xludf.DUMMYFUNCTION("""COMPUTED_VALUE"""),4126.0)</f>
        <v>4126</v>
      </c>
      <c r="Z301" s="320">
        <f>IFERROR(__xludf.DUMMYFUNCTION("""COMPUTED_VALUE"""),11316.0)</f>
        <v>11316</v>
      </c>
      <c r="AA301" s="320">
        <f>IFERROR(__xludf.DUMMYFUNCTION("""COMPUTED_VALUE"""),63.1793)</f>
        <v>63.1793</v>
      </c>
      <c r="AB301" s="320">
        <f>IFERROR(__xludf.DUMMYFUNCTION("""COMPUTED_VALUE"""),0.9131)</f>
        <v>0.9131</v>
      </c>
      <c r="AC301" s="320">
        <f>IFERROR(__xludf.DUMMYFUNCTION("""COMPUTED_VALUE"""),84.18)</f>
        <v>84.18</v>
      </c>
      <c r="AD301" s="320">
        <f>IFERROR(__xludf.DUMMYFUNCTION("""COMPUTED_VALUE"""),37.0)</f>
        <v>37</v>
      </c>
      <c r="AE301" s="320">
        <f>IFERROR(__xludf.DUMMYFUNCTION("""COMPUTED_VALUE"""),70.0)</f>
        <v>70</v>
      </c>
      <c r="AF301" s="320">
        <f>IFERROR(__xludf.DUMMYFUNCTION("""COMPUTED_VALUE"""),122.0)</f>
        <v>122</v>
      </c>
      <c r="AG301" s="320">
        <f>IFERROR(__xludf.DUMMYFUNCTION("""COMPUTED_VALUE"""),166.0)</f>
        <v>166</v>
      </c>
      <c r="AH301" s="320">
        <f>IFERROR(__xludf.DUMMYFUNCTION("""COMPUTED_VALUE"""),45.04)</f>
        <v>45.04</v>
      </c>
      <c r="AI301" s="320">
        <f>IFERROR(__xludf.DUMMYFUNCTION("""COMPUTED_VALUE"""),7.73)</f>
        <v>7.73</v>
      </c>
      <c r="AJ301" s="320">
        <f>IFERROR(__xludf.DUMMYFUNCTION("""COMPUTED_VALUE"""),0.44)</f>
        <v>0.44</v>
      </c>
      <c r="AK301" s="320">
        <f>IFERROR(__xludf.DUMMYFUNCTION("""COMPUTED_VALUE"""),0.0904)</f>
        <v>0.0904</v>
      </c>
      <c r="AL301" s="320">
        <f>IFERROR(__xludf.DUMMYFUNCTION("""COMPUTED_VALUE"""),23.13)</f>
        <v>23.13</v>
      </c>
      <c r="AM301" s="320">
        <f>IFERROR(__xludf.DUMMYFUNCTION("""COMPUTED_VALUE"""),224.12)</f>
        <v>224.12</v>
      </c>
      <c r="AN301" s="320">
        <f>IFERROR(__xludf.DUMMYFUNCTION("""COMPUTED_VALUE"""),86.67)</f>
        <v>86.67</v>
      </c>
      <c r="AO301" s="320">
        <f>IFERROR(__xludf.DUMMYFUNCTION("""COMPUTED_VALUE"""),20.05)</f>
        <v>20.05</v>
      </c>
    </row>
    <row r="302" ht="15.75" customHeight="1">
      <c r="A302" s="330">
        <f>IFERROR(__xludf.DUMMYFUNCTION("""COMPUTED_VALUE"""),46100.0)</f>
        <v>46100</v>
      </c>
      <c r="B302" s="319" t="str">
        <f>IFERROR(__xludf.DUMMYFUNCTION("""COMPUTED_VALUE"""),"A. 0")</f>
        <v>A. 0</v>
      </c>
      <c r="C302" s="320">
        <f>IFERROR(__xludf.DUMMYFUNCTION("""COMPUTED_VALUE"""),21251.0)</f>
        <v>21251</v>
      </c>
      <c r="D302" s="320">
        <f>IFERROR(__xludf.DUMMYFUNCTION("""COMPUTED_VALUE"""),20.26)</f>
        <v>20.26</v>
      </c>
      <c r="E302" s="320">
        <f>IFERROR(__xludf.DUMMYFUNCTION("""COMPUTED_VALUE"""),0.0)</f>
        <v>0</v>
      </c>
      <c r="F302" s="320">
        <f>IFERROR(__xludf.DUMMYFUNCTION("""COMPUTED_VALUE"""),0.0)</f>
        <v>0</v>
      </c>
      <c r="G302" s="320">
        <f>IFERROR(__xludf.DUMMYFUNCTION("""COMPUTED_VALUE"""),0.0)</f>
        <v>0</v>
      </c>
      <c r="H302" s="106"/>
      <c r="I302" s="320">
        <f>IFERROR(__xludf.DUMMYFUNCTION("""COMPUTED_VALUE"""),6.08)</f>
        <v>6.08</v>
      </c>
      <c r="J302" s="320">
        <f>IFERROR(__xludf.DUMMYFUNCTION("""COMPUTED_VALUE"""),2.55)</f>
        <v>2.55</v>
      </c>
      <c r="K302" s="320">
        <f>IFERROR(__xludf.DUMMYFUNCTION("""COMPUTED_VALUE"""),0.02)</f>
        <v>0.02</v>
      </c>
      <c r="L302" s="320">
        <f>IFERROR(__xludf.DUMMYFUNCTION("""COMPUTED_VALUE"""),0.0092)</f>
        <v>0.0092</v>
      </c>
      <c r="M302" s="320">
        <f>IFERROR(__xludf.DUMMYFUNCTION("""COMPUTED_VALUE"""),0.9931)</f>
        <v>0.9931</v>
      </c>
      <c r="N302" s="320">
        <f>IFERROR(__xludf.DUMMYFUNCTION("""COMPUTED_VALUE"""),0.9039)</f>
        <v>0.9039</v>
      </c>
      <c r="O302" s="320">
        <f>IFERROR(__xludf.DUMMYFUNCTION("""COMPUTED_VALUE"""),108.364)</f>
        <v>108.364</v>
      </c>
      <c r="P302" s="320">
        <f>IFERROR(__xludf.DUMMYFUNCTION("""COMPUTED_VALUE"""),21.48)</f>
        <v>21.48</v>
      </c>
      <c r="Q302" s="320">
        <f>IFERROR(__xludf.DUMMYFUNCTION("""COMPUTED_VALUE"""),21.38)</f>
        <v>21.38</v>
      </c>
      <c r="R302" s="320">
        <f>IFERROR(__xludf.DUMMYFUNCTION("""COMPUTED_VALUE"""),0.1)</f>
        <v>0.1</v>
      </c>
      <c r="S302" s="320">
        <f>IFERROR(__xludf.DUMMYFUNCTION("""COMPUTED_VALUE"""),0.0)</f>
        <v>0</v>
      </c>
      <c r="T302" s="320">
        <f>IFERROR(__xludf.DUMMYFUNCTION("""COMPUTED_VALUE"""),21.48)</f>
        <v>21.48</v>
      </c>
      <c r="U302" s="320">
        <f>IFERROR(__xludf.DUMMYFUNCTION("""COMPUTED_VALUE"""),2.08)</f>
        <v>2.08</v>
      </c>
      <c r="V302" s="320">
        <f>IFERROR(__xludf.DUMMYFUNCTION("""COMPUTED_VALUE"""),0.8139)</f>
        <v>0.8139</v>
      </c>
      <c r="W302" s="320">
        <f>IFERROR(__xludf.DUMMYFUNCTION("""COMPUTED_VALUE"""),0.0)</f>
        <v>0</v>
      </c>
      <c r="X302" s="320">
        <f>IFERROR(__xludf.DUMMYFUNCTION("""COMPUTED_VALUE"""),294.0)</f>
        <v>294</v>
      </c>
      <c r="Y302" s="320">
        <f>IFERROR(__xludf.DUMMYFUNCTION("""COMPUTED_VALUE"""),3398.0)</f>
        <v>3398</v>
      </c>
      <c r="Z302" s="320">
        <f>IFERROR(__xludf.DUMMYFUNCTION("""COMPUTED_VALUE"""),14337.0)</f>
        <v>14337</v>
      </c>
      <c r="AA302" s="320">
        <f>IFERROR(__xludf.DUMMYFUNCTION("""COMPUTED_VALUE"""),48.9649)</f>
        <v>48.9649</v>
      </c>
      <c r="AB302" s="320">
        <f>IFERROR(__xludf.DUMMYFUNCTION("""COMPUTED_VALUE"""),0.5423)</f>
        <v>0.5423</v>
      </c>
      <c r="AC302" s="106"/>
      <c r="AD302" s="106"/>
      <c r="AE302" s="106"/>
      <c r="AF302" s="106"/>
      <c r="AG302" s="106"/>
      <c r="AH302" s="320">
        <f>IFERROR(__xludf.DUMMYFUNCTION("""COMPUTED_VALUE"""),0.0)</f>
        <v>0</v>
      </c>
      <c r="AI302" s="320">
        <f>IFERROR(__xludf.DUMMYFUNCTION("""COMPUTED_VALUE"""),0.0)</f>
        <v>0</v>
      </c>
      <c r="AJ302" s="320">
        <f>IFERROR(__xludf.DUMMYFUNCTION("""COMPUTED_VALUE"""),0.0)</f>
        <v>0</v>
      </c>
      <c r="AK302" s="320">
        <f>IFERROR(__xludf.DUMMYFUNCTION("""COMPUTED_VALUE"""),0.2912)</f>
        <v>0.2912</v>
      </c>
      <c r="AL302" s="320">
        <f>IFERROR(__xludf.DUMMYFUNCTION("""COMPUTED_VALUE"""),16.61)</f>
        <v>16.61</v>
      </c>
      <c r="AM302" s="320">
        <f>IFERROR(__xludf.DUMMYFUNCTION("""COMPUTED_VALUE"""),4.77)</f>
        <v>4.77</v>
      </c>
      <c r="AN302" s="331"/>
      <c r="AO302" s="331"/>
    </row>
    <row r="303" ht="15.75" customHeight="1">
      <c r="A303" s="330">
        <f>IFERROR(__xludf.DUMMYFUNCTION("""COMPUTED_VALUE"""),46100.0)</f>
        <v>46100</v>
      </c>
      <c r="B303" s="319" t="str">
        <f>IFERROR(__xludf.DUMMYFUNCTION("""COMPUTED_VALUE"""),"B. 1-9")</f>
        <v>B. 1-9</v>
      </c>
      <c r="C303" s="320">
        <f>IFERROR(__xludf.DUMMYFUNCTION("""COMPUTED_VALUE"""),37779.0)</f>
        <v>37779</v>
      </c>
      <c r="D303" s="320">
        <f>IFERROR(__xludf.DUMMYFUNCTION("""COMPUTED_VALUE"""),36.02)</f>
        <v>36.02</v>
      </c>
      <c r="E303" s="320">
        <f>IFERROR(__xludf.DUMMYFUNCTION("""COMPUTED_VALUE"""),0.0)</f>
        <v>0</v>
      </c>
      <c r="F303" s="320">
        <f>IFERROR(__xludf.DUMMYFUNCTION("""COMPUTED_VALUE"""),0.0)</f>
        <v>0</v>
      </c>
      <c r="G303" s="320">
        <f>IFERROR(__xludf.DUMMYFUNCTION("""COMPUTED_VALUE"""),0.0)</f>
        <v>0</v>
      </c>
      <c r="H303" s="106"/>
      <c r="I303" s="320">
        <f>IFERROR(__xludf.DUMMYFUNCTION("""COMPUTED_VALUE"""),28.26)</f>
        <v>28.26</v>
      </c>
      <c r="J303" s="320">
        <f>IFERROR(__xludf.DUMMYFUNCTION("""COMPUTED_VALUE"""),12.88)</f>
        <v>12.88</v>
      </c>
      <c r="K303" s="320">
        <f>IFERROR(__xludf.DUMMYFUNCTION("""COMPUTED_VALUE"""),5.4)</f>
        <v>5.4</v>
      </c>
      <c r="L303" s="320">
        <f>IFERROR(__xludf.DUMMYFUNCTION("""COMPUTED_VALUE"""),0.419)</f>
        <v>0.419</v>
      </c>
      <c r="M303" s="320">
        <f>IFERROR(__xludf.DUMMYFUNCTION("""COMPUTED_VALUE"""),0.7561)</f>
        <v>0.7561</v>
      </c>
      <c r="N303" s="320">
        <f>IFERROR(__xludf.DUMMYFUNCTION("""COMPUTED_VALUE"""),0.5628)</f>
        <v>0.5628</v>
      </c>
      <c r="O303" s="320">
        <f>IFERROR(__xludf.DUMMYFUNCTION("""COMPUTED_VALUE"""),2.3866)</f>
        <v>2.3866</v>
      </c>
      <c r="P303" s="320">
        <f>IFERROR(__xludf.DUMMYFUNCTION("""COMPUTED_VALUE"""),45.25)</f>
        <v>45.25</v>
      </c>
      <c r="Q303" s="320">
        <f>IFERROR(__xludf.DUMMYFUNCTION("""COMPUTED_VALUE"""),33.89)</f>
        <v>33.89</v>
      </c>
      <c r="R303" s="320">
        <f>IFERROR(__xludf.DUMMYFUNCTION("""COMPUTED_VALUE"""),11.36)</f>
        <v>11.36</v>
      </c>
      <c r="S303" s="320">
        <f>IFERROR(__xludf.DUMMYFUNCTION("""COMPUTED_VALUE"""),0.02)</f>
        <v>0.02</v>
      </c>
      <c r="T303" s="320">
        <f>IFERROR(__xludf.DUMMYFUNCTION("""COMPUTED_VALUE"""),45.23)</f>
        <v>45.23</v>
      </c>
      <c r="U303" s="320">
        <f>IFERROR(__xludf.DUMMYFUNCTION("""COMPUTED_VALUE"""),48.93)</f>
        <v>48.93</v>
      </c>
      <c r="V303" s="320">
        <f>IFERROR(__xludf.DUMMYFUNCTION("""COMPUTED_VALUE"""),3.7994)</f>
        <v>3.7994</v>
      </c>
      <c r="W303" s="320">
        <f>IFERROR(__xludf.DUMMYFUNCTION("""COMPUTED_VALUE"""),0.04)</f>
        <v>0.04</v>
      </c>
      <c r="X303" s="320">
        <f>IFERROR(__xludf.DUMMYFUNCTION("""COMPUTED_VALUE"""),138.0)</f>
        <v>138</v>
      </c>
      <c r="Y303" s="320">
        <f>IFERROR(__xludf.DUMMYFUNCTION("""COMPUTED_VALUE"""),884.0)</f>
        <v>884</v>
      </c>
      <c r="Z303" s="320">
        <f>IFERROR(__xludf.DUMMYFUNCTION("""COMPUTED_VALUE"""),6057.0)</f>
        <v>6057</v>
      </c>
      <c r="AA303" s="320">
        <f>IFERROR(__xludf.DUMMYFUNCTION("""COMPUTED_VALUE"""),48.7633)</f>
        <v>48.7633</v>
      </c>
      <c r="AB303" s="320">
        <f>IFERROR(__xludf.DUMMYFUNCTION("""COMPUTED_VALUE"""),0.5301)</f>
        <v>0.5301</v>
      </c>
      <c r="AC303" s="320">
        <f>IFERROR(__xludf.DUMMYFUNCTION("""COMPUTED_VALUE"""),3.9)</f>
        <v>3.9</v>
      </c>
      <c r="AD303" s="320">
        <f>IFERROR(__xludf.DUMMYFUNCTION("""COMPUTED_VALUE"""),1.0)</f>
        <v>1</v>
      </c>
      <c r="AE303" s="320">
        <f>IFERROR(__xludf.DUMMYFUNCTION("""COMPUTED_VALUE"""),3.0)</f>
        <v>3</v>
      </c>
      <c r="AF303" s="320">
        <f>IFERROR(__xludf.DUMMYFUNCTION("""COMPUTED_VALUE"""),5.0)</f>
        <v>5</v>
      </c>
      <c r="AG303" s="320">
        <f>IFERROR(__xludf.DUMMYFUNCTION("""COMPUTED_VALUE"""),9.0)</f>
        <v>9</v>
      </c>
      <c r="AH303" s="320">
        <f>IFERROR(__xludf.DUMMYFUNCTION("""COMPUTED_VALUE"""),71.86)</f>
        <v>71.86</v>
      </c>
      <c r="AI303" s="320">
        <f>IFERROR(__xludf.DUMMYFUNCTION("""COMPUTED_VALUE"""),29.46)</f>
        <v>29.46</v>
      </c>
      <c r="AJ303" s="320">
        <f>IFERROR(__xludf.DUMMYFUNCTION("""COMPUTED_VALUE"""),8.27)</f>
        <v>8.27</v>
      </c>
      <c r="AK303" s="320">
        <f>IFERROR(__xludf.DUMMYFUNCTION("""COMPUTED_VALUE"""),0.2562)</f>
        <v>0.2562</v>
      </c>
      <c r="AL303" s="320">
        <f>IFERROR(__xludf.DUMMYFUNCTION("""COMPUTED_VALUE"""),19.21)</f>
        <v>19.21</v>
      </c>
      <c r="AM303" s="320">
        <f>IFERROR(__xludf.DUMMYFUNCTION("""COMPUTED_VALUE"""),14.68)</f>
        <v>14.68</v>
      </c>
      <c r="AN303" s="320">
        <f>IFERROR(__xludf.DUMMYFUNCTION("""COMPUTED_VALUE"""),66.55)</f>
        <v>66.55</v>
      </c>
      <c r="AO303" s="320">
        <f>IFERROR(__xludf.DUMMYFUNCTION("""COMPUTED_VALUE"""),12.78)</f>
        <v>12.78</v>
      </c>
    </row>
    <row r="304" ht="15.75" customHeight="1">
      <c r="A304" s="330">
        <f>IFERROR(__xludf.DUMMYFUNCTION("""COMPUTED_VALUE"""),46100.0)</f>
        <v>46100</v>
      </c>
      <c r="B304" s="319" t="str">
        <f>IFERROR(__xludf.DUMMYFUNCTION("""COMPUTED_VALUE"""),"C. 10-19")</f>
        <v>C. 10-19</v>
      </c>
      <c r="C304" s="320">
        <f>IFERROR(__xludf.DUMMYFUNCTION("""COMPUTED_VALUE"""),25313.0)</f>
        <v>25313</v>
      </c>
      <c r="D304" s="320">
        <f>IFERROR(__xludf.DUMMYFUNCTION("""COMPUTED_VALUE"""),24.13)</f>
        <v>24.13</v>
      </c>
      <c r="E304" s="320">
        <f>IFERROR(__xludf.DUMMYFUNCTION("""COMPUTED_VALUE"""),0.0)</f>
        <v>0</v>
      </c>
      <c r="F304" s="320">
        <f>IFERROR(__xludf.DUMMYFUNCTION("""COMPUTED_VALUE"""),0.0)</f>
        <v>0</v>
      </c>
      <c r="G304" s="320">
        <f>IFERROR(__xludf.DUMMYFUNCTION("""COMPUTED_VALUE"""),0.0)</f>
        <v>0</v>
      </c>
      <c r="H304" s="106"/>
      <c r="I304" s="320">
        <f>IFERROR(__xludf.DUMMYFUNCTION("""COMPUTED_VALUE"""),51.05)</f>
        <v>51.05</v>
      </c>
      <c r="J304" s="320">
        <f>IFERROR(__xludf.DUMMYFUNCTION("""COMPUTED_VALUE"""),24.38)</f>
        <v>24.38</v>
      </c>
      <c r="K304" s="320">
        <f>IFERROR(__xludf.DUMMYFUNCTION("""COMPUTED_VALUE"""),13.38)</f>
        <v>13.38</v>
      </c>
      <c r="L304" s="320">
        <f>IFERROR(__xludf.DUMMYFUNCTION("""COMPUTED_VALUE"""),0.5488)</f>
        <v>0.5488</v>
      </c>
      <c r="M304" s="320">
        <f>IFERROR(__xludf.DUMMYFUNCTION("""COMPUTED_VALUE"""),0.6447)</f>
        <v>0.6447</v>
      </c>
      <c r="N304" s="320">
        <f>IFERROR(__xludf.DUMMYFUNCTION("""COMPUTED_VALUE"""),0.4467)</f>
        <v>0.4467</v>
      </c>
      <c r="O304" s="320">
        <f>IFERROR(__xludf.DUMMYFUNCTION("""COMPUTED_VALUE"""),1.8223)</f>
        <v>1.8223</v>
      </c>
      <c r="P304" s="320">
        <f>IFERROR(__xludf.DUMMYFUNCTION("""COMPUTED_VALUE"""),88.22)</f>
        <v>88.22</v>
      </c>
      <c r="Q304" s="320">
        <f>IFERROR(__xludf.DUMMYFUNCTION("""COMPUTED_VALUE"""),60.76)</f>
        <v>60.76</v>
      </c>
      <c r="R304" s="320">
        <f>IFERROR(__xludf.DUMMYFUNCTION("""COMPUTED_VALUE"""),27.46)</f>
        <v>27.46</v>
      </c>
      <c r="S304" s="320">
        <f>IFERROR(__xludf.DUMMYFUNCTION("""COMPUTED_VALUE"""),0.0)</f>
        <v>0</v>
      </c>
      <c r="T304" s="320">
        <f>IFERROR(__xludf.DUMMYFUNCTION("""COMPUTED_VALUE"""),88.22)</f>
        <v>88.22</v>
      </c>
      <c r="U304" s="320">
        <f>IFERROR(__xludf.DUMMYFUNCTION("""COMPUTED_VALUE"""),92.27)</f>
        <v>92.27</v>
      </c>
      <c r="V304" s="320">
        <f>IFERROR(__xludf.DUMMYFUNCTION("""COMPUTED_VALUE"""),3.7843)</f>
        <v>3.7843</v>
      </c>
      <c r="W304" s="320">
        <f>IFERROR(__xludf.DUMMYFUNCTION("""COMPUTED_VALUE"""),0.0)</f>
        <v>0</v>
      </c>
      <c r="X304" s="320">
        <f>IFERROR(__xludf.DUMMYFUNCTION("""COMPUTED_VALUE"""),124.0)</f>
        <v>124</v>
      </c>
      <c r="Y304" s="320">
        <f>IFERROR(__xludf.DUMMYFUNCTION("""COMPUTED_VALUE"""),714.0)</f>
        <v>714</v>
      </c>
      <c r="Z304" s="320">
        <f>IFERROR(__xludf.DUMMYFUNCTION("""COMPUTED_VALUE"""),5303.0)</f>
        <v>5303</v>
      </c>
      <c r="AA304" s="320">
        <f>IFERROR(__xludf.DUMMYFUNCTION("""COMPUTED_VALUE"""),52.3968)</f>
        <v>52.3968</v>
      </c>
      <c r="AB304" s="320">
        <f>IFERROR(__xludf.DUMMYFUNCTION("""COMPUTED_VALUE"""),0.6328)</f>
        <v>0.6328</v>
      </c>
      <c r="AC304" s="320">
        <f>IFERROR(__xludf.DUMMYFUNCTION("""COMPUTED_VALUE"""),8.95)</f>
        <v>8.95</v>
      </c>
      <c r="AD304" s="320">
        <f>IFERROR(__xludf.DUMMYFUNCTION("""COMPUTED_VALUE"""),3.0)</f>
        <v>3</v>
      </c>
      <c r="AE304" s="320">
        <f>IFERROR(__xludf.DUMMYFUNCTION("""COMPUTED_VALUE"""),7.0)</f>
        <v>7</v>
      </c>
      <c r="AF304" s="320">
        <f>IFERROR(__xludf.DUMMYFUNCTION("""COMPUTED_VALUE"""),12.0)</f>
        <v>12</v>
      </c>
      <c r="AG304" s="320">
        <f>IFERROR(__xludf.DUMMYFUNCTION("""COMPUTED_VALUE"""),19.0)</f>
        <v>19</v>
      </c>
      <c r="AH304" s="320">
        <f>IFERROR(__xludf.DUMMYFUNCTION("""COMPUTED_VALUE"""),58.22)</f>
        <v>58.22</v>
      </c>
      <c r="AI304" s="320">
        <f>IFERROR(__xludf.DUMMYFUNCTION("""COMPUTED_VALUE"""),24.0)</f>
        <v>24</v>
      </c>
      <c r="AJ304" s="320">
        <f>IFERROR(__xludf.DUMMYFUNCTION("""COMPUTED_VALUE"""),3.93)</f>
        <v>3.93</v>
      </c>
      <c r="AK304" s="320">
        <f>IFERROR(__xludf.DUMMYFUNCTION("""COMPUTED_VALUE"""),0.2044)</f>
        <v>0.2044</v>
      </c>
      <c r="AL304" s="320">
        <f>IFERROR(__xludf.DUMMYFUNCTION("""COMPUTED_VALUE"""),20.14)</f>
        <v>20.14</v>
      </c>
      <c r="AM304" s="320">
        <f>IFERROR(__xludf.DUMMYFUNCTION("""COMPUTED_VALUE"""),40.62)</f>
        <v>40.62</v>
      </c>
      <c r="AN304" s="320">
        <f>IFERROR(__xludf.DUMMYFUNCTION("""COMPUTED_VALUE"""),74.96)</f>
        <v>74.96</v>
      </c>
      <c r="AO304" s="320">
        <f>IFERROR(__xludf.DUMMYFUNCTION("""COMPUTED_VALUE"""),15.1)</f>
        <v>15.1</v>
      </c>
    </row>
    <row r="305" ht="15.75" customHeight="1">
      <c r="A305" s="330">
        <f>IFERROR(__xludf.DUMMYFUNCTION("""COMPUTED_VALUE"""),46100.0)</f>
        <v>46100</v>
      </c>
      <c r="B305" s="319" t="str">
        <f>IFERROR(__xludf.DUMMYFUNCTION("""COMPUTED_VALUE"""),"D. 20-39")</f>
        <v>D. 20-39</v>
      </c>
      <c r="C305" s="320">
        <f>IFERROR(__xludf.DUMMYFUNCTION("""COMPUTED_VALUE"""),14231.0)</f>
        <v>14231</v>
      </c>
      <c r="D305" s="320">
        <f>IFERROR(__xludf.DUMMYFUNCTION("""COMPUTED_VALUE"""),13.57)</f>
        <v>13.57</v>
      </c>
      <c r="E305" s="320">
        <f>IFERROR(__xludf.DUMMYFUNCTION("""COMPUTED_VALUE"""),0.0)</f>
        <v>0</v>
      </c>
      <c r="F305" s="320">
        <f>IFERROR(__xludf.DUMMYFUNCTION("""COMPUTED_VALUE"""),0.0)</f>
        <v>0</v>
      </c>
      <c r="G305" s="320">
        <f>IFERROR(__xludf.DUMMYFUNCTION("""COMPUTED_VALUE"""),0.0)</f>
        <v>0</v>
      </c>
      <c r="H305" s="106"/>
      <c r="I305" s="320">
        <f>IFERROR(__xludf.DUMMYFUNCTION("""COMPUTED_VALUE"""),73.86)</f>
        <v>73.86</v>
      </c>
      <c r="J305" s="320">
        <f>IFERROR(__xludf.DUMMYFUNCTION("""COMPUTED_VALUE"""),37.74)</f>
        <v>37.74</v>
      </c>
      <c r="K305" s="320">
        <f>IFERROR(__xludf.DUMMYFUNCTION("""COMPUTED_VALUE"""),25.09)</f>
        <v>25.09</v>
      </c>
      <c r="L305" s="320">
        <f>IFERROR(__xludf.DUMMYFUNCTION("""COMPUTED_VALUE"""),0.6646)</f>
        <v>0.6646</v>
      </c>
      <c r="M305" s="320">
        <f>IFERROR(__xludf.DUMMYFUNCTION("""COMPUTED_VALUE"""),0.5256)</f>
        <v>0.5256</v>
      </c>
      <c r="N305" s="320">
        <f>IFERROR(__xludf.DUMMYFUNCTION("""COMPUTED_VALUE"""),0.3619)</f>
        <v>0.3619</v>
      </c>
      <c r="O305" s="320">
        <f>IFERROR(__xludf.DUMMYFUNCTION("""COMPUTED_VALUE"""),1.5046)</f>
        <v>1.5046</v>
      </c>
      <c r="P305" s="320">
        <f>IFERROR(__xludf.DUMMYFUNCTION("""COMPUTED_VALUE"""),153.92)</f>
        <v>153.92</v>
      </c>
      <c r="Q305" s="320">
        <f>IFERROR(__xludf.DUMMYFUNCTION("""COMPUTED_VALUE"""),100.76)</f>
        <v>100.76</v>
      </c>
      <c r="R305" s="320">
        <f>IFERROR(__xludf.DUMMYFUNCTION("""COMPUTED_VALUE"""),53.17)</f>
        <v>53.17</v>
      </c>
      <c r="S305" s="320">
        <f>IFERROR(__xludf.DUMMYFUNCTION("""COMPUTED_VALUE"""),0.21)</f>
        <v>0.21</v>
      </c>
      <c r="T305" s="320">
        <f>IFERROR(__xludf.DUMMYFUNCTION("""COMPUTED_VALUE"""),153.72)</f>
        <v>153.72</v>
      </c>
      <c r="U305" s="320">
        <f>IFERROR(__xludf.DUMMYFUNCTION("""COMPUTED_VALUE"""),157.2)</f>
        <v>157.2</v>
      </c>
      <c r="V305" s="320">
        <f>IFERROR(__xludf.DUMMYFUNCTION("""COMPUTED_VALUE"""),4.1647)</f>
        <v>4.1647</v>
      </c>
      <c r="W305" s="320">
        <f>IFERROR(__xludf.DUMMYFUNCTION("""COMPUTED_VALUE"""),0.13)</f>
        <v>0.13</v>
      </c>
      <c r="X305" s="320">
        <f>IFERROR(__xludf.DUMMYFUNCTION("""COMPUTED_VALUE"""),152.0)</f>
        <v>152</v>
      </c>
      <c r="Y305" s="320">
        <f>IFERROR(__xludf.DUMMYFUNCTION("""COMPUTED_VALUE"""),989.0)</f>
        <v>989</v>
      </c>
      <c r="Z305" s="320">
        <f>IFERROR(__xludf.DUMMYFUNCTION("""COMPUTED_VALUE"""),6419.0)</f>
        <v>6419</v>
      </c>
      <c r="AA305" s="320">
        <f>IFERROR(__xludf.DUMMYFUNCTION("""COMPUTED_VALUE"""),55.7173)</f>
        <v>55.7173</v>
      </c>
      <c r="AB305" s="320">
        <f>IFERROR(__xludf.DUMMYFUNCTION("""COMPUTED_VALUE"""),0.7431)</f>
        <v>0.7431</v>
      </c>
      <c r="AC305" s="320">
        <f>IFERROR(__xludf.DUMMYFUNCTION("""COMPUTED_VALUE"""),17.01)</f>
        <v>17.01</v>
      </c>
      <c r="AD305" s="320">
        <f>IFERROR(__xludf.DUMMYFUNCTION("""COMPUTED_VALUE"""),7.0)</f>
        <v>7</v>
      </c>
      <c r="AE305" s="320">
        <f>IFERROR(__xludf.DUMMYFUNCTION("""COMPUTED_VALUE"""),13.0)</f>
        <v>13</v>
      </c>
      <c r="AF305" s="320">
        <f>IFERROR(__xludf.DUMMYFUNCTION("""COMPUTED_VALUE"""),24.0)</f>
        <v>24</v>
      </c>
      <c r="AG305" s="320">
        <f>IFERROR(__xludf.DUMMYFUNCTION("""COMPUTED_VALUE"""),35.0)</f>
        <v>35</v>
      </c>
      <c r="AH305" s="320">
        <f>IFERROR(__xludf.DUMMYFUNCTION("""COMPUTED_VALUE"""),58.7)</f>
        <v>58.7</v>
      </c>
      <c r="AI305" s="320">
        <f>IFERROR(__xludf.DUMMYFUNCTION("""COMPUTED_VALUE"""),21.61)</f>
        <v>21.61</v>
      </c>
      <c r="AJ305" s="320">
        <f>IFERROR(__xludf.DUMMYFUNCTION("""COMPUTED_VALUE"""),5.59)</f>
        <v>5.59</v>
      </c>
      <c r="AK305" s="320">
        <f>IFERROR(__xludf.DUMMYFUNCTION("""COMPUTED_VALUE"""),0.1967)</f>
        <v>0.1967</v>
      </c>
      <c r="AL305" s="320">
        <f>IFERROR(__xludf.DUMMYFUNCTION("""COMPUTED_VALUE"""),20.14)</f>
        <v>20.14</v>
      </c>
      <c r="AM305" s="320">
        <f>IFERROR(__xludf.DUMMYFUNCTION("""COMPUTED_VALUE"""),80.61)</f>
        <v>80.61</v>
      </c>
      <c r="AN305" s="320">
        <f>IFERROR(__xludf.DUMMYFUNCTION("""COMPUTED_VALUE"""),78.51)</f>
        <v>78.51</v>
      </c>
      <c r="AO305" s="320">
        <f>IFERROR(__xludf.DUMMYFUNCTION("""COMPUTED_VALUE"""),15.81)</f>
        <v>15.81</v>
      </c>
    </row>
    <row r="306" ht="15.75" customHeight="1">
      <c r="A306" s="330">
        <f>IFERROR(__xludf.DUMMYFUNCTION("""COMPUTED_VALUE"""),46100.0)</f>
        <v>46100</v>
      </c>
      <c r="B306" s="319" t="str">
        <f>IFERROR(__xludf.DUMMYFUNCTION("""COMPUTED_VALUE"""),"E. 40-99")</f>
        <v>E. 40-99</v>
      </c>
      <c r="C306" s="320">
        <f>IFERROR(__xludf.DUMMYFUNCTION("""COMPUTED_VALUE"""),5652.0)</f>
        <v>5652</v>
      </c>
      <c r="D306" s="320">
        <f>IFERROR(__xludf.DUMMYFUNCTION("""COMPUTED_VALUE"""),5.39)</f>
        <v>5.39</v>
      </c>
      <c r="E306" s="320">
        <f>IFERROR(__xludf.DUMMYFUNCTION("""COMPUTED_VALUE"""),0.0)</f>
        <v>0</v>
      </c>
      <c r="F306" s="320">
        <f>IFERROR(__xludf.DUMMYFUNCTION("""COMPUTED_VALUE"""),0.0)</f>
        <v>0</v>
      </c>
      <c r="G306" s="320">
        <f>IFERROR(__xludf.DUMMYFUNCTION("""COMPUTED_VALUE"""),0.0)</f>
        <v>0</v>
      </c>
      <c r="H306" s="106"/>
      <c r="I306" s="320">
        <f>IFERROR(__xludf.DUMMYFUNCTION("""COMPUTED_VALUE"""),122.25)</f>
        <v>122.25</v>
      </c>
      <c r="J306" s="320">
        <f>IFERROR(__xludf.DUMMYFUNCTION("""COMPUTED_VALUE"""),67.01)</f>
        <v>67.01</v>
      </c>
      <c r="K306" s="320">
        <f>IFERROR(__xludf.DUMMYFUNCTION("""COMPUTED_VALUE"""),53.32)</f>
        <v>53.32</v>
      </c>
      <c r="L306" s="320">
        <f>IFERROR(__xludf.DUMMYFUNCTION("""COMPUTED_VALUE"""),0.7957)</f>
        <v>0.7957</v>
      </c>
      <c r="M306" s="320">
        <f>IFERROR(__xludf.DUMMYFUNCTION("""COMPUTED_VALUE"""),0.3871)</f>
        <v>0.3871</v>
      </c>
      <c r="N306" s="320">
        <f>IFERROR(__xludf.DUMMYFUNCTION("""COMPUTED_VALUE"""),0.2785)</f>
        <v>0.2785</v>
      </c>
      <c r="O306" s="320">
        <f>IFERROR(__xludf.DUMMYFUNCTION("""COMPUTED_VALUE"""),1.2567)</f>
        <v>1.2567</v>
      </c>
      <c r="P306" s="320">
        <f>IFERROR(__xludf.DUMMYFUNCTION("""COMPUTED_VALUE"""),309.0)</f>
        <v>309</v>
      </c>
      <c r="Q306" s="320">
        <f>IFERROR(__xludf.DUMMYFUNCTION("""COMPUTED_VALUE"""),195.98)</f>
        <v>195.98</v>
      </c>
      <c r="R306" s="320">
        <f>IFERROR(__xludf.DUMMYFUNCTION("""COMPUTED_VALUE"""),113.03)</f>
        <v>113.03</v>
      </c>
      <c r="S306" s="320">
        <f>IFERROR(__xludf.DUMMYFUNCTION("""COMPUTED_VALUE"""),0.0)</f>
        <v>0</v>
      </c>
      <c r="T306" s="320">
        <f>IFERROR(__xludf.DUMMYFUNCTION("""COMPUTED_VALUE"""),309.0)</f>
        <v>309</v>
      </c>
      <c r="U306" s="320">
        <f>IFERROR(__xludf.DUMMYFUNCTION("""COMPUTED_VALUE"""),307.7)</f>
        <v>307.7</v>
      </c>
      <c r="V306" s="320">
        <f>IFERROR(__xludf.DUMMYFUNCTION("""COMPUTED_VALUE"""),4.5919)</f>
        <v>4.5919</v>
      </c>
      <c r="W306" s="320">
        <f>IFERROR(__xludf.DUMMYFUNCTION("""COMPUTED_VALUE"""),0.0)</f>
        <v>0</v>
      </c>
      <c r="X306" s="320">
        <f>IFERROR(__xludf.DUMMYFUNCTION("""COMPUTED_VALUE"""),284.0)</f>
        <v>284</v>
      </c>
      <c r="Y306" s="320">
        <f>IFERROR(__xludf.DUMMYFUNCTION("""COMPUTED_VALUE"""),2025.0)</f>
        <v>2025</v>
      </c>
      <c r="Z306" s="320">
        <f>IFERROR(__xludf.DUMMYFUNCTION("""COMPUTED_VALUE"""),8723.0)</f>
        <v>8723</v>
      </c>
      <c r="AA306" s="320">
        <f>IFERROR(__xludf.DUMMYFUNCTION("""COMPUTED_VALUE"""),59.418)</f>
        <v>59.418</v>
      </c>
      <c r="AB306" s="320">
        <f>IFERROR(__xludf.DUMMYFUNCTION("""COMPUTED_VALUE"""),0.828)</f>
        <v>0.828</v>
      </c>
      <c r="AC306" s="320">
        <f>IFERROR(__xludf.DUMMYFUNCTION("""COMPUTED_VALUE"""),36.71)</f>
        <v>36.71</v>
      </c>
      <c r="AD306" s="320">
        <f>IFERROR(__xludf.DUMMYFUNCTION("""COMPUTED_VALUE"""),14.0)</f>
        <v>14</v>
      </c>
      <c r="AE306" s="320">
        <f>IFERROR(__xludf.DUMMYFUNCTION("""COMPUTED_VALUE"""),29.0)</f>
        <v>29</v>
      </c>
      <c r="AF306" s="320">
        <f>IFERROR(__xludf.DUMMYFUNCTION("""COMPUTED_VALUE"""),50.0)</f>
        <v>50</v>
      </c>
      <c r="AG306" s="320">
        <f>IFERROR(__xludf.DUMMYFUNCTION("""COMPUTED_VALUE"""),77.0)</f>
        <v>77</v>
      </c>
      <c r="AH306" s="320">
        <f>IFERROR(__xludf.DUMMYFUNCTION("""COMPUTED_VALUE"""),51.63)</f>
        <v>51.63</v>
      </c>
      <c r="AI306" s="320">
        <f>IFERROR(__xludf.DUMMYFUNCTION("""COMPUTED_VALUE"""),18.86)</f>
        <v>18.86</v>
      </c>
      <c r="AJ306" s="320">
        <f>IFERROR(__xludf.DUMMYFUNCTION("""COMPUTED_VALUE"""),4.41)</f>
        <v>4.41</v>
      </c>
      <c r="AK306" s="320">
        <f>IFERROR(__xludf.DUMMYFUNCTION("""COMPUTED_VALUE"""),0.1465)</f>
        <v>0.1465</v>
      </c>
      <c r="AL306" s="320">
        <f>IFERROR(__xludf.DUMMYFUNCTION("""COMPUTED_VALUE"""),20.83)</f>
        <v>20.83</v>
      </c>
      <c r="AM306" s="320">
        <f>IFERROR(__xludf.DUMMYFUNCTION("""COMPUTED_VALUE"""),175.15)</f>
        <v>175.15</v>
      </c>
      <c r="AN306" s="320">
        <f>IFERROR(__xludf.DUMMYFUNCTION("""COMPUTED_VALUE"""),82.95)</f>
        <v>82.95</v>
      </c>
      <c r="AO306" s="320">
        <f>IFERROR(__xludf.DUMMYFUNCTION("""COMPUTED_VALUE"""),17.28)</f>
        <v>17.28</v>
      </c>
    </row>
    <row r="307" ht="15.75" customHeight="1">
      <c r="A307" s="330">
        <f>IFERROR(__xludf.DUMMYFUNCTION("""COMPUTED_VALUE"""),46100.0)</f>
        <v>46100</v>
      </c>
      <c r="B307" s="319" t="str">
        <f>IFERROR(__xludf.DUMMYFUNCTION("""COMPUTED_VALUE"""),"F. 100+")</f>
        <v>F. 100+</v>
      </c>
      <c r="C307" s="320">
        <f>IFERROR(__xludf.DUMMYFUNCTION("""COMPUTED_VALUE"""),662.0)</f>
        <v>662</v>
      </c>
      <c r="D307" s="320">
        <f>IFERROR(__xludf.DUMMYFUNCTION("""COMPUTED_VALUE"""),0.63)</f>
        <v>0.63</v>
      </c>
      <c r="E307" s="320">
        <f>IFERROR(__xludf.DUMMYFUNCTION("""COMPUTED_VALUE"""),0.0)</f>
        <v>0</v>
      </c>
      <c r="F307" s="320">
        <f>IFERROR(__xludf.DUMMYFUNCTION("""COMPUTED_VALUE"""),0.0)</f>
        <v>0</v>
      </c>
      <c r="G307" s="320">
        <f>IFERROR(__xludf.DUMMYFUNCTION("""COMPUTED_VALUE"""),0.0)</f>
        <v>0</v>
      </c>
      <c r="H307" s="106"/>
      <c r="I307" s="320">
        <f>IFERROR(__xludf.DUMMYFUNCTION("""COMPUTED_VALUE"""),225.79)</f>
        <v>225.79</v>
      </c>
      <c r="J307" s="320">
        <f>IFERROR(__xludf.DUMMYFUNCTION("""COMPUTED_VALUE"""),134.85)</f>
        <v>134.85</v>
      </c>
      <c r="K307" s="320">
        <f>IFERROR(__xludf.DUMMYFUNCTION("""COMPUTED_VALUE"""),118.21)</f>
        <v>118.21</v>
      </c>
      <c r="L307" s="320">
        <f>IFERROR(__xludf.DUMMYFUNCTION("""COMPUTED_VALUE"""),0.8766)</f>
        <v>0.8766</v>
      </c>
      <c r="M307" s="320">
        <f>IFERROR(__xludf.DUMMYFUNCTION("""COMPUTED_VALUE"""),0.2834)</f>
        <v>0.2834</v>
      </c>
      <c r="N307" s="320">
        <f>IFERROR(__xludf.DUMMYFUNCTION("""COMPUTED_VALUE"""),0.2158)</f>
        <v>0.2158</v>
      </c>
      <c r="O307" s="320">
        <f>IFERROR(__xludf.DUMMYFUNCTION("""COMPUTED_VALUE"""),1.1408)</f>
        <v>1.1408</v>
      </c>
      <c r="P307" s="320">
        <f>IFERROR(__xludf.DUMMYFUNCTION("""COMPUTED_VALUE"""),576.15)</f>
        <v>576.15</v>
      </c>
      <c r="Q307" s="320">
        <f>IFERROR(__xludf.DUMMYFUNCTION("""COMPUTED_VALUE"""),325.37)</f>
        <v>325.37</v>
      </c>
      <c r="R307" s="320">
        <f>IFERROR(__xludf.DUMMYFUNCTION("""COMPUTED_VALUE"""),250.78)</f>
        <v>250.78</v>
      </c>
      <c r="S307" s="320">
        <f>IFERROR(__xludf.DUMMYFUNCTION("""COMPUTED_VALUE"""),0.0)</f>
        <v>0</v>
      </c>
      <c r="T307" s="320">
        <f>IFERROR(__xludf.DUMMYFUNCTION("""COMPUTED_VALUE"""),576.15)</f>
        <v>576.15</v>
      </c>
      <c r="U307" s="320">
        <f>IFERROR(__xludf.DUMMYFUNCTION("""COMPUTED_VALUE"""),694.26)</f>
        <v>694.26</v>
      </c>
      <c r="V307" s="320">
        <f>IFERROR(__xludf.DUMMYFUNCTION("""COMPUTED_VALUE"""),5.1482)</f>
        <v>5.1482</v>
      </c>
      <c r="W307" s="320">
        <f>IFERROR(__xludf.DUMMYFUNCTION("""COMPUTED_VALUE"""),0.0)</f>
        <v>0</v>
      </c>
      <c r="X307" s="320">
        <f>IFERROR(__xludf.DUMMYFUNCTION("""COMPUTED_VALUE"""),841.0)</f>
        <v>841</v>
      </c>
      <c r="Y307" s="320">
        <f>IFERROR(__xludf.DUMMYFUNCTION("""COMPUTED_VALUE"""),4011.0)</f>
        <v>4011</v>
      </c>
      <c r="Z307" s="320">
        <f>IFERROR(__xludf.DUMMYFUNCTION("""COMPUTED_VALUE"""),11104.0)</f>
        <v>11104</v>
      </c>
      <c r="AA307" s="320">
        <f>IFERROR(__xludf.DUMMYFUNCTION("""COMPUTED_VALUE"""),63.2089)</f>
        <v>63.2089</v>
      </c>
      <c r="AB307" s="320">
        <f>IFERROR(__xludf.DUMMYFUNCTION("""COMPUTED_VALUE"""),0.8908)</f>
        <v>0.8908</v>
      </c>
      <c r="AC307" s="320">
        <f>IFERROR(__xludf.DUMMYFUNCTION("""COMPUTED_VALUE"""),82.83)</f>
        <v>82.83</v>
      </c>
      <c r="AD307" s="320">
        <f>IFERROR(__xludf.DUMMYFUNCTION("""COMPUTED_VALUE"""),37.0)</f>
        <v>37</v>
      </c>
      <c r="AE307" s="320">
        <f>IFERROR(__xludf.DUMMYFUNCTION("""COMPUTED_VALUE"""),70.0)</f>
        <v>70</v>
      </c>
      <c r="AF307" s="320">
        <f>IFERROR(__xludf.DUMMYFUNCTION("""COMPUTED_VALUE"""),116.0)</f>
        <v>116</v>
      </c>
      <c r="AG307" s="320">
        <f>IFERROR(__xludf.DUMMYFUNCTION("""COMPUTED_VALUE"""),163.0)</f>
        <v>163</v>
      </c>
      <c r="AH307" s="320">
        <f>IFERROR(__xludf.DUMMYFUNCTION("""COMPUTED_VALUE"""),41.69)</f>
        <v>41.69</v>
      </c>
      <c r="AI307" s="320">
        <f>IFERROR(__xludf.DUMMYFUNCTION("""COMPUTED_VALUE"""),7.4)</f>
        <v>7.4</v>
      </c>
      <c r="AJ307" s="320">
        <f>IFERROR(__xludf.DUMMYFUNCTION("""COMPUTED_VALUE"""),0.91)</f>
        <v>0.91</v>
      </c>
      <c r="AK307" s="320">
        <f>IFERROR(__xludf.DUMMYFUNCTION("""COMPUTED_VALUE"""),0.0891)</f>
        <v>0.0891</v>
      </c>
      <c r="AL307" s="320">
        <f>IFERROR(__xludf.DUMMYFUNCTION("""COMPUTED_VALUE"""),22.48)</f>
        <v>22.48</v>
      </c>
      <c r="AM307" s="320">
        <f>IFERROR(__xludf.DUMMYFUNCTION("""COMPUTED_VALUE"""),302.89)</f>
        <v>302.89</v>
      </c>
      <c r="AN307" s="320">
        <f>IFERROR(__xludf.DUMMYFUNCTION("""COMPUTED_VALUE"""),85.3)</f>
        <v>85.3</v>
      </c>
      <c r="AO307" s="320">
        <f>IFERROR(__xludf.DUMMYFUNCTION("""COMPUTED_VALUE"""),19.18)</f>
        <v>19.18</v>
      </c>
    </row>
    <row r="308" ht="15.75" customHeight="1">
      <c r="A308" s="330">
        <f>IFERROR(__xludf.DUMMYFUNCTION("""COMPUTED_VALUE"""),46101.0)</f>
        <v>46101</v>
      </c>
      <c r="B308" s="319" t="str">
        <f>IFERROR(__xludf.DUMMYFUNCTION("""COMPUTED_VALUE"""),"A. 0")</f>
        <v>A. 0</v>
      </c>
      <c r="C308" s="320">
        <f>IFERROR(__xludf.DUMMYFUNCTION("""COMPUTED_VALUE"""),18934.0)</f>
        <v>18934</v>
      </c>
      <c r="D308" s="320">
        <f>IFERROR(__xludf.DUMMYFUNCTION("""COMPUTED_VALUE"""),18.41)</f>
        <v>18.41</v>
      </c>
      <c r="E308" s="320">
        <f>IFERROR(__xludf.DUMMYFUNCTION("""COMPUTED_VALUE"""),0.0)</f>
        <v>0</v>
      </c>
      <c r="F308" s="320">
        <f>IFERROR(__xludf.DUMMYFUNCTION("""COMPUTED_VALUE"""),0.0)</f>
        <v>0</v>
      </c>
      <c r="G308" s="320">
        <f>IFERROR(__xludf.DUMMYFUNCTION("""COMPUTED_VALUE"""),0.0)</f>
        <v>0</v>
      </c>
      <c r="H308" s="106"/>
      <c r="I308" s="320">
        <f>IFERROR(__xludf.DUMMYFUNCTION("""COMPUTED_VALUE"""),5.67)</f>
        <v>5.67</v>
      </c>
      <c r="J308" s="320">
        <f>IFERROR(__xludf.DUMMYFUNCTION("""COMPUTED_VALUE"""),2.23)</f>
        <v>2.23</v>
      </c>
      <c r="K308" s="320">
        <f>IFERROR(__xludf.DUMMYFUNCTION("""COMPUTED_VALUE"""),0.02)</f>
        <v>0.02</v>
      </c>
      <c r="L308" s="320">
        <f>IFERROR(__xludf.DUMMYFUNCTION("""COMPUTED_VALUE"""),0.0074)</f>
        <v>0.0074</v>
      </c>
      <c r="M308" s="320">
        <f>IFERROR(__xludf.DUMMYFUNCTION("""COMPUTED_VALUE"""),0.9948)</f>
        <v>0.9948</v>
      </c>
      <c r="N308" s="320">
        <f>IFERROR(__xludf.DUMMYFUNCTION("""COMPUTED_VALUE"""),0.9377)</f>
        <v>0.9377</v>
      </c>
      <c r="O308" s="320">
        <f>IFERROR(__xludf.DUMMYFUNCTION("""COMPUTED_VALUE"""),134.6486)</f>
        <v>134.6486</v>
      </c>
      <c r="P308" s="320">
        <f>IFERROR(__xludf.DUMMYFUNCTION("""COMPUTED_VALUE"""),27.13)</f>
        <v>27.13</v>
      </c>
      <c r="Q308" s="320">
        <f>IFERROR(__xludf.DUMMYFUNCTION("""COMPUTED_VALUE"""),27.02)</f>
        <v>27.02</v>
      </c>
      <c r="R308" s="320">
        <f>IFERROR(__xludf.DUMMYFUNCTION("""COMPUTED_VALUE"""),0.11)</f>
        <v>0.11</v>
      </c>
      <c r="S308" s="320">
        <f>IFERROR(__xludf.DUMMYFUNCTION("""COMPUTED_VALUE"""),0.01)</f>
        <v>0.01</v>
      </c>
      <c r="T308" s="320">
        <f>IFERROR(__xludf.DUMMYFUNCTION("""COMPUTED_VALUE"""),27.12)</f>
        <v>27.12</v>
      </c>
      <c r="U308" s="320">
        <f>IFERROR(__xludf.DUMMYFUNCTION("""COMPUTED_VALUE"""),2.04)</f>
        <v>2.04</v>
      </c>
      <c r="V308" s="320">
        <f>IFERROR(__xludf.DUMMYFUNCTION("""COMPUTED_VALUE"""),0.9171)</f>
        <v>0.9171</v>
      </c>
      <c r="W308" s="320">
        <f>IFERROR(__xludf.DUMMYFUNCTION("""COMPUTED_VALUE"""),0.02)</f>
        <v>0.02</v>
      </c>
      <c r="X308" s="320">
        <f>IFERROR(__xludf.DUMMYFUNCTION("""COMPUTED_VALUE"""),376.0)</f>
        <v>376</v>
      </c>
      <c r="Y308" s="320">
        <f>IFERROR(__xludf.DUMMYFUNCTION("""COMPUTED_VALUE"""),4138.0)</f>
        <v>4138</v>
      </c>
      <c r="Z308" s="320">
        <f>IFERROR(__xludf.DUMMYFUNCTION("""COMPUTED_VALUE"""),15274.0)</f>
        <v>15274</v>
      </c>
      <c r="AA308" s="320">
        <f>IFERROR(__xludf.DUMMYFUNCTION("""COMPUTED_VALUE"""),49.2187)</f>
        <v>49.2187</v>
      </c>
      <c r="AB308" s="320">
        <f>IFERROR(__xludf.DUMMYFUNCTION("""COMPUTED_VALUE"""),0.5508)</f>
        <v>0.5508</v>
      </c>
      <c r="AC308" s="106"/>
      <c r="AD308" s="106"/>
      <c r="AE308" s="106"/>
      <c r="AF308" s="106"/>
      <c r="AG308" s="106"/>
      <c r="AH308" s="320">
        <f>IFERROR(__xludf.DUMMYFUNCTION("""COMPUTED_VALUE"""),0.0)</f>
        <v>0</v>
      </c>
      <c r="AI308" s="320">
        <f>IFERROR(__xludf.DUMMYFUNCTION("""COMPUTED_VALUE"""),0.0)</f>
        <v>0</v>
      </c>
      <c r="AJ308" s="320">
        <f>IFERROR(__xludf.DUMMYFUNCTION("""COMPUTED_VALUE"""),0.0)</f>
        <v>0</v>
      </c>
      <c r="AK308" s="320">
        <f>IFERROR(__xludf.DUMMYFUNCTION("""COMPUTED_VALUE"""),0.3119)</f>
        <v>0.3119</v>
      </c>
      <c r="AL308" s="320">
        <f>IFERROR(__xludf.DUMMYFUNCTION("""COMPUTED_VALUE"""),17.99)</f>
        <v>17.99</v>
      </c>
      <c r="AM308" s="320">
        <f>IFERROR(__xludf.DUMMYFUNCTION("""COMPUTED_VALUE"""),9.04)</f>
        <v>9.04</v>
      </c>
      <c r="AN308" s="331"/>
      <c r="AO308" s="331"/>
    </row>
    <row r="309" ht="15.75" customHeight="1">
      <c r="A309" s="330">
        <f>IFERROR(__xludf.DUMMYFUNCTION("""COMPUTED_VALUE"""),46101.0)</f>
        <v>46101</v>
      </c>
      <c r="B309" s="319" t="str">
        <f>IFERROR(__xludf.DUMMYFUNCTION("""COMPUTED_VALUE"""),"B. 1-9")</f>
        <v>B. 1-9</v>
      </c>
      <c r="C309" s="320">
        <f>IFERROR(__xludf.DUMMYFUNCTION("""COMPUTED_VALUE"""),38113.0)</f>
        <v>38113</v>
      </c>
      <c r="D309" s="320">
        <f>IFERROR(__xludf.DUMMYFUNCTION("""COMPUTED_VALUE"""),37.06)</f>
        <v>37.06</v>
      </c>
      <c r="E309" s="320">
        <f>IFERROR(__xludf.DUMMYFUNCTION("""COMPUTED_VALUE"""),0.0)</f>
        <v>0</v>
      </c>
      <c r="F309" s="320">
        <f>IFERROR(__xludf.DUMMYFUNCTION("""COMPUTED_VALUE"""),0.0)</f>
        <v>0</v>
      </c>
      <c r="G309" s="320">
        <f>IFERROR(__xludf.DUMMYFUNCTION("""COMPUTED_VALUE"""),0.0)</f>
        <v>0</v>
      </c>
      <c r="H309" s="106"/>
      <c r="I309" s="320">
        <f>IFERROR(__xludf.DUMMYFUNCTION("""COMPUTED_VALUE"""),31.34)</f>
        <v>31.34</v>
      </c>
      <c r="J309" s="320">
        <f>IFERROR(__xludf.DUMMYFUNCTION("""COMPUTED_VALUE"""),14.26)</f>
        <v>14.26</v>
      </c>
      <c r="K309" s="320">
        <f>IFERROR(__xludf.DUMMYFUNCTION("""COMPUTED_VALUE"""),5.98)</f>
        <v>5.98</v>
      </c>
      <c r="L309" s="320">
        <f>IFERROR(__xludf.DUMMYFUNCTION("""COMPUTED_VALUE"""),0.4195)</f>
        <v>0.4195</v>
      </c>
      <c r="M309" s="320">
        <f>IFERROR(__xludf.DUMMYFUNCTION("""COMPUTED_VALUE"""),0.7513)</f>
        <v>0.7513</v>
      </c>
      <c r="N309" s="320">
        <f>IFERROR(__xludf.DUMMYFUNCTION("""COMPUTED_VALUE"""),0.5514)</f>
        <v>0.5514</v>
      </c>
      <c r="O309" s="320">
        <f>IFERROR(__xludf.DUMMYFUNCTION("""COMPUTED_VALUE"""),2.3836)</f>
        <v>2.3836</v>
      </c>
      <c r="P309" s="320">
        <f>IFERROR(__xludf.DUMMYFUNCTION("""COMPUTED_VALUE"""),57.41)</f>
        <v>57.41</v>
      </c>
      <c r="Q309" s="320">
        <f>IFERROR(__xludf.DUMMYFUNCTION("""COMPUTED_VALUE"""),45.13)</f>
        <v>45.13</v>
      </c>
      <c r="R309" s="320">
        <f>IFERROR(__xludf.DUMMYFUNCTION("""COMPUTED_VALUE"""),12.28)</f>
        <v>12.28</v>
      </c>
      <c r="S309" s="320">
        <f>IFERROR(__xludf.DUMMYFUNCTION("""COMPUTED_VALUE"""),0.22)</f>
        <v>0.22</v>
      </c>
      <c r="T309" s="320">
        <f>IFERROR(__xludf.DUMMYFUNCTION("""COMPUTED_VALUE"""),57.19)</f>
        <v>57.19</v>
      </c>
      <c r="U309" s="320">
        <f>IFERROR(__xludf.DUMMYFUNCTION("""COMPUTED_VALUE"""),53.51)</f>
        <v>53.51</v>
      </c>
      <c r="V309" s="320">
        <f>IFERROR(__xludf.DUMMYFUNCTION("""COMPUTED_VALUE"""),3.7515)</f>
        <v>3.7515</v>
      </c>
      <c r="W309" s="320">
        <f>IFERROR(__xludf.DUMMYFUNCTION("""COMPUTED_VALUE"""),0.38)</f>
        <v>0.38</v>
      </c>
      <c r="X309" s="320">
        <f>IFERROR(__xludf.DUMMYFUNCTION("""COMPUTED_VALUE"""),146.0)</f>
        <v>146</v>
      </c>
      <c r="Y309" s="320">
        <f>IFERROR(__xludf.DUMMYFUNCTION("""COMPUTED_VALUE"""),883.0)</f>
        <v>883</v>
      </c>
      <c r="Z309" s="320">
        <f>IFERROR(__xludf.DUMMYFUNCTION("""COMPUTED_VALUE"""),5981.0)</f>
        <v>5981</v>
      </c>
      <c r="AA309" s="320">
        <f>IFERROR(__xludf.DUMMYFUNCTION("""COMPUTED_VALUE"""),48.6797)</f>
        <v>48.6797</v>
      </c>
      <c r="AB309" s="320">
        <f>IFERROR(__xludf.DUMMYFUNCTION("""COMPUTED_VALUE"""),0.5297)</f>
        <v>0.5297</v>
      </c>
      <c r="AC309" s="320">
        <f>IFERROR(__xludf.DUMMYFUNCTION("""COMPUTED_VALUE"""),4.14)</f>
        <v>4.14</v>
      </c>
      <c r="AD309" s="320">
        <f>IFERROR(__xludf.DUMMYFUNCTION("""COMPUTED_VALUE"""),1.0)</f>
        <v>1</v>
      </c>
      <c r="AE309" s="320">
        <f>IFERROR(__xludf.DUMMYFUNCTION("""COMPUTED_VALUE"""),3.0)</f>
        <v>3</v>
      </c>
      <c r="AF309" s="320">
        <f>IFERROR(__xludf.DUMMYFUNCTION("""COMPUTED_VALUE"""),6.0)</f>
        <v>6</v>
      </c>
      <c r="AG309" s="320">
        <f>IFERROR(__xludf.DUMMYFUNCTION("""COMPUTED_VALUE"""),9.0)</f>
        <v>9</v>
      </c>
      <c r="AH309" s="320">
        <f>IFERROR(__xludf.DUMMYFUNCTION("""COMPUTED_VALUE"""),74.74)</f>
        <v>74.74</v>
      </c>
      <c r="AI309" s="320">
        <f>IFERROR(__xludf.DUMMYFUNCTION("""COMPUTED_VALUE"""),32.76)</f>
        <v>32.76</v>
      </c>
      <c r="AJ309" s="320">
        <f>IFERROR(__xludf.DUMMYFUNCTION("""COMPUTED_VALUE"""),9.04)</f>
        <v>9.04</v>
      </c>
      <c r="AK309" s="320">
        <f>IFERROR(__xludf.DUMMYFUNCTION("""COMPUTED_VALUE"""),0.2676)</f>
        <v>0.2676</v>
      </c>
      <c r="AL309" s="320">
        <f>IFERROR(__xludf.DUMMYFUNCTION("""COMPUTED_VALUE"""),20.39)</f>
        <v>20.39</v>
      </c>
      <c r="AM309" s="320">
        <f>IFERROR(__xludf.DUMMYFUNCTION("""COMPUTED_VALUE"""),24.74)</f>
        <v>24.74</v>
      </c>
      <c r="AN309" s="320">
        <f>IFERROR(__xludf.DUMMYFUNCTION("""COMPUTED_VALUE"""),66.34)</f>
        <v>66.34</v>
      </c>
      <c r="AO309" s="320">
        <f>IFERROR(__xludf.DUMMYFUNCTION("""COMPUTED_VALUE"""),13.53)</f>
        <v>13.53</v>
      </c>
    </row>
    <row r="310" ht="15.75" customHeight="1">
      <c r="A310" s="330">
        <f>IFERROR(__xludf.DUMMYFUNCTION("""COMPUTED_VALUE"""),46101.0)</f>
        <v>46101</v>
      </c>
      <c r="B310" s="319" t="str">
        <f>IFERROR(__xludf.DUMMYFUNCTION("""COMPUTED_VALUE"""),"C. 10-19")</f>
        <v>C. 10-19</v>
      </c>
      <c r="C310" s="320">
        <f>IFERROR(__xludf.DUMMYFUNCTION("""COMPUTED_VALUE"""),25325.0)</f>
        <v>25325</v>
      </c>
      <c r="D310" s="320">
        <f>IFERROR(__xludf.DUMMYFUNCTION("""COMPUTED_VALUE"""),24.63)</f>
        <v>24.63</v>
      </c>
      <c r="E310" s="320">
        <f>IFERROR(__xludf.DUMMYFUNCTION("""COMPUTED_VALUE"""),0.0)</f>
        <v>0</v>
      </c>
      <c r="F310" s="320">
        <f>IFERROR(__xludf.DUMMYFUNCTION("""COMPUTED_VALUE"""),0.0)</f>
        <v>0</v>
      </c>
      <c r="G310" s="320">
        <f>IFERROR(__xludf.DUMMYFUNCTION("""COMPUTED_VALUE"""),0.0)</f>
        <v>0</v>
      </c>
      <c r="H310" s="106"/>
      <c r="I310" s="320">
        <f>IFERROR(__xludf.DUMMYFUNCTION("""COMPUTED_VALUE"""),56.86)</f>
        <v>56.86</v>
      </c>
      <c r="J310" s="320">
        <f>IFERROR(__xludf.DUMMYFUNCTION("""COMPUTED_VALUE"""),27.29)</f>
        <v>27.29</v>
      </c>
      <c r="K310" s="320">
        <f>IFERROR(__xludf.DUMMYFUNCTION("""COMPUTED_VALUE"""),14.47)</f>
        <v>14.47</v>
      </c>
      <c r="L310" s="320">
        <f>IFERROR(__xludf.DUMMYFUNCTION("""COMPUTED_VALUE"""),0.5305)</f>
        <v>0.5305</v>
      </c>
      <c r="M310" s="320">
        <f>IFERROR(__xludf.DUMMYFUNCTION("""COMPUTED_VALUE"""),0.6557)</f>
        <v>0.6557</v>
      </c>
      <c r="N310" s="320">
        <f>IFERROR(__xludf.DUMMYFUNCTION("""COMPUTED_VALUE"""),0.454)</f>
        <v>0.454</v>
      </c>
      <c r="O310" s="320">
        <f>IFERROR(__xludf.DUMMYFUNCTION("""COMPUTED_VALUE"""),1.8851)</f>
        <v>1.8851</v>
      </c>
      <c r="P310" s="320">
        <f>IFERROR(__xludf.DUMMYFUNCTION("""COMPUTED_VALUE"""),100.17)</f>
        <v>100.17</v>
      </c>
      <c r="Q310" s="320">
        <f>IFERROR(__xludf.DUMMYFUNCTION("""COMPUTED_VALUE"""),69.89)</f>
        <v>69.89</v>
      </c>
      <c r="R310" s="320">
        <f>IFERROR(__xludf.DUMMYFUNCTION("""COMPUTED_VALUE"""),30.28)</f>
        <v>30.28</v>
      </c>
      <c r="S310" s="320">
        <f>IFERROR(__xludf.DUMMYFUNCTION("""COMPUTED_VALUE"""),0.01)</f>
        <v>0.01</v>
      </c>
      <c r="T310" s="320">
        <f>IFERROR(__xludf.DUMMYFUNCTION("""COMPUTED_VALUE"""),100.17)</f>
        <v>100.17</v>
      </c>
      <c r="U310" s="320">
        <f>IFERROR(__xludf.DUMMYFUNCTION("""COMPUTED_VALUE"""),98.72)</f>
        <v>98.72</v>
      </c>
      <c r="V310" s="320">
        <f>IFERROR(__xludf.DUMMYFUNCTION("""COMPUTED_VALUE"""),3.6179)</f>
        <v>3.6179</v>
      </c>
      <c r="W310" s="320">
        <f>IFERROR(__xludf.DUMMYFUNCTION("""COMPUTED_VALUE"""),0.01)</f>
        <v>0.01</v>
      </c>
      <c r="X310" s="320">
        <f>IFERROR(__xludf.DUMMYFUNCTION("""COMPUTED_VALUE"""),130.0)</f>
        <v>130</v>
      </c>
      <c r="Y310" s="320">
        <f>IFERROR(__xludf.DUMMYFUNCTION("""COMPUTED_VALUE"""),676.0)</f>
        <v>676</v>
      </c>
      <c r="Z310" s="320">
        <f>IFERROR(__xludf.DUMMYFUNCTION("""COMPUTED_VALUE"""),5117.0)</f>
        <v>5117</v>
      </c>
      <c r="AA310" s="320">
        <f>IFERROR(__xludf.DUMMYFUNCTION("""COMPUTED_VALUE"""),52.1658)</f>
        <v>52.1658</v>
      </c>
      <c r="AB310" s="320">
        <f>IFERROR(__xludf.DUMMYFUNCTION("""COMPUTED_VALUE"""),0.6305)</f>
        <v>0.6305</v>
      </c>
      <c r="AC310" s="320">
        <f>IFERROR(__xludf.DUMMYFUNCTION("""COMPUTED_VALUE"""),9.57)</f>
        <v>9.57</v>
      </c>
      <c r="AD310" s="320">
        <f>IFERROR(__xludf.DUMMYFUNCTION("""COMPUTED_VALUE"""),4.0)</f>
        <v>4</v>
      </c>
      <c r="AE310" s="320">
        <f>IFERROR(__xludf.DUMMYFUNCTION("""COMPUTED_VALUE"""),8.0)</f>
        <v>8</v>
      </c>
      <c r="AF310" s="320">
        <f>IFERROR(__xludf.DUMMYFUNCTION("""COMPUTED_VALUE"""),13.0)</f>
        <v>13</v>
      </c>
      <c r="AG310" s="320">
        <f>IFERROR(__xludf.DUMMYFUNCTION("""COMPUTED_VALUE"""),19.0)</f>
        <v>19</v>
      </c>
      <c r="AH310" s="320">
        <f>IFERROR(__xludf.DUMMYFUNCTION("""COMPUTED_VALUE"""),63.37)</f>
        <v>63.37</v>
      </c>
      <c r="AI310" s="320">
        <f>IFERROR(__xludf.DUMMYFUNCTION("""COMPUTED_VALUE"""),26.78)</f>
        <v>26.78</v>
      </c>
      <c r="AJ310" s="320">
        <f>IFERROR(__xludf.DUMMYFUNCTION("""COMPUTED_VALUE"""),4.23)</f>
        <v>4.23</v>
      </c>
      <c r="AK310" s="320">
        <f>IFERROR(__xludf.DUMMYFUNCTION("""COMPUTED_VALUE"""),0.217)</f>
        <v>0.217</v>
      </c>
      <c r="AL310" s="320">
        <f>IFERROR(__xludf.DUMMYFUNCTION("""COMPUTED_VALUE"""),21.03)</f>
        <v>21.03</v>
      </c>
      <c r="AM310" s="320">
        <f>IFERROR(__xludf.DUMMYFUNCTION("""COMPUTED_VALUE"""),48.86)</f>
        <v>48.86</v>
      </c>
      <c r="AN310" s="320">
        <f>IFERROR(__xludf.DUMMYFUNCTION("""COMPUTED_VALUE"""),75.27)</f>
        <v>75.27</v>
      </c>
      <c r="AO310" s="320">
        <f>IFERROR(__xludf.DUMMYFUNCTION("""COMPUTED_VALUE"""),15.83)</f>
        <v>15.83</v>
      </c>
    </row>
    <row r="311" ht="15.75" customHeight="1">
      <c r="A311" s="330">
        <f>IFERROR(__xludf.DUMMYFUNCTION("""COMPUTED_VALUE"""),46101.0)</f>
        <v>46101</v>
      </c>
      <c r="B311" s="319" t="str">
        <f>IFERROR(__xludf.DUMMYFUNCTION("""COMPUTED_VALUE"""),"D. 20-39")</f>
        <v>D. 20-39</v>
      </c>
      <c r="C311" s="320">
        <f>IFERROR(__xludf.DUMMYFUNCTION("""COMPUTED_VALUE"""),14225.0)</f>
        <v>14225</v>
      </c>
      <c r="D311" s="320">
        <f>IFERROR(__xludf.DUMMYFUNCTION("""COMPUTED_VALUE"""),13.83)</f>
        <v>13.83</v>
      </c>
      <c r="E311" s="320">
        <f>IFERROR(__xludf.DUMMYFUNCTION("""COMPUTED_VALUE"""),0.0)</f>
        <v>0</v>
      </c>
      <c r="F311" s="320">
        <f>IFERROR(__xludf.DUMMYFUNCTION("""COMPUTED_VALUE"""),0.0)</f>
        <v>0</v>
      </c>
      <c r="G311" s="320">
        <f>IFERROR(__xludf.DUMMYFUNCTION("""COMPUTED_VALUE"""),0.0)</f>
        <v>0</v>
      </c>
      <c r="H311" s="106"/>
      <c r="I311" s="320">
        <f>IFERROR(__xludf.DUMMYFUNCTION("""COMPUTED_VALUE"""),82.11)</f>
        <v>82.11</v>
      </c>
      <c r="J311" s="320">
        <f>IFERROR(__xludf.DUMMYFUNCTION("""COMPUTED_VALUE"""),41.72)</f>
        <v>41.72</v>
      </c>
      <c r="K311" s="320">
        <f>IFERROR(__xludf.DUMMYFUNCTION("""COMPUTED_VALUE"""),26.9)</f>
        <v>26.9</v>
      </c>
      <c r="L311" s="320">
        <f>IFERROR(__xludf.DUMMYFUNCTION("""COMPUTED_VALUE"""),0.6446)</f>
        <v>0.6446</v>
      </c>
      <c r="M311" s="320">
        <f>IFERROR(__xludf.DUMMYFUNCTION("""COMPUTED_VALUE"""),0.5403)</f>
        <v>0.5403</v>
      </c>
      <c r="N311" s="320">
        <f>IFERROR(__xludf.DUMMYFUNCTION("""COMPUTED_VALUE"""),0.3699)</f>
        <v>0.3699</v>
      </c>
      <c r="O311" s="320">
        <f>IFERROR(__xludf.DUMMYFUNCTION("""COMPUTED_VALUE"""),1.5512)</f>
        <v>1.5512</v>
      </c>
      <c r="P311" s="320">
        <f>IFERROR(__xludf.DUMMYFUNCTION("""COMPUTED_VALUE"""),156.0)</f>
        <v>156</v>
      </c>
      <c r="Q311" s="320">
        <f>IFERROR(__xludf.DUMMYFUNCTION("""COMPUTED_VALUE"""),98.94)</f>
        <v>98.94</v>
      </c>
      <c r="R311" s="320">
        <f>IFERROR(__xludf.DUMMYFUNCTION("""COMPUTED_VALUE"""),57.06)</f>
        <v>57.06</v>
      </c>
      <c r="S311" s="320">
        <f>IFERROR(__xludf.DUMMYFUNCTION("""COMPUTED_VALUE"""),0.0)</f>
        <v>0</v>
      </c>
      <c r="T311" s="320">
        <f>IFERROR(__xludf.DUMMYFUNCTION("""COMPUTED_VALUE"""),156.0)</f>
        <v>156</v>
      </c>
      <c r="U311" s="320">
        <f>IFERROR(__xludf.DUMMYFUNCTION("""COMPUTED_VALUE"""),165.0)</f>
        <v>165</v>
      </c>
      <c r="V311" s="320">
        <f>IFERROR(__xludf.DUMMYFUNCTION("""COMPUTED_VALUE"""),3.9545)</f>
        <v>3.9545</v>
      </c>
      <c r="W311" s="320">
        <f>IFERROR(__xludf.DUMMYFUNCTION("""COMPUTED_VALUE"""),0.0)</f>
        <v>0</v>
      </c>
      <c r="X311" s="320">
        <f>IFERROR(__xludf.DUMMYFUNCTION("""COMPUTED_VALUE"""),148.0)</f>
        <v>148</v>
      </c>
      <c r="Y311" s="320">
        <f>IFERROR(__xludf.DUMMYFUNCTION("""COMPUTED_VALUE"""),944.0)</f>
        <v>944</v>
      </c>
      <c r="Z311" s="320">
        <f>IFERROR(__xludf.DUMMYFUNCTION("""COMPUTED_VALUE"""),6434.0)</f>
        <v>6434</v>
      </c>
      <c r="AA311" s="320">
        <f>IFERROR(__xludf.DUMMYFUNCTION("""COMPUTED_VALUE"""),55.5995)</f>
        <v>55.5995</v>
      </c>
      <c r="AB311" s="320">
        <f>IFERROR(__xludf.DUMMYFUNCTION("""COMPUTED_VALUE"""),0.738)</f>
        <v>0.738</v>
      </c>
      <c r="AC311" s="320">
        <f>IFERROR(__xludf.DUMMYFUNCTION("""COMPUTED_VALUE"""),17.63)</f>
        <v>17.63</v>
      </c>
      <c r="AD311" s="320">
        <f>IFERROR(__xludf.DUMMYFUNCTION("""COMPUTED_VALUE"""),8.0)</f>
        <v>8</v>
      </c>
      <c r="AE311" s="320">
        <f>IFERROR(__xludf.DUMMYFUNCTION("""COMPUTED_VALUE"""),14.0)</f>
        <v>14</v>
      </c>
      <c r="AF311" s="320">
        <f>IFERROR(__xludf.DUMMYFUNCTION("""COMPUTED_VALUE"""),24.0)</f>
        <v>24</v>
      </c>
      <c r="AG311" s="320">
        <f>IFERROR(__xludf.DUMMYFUNCTION("""COMPUTED_VALUE"""),36.0)</f>
        <v>36</v>
      </c>
      <c r="AH311" s="320">
        <f>IFERROR(__xludf.DUMMYFUNCTION("""COMPUTED_VALUE"""),61.2)</f>
        <v>61.2</v>
      </c>
      <c r="AI311" s="320">
        <f>IFERROR(__xludf.DUMMYFUNCTION("""COMPUTED_VALUE"""),22.04)</f>
        <v>22.04</v>
      </c>
      <c r="AJ311" s="320">
        <f>IFERROR(__xludf.DUMMYFUNCTION("""COMPUTED_VALUE"""),6.14)</f>
        <v>6.14</v>
      </c>
      <c r="AK311" s="320">
        <f>IFERROR(__xludf.DUMMYFUNCTION("""COMPUTED_VALUE"""),0.1986)</f>
        <v>0.1986</v>
      </c>
      <c r="AL311" s="320">
        <f>IFERROR(__xludf.DUMMYFUNCTION("""COMPUTED_VALUE"""),21.31)</f>
        <v>21.31</v>
      </c>
      <c r="AM311" s="320">
        <f>IFERROR(__xludf.DUMMYFUNCTION("""COMPUTED_VALUE"""),77.63)</f>
        <v>77.63</v>
      </c>
      <c r="AN311" s="320">
        <f>IFERROR(__xludf.DUMMYFUNCTION("""COMPUTED_VALUE"""),78.1)</f>
        <v>78.1</v>
      </c>
      <c r="AO311" s="320">
        <f>IFERROR(__xludf.DUMMYFUNCTION("""COMPUTED_VALUE"""),16.64)</f>
        <v>16.64</v>
      </c>
    </row>
    <row r="312" ht="15.75" customHeight="1">
      <c r="A312" s="330">
        <f>IFERROR(__xludf.DUMMYFUNCTION("""COMPUTED_VALUE"""),46101.0)</f>
        <v>46101</v>
      </c>
      <c r="B312" s="319" t="str">
        <f>IFERROR(__xludf.DUMMYFUNCTION("""COMPUTED_VALUE"""),"E. 40-99")</f>
        <v>E. 40-99</v>
      </c>
      <c r="C312" s="320">
        <f>IFERROR(__xludf.DUMMYFUNCTION("""COMPUTED_VALUE"""),5587.0)</f>
        <v>5587</v>
      </c>
      <c r="D312" s="320">
        <f>IFERROR(__xludf.DUMMYFUNCTION("""COMPUTED_VALUE"""),5.43)</f>
        <v>5.43</v>
      </c>
      <c r="E312" s="320">
        <f>IFERROR(__xludf.DUMMYFUNCTION("""COMPUTED_VALUE"""),0.0)</f>
        <v>0</v>
      </c>
      <c r="F312" s="320">
        <f>IFERROR(__xludf.DUMMYFUNCTION("""COMPUTED_VALUE"""),0.0)</f>
        <v>0</v>
      </c>
      <c r="G312" s="320">
        <f>IFERROR(__xludf.DUMMYFUNCTION("""COMPUTED_VALUE"""),0.0)</f>
        <v>0</v>
      </c>
      <c r="H312" s="106"/>
      <c r="I312" s="320">
        <f>IFERROR(__xludf.DUMMYFUNCTION("""COMPUTED_VALUE"""),131.31)</f>
        <v>131.31</v>
      </c>
      <c r="J312" s="320">
        <f>IFERROR(__xludf.DUMMYFUNCTION("""COMPUTED_VALUE"""),70.64)</f>
        <v>70.64</v>
      </c>
      <c r="K312" s="320">
        <f>IFERROR(__xludf.DUMMYFUNCTION("""COMPUTED_VALUE"""),54.65)</f>
        <v>54.65</v>
      </c>
      <c r="L312" s="320">
        <f>IFERROR(__xludf.DUMMYFUNCTION("""COMPUTED_VALUE"""),0.7736)</f>
        <v>0.7736</v>
      </c>
      <c r="M312" s="320">
        <f>IFERROR(__xludf.DUMMYFUNCTION("""COMPUTED_VALUE"""),0.4062)</f>
        <v>0.4062</v>
      </c>
      <c r="N312" s="320">
        <f>IFERROR(__xludf.DUMMYFUNCTION("""COMPUTED_VALUE"""),0.2878)</f>
        <v>0.2878</v>
      </c>
      <c r="O312" s="320">
        <f>IFERROR(__xludf.DUMMYFUNCTION("""COMPUTED_VALUE"""),1.2926)</f>
        <v>1.2926</v>
      </c>
      <c r="P312" s="320">
        <f>IFERROR(__xludf.DUMMYFUNCTION("""COMPUTED_VALUE"""),258.69)</f>
        <v>258.69</v>
      </c>
      <c r="Q312" s="320">
        <f>IFERROR(__xludf.DUMMYFUNCTION("""COMPUTED_VALUE"""),143.02)</f>
        <v>143.02</v>
      </c>
      <c r="R312" s="320">
        <f>IFERROR(__xludf.DUMMYFUNCTION("""COMPUTED_VALUE"""),115.66)</f>
        <v>115.66</v>
      </c>
      <c r="S312" s="320">
        <f>IFERROR(__xludf.DUMMYFUNCTION("""COMPUTED_VALUE"""),0.0)</f>
        <v>0</v>
      </c>
      <c r="T312" s="320">
        <f>IFERROR(__xludf.DUMMYFUNCTION("""COMPUTED_VALUE"""),258.69)</f>
        <v>258.69</v>
      </c>
      <c r="U312" s="320">
        <f>IFERROR(__xludf.DUMMYFUNCTION("""COMPUTED_VALUE"""),304.09)</f>
        <v>304.09</v>
      </c>
      <c r="V312" s="320">
        <f>IFERROR(__xludf.DUMMYFUNCTION("""COMPUTED_VALUE"""),4.305)</f>
        <v>4.305</v>
      </c>
      <c r="W312" s="320">
        <f>IFERROR(__xludf.DUMMYFUNCTION("""COMPUTED_VALUE"""),0.0)</f>
        <v>0</v>
      </c>
      <c r="X312" s="320">
        <f>IFERROR(__xludf.DUMMYFUNCTION("""COMPUTED_VALUE"""),229.0)</f>
        <v>229</v>
      </c>
      <c r="Y312" s="320">
        <f>IFERROR(__xludf.DUMMYFUNCTION("""COMPUTED_VALUE"""),1885.0)</f>
        <v>1885</v>
      </c>
      <c r="Z312" s="320">
        <f>IFERROR(__xludf.DUMMYFUNCTION("""COMPUTED_VALUE"""),8304.0)</f>
        <v>8304</v>
      </c>
      <c r="AA312" s="320">
        <f>IFERROR(__xludf.DUMMYFUNCTION("""COMPUTED_VALUE"""),59.4503)</f>
        <v>59.4503</v>
      </c>
      <c r="AB312" s="320">
        <f>IFERROR(__xludf.DUMMYFUNCTION("""COMPUTED_VALUE"""),0.8282)</f>
        <v>0.8282</v>
      </c>
      <c r="AC312" s="320">
        <f>IFERROR(__xludf.DUMMYFUNCTION("""COMPUTED_VALUE"""),36.38)</f>
        <v>36.38</v>
      </c>
      <c r="AD312" s="320">
        <f>IFERROR(__xludf.DUMMYFUNCTION("""COMPUTED_VALUE"""),15.0)</f>
        <v>15</v>
      </c>
      <c r="AE312" s="320">
        <f>IFERROR(__xludf.DUMMYFUNCTION("""COMPUTED_VALUE"""),28.0)</f>
        <v>28</v>
      </c>
      <c r="AF312" s="320">
        <f>IFERROR(__xludf.DUMMYFUNCTION("""COMPUTED_VALUE"""),49.0)</f>
        <v>49</v>
      </c>
      <c r="AG312" s="320">
        <f>IFERROR(__xludf.DUMMYFUNCTION("""COMPUTED_VALUE"""),76.0)</f>
        <v>76</v>
      </c>
      <c r="AH312" s="320">
        <f>IFERROR(__xludf.DUMMYFUNCTION("""COMPUTED_VALUE"""),50.6)</f>
        <v>50.6</v>
      </c>
      <c r="AI312" s="320">
        <f>IFERROR(__xludf.DUMMYFUNCTION("""COMPUTED_VALUE"""),18.15)</f>
        <v>18.15</v>
      </c>
      <c r="AJ312" s="320">
        <f>IFERROR(__xludf.DUMMYFUNCTION("""COMPUTED_VALUE"""),4.51)</f>
        <v>4.51</v>
      </c>
      <c r="AK312" s="320">
        <f>IFERROR(__xludf.DUMMYFUNCTION("""COMPUTED_VALUE"""),0.1541)</f>
        <v>0.1541</v>
      </c>
      <c r="AL312" s="320">
        <f>IFERROR(__xludf.DUMMYFUNCTION("""COMPUTED_VALUE"""),22.25)</f>
        <v>22.25</v>
      </c>
      <c r="AM312" s="320">
        <f>IFERROR(__xludf.DUMMYFUNCTION("""COMPUTED_VALUE"""),120.78)</f>
        <v>120.78</v>
      </c>
      <c r="AN312" s="320">
        <f>IFERROR(__xludf.DUMMYFUNCTION("""COMPUTED_VALUE"""),82.69)</f>
        <v>82.69</v>
      </c>
      <c r="AO312" s="320">
        <f>IFERROR(__xludf.DUMMYFUNCTION("""COMPUTED_VALUE"""),18.4)</f>
        <v>18.4</v>
      </c>
    </row>
    <row r="313" ht="15.75" customHeight="1">
      <c r="A313" s="330">
        <f>IFERROR(__xludf.DUMMYFUNCTION("""COMPUTED_VALUE"""),46101.0)</f>
        <v>46101</v>
      </c>
      <c r="B313" s="319" t="str">
        <f>IFERROR(__xludf.DUMMYFUNCTION("""COMPUTED_VALUE"""),"F. 100+")</f>
        <v>F. 100+</v>
      </c>
      <c r="C313" s="320">
        <f>IFERROR(__xludf.DUMMYFUNCTION("""COMPUTED_VALUE"""),649.0)</f>
        <v>649</v>
      </c>
      <c r="D313" s="320">
        <f>IFERROR(__xludf.DUMMYFUNCTION("""COMPUTED_VALUE"""),0.63)</f>
        <v>0.63</v>
      </c>
      <c r="E313" s="320">
        <f>IFERROR(__xludf.DUMMYFUNCTION("""COMPUTED_VALUE"""),0.0)</f>
        <v>0</v>
      </c>
      <c r="F313" s="320">
        <f>IFERROR(__xludf.DUMMYFUNCTION("""COMPUTED_VALUE"""),0.0)</f>
        <v>0</v>
      </c>
      <c r="G313" s="320">
        <f>IFERROR(__xludf.DUMMYFUNCTION("""COMPUTED_VALUE"""),0.0)</f>
        <v>0</v>
      </c>
      <c r="H313" s="106"/>
      <c r="I313" s="320">
        <f>IFERROR(__xludf.DUMMYFUNCTION("""COMPUTED_VALUE"""),244.91)</f>
        <v>244.91</v>
      </c>
      <c r="J313" s="320">
        <f>IFERROR(__xludf.DUMMYFUNCTION("""COMPUTED_VALUE"""),142.06)</f>
        <v>142.06</v>
      </c>
      <c r="K313" s="320">
        <f>IFERROR(__xludf.DUMMYFUNCTION("""COMPUTED_VALUE"""),122.32)</f>
        <v>122.32</v>
      </c>
      <c r="L313" s="320">
        <f>IFERROR(__xludf.DUMMYFUNCTION("""COMPUTED_VALUE"""),0.861)</f>
        <v>0.861</v>
      </c>
      <c r="M313" s="320">
        <f>IFERROR(__xludf.DUMMYFUNCTION("""COMPUTED_VALUE"""),0.2935)</f>
        <v>0.2935</v>
      </c>
      <c r="N313" s="320">
        <f>IFERROR(__xludf.DUMMYFUNCTION("""COMPUTED_VALUE"""),0.2184)</f>
        <v>0.2184</v>
      </c>
      <c r="O313" s="320">
        <f>IFERROR(__xludf.DUMMYFUNCTION("""COMPUTED_VALUE"""),1.1614)</f>
        <v>1.1614</v>
      </c>
      <c r="P313" s="320">
        <f>IFERROR(__xludf.DUMMYFUNCTION("""COMPUTED_VALUE"""),506.95)</f>
        <v>506.95</v>
      </c>
      <c r="Q313" s="320">
        <f>IFERROR(__xludf.DUMMYFUNCTION("""COMPUTED_VALUE"""),248.35)</f>
        <v>248.35</v>
      </c>
      <c r="R313" s="320">
        <f>IFERROR(__xludf.DUMMYFUNCTION("""COMPUTED_VALUE"""),258.6)</f>
        <v>258.6</v>
      </c>
      <c r="S313" s="320">
        <f>IFERROR(__xludf.DUMMYFUNCTION("""COMPUTED_VALUE"""),0.08)</f>
        <v>0.08</v>
      </c>
      <c r="T313" s="320">
        <f>IFERROR(__xludf.DUMMYFUNCTION("""COMPUTED_VALUE"""),506.87)</f>
        <v>506.87</v>
      </c>
      <c r="U313" s="320">
        <f>IFERROR(__xludf.DUMMYFUNCTION("""COMPUTED_VALUE"""),736.21)</f>
        <v>736.21</v>
      </c>
      <c r="V313" s="320">
        <f>IFERROR(__xludf.DUMMYFUNCTION("""COMPUTED_VALUE"""),5.1823)</f>
        <v>5.1823</v>
      </c>
      <c r="W313" s="320">
        <f>IFERROR(__xludf.DUMMYFUNCTION("""COMPUTED_VALUE"""),0.02)</f>
        <v>0.02</v>
      </c>
      <c r="X313" s="320">
        <f>IFERROR(__xludf.DUMMYFUNCTION("""COMPUTED_VALUE"""),1002.0)</f>
        <v>1002</v>
      </c>
      <c r="Y313" s="320">
        <f>IFERROR(__xludf.DUMMYFUNCTION("""COMPUTED_VALUE"""),4606.0)</f>
        <v>4606</v>
      </c>
      <c r="Z313" s="320">
        <f>IFERROR(__xludf.DUMMYFUNCTION("""COMPUTED_VALUE"""),12798.0)</f>
        <v>12798</v>
      </c>
      <c r="AA313" s="320">
        <f>IFERROR(__xludf.DUMMYFUNCTION("""COMPUTED_VALUE"""),63.1838)</f>
        <v>63.1838</v>
      </c>
      <c r="AB313" s="320">
        <f>IFERROR(__xludf.DUMMYFUNCTION("""COMPUTED_VALUE"""),0.9029)</f>
        <v>0.9029</v>
      </c>
      <c r="AC313" s="320">
        <f>IFERROR(__xludf.DUMMYFUNCTION("""COMPUTED_VALUE"""),83.71)</f>
        <v>83.71</v>
      </c>
      <c r="AD313" s="320">
        <f>IFERROR(__xludf.DUMMYFUNCTION("""COMPUTED_VALUE"""),34.0)</f>
        <v>34</v>
      </c>
      <c r="AE313" s="320">
        <f>IFERROR(__xludf.DUMMYFUNCTION("""COMPUTED_VALUE"""),68.0)</f>
        <v>68</v>
      </c>
      <c r="AF313" s="320">
        <f>IFERROR(__xludf.DUMMYFUNCTION("""COMPUTED_VALUE"""),118.0)</f>
        <v>118</v>
      </c>
      <c r="AG313" s="320">
        <f>IFERROR(__xludf.DUMMYFUNCTION("""COMPUTED_VALUE"""),175.0)</f>
        <v>175</v>
      </c>
      <c r="AH313" s="320">
        <f>IFERROR(__xludf.DUMMYFUNCTION("""COMPUTED_VALUE"""),43.76)</f>
        <v>43.76</v>
      </c>
      <c r="AI313" s="320">
        <f>IFERROR(__xludf.DUMMYFUNCTION("""COMPUTED_VALUE"""),10.32)</f>
        <v>10.32</v>
      </c>
      <c r="AJ313" s="320">
        <f>IFERROR(__xludf.DUMMYFUNCTION("""COMPUTED_VALUE"""),1.08)</f>
        <v>1.08</v>
      </c>
      <c r="AK313" s="320">
        <f>IFERROR(__xludf.DUMMYFUNCTION("""COMPUTED_VALUE"""),0.1063)</f>
        <v>0.1063</v>
      </c>
      <c r="AL313" s="320">
        <f>IFERROR(__xludf.DUMMYFUNCTION("""COMPUTED_VALUE"""),25.79)</f>
        <v>25.79</v>
      </c>
      <c r="AM313" s="320">
        <f>IFERROR(__xludf.DUMMYFUNCTION("""COMPUTED_VALUE"""),222.56)</f>
        <v>222.56</v>
      </c>
      <c r="AN313" s="320">
        <f>IFERROR(__xludf.DUMMYFUNCTION("""COMPUTED_VALUE"""),86.35)</f>
        <v>86.35</v>
      </c>
      <c r="AO313" s="320">
        <f>IFERROR(__xludf.DUMMYFUNCTION("""COMPUTED_VALUE"""),22.27)</f>
        <v>22.27</v>
      </c>
    </row>
    <row r="314" ht="15.75" customHeight="1">
      <c r="A314" s="330">
        <f>IFERROR(__xludf.DUMMYFUNCTION("""COMPUTED_VALUE"""),46102.0)</f>
        <v>46102</v>
      </c>
      <c r="B314" s="319" t="str">
        <f>IFERROR(__xludf.DUMMYFUNCTION("""COMPUTED_VALUE"""),"A. 0")</f>
        <v>A. 0</v>
      </c>
      <c r="C314" s="320">
        <f>IFERROR(__xludf.DUMMYFUNCTION("""COMPUTED_VALUE"""),19611.0)</f>
        <v>19611</v>
      </c>
      <c r="D314" s="320">
        <f>IFERROR(__xludf.DUMMYFUNCTION("""COMPUTED_VALUE"""),19.29)</f>
        <v>19.29</v>
      </c>
      <c r="E314" s="320">
        <f>IFERROR(__xludf.DUMMYFUNCTION("""COMPUTED_VALUE"""),0.0)</f>
        <v>0</v>
      </c>
      <c r="F314" s="320">
        <f>IFERROR(__xludf.DUMMYFUNCTION("""COMPUTED_VALUE"""),0.0)</f>
        <v>0</v>
      </c>
      <c r="G314" s="320">
        <f>IFERROR(__xludf.DUMMYFUNCTION("""COMPUTED_VALUE"""),0.0)</f>
        <v>0</v>
      </c>
      <c r="H314" s="106"/>
      <c r="I314" s="320">
        <f>IFERROR(__xludf.DUMMYFUNCTION("""COMPUTED_VALUE"""),5.89)</f>
        <v>5.89</v>
      </c>
      <c r="J314" s="320">
        <f>IFERROR(__xludf.DUMMYFUNCTION("""COMPUTED_VALUE"""),2.44)</f>
        <v>2.44</v>
      </c>
      <c r="K314" s="320">
        <f>IFERROR(__xludf.DUMMYFUNCTION("""COMPUTED_VALUE"""),0.01)</f>
        <v>0.01</v>
      </c>
      <c r="L314" s="320">
        <f>IFERROR(__xludf.DUMMYFUNCTION("""COMPUTED_VALUE"""),0.006)</f>
        <v>0.006</v>
      </c>
      <c r="M314" s="320">
        <f>IFERROR(__xludf.DUMMYFUNCTION("""COMPUTED_VALUE"""),0.9954)</f>
        <v>0.9954</v>
      </c>
      <c r="N314" s="320">
        <f>IFERROR(__xludf.DUMMYFUNCTION("""COMPUTED_VALUE"""),0.9421)</f>
        <v>0.9421</v>
      </c>
      <c r="O314" s="320">
        <f>IFERROR(__xludf.DUMMYFUNCTION("""COMPUTED_VALUE"""),165.7128)</f>
        <v>165.7128</v>
      </c>
      <c r="P314" s="320">
        <f>IFERROR(__xludf.DUMMYFUNCTION("""COMPUTED_VALUE"""),25.73)</f>
        <v>25.73</v>
      </c>
      <c r="Q314" s="320">
        <f>IFERROR(__xludf.DUMMYFUNCTION("""COMPUTED_VALUE"""),25.61)</f>
        <v>25.61</v>
      </c>
      <c r="R314" s="320">
        <f>IFERROR(__xludf.DUMMYFUNCTION("""COMPUTED_VALUE"""),0.12)</f>
        <v>0.12</v>
      </c>
      <c r="S314" s="320">
        <f>IFERROR(__xludf.DUMMYFUNCTION("""COMPUTED_VALUE"""),0.0)</f>
        <v>0</v>
      </c>
      <c r="T314" s="320">
        <f>IFERROR(__xludf.DUMMYFUNCTION("""COMPUTED_VALUE"""),25.73)</f>
        <v>25.73</v>
      </c>
      <c r="U314" s="320">
        <f>IFERROR(__xludf.DUMMYFUNCTION("""COMPUTED_VALUE"""),2.34)</f>
        <v>2.34</v>
      </c>
      <c r="V314" s="320">
        <f>IFERROR(__xludf.DUMMYFUNCTION("""COMPUTED_VALUE"""),0.9563)</f>
        <v>0.9563</v>
      </c>
      <c r="W314" s="320">
        <f>IFERROR(__xludf.DUMMYFUNCTION("""COMPUTED_VALUE"""),0.0)</f>
        <v>0</v>
      </c>
      <c r="X314" s="320">
        <f>IFERROR(__xludf.DUMMYFUNCTION("""COMPUTED_VALUE"""),342.0)</f>
        <v>342</v>
      </c>
      <c r="Y314" s="320">
        <f>IFERROR(__xludf.DUMMYFUNCTION("""COMPUTED_VALUE"""),3577.0)</f>
        <v>3577</v>
      </c>
      <c r="Z314" s="320">
        <f>IFERROR(__xludf.DUMMYFUNCTION("""COMPUTED_VALUE"""),14570.0)</f>
        <v>14570</v>
      </c>
      <c r="AA314" s="320">
        <f>IFERROR(__xludf.DUMMYFUNCTION("""COMPUTED_VALUE"""),48.9798)</f>
        <v>48.9798</v>
      </c>
      <c r="AB314" s="320">
        <f>IFERROR(__xludf.DUMMYFUNCTION("""COMPUTED_VALUE"""),0.5402)</f>
        <v>0.5402</v>
      </c>
      <c r="AC314" s="106"/>
      <c r="AD314" s="106"/>
      <c r="AE314" s="106"/>
      <c r="AF314" s="106"/>
      <c r="AG314" s="106"/>
      <c r="AH314" s="320">
        <f>IFERROR(__xludf.DUMMYFUNCTION("""COMPUTED_VALUE"""),0.0)</f>
        <v>0</v>
      </c>
      <c r="AI314" s="320">
        <f>IFERROR(__xludf.DUMMYFUNCTION("""COMPUTED_VALUE"""),0.0)</f>
        <v>0</v>
      </c>
      <c r="AJ314" s="320">
        <f>IFERROR(__xludf.DUMMYFUNCTION("""COMPUTED_VALUE"""),0.0)</f>
        <v>0</v>
      </c>
      <c r="AK314" s="320">
        <f>IFERROR(__xludf.DUMMYFUNCTION("""COMPUTED_VALUE"""),0.2934)</f>
        <v>0.2934</v>
      </c>
      <c r="AL314" s="320">
        <f>IFERROR(__xludf.DUMMYFUNCTION("""COMPUTED_VALUE"""),19.42)</f>
        <v>19.42</v>
      </c>
      <c r="AM314" s="320">
        <f>IFERROR(__xludf.DUMMYFUNCTION("""COMPUTED_VALUE"""),6.19)</f>
        <v>6.19</v>
      </c>
      <c r="AN314" s="331"/>
      <c r="AO314" s="331"/>
    </row>
    <row r="315" ht="15.75" customHeight="1">
      <c r="A315" s="330">
        <f>IFERROR(__xludf.DUMMYFUNCTION("""COMPUTED_VALUE"""),46102.0)</f>
        <v>46102</v>
      </c>
      <c r="B315" s="319" t="str">
        <f>IFERROR(__xludf.DUMMYFUNCTION("""COMPUTED_VALUE"""),"B. 1-9")</f>
        <v>B. 1-9</v>
      </c>
      <c r="C315" s="320">
        <f>IFERROR(__xludf.DUMMYFUNCTION("""COMPUTED_VALUE"""),36775.0)</f>
        <v>36775</v>
      </c>
      <c r="D315" s="320">
        <f>IFERROR(__xludf.DUMMYFUNCTION("""COMPUTED_VALUE"""),36.18)</f>
        <v>36.18</v>
      </c>
      <c r="E315" s="320">
        <f>IFERROR(__xludf.DUMMYFUNCTION("""COMPUTED_VALUE"""),0.0)</f>
        <v>0</v>
      </c>
      <c r="F315" s="320">
        <f>IFERROR(__xludf.DUMMYFUNCTION("""COMPUTED_VALUE"""),0.0)</f>
        <v>0</v>
      </c>
      <c r="G315" s="320">
        <f>IFERROR(__xludf.DUMMYFUNCTION("""COMPUTED_VALUE"""),0.0)</f>
        <v>0</v>
      </c>
      <c r="H315" s="106"/>
      <c r="I315" s="320">
        <f>IFERROR(__xludf.DUMMYFUNCTION("""COMPUTED_VALUE"""),29.78)</f>
        <v>29.78</v>
      </c>
      <c r="J315" s="320">
        <f>IFERROR(__xludf.DUMMYFUNCTION("""COMPUTED_VALUE"""),13.6)</f>
        <v>13.6</v>
      </c>
      <c r="K315" s="320">
        <f>IFERROR(__xludf.DUMMYFUNCTION("""COMPUTED_VALUE"""),5.82)</f>
        <v>5.82</v>
      </c>
      <c r="L315" s="320">
        <f>IFERROR(__xludf.DUMMYFUNCTION("""COMPUTED_VALUE"""),0.4282)</f>
        <v>0.4282</v>
      </c>
      <c r="M315" s="320">
        <f>IFERROR(__xludf.DUMMYFUNCTION("""COMPUTED_VALUE"""),0.7466)</f>
        <v>0.7466</v>
      </c>
      <c r="N315" s="320">
        <f>IFERROR(__xludf.DUMMYFUNCTION("""COMPUTED_VALUE"""),0.553)</f>
        <v>0.553</v>
      </c>
      <c r="O315" s="320">
        <f>IFERROR(__xludf.DUMMYFUNCTION("""COMPUTED_VALUE"""),2.3355)</f>
        <v>2.3355</v>
      </c>
      <c r="P315" s="320">
        <f>IFERROR(__xludf.DUMMYFUNCTION("""COMPUTED_VALUE"""),52.65)</f>
        <v>52.65</v>
      </c>
      <c r="Q315" s="320">
        <f>IFERROR(__xludf.DUMMYFUNCTION("""COMPUTED_VALUE"""),40.72)</f>
        <v>40.72</v>
      </c>
      <c r="R315" s="320">
        <f>IFERROR(__xludf.DUMMYFUNCTION("""COMPUTED_VALUE"""),11.93)</f>
        <v>11.93</v>
      </c>
      <c r="S315" s="320">
        <f>IFERROR(__xludf.DUMMYFUNCTION("""COMPUTED_VALUE"""),0.01)</f>
        <v>0.01</v>
      </c>
      <c r="T315" s="320">
        <f>IFERROR(__xludf.DUMMYFUNCTION("""COMPUTED_VALUE"""),52.64)</f>
        <v>52.64</v>
      </c>
      <c r="U315" s="320">
        <f>IFERROR(__xludf.DUMMYFUNCTION("""COMPUTED_VALUE"""),53.61)</f>
        <v>53.61</v>
      </c>
      <c r="V315" s="320">
        <f>IFERROR(__xludf.DUMMYFUNCTION("""COMPUTED_VALUE"""),3.9433)</f>
        <v>3.9433</v>
      </c>
      <c r="W315" s="320">
        <f>IFERROR(__xludf.DUMMYFUNCTION("""COMPUTED_VALUE"""),0.02)</f>
        <v>0.02</v>
      </c>
      <c r="X315" s="320">
        <f>IFERROR(__xludf.DUMMYFUNCTION("""COMPUTED_VALUE"""),141.0)</f>
        <v>141</v>
      </c>
      <c r="Y315" s="320">
        <f>IFERROR(__xludf.DUMMYFUNCTION("""COMPUTED_VALUE"""),868.0)</f>
        <v>868</v>
      </c>
      <c r="Z315" s="320">
        <f>IFERROR(__xludf.DUMMYFUNCTION("""COMPUTED_VALUE"""),6106.0)</f>
        <v>6106</v>
      </c>
      <c r="AA315" s="320">
        <f>IFERROR(__xludf.DUMMYFUNCTION("""COMPUTED_VALUE"""),48.7188)</f>
        <v>48.7188</v>
      </c>
      <c r="AB315" s="320">
        <f>IFERROR(__xludf.DUMMYFUNCTION("""COMPUTED_VALUE"""),0.5348)</f>
        <v>0.5348</v>
      </c>
      <c r="AC315" s="320">
        <f>IFERROR(__xludf.DUMMYFUNCTION("""COMPUTED_VALUE"""),4.08)</f>
        <v>4.08</v>
      </c>
      <c r="AD315" s="320">
        <f>IFERROR(__xludf.DUMMYFUNCTION("""COMPUTED_VALUE"""),1.0)</f>
        <v>1</v>
      </c>
      <c r="AE315" s="320">
        <f>IFERROR(__xludf.DUMMYFUNCTION("""COMPUTED_VALUE"""),3.0)</f>
        <v>3</v>
      </c>
      <c r="AF315" s="320">
        <f>IFERROR(__xludf.DUMMYFUNCTION("""COMPUTED_VALUE"""),5.0)</f>
        <v>5</v>
      </c>
      <c r="AG315" s="320">
        <f>IFERROR(__xludf.DUMMYFUNCTION("""COMPUTED_VALUE"""),9.0)</f>
        <v>9</v>
      </c>
      <c r="AH315" s="320">
        <f>IFERROR(__xludf.DUMMYFUNCTION("""COMPUTED_VALUE"""),73.11)</f>
        <v>73.11</v>
      </c>
      <c r="AI315" s="320">
        <f>IFERROR(__xludf.DUMMYFUNCTION("""COMPUTED_VALUE"""),31.39)</f>
        <v>31.39</v>
      </c>
      <c r="AJ315" s="320">
        <f>IFERROR(__xludf.DUMMYFUNCTION("""COMPUTED_VALUE"""),9.18)</f>
        <v>9.18</v>
      </c>
      <c r="AK315" s="320">
        <f>IFERROR(__xludf.DUMMYFUNCTION("""COMPUTED_VALUE"""),0.2478)</f>
        <v>0.2478</v>
      </c>
      <c r="AL315" s="320">
        <f>IFERROR(__xludf.DUMMYFUNCTION("""COMPUTED_VALUE"""),22.14)</f>
        <v>22.14</v>
      </c>
      <c r="AM315" s="320">
        <f>IFERROR(__xludf.DUMMYFUNCTION("""COMPUTED_VALUE"""),18.58)</f>
        <v>18.58</v>
      </c>
      <c r="AN315" s="320">
        <f>IFERROR(__xludf.DUMMYFUNCTION("""COMPUTED_VALUE"""),65.8)</f>
        <v>65.8</v>
      </c>
      <c r="AO315" s="320">
        <f>IFERROR(__xludf.DUMMYFUNCTION("""COMPUTED_VALUE"""),14.57)</f>
        <v>14.57</v>
      </c>
    </row>
    <row r="316" ht="15.75" customHeight="1">
      <c r="A316" s="330">
        <f>IFERROR(__xludf.DUMMYFUNCTION("""COMPUTED_VALUE"""),46102.0)</f>
        <v>46102</v>
      </c>
      <c r="B316" s="319" t="str">
        <f>IFERROR(__xludf.DUMMYFUNCTION("""COMPUTED_VALUE"""),"C. 10-19")</f>
        <v>C. 10-19</v>
      </c>
      <c r="C316" s="320">
        <f>IFERROR(__xludf.DUMMYFUNCTION("""COMPUTED_VALUE"""),25012.0)</f>
        <v>25012</v>
      </c>
      <c r="D316" s="320">
        <f>IFERROR(__xludf.DUMMYFUNCTION("""COMPUTED_VALUE"""),24.61)</f>
        <v>24.61</v>
      </c>
      <c r="E316" s="320">
        <f>IFERROR(__xludf.DUMMYFUNCTION("""COMPUTED_VALUE"""),0.0)</f>
        <v>0</v>
      </c>
      <c r="F316" s="320">
        <f>IFERROR(__xludf.DUMMYFUNCTION("""COMPUTED_VALUE"""),0.0)</f>
        <v>0</v>
      </c>
      <c r="G316" s="320">
        <f>IFERROR(__xludf.DUMMYFUNCTION("""COMPUTED_VALUE"""),0.0)</f>
        <v>0</v>
      </c>
      <c r="H316" s="106"/>
      <c r="I316" s="320">
        <f>IFERROR(__xludf.DUMMYFUNCTION("""COMPUTED_VALUE"""),53.98)</f>
        <v>53.98</v>
      </c>
      <c r="J316" s="320">
        <f>IFERROR(__xludf.DUMMYFUNCTION("""COMPUTED_VALUE"""),25.59)</f>
        <v>25.59</v>
      </c>
      <c r="K316" s="320">
        <f>IFERROR(__xludf.DUMMYFUNCTION("""COMPUTED_VALUE"""),13.93)</f>
        <v>13.93</v>
      </c>
      <c r="L316" s="320">
        <f>IFERROR(__xludf.DUMMYFUNCTION("""COMPUTED_VALUE"""),0.5442)</f>
        <v>0.5442</v>
      </c>
      <c r="M316" s="320">
        <f>IFERROR(__xludf.DUMMYFUNCTION("""COMPUTED_VALUE"""),0.6496)</f>
        <v>0.6496</v>
      </c>
      <c r="N316" s="320">
        <f>IFERROR(__xludf.DUMMYFUNCTION("""COMPUTED_VALUE"""),0.4566)</f>
        <v>0.4566</v>
      </c>
      <c r="O316" s="320">
        <f>IFERROR(__xludf.DUMMYFUNCTION("""COMPUTED_VALUE"""),1.8375)</f>
        <v>1.8375</v>
      </c>
      <c r="P316" s="320">
        <f>IFERROR(__xludf.DUMMYFUNCTION("""COMPUTED_VALUE"""),95.33)</f>
        <v>95.33</v>
      </c>
      <c r="Q316" s="320">
        <f>IFERROR(__xludf.DUMMYFUNCTION("""COMPUTED_VALUE"""),65.99)</f>
        <v>65.99</v>
      </c>
      <c r="R316" s="320">
        <f>IFERROR(__xludf.DUMMYFUNCTION("""COMPUTED_VALUE"""),29.34)</f>
        <v>29.34</v>
      </c>
      <c r="S316" s="320">
        <f>IFERROR(__xludf.DUMMYFUNCTION("""COMPUTED_VALUE"""),0.01)</f>
        <v>0.01</v>
      </c>
      <c r="T316" s="320">
        <f>IFERROR(__xludf.DUMMYFUNCTION("""COMPUTED_VALUE"""),95.32)</f>
        <v>95.32</v>
      </c>
      <c r="U316" s="320">
        <f>IFERROR(__xludf.DUMMYFUNCTION("""COMPUTED_VALUE"""),97.71)</f>
        <v>97.71</v>
      </c>
      <c r="V316" s="320">
        <f>IFERROR(__xludf.DUMMYFUNCTION("""COMPUTED_VALUE"""),3.8175)</f>
        <v>3.8175</v>
      </c>
      <c r="W316" s="320">
        <f>IFERROR(__xludf.DUMMYFUNCTION("""COMPUTED_VALUE"""),0.01)</f>
        <v>0.01</v>
      </c>
      <c r="X316" s="320">
        <f>IFERROR(__xludf.DUMMYFUNCTION("""COMPUTED_VALUE"""),126.0)</f>
        <v>126</v>
      </c>
      <c r="Y316" s="320">
        <f>IFERROR(__xludf.DUMMYFUNCTION("""COMPUTED_VALUE"""),696.0)</f>
        <v>696</v>
      </c>
      <c r="Z316" s="320">
        <f>IFERROR(__xludf.DUMMYFUNCTION("""COMPUTED_VALUE"""),5181.0)</f>
        <v>5181</v>
      </c>
      <c r="AA316" s="320">
        <f>IFERROR(__xludf.DUMMYFUNCTION("""COMPUTED_VALUE"""),52.2791)</f>
        <v>52.2791</v>
      </c>
      <c r="AB316" s="320">
        <f>IFERROR(__xludf.DUMMYFUNCTION("""COMPUTED_VALUE"""),0.6394)</f>
        <v>0.6394</v>
      </c>
      <c r="AC316" s="320">
        <f>IFERROR(__xludf.DUMMYFUNCTION("""COMPUTED_VALUE"""),9.45)</f>
        <v>9.45</v>
      </c>
      <c r="AD316" s="320">
        <f>IFERROR(__xludf.DUMMYFUNCTION("""COMPUTED_VALUE"""),4.0)</f>
        <v>4</v>
      </c>
      <c r="AE316" s="320">
        <f>IFERROR(__xludf.DUMMYFUNCTION("""COMPUTED_VALUE"""),8.0)</f>
        <v>8</v>
      </c>
      <c r="AF316" s="320">
        <f>IFERROR(__xludf.DUMMYFUNCTION("""COMPUTED_VALUE"""),13.0)</f>
        <v>13</v>
      </c>
      <c r="AG316" s="320">
        <f>IFERROR(__xludf.DUMMYFUNCTION("""COMPUTED_VALUE"""),19.0)</f>
        <v>19</v>
      </c>
      <c r="AH316" s="320">
        <f>IFERROR(__xludf.DUMMYFUNCTION("""COMPUTED_VALUE"""),61.44)</f>
        <v>61.44</v>
      </c>
      <c r="AI316" s="320">
        <f>IFERROR(__xludf.DUMMYFUNCTION("""COMPUTED_VALUE"""),26.36)</f>
        <v>26.36</v>
      </c>
      <c r="AJ316" s="320">
        <f>IFERROR(__xludf.DUMMYFUNCTION("""COMPUTED_VALUE"""),4.36)</f>
        <v>4.36</v>
      </c>
      <c r="AK316" s="320">
        <f>IFERROR(__xludf.DUMMYFUNCTION("""COMPUTED_VALUE"""),0.1987)</f>
        <v>0.1987</v>
      </c>
      <c r="AL316" s="320">
        <f>IFERROR(__xludf.DUMMYFUNCTION("""COMPUTED_VALUE"""),22.95)</f>
        <v>22.95</v>
      </c>
      <c r="AM316" s="320">
        <f>IFERROR(__xludf.DUMMYFUNCTION("""COMPUTED_VALUE"""),43.04)</f>
        <v>43.04</v>
      </c>
      <c r="AN316" s="320">
        <f>IFERROR(__xludf.DUMMYFUNCTION("""COMPUTED_VALUE"""),74.68)</f>
        <v>74.68</v>
      </c>
      <c r="AO316" s="320">
        <f>IFERROR(__xludf.DUMMYFUNCTION("""COMPUTED_VALUE"""),17.14)</f>
        <v>17.14</v>
      </c>
    </row>
    <row r="317" ht="15.75" customHeight="1">
      <c r="A317" s="330">
        <f>IFERROR(__xludf.DUMMYFUNCTION("""COMPUTED_VALUE"""),46102.0)</f>
        <v>46102</v>
      </c>
      <c r="B317" s="319" t="str">
        <f>IFERROR(__xludf.DUMMYFUNCTION("""COMPUTED_VALUE"""),"D. 20-39")</f>
        <v>D. 20-39</v>
      </c>
      <c r="C317" s="320">
        <f>IFERROR(__xludf.DUMMYFUNCTION("""COMPUTED_VALUE"""),14020.0)</f>
        <v>14020</v>
      </c>
      <c r="D317" s="320">
        <f>IFERROR(__xludf.DUMMYFUNCTION("""COMPUTED_VALUE"""),13.79)</f>
        <v>13.79</v>
      </c>
      <c r="E317" s="320">
        <f>IFERROR(__xludf.DUMMYFUNCTION("""COMPUTED_VALUE"""),0.0)</f>
        <v>0</v>
      </c>
      <c r="F317" s="320">
        <f>IFERROR(__xludf.DUMMYFUNCTION("""COMPUTED_VALUE"""),0.0)</f>
        <v>0</v>
      </c>
      <c r="G317" s="320">
        <f>IFERROR(__xludf.DUMMYFUNCTION("""COMPUTED_VALUE"""),0.0)</f>
        <v>0</v>
      </c>
      <c r="H317" s="106"/>
      <c r="I317" s="320">
        <f>IFERROR(__xludf.DUMMYFUNCTION("""COMPUTED_VALUE"""),78.24)</f>
        <v>78.24</v>
      </c>
      <c r="J317" s="320">
        <f>IFERROR(__xludf.DUMMYFUNCTION("""COMPUTED_VALUE"""),39.62)</f>
        <v>39.62</v>
      </c>
      <c r="K317" s="320">
        <f>IFERROR(__xludf.DUMMYFUNCTION("""COMPUTED_VALUE"""),26.35)</f>
        <v>26.35</v>
      </c>
      <c r="L317" s="320">
        <f>IFERROR(__xludf.DUMMYFUNCTION("""COMPUTED_VALUE"""),0.665)</f>
        <v>0.665</v>
      </c>
      <c r="M317" s="320">
        <f>IFERROR(__xludf.DUMMYFUNCTION("""COMPUTED_VALUE"""),0.5263)</f>
        <v>0.5263</v>
      </c>
      <c r="N317" s="320">
        <f>IFERROR(__xludf.DUMMYFUNCTION("""COMPUTED_VALUE"""),0.3666)</f>
        <v>0.3666</v>
      </c>
      <c r="O317" s="320">
        <f>IFERROR(__xludf.DUMMYFUNCTION("""COMPUTED_VALUE"""),1.5037)</f>
        <v>1.5037</v>
      </c>
      <c r="P317" s="320">
        <f>IFERROR(__xludf.DUMMYFUNCTION("""COMPUTED_VALUE"""),157.78)</f>
        <v>157.78</v>
      </c>
      <c r="Q317" s="320">
        <f>IFERROR(__xludf.DUMMYFUNCTION("""COMPUTED_VALUE"""),102.01)</f>
        <v>102.01</v>
      </c>
      <c r="R317" s="320">
        <f>IFERROR(__xludf.DUMMYFUNCTION("""COMPUTED_VALUE"""),55.77)</f>
        <v>55.77</v>
      </c>
      <c r="S317" s="320">
        <f>IFERROR(__xludf.DUMMYFUNCTION("""COMPUTED_VALUE"""),0.15)</f>
        <v>0.15</v>
      </c>
      <c r="T317" s="320">
        <f>IFERROR(__xludf.DUMMYFUNCTION("""COMPUTED_VALUE"""),157.63)</f>
        <v>157.63</v>
      </c>
      <c r="U317" s="320">
        <f>IFERROR(__xludf.DUMMYFUNCTION("""COMPUTED_VALUE"""),165.19)</f>
        <v>165.19</v>
      </c>
      <c r="V317" s="320">
        <f>IFERROR(__xludf.DUMMYFUNCTION("""COMPUTED_VALUE"""),4.1689)</f>
        <v>4.1689</v>
      </c>
      <c r="W317" s="320">
        <f>IFERROR(__xludf.DUMMYFUNCTION("""COMPUTED_VALUE"""),0.1)</f>
        <v>0.1</v>
      </c>
      <c r="X317" s="320">
        <f>IFERROR(__xludf.DUMMYFUNCTION("""COMPUTED_VALUE"""),145.0)</f>
        <v>145</v>
      </c>
      <c r="Y317" s="320">
        <f>IFERROR(__xludf.DUMMYFUNCTION("""COMPUTED_VALUE"""),973.0)</f>
        <v>973</v>
      </c>
      <c r="Z317" s="320">
        <f>IFERROR(__xludf.DUMMYFUNCTION("""COMPUTED_VALUE"""),6254.0)</f>
        <v>6254</v>
      </c>
      <c r="AA317" s="320">
        <f>IFERROR(__xludf.DUMMYFUNCTION("""COMPUTED_VALUE"""),55.7175)</f>
        <v>55.7175</v>
      </c>
      <c r="AB317" s="320">
        <f>IFERROR(__xludf.DUMMYFUNCTION("""COMPUTED_VALUE"""),0.7388)</f>
        <v>0.7388</v>
      </c>
      <c r="AC317" s="320">
        <f>IFERROR(__xludf.DUMMYFUNCTION("""COMPUTED_VALUE"""),17.65)</f>
        <v>17.65</v>
      </c>
      <c r="AD317" s="320">
        <f>IFERROR(__xludf.DUMMYFUNCTION("""COMPUTED_VALUE"""),7.0)</f>
        <v>7</v>
      </c>
      <c r="AE317" s="320">
        <f>IFERROR(__xludf.DUMMYFUNCTION("""COMPUTED_VALUE"""),14.0)</f>
        <v>14</v>
      </c>
      <c r="AF317" s="320">
        <f>IFERROR(__xludf.DUMMYFUNCTION("""COMPUTED_VALUE"""),24.0)</f>
        <v>24</v>
      </c>
      <c r="AG317" s="320">
        <f>IFERROR(__xludf.DUMMYFUNCTION("""COMPUTED_VALUE"""),36.0)</f>
        <v>36</v>
      </c>
      <c r="AH317" s="320">
        <f>IFERROR(__xludf.DUMMYFUNCTION("""COMPUTED_VALUE"""),59.61)</f>
        <v>59.61</v>
      </c>
      <c r="AI317" s="320">
        <f>IFERROR(__xludf.DUMMYFUNCTION("""COMPUTED_VALUE"""),22.66)</f>
        <v>22.66</v>
      </c>
      <c r="AJ317" s="320">
        <f>IFERROR(__xludf.DUMMYFUNCTION("""COMPUTED_VALUE"""),6.87)</f>
        <v>6.87</v>
      </c>
      <c r="AK317" s="320">
        <f>IFERROR(__xludf.DUMMYFUNCTION("""COMPUTED_VALUE"""),0.1891)</f>
        <v>0.1891</v>
      </c>
      <c r="AL317" s="320">
        <f>IFERROR(__xludf.DUMMYFUNCTION("""COMPUTED_VALUE"""),22.78)</f>
        <v>22.78</v>
      </c>
      <c r="AM317" s="320">
        <f>IFERROR(__xludf.DUMMYFUNCTION("""COMPUTED_VALUE"""),79.23)</f>
        <v>79.23</v>
      </c>
      <c r="AN317" s="320">
        <f>IFERROR(__xludf.DUMMYFUNCTION("""COMPUTED_VALUE"""),77.26)</f>
        <v>77.26</v>
      </c>
      <c r="AO317" s="320">
        <f>IFERROR(__xludf.DUMMYFUNCTION("""COMPUTED_VALUE"""),17.6)</f>
        <v>17.6</v>
      </c>
    </row>
    <row r="318" ht="15.75" customHeight="1">
      <c r="A318" s="330">
        <f>IFERROR(__xludf.DUMMYFUNCTION("""COMPUTED_VALUE"""),46102.0)</f>
        <v>46102</v>
      </c>
      <c r="B318" s="319" t="str">
        <f>IFERROR(__xludf.DUMMYFUNCTION("""COMPUTED_VALUE"""),"E. 40-99")</f>
        <v>E. 40-99</v>
      </c>
      <c r="C318" s="320">
        <f>IFERROR(__xludf.DUMMYFUNCTION("""COMPUTED_VALUE"""),5587.0)</f>
        <v>5587</v>
      </c>
      <c r="D318" s="320">
        <f>IFERROR(__xludf.DUMMYFUNCTION("""COMPUTED_VALUE"""),5.5)</f>
        <v>5.5</v>
      </c>
      <c r="E318" s="320">
        <f>IFERROR(__xludf.DUMMYFUNCTION("""COMPUTED_VALUE"""),0.0)</f>
        <v>0</v>
      </c>
      <c r="F318" s="320">
        <f>IFERROR(__xludf.DUMMYFUNCTION("""COMPUTED_VALUE"""),0.0)</f>
        <v>0</v>
      </c>
      <c r="G318" s="320">
        <f>IFERROR(__xludf.DUMMYFUNCTION("""COMPUTED_VALUE"""),0.0)</f>
        <v>0</v>
      </c>
      <c r="H318" s="106"/>
      <c r="I318" s="320">
        <f>IFERROR(__xludf.DUMMYFUNCTION("""COMPUTED_VALUE"""),124.65)</f>
        <v>124.65</v>
      </c>
      <c r="J318" s="320">
        <f>IFERROR(__xludf.DUMMYFUNCTION("""COMPUTED_VALUE"""),67.44)</f>
        <v>67.44</v>
      </c>
      <c r="K318" s="320">
        <f>IFERROR(__xludf.DUMMYFUNCTION("""COMPUTED_VALUE"""),53.29)</f>
        <v>53.29</v>
      </c>
      <c r="L318" s="320">
        <f>IFERROR(__xludf.DUMMYFUNCTION("""COMPUTED_VALUE"""),0.7902)</f>
        <v>0.7902</v>
      </c>
      <c r="M318" s="320">
        <f>IFERROR(__xludf.DUMMYFUNCTION("""COMPUTED_VALUE"""),0.3926)</f>
        <v>0.3926</v>
      </c>
      <c r="N318" s="320">
        <f>IFERROR(__xludf.DUMMYFUNCTION("""COMPUTED_VALUE"""),0.2852)</f>
        <v>0.2852</v>
      </c>
      <c r="O318" s="320">
        <f>IFERROR(__xludf.DUMMYFUNCTION("""COMPUTED_VALUE"""),1.2656)</f>
        <v>1.2656</v>
      </c>
      <c r="P318" s="320">
        <f>IFERROR(__xludf.DUMMYFUNCTION("""COMPUTED_VALUE"""),293.46)</f>
        <v>293.46</v>
      </c>
      <c r="Q318" s="320">
        <f>IFERROR(__xludf.DUMMYFUNCTION("""COMPUTED_VALUE"""),180.92)</f>
        <v>180.92</v>
      </c>
      <c r="R318" s="320">
        <f>IFERROR(__xludf.DUMMYFUNCTION("""COMPUTED_VALUE"""),112.54)</f>
        <v>112.54</v>
      </c>
      <c r="S318" s="320">
        <f>IFERROR(__xludf.DUMMYFUNCTION("""COMPUTED_VALUE"""),0.0)</f>
        <v>0</v>
      </c>
      <c r="T318" s="320">
        <f>IFERROR(__xludf.DUMMYFUNCTION("""COMPUTED_VALUE"""),293.46)</f>
        <v>293.46</v>
      </c>
      <c r="U318" s="320">
        <f>IFERROR(__xludf.DUMMYFUNCTION("""COMPUTED_VALUE"""),308.3)</f>
        <v>308.3</v>
      </c>
      <c r="V318" s="320">
        <f>IFERROR(__xludf.DUMMYFUNCTION("""COMPUTED_VALUE"""),4.5712)</f>
        <v>4.5712</v>
      </c>
      <c r="W318" s="320">
        <f>IFERROR(__xludf.DUMMYFUNCTION("""COMPUTED_VALUE"""),0.0)</f>
        <v>0</v>
      </c>
      <c r="X318" s="320">
        <f>IFERROR(__xludf.DUMMYFUNCTION("""COMPUTED_VALUE"""),263.0)</f>
        <v>263</v>
      </c>
      <c r="Y318" s="320">
        <f>IFERROR(__xludf.DUMMYFUNCTION("""COMPUTED_VALUE"""),2035.0)</f>
        <v>2035</v>
      </c>
      <c r="Z318" s="320">
        <f>IFERROR(__xludf.DUMMYFUNCTION("""COMPUTED_VALUE"""),8589.0)</f>
        <v>8589</v>
      </c>
      <c r="AA318" s="320">
        <f>IFERROR(__xludf.DUMMYFUNCTION("""COMPUTED_VALUE"""),59.3527)</f>
        <v>59.3527</v>
      </c>
      <c r="AB318" s="320">
        <f>IFERROR(__xludf.DUMMYFUNCTION("""COMPUTED_VALUE"""),0.8301)</f>
        <v>0.8301</v>
      </c>
      <c r="AC318" s="320">
        <f>IFERROR(__xludf.DUMMYFUNCTION("""COMPUTED_VALUE"""),36.09)</f>
        <v>36.09</v>
      </c>
      <c r="AD318" s="320">
        <f>IFERROR(__xludf.DUMMYFUNCTION("""COMPUTED_VALUE"""),14.0)</f>
        <v>14</v>
      </c>
      <c r="AE318" s="320">
        <f>IFERROR(__xludf.DUMMYFUNCTION("""COMPUTED_VALUE"""),28.0)</f>
        <v>28</v>
      </c>
      <c r="AF318" s="320">
        <f>IFERROR(__xludf.DUMMYFUNCTION("""COMPUTED_VALUE"""),50.0)</f>
        <v>50</v>
      </c>
      <c r="AG318" s="320">
        <f>IFERROR(__xludf.DUMMYFUNCTION("""COMPUTED_VALUE"""),76.0)</f>
        <v>76</v>
      </c>
      <c r="AH318" s="320">
        <f>IFERROR(__xludf.DUMMYFUNCTION("""COMPUTED_VALUE"""),50.62)</f>
        <v>50.62</v>
      </c>
      <c r="AI318" s="320">
        <f>IFERROR(__xludf.DUMMYFUNCTION("""COMPUTED_VALUE"""),17.65)</f>
        <v>17.65</v>
      </c>
      <c r="AJ318" s="320">
        <f>IFERROR(__xludf.DUMMYFUNCTION("""COMPUTED_VALUE"""),4.3)</f>
        <v>4.3</v>
      </c>
      <c r="AK318" s="320">
        <f>IFERROR(__xludf.DUMMYFUNCTION("""COMPUTED_VALUE"""),0.1339)</f>
        <v>0.1339</v>
      </c>
      <c r="AL318" s="320">
        <f>IFERROR(__xludf.DUMMYFUNCTION("""COMPUTED_VALUE"""),23.13)</f>
        <v>23.13</v>
      </c>
      <c r="AM318" s="320">
        <f>IFERROR(__xludf.DUMMYFUNCTION("""COMPUTED_VALUE"""),157.79)</f>
        <v>157.79</v>
      </c>
      <c r="AN318" s="320">
        <f>IFERROR(__xludf.DUMMYFUNCTION("""COMPUTED_VALUE"""),81.32)</f>
        <v>81.32</v>
      </c>
      <c r="AO318" s="320">
        <f>IFERROR(__xludf.DUMMYFUNCTION("""COMPUTED_VALUE"""),18.81)</f>
        <v>18.81</v>
      </c>
    </row>
    <row r="319" ht="15.75" customHeight="1">
      <c r="A319" s="330">
        <f>IFERROR(__xludf.DUMMYFUNCTION("""COMPUTED_VALUE"""),46102.0)</f>
        <v>46102</v>
      </c>
      <c r="B319" s="319" t="str">
        <f>IFERROR(__xludf.DUMMYFUNCTION("""COMPUTED_VALUE"""),"F. 100+")</f>
        <v>F. 100+</v>
      </c>
      <c r="C319" s="320">
        <f>IFERROR(__xludf.DUMMYFUNCTION("""COMPUTED_VALUE"""),635.0)</f>
        <v>635</v>
      </c>
      <c r="D319" s="320">
        <f>IFERROR(__xludf.DUMMYFUNCTION("""COMPUTED_VALUE"""),0.62)</f>
        <v>0.62</v>
      </c>
      <c r="E319" s="320">
        <f>IFERROR(__xludf.DUMMYFUNCTION("""COMPUTED_VALUE"""),0.0)</f>
        <v>0</v>
      </c>
      <c r="F319" s="320">
        <f>IFERROR(__xludf.DUMMYFUNCTION("""COMPUTED_VALUE"""),0.0)</f>
        <v>0</v>
      </c>
      <c r="G319" s="320">
        <f>IFERROR(__xludf.DUMMYFUNCTION("""COMPUTED_VALUE"""),0.0)</f>
        <v>0</v>
      </c>
      <c r="H319" s="106"/>
      <c r="I319" s="320">
        <f>IFERROR(__xludf.DUMMYFUNCTION("""COMPUTED_VALUE"""),233.81)</f>
        <v>233.81</v>
      </c>
      <c r="J319" s="320">
        <f>IFERROR(__xludf.DUMMYFUNCTION("""COMPUTED_VALUE"""),139.93)</f>
        <v>139.93</v>
      </c>
      <c r="K319" s="320">
        <f>IFERROR(__xludf.DUMMYFUNCTION("""COMPUTED_VALUE"""),119.92)</f>
        <v>119.92</v>
      </c>
      <c r="L319" s="320">
        <f>IFERROR(__xludf.DUMMYFUNCTION("""COMPUTED_VALUE"""),0.857)</f>
        <v>0.857</v>
      </c>
      <c r="M319" s="320">
        <f>IFERROR(__xludf.DUMMYFUNCTION("""COMPUTED_VALUE"""),0.2955)</f>
        <v>0.2955</v>
      </c>
      <c r="N319" s="320">
        <f>IFERROR(__xludf.DUMMYFUNCTION("""COMPUTED_VALUE"""),0.2179)</f>
        <v>0.2179</v>
      </c>
      <c r="O319" s="320">
        <f>IFERROR(__xludf.DUMMYFUNCTION("""COMPUTED_VALUE"""),1.1668)</f>
        <v>1.1668</v>
      </c>
      <c r="P319" s="320">
        <f>IFERROR(__xludf.DUMMYFUNCTION("""COMPUTED_VALUE"""),586.18)</f>
        <v>586.18</v>
      </c>
      <c r="Q319" s="320">
        <f>IFERROR(__xludf.DUMMYFUNCTION("""COMPUTED_VALUE"""),331.12)</f>
        <v>331.12</v>
      </c>
      <c r="R319" s="320">
        <f>IFERROR(__xludf.DUMMYFUNCTION("""COMPUTED_VALUE"""),255.06)</f>
        <v>255.06</v>
      </c>
      <c r="S319" s="320">
        <f>IFERROR(__xludf.DUMMYFUNCTION("""COMPUTED_VALUE"""),0.0)</f>
        <v>0</v>
      </c>
      <c r="T319" s="320">
        <f>IFERROR(__xludf.DUMMYFUNCTION("""COMPUTED_VALUE"""),586.18)</f>
        <v>586.18</v>
      </c>
      <c r="U319" s="320">
        <f>IFERROR(__xludf.DUMMYFUNCTION("""COMPUTED_VALUE"""),610.71)</f>
        <v>610.71</v>
      </c>
      <c r="V319" s="320">
        <f>IFERROR(__xludf.DUMMYFUNCTION("""COMPUTED_VALUE"""),4.3645)</f>
        <v>4.3645</v>
      </c>
      <c r="W319" s="320">
        <f>IFERROR(__xludf.DUMMYFUNCTION("""COMPUTED_VALUE"""),0.0)</f>
        <v>0</v>
      </c>
      <c r="X319" s="320">
        <f>IFERROR(__xludf.DUMMYFUNCTION("""COMPUTED_VALUE"""),1002.0)</f>
        <v>1002</v>
      </c>
      <c r="Y319" s="320">
        <f>IFERROR(__xludf.DUMMYFUNCTION("""COMPUTED_VALUE"""),4493.0)</f>
        <v>4493</v>
      </c>
      <c r="Z319" s="320">
        <f>IFERROR(__xludf.DUMMYFUNCTION("""COMPUTED_VALUE"""),11377.0)</f>
        <v>11377</v>
      </c>
      <c r="AA319" s="320">
        <f>IFERROR(__xludf.DUMMYFUNCTION("""COMPUTED_VALUE"""),62.8275)</f>
        <v>62.8275</v>
      </c>
      <c r="AB319" s="320">
        <f>IFERROR(__xludf.DUMMYFUNCTION("""COMPUTED_VALUE"""),0.8899)</f>
        <v>0.8899</v>
      </c>
      <c r="AC319" s="320">
        <f>IFERROR(__xludf.DUMMYFUNCTION("""COMPUTED_VALUE"""),81.81)</f>
        <v>81.81</v>
      </c>
      <c r="AD319" s="320">
        <f>IFERROR(__xludf.DUMMYFUNCTION("""COMPUTED_VALUE"""),31.0)</f>
        <v>31</v>
      </c>
      <c r="AE319" s="320">
        <f>IFERROR(__xludf.DUMMYFUNCTION("""COMPUTED_VALUE"""),64.0)</f>
        <v>64</v>
      </c>
      <c r="AF319" s="320">
        <f>IFERROR(__xludf.DUMMYFUNCTION("""COMPUTED_VALUE"""),117.0)</f>
        <v>117</v>
      </c>
      <c r="AG319" s="320">
        <f>IFERROR(__xludf.DUMMYFUNCTION("""COMPUTED_VALUE"""),166.0)</f>
        <v>166</v>
      </c>
      <c r="AH319" s="320">
        <f>IFERROR(__xludf.DUMMYFUNCTION("""COMPUTED_VALUE"""),43.46)</f>
        <v>43.46</v>
      </c>
      <c r="AI319" s="320">
        <f>IFERROR(__xludf.DUMMYFUNCTION("""COMPUTED_VALUE"""),8.82)</f>
        <v>8.82</v>
      </c>
      <c r="AJ319" s="320">
        <f>IFERROR(__xludf.DUMMYFUNCTION("""COMPUTED_VALUE"""),1.26)</f>
        <v>1.26</v>
      </c>
      <c r="AK319" s="320">
        <f>IFERROR(__xludf.DUMMYFUNCTION("""COMPUTED_VALUE"""),0.0961)</f>
        <v>0.0961</v>
      </c>
      <c r="AL319" s="320">
        <f>IFERROR(__xludf.DUMMYFUNCTION("""COMPUTED_VALUE"""),23.68)</f>
        <v>23.68</v>
      </c>
      <c r="AM319" s="320">
        <f>IFERROR(__xludf.DUMMYFUNCTION("""COMPUTED_VALUE"""),307.44)</f>
        <v>307.44</v>
      </c>
      <c r="AN319" s="320">
        <f>IFERROR(__xludf.DUMMYFUNCTION("""COMPUTED_VALUE"""),85.29)</f>
        <v>85.29</v>
      </c>
      <c r="AO319" s="320">
        <f>IFERROR(__xludf.DUMMYFUNCTION("""COMPUTED_VALUE"""),20.2)</f>
        <v>20.2</v>
      </c>
    </row>
    <row r="320" ht="15.75" customHeight="1">
      <c r="A320" s="330">
        <f>IFERROR(__xludf.DUMMYFUNCTION("""COMPUTED_VALUE"""),46103.0)</f>
        <v>46103</v>
      </c>
      <c r="B320" s="319" t="str">
        <f>IFERROR(__xludf.DUMMYFUNCTION("""COMPUTED_VALUE"""),"A. 0")</f>
        <v>A. 0</v>
      </c>
      <c r="C320" s="320">
        <f>IFERROR(__xludf.DUMMYFUNCTION("""COMPUTED_VALUE"""),19751.0)</f>
        <v>19751</v>
      </c>
      <c r="D320" s="320">
        <f>IFERROR(__xludf.DUMMYFUNCTION("""COMPUTED_VALUE"""),18.97)</f>
        <v>18.97</v>
      </c>
      <c r="E320" s="320">
        <f>IFERROR(__xludf.DUMMYFUNCTION("""COMPUTED_VALUE"""),0.0)</f>
        <v>0</v>
      </c>
      <c r="F320" s="320">
        <f>IFERROR(__xludf.DUMMYFUNCTION("""COMPUTED_VALUE"""),0.0)</f>
        <v>0</v>
      </c>
      <c r="G320" s="320">
        <f>IFERROR(__xludf.DUMMYFUNCTION("""COMPUTED_VALUE"""),0.0)</f>
        <v>0</v>
      </c>
      <c r="H320" s="106"/>
      <c r="I320" s="320">
        <f>IFERROR(__xludf.DUMMYFUNCTION("""COMPUTED_VALUE"""),6.12)</f>
        <v>6.12</v>
      </c>
      <c r="J320" s="320">
        <f>IFERROR(__xludf.DUMMYFUNCTION("""COMPUTED_VALUE"""),2.51)</f>
        <v>2.51</v>
      </c>
      <c r="K320" s="320">
        <f>IFERROR(__xludf.DUMMYFUNCTION("""COMPUTED_VALUE"""),0.02)</f>
        <v>0.02</v>
      </c>
      <c r="L320" s="320">
        <f>IFERROR(__xludf.DUMMYFUNCTION("""COMPUTED_VALUE"""),0.0096)</f>
        <v>0.0096</v>
      </c>
      <c r="M320" s="320">
        <f>IFERROR(__xludf.DUMMYFUNCTION("""COMPUTED_VALUE"""),0.9927)</f>
        <v>0.9927</v>
      </c>
      <c r="N320" s="320">
        <f>IFERROR(__xludf.DUMMYFUNCTION("""COMPUTED_VALUE"""),0.9058)</f>
        <v>0.9058</v>
      </c>
      <c r="O320" s="320">
        <f>IFERROR(__xludf.DUMMYFUNCTION("""COMPUTED_VALUE"""),104.3466)</f>
        <v>104.3466</v>
      </c>
      <c r="P320" s="320">
        <f>IFERROR(__xludf.DUMMYFUNCTION("""COMPUTED_VALUE"""),23.16)</f>
        <v>23.16</v>
      </c>
      <c r="Q320" s="320">
        <f>IFERROR(__xludf.DUMMYFUNCTION("""COMPUTED_VALUE"""),23.07)</f>
        <v>23.07</v>
      </c>
      <c r="R320" s="320">
        <f>IFERROR(__xludf.DUMMYFUNCTION("""COMPUTED_VALUE"""),0.09)</f>
        <v>0.09</v>
      </c>
      <c r="S320" s="320">
        <f>IFERROR(__xludf.DUMMYFUNCTION("""COMPUTED_VALUE"""),0.0)</f>
        <v>0</v>
      </c>
      <c r="T320" s="320">
        <f>IFERROR(__xludf.DUMMYFUNCTION("""COMPUTED_VALUE"""),23.16)</f>
        <v>23.16</v>
      </c>
      <c r="U320" s="320">
        <f>IFERROR(__xludf.DUMMYFUNCTION("""COMPUTED_VALUE"""),2.2)</f>
        <v>2.2</v>
      </c>
      <c r="V320" s="320">
        <f>IFERROR(__xludf.DUMMYFUNCTION("""COMPUTED_VALUE"""),0.8768)</f>
        <v>0.8768</v>
      </c>
      <c r="W320" s="320">
        <f>IFERROR(__xludf.DUMMYFUNCTION("""COMPUTED_VALUE"""),0.0)</f>
        <v>0</v>
      </c>
      <c r="X320" s="320">
        <f>IFERROR(__xludf.DUMMYFUNCTION("""COMPUTED_VALUE"""),318.0)</f>
        <v>318</v>
      </c>
      <c r="Y320" s="320">
        <f>IFERROR(__xludf.DUMMYFUNCTION("""COMPUTED_VALUE"""),3774.0)</f>
        <v>3774</v>
      </c>
      <c r="Z320" s="320">
        <f>IFERROR(__xludf.DUMMYFUNCTION("""COMPUTED_VALUE"""),14757.0)</f>
        <v>14757</v>
      </c>
      <c r="AA320" s="320">
        <f>IFERROR(__xludf.DUMMYFUNCTION("""COMPUTED_VALUE"""),49.1482)</f>
        <v>49.1482</v>
      </c>
      <c r="AB320" s="320">
        <f>IFERROR(__xludf.DUMMYFUNCTION("""COMPUTED_VALUE"""),0.5498)</f>
        <v>0.5498</v>
      </c>
      <c r="AC320" s="106"/>
      <c r="AD320" s="106"/>
      <c r="AE320" s="106"/>
      <c r="AF320" s="106"/>
      <c r="AG320" s="106"/>
      <c r="AH320" s="320">
        <f>IFERROR(__xludf.DUMMYFUNCTION("""COMPUTED_VALUE"""),0.0)</f>
        <v>0</v>
      </c>
      <c r="AI320" s="320">
        <f>IFERROR(__xludf.DUMMYFUNCTION("""COMPUTED_VALUE"""),0.0)</f>
        <v>0</v>
      </c>
      <c r="AJ320" s="320">
        <f>IFERROR(__xludf.DUMMYFUNCTION("""COMPUTED_VALUE"""),0.0)</f>
        <v>0</v>
      </c>
      <c r="AK320" s="320">
        <f>IFERROR(__xludf.DUMMYFUNCTION("""COMPUTED_VALUE"""),0.2875)</f>
        <v>0.2875</v>
      </c>
      <c r="AL320" s="320">
        <f>IFERROR(__xludf.DUMMYFUNCTION("""COMPUTED_VALUE"""),18.68)</f>
        <v>18.68</v>
      </c>
      <c r="AM320" s="320">
        <f>IFERROR(__xludf.DUMMYFUNCTION("""COMPUTED_VALUE"""),4.39)</f>
        <v>4.39</v>
      </c>
      <c r="AN320" s="331"/>
      <c r="AO320" s="331"/>
    </row>
    <row r="321" ht="15.75" customHeight="1">
      <c r="A321" s="330">
        <f>IFERROR(__xludf.DUMMYFUNCTION("""COMPUTED_VALUE"""),46103.0)</f>
        <v>46103</v>
      </c>
      <c r="B321" s="319" t="str">
        <f>IFERROR(__xludf.DUMMYFUNCTION("""COMPUTED_VALUE"""),"B. 1-9")</f>
        <v>B. 1-9</v>
      </c>
      <c r="C321" s="320">
        <f>IFERROR(__xludf.DUMMYFUNCTION("""COMPUTED_VALUE"""),37930.0)</f>
        <v>37930</v>
      </c>
      <c r="D321" s="320">
        <f>IFERROR(__xludf.DUMMYFUNCTION("""COMPUTED_VALUE"""),36.43)</f>
        <v>36.43</v>
      </c>
      <c r="E321" s="320">
        <f>IFERROR(__xludf.DUMMYFUNCTION("""COMPUTED_VALUE"""),0.0)</f>
        <v>0</v>
      </c>
      <c r="F321" s="320">
        <f>IFERROR(__xludf.DUMMYFUNCTION("""COMPUTED_VALUE"""),0.0)</f>
        <v>0</v>
      </c>
      <c r="G321" s="320">
        <f>IFERROR(__xludf.DUMMYFUNCTION("""COMPUTED_VALUE"""),0.0)</f>
        <v>0</v>
      </c>
      <c r="H321" s="106"/>
      <c r="I321" s="320">
        <f>IFERROR(__xludf.DUMMYFUNCTION("""COMPUTED_VALUE"""),32.02)</f>
        <v>32.02</v>
      </c>
      <c r="J321" s="320">
        <f>IFERROR(__xludf.DUMMYFUNCTION("""COMPUTED_VALUE"""),14.83)</f>
        <v>14.83</v>
      </c>
      <c r="K321" s="320">
        <f>IFERROR(__xludf.DUMMYFUNCTION("""COMPUTED_VALUE"""),5.89)</f>
        <v>5.89</v>
      </c>
      <c r="L321" s="320">
        <f>IFERROR(__xludf.DUMMYFUNCTION("""COMPUTED_VALUE"""),0.397)</f>
        <v>0.397</v>
      </c>
      <c r="M321" s="320">
        <f>IFERROR(__xludf.DUMMYFUNCTION("""COMPUTED_VALUE"""),0.7671)</f>
        <v>0.7671</v>
      </c>
      <c r="N321" s="320">
        <f>IFERROR(__xludf.DUMMYFUNCTION("""COMPUTED_VALUE"""),0.5635)</f>
        <v>0.5635</v>
      </c>
      <c r="O321" s="320">
        <f>IFERROR(__xludf.DUMMYFUNCTION("""COMPUTED_VALUE"""),2.5192)</f>
        <v>2.5192</v>
      </c>
      <c r="P321" s="320">
        <f>IFERROR(__xludf.DUMMYFUNCTION("""COMPUTED_VALUE"""),47.43)</f>
        <v>47.43</v>
      </c>
      <c r="Q321" s="320">
        <f>IFERROR(__xludf.DUMMYFUNCTION("""COMPUTED_VALUE"""),35.23)</f>
        <v>35.23</v>
      </c>
      <c r="R321" s="320">
        <f>IFERROR(__xludf.DUMMYFUNCTION("""COMPUTED_VALUE"""),12.2)</f>
        <v>12.2</v>
      </c>
      <c r="S321" s="320">
        <f>IFERROR(__xludf.DUMMYFUNCTION("""COMPUTED_VALUE"""),0.13)</f>
        <v>0.13</v>
      </c>
      <c r="T321" s="320">
        <f>IFERROR(__xludf.DUMMYFUNCTION("""COMPUTED_VALUE"""),47.3)</f>
        <v>47.3</v>
      </c>
      <c r="U321" s="320">
        <f>IFERROR(__xludf.DUMMYFUNCTION("""COMPUTED_VALUE"""),52.49)</f>
        <v>52.49</v>
      </c>
      <c r="V321" s="320">
        <f>IFERROR(__xludf.DUMMYFUNCTION("""COMPUTED_VALUE"""),3.5401)</f>
        <v>3.5401</v>
      </c>
      <c r="W321" s="320">
        <f>IFERROR(__xludf.DUMMYFUNCTION("""COMPUTED_VALUE"""),0.27)</f>
        <v>0.27</v>
      </c>
      <c r="X321" s="320">
        <f>IFERROR(__xludf.DUMMYFUNCTION("""COMPUTED_VALUE"""),137.0)</f>
        <v>137</v>
      </c>
      <c r="Y321" s="320">
        <f>IFERROR(__xludf.DUMMYFUNCTION("""COMPUTED_VALUE"""),920.0)</f>
        <v>920</v>
      </c>
      <c r="Z321" s="320">
        <f>IFERROR(__xludf.DUMMYFUNCTION("""COMPUTED_VALUE"""),5694.0)</f>
        <v>5694</v>
      </c>
      <c r="AA321" s="320">
        <f>IFERROR(__xludf.DUMMYFUNCTION("""COMPUTED_VALUE"""),48.7418)</f>
        <v>48.7418</v>
      </c>
      <c r="AB321" s="320">
        <f>IFERROR(__xludf.DUMMYFUNCTION("""COMPUTED_VALUE"""),0.5381)</f>
        <v>0.5381</v>
      </c>
      <c r="AC321" s="320">
        <f>IFERROR(__xludf.DUMMYFUNCTION("""COMPUTED_VALUE"""),4.06)</f>
        <v>4.06</v>
      </c>
      <c r="AD321" s="320">
        <f>IFERROR(__xludf.DUMMYFUNCTION("""COMPUTED_VALUE"""),1.0)</f>
        <v>1</v>
      </c>
      <c r="AE321" s="320">
        <f>IFERROR(__xludf.DUMMYFUNCTION("""COMPUTED_VALUE"""),3.0)</f>
        <v>3</v>
      </c>
      <c r="AF321" s="320">
        <f>IFERROR(__xludf.DUMMYFUNCTION("""COMPUTED_VALUE"""),5.0)</f>
        <v>5</v>
      </c>
      <c r="AG321" s="320">
        <f>IFERROR(__xludf.DUMMYFUNCTION("""COMPUTED_VALUE"""),9.0)</f>
        <v>9</v>
      </c>
      <c r="AH321" s="320">
        <f>IFERROR(__xludf.DUMMYFUNCTION("""COMPUTED_VALUE"""),73.91)</f>
        <v>73.91</v>
      </c>
      <c r="AI321" s="320">
        <f>IFERROR(__xludf.DUMMYFUNCTION("""COMPUTED_VALUE"""),31.43)</f>
        <v>31.43</v>
      </c>
      <c r="AJ321" s="320">
        <f>IFERROR(__xludf.DUMMYFUNCTION("""COMPUTED_VALUE"""),8.67)</f>
        <v>8.67</v>
      </c>
      <c r="AK321" s="320">
        <f>IFERROR(__xludf.DUMMYFUNCTION("""COMPUTED_VALUE"""),0.2684)</f>
        <v>0.2684</v>
      </c>
      <c r="AL321" s="320">
        <f>IFERROR(__xludf.DUMMYFUNCTION("""COMPUTED_VALUE"""),20.78)</f>
        <v>20.78</v>
      </c>
      <c r="AM321" s="320">
        <f>IFERROR(__xludf.DUMMYFUNCTION("""COMPUTED_VALUE"""),14.45)</f>
        <v>14.45</v>
      </c>
      <c r="AN321" s="320">
        <f>IFERROR(__xludf.DUMMYFUNCTION("""COMPUTED_VALUE"""),65.02)</f>
        <v>65.02</v>
      </c>
      <c r="AO321" s="320">
        <f>IFERROR(__xludf.DUMMYFUNCTION("""COMPUTED_VALUE"""),13.51)</f>
        <v>13.51</v>
      </c>
    </row>
    <row r="322" ht="15.75" customHeight="1">
      <c r="A322" s="330">
        <f>IFERROR(__xludf.DUMMYFUNCTION("""COMPUTED_VALUE"""),46103.0)</f>
        <v>46103</v>
      </c>
      <c r="B322" s="319" t="str">
        <f>IFERROR(__xludf.DUMMYFUNCTION("""COMPUTED_VALUE"""),"C. 10-19")</f>
        <v>C. 10-19</v>
      </c>
      <c r="C322" s="320">
        <f>IFERROR(__xludf.DUMMYFUNCTION("""COMPUTED_VALUE"""),25748.0)</f>
        <v>25748</v>
      </c>
      <c r="D322" s="320">
        <f>IFERROR(__xludf.DUMMYFUNCTION("""COMPUTED_VALUE"""),24.73)</f>
        <v>24.73</v>
      </c>
      <c r="E322" s="320">
        <f>IFERROR(__xludf.DUMMYFUNCTION("""COMPUTED_VALUE"""),0.0)</f>
        <v>0</v>
      </c>
      <c r="F322" s="320">
        <f>IFERROR(__xludf.DUMMYFUNCTION("""COMPUTED_VALUE"""),0.0)</f>
        <v>0</v>
      </c>
      <c r="G322" s="320">
        <f>IFERROR(__xludf.DUMMYFUNCTION("""COMPUTED_VALUE"""),0.0)</f>
        <v>0</v>
      </c>
      <c r="H322" s="106"/>
      <c r="I322" s="320">
        <f>IFERROR(__xludf.DUMMYFUNCTION("""COMPUTED_VALUE"""),58.54)</f>
        <v>58.54</v>
      </c>
      <c r="J322" s="320">
        <f>IFERROR(__xludf.DUMMYFUNCTION("""COMPUTED_VALUE"""),28.04)</f>
        <v>28.04</v>
      </c>
      <c r="K322" s="320">
        <f>IFERROR(__xludf.DUMMYFUNCTION("""COMPUTED_VALUE"""),14.3)</f>
        <v>14.3</v>
      </c>
      <c r="L322" s="320">
        <f>IFERROR(__xludf.DUMMYFUNCTION("""COMPUTED_VALUE"""),0.5099)</f>
        <v>0.5099</v>
      </c>
      <c r="M322" s="320">
        <f>IFERROR(__xludf.DUMMYFUNCTION("""COMPUTED_VALUE"""),0.674)</f>
        <v>0.674</v>
      </c>
      <c r="N322" s="320">
        <f>IFERROR(__xludf.DUMMYFUNCTION("""COMPUTED_VALUE"""),0.4672)</f>
        <v>0.4672</v>
      </c>
      <c r="O322" s="320">
        <f>IFERROR(__xludf.DUMMYFUNCTION("""COMPUTED_VALUE"""),1.9611)</f>
        <v>1.9611</v>
      </c>
      <c r="P322" s="320">
        <f>IFERROR(__xludf.DUMMYFUNCTION("""COMPUTED_VALUE"""),80.43)</f>
        <v>80.43</v>
      </c>
      <c r="Q322" s="320">
        <f>IFERROR(__xludf.DUMMYFUNCTION("""COMPUTED_VALUE"""),50.35)</f>
        <v>50.35</v>
      </c>
      <c r="R322" s="320">
        <f>IFERROR(__xludf.DUMMYFUNCTION("""COMPUTED_VALUE"""),30.08)</f>
        <v>30.08</v>
      </c>
      <c r="S322" s="320">
        <f>IFERROR(__xludf.DUMMYFUNCTION("""COMPUTED_VALUE"""),0.0)</f>
        <v>0</v>
      </c>
      <c r="T322" s="320">
        <f>IFERROR(__xludf.DUMMYFUNCTION("""COMPUTED_VALUE"""),80.43)</f>
        <v>80.43</v>
      </c>
      <c r="U322" s="320">
        <f>IFERROR(__xludf.DUMMYFUNCTION("""COMPUTED_VALUE"""),93.83)</f>
        <v>93.83</v>
      </c>
      <c r="V322" s="320">
        <f>IFERROR(__xludf.DUMMYFUNCTION("""COMPUTED_VALUE"""),3.3465)</f>
        <v>3.3465</v>
      </c>
      <c r="W322" s="320">
        <f>IFERROR(__xludf.DUMMYFUNCTION("""COMPUTED_VALUE"""),0.0)</f>
        <v>0</v>
      </c>
      <c r="X322" s="320">
        <f>IFERROR(__xludf.DUMMYFUNCTION("""COMPUTED_VALUE"""),111.0)</f>
        <v>111</v>
      </c>
      <c r="Y322" s="320">
        <f>IFERROR(__xludf.DUMMYFUNCTION("""COMPUTED_VALUE"""),635.0)</f>
        <v>635</v>
      </c>
      <c r="Z322" s="320">
        <f>IFERROR(__xludf.DUMMYFUNCTION("""COMPUTED_VALUE"""),4919.0)</f>
        <v>4919</v>
      </c>
      <c r="AA322" s="320">
        <f>IFERROR(__xludf.DUMMYFUNCTION("""COMPUTED_VALUE"""),52.3013)</f>
        <v>52.3013</v>
      </c>
      <c r="AB322" s="320">
        <f>IFERROR(__xludf.DUMMYFUNCTION("""COMPUTED_VALUE"""),0.6386)</f>
        <v>0.6386</v>
      </c>
      <c r="AC322" s="320">
        <f>IFERROR(__xludf.DUMMYFUNCTION("""COMPUTED_VALUE"""),9.45)</f>
        <v>9.45</v>
      </c>
      <c r="AD322" s="320">
        <f>IFERROR(__xludf.DUMMYFUNCTION("""COMPUTED_VALUE"""),4.0)</f>
        <v>4</v>
      </c>
      <c r="AE322" s="320">
        <f>IFERROR(__xludf.DUMMYFUNCTION("""COMPUTED_VALUE"""),8.0)</f>
        <v>8</v>
      </c>
      <c r="AF322" s="320">
        <f>IFERROR(__xludf.DUMMYFUNCTION("""COMPUTED_VALUE"""),13.0)</f>
        <v>13</v>
      </c>
      <c r="AG322" s="320">
        <f>IFERROR(__xludf.DUMMYFUNCTION("""COMPUTED_VALUE"""),19.0)</f>
        <v>19</v>
      </c>
      <c r="AH322" s="320">
        <f>IFERROR(__xludf.DUMMYFUNCTION("""COMPUTED_VALUE"""),61.24)</f>
        <v>61.24</v>
      </c>
      <c r="AI322" s="320">
        <f>IFERROR(__xludf.DUMMYFUNCTION("""COMPUTED_VALUE"""),26.3)</f>
        <v>26.3</v>
      </c>
      <c r="AJ322" s="320">
        <f>IFERROR(__xludf.DUMMYFUNCTION("""COMPUTED_VALUE"""),4.37)</f>
        <v>4.37</v>
      </c>
      <c r="AK322" s="320">
        <f>IFERROR(__xludf.DUMMYFUNCTION("""COMPUTED_VALUE"""),0.222)</f>
        <v>0.222</v>
      </c>
      <c r="AL322" s="320">
        <f>IFERROR(__xludf.DUMMYFUNCTION("""COMPUTED_VALUE"""),21.55)</f>
        <v>21.55</v>
      </c>
      <c r="AM322" s="320">
        <f>IFERROR(__xludf.DUMMYFUNCTION("""COMPUTED_VALUE"""),28.8)</f>
        <v>28.8</v>
      </c>
      <c r="AN322" s="320">
        <f>IFERROR(__xludf.DUMMYFUNCTION("""COMPUTED_VALUE"""),73.88)</f>
        <v>73.88</v>
      </c>
      <c r="AO322" s="320">
        <f>IFERROR(__xludf.DUMMYFUNCTION("""COMPUTED_VALUE"""),15.92)</f>
        <v>15.92</v>
      </c>
    </row>
    <row r="323" ht="15.75" customHeight="1">
      <c r="A323" s="330">
        <f>IFERROR(__xludf.DUMMYFUNCTION("""COMPUTED_VALUE"""),46103.0)</f>
        <v>46103</v>
      </c>
      <c r="B323" s="319" t="str">
        <f>IFERROR(__xludf.DUMMYFUNCTION("""COMPUTED_VALUE"""),"D. 20-39")</f>
        <v>D. 20-39</v>
      </c>
      <c r="C323" s="320">
        <f>IFERROR(__xludf.DUMMYFUNCTION("""COMPUTED_VALUE"""),14328.0)</f>
        <v>14328</v>
      </c>
      <c r="D323" s="320">
        <f>IFERROR(__xludf.DUMMYFUNCTION("""COMPUTED_VALUE"""),13.76)</f>
        <v>13.76</v>
      </c>
      <c r="E323" s="320">
        <f>IFERROR(__xludf.DUMMYFUNCTION("""COMPUTED_VALUE"""),0.0)</f>
        <v>0</v>
      </c>
      <c r="F323" s="320">
        <f>IFERROR(__xludf.DUMMYFUNCTION("""COMPUTED_VALUE"""),0.0)</f>
        <v>0</v>
      </c>
      <c r="G323" s="320">
        <f>IFERROR(__xludf.DUMMYFUNCTION("""COMPUTED_VALUE"""),0.0)</f>
        <v>0</v>
      </c>
      <c r="H323" s="106"/>
      <c r="I323" s="320">
        <f>IFERROR(__xludf.DUMMYFUNCTION("""COMPUTED_VALUE"""),85.05)</f>
        <v>85.05</v>
      </c>
      <c r="J323" s="320">
        <f>IFERROR(__xludf.DUMMYFUNCTION("""COMPUTED_VALUE"""),43.41)</f>
        <v>43.41</v>
      </c>
      <c r="K323" s="320">
        <f>IFERROR(__xludf.DUMMYFUNCTION("""COMPUTED_VALUE"""),27.86)</f>
        <v>27.86</v>
      </c>
      <c r="L323" s="320">
        <f>IFERROR(__xludf.DUMMYFUNCTION("""COMPUTED_VALUE"""),0.6417)</f>
        <v>0.6417</v>
      </c>
      <c r="M323" s="320">
        <f>IFERROR(__xludf.DUMMYFUNCTION("""COMPUTED_VALUE"""),0.5422)</f>
        <v>0.5422</v>
      </c>
      <c r="N323" s="320">
        <f>IFERROR(__xludf.DUMMYFUNCTION("""COMPUTED_VALUE"""),0.3705)</f>
        <v>0.3705</v>
      </c>
      <c r="O323" s="320">
        <f>IFERROR(__xludf.DUMMYFUNCTION("""COMPUTED_VALUE"""),1.5583)</f>
        <v>1.5583</v>
      </c>
      <c r="P323" s="320">
        <f>IFERROR(__xludf.DUMMYFUNCTION("""COMPUTED_VALUE"""),127.8)</f>
        <v>127.8</v>
      </c>
      <c r="Q323" s="320">
        <f>IFERROR(__xludf.DUMMYFUNCTION("""COMPUTED_VALUE"""),69.17)</f>
        <v>69.17</v>
      </c>
      <c r="R323" s="320">
        <f>IFERROR(__xludf.DUMMYFUNCTION("""COMPUTED_VALUE"""),58.64)</f>
        <v>58.64</v>
      </c>
      <c r="S323" s="320">
        <f>IFERROR(__xludf.DUMMYFUNCTION("""COMPUTED_VALUE"""),0.01)</f>
        <v>0.01</v>
      </c>
      <c r="T323" s="320">
        <f>IFERROR(__xludf.DUMMYFUNCTION("""COMPUTED_VALUE"""),127.79)</f>
        <v>127.79</v>
      </c>
      <c r="U323" s="320">
        <f>IFERROR(__xludf.DUMMYFUNCTION("""COMPUTED_VALUE"""),162.58)</f>
        <v>162.58</v>
      </c>
      <c r="V323" s="320">
        <f>IFERROR(__xludf.DUMMYFUNCTION("""COMPUTED_VALUE"""),3.745)</f>
        <v>3.745</v>
      </c>
      <c r="W323" s="320">
        <f>IFERROR(__xludf.DUMMYFUNCTION("""COMPUTED_VALUE"""),0.01)</f>
        <v>0.01</v>
      </c>
      <c r="X323" s="320">
        <f>IFERROR(__xludf.DUMMYFUNCTION("""COMPUTED_VALUE"""),131.0)</f>
        <v>131</v>
      </c>
      <c r="Y323" s="320">
        <f>IFERROR(__xludf.DUMMYFUNCTION("""COMPUTED_VALUE"""),948.0)</f>
        <v>948</v>
      </c>
      <c r="Z323" s="320">
        <f>IFERROR(__xludf.DUMMYFUNCTION("""COMPUTED_VALUE"""),6085.0)</f>
        <v>6085</v>
      </c>
      <c r="AA323" s="320">
        <f>IFERROR(__xludf.DUMMYFUNCTION("""COMPUTED_VALUE"""),55.7247)</f>
        <v>55.7247</v>
      </c>
      <c r="AB323" s="320">
        <f>IFERROR(__xludf.DUMMYFUNCTION("""COMPUTED_VALUE"""),0.7416)</f>
        <v>0.7416</v>
      </c>
      <c r="AC323" s="320">
        <f>IFERROR(__xludf.DUMMYFUNCTION("""COMPUTED_VALUE"""),18.14)</f>
        <v>18.14</v>
      </c>
      <c r="AD323" s="320">
        <f>IFERROR(__xludf.DUMMYFUNCTION("""COMPUTED_VALUE"""),7.0)</f>
        <v>7</v>
      </c>
      <c r="AE323" s="320">
        <f>IFERROR(__xludf.DUMMYFUNCTION("""COMPUTED_VALUE"""),14.0)</f>
        <v>14</v>
      </c>
      <c r="AF323" s="320">
        <f>IFERROR(__xludf.DUMMYFUNCTION("""COMPUTED_VALUE"""),25.0)</f>
        <v>25</v>
      </c>
      <c r="AG323" s="320">
        <f>IFERROR(__xludf.DUMMYFUNCTION("""COMPUTED_VALUE"""),38.0)</f>
        <v>38</v>
      </c>
      <c r="AH323" s="320">
        <f>IFERROR(__xludf.DUMMYFUNCTION("""COMPUTED_VALUE"""),59.92)</f>
        <v>59.92</v>
      </c>
      <c r="AI323" s="320">
        <f>IFERROR(__xludf.DUMMYFUNCTION("""COMPUTED_VALUE"""),23.69)</f>
        <v>23.69</v>
      </c>
      <c r="AJ323" s="320">
        <f>IFERROR(__xludf.DUMMYFUNCTION("""COMPUTED_VALUE"""),7.61)</f>
        <v>7.61</v>
      </c>
      <c r="AK323" s="320">
        <f>IFERROR(__xludf.DUMMYFUNCTION("""COMPUTED_VALUE"""),0.2091)</f>
        <v>0.2091</v>
      </c>
      <c r="AL323" s="320">
        <f>IFERROR(__xludf.DUMMYFUNCTION("""COMPUTED_VALUE"""),21.48)</f>
        <v>21.48</v>
      </c>
      <c r="AM323" s="320">
        <f>IFERROR(__xludf.DUMMYFUNCTION("""COMPUTED_VALUE"""),47.69)</f>
        <v>47.69</v>
      </c>
      <c r="AN323" s="320">
        <f>IFERROR(__xludf.DUMMYFUNCTION("""COMPUTED_VALUE"""),76.32)</f>
        <v>76.32</v>
      </c>
      <c r="AO323" s="320">
        <f>IFERROR(__xludf.DUMMYFUNCTION("""COMPUTED_VALUE"""),16.39)</f>
        <v>16.39</v>
      </c>
    </row>
    <row r="324" ht="15.75" customHeight="1">
      <c r="A324" s="330">
        <f>IFERROR(__xludf.DUMMYFUNCTION("""COMPUTED_VALUE"""),46103.0)</f>
        <v>46103</v>
      </c>
      <c r="B324" s="319" t="str">
        <f>IFERROR(__xludf.DUMMYFUNCTION("""COMPUTED_VALUE"""),"E. 40-99")</f>
        <v>E. 40-99</v>
      </c>
      <c r="C324" s="320">
        <f>IFERROR(__xludf.DUMMYFUNCTION("""COMPUTED_VALUE"""),5697.0)</f>
        <v>5697</v>
      </c>
      <c r="D324" s="320">
        <f>IFERROR(__xludf.DUMMYFUNCTION("""COMPUTED_VALUE"""),5.47)</f>
        <v>5.47</v>
      </c>
      <c r="E324" s="320">
        <f>IFERROR(__xludf.DUMMYFUNCTION("""COMPUTED_VALUE"""),0.0)</f>
        <v>0</v>
      </c>
      <c r="F324" s="320">
        <f>IFERROR(__xludf.DUMMYFUNCTION("""COMPUTED_VALUE"""),0.0)</f>
        <v>0</v>
      </c>
      <c r="G324" s="320">
        <f>IFERROR(__xludf.DUMMYFUNCTION("""COMPUTED_VALUE"""),0.0)</f>
        <v>0</v>
      </c>
      <c r="H324" s="106"/>
      <c r="I324" s="320">
        <f>IFERROR(__xludf.DUMMYFUNCTION("""COMPUTED_VALUE"""),131.99)</f>
        <v>131.99</v>
      </c>
      <c r="J324" s="320">
        <f>IFERROR(__xludf.DUMMYFUNCTION("""COMPUTED_VALUE"""),72.01)</f>
        <v>72.01</v>
      </c>
      <c r="K324" s="320">
        <f>IFERROR(__xludf.DUMMYFUNCTION("""COMPUTED_VALUE"""),55.45)</f>
        <v>55.45</v>
      </c>
      <c r="L324" s="320">
        <f>IFERROR(__xludf.DUMMYFUNCTION("""COMPUTED_VALUE"""),0.77)</f>
        <v>0.77</v>
      </c>
      <c r="M324" s="320">
        <f>IFERROR(__xludf.DUMMYFUNCTION("""COMPUTED_VALUE"""),0.4052)</f>
        <v>0.4052</v>
      </c>
      <c r="N324" s="320">
        <f>IFERROR(__xludf.DUMMYFUNCTION("""COMPUTED_VALUE"""),0.2858)</f>
        <v>0.2858</v>
      </c>
      <c r="O324" s="320">
        <f>IFERROR(__xludf.DUMMYFUNCTION("""COMPUTED_VALUE"""),1.2987)</f>
        <v>1.2987</v>
      </c>
      <c r="P324" s="320">
        <f>IFERROR(__xludf.DUMMYFUNCTION("""COMPUTED_VALUE"""),222.25)</f>
        <v>222.25</v>
      </c>
      <c r="Q324" s="320">
        <f>IFERROR(__xludf.DUMMYFUNCTION("""COMPUTED_VALUE"""),104.97)</f>
        <v>104.97</v>
      </c>
      <c r="R324" s="320">
        <f>IFERROR(__xludf.DUMMYFUNCTION("""COMPUTED_VALUE"""),117.28)</f>
        <v>117.28</v>
      </c>
      <c r="S324" s="320">
        <f>IFERROR(__xludf.DUMMYFUNCTION("""COMPUTED_VALUE"""),0.16)</f>
        <v>0.16</v>
      </c>
      <c r="T324" s="320">
        <f>IFERROR(__xludf.DUMMYFUNCTION("""COMPUTED_VALUE"""),222.09)</f>
        <v>222.09</v>
      </c>
      <c r="U324" s="320">
        <f>IFERROR(__xludf.DUMMYFUNCTION("""COMPUTED_VALUE"""),297.69)</f>
        <v>297.69</v>
      </c>
      <c r="V324" s="320">
        <f>IFERROR(__xludf.DUMMYFUNCTION("""COMPUTED_VALUE"""),4.1342)</f>
        <v>4.1342</v>
      </c>
      <c r="W324" s="320">
        <f>IFERROR(__xludf.DUMMYFUNCTION("""COMPUTED_VALUE"""),0.07)</f>
        <v>0.07</v>
      </c>
      <c r="X324" s="320">
        <f>IFERROR(__xludf.DUMMYFUNCTION("""COMPUTED_VALUE"""),205.0)</f>
        <v>205</v>
      </c>
      <c r="Y324" s="320">
        <f>IFERROR(__xludf.DUMMYFUNCTION("""COMPUTED_VALUE"""),2084.0)</f>
        <v>2084</v>
      </c>
      <c r="Z324" s="320">
        <f>IFERROR(__xludf.DUMMYFUNCTION("""COMPUTED_VALUE"""),8843.0)</f>
        <v>8843</v>
      </c>
      <c r="AA324" s="320">
        <f>IFERROR(__xludf.DUMMYFUNCTION("""COMPUTED_VALUE"""),59.5434)</f>
        <v>59.5434</v>
      </c>
      <c r="AB324" s="320">
        <f>IFERROR(__xludf.DUMMYFUNCTION("""COMPUTED_VALUE"""),0.8321)</f>
        <v>0.8321</v>
      </c>
      <c r="AC324" s="320">
        <f>IFERROR(__xludf.DUMMYFUNCTION("""COMPUTED_VALUE"""),36.54)</f>
        <v>36.54</v>
      </c>
      <c r="AD324" s="320">
        <f>IFERROR(__xludf.DUMMYFUNCTION("""COMPUTED_VALUE"""),14.0)</f>
        <v>14</v>
      </c>
      <c r="AE324" s="320">
        <f>IFERROR(__xludf.DUMMYFUNCTION("""COMPUTED_VALUE"""),28.0)</f>
        <v>28</v>
      </c>
      <c r="AF324" s="320">
        <f>IFERROR(__xludf.DUMMYFUNCTION("""COMPUTED_VALUE"""),50.0)</f>
        <v>50</v>
      </c>
      <c r="AG324" s="320">
        <f>IFERROR(__xludf.DUMMYFUNCTION("""COMPUTED_VALUE"""),78.0)</f>
        <v>78</v>
      </c>
      <c r="AH324" s="320">
        <f>IFERROR(__xludf.DUMMYFUNCTION("""COMPUTED_VALUE"""),50.01)</f>
        <v>50.01</v>
      </c>
      <c r="AI324" s="320">
        <f>IFERROR(__xludf.DUMMYFUNCTION("""COMPUTED_VALUE"""),19.12)</f>
        <v>19.12</v>
      </c>
      <c r="AJ324" s="320">
        <f>IFERROR(__xludf.DUMMYFUNCTION("""COMPUTED_VALUE"""),4.44)</f>
        <v>4.44</v>
      </c>
      <c r="AK324" s="320">
        <f>IFERROR(__xludf.DUMMYFUNCTION("""COMPUTED_VALUE"""),0.1596)</f>
        <v>0.1596</v>
      </c>
      <c r="AL324" s="320">
        <f>IFERROR(__xludf.DUMMYFUNCTION("""COMPUTED_VALUE"""),21.79)</f>
        <v>21.79</v>
      </c>
      <c r="AM324" s="320">
        <f>IFERROR(__xludf.DUMMYFUNCTION("""COMPUTED_VALUE"""),83.18)</f>
        <v>83.18</v>
      </c>
      <c r="AN324" s="320">
        <f>IFERROR(__xludf.DUMMYFUNCTION("""COMPUTED_VALUE"""),80.23)</f>
        <v>80.23</v>
      </c>
      <c r="AO324" s="320">
        <f>IFERROR(__xludf.DUMMYFUNCTION("""COMPUTED_VALUE"""),17.48)</f>
        <v>17.48</v>
      </c>
    </row>
    <row r="325" ht="15.75" customHeight="1">
      <c r="A325" s="330">
        <f>IFERROR(__xludf.DUMMYFUNCTION("""COMPUTED_VALUE"""),46103.0)</f>
        <v>46103</v>
      </c>
      <c r="B325" s="319" t="str">
        <f>IFERROR(__xludf.DUMMYFUNCTION("""COMPUTED_VALUE"""),"F. 100+")</f>
        <v>F. 100+</v>
      </c>
      <c r="C325" s="320">
        <f>IFERROR(__xludf.DUMMYFUNCTION("""COMPUTED_VALUE"""),663.0)</f>
        <v>663</v>
      </c>
      <c r="D325" s="320">
        <f>IFERROR(__xludf.DUMMYFUNCTION("""COMPUTED_VALUE"""),0.64)</f>
        <v>0.64</v>
      </c>
      <c r="E325" s="320">
        <f>IFERROR(__xludf.DUMMYFUNCTION("""COMPUTED_VALUE"""),0.0)</f>
        <v>0</v>
      </c>
      <c r="F325" s="320">
        <f>IFERROR(__xludf.DUMMYFUNCTION("""COMPUTED_VALUE"""),0.0)</f>
        <v>0</v>
      </c>
      <c r="G325" s="320">
        <f>IFERROR(__xludf.DUMMYFUNCTION("""COMPUTED_VALUE"""),0.0)</f>
        <v>0</v>
      </c>
      <c r="H325" s="106"/>
      <c r="I325" s="320">
        <f>IFERROR(__xludf.DUMMYFUNCTION("""COMPUTED_VALUE"""),248.25)</f>
        <v>248.25</v>
      </c>
      <c r="J325" s="320">
        <f>IFERROR(__xludf.DUMMYFUNCTION("""COMPUTED_VALUE"""),145.33)</f>
        <v>145.33</v>
      </c>
      <c r="K325" s="320">
        <f>IFERROR(__xludf.DUMMYFUNCTION("""COMPUTED_VALUE"""),124.95)</f>
        <v>124.95</v>
      </c>
      <c r="L325" s="320">
        <f>IFERROR(__xludf.DUMMYFUNCTION("""COMPUTED_VALUE"""),0.8598)</f>
        <v>0.8598</v>
      </c>
      <c r="M325" s="320">
        <f>IFERROR(__xludf.DUMMYFUNCTION("""COMPUTED_VALUE"""),0.2902)</f>
        <v>0.2902</v>
      </c>
      <c r="N325" s="320">
        <f>IFERROR(__xludf.DUMMYFUNCTION("""COMPUTED_VALUE"""),0.2124)</f>
        <v>0.2124</v>
      </c>
      <c r="O325" s="320">
        <f>IFERROR(__xludf.DUMMYFUNCTION("""COMPUTED_VALUE"""),1.1631)</f>
        <v>1.1631</v>
      </c>
      <c r="P325" s="320">
        <f>IFERROR(__xludf.DUMMYFUNCTION("""COMPUTED_VALUE"""),427.47)</f>
        <v>427.47</v>
      </c>
      <c r="Q325" s="320">
        <f>IFERROR(__xludf.DUMMYFUNCTION("""COMPUTED_VALUE"""),162.65)</f>
        <v>162.65</v>
      </c>
      <c r="R325" s="320">
        <f>IFERROR(__xludf.DUMMYFUNCTION("""COMPUTED_VALUE"""),264.82)</f>
        <v>264.82</v>
      </c>
      <c r="S325" s="320">
        <f>IFERROR(__xludf.DUMMYFUNCTION("""COMPUTED_VALUE"""),0.0)</f>
        <v>0</v>
      </c>
      <c r="T325" s="320">
        <f>IFERROR(__xludf.DUMMYFUNCTION("""COMPUTED_VALUE"""),427.47)</f>
        <v>427.47</v>
      </c>
      <c r="U325" s="320">
        <f>IFERROR(__xludf.DUMMYFUNCTION("""COMPUTED_VALUE"""),603.54)</f>
        <v>603.54</v>
      </c>
      <c r="V325" s="320">
        <f>IFERROR(__xludf.DUMMYFUNCTION("""COMPUTED_VALUE"""),4.153)</f>
        <v>4.153</v>
      </c>
      <c r="W325" s="320">
        <f>IFERROR(__xludf.DUMMYFUNCTION("""COMPUTED_VALUE"""),0.0)</f>
        <v>0</v>
      </c>
      <c r="X325" s="320">
        <f>IFERROR(__xludf.DUMMYFUNCTION("""COMPUTED_VALUE"""),756.0)</f>
        <v>756</v>
      </c>
      <c r="Y325" s="320">
        <f>IFERROR(__xludf.DUMMYFUNCTION("""COMPUTED_VALUE"""),4104.0)</f>
        <v>4104</v>
      </c>
      <c r="Z325" s="320">
        <f>IFERROR(__xludf.DUMMYFUNCTION("""COMPUTED_VALUE"""),11580.0)</f>
        <v>11580</v>
      </c>
      <c r="AA325" s="320">
        <f>IFERROR(__xludf.DUMMYFUNCTION("""COMPUTED_VALUE"""),63.0457)</f>
        <v>63.0457</v>
      </c>
      <c r="AB325" s="320">
        <f>IFERROR(__xludf.DUMMYFUNCTION("""COMPUTED_VALUE"""),0.8872)</f>
        <v>0.8872</v>
      </c>
      <c r="AC325" s="320">
        <f>IFERROR(__xludf.DUMMYFUNCTION("""COMPUTED_VALUE"""),85.16)</f>
        <v>85.16</v>
      </c>
      <c r="AD325" s="320">
        <f>IFERROR(__xludf.DUMMYFUNCTION("""COMPUTED_VALUE"""),31.0)</f>
        <v>31</v>
      </c>
      <c r="AE325" s="320">
        <f>IFERROR(__xludf.DUMMYFUNCTION("""COMPUTED_VALUE"""),69.0)</f>
        <v>69</v>
      </c>
      <c r="AF325" s="320">
        <f>IFERROR(__xludf.DUMMYFUNCTION("""COMPUTED_VALUE"""),122.0)</f>
        <v>122</v>
      </c>
      <c r="AG325" s="320">
        <f>IFERROR(__xludf.DUMMYFUNCTION("""COMPUTED_VALUE"""),183.0)</f>
        <v>183</v>
      </c>
      <c r="AH325" s="320">
        <f>IFERROR(__xludf.DUMMYFUNCTION("""COMPUTED_VALUE"""),44.19)</f>
        <v>44.19</v>
      </c>
      <c r="AI325" s="320">
        <f>IFERROR(__xludf.DUMMYFUNCTION("""COMPUTED_VALUE"""),11.76)</f>
        <v>11.76</v>
      </c>
      <c r="AJ325" s="320">
        <f>IFERROR(__xludf.DUMMYFUNCTION("""COMPUTED_VALUE"""),1.21)</f>
        <v>1.21</v>
      </c>
      <c r="AK325" s="320">
        <f>IFERROR(__xludf.DUMMYFUNCTION("""COMPUTED_VALUE"""),0.0995)</f>
        <v>0.0995</v>
      </c>
      <c r="AL325" s="320">
        <f>IFERROR(__xludf.DUMMYFUNCTION("""COMPUTED_VALUE"""),25.38)</f>
        <v>25.38</v>
      </c>
      <c r="AM325" s="320">
        <f>IFERROR(__xludf.DUMMYFUNCTION("""COMPUTED_VALUE"""),137.28)</f>
        <v>137.28</v>
      </c>
      <c r="AN325" s="320">
        <f>IFERROR(__xludf.DUMMYFUNCTION("""COMPUTED_VALUE"""),82.53)</f>
        <v>82.53</v>
      </c>
      <c r="AO325" s="320">
        <f>IFERROR(__xludf.DUMMYFUNCTION("""COMPUTED_VALUE"""),20.95)</f>
        <v>20.95</v>
      </c>
    </row>
    <row r="326" ht="15.75" customHeight="1">
      <c r="A326" s="330">
        <f>IFERROR(__xludf.DUMMYFUNCTION("""COMPUTED_VALUE"""),46104.0)</f>
        <v>46104</v>
      </c>
      <c r="B326" s="319" t="str">
        <f>IFERROR(__xludf.DUMMYFUNCTION("""COMPUTED_VALUE"""),"A. 0")</f>
        <v>A. 0</v>
      </c>
      <c r="C326" s="320">
        <f>IFERROR(__xludf.DUMMYFUNCTION("""COMPUTED_VALUE"""),19674.0)</f>
        <v>19674</v>
      </c>
      <c r="D326" s="320">
        <f>IFERROR(__xludf.DUMMYFUNCTION("""COMPUTED_VALUE"""),18.07)</f>
        <v>18.07</v>
      </c>
      <c r="E326" s="320">
        <f>IFERROR(__xludf.DUMMYFUNCTION("""COMPUTED_VALUE"""),0.0)</f>
        <v>0</v>
      </c>
      <c r="F326" s="320">
        <f>IFERROR(__xludf.DUMMYFUNCTION("""COMPUTED_VALUE"""),0.0)</f>
        <v>0</v>
      </c>
      <c r="G326" s="320">
        <f>IFERROR(__xludf.DUMMYFUNCTION("""COMPUTED_VALUE"""),0.0)</f>
        <v>0</v>
      </c>
      <c r="H326" s="106"/>
      <c r="I326" s="320">
        <f>IFERROR(__xludf.DUMMYFUNCTION("""COMPUTED_VALUE"""),5.42)</f>
        <v>5.42</v>
      </c>
      <c r="J326" s="320">
        <f>IFERROR(__xludf.DUMMYFUNCTION("""COMPUTED_VALUE"""),2.15)</f>
        <v>2.15</v>
      </c>
      <c r="K326" s="320">
        <f>IFERROR(__xludf.DUMMYFUNCTION("""COMPUTED_VALUE"""),0.09)</f>
        <v>0.09</v>
      </c>
      <c r="L326" s="320">
        <f>IFERROR(__xludf.DUMMYFUNCTION("""COMPUTED_VALUE"""),0.0438)</f>
        <v>0.0438</v>
      </c>
      <c r="M326" s="320">
        <f>IFERROR(__xludf.DUMMYFUNCTION("""COMPUTED_VALUE"""),0.9656)</f>
        <v>0.9656</v>
      </c>
      <c r="N326" s="320">
        <f>IFERROR(__xludf.DUMMYFUNCTION("""COMPUTED_VALUE"""),0.7063)</f>
        <v>0.7063</v>
      </c>
      <c r="O326" s="320">
        <f>IFERROR(__xludf.DUMMYFUNCTION("""COMPUTED_VALUE"""),22.8439)</f>
        <v>22.8439</v>
      </c>
      <c r="P326" s="320">
        <f>IFERROR(__xludf.DUMMYFUNCTION("""COMPUTED_VALUE"""),32.34)</f>
        <v>32.34</v>
      </c>
      <c r="Q326" s="320">
        <f>IFERROR(__xludf.DUMMYFUNCTION("""COMPUTED_VALUE"""),32.23)</f>
        <v>32.23</v>
      </c>
      <c r="R326" s="320">
        <f>IFERROR(__xludf.DUMMYFUNCTION("""COMPUTED_VALUE"""),0.11)</f>
        <v>0.11</v>
      </c>
      <c r="S326" s="320">
        <f>IFERROR(__xludf.DUMMYFUNCTION("""COMPUTED_VALUE"""),0.0)</f>
        <v>0</v>
      </c>
      <c r="T326" s="320">
        <f>IFERROR(__xludf.DUMMYFUNCTION("""COMPUTED_VALUE"""),32.34)</f>
        <v>32.34</v>
      </c>
      <c r="U326" s="320">
        <f>IFERROR(__xludf.DUMMYFUNCTION("""COMPUTED_VALUE"""),1.91)</f>
        <v>1.91</v>
      </c>
      <c r="V326" s="320">
        <f>IFERROR(__xludf.DUMMYFUNCTION("""COMPUTED_VALUE"""),0.8869)</f>
        <v>0.8869</v>
      </c>
      <c r="W326" s="320">
        <f>IFERROR(__xludf.DUMMYFUNCTION("""COMPUTED_VALUE"""),0.0)</f>
        <v>0</v>
      </c>
      <c r="X326" s="320">
        <f>IFERROR(__xludf.DUMMYFUNCTION("""COMPUTED_VALUE"""),392.0)</f>
        <v>392</v>
      </c>
      <c r="Y326" s="320">
        <f>IFERROR(__xludf.DUMMYFUNCTION("""COMPUTED_VALUE"""),4449.0)</f>
        <v>4449</v>
      </c>
      <c r="Z326" s="320">
        <f>IFERROR(__xludf.DUMMYFUNCTION("""COMPUTED_VALUE"""),16074.0)</f>
        <v>16074</v>
      </c>
      <c r="AA326" s="320">
        <f>IFERROR(__xludf.DUMMYFUNCTION("""COMPUTED_VALUE"""),49.5357)</f>
        <v>49.5357</v>
      </c>
      <c r="AB326" s="320">
        <f>IFERROR(__xludf.DUMMYFUNCTION("""COMPUTED_VALUE"""),0.5565)</f>
        <v>0.5565</v>
      </c>
      <c r="AC326" s="106"/>
      <c r="AD326" s="106"/>
      <c r="AE326" s="106"/>
      <c r="AF326" s="106"/>
      <c r="AG326" s="106"/>
      <c r="AH326" s="320">
        <f>IFERROR(__xludf.DUMMYFUNCTION("""COMPUTED_VALUE"""),0.0)</f>
        <v>0</v>
      </c>
      <c r="AI326" s="320">
        <f>IFERROR(__xludf.DUMMYFUNCTION("""COMPUTED_VALUE"""),0.0)</f>
        <v>0</v>
      </c>
      <c r="AJ326" s="320">
        <f>IFERROR(__xludf.DUMMYFUNCTION("""COMPUTED_VALUE"""),0.0)</f>
        <v>0</v>
      </c>
      <c r="AK326" s="320">
        <f>IFERROR(__xludf.DUMMYFUNCTION("""COMPUTED_VALUE"""),0.2788)</f>
        <v>0.2788</v>
      </c>
      <c r="AL326" s="320">
        <f>IFERROR(__xludf.DUMMYFUNCTION("""COMPUTED_VALUE"""),16.69)</f>
        <v>16.69</v>
      </c>
      <c r="AM326" s="320">
        <f>IFERROR(__xludf.DUMMYFUNCTION("""COMPUTED_VALUE"""),15.54)</f>
        <v>15.54</v>
      </c>
      <c r="AN326" s="331"/>
      <c r="AO326" s="331"/>
    </row>
    <row r="327" ht="15.75" customHeight="1">
      <c r="A327" s="330">
        <f>IFERROR(__xludf.DUMMYFUNCTION("""COMPUTED_VALUE"""),46104.0)</f>
        <v>46104</v>
      </c>
      <c r="B327" s="319" t="str">
        <f>IFERROR(__xludf.DUMMYFUNCTION("""COMPUTED_VALUE"""),"B. 1-9")</f>
        <v>B. 1-9</v>
      </c>
      <c r="C327" s="320">
        <f>IFERROR(__xludf.DUMMYFUNCTION("""COMPUTED_VALUE"""),38411.0)</f>
        <v>38411</v>
      </c>
      <c r="D327" s="320">
        <f>IFERROR(__xludf.DUMMYFUNCTION("""COMPUTED_VALUE"""),35.27)</f>
        <v>35.27</v>
      </c>
      <c r="E327" s="320">
        <f>IFERROR(__xludf.DUMMYFUNCTION("""COMPUTED_VALUE"""),0.0)</f>
        <v>0</v>
      </c>
      <c r="F327" s="320">
        <f>IFERROR(__xludf.DUMMYFUNCTION("""COMPUTED_VALUE"""),0.0)</f>
        <v>0</v>
      </c>
      <c r="G327" s="320">
        <f>IFERROR(__xludf.DUMMYFUNCTION("""COMPUTED_VALUE"""),0.0)</f>
        <v>0</v>
      </c>
      <c r="H327" s="106"/>
      <c r="I327" s="320">
        <f>IFERROR(__xludf.DUMMYFUNCTION("""COMPUTED_VALUE"""),31.89)</f>
        <v>31.89</v>
      </c>
      <c r="J327" s="320">
        <f>IFERROR(__xludf.DUMMYFUNCTION("""COMPUTED_VALUE"""),14.61)</f>
        <v>14.61</v>
      </c>
      <c r="K327" s="320">
        <f>IFERROR(__xludf.DUMMYFUNCTION("""COMPUTED_VALUE"""),5.86)</f>
        <v>5.86</v>
      </c>
      <c r="L327" s="320">
        <f>IFERROR(__xludf.DUMMYFUNCTION("""COMPUTED_VALUE"""),0.4011)</f>
        <v>0.4011</v>
      </c>
      <c r="M327" s="320">
        <f>IFERROR(__xludf.DUMMYFUNCTION("""COMPUTED_VALUE"""),0.7704)</f>
        <v>0.7704</v>
      </c>
      <c r="N327" s="320">
        <f>IFERROR(__xludf.DUMMYFUNCTION("""COMPUTED_VALUE"""),0.577)</f>
        <v>0.577</v>
      </c>
      <c r="O327" s="320">
        <f>IFERROR(__xludf.DUMMYFUNCTION("""COMPUTED_VALUE"""),2.4931)</f>
        <v>2.4931</v>
      </c>
      <c r="P327" s="320">
        <f>IFERROR(__xludf.DUMMYFUNCTION("""COMPUTED_VALUE"""),71.4)</f>
        <v>71.4</v>
      </c>
      <c r="Q327" s="320">
        <f>IFERROR(__xludf.DUMMYFUNCTION("""COMPUTED_VALUE"""),59.58)</f>
        <v>59.58</v>
      </c>
      <c r="R327" s="320">
        <f>IFERROR(__xludf.DUMMYFUNCTION("""COMPUTED_VALUE"""),11.82)</f>
        <v>11.82</v>
      </c>
      <c r="S327" s="320">
        <f>IFERROR(__xludf.DUMMYFUNCTION("""COMPUTED_VALUE"""),0.06)</f>
        <v>0.06</v>
      </c>
      <c r="T327" s="320">
        <f>IFERROR(__xludf.DUMMYFUNCTION("""COMPUTED_VALUE"""),71.34)</f>
        <v>71.34</v>
      </c>
      <c r="U327" s="320">
        <f>IFERROR(__xludf.DUMMYFUNCTION("""COMPUTED_VALUE"""),59.55)</f>
        <v>59.55</v>
      </c>
      <c r="V327" s="320">
        <f>IFERROR(__xludf.DUMMYFUNCTION("""COMPUTED_VALUE"""),4.076)</f>
        <v>4.076</v>
      </c>
      <c r="W327" s="320">
        <f>IFERROR(__xludf.DUMMYFUNCTION("""COMPUTED_VALUE"""),0.08)</f>
        <v>0.08</v>
      </c>
      <c r="X327" s="320">
        <f>IFERROR(__xludf.DUMMYFUNCTION("""COMPUTED_VALUE"""),154.0)</f>
        <v>154</v>
      </c>
      <c r="Y327" s="320">
        <f>IFERROR(__xludf.DUMMYFUNCTION("""COMPUTED_VALUE"""),871.0)</f>
        <v>871</v>
      </c>
      <c r="Z327" s="320">
        <f>IFERROR(__xludf.DUMMYFUNCTION("""COMPUTED_VALUE"""),5933.0)</f>
        <v>5933</v>
      </c>
      <c r="AA327" s="320">
        <f>IFERROR(__xludf.DUMMYFUNCTION("""COMPUTED_VALUE"""),48.6833)</f>
        <v>48.6833</v>
      </c>
      <c r="AB327" s="320">
        <f>IFERROR(__xludf.DUMMYFUNCTION("""COMPUTED_VALUE"""),0.5246)</f>
        <v>0.5246</v>
      </c>
      <c r="AC327" s="320">
        <f>IFERROR(__xludf.DUMMYFUNCTION("""COMPUTED_VALUE"""),4.01)</f>
        <v>4.01</v>
      </c>
      <c r="AD327" s="320">
        <f>IFERROR(__xludf.DUMMYFUNCTION("""COMPUTED_VALUE"""),1.0)</f>
        <v>1</v>
      </c>
      <c r="AE327" s="320">
        <f>IFERROR(__xludf.DUMMYFUNCTION("""COMPUTED_VALUE"""),3.0)</f>
        <v>3</v>
      </c>
      <c r="AF327" s="320">
        <f>IFERROR(__xludf.DUMMYFUNCTION("""COMPUTED_VALUE"""),5.0)</f>
        <v>5</v>
      </c>
      <c r="AG327" s="320">
        <f>IFERROR(__xludf.DUMMYFUNCTION("""COMPUTED_VALUE"""),9.0)</f>
        <v>9</v>
      </c>
      <c r="AH327" s="320">
        <f>IFERROR(__xludf.DUMMYFUNCTION("""COMPUTED_VALUE"""),73.95)</f>
        <v>73.95</v>
      </c>
      <c r="AI327" s="320">
        <f>IFERROR(__xludf.DUMMYFUNCTION("""COMPUTED_VALUE"""),30.85)</f>
        <v>30.85</v>
      </c>
      <c r="AJ327" s="320">
        <f>IFERROR(__xludf.DUMMYFUNCTION("""COMPUTED_VALUE"""),8.23)</f>
        <v>8.23</v>
      </c>
      <c r="AK327" s="320">
        <f>IFERROR(__xludf.DUMMYFUNCTION("""COMPUTED_VALUE"""),0.2365)</f>
        <v>0.2365</v>
      </c>
      <c r="AL327" s="320">
        <f>IFERROR(__xludf.DUMMYFUNCTION("""COMPUTED_VALUE"""),18.38)</f>
        <v>18.38</v>
      </c>
      <c r="AM327" s="320">
        <f>IFERROR(__xludf.DUMMYFUNCTION("""COMPUTED_VALUE"""),41.2)</f>
        <v>41.2</v>
      </c>
      <c r="AN327" s="320">
        <f>IFERROR(__xludf.DUMMYFUNCTION("""COMPUTED_VALUE"""),65.76)</f>
        <v>65.76</v>
      </c>
      <c r="AO327" s="320">
        <f>IFERROR(__xludf.DUMMYFUNCTION("""COMPUTED_VALUE"""),12.09)</f>
        <v>12.09</v>
      </c>
    </row>
    <row r="328" ht="15.75" customHeight="1">
      <c r="A328" s="330">
        <f>IFERROR(__xludf.DUMMYFUNCTION("""COMPUTED_VALUE"""),46104.0)</f>
        <v>46104</v>
      </c>
      <c r="B328" s="319" t="str">
        <f>IFERROR(__xludf.DUMMYFUNCTION("""COMPUTED_VALUE"""),"C. 10-19")</f>
        <v>C. 10-19</v>
      </c>
      <c r="C328" s="320">
        <f>IFERROR(__xludf.DUMMYFUNCTION("""COMPUTED_VALUE"""),27858.0)</f>
        <v>27858</v>
      </c>
      <c r="D328" s="320">
        <f>IFERROR(__xludf.DUMMYFUNCTION("""COMPUTED_VALUE"""),25.58)</f>
        <v>25.58</v>
      </c>
      <c r="E328" s="320">
        <f>IFERROR(__xludf.DUMMYFUNCTION("""COMPUTED_VALUE"""),0.0)</f>
        <v>0</v>
      </c>
      <c r="F328" s="320">
        <f>IFERROR(__xludf.DUMMYFUNCTION("""COMPUTED_VALUE"""),0.0)</f>
        <v>0</v>
      </c>
      <c r="G328" s="320">
        <f>IFERROR(__xludf.DUMMYFUNCTION("""COMPUTED_VALUE"""),0.0)</f>
        <v>0</v>
      </c>
      <c r="H328" s="106"/>
      <c r="I328" s="320">
        <f>IFERROR(__xludf.DUMMYFUNCTION("""COMPUTED_VALUE"""),61.56)</f>
        <v>61.56</v>
      </c>
      <c r="J328" s="320">
        <f>IFERROR(__xludf.DUMMYFUNCTION("""COMPUTED_VALUE"""),29.12)</f>
        <v>29.12</v>
      </c>
      <c r="K328" s="320">
        <f>IFERROR(__xludf.DUMMYFUNCTION("""COMPUTED_VALUE"""),15.51)</f>
        <v>15.51</v>
      </c>
      <c r="L328" s="320">
        <f>IFERROR(__xludf.DUMMYFUNCTION("""COMPUTED_VALUE"""),0.5325)</f>
        <v>0.5325</v>
      </c>
      <c r="M328" s="320">
        <f>IFERROR(__xludf.DUMMYFUNCTION("""COMPUTED_VALUE"""),0.6651)</f>
        <v>0.6651</v>
      </c>
      <c r="N328" s="320">
        <f>IFERROR(__xludf.DUMMYFUNCTION("""COMPUTED_VALUE"""),0.4701)</f>
        <v>0.4701</v>
      </c>
      <c r="O328" s="320">
        <f>IFERROR(__xludf.DUMMYFUNCTION("""COMPUTED_VALUE"""),1.8779)</f>
        <v>1.8779</v>
      </c>
      <c r="P328" s="320">
        <f>IFERROR(__xludf.DUMMYFUNCTION("""COMPUTED_VALUE"""),132.36)</f>
        <v>132.36</v>
      </c>
      <c r="Q328" s="320">
        <f>IFERROR(__xludf.DUMMYFUNCTION("""COMPUTED_VALUE"""),101.7)</f>
        <v>101.7</v>
      </c>
      <c r="R328" s="320">
        <f>IFERROR(__xludf.DUMMYFUNCTION("""COMPUTED_VALUE"""),30.66)</f>
        <v>30.66</v>
      </c>
      <c r="S328" s="320">
        <f>IFERROR(__xludf.DUMMYFUNCTION("""COMPUTED_VALUE"""),0.14)</f>
        <v>0.14</v>
      </c>
      <c r="T328" s="320">
        <f>IFERROR(__xludf.DUMMYFUNCTION("""COMPUTED_VALUE"""),132.22)</f>
        <v>132.22</v>
      </c>
      <c r="U328" s="320">
        <f>IFERROR(__xludf.DUMMYFUNCTION("""COMPUTED_VALUE"""),116.93)</f>
        <v>116.93</v>
      </c>
      <c r="V328" s="320">
        <f>IFERROR(__xludf.DUMMYFUNCTION("""COMPUTED_VALUE"""),4.0157)</f>
        <v>4.0157</v>
      </c>
      <c r="W328" s="320">
        <f>IFERROR(__xludf.DUMMYFUNCTION("""COMPUTED_VALUE"""),0.11)</f>
        <v>0.11</v>
      </c>
      <c r="X328" s="320">
        <f>IFERROR(__xludf.DUMMYFUNCTION("""COMPUTED_VALUE"""),138.0)</f>
        <v>138</v>
      </c>
      <c r="Y328" s="320">
        <f>IFERROR(__xludf.DUMMYFUNCTION("""COMPUTED_VALUE"""),703.0)</f>
        <v>703</v>
      </c>
      <c r="Z328" s="320">
        <f>IFERROR(__xludf.DUMMYFUNCTION("""COMPUTED_VALUE"""),5700.0)</f>
        <v>5700</v>
      </c>
      <c r="AA328" s="320">
        <f>IFERROR(__xludf.DUMMYFUNCTION("""COMPUTED_VALUE"""),52.1267)</f>
        <v>52.1267</v>
      </c>
      <c r="AB328" s="320">
        <f>IFERROR(__xludf.DUMMYFUNCTION("""COMPUTED_VALUE"""),0.5899)</f>
        <v>0.5899</v>
      </c>
      <c r="AC328" s="320">
        <f>IFERROR(__xludf.DUMMYFUNCTION("""COMPUTED_VALUE"""),9.91)</f>
        <v>9.91</v>
      </c>
      <c r="AD328" s="320">
        <f>IFERROR(__xludf.DUMMYFUNCTION("""COMPUTED_VALUE"""),4.0)</f>
        <v>4</v>
      </c>
      <c r="AE328" s="320">
        <f>IFERROR(__xludf.DUMMYFUNCTION("""COMPUTED_VALUE"""),8.0)</f>
        <v>8</v>
      </c>
      <c r="AF328" s="320">
        <f>IFERROR(__xludf.DUMMYFUNCTION("""COMPUTED_VALUE"""),14.0)</f>
        <v>14</v>
      </c>
      <c r="AG328" s="320">
        <f>IFERROR(__xludf.DUMMYFUNCTION("""COMPUTED_VALUE"""),21.0)</f>
        <v>21</v>
      </c>
      <c r="AH328" s="320">
        <f>IFERROR(__xludf.DUMMYFUNCTION("""COMPUTED_VALUE"""),62.78)</f>
        <v>62.78</v>
      </c>
      <c r="AI328" s="320">
        <f>IFERROR(__xludf.DUMMYFUNCTION("""COMPUTED_VALUE"""),28.42)</f>
        <v>28.42</v>
      </c>
      <c r="AJ328" s="320">
        <f>IFERROR(__xludf.DUMMYFUNCTION("""COMPUTED_VALUE"""),5.46)</f>
        <v>5.46</v>
      </c>
      <c r="AK328" s="320">
        <f>IFERROR(__xludf.DUMMYFUNCTION("""COMPUTED_VALUE"""),0.1788)</f>
        <v>0.1788</v>
      </c>
      <c r="AL328" s="320">
        <f>IFERROR(__xludf.DUMMYFUNCTION("""COMPUTED_VALUE"""),19.6)</f>
        <v>19.6</v>
      </c>
      <c r="AM328" s="320">
        <f>IFERROR(__xludf.DUMMYFUNCTION("""COMPUTED_VALUE"""),82.1)</f>
        <v>82.1</v>
      </c>
      <c r="AN328" s="320">
        <f>IFERROR(__xludf.DUMMYFUNCTION("""COMPUTED_VALUE"""),72.55)</f>
        <v>72.55</v>
      </c>
      <c r="AO328" s="320">
        <f>IFERROR(__xludf.DUMMYFUNCTION("""COMPUTED_VALUE"""),14.22)</f>
        <v>14.22</v>
      </c>
    </row>
    <row r="329" ht="15.75" customHeight="1">
      <c r="A329" s="330">
        <f>IFERROR(__xludf.DUMMYFUNCTION("""COMPUTED_VALUE"""),46104.0)</f>
        <v>46104</v>
      </c>
      <c r="B329" s="319" t="str">
        <f>IFERROR(__xludf.DUMMYFUNCTION("""COMPUTED_VALUE"""),"D. 20-39")</f>
        <v>D. 20-39</v>
      </c>
      <c r="C329" s="320">
        <f>IFERROR(__xludf.DUMMYFUNCTION("""COMPUTED_VALUE"""),15963.0)</f>
        <v>15963</v>
      </c>
      <c r="D329" s="320">
        <f>IFERROR(__xludf.DUMMYFUNCTION("""COMPUTED_VALUE"""),14.66)</f>
        <v>14.66</v>
      </c>
      <c r="E329" s="320">
        <f>IFERROR(__xludf.DUMMYFUNCTION("""COMPUTED_VALUE"""),0.0)</f>
        <v>0</v>
      </c>
      <c r="F329" s="320">
        <f>IFERROR(__xludf.DUMMYFUNCTION("""COMPUTED_VALUE"""),0.0)</f>
        <v>0</v>
      </c>
      <c r="G329" s="320">
        <f>IFERROR(__xludf.DUMMYFUNCTION("""COMPUTED_VALUE"""),0.0)</f>
        <v>0</v>
      </c>
      <c r="H329" s="106"/>
      <c r="I329" s="320">
        <f>IFERROR(__xludf.DUMMYFUNCTION("""COMPUTED_VALUE"""),90.17)</f>
        <v>90.17</v>
      </c>
      <c r="J329" s="320">
        <f>IFERROR(__xludf.DUMMYFUNCTION("""COMPUTED_VALUE"""),45.3)</f>
        <v>45.3</v>
      </c>
      <c r="K329" s="320">
        <f>IFERROR(__xludf.DUMMYFUNCTION("""COMPUTED_VALUE"""),30.81)</f>
        <v>30.81</v>
      </c>
      <c r="L329" s="320">
        <f>IFERROR(__xludf.DUMMYFUNCTION("""COMPUTED_VALUE"""),0.6801)</f>
        <v>0.6801</v>
      </c>
      <c r="M329" s="320">
        <f>IFERROR(__xludf.DUMMYFUNCTION("""COMPUTED_VALUE"""),0.5189)</f>
        <v>0.5189</v>
      </c>
      <c r="N329" s="320">
        <f>IFERROR(__xludf.DUMMYFUNCTION("""COMPUTED_VALUE"""),0.3637)</f>
        <v>0.3637</v>
      </c>
      <c r="O329" s="320">
        <f>IFERROR(__xludf.DUMMYFUNCTION("""COMPUTED_VALUE"""),1.4704)</f>
        <v>1.4704</v>
      </c>
      <c r="P329" s="320">
        <f>IFERROR(__xludf.DUMMYFUNCTION("""COMPUTED_VALUE"""),218.25)</f>
        <v>218.25</v>
      </c>
      <c r="Q329" s="320">
        <f>IFERROR(__xludf.DUMMYFUNCTION("""COMPUTED_VALUE"""),157.91)</f>
        <v>157.91</v>
      </c>
      <c r="R329" s="320">
        <f>IFERROR(__xludf.DUMMYFUNCTION("""COMPUTED_VALUE"""),60.34)</f>
        <v>60.34</v>
      </c>
      <c r="S329" s="320">
        <f>IFERROR(__xludf.DUMMYFUNCTION("""COMPUTED_VALUE"""),0.15)</f>
        <v>0.15</v>
      </c>
      <c r="T329" s="320">
        <f>IFERROR(__xludf.DUMMYFUNCTION("""COMPUTED_VALUE"""),218.1)</f>
        <v>218.1</v>
      </c>
      <c r="U329" s="320">
        <f>IFERROR(__xludf.DUMMYFUNCTION("""COMPUTED_VALUE"""),199.92)</f>
        <v>199.92</v>
      </c>
      <c r="V329" s="320">
        <f>IFERROR(__xludf.DUMMYFUNCTION("""COMPUTED_VALUE"""),4.4131)</f>
        <v>4.4131</v>
      </c>
      <c r="W329" s="320">
        <f>IFERROR(__xludf.DUMMYFUNCTION("""COMPUTED_VALUE"""),0.07)</f>
        <v>0.07</v>
      </c>
      <c r="X329" s="320">
        <f>IFERROR(__xludf.DUMMYFUNCTION("""COMPUTED_VALUE"""),171.0)</f>
        <v>171</v>
      </c>
      <c r="Y329" s="320">
        <f>IFERROR(__xludf.DUMMYFUNCTION("""COMPUTED_VALUE"""),1045.0)</f>
        <v>1045</v>
      </c>
      <c r="Z329" s="320">
        <f>IFERROR(__xludf.DUMMYFUNCTION("""COMPUTED_VALUE"""),7308.0)</f>
        <v>7308</v>
      </c>
      <c r="AA329" s="320">
        <f>IFERROR(__xludf.DUMMYFUNCTION("""COMPUTED_VALUE"""),55.399)</f>
        <v>55.399</v>
      </c>
      <c r="AB329" s="320">
        <f>IFERROR(__xludf.DUMMYFUNCTION("""COMPUTED_VALUE"""),0.6615)</f>
        <v>0.6615</v>
      </c>
      <c r="AC329" s="320">
        <f>IFERROR(__xludf.DUMMYFUNCTION("""COMPUTED_VALUE"""),19.33)</f>
        <v>19.33</v>
      </c>
      <c r="AD329" s="320">
        <f>IFERROR(__xludf.DUMMYFUNCTION("""COMPUTED_VALUE"""),8.0)</f>
        <v>8</v>
      </c>
      <c r="AE329" s="320">
        <f>IFERROR(__xludf.DUMMYFUNCTION("""COMPUTED_VALUE"""),16.0)</f>
        <v>16</v>
      </c>
      <c r="AF329" s="320">
        <f>IFERROR(__xludf.DUMMYFUNCTION("""COMPUTED_VALUE"""),27.0)</f>
        <v>27</v>
      </c>
      <c r="AG329" s="320">
        <f>IFERROR(__xludf.DUMMYFUNCTION("""COMPUTED_VALUE"""),39.0)</f>
        <v>39</v>
      </c>
      <c r="AH329" s="320">
        <f>IFERROR(__xludf.DUMMYFUNCTION("""COMPUTED_VALUE"""),65.53)</f>
        <v>65.53</v>
      </c>
      <c r="AI329" s="320">
        <f>IFERROR(__xludf.DUMMYFUNCTION("""COMPUTED_VALUE"""),27.33)</f>
        <v>27.33</v>
      </c>
      <c r="AJ329" s="320">
        <f>IFERROR(__xludf.DUMMYFUNCTION("""COMPUTED_VALUE"""),6.58)</f>
        <v>6.58</v>
      </c>
      <c r="AK329" s="320">
        <f>IFERROR(__xludf.DUMMYFUNCTION("""COMPUTED_VALUE"""),0.1596)</f>
        <v>0.1596</v>
      </c>
      <c r="AL329" s="320">
        <f>IFERROR(__xludf.DUMMYFUNCTION("""COMPUTED_VALUE"""),19.7)</f>
        <v>19.7</v>
      </c>
      <c r="AM329" s="320">
        <f>IFERROR(__xludf.DUMMYFUNCTION("""COMPUTED_VALUE"""),138.21)</f>
        <v>138.21</v>
      </c>
      <c r="AN329" s="320">
        <f>IFERROR(__xludf.DUMMYFUNCTION("""COMPUTED_VALUE"""),72.06)</f>
        <v>72.06</v>
      </c>
      <c r="AO329" s="320">
        <f>IFERROR(__xludf.DUMMYFUNCTION("""COMPUTED_VALUE"""),14.2)</f>
        <v>14.2</v>
      </c>
    </row>
    <row r="330" ht="15.75" customHeight="1">
      <c r="A330" s="330">
        <f>IFERROR(__xludf.DUMMYFUNCTION("""COMPUTED_VALUE"""),46104.0)</f>
        <v>46104</v>
      </c>
      <c r="B330" s="319" t="str">
        <f>IFERROR(__xludf.DUMMYFUNCTION("""COMPUTED_VALUE"""),"E. 40-99")</f>
        <v>E. 40-99</v>
      </c>
      <c r="C330" s="320">
        <f>IFERROR(__xludf.DUMMYFUNCTION("""COMPUTED_VALUE"""),6354.0)</f>
        <v>6354</v>
      </c>
      <c r="D330" s="320">
        <f>IFERROR(__xludf.DUMMYFUNCTION("""COMPUTED_VALUE"""),5.83)</f>
        <v>5.83</v>
      </c>
      <c r="E330" s="320">
        <f>IFERROR(__xludf.DUMMYFUNCTION("""COMPUTED_VALUE"""),0.0)</f>
        <v>0</v>
      </c>
      <c r="F330" s="320">
        <f>IFERROR(__xludf.DUMMYFUNCTION("""COMPUTED_VALUE"""),0.0)</f>
        <v>0</v>
      </c>
      <c r="G330" s="320">
        <f>IFERROR(__xludf.DUMMYFUNCTION("""COMPUTED_VALUE"""),0.0)</f>
        <v>0</v>
      </c>
      <c r="H330" s="106"/>
      <c r="I330" s="320">
        <f>IFERROR(__xludf.DUMMYFUNCTION("""COMPUTED_VALUE"""),146.05)</f>
        <v>146.05</v>
      </c>
      <c r="J330" s="320">
        <f>IFERROR(__xludf.DUMMYFUNCTION("""COMPUTED_VALUE"""),79.27)</f>
        <v>79.27</v>
      </c>
      <c r="K330" s="320">
        <f>IFERROR(__xludf.DUMMYFUNCTION("""COMPUTED_VALUE"""),63.36)</f>
        <v>63.36</v>
      </c>
      <c r="L330" s="320">
        <f>IFERROR(__xludf.DUMMYFUNCTION("""COMPUTED_VALUE"""),0.7993)</f>
        <v>0.7993</v>
      </c>
      <c r="M330" s="320">
        <f>IFERROR(__xludf.DUMMYFUNCTION("""COMPUTED_VALUE"""),0.3855)</f>
        <v>0.3855</v>
      </c>
      <c r="N330" s="320">
        <f>IFERROR(__xludf.DUMMYFUNCTION("""COMPUTED_VALUE"""),0.2798)</f>
        <v>0.2798</v>
      </c>
      <c r="O330" s="320">
        <f>IFERROR(__xludf.DUMMYFUNCTION("""COMPUTED_VALUE"""),1.2511)</f>
        <v>1.2511</v>
      </c>
      <c r="P330" s="320">
        <f>IFERROR(__xludf.DUMMYFUNCTION("""COMPUTED_VALUE"""),379.4)</f>
        <v>379.4</v>
      </c>
      <c r="Q330" s="320">
        <f>IFERROR(__xludf.DUMMYFUNCTION("""COMPUTED_VALUE"""),259.04)</f>
        <v>259.04</v>
      </c>
      <c r="R330" s="320">
        <f>IFERROR(__xludf.DUMMYFUNCTION("""COMPUTED_VALUE"""),120.36)</f>
        <v>120.36</v>
      </c>
      <c r="S330" s="320">
        <f>IFERROR(__xludf.DUMMYFUNCTION("""COMPUTED_VALUE"""),0.0)</f>
        <v>0</v>
      </c>
      <c r="T330" s="320">
        <f>IFERROR(__xludf.DUMMYFUNCTION("""COMPUTED_VALUE"""),379.4)</f>
        <v>379.4</v>
      </c>
      <c r="U330" s="320">
        <f>IFERROR(__xludf.DUMMYFUNCTION("""COMPUTED_VALUE"""),371.34)</f>
        <v>371.34</v>
      </c>
      <c r="V330" s="320">
        <f>IFERROR(__xludf.DUMMYFUNCTION("""COMPUTED_VALUE"""),4.6843)</f>
        <v>4.6843</v>
      </c>
      <c r="W330" s="320">
        <f>IFERROR(__xludf.DUMMYFUNCTION("""COMPUTED_VALUE"""),0.0)</f>
        <v>0</v>
      </c>
      <c r="X330" s="320">
        <f>IFERROR(__xludf.DUMMYFUNCTION("""COMPUTED_VALUE"""),296.0)</f>
        <v>296</v>
      </c>
      <c r="Y330" s="320">
        <f>IFERROR(__xludf.DUMMYFUNCTION("""COMPUTED_VALUE"""),2282.0)</f>
        <v>2282</v>
      </c>
      <c r="Z330" s="320">
        <f>IFERROR(__xludf.DUMMYFUNCTION("""COMPUTED_VALUE"""),11083.0)</f>
        <v>11083</v>
      </c>
      <c r="AA330" s="320">
        <f>IFERROR(__xludf.DUMMYFUNCTION("""COMPUTED_VALUE"""),58.9109)</f>
        <v>58.9109</v>
      </c>
      <c r="AB330" s="320">
        <f>IFERROR(__xludf.DUMMYFUNCTION("""COMPUTED_VALUE"""),0.7293)</f>
        <v>0.7293</v>
      </c>
      <c r="AC330" s="320">
        <f>IFERROR(__xludf.DUMMYFUNCTION("""COMPUTED_VALUE"""),38.79)</f>
        <v>38.79</v>
      </c>
      <c r="AD330" s="320">
        <f>IFERROR(__xludf.DUMMYFUNCTION("""COMPUTED_VALUE"""),17.0)</f>
        <v>17</v>
      </c>
      <c r="AE330" s="320">
        <f>IFERROR(__xludf.DUMMYFUNCTION("""COMPUTED_VALUE"""),33.0)</f>
        <v>33</v>
      </c>
      <c r="AF330" s="320">
        <f>IFERROR(__xludf.DUMMYFUNCTION("""COMPUTED_VALUE"""),51.0)</f>
        <v>51</v>
      </c>
      <c r="AG330" s="320">
        <f>IFERROR(__xludf.DUMMYFUNCTION("""COMPUTED_VALUE"""),78.0)</f>
        <v>78</v>
      </c>
      <c r="AH330" s="320">
        <f>IFERROR(__xludf.DUMMYFUNCTION("""COMPUTED_VALUE"""),57.15)</f>
        <v>57.15</v>
      </c>
      <c r="AI330" s="320">
        <f>IFERROR(__xludf.DUMMYFUNCTION("""COMPUTED_VALUE"""),19.28)</f>
        <v>19.28</v>
      </c>
      <c r="AJ330" s="320">
        <f>IFERROR(__xludf.DUMMYFUNCTION("""COMPUTED_VALUE"""),4.58)</f>
        <v>4.58</v>
      </c>
      <c r="AK330" s="320">
        <f>IFERROR(__xludf.DUMMYFUNCTION("""COMPUTED_VALUE"""),0.1209)</f>
        <v>0.1209</v>
      </c>
      <c r="AL330" s="320">
        <f>IFERROR(__xludf.DUMMYFUNCTION("""COMPUTED_VALUE"""),21.15)</f>
        <v>21.15</v>
      </c>
      <c r="AM330" s="320">
        <f>IFERROR(__xludf.DUMMYFUNCTION("""COMPUTED_VALUE"""),237.89)</f>
        <v>237.89</v>
      </c>
      <c r="AN330" s="320">
        <f>IFERROR(__xludf.DUMMYFUNCTION("""COMPUTED_VALUE"""),74.63)</f>
        <v>74.63</v>
      </c>
      <c r="AO330" s="320">
        <f>IFERROR(__xludf.DUMMYFUNCTION("""COMPUTED_VALUE"""),15.78)</f>
        <v>15.78</v>
      </c>
    </row>
    <row r="331" ht="15.75" customHeight="1">
      <c r="A331" s="330">
        <f>IFERROR(__xludf.DUMMYFUNCTION("""COMPUTED_VALUE"""),46104.0)</f>
        <v>46104</v>
      </c>
      <c r="B331" s="319" t="str">
        <f>IFERROR(__xludf.DUMMYFUNCTION("""COMPUTED_VALUE"""),"F. 100+")</f>
        <v>F. 100+</v>
      </c>
      <c r="C331" s="320">
        <f>IFERROR(__xludf.DUMMYFUNCTION("""COMPUTED_VALUE"""),639.0)</f>
        <v>639</v>
      </c>
      <c r="D331" s="320">
        <f>IFERROR(__xludf.DUMMYFUNCTION("""COMPUTED_VALUE"""),0.59)</f>
        <v>0.59</v>
      </c>
      <c r="E331" s="320">
        <f>IFERROR(__xludf.DUMMYFUNCTION("""COMPUTED_VALUE"""),0.0)</f>
        <v>0</v>
      </c>
      <c r="F331" s="320">
        <f>IFERROR(__xludf.DUMMYFUNCTION("""COMPUTED_VALUE"""),0.0)</f>
        <v>0</v>
      </c>
      <c r="G331" s="320">
        <f>IFERROR(__xludf.DUMMYFUNCTION("""COMPUTED_VALUE"""),0.0)</f>
        <v>0</v>
      </c>
      <c r="H331" s="106"/>
      <c r="I331" s="320">
        <f>IFERROR(__xludf.DUMMYFUNCTION("""COMPUTED_VALUE"""),257.64)</f>
        <v>257.64</v>
      </c>
      <c r="J331" s="320">
        <f>IFERROR(__xludf.DUMMYFUNCTION("""COMPUTED_VALUE"""),151.6)</f>
        <v>151.6</v>
      </c>
      <c r="K331" s="320">
        <f>IFERROR(__xludf.DUMMYFUNCTION("""COMPUTED_VALUE"""),131.53)</f>
        <v>131.53</v>
      </c>
      <c r="L331" s="320">
        <f>IFERROR(__xludf.DUMMYFUNCTION("""COMPUTED_VALUE"""),0.8676)</f>
        <v>0.8676</v>
      </c>
      <c r="M331" s="320">
        <f>IFERROR(__xludf.DUMMYFUNCTION("""COMPUTED_VALUE"""),0.286)</f>
        <v>0.286</v>
      </c>
      <c r="N331" s="320">
        <f>IFERROR(__xludf.DUMMYFUNCTION("""COMPUTED_VALUE"""),0.2144)</f>
        <v>0.2144</v>
      </c>
      <c r="O331" s="320">
        <f>IFERROR(__xludf.DUMMYFUNCTION("""COMPUTED_VALUE"""),1.1525)</f>
        <v>1.1525</v>
      </c>
      <c r="P331" s="320">
        <f>IFERROR(__xludf.DUMMYFUNCTION("""COMPUTED_VALUE"""),679.09)</f>
        <v>679.09</v>
      </c>
      <c r="Q331" s="320">
        <f>IFERROR(__xludf.DUMMYFUNCTION("""COMPUTED_VALUE"""),400.49)</f>
        <v>400.49</v>
      </c>
      <c r="R331" s="320">
        <f>IFERROR(__xludf.DUMMYFUNCTION("""COMPUTED_VALUE"""),278.6)</f>
        <v>278.6</v>
      </c>
      <c r="S331" s="320">
        <f>IFERROR(__xludf.DUMMYFUNCTION("""COMPUTED_VALUE"""),0.0)</f>
        <v>0</v>
      </c>
      <c r="T331" s="320">
        <f>IFERROR(__xludf.DUMMYFUNCTION("""COMPUTED_VALUE"""),679.09)</f>
        <v>679.09</v>
      </c>
      <c r="U331" s="320">
        <f>IFERROR(__xludf.DUMMYFUNCTION("""COMPUTED_VALUE"""),691.24)</f>
        <v>691.24</v>
      </c>
      <c r="V331" s="320">
        <f>IFERROR(__xludf.DUMMYFUNCTION("""COMPUTED_VALUE"""),4.5597)</f>
        <v>4.5597</v>
      </c>
      <c r="W331" s="320">
        <f>IFERROR(__xludf.DUMMYFUNCTION("""COMPUTED_VALUE"""),0.0)</f>
        <v>0</v>
      </c>
      <c r="X331" s="320">
        <f>IFERROR(__xludf.DUMMYFUNCTION("""COMPUTED_VALUE"""),825.0)</f>
        <v>825</v>
      </c>
      <c r="Y331" s="320">
        <f>IFERROR(__xludf.DUMMYFUNCTION("""COMPUTED_VALUE"""),4555.0)</f>
        <v>4555</v>
      </c>
      <c r="Z331" s="320">
        <f>IFERROR(__xludf.DUMMYFUNCTION("""COMPUTED_VALUE"""),11730.0)</f>
        <v>11730</v>
      </c>
      <c r="AA331" s="320">
        <f>IFERROR(__xludf.DUMMYFUNCTION("""COMPUTED_VALUE"""),62.8886)</f>
        <v>62.8886</v>
      </c>
      <c r="AB331" s="320">
        <f>IFERROR(__xludf.DUMMYFUNCTION("""COMPUTED_VALUE"""),0.8874)</f>
        <v>0.8874</v>
      </c>
      <c r="AC331" s="320">
        <f>IFERROR(__xludf.DUMMYFUNCTION("""COMPUTED_VALUE"""),89.71)</f>
        <v>89.71</v>
      </c>
      <c r="AD331" s="320">
        <f>IFERROR(__xludf.DUMMYFUNCTION("""COMPUTED_VALUE"""),40.0)</f>
        <v>40</v>
      </c>
      <c r="AE331" s="320">
        <f>IFERROR(__xludf.DUMMYFUNCTION("""COMPUTED_VALUE"""),78.0)</f>
        <v>78</v>
      </c>
      <c r="AF331" s="320">
        <f>IFERROR(__xludf.DUMMYFUNCTION("""COMPUTED_VALUE"""),127.0)</f>
        <v>127</v>
      </c>
      <c r="AG331" s="320">
        <f>IFERROR(__xludf.DUMMYFUNCTION("""COMPUTED_VALUE"""),176.0)</f>
        <v>176</v>
      </c>
      <c r="AH331" s="320">
        <f>IFERROR(__xludf.DUMMYFUNCTION("""COMPUTED_VALUE"""),48.67)</f>
        <v>48.67</v>
      </c>
      <c r="AI331" s="320">
        <f>IFERROR(__xludf.DUMMYFUNCTION("""COMPUTED_VALUE"""),10.17)</f>
        <v>10.17</v>
      </c>
      <c r="AJ331" s="320">
        <f>IFERROR(__xludf.DUMMYFUNCTION("""COMPUTED_VALUE"""),1.1)</f>
        <v>1.1</v>
      </c>
      <c r="AK331" s="320">
        <f>IFERROR(__xludf.DUMMYFUNCTION("""COMPUTED_VALUE"""),0.0908)</f>
        <v>0.0908</v>
      </c>
      <c r="AL331" s="320">
        <f>IFERROR(__xludf.DUMMYFUNCTION("""COMPUTED_VALUE"""),21.46)</f>
        <v>21.46</v>
      </c>
      <c r="AM331" s="320">
        <f>IFERROR(__xludf.DUMMYFUNCTION("""COMPUTED_VALUE"""),379.04)</f>
        <v>379.04</v>
      </c>
      <c r="AN331" s="320">
        <f>IFERROR(__xludf.DUMMYFUNCTION("""COMPUTED_VALUE"""),84.91)</f>
        <v>84.91</v>
      </c>
      <c r="AO331" s="320">
        <f>IFERROR(__xludf.DUMMYFUNCTION("""COMPUTED_VALUE"""),18.22)</f>
        <v>18.22</v>
      </c>
    </row>
    <row r="332" ht="15.75" customHeight="1">
      <c r="A332" s="330">
        <f>IFERROR(__xludf.DUMMYFUNCTION("""COMPUTED_VALUE"""),46105.0)</f>
        <v>46105</v>
      </c>
      <c r="B332" s="319" t="str">
        <f>IFERROR(__xludf.DUMMYFUNCTION("""COMPUTED_VALUE"""),"A. 0")</f>
        <v>A. 0</v>
      </c>
      <c r="C332" s="320">
        <f>IFERROR(__xludf.DUMMYFUNCTION("""COMPUTED_VALUE"""),20183.0)</f>
        <v>20183</v>
      </c>
      <c r="D332" s="320">
        <f>IFERROR(__xludf.DUMMYFUNCTION("""COMPUTED_VALUE"""),18.61)</f>
        <v>18.61</v>
      </c>
      <c r="E332" s="320">
        <f>IFERROR(__xludf.DUMMYFUNCTION("""COMPUTED_VALUE"""),0.0)</f>
        <v>0</v>
      </c>
      <c r="F332" s="320">
        <f>IFERROR(__xludf.DUMMYFUNCTION("""COMPUTED_VALUE"""),0.0)</f>
        <v>0</v>
      </c>
      <c r="G332" s="320">
        <f>IFERROR(__xludf.DUMMYFUNCTION("""COMPUTED_VALUE"""),0.0)</f>
        <v>0</v>
      </c>
      <c r="H332" s="106"/>
      <c r="I332" s="320">
        <f>IFERROR(__xludf.DUMMYFUNCTION("""COMPUTED_VALUE"""),5.74)</f>
        <v>5.74</v>
      </c>
      <c r="J332" s="320">
        <f>IFERROR(__xludf.DUMMYFUNCTION("""COMPUTED_VALUE"""),2.37)</f>
        <v>2.37</v>
      </c>
      <c r="K332" s="320">
        <f>IFERROR(__xludf.DUMMYFUNCTION("""COMPUTED_VALUE"""),0.08)</f>
        <v>0.08</v>
      </c>
      <c r="L332" s="320">
        <f>IFERROR(__xludf.DUMMYFUNCTION("""COMPUTED_VALUE"""),0.0334)</f>
        <v>0.0334</v>
      </c>
      <c r="M332" s="320">
        <f>IFERROR(__xludf.DUMMYFUNCTION("""COMPUTED_VALUE"""),0.9719)</f>
        <v>0.9719</v>
      </c>
      <c r="N332" s="320">
        <f>IFERROR(__xludf.DUMMYFUNCTION("""COMPUTED_VALUE"""),0.7165)</f>
        <v>0.7165</v>
      </c>
      <c r="O332" s="320">
        <f>IFERROR(__xludf.DUMMYFUNCTION("""COMPUTED_VALUE"""),29.9055)</f>
        <v>29.9055</v>
      </c>
      <c r="P332" s="320">
        <f>IFERROR(__xludf.DUMMYFUNCTION("""COMPUTED_VALUE"""),25.67)</f>
        <v>25.67</v>
      </c>
      <c r="Q332" s="320">
        <f>IFERROR(__xludf.DUMMYFUNCTION("""COMPUTED_VALUE"""),25.42)</f>
        <v>25.42</v>
      </c>
      <c r="R332" s="320">
        <f>IFERROR(__xludf.DUMMYFUNCTION("""COMPUTED_VALUE"""),0.25)</f>
        <v>0.25</v>
      </c>
      <c r="S332" s="320">
        <f>IFERROR(__xludf.DUMMYFUNCTION("""COMPUTED_VALUE"""),0.0)</f>
        <v>0</v>
      </c>
      <c r="T332" s="320">
        <f>IFERROR(__xludf.DUMMYFUNCTION("""COMPUTED_VALUE"""),25.67)</f>
        <v>25.67</v>
      </c>
      <c r="U332" s="320">
        <f>IFERROR(__xludf.DUMMYFUNCTION("""COMPUTED_VALUE"""),2.34)</f>
        <v>2.34</v>
      </c>
      <c r="V332" s="320">
        <f>IFERROR(__xludf.DUMMYFUNCTION("""COMPUTED_VALUE"""),0.9866)</f>
        <v>0.9866</v>
      </c>
      <c r="W332" s="320">
        <f>IFERROR(__xludf.DUMMYFUNCTION("""COMPUTED_VALUE"""),0.0)</f>
        <v>0</v>
      </c>
      <c r="X332" s="320">
        <f>IFERROR(__xludf.DUMMYFUNCTION("""COMPUTED_VALUE"""),355.0)</f>
        <v>355</v>
      </c>
      <c r="Y332" s="320">
        <f>IFERROR(__xludf.DUMMYFUNCTION("""COMPUTED_VALUE"""),3993.0)</f>
        <v>3993</v>
      </c>
      <c r="Z332" s="320">
        <f>IFERROR(__xludf.DUMMYFUNCTION("""COMPUTED_VALUE"""),14935.0)</f>
        <v>14935</v>
      </c>
      <c r="AA332" s="320">
        <f>IFERROR(__xludf.DUMMYFUNCTION("""COMPUTED_VALUE"""),49.1994)</f>
        <v>49.1994</v>
      </c>
      <c r="AB332" s="320">
        <f>IFERROR(__xludf.DUMMYFUNCTION("""COMPUTED_VALUE"""),0.5474)</f>
        <v>0.5474</v>
      </c>
      <c r="AC332" s="106"/>
      <c r="AD332" s="106"/>
      <c r="AE332" s="106"/>
      <c r="AF332" s="106"/>
      <c r="AG332" s="106"/>
      <c r="AH332" s="320">
        <f>IFERROR(__xludf.DUMMYFUNCTION("""COMPUTED_VALUE"""),0.0)</f>
        <v>0</v>
      </c>
      <c r="AI332" s="320">
        <f>IFERROR(__xludf.DUMMYFUNCTION("""COMPUTED_VALUE"""),0.0)</f>
        <v>0</v>
      </c>
      <c r="AJ332" s="320">
        <f>IFERROR(__xludf.DUMMYFUNCTION("""COMPUTED_VALUE"""),0.0)</f>
        <v>0</v>
      </c>
      <c r="AK332" s="320">
        <f>IFERROR(__xludf.DUMMYFUNCTION("""COMPUTED_VALUE"""),0.2793)</f>
        <v>0.2793</v>
      </c>
      <c r="AL332" s="320">
        <f>IFERROR(__xludf.DUMMYFUNCTION("""COMPUTED_VALUE"""),15.72)</f>
        <v>15.72</v>
      </c>
      <c r="AM332" s="320">
        <f>IFERROR(__xludf.DUMMYFUNCTION("""COMPUTED_VALUE"""),9.7)</f>
        <v>9.7</v>
      </c>
      <c r="AN332" s="331"/>
      <c r="AO332" s="331"/>
    </row>
    <row r="333" ht="15.75" customHeight="1">
      <c r="A333" s="330">
        <f>IFERROR(__xludf.DUMMYFUNCTION("""COMPUTED_VALUE"""),46105.0)</f>
        <v>46105</v>
      </c>
      <c r="B333" s="319" t="str">
        <f>IFERROR(__xludf.DUMMYFUNCTION("""COMPUTED_VALUE"""),"B. 1-9")</f>
        <v>B. 1-9</v>
      </c>
      <c r="C333" s="320">
        <f>IFERROR(__xludf.DUMMYFUNCTION("""COMPUTED_VALUE"""),38476.0)</f>
        <v>38476</v>
      </c>
      <c r="D333" s="320">
        <f>IFERROR(__xludf.DUMMYFUNCTION("""COMPUTED_VALUE"""),35.48)</f>
        <v>35.48</v>
      </c>
      <c r="E333" s="320">
        <f>IFERROR(__xludf.DUMMYFUNCTION("""COMPUTED_VALUE"""),0.0)</f>
        <v>0</v>
      </c>
      <c r="F333" s="320">
        <f>IFERROR(__xludf.DUMMYFUNCTION("""COMPUTED_VALUE"""),0.0)</f>
        <v>0</v>
      </c>
      <c r="G333" s="320">
        <f>IFERROR(__xludf.DUMMYFUNCTION("""COMPUTED_VALUE"""),0.0)</f>
        <v>0</v>
      </c>
      <c r="H333" s="106"/>
      <c r="I333" s="320">
        <f>IFERROR(__xludf.DUMMYFUNCTION("""COMPUTED_VALUE"""),28.77)</f>
        <v>28.77</v>
      </c>
      <c r="J333" s="320">
        <f>IFERROR(__xludf.DUMMYFUNCTION("""COMPUTED_VALUE"""),12.99)</f>
        <v>12.99</v>
      </c>
      <c r="K333" s="320">
        <f>IFERROR(__xludf.DUMMYFUNCTION("""COMPUTED_VALUE"""),5.56)</f>
        <v>5.56</v>
      </c>
      <c r="L333" s="320">
        <f>IFERROR(__xludf.DUMMYFUNCTION("""COMPUTED_VALUE"""),0.4284)</f>
        <v>0.4284</v>
      </c>
      <c r="M333" s="320">
        <f>IFERROR(__xludf.DUMMYFUNCTION("""COMPUTED_VALUE"""),0.7528)</f>
        <v>0.7528</v>
      </c>
      <c r="N333" s="320">
        <f>IFERROR(__xludf.DUMMYFUNCTION("""COMPUTED_VALUE"""),0.5682)</f>
        <v>0.5682</v>
      </c>
      <c r="O333" s="320">
        <f>IFERROR(__xludf.DUMMYFUNCTION("""COMPUTED_VALUE"""),2.3345)</f>
        <v>2.3345</v>
      </c>
      <c r="P333" s="320">
        <f>IFERROR(__xludf.DUMMYFUNCTION("""COMPUTED_VALUE"""),53.46)</f>
        <v>53.46</v>
      </c>
      <c r="Q333" s="320">
        <f>IFERROR(__xludf.DUMMYFUNCTION("""COMPUTED_VALUE"""),41.8)</f>
        <v>41.8</v>
      </c>
      <c r="R333" s="320">
        <f>IFERROR(__xludf.DUMMYFUNCTION("""COMPUTED_VALUE"""),11.67)</f>
        <v>11.67</v>
      </c>
      <c r="S333" s="320">
        <f>IFERROR(__xludf.DUMMYFUNCTION("""COMPUTED_VALUE"""),0.01)</f>
        <v>0.01</v>
      </c>
      <c r="T333" s="320">
        <f>IFERROR(__xludf.DUMMYFUNCTION("""COMPUTED_VALUE"""),53.45)</f>
        <v>53.45</v>
      </c>
      <c r="U333" s="320">
        <f>IFERROR(__xludf.DUMMYFUNCTION("""COMPUTED_VALUE"""),53.96)</f>
        <v>53.96</v>
      </c>
      <c r="V333" s="320">
        <f>IFERROR(__xludf.DUMMYFUNCTION("""COMPUTED_VALUE"""),4.1545)</f>
        <v>4.1545</v>
      </c>
      <c r="W333" s="320">
        <f>IFERROR(__xludf.DUMMYFUNCTION("""COMPUTED_VALUE"""),0.03)</f>
        <v>0.03</v>
      </c>
      <c r="X333" s="320">
        <f>IFERROR(__xludf.DUMMYFUNCTION("""COMPUTED_VALUE"""),149.0)</f>
        <v>149</v>
      </c>
      <c r="Y333" s="320">
        <f>IFERROR(__xludf.DUMMYFUNCTION("""COMPUTED_VALUE"""),876.0)</f>
        <v>876</v>
      </c>
      <c r="Z333" s="320">
        <f>IFERROR(__xludf.DUMMYFUNCTION("""COMPUTED_VALUE"""),6041.0)</f>
        <v>6041</v>
      </c>
      <c r="AA333" s="320">
        <f>IFERROR(__xludf.DUMMYFUNCTION("""COMPUTED_VALUE"""),48.8746)</f>
        <v>48.8746</v>
      </c>
      <c r="AB333" s="320">
        <f>IFERROR(__xludf.DUMMYFUNCTION("""COMPUTED_VALUE"""),0.5278)</f>
        <v>0.5278</v>
      </c>
      <c r="AC333" s="320">
        <f>IFERROR(__xludf.DUMMYFUNCTION("""COMPUTED_VALUE"""),4.03)</f>
        <v>4.03</v>
      </c>
      <c r="AD333" s="320">
        <f>IFERROR(__xludf.DUMMYFUNCTION("""COMPUTED_VALUE"""),1.0)</f>
        <v>1</v>
      </c>
      <c r="AE333" s="320">
        <f>IFERROR(__xludf.DUMMYFUNCTION("""COMPUTED_VALUE"""),3.0)</f>
        <v>3</v>
      </c>
      <c r="AF333" s="320">
        <f>IFERROR(__xludf.DUMMYFUNCTION("""COMPUTED_VALUE"""),5.0)</f>
        <v>5</v>
      </c>
      <c r="AG333" s="320">
        <f>IFERROR(__xludf.DUMMYFUNCTION("""COMPUTED_VALUE"""),9.0)</f>
        <v>9</v>
      </c>
      <c r="AH333" s="320">
        <f>IFERROR(__xludf.DUMMYFUNCTION("""COMPUTED_VALUE"""),72.85)</f>
        <v>72.85</v>
      </c>
      <c r="AI333" s="320">
        <f>IFERROR(__xludf.DUMMYFUNCTION("""COMPUTED_VALUE"""),30.83)</f>
        <v>30.83</v>
      </c>
      <c r="AJ333" s="320">
        <f>IFERROR(__xludf.DUMMYFUNCTION("""COMPUTED_VALUE"""),9.08)</f>
        <v>9.08</v>
      </c>
      <c r="AK333" s="320">
        <f>IFERROR(__xludf.DUMMYFUNCTION("""COMPUTED_VALUE"""),0.2362)</f>
        <v>0.2362</v>
      </c>
      <c r="AL333" s="320">
        <f>IFERROR(__xludf.DUMMYFUNCTION("""COMPUTED_VALUE"""),17.87)</f>
        <v>17.87</v>
      </c>
      <c r="AM333" s="320">
        <f>IFERROR(__xludf.DUMMYFUNCTION("""COMPUTED_VALUE"""),23.92)</f>
        <v>23.92</v>
      </c>
      <c r="AN333" s="320">
        <f>IFERROR(__xludf.DUMMYFUNCTION("""COMPUTED_VALUE"""),65.65)</f>
        <v>65.65</v>
      </c>
      <c r="AO333" s="320">
        <f>IFERROR(__xludf.DUMMYFUNCTION("""COMPUTED_VALUE"""),11.73)</f>
        <v>11.73</v>
      </c>
    </row>
    <row r="334" ht="15.75" customHeight="1">
      <c r="A334" s="330">
        <f>IFERROR(__xludf.DUMMYFUNCTION("""COMPUTED_VALUE"""),46105.0)</f>
        <v>46105</v>
      </c>
      <c r="B334" s="319" t="str">
        <f>IFERROR(__xludf.DUMMYFUNCTION("""COMPUTED_VALUE"""),"C. 10-19")</f>
        <v>C. 10-19</v>
      </c>
      <c r="C334" s="320">
        <f>IFERROR(__xludf.DUMMYFUNCTION("""COMPUTED_VALUE"""),27754.0)</f>
        <v>27754</v>
      </c>
      <c r="D334" s="320">
        <f>IFERROR(__xludf.DUMMYFUNCTION("""COMPUTED_VALUE"""),25.59)</f>
        <v>25.59</v>
      </c>
      <c r="E334" s="320">
        <f>IFERROR(__xludf.DUMMYFUNCTION("""COMPUTED_VALUE"""),0.0)</f>
        <v>0</v>
      </c>
      <c r="F334" s="320">
        <f>IFERROR(__xludf.DUMMYFUNCTION("""COMPUTED_VALUE"""),0.0)</f>
        <v>0</v>
      </c>
      <c r="G334" s="320">
        <f>IFERROR(__xludf.DUMMYFUNCTION("""COMPUTED_VALUE"""),0.0)</f>
        <v>0</v>
      </c>
      <c r="H334" s="106"/>
      <c r="I334" s="320">
        <f>IFERROR(__xludf.DUMMYFUNCTION("""COMPUTED_VALUE"""),54.67)</f>
        <v>54.67</v>
      </c>
      <c r="J334" s="320">
        <f>IFERROR(__xludf.DUMMYFUNCTION("""COMPUTED_VALUE"""),25.85)</f>
        <v>25.85</v>
      </c>
      <c r="K334" s="320">
        <f>IFERROR(__xludf.DUMMYFUNCTION("""COMPUTED_VALUE"""),14.78)</f>
        <v>14.78</v>
      </c>
      <c r="L334" s="320">
        <f>IFERROR(__xludf.DUMMYFUNCTION("""COMPUTED_VALUE"""),0.572)</f>
        <v>0.572</v>
      </c>
      <c r="M334" s="320">
        <f>IFERROR(__xludf.DUMMYFUNCTION("""COMPUTED_VALUE"""),0.6309)</f>
        <v>0.6309</v>
      </c>
      <c r="N334" s="320">
        <f>IFERROR(__xludf.DUMMYFUNCTION("""COMPUTED_VALUE"""),0.4447)</f>
        <v>0.4447</v>
      </c>
      <c r="O334" s="320">
        <f>IFERROR(__xludf.DUMMYFUNCTION("""COMPUTED_VALUE"""),1.7484)</f>
        <v>1.7484</v>
      </c>
      <c r="P334" s="320">
        <f>IFERROR(__xludf.DUMMYFUNCTION("""COMPUTED_VALUE"""),99.95)</f>
        <v>99.95</v>
      </c>
      <c r="Q334" s="320">
        <f>IFERROR(__xludf.DUMMYFUNCTION("""COMPUTED_VALUE"""),70.26)</f>
        <v>70.26</v>
      </c>
      <c r="R334" s="320">
        <f>IFERROR(__xludf.DUMMYFUNCTION("""COMPUTED_VALUE"""),29.69)</f>
        <v>29.69</v>
      </c>
      <c r="S334" s="320">
        <f>IFERROR(__xludf.DUMMYFUNCTION("""COMPUTED_VALUE"""),0.26)</f>
        <v>0.26</v>
      </c>
      <c r="T334" s="320">
        <f>IFERROR(__xludf.DUMMYFUNCTION("""COMPUTED_VALUE"""),99.69)</f>
        <v>99.69</v>
      </c>
      <c r="U334" s="320">
        <f>IFERROR(__xludf.DUMMYFUNCTION("""COMPUTED_VALUE"""),101.73)</f>
        <v>101.73</v>
      </c>
      <c r="V334" s="320">
        <f>IFERROR(__xludf.DUMMYFUNCTION("""COMPUTED_VALUE"""),3.9355)</f>
        <v>3.9355</v>
      </c>
      <c r="W334" s="320">
        <f>IFERROR(__xludf.DUMMYFUNCTION("""COMPUTED_VALUE"""),0.26)</f>
        <v>0.26</v>
      </c>
      <c r="X334" s="320">
        <f>IFERROR(__xludf.DUMMYFUNCTION("""COMPUTED_VALUE"""),131.0)</f>
        <v>131</v>
      </c>
      <c r="Y334" s="320">
        <f>IFERROR(__xludf.DUMMYFUNCTION("""COMPUTED_VALUE"""),749.0)</f>
        <v>749</v>
      </c>
      <c r="Z334" s="320">
        <f>IFERROR(__xludf.DUMMYFUNCTION("""COMPUTED_VALUE"""),5792.0)</f>
        <v>5792</v>
      </c>
      <c r="AA334" s="320">
        <f>IFERROR(__xludf.DUMMYFUNCTION("""COMPUTED_VALUE"""),52.3365)</f>
        <v>52.3365</v>
      </c>
      <c r="AB334" s="320">
        <f>IFERROR(__xludf.DUMMYFUNCTION("""COMPUTED_VALUE"""),0.6028)</f>
        <v>0.6028</v>
      </c>
      <c r="AC334" s="320">
        <f>IFERROR(__xludf.DUMMYFUNCTION("""COMPUTED_VALUE"""),9.67)</f>
        <v>9.67</v>
      </c>
      <c r="AD334" s="320">
        <f>IFERROR(__xludf.DUMMYFUNCTION("""COMPUTED_VALUE"""),4.0)</f>
        <v>4</v>
      </c>
      <c r="AE334" s="320">
        <f>IFERROR(__xludf.DUMMYFUNCTION("""COMPUTED_VALUE"""),8.0)</f>
        <v>8</v>
      </c>
      <c r="AF334" s="320">
        <f>IFERROR(__xludf.DUMMYFUNCTION("""COMPUTED_VALUE"""),13.0)</f>
        <v>13</v>
      </c>
      <c r="AG334" s="320">
        <f>IFERROR(__xludf.DUMMYFUNCTION("""COMPUTED_VALUE"""),20.0)</f>
        <v>20</v>
      </c>
      <c r="AH334" s="320">
        <f>IFERROR(__xludf.DUMMYFUNCTION("""COMPUTED_VALUE"""),61.99)</f>
        <v>61.99</v>
      </c>
      <c r="AI334" s="320">
        <f>IFERROR(__xludf.DUMMYFUNCTION("""COMPUTED_VALUE"""),27.54)</f>
        <v>27.54</v>
      </c>
      <c r="AJ334" s="320">
        <f>IFERROR(__xludf.DUMMYFUNCTION("""COMPUTED_VALUE"""),4.73)</f>
        <v>4.73</v>
      </c>
      <c r="AK334" s="320">
        <f>IFERROR(__xludf.DUMMYFUNCTION("""COMPUTED_VALUE"""),0.1794)</f>
        <v>0.1794</v>
      </c>
      <c r="AL334" s="320">
        <f>IFERROR(__xludf.DUMMYFUNCTION("""COMPUTED_VALUE"""),18.69)</f>
        <v>18.69</v>
      </c>
      <c r="AM334" s="320">
        <f>IFERROR(__xludf.DUMMYFUNCTION("""COMPUTED_VALUE"""),51.58)</f>
        <v>51.58</v>
      </c>
      <c r="AN334" s="320">
        <f>IFERROR(__xludf.DUMMYFUNCTION("""COMPUTED_VALUE"""),73.13)</f>
        <v>73.13</v>
      </c>
      <c r="AO334" s="320">
        <f>IFERROR(__xludf.DUMMYFUNCTION("""COMPUTED_VALUE"""),13.67)</f>
        <v>13.67</v>
      </c>
    </row>
    <row r="335" ht="15.75" customHeight="1">
      <c r="A335" s="330">
        <f>IFERROR(__xludf.DUMMYFUNCTION("""COMPUTED_VALUE"""),46105.0)</f>
        <v>46105</v>
      </c>
      <c r="B335" s="319" t="str">
        <f>IFERROR(__xludf.DUMMYFUNCTION("""COMPUTED_VALUE"""),"D. 20-39")</f>
        <v>D. 20-39</v>
      </c>
      <c r="C335" s="320">
        <f>IFERROR(__xludf.DUMMYFUNCTION("""COMPUTED_VALUE"""),15700.0)</f>
        <v>15700</v>
      </c>
      <c r="D335" s="320">
        <f>IFERROR(__xludf.DUMMYFUNCTION("""COMPUTED_VALUE"""),14.48)</f>
        <v>14.48</v>
      </c>
      <c r="E335" s="320">
        <f>IFERROR(__xludf.DUMMYFUNCTION("""COMPUTED_VALUE"""),0.0)</f>
        <v>0</v>
      </c>
      <c r="F335" s="320">
        <f>IFERROR(__xludf.DUMMYFUNCTION("""COMPUTED_VALUE"""),0.0)</f>
        <v>0</v>
      </c>
      <c r="G335" s="320">
        <f>IFERROR(__xludf.DUMMYFUNCTION("""COMPUTED_VALUE"""),0.0)</f>
        <v>0</v>
      </c>
      <c r="H335" s="106"/>
      <c r="I335" s="320">
        <f>IFERROR(__xludf.DUMMYFUNCTION("""COMPUTED_VALUE"""),81.04)</f>
        <v>81.04</v>
      </c>
      <c r="J335" s="320">
        <f>IFERROR(__xludf.DUMMYFUNCTION("""COMPUTED_VALUE"""),41.66)</f>
        <v>41.66</v>
      </c>
      <c r="K335" s="320">
        <f>IFERROR(__xludf.DUMMYFUNCTION("""COMPUTED_VALUE"""),29.48)</f>
        <v>29.48</v>
      </c>
      <c r="L335" s="320">
        <f>IFERROR(__xludf.DUMMYFUNCTION("""COMPUTED_VALUE"""),0.7075)</f>
        <v>0.7075</v>
      </c>
      <c r="M335" s="320">
        <f>IFERROR(__xludf.DUMMYFUNCTION("""COMPUTED_VALUE"""),0.4876)</f>
        <v>0.4876</v>
      </c>
      <c r="N335" s="320">
        <f>IFERROR(__xludf.DUMMYFUNCTION("""COMPUTED_VALUE"""),0.3415)</f>
        <v>0.3415</v>
      </c>
      <c r="O335" s="320">
        <f>IFERROR(__xludf.DUMMYFUNCTION("""COMPUTED_VALUE"""),1.4135)</f>
        <v>1.4135</v>
      </c>
      <c r="P335" s="320">
        <f>IFERROR(__xludf.DUMMYFUNCTION("""COMPUTED_VALUE"""),174.63)</f>
        <v>174.63</v>
      </c>
      <c r="Q335" s="320">
        <f>IFERROR(__xludf.DUMMYFUNCTION("""COMPUTED_VALUE"""),119.45)</f>
        <v>119.45</v>
      </c>
      <c r="R335" s="320">
        <f>IFERROR(__xludf.DUMMYFUNCTION("""COMPUTED_VALUE"""),55.18)</f>
        <v>55.18</v>
      </c>
      <c r="S335" s="320">
        <f>IFERROR(__xludf.DUMMYFUNCTION("""COMPUTED_VALUE"""),0.0)</f>
        <v>0</v>
      </c>
      <c r="T335" s="320">
        <f>IFERROR(__xludf.DUMMYFUNCTION("""COMPUTED_VALUE"""),174.63)</f>
        <v>174.63</v>
      </c>
      <c r="U335" s="320">
        <f>IFERROR(__xludf.DUMMYFUNCTION("""COMPUTED_VALUE"""),175.99)</f>
        <v>175.99</v>
      </c>
      <c r="V335" s="320">
        <f>IFERROR(__xludf.DUMMYFUNCTION("""COMPUTED_VALUE"""),4.224)</f>
        <v>4.224</v>
      </c>
      <c r="W335" s="320">
        <f>IFERROR(__xludf.DUMMYFUNCTION("""COMPUTED_VALUE"""),0.0)</f>
        <v>0</v>
      </c>
      <c r="X335" s="320">
        <f>IFERROR(__xludf.DUMMYFUNCTION("""COMPUTED_VALUE"""),167.0)</f>
        <v>167</v>
      </c>
      <c r="Y335" s="320">
        <f>IFERROR(__xludf.DUMMYFUNCTION("""COMPUTED_VALUE"""),1089.0)</f>
        <v>1089</v>
      </c>
      <c r="Z335" s="320">
        <f>IFERROR(__xludf.DUMMYFUNCTION("""COMPUTED_VALUE"""),7218.0)</f>
        <v>7218</v>
      </c>
      <c r="AA335" s="320">
        <f>IFERROR(__xludf.DUMMYFUNCTION("""COMPUTED_VALUE"""),55.5662)</f>
        <v>55.5662</v>
      </c>
      <c r="AB335" s="320">
        <f>IFERROR(__xludf.DUMMYFUNCTION("""COMPUTED_VALUE"""),0.6874)</f>
        <v>0.6874</v>
      </c>
      <c r="AC335" s="320">
        <f>IFERROR(__xludf.DUMMYFUNCTION("""COMPUTED_VALUE"""),17.75)</f>
        <v>17.75</v>
      </c>
      <c r="AD335" s="320">
        <f>IFERROR(__xludf.DUMMYFUNCTION("""COMPUTED_VALUE"""),7.0)</f>
        <v>7</v>
      </c>
      <c r="AE335" s="320">
        <f>IFERROR(__xludf.DUMMYFUNCTION("""COMPUTED_VALUE"""),14.0)</f>
        <v>14</v>
      </c>
      <c r="AF335" s="320">
        <f>IFERROR(__xludf.DUMMYFUNCTION("""COMPUTED_VALUE"""),25.0)</f>
        <v>25</v>
      </c>
      <c r="AG335" s="320">
        <f>IFERROR(__xludf.DUMMYFUNCTION("""COMPUTED_VALUE"""),37.0)</f>
        <v>37</v>
      </c>
      <c r="AH335" s="320">
        <f>IFERROR(__xludf.DUMMYFUNCTION("""COMPUTED_VALUE"""),61.17)</f>
        <v>61.17</v>
      </c>
      <c r="AI335" s="320">
        <f>IFERROR(__xludf.DUMMYFUNCTION("""COMPUTED_VALUE"""),23.46)</f>
        <v>23.46</v>
      </c>
      <c r="AJ335" s="320">
        <f>IFERROR(__xludf.DUMMYFUNCTION("""COMPUTED_VALUE"""),6.61)</f>
        <v>6.61</v>
      </c>
      <c r="AK335" s="320">
        <f>IFERROR(__xludf.DUMMYFUNCTION("""COMPUTED_VALUE"""),0.1685)</f>
        <v>0.1685</v>
      </c>
      <c r="AL335" s="320">
        <f>IFERROR(__xludf.DUMMYFUNCTION("""COMPUTED_VALUE"""),19.12)</f>
        <v>19.12</v>
      </c>
      <c r="AM335" s="320">
        <f>IFERROR(__xludf.DUMMYFUNCTION("""COMPUTED_VALUE"""),100.34)</f>
        <v>100.34</v>
      </c>
      <c r="AN335" s="320">
        <f>IFERROR(__xludf.DUMMYFUNCTION("""COMPUTED_VALUE"""),73.05)</f>
        <v>73.05</v>
      </c>
      <c r="AO335" s="320">
        <f>IFERROR(__xludf.DUMMYFUNCTION("""COMPUTED_VALUE"""),13.97)</f>
        <v>13.97</v>
      </c>
    </row>
    <row r="336" ht="15.75" customHeight="1">
      <c r="A336" s="330">
        <f>IFERROR(__xludf.DUMMYFUNCTION("""COMPUTED_VALUE"""),46105.0)</f>
        <v>46105</v>
      </c>
      <c r="B336" s="319" t="str">
        <f>IFERROR(__xludf.DUMMYFUNCTION("""COMPUTED_VALUE"""),"E. 40-99")</f>
        <v>E. 40-99</v>
      </c>
      <c r="C336" s="320">
        <f>IFERROR(__xludf.DUMMYFUNCTION("""COMPUTED_VALUE"""),5663.0)</f>
        <v>5663</v>
      </c>
      <c r="D336" s="320">
        <f>IFERROR(__xludf.DUMMYFUNCTION("""COMPUTED_VALUE"""),5.22)</f>
        <v>5.22</v>
      </c>
      <c r="E336" s="320">
        <f>IFERROR(__xludf.DUMMYFUNCTION("""COMPUTED_VALUE"""),0.0)</f>
        <v>0</v>
      </c>
      <c r="F336" s="320">
        <f>IFERROR(__xludf.DUMMYFUNCTION("""COMPUTED_VALUE"""),0.0)</f>
        <v>0</v>
      </c>
      <c r="G336" s="320">
        <f>IFERROR(__xludf.DUMMYFUNCTION("""COMPUTED_VALUE"""),0.0)</f>
        <v>0</v>
      </c>
      <c r="H336" s="106"/>
      <c r="I336" s="320">
        <f>IFERROR(__xludf.DUMMYFUNCTION("""COMPUTED_VALUE"""),128.62)</f>
        <v>128.62</v>
      </c>
      <c r="J336" s="320">
        <f>IFERROR(__xludf.DUMMYFUNCTION("""COMPUTED_VALUE"""),70.6)</f>
        <v>70.6</v>
      </c>
      <c r="K336" s="320">
        <f>IFERROR(__xludf.DUMMYFUNCTION("""COMPUTED_VALUE"""),56.49)</f>
        <v>56.49</v>
      </c>
      <c r="L336" s="320">
        <f>IFERROR(__xludf.DUMMYFUNCTION("""COMPUTED_VALUE"""),0.8002)</f>
        <v>0.8002</v>
      </c>
      <c r="M336" s="320">
        <f>IFERROR(__xludf.DUMMYFUNCTION("""COMPUTED_VALUE"""),0.3828)</f>
        <v>0.3828</v>
      </c>
      <c r="N336" s="320">
        <f>IFERROR(__xludf.DUMMYFUNCTION("""COMPUTED_VALUE"""),0.2796)</f>
        <v>0.2796</v>
      </c>
      <c r="O336" s="320">
        <f>IFERROR(__xludf.DUMMYFUNCTION("""COMPUTED_VALUE"""),1.2496)</f>
        <v>1.2496</v>
      </c>
      <c r="P336" s="320">
        <f>IFERROR(__xludf.DUMMYFUNCTION("""COMPUTED_VALUE"""),325.38)</f>
        <v>325.38</v>
      </c>
      <c r="Q336" s="320">
        <f>IFERROR(__xludf.DUMMYFUNCTION("""COMPUTED_VALUE"""),206.86)</f>
        <v>206.86</v>
      </c>
      <c r="R336" s="320">
        <f>IFERROR(__xludf.DUMMYFUNCTION("""COMPUTED_VALUE"""),118.52)</f>
        <v>118.52</v>
      </c>
      <c r="S336" s="320">
        <f>IFERROR(__xludf.DUMMYFUNCTION("""COMPUTED_VALUE"""),0.0)</f>
        <v>0</v>
      </c>
      <c r="T336" s="320">
        <f>IFERROR(__xludf.DUMMYFUNCTION("""COMPUTED_VALUE"""),325.38)</f>
        <v>325.38</v>
      </c>
      <c r="U336" s="320">
        <f>IFERROR(__xludf.DUMMYFUNCTION("""COMPUTED_VALUE"""),335.2)</f>
        <v>335.2</v>
      </c>
      <c r="V336" s="320">
        <f>IFERROR(__xludf.DUMMYFUNCTION("""COMPUTED_VALUE"""),4.7481)</f>
        <v>4.7481</v>
      </c>
      <c r="W336" s="320">
        <f>IFERROR(__xludf.DUMMYFUNCTION("""COMPUTED_VALUE"""),0.0)</f>
        <v>0</v>
      </c>
      <c r="X336" s="320">
        <f>IFERROR(__xludf.DUMMYFUNCTION("""COMPUTED_VALUE"""),271.0)</f>
        <v>271</v>
      </c>
      <c r="Y336" s="320">
        <f>IFERROR(__xludf.DUMMYFUNCTION("""COMPUTED_VALUE"""),2101.0)</f>
        <v>2101</v>
      </c>
      <c r="Z336" s="320">
        <f>IFERROR(__xludf.DUMMYFUNCTION("""COMPUTED_VALUE"""),9014.0)</f>
        <v>9014</v>
      </c>
      <c r="AA336" s="320">
        <f>IFERROR(__xludf.DUMMYFUNCTION("""COMPUTED_VALUE"""),59.5935)</f>
        <v>59.5935</v>
      </c>
      <c r="AB336" s="320">
        <f>IFERROR(__xludf.DUMMYFUNCTION("""COMPUTED_VALUE"""),0.8265)</f>
        <v>0.8265</v>
      </c>
      <c r="AC336" s="320">
        <f>IFERROR(__xludf.DUMMYFUNCTION("""COMPUTED_VALUE"""),38.46)</f>
        <v>38.46</v>
      </c>
      <c r="AD336" s="320">
        <f>IFERROR(__xludf.DUMMYFUNCTION("""COMPUTED_VALUE"""),16.0)</f>
        <v>16</v>
      </c>
      <c r="AE336" s="320">
        <f>IFERROR(__xludf.DUMMYFUNCTION("""COMPUTED_VALUE"""),30.0)</f>
        <v>30</v>
      </c>
      <c r="AF336" s="320">
        <f>IFERROR(__xludf.DUMMYFUNCTION("""COMPUTED_VALUE"""),52.0)</f>
        <v>52</v>
      </c>
      <c r="AG336" s="320">
        <f>IFERROR(__xludf.DUMMYFUNCTION("""COMPUTED_VALUE"""),81.0)</f>
        <v>81</v>
      </c>
      <c r="AH336" s="320">
        <f>IFERROR(__xludf.DUMMYFUNCTION("""COMPUTED_VALUE"""),54.58)</f>
        <v>54.58</v>
      </c>
      <c r="AI336" s="320">
        <f>IFERROR(__xludf.DUMMYFUNCTION("""COMPUTED_VALUE"""),19.83)</f>
        <v>19.83</v>
      </c>
      <c r="AJ336" s="320">
        <f>IFERROR(__xludf.DUMMYFUNCTION("""COMPUTED_VALUE"""),4.89)</f>
        <v>4.89</v>
      </c>
      <c r="AK336" s="320">
        <f>IFERROR(__xludf.DUMMYFUNCTION("""COMPUTED_VALUE"""),0.1229)</f>
        <v>0.1229</v>
      </c>
      <c r="AL336" s="320">
        <f>IFERROR(__xludf.DUMMYFUNCTION("""COMPUTED_VALUE"""),19.6)</f>
        <v>19.6</v>
      </c>
      <c r="AM336" s="320">
        <f>IFERROR(__xludf.DUMMYFUNCTION("""COMPUTED_VALUE"""),187.25)</f>
        <v>187.25</v>
      </c>
      <c r="AN336" s="320">
        <f>IFERROR(__xludf.DUMMYFUNCTION("""COMPUTED_VALUE"""),81.93)</f>
        <v>81.93</v>
      </c>
      <c r="AO336" s="320">
        <f>IFERROR(__xludf.DUMMYFUNCTION("""COMPUTED_VALUE"""),16.06)</f>
        <v>16.06</v>
      </c>
    </row>
    <row r="337" ht="15.75" customHeight="1">
      <c r="A337" s="330">
        <f>IFERROR(__xludf.DUMMYFUNCTION("""COMPUTED_VALUE"""),46105.0)</f>
        <v>46105</v>
      </c>
      <c r="B337" s="319" t="str">
        <f>IFERROR(__xludf.DUMMYFUNCTION("""COMPUTED_VALUE"""),"F. 100+")</f>
        <v>F. 100+</v>
      </c>
      <c r="C337" s="320">
        <f>IFERROR(__xludf.DUMMYFUNCTION("""COMPUTED_VALUE"""),662.0)</f>
        <v>662</v>
      </c>
      <c r="D337" s="320">
        <f>IFERROR(__xludf.DUMMYFUNCTION("""COMPUTED_VALUE"""),0.61)</f>
        <v>0.61</v>
      </c>
      <c r="E337" s="320">
        <f>IFERROR(__xludf.DUMMYFUNCTION("""COMPUTED_VALUE"""),0.0)</f>
        <v>0</v>
      </c>
      <c r="F337" s="320">
        <f>IFERROR(__xludf.DUMMYFUNCTION("""COMPUTED_VALUE"""),0.0)</f>
        <v>0</v>
      </c>
      <c r="G337" s="320">
        <f>IFERROR(__xludf.DUMMYFUNCTION("""COMPUTED_VALUE"""),0.0)</f>
        <v>0</v>
      </c>
      <c r="H337" s="106"/>
      <c r="I337" s="320">
        <f>IFERROR(__xludf.DUMMYFUNCTION("""COMPUTED_VALUE"""),239.93)</f>
        <v>239.93</v>
      </c>
      <c r="J337" s="320">
        <f>IFERROR(__xludf.DUMMYFUNCTION("""COMPUTED_VALUE"""),141.05)</f>
        <v>141.05</v>
      </c>
      <c r="K337" s="320">
        <f>IFERROR(__xludf.DUMMYFUNCTION("""COMPUTED_VALUE"""),125.24)</f>
        <v>125.24</v>
      </c>
      <c r="L337" s="320">
        <f>IFERROR(__xludf.DUMMYFUNCTION("""COMPUTED_VALUE"""),0.8879)</f>
        <v>0.8879</v>
      </c>
      <c r="M337" s="320">
        <f>IFERROR(__xludf.DUMMYFUNCTION("""COMPUTED_VALUE"""),0.2649)</f>
        <v>0.2649</v>
      </c>
      <c r="N337" s="320">
        <f>IFERROR(__xludf.DUMMYFUNCTION("""COMPUTED_VALUE"""),0.2032)</f>
        <v>0.2032</v>
      </c>
      <c r="O337" s="320">
        <f>IFERROR(__xludf.DUMMYFUNCTION("""COMPUTED_VALUE"""),1.1263)</f>
        <v>1.1263</v>
      </c>
      <c r="P337" s="320">
        <f>IFERROR(__xludf.DUMMYFUNCTION("""COMPUTED_VALUE"""),621.23)</f>
        <v>621.23</v>
      </c>
      <c r="Q337" s="320">
        <f>IFERROR(__xludf.DUMMYFUNCTION("""COMPUTED_VALUE"""),355.05)</f>
        <v>355.05</v>
      </c>
      <c r="R337" s="320">
        <f>IFERROR(__xludf.DUMMYFUNCTION("""COMPUTED_VALUE"""),266.18)</f>
        <v>266.18</v>
      </c>
      <c r="S337" s="320">
        <f>IFERROR(__xludf.DUMMYFUNCTION("""COMPUTED_VALUE"""),0.0)</f>
        <v>0</v>
      </c>
      <c r="T337" s="320">
        <f>IFERROR(__xludf.DUMMYFUNCTION("""COMPUTED_VALUE"""),621.23)</f>
        <v>621.23</v>
      </c>
      <c r="U337" s="320">
        <f>IFERROR(__xludf.DUMMYFUNCTION("""COMPUTED_VALUE"""),621.22)</f>
        <v>621.22</v>
      </c>
      <c r="V337" s="320">
        <f>IFERROR(__xludf.DUMMYFUNCTION("""COMPUTED_VALUE"""),4.4042)</f>
        <v>4.4042</v>
      </c>
      <c r="W337" s="320">
        <f>IFERROR(__xludf.DUMMYFUNCTION("""COMPUTED_VALUE"""),0.0)</f>
        <v>0</v>
      </c>
      <c r="X337" s="320">
        <f>IFERROR(__xludf.DUMMYFUNCTION("""COMPUTED_VALUE"""),905.0)</f>
        <v>905</v>
      </c>
      <c r="Y337" s="320">
        <f>IFERROR(__xludf.DUMMYFUNCTION("""COMPUTED_VALUE"""),4114.0)</f>
        <v>4114</v>
      </c>
      <c r="Z337" s="320">
        <f>IFERROR(__xludf.DUMMYFUNCTION("""COMPUTED_VALUE"""),10646.0)</f>
        <v>10646</v>
      </c>
      <c r="AA337" s="320">
        <f>IFERROR(__xludf.DUMMYFUNCTION("""COMPUTED_VALUE"""),63.0133)</f>
        <v>63.0133</v>
      </c>
      <c r="AB337" s="320">
        <f>IFERROR(__xludf.DUMMYFUNCTION("""COMPUTED_VALUE"""),0.8983)</f>
        <v>0.8983</v>
      </c>
      <c r="AC337" s="320">
        <f>IFERROR(__xludf.DUMMYFUNCTION("""COMPUTED_VALUE"""),88.62)</f>
        <v>88.62</v>
      </c>
      <c r="AD337" s="320">
        <f>IFERROR(__xludf.DUMMYFUNCTION("""COMPUTED_VALUE"""),40.0)</f>
        <v>40</v>
      </c>
      <c r="AE337" s="320">
        <f>IFERROR(__xludf.DUMMYFUNCTION("""COMPUTED_VALUE"""),78.0)</f>
        <v>78</v>
      </c>
      <c r="AF337" s="320">
        <f>IFERROR(__xludf.DUMMYFUNCTION("""COMPUTED_VALUE"""),122.0)</f>
        <v>122</v>
      </c>
      <c r="AG337" s="320">
        <f>IFERROR(__xludf.DUMMYFUNCTION("""COMPUTED_VALUE"""),167.0)</f>
        <v>167</v>
      </c>
      <c r="AH337" s="320">
        <f>IFERROR(__xludf.DUMMYFUNCTION("""COMPUTED_VALUE"""),49.4)</f>
        <v>49.4</v>
      </c>
      <c r="AI337" s="320">
        <f>IFERROR(__xludf.DUMMYFUNCTION("""COMPUTED_VALUE"""),8.76)</f>
        <v>8.76</v>
      </c>
      <c r="AJ337" s="320">
        <f>IFERROR(__xludf.DUMMYFUNCTION("""COMPUTED_VALUE"""),1.36)</f>
        <v>1.36</v>
      </c>
      <c r="AK337" s="320">
        <f>IFERROR(__xludf.DUMMYFUNCTION("""COMPUTED_VALUE"""),0.0816)</f>
        <v>0.0816</v>
      </c>
      <c r="AL337" s="320">
        <f>IFERROR(__xludf.DUMMYFUNCTION("""COMPUTED_VALUE"""),19.72)</f>
        <v>19.72</v>
      </c>
      <c r="AM337" s="320">
        <f>IFERROR(__xludf.DUMMYFUNCTION("""COMPUTED_VALUE"""),335.33)</f>
        <v>335.33</v>
      </c>
      <c r="AN337" s="320">
        <f>IFERROR(__xludf.DUMMYFUNCTION("""COMPUTED_VALUE"""),84.33)</f>
        <v>84.33</v>
      </c>
      <c r="AO337" s="320">
        <f>IFERROR(__xludf.DUMMYFUNCTION("""COMPUTED_VALUE"""),16.63)</f>
        <v>16.63</v>
      </c>
    </row>
    <row r="338" ht="15.75" customHeight="1">
      <c r="A338" s="330">
        <f>IFERROR(__xludf.DUMMYFUNCTION("""COMPUTED_VALUE"""),46106.0)</f>
        <v>46106</v>
      </c>
      <c r="B338" s="319" t="str">
        <f>IFERROR(__xludf.DUMMYFUNCTION("""COMPUTED_VALUE"""),"A. 0")</f>
        <v>A. 0</v>
      </c>
      <c r="C338" s="320">
        <f>IFERROR(__xludf.DUMMYFUNCTION("""COMPUTED_VALUE"""),20381.0)</f>
        <v>20381</v>
      </c>
      <c r="D338" s="320">
        <f>IFERROR(__xludf.DUMMYFUNCTION("""COMPUTED_VALUE"""),19.2)</f>
        <v>19.2</v>
      </c>
      <c r="E338" s="320">
        <f>IFERROR(__xludf.DUMMYFUNCTION("""COMPUTED_VALUE"""),0.0)</f>
        <v>0</v>
      </c>
      <c r="F338" s="320">
        <f>IFERROR(__xludf.DUMMYFUNCTION("""COMPUTED_VALUE"""),0.0)</f>
        <v>0</v>
      </c>
      <c r="G338" s="320">
        <f>IFERROR(__xludf.DUMMYFUNCTION("""COMPUTED_VALUE"""),0.0)</f>
        <v>0</v>
      </c>
      <c r="H338" s="106"/>
      <c r="I338" s="320">
        <f>IFERROR(__xludf.DUMMYFUNCTION("""COMPUTED_VALUE"""),6.1)</f>
        <v>6.1</v>
      </c>
      <c r="J338" s="320">
        <f>IFERROR(__xludf.DUMMYFUNCTION("""COMPUTED_VALUE"""),2.51)</f>
        <v>2.51</v>
      </c>
      <c r="K338" s="320">
        <f>IFERROR(__xludf.DUMMYFUNCTION("""COMPUTED_VALUE"""),0.05)</f>
        <v>0.05</v>
      </c>
      <c r="L338" s="320">
        <f>IFERROR(__xludf.DUMMYFUNCTION("""COMPUTED_VALUE"""),0.0202)</f>
        <v>0.0202</v>
      </c>
      <c r="M338" s="320">
        <f>IFERROR(__xludf.DUMMYFUNCTION("""COMPUTED_VALUE"""),0.984)</f>
        <v>0.984</v>
      </c>
      <c r="N338" s="320">
        <f>IFERROR(__xludf.DUMMYFUNCTION("""COMPUTED_VALUE"""),0.8133)</f>
        <v>0.8133</v>
      </c>
      <c r="O338" s="320">
        <f>IFERROR(__xludf.DUMMYFUNCTION("""COMPUTED_VALUE"""),49.5818)</f>
        <v>49.5818</v>
      </c>
      <c r="P338" s="320">
        <f>IFERROR(__xludf.DUMMYFUNCTION("""COMPUTED_VALUE"""),21.52)</f>
        <v>21.52</v>
      </c>
      <c r="Q338" s="320">
        <f>IFERROR(__xludf.DUMMYFUNCTION("""COMPUTED_VALUE"""),21.41)</f>
        <v>21.41</v>
      </c>
      <c r="R338" s="320">
        <f>IFERROR(__xludf.DUMMYFUNCTION("""COMPUTED_VALUE"""),0.11)</f>
        <v>0.11</v>
      </c>
      <c r="S338" s="320">
        <f>IFERROR(__xludf.DUMMYFUNCTION("""COMPUTED_VALUE"""),0.0)</f>
        <v>0</v>
      </c>
      <c r="T338" s="320">
        <f>IFERROR(__xludf.DUMMYFUNCTION("""COMPUTED_VALUE"""),21.52)</f>
        <v>21.52</v>
      </c>
      <c r="U338" s="320">
        <f>IFERROR(__xludf.DUMMYFUNCTION("""COMPUTED_VALUE"""),1.67)</f>
        <v>1.67</v>
      </c>
      <c r="V338" s="320">
        <f>IFERROR(__xludf.DUMMYFUNCTION("""COMPUTED_VALUE"""),0.6648)</f>
        <v>0.6648</v>
      </c>
      <c r="W338" s="320">
        <f>IFERROR(__xludf.DUMMYFUNCTION("""COMPUTED_VALUE"""),0.0)</f>
        <v>0</v>
      </c>
      <c r="X338" s="320">
        <f>IFERROR(__xludf.DUMMYFUNCTION("""COMPUTED_VALUE"""),358.0)</f>
        <v>358</v>
      </c>
      <c r="Y338" s="320">
        <f>IFERROR(__xludf.DUMMYFUNCTION("""COMPUTED_VALUE"""),4027.0)</f>
        <v>4027</v>
      </c>
      <c r="Z338" s="320">
        <f>IFERROR(__xludf.DUMMYFUNCTION("""COMPUTED_VALUE"""),14986.0)</f>
        <v>14986</v>
      </c>
      <c r="AA338" s="320">
        <f>IFERROR(__xludf.DUMMYFUNCTION("""COMPUTED_VALUE"""),49.1504)</f>
        <v>49.1504</v>
      </c>
      <c r="AB338" s="320">
        <f>IFERROR(__xludf.DUMMYFUNCTION("""COMPUTED_VALUE"""),0.5527)</f>
        <v>0.5527</v>
      </c>
      <c r="AC338" s="106"/>
      <c r="AD338" s="106"/>
      <c r="AE338" s="106"/>
      <c r="AF338" s="106"/>
      <c r="AG338" s="106"/>
      <c r="AH338" s="320">
        <f>IFERROR(__xludf.DUMMYFUNCTION("""COMPUTED_VALUE"""),0.0)</f>
        <v>0</v>
      </c>
      <c r="AI338" s="320">
        <f>IFERROR(__xludf.DUMMYFUNCTION("""COMPUTED_VALUE"""),0.0)</f>
        <v>0</v>
      </c>
      <c r="AJ338" s="320">
        <f>IFERROR(__xludf.DUMMYFUNCTION("""COMPUTED_VALUE"""),0.0)</f>
        <v>0</v>
      </c>
      <c r="AK338" s="320">
        <f>IFERROR(__xludf.DUMMYFUNCTION("""COMPUTED_VALUE"""),0.2777)</f>
        <v>0.2777</v>
      </c>
      <c r="AL338" s="320">
        <f>IFERROR(__xludf.DUMMYFUNCTION("""COMPUTED_VALUE"""),16.06)</f>
        <v>16.06</v>
      </c>
      <c r="AM338" s="320">
        <f>IFERROR(__xludf.DUMMYFUNCTION("""COMPUTED_VALUE"""),5.35)</f>
        <v>5.35</v>
      </c>
      <c r="AN338" s="331"/>
      <c r="AO338" s="331"/>
    </row>
    <row r="339" ht="15.75" customHeight="1">
      <c r="A339" s="330">
        <f>IFERROR(__xludf.DUMMYFUNCTION("""COMPUTED_VALUE"""),46106.0)</f>
        <v>46106</v>
      </c>
      <c r="B339" s="319" t="str">
        <f>IFERROR(__xludf.DUMMYFUNCTION("""COMPUTED_VALUE"""),"B. 1-9")</f>
        <v>B. 1-9</v>
      </c>
      <c r="C339" s="320">
        <f>IFERROR(__xludf.DUMMYFUNCTION("""COMPUTED_VALUE"""),37961.0)</f>
        <v>37961</v>
      </c>
      <c r="D339" s="320">
        <f>IFERROR(__xludf.DUMMYFUNCTION("""COMPUTED_VALUE"""),35.76)</f>
        <v>35.76</v>
      </c>
      <c r="E339" s="320">
        <f>IFERROR(__xludf.DUMMYFUNCTION("""COMPUTED_VALUE"""),0.0)</f>
        <v>0</v>
      </c>
      <c r="F339" s="320">
        <f>IFERROR(__xludf.DUMMYFUNCTION("""COMPUTED_VALUE"""),0.0)</f>
        <v>0</v>
      </c>
      <c r="G339" s="320">
        <f>IFERROR(__xludf.DUMMYFUNCTION("""COMPUTED_VALUE"""),0.0)</f>
        <v>0</v>
      </c>
      <c r="H339" s="106"/>
      <c r="I339" s="320">
        <f>IFERROR(__xludf.DUMMYFUNCTION("""COMPUTED_VALUE"""),30.02)</f>
        <v>30.02</v>
      </c>
      <c r="J339" s="320">
        <f>IFERROR(__xludf.DUMMYFUNCTION("""COMPUTED_VALUE"""),13.84)</f>
        <v>13.84</v>
      </c>
      <c r="K339" s="320">
        <f>IFERROR(__xludf.DUMMYFUNCTION("""COMPUTED_VALUE"""),5.6)</f>
        <v>5.6</v>
      </c>
      <c r="L339" s="320">
        <f>IFERROR(__xludf.DUMMYFUNCTION("""COMPUTED_VALUE"""),0.4045)</f>
        <v>0.4045</v>
      </c>
      <c r="M339" s="320">
        <f>IFERROR(__xludf.DUMMYFUNCTION("""COMPUTED_VALUE"""),0.7639)</f>
        <v>0.7639</v>
      </c>
      <c r="N339" s="320">
        <f>IFERROR(__xludf.DUMMYFUNCTION("""COMPUTED_VALUE"""),0.5679)</f>
        <v>0.5679</v>
      </c>
      <c r="O339" s="320">
        <f>IFERROR(__xludf.DUMMYFUNCTION("""COMPUTED_VALUE"""),2.4722)</f>
        <v>2.4722</v>
      </c>
      <c r="P339" s="320">
        <f>IFERROR(__xludf.DUMMYFUNCTION("""COMPUTED_VALUE"""),45.69)</f>
        <v>45.69</v>
      </c>
      <c r="Q339" s="320">
        <f>IFERROR(__xludf.DUMMYFUNCTION("""COMPUTED_VALUE"""),33.93)</f>
        <v>33.93</v>
      </c>
      <c r="R339" s="320">
        <f>IFERROR(__xludf.DUMMYFUNCTION("""COMPUTED_VALUE"""),11.75)</f>
        <v>11.75</v>
      </c>
      <c r="S339" s="320">
        <f>IFERROR(__xludf.DUMMYFUNCTION("""COMPUTED_VALUE"""),0.04)</f>
        <v>0.04</v>
      </c>
      <c r="T339" s="320">
        <f>IFERROR(__xludf.DUMMYFUNCTION("""COMPUTED_VALUE"""),45.65)</f>
        <v>45.65</v>
      </c>
      <c r="U339" s="320">
        <f>IFERROR(__xludf.DUMMYFUNCTION("""COMPUTED_VALUE"""),50.27)</f>
        <v>50.27</v>
      </c>
      <c r="V339" s="320">
        <f>IFERROR(__xludf.DUMMYFUNCTION("""COMPUTED_VALUE"""),3.6318)</f>
        <v>3.6318</v>
      </c>
      <c r="W339" s="320">
        <f>IFERROR(__xludf.DUMMYFUNCTION("""COMPUTED_VALUE"""),0.09)</f>
        <v>0.09</v>
      </c>
      <c r="X339" s="320">
        <f>IFERROR(__xludf.DUMMYFUNCTION("""COMPUTED_VALUE"""),141.0)</f>
        <v>141</v>
      </c>
      <c r="Y339" s="320">
        <f>IFERROR(__xludf.DUMMYFUNCTION("""COMPUTED_VALUE"""),875.0)</f>
        <v>875</v>
      </c>
      <c r="Z339" s="320">
        <f>IFERROR(__xludf.DUMMYFUNCTION("""COMPUTED_VALUE"""),6054.0)</f>
        <v>6054</v>
      </c>
      <c r="AA339" s="320">
        <f>IFERROR(__xludf.DUMMYFUNCTION("""COMPUTED_VALUE"""),48.8749)</f>
        <v>48.8749</v>
      </c>
      <c r="AB339" s="320">
        <f>IFERROR(__xludf.DUMMYFUNCTION("""COMPUTED_VALUE"""),0.5321)</f>
        <v>0.5321</v>
      </c>
      <c r="AC339" s="320">
        <f>IFERROR(__xludf.DUMMYFUNCTION("""COMPUTED_VALUE"""),3.98)</f>
        <v>3.98</v>
      </c>
      <c r="AD339" s="320">
        <f>IFERROR(__xludf.DUMMYFUNCTION("""COMPUTED_VALUE"""),1.0)</f>
        <v>1</v>
      </c>
      <c r="AE339" s="320">
        <f>IFERROR(__xludf.DUMMYFUNCTION("""COMPUTED_VALUE"""),3.0)</f>
        <v>3</v>
      </c>
      <c r="AF339" s="320">
        <f>IFERROR(__xludf.DUMMYFUNCTION("""COMPUTED_VALUE"""),5.0)</f>
        <v>5</v>
      </c>
      <c r="AG339" s="320">
        <f>IFERROR(__xludf.DUMMYFUNCTION("""COMPUTED_VALUE"""),9.0)</f>
        <v>9</v>
      </c>
      <c r="AH339" s="320">
        <f>IFERROR(__xludf.DUMMYFUNCTION("""COMPUTED_VALUE"""),72.63)</f>
        <v>72.63</v>
      </c>
      <c r="AI339" s="320">
        <f>IFERROR(__xludf.DUMMYFUNCTION("""COMPUTED_VALUE"""),30.3)</f>
        <v>30.3</v>
      </c>
      <c r="AJ339" s="320">
        <f>IFERROR(__xludf.DUMMYFUNCTION("""COMPUTED_VALUE"""),8.4)</f>
        <v>8.4</v>
      </c>
      <c r="AK339" s="320">
        <f>IFERROR(__xludf.DUMMYFUNCTION("""COMPUTED_VALUE"""),0.2385)</f>
        <v>0.2385</v>
      </c>
      <c r="AL339" s="320">
        <f>IFERROR(__xludf.DUMMYFUNCTION("""COMPUTED_VALUE"""),18.41)</f>
        <v>18.41</v>
      </c>
      <c r="AM339" s="320">
        <f>IFERROR(__xludf.DUMMYFUNCTION("""COMPUTED_VALUE"""),15.52)</f>
        <v>15.52</v>
      </c>
      <c r="AN339" s="320">
        <f>IFERROR(__xludf.DUMMYFUNCTION("""COMPUTED_VALUE"""),65.89)</f>
        <v>65.89</v>
      </c>
      <c r="AO339" s="320">
        <f>IFERROR(__xludf.DUMMYFUNCTION("""COMPUTED_VALUE"""),12.13)</f>
        <v>12.13</v>
      </c>
    </row>
    <row r="340" ht="15.75" customHeight="1">
      <c r="A340" s="330">
        <f>IFERROR(__xludf.DUMMYFUNCTION("""COMPUTED_VALUE"""),46106.0)</f>
        <v>46106</v>
      </c>
      <c r="B340" s="319" t="str">
        <f>IFERROR(__xludf.DUMMYFUNCTION("""COMPUTED_VALUE"""),"C. 10-19")</f>
        <v>C. 10-19</v>
      </c>
      <c r="C340" s="320">
        <f>IFERROR(__xludf.DUMMYFUNCTION("""COMPUTED_VALUE"""),27235.0)</f>
        <v>27235</v>
      </c>
      <c r="D340" s="320">
        <f>IFERROR(__xludf.DUMMYFUNCTION("""COMPUTED_VALUE"""),25.66)</f>
        <v>25.66</v>
      </c>
      <c r="E340" s="320">
        <f>IFERROR(__xludf.DUMMYFUNCTION("""COMPUTED_VALUE"""),0.0)</f>
        <v>0</v>
      </c>
      <c r="F340" s="320">
        <f>IFERROR(__xludf.DUMMYFUNCTION("""COMPUTED_VALUE"""),0.0)</f>
        <v>0</v>
      </c>
      <c r="G340" s="320">
        <f>IFERROR(__xludf.DUMMYFUNCTION("""COMPUTED_VALUE"""),0.0)</f>
        <v>0</v>
      </c>
      <c r="H340" s="106"/>
      <c r="I340" s="320">
        <f>IFERROR(__xludf.DUMMYFUNCTION("""COMPUTED_VALUE"""),57.41)</f>
        <v>57.41</v>
      </c>
      <c r="J340" s="320">
        <f>IFERROR(__xludf.DUMMYFUNCTION("""COMPUTED_VALUE"""),27.73)</f>
        <v>27.73</v>
      </c>
      <c r="K340" s="320">
        <f>IFERROR(__xludf.DUMMYFUNCTION("""COMPUTED_VALUE"""),14.87)</f>
        <v>14.87</v>
      </c>
      <c r="L340" s="320">
        <f>IFERROR(__xludf.DUMMYFUNCTION("""COMPUTED_VALUE"""),0.536)</f>
        <v>0.536</v>
      </c>
      <c r="M340" s="320">
        <f>IFERROR(__xludf.DUMMYFUNCTION("""COMPUTED_VALUE"""),0.651)</f>
        <v>0.651</v>
      </c>
      <c r="N340" s="320">
        <f>IFERROR(__xludf.DUMMYFUNCTION("""COMPUTED_VALUE"""),0.4458)</f>
        <v>0.4458</v>
      </c>
      <c r="O340" s="320">
        <f>IFERROR(__xludf.DUMMYFUNCTION("""COMPUTED_VALUE"""),1.8655)</f>
        <v>1.8655</v>
      </c>
      <c r="P340" s="320">
        <f>IFERROR(__xludf.DUMMYFUNCTION("""COMPUTED_VALUE"""),78.73)</f>
        <v>78.73</v>
      </c>
      <c r="Q340" s="320">
        <f>IFERROR(__xludf.DUMMYFUNCTION("""COMPUTED_VALUE"""),49.59)</f>
        <v>49.59</v>
      </c>
      <c r="R340" s="320">
        <f>IFERROR(__xludf.DUMMYFUNCTION("""COMPUTED_VALUE"""),29.14)</f>
        <v>29.14</v>
      </c>
      <c r="S340" s="320">
        <f>IFERROR(__xludf.DUMMYFUNCTION("""COMPUTED_VALUE"""),0.02)</f>
        <v>0.02</v>
      </c>
      <c r="T340" s="320">
        <f>IFERROR(__xludf.DUMMYFUNCTION("""COMPUTED_VALUE"""),78.72)</f>
        <v>78.72</v>
      </c>
      <c r="U340" s="320">
        <f>IFERROR(__xludf.DUMMYFUNCTION("""COMPUTED_VALUE"""),92.16)</f>
        <v>92.16</v>
      </c>
      <c r="V340" s="320">
        <f>IFERROR(__xludf.DUMMYFUNCTION("""COMPUTED_VALUE"""),3.3235)</f>
        <v>3.3235</v>
      </c>
      <c r="W340" s="320">
        <f>IFERROR(__xludf.DUMMYFUNCTION("""COMPUTED_VALUE"""),0.02)</f>
        <v>0.02</v>
      </c>
      <c r="X340" s="320">
        <f>IFERROR(__xludf.DUMMYFUNCTION("""COMPUTED_VALUE"""),120.0)</f>
        <v>120</v>
      </c>
      <c r="Y340" s="320">
        <f>IFERROR(__xludf.DUMMYFUNCTION("""COMPUTED_VALUE"""),700.0)</f>
        <v>700</v>
      </c>
      <c r="Z340" s="320">
        <f>IFERROR(__xludf.DUMMYFUNCTION("""COMPUTED_VALUE"""),5515.0)</f>
        <v>5515</v>
      </c>
      <c r="AA340" s="320">
        <f>IFERROR(__xludf.DUMMYFUNCTION("""COMPUTED_VALUE"""),52.3779)</f>
        <v>52.3779</v>
      </c>
      <c r="AB340" s="320">
        <f>IFERROR(__xludf.DUMMYFUNCTION("""COMPUTED_VALUE"""),0.6121)</f>
        <v>0.6121</v>
      </c>
      <c r="AC340" s="320">
        <f>IFERROR(__xludf.DUMMYFUNCTION("""COMPUTED_VALUE"""),9.2)</f>
        <v>9.2</v>
      </c>
      <c r="AD340" s="320">
        <f>IFERROR(__xludf.DUMMYFUNCTION("""COMPUTED_VALUE"""),3.0)</f>
        <v>3</v>
      </c>
      <c r="AE340" s="320">
        <f>IFERROR(__xludf.DUMMYFUNCTION("""COMPUTED_VALUE"""),7.0)</f>
        <v>7</v>
      </c>
      <c r="AF340" s="320">
        <f>IFERROR(__xludf.DUMMYFUNCTION("""COMPUTED_VALUE"""),13.0)</f>
        <v>13</v>
      </c>
      <c r="AG340" s="320">
        <f>IFERROR(__xludf.DUMMYFUNCTION("""COMPUTED_VALUE"""),20.0)</f>
        <v>20</v>
      </c>
      <c r="AH340" s="320">
        <f>IFERROR(__xludf.DUMMYFUNCTION("""COMPUTED_VALUE"""),59.31)</f>
        <v>59.31</v>
      </c>
      <c r="AI340" s="320">
        <f>IFERROR(__xludf.DUMMYFUNCTION("""COMPUTED_VALUE"""),25.22)</f>
        <v>25.22</v>
      </c>
      <c r="AJ340" s="320">
        <f>IFERROR(__xludf.DUMMYFUNCTION("""COMPUTED_VALUE"""),4.33)</f>
        <v>4.33</v>
      </c>
      <c r="AK340" s="320">
        <f>IFERROR(__xludf.DUMMYFUNCTION("""COMPUTED_VALUE"""),0.1861)</f>
        <v>0.1861</v>
      </c>
      <c r="AL340" s="320">
        <f>IFERROR(__xludf.DUMMYFUNCTION("""COMPUTED_VALUE"""),19.14)</f>
        <v>19.14</v>
      </c>
      <c r="AM340" s="320">
        <f>IFERROR(__xludf.DUMMYFUNCTION("""COMPUTED_VALUE"""),30.45)</f>
        <v>30.45</v>
      </c>
      <c r="AN340" s="320">
        <f>IFERROR(__xludf.DUMMYFUNCTION("""COMPUTED_VALUE"""),73.97)</f>
        <v>73.97</v>
      </c>
      <c r="AO340" s="320">
        <f>IFERROR(__xludf.DUMMYFUNCTION("""COMPUTED_VALUE"""),14.16)</f>
        <v>14.16</v>
      </c>
    </row>
    <row r="341" ht="15.75" customHeight="1">
      <c r="A341" s="330">
        <f>IFERROR(__xludf.DUMMYFUNCTION("""COMPUTED_VALUE"""),46106.0)</f>
        <v>46106</v>
      </c>
      <c r="B341" s="319" t="str">
        <f>IFERROR(__xludf.DUMMYFUNCTION("""COMPUTED_VALUE"""),"D. 20-39")</f>
        <v>D. 20-39</v>
      </c>
      <c r="C341" s="320">
        <f>IFERROR(__xludf.DUMMYFUNCTION("""COMPUTED_VALUE"""),14342.0)</f>
        <v>14342</v>
      </c>
      <c r="D341" s="320">
        <f>IFERROR(__xludf.DUMMYFUNCTION("""COMPUTED_VALUE"""),13.51)</f>
        <v>13.51</v>
      </c>
      <c r="E341" s="320">
        <f>IFERROR(__xludf.DUMMYFUNCTION("""COMPUTED_VALUE"""),0.0)</f>
        <v>0</v>
      </c>
      <c r="F341" s="320">
        <f>IFERROR(__xludf.DUMMYFUNCTION("""COMPUTED_VALUE"""),0.0)</f>
        <v>0</v>
      </c>
      <c r="G341" s="320">
        <f>IFERROR(__xludf.DUMMYFUNCTION("""COMPUTED_VALUE"""),0.0)</f>
        <v>0</v>
      </c>
      <c r="H341" s="106"/>
      <c r="I341" s="320">
        <f>IFERROR(__xludf.DUMMYFUNCTION("""COMPUTED_VALUE"""),79.7)</f>
        <v>79.7</v>
      </c>
      <c r="J341" s="320">
        <f>IFERROR(__xludf.DUMMYFUNCTION("""COMPUTED_VALUE"""),40.86)</f>
        <v>40.86</v>
      </c>
      <c r="K341" s="320">
        <f>IFERROR(__xludf.DUMMYFUNCTION("""COMPUTED_VALUE"""),26.78)</f>
        <v>26.78</v>
      </c>
      <c r="L341" s="320">
        <f>IFERROR(__xludf.DUMMYFUNCTION("""COMPUTED_VALUE"""),0.6554)</f>
        <v>0.6554</v>
      </c>
      <c r="M341" s="320">
        <f>IFERROR(__xludf.DUMMYFUNCTION("""COMPUTED_VALUE"""),0.5312)</f>
        <v>0.5312</v>
      </c>
      <c r="N341" s="320">
        <f>IFERROR(__xludf.DUMMYFUNCTION("""COMPUTED_VALUE"""),0.3656)</f>
        <v>0.3656</v>
      </c>
      <c r="O341" s="320">
        <f>IFERROR(__xludf.DUMMYFUNCTION("""COMPUTED_VALUE"""),1.5258)</f>
        <v>1.5258</v>
      </c>
      <c r="P341" s="320">
        <f>IFERROR(__xludf.DUMMYFUNCTION("""COMPUTED_VALUE"""),122.14)</f>
        <v>122.14</v>
      </c>
      <c r="Q341" s="320">
        <f>IFERROR(__xludf.DUMMYFUNCTION("""COMPUTED_VALUE"""),66.2)</f>
        <v>66.2</v>
      </c>
      <c r="R341" s="320">
        <f>IFERROR(__xludf.DUMMYFUNCTION("""COMPUTED_VALUE"""),55.94)</f>
        <v>55.94</v>
      </c>
      <c r="S341" s="320">
        <f>IFERROR(__xludf.DUMMYFUNCTION("""COMPUTED_VALUE"""),0.0)</f>
        <v>0</v>
      </c>
      <c r="T341" s="320">
        <f>IFERROR(__xludf.DUMMYFUNCTION("""COMPUTED_VALUE"""),122.14)</f>
        <v>122.14</v>
      </c>
      <c r="U341" s="320">
        <f>IFERROR(__xludf.DUMMYFUNCTION("""COMPUTED_VALUE"""),155.56)</f>
        <v>155.56</v>
      </c>
      <c r="V341" s="320">
        <f>IFERROR(__xludf.DUMMYFUNCTION("""COMPUTED_VALUE"""),3.8066)</f>
        <v>3.8066</v>
      </c>
      <c r="W341" s="320">
        <f>IFERROR(__xludf.DUMMYFUNCTION("""COMPUTED_VALUE"""),0.0)</f>
        <v>0</v>
      </c>
      <c r="X341" s="320">
        <f>IFERROR(__xludf.DUMMYFUNCTION("""COMPUTED_VALUE"""),131.0)</f>
        <v>131</v>
      </c>
      <c r="Y341" s="320">
        <f>IFERROR(__xludf.DUMMYFUNCTION("""COMPUTED_VALUE"""),913.0)</f>
        <v>913</v>
      </c>
      <c r="Z341" s="320">
        <f>IFERROR(__xludf.DUMMYFUNCTION("""COMPUTED_VALUE"""),5939.0)</f>
        <v>5939</v>
      </c>
      <c r="AA341" s="320">
        <f>IFERROR(__xludf.DUMMYFUNCTION("""COMPUTED_VALUE"""),55.9153)</f>
        <v>55.9153</v>
      </c>
      <c r="AB341" s="320">
        <f>IFERROR(__xludf.DUMMYFUNCTION("""COMPUTED_VALUE"""),0.7412)</f>
        <v>0.7412</v>
      </c>
      <c r="AC341" s="320">
        <f>IFERROR(__xludf.DUMMYFUNCTION("""COMPUTED_VALUE"""),17.52)</f>
        <v>17.52</v>
      </c>
      <c r="AD341" s="320">
        <f>IFERROR(__xludf.DUMMYFUNCTION("""COMPUTED_VALUE"""),7.0)</f>
        <v>7</v>
      </c>
      <c r="AE341" s="320">
        <f>IFERROR(__xludf.DUMMYFUNCTION("""COMPUTED_VALUE"""),14.0)</f>
        <v>14</v>
      </c>
      <c r="AF341" s="320">
        <f>IFERROR(__xludf.DUMMYFUNCTION("""COMPUTED_VALUE"""),24.0)</f>
        <v>24</v>
      </c>
      <c r="AG341" s="320">
        <f>IFERROR(__xludf.DUMMYFUNCTION("""COMPUTED_VALUE"""),36.0)</f>
        <v>36</v>
      </c>
      <c r="AH341" s="320">
        <f>IFERROR(__xludf.DUMMYFUNCTION("""COMPUTED_VALUE"""),59.35)</f>
        <v>59.35</v>
      </c>
      <c r="AI341" s="320">
        <f>IFERROR(__xludf.DUMMYFUNCTION("""COMPUTED_VALUE"""),22.32)</f>
        <v>22.32</v>
      </c>
      <c r="AJ341" s="320">
        <f>IFERROR(__xludf.DUMMYFUNCTION("""COMPUTED_VALUE"""),6.54)</f>
        <v>6.54</v>
      </c>
      <c r="AK341" s="320">
        <f>IFERROR(__xludf.DUMMYFUNCTION("""COMPUTED_VALUE"""),0.1726)</f>
        <v>0.1726</v>
      </c>
      <c r="AL341" s="320">
        <f>IFERROR(__xludf.DUMMYFUNCTION("""COMPUTED_VALUE"""),19.15)</f>
        <v>19.15</v>
      </c>
      <c r="AM341" s="320">
        <f>IFERROR(__xludf.DUMMYFUNCTION("""COMPUTED_VALUE"""),47.05)</f>
        <v>47.05</v>
      </c>
      <c r="AN341" s="320">
        <f>IFERROR(__xludf.DUMMYFUNCTION("""COMPUTED_VALUE"""),77.48)</f>
        <v>77.48</v>
      </c>
      <c r="AO341" s="320">
        <f>IFERROR(__xludf.DUMMYFUNCTION("""COMPUTED_VALUE"""),14.84)</f>
        <v>14.84</v>
      </c>
    </row>
    <row r="342" ht="15.75" customHeight="1">
      <c r="A342" s="330">
        <f>IFERROR(__xludf.DUMMYFUNCTION("""COMPUTED_VALUE"""),46106.0)</f>
        <v>46106</v>
      </c>
      <c r="B342" s="319" t="str">
        <f>IFERROR(__xludf.DUMMYFUNCTION("""COMPUTED_VALUE"""),"E. 40-99")</f>
        <v>E. 40-99</v>
      </c>
      <c r="C342" s="320">
        <f>IFERROR(__xludf.DUMMYFUNCTION("""COMPUTED_VALUE"""),5558.0)</f>
        <v>5558</v>
      </c>
      <c r="D342" s="320">
        <f>IFERROR(__xludf.DUMMYFUNCTION("""COMPUTED_VALUE"""),5.24)</f>
        <v>5.24</v>
      </c>
      <c r="E342" s="320">
        <f>IFERROR(__xludf.DUMMYFUNCTION("""COMPUTED_VALUE"""),0.0)</f>
        <v>0</v>
      </c>
      <c r="F342" s="320">
        <f>IFERROR(__xludf.DUMMYFUNCTION("""COMPUTED_VALUE"""),0.0)</f>
        <v>0</v>
      </c>
      <c r="G342" s="320">
        <f>IFERROR(__xludf.DUMMYFUNCTION("""COMPUTED_VALUE"""),0.0)</f>
        <v>0</v>
      </c>
      <c r="H342" s="106"/>
      <c r="I342" s="320">
        <f>IFERROR(__xludf.DUMMYFUNCTION("""COMPUTED_VALUE"""),131.44)</f>
        <v>131.44</v>
      </c>
      <c r="J342" s="320">
        <f>IFERROR(__xludf.DUMMYFUNCTION("""COMPUTED_VALUE"""),71.47)</f>
        <v>71.47</v>
      </c>
      <c r="K342" s="320">
        <f>IFERROR(__xludf.DUMMYFUNCTION("""COMPUTED_VALUE"""),55.23)</f>
        <v>55.23</v>
      </c>
      <c r="L342" s="320">
        <f>IFERROR(__xludf.DUMMYFUNCTION("""COMPUTED_VALUE"""),0.7727)</f>
        <v>0.7727</v>
      </c>
      <c r="M342" s="320">
        <f>IFERROR(__xludf.DUMMYFUNCTION("""COMPUTED_VALUE"""),0.4056)</f>
        <v>0.4056</v>
      </c>
      <c r="N342" s="320">
        <f>IFERROR(__xludf.DUMMYFUNCTION("""COMPUTED_VALUE"""),0.2873)</f>
        <v>0.2873</v>
      </c>
      <c r="O342" s="320">
        <f>IFERROR(__xludf.DUMMYFUNCTION("""COMPUTED_VALUE"""),1.2941)</f>
        <v>1.2941</v>
      </c>
      <c r="P342" s="320">
        <f>IFERROR(__xludf.DUMMYFUNCTION("""COMPUTED_VALUE"""),213.25)</f>
        <v>213.25</v>
      </c>
      <c r="Q342" s="320">
        <f>IFERROR(__xludf.DUMMYFUNCTION("""COMPUTED_VALUE"""),96.66)</f>
        <v>96.66</v>
      </c>
      <c r="R342" s="320">
        <f>IFERROR(__xludf.DUMMYFUNCTION("""COMPUTED_VALUE"""),116.59)</f>
        <v>116.59</v>
      </c>
      <c r="S342" s="320">
        <f>IFERROR(__xludf.DUMMYFUNCTION("""COMPUTED_VALUE"""),0.0)</f>
        <v>0</v>
      </c>
      <c r="T342" s="320">
        <f>IFERROR(__xludf.DUMMYFUNCTION("""COMPUTED_VALUE"""),213.25)</f>
        <v>213.25</v>
      </c>
      <c r="U342" s="320">
        <f>IFERROR(__xludf.DUMMYFUNCTION("""COMPUTED_VALUE"""),299.17)</f>
        <v>299.17</v>
      </c>
      <c r="V342" s="320">
        <f>IFERROR(__xludf.DUMMYFUNCTION("""COMPUTED_VALUE"""),4.1858)</f>
        <v>4.1858</v>
      </c>
      <c r="W342" s="320">
        <f>IFERROR(__xludf.DUMMYFUNCTION("""COMPUTED_VALUE"""),0.0)</f>
        <v>0</v>
      </c>
      <c r="X342" s="320">
        <f>IFERROR(__xludf.DUMMYFUNCTION("""COMPUTED_VALUE"""),201.0)</f>
        <v>201</v>
      </c>
      <c r="Y342" s="320">
        <f>IFERROR(__xludf.DUMMYFUNCTION("""COMPUTED_VALUE"""),1859.0)</f>
        <v>1859</v>
      </c>
      <c r="Z342" s="320">
        <f>IFERROR(__xludf.DUMMYFUNCTION("""COMPUTED_VALUE"""),8562.0)</f>
        <v>8562</v>
      </c>
      <c r="AA342" s="320">
        <f>IFERROR(__xludf.DUMMYFUNCTION("""COMPUTED_VALUE"""),59.6968)</f>
        <v>59.6968</v>
      </c>
      <c r="AB342" s="320">
        <f>IFERROR(__xludf.DUMMYFUNCTION("""COMPUTED_VALUE"""),0.8365)</f>
        <v>0.8365</v>
      </c>
      <c r="AC342" s="320">
        <f>IFERROR(__xludf.DUMMYFUNCTION("""COMPUTED_VALUE"""),36.82)</f>
        <v>36.82</v>
      </c>
      <c r="AD342" s="320">
        <f>IFERROR(__xludf.DUMMYFUNCTION("""COMPUTED_VALUE"""),14.0)</f>
        <v>14</v>
      </c>
      <c r="AE342" s="320">
        <f>IFERROR(__xludf.DUMMYFUNCTION("""COMPUTED_VALUE"""),28.0)</f>
        <v>28</v>
      </c>
      <c r="AF342" s="320">
        <f>IFERROR(__xludf.DUMMYFUNCTION("""COMPUTED_VALUE"""),51.0)</f>
        <v>51</v>
      </c>
      <c r="AG342" s="320">
        <f>IFERROR(__xludf.DUMMYFUNCTION("""COMPUTED_VALUE"""),80.0)</f>
        <v>80</v>
      </c>
      <c r="AH342" s="320">
        <f>IFERROR(__xludf.DUMMYFUNCTION("""COMPUTED_VALUE"""),49.66)</f>
        <v>49.66</v>
      </c>
      <c r="AI342" s="320">
        <f>IFERROR(__xludf.DUMMYFUNCTION("""COMPUTED_VALUE"""),19.29)</f>
        <v>19.29</v>
      </c>
      <c r="AJ342" s="320">
        <f>IFERROR(__xludf.DUMMYFUNCTION("""COMPUTED_VALUE"""),4.66)</f>
        <v>4.66</v>
      </c>
      <c r="AK342" s="320">
        <f>IFERROR(__xludf.DUMMYFUNCTION("""COMPUTED_VALUE"""),0.1234)</f>
        <v>0.1234</v>
      </c>
      <c r="AL342" s="320">
        <f>IFERROR(__xludf.DUMMYFUNCTION("""COMPUTED_VALUE"""),20.56)</f>
        <v>20.56</v>
      </c>
      <c r="AM342" s="320">
        <f>IFERROR(__xludf.DUMMYFUNCTION("""COMPUTED_VALUE"""),76.1)</f>
        <v>76.1</v>
      </c>
      <c r="AN342" s="320">
        <f>IFERROR(__xludf.DUMMYFUNCTION("""COMPUTED_VALUE"""),82.9)</f>
        <v>82.9</v>
      </c>
      <c r="AO342" s="320">
        <f>IFERROR(__xludf.DUMMYFUNCTION("""COMPUTED_VALUE"""),17.04)</f>
        <v>17.04</v>
      </c>
    </row>
    <row r="343" ht="15.75" customHeight="1">
      <c r="A343" s="330">
        <f>IFERROR(__xludf.DUMMYFUNCTION("""COMPUTED_VALUE"""),46106.0)</f>
        <v>46106</v>
      </c>
      <c r="B343" s="319" t="str">
        <f>IFERROR(__xludf.DUMMYFUNCTION("""COMPUTED_VALUE"""),"F. 100+")</f>
        <v>F. 100+</v>
      </c>
      <c r="C343" s="320">
        <f>IFERROR(__xludf.DUMMYFUNCTION("""COMPUTED_VALUE"""),674.0)</f>
        <v>674</v>
      </c>
      <c r="D343" s="320">
        <f>IFERROR(__xludf.DUMMYFUNCTION("""COMPUTED_VALUE"""),0.63)</f>
        <v>0.63</v>
      </c>
      <c r="E343" s="320">
        <f>IFERROR(__xludf.DUMMYFUNCTION("""COMPUTED_VALUE"""),0.0)</f>
        <v>0</v>
      </c>
      <c r="F343" s="320">
        <f>IFERROR(__xludf.DUMMYFUNCTION("""COMPUTED_VALUE"""),0.0)</f>
        <v>0</v>
      </c>
      <c r="G343" s="320">
        <f>IFERROR(__xludf.DUMMYFUNCTION("""COMPUTED_VALUE"""),0.0)</f>
        <v>0</v>
      </c>
      <c r="H343" s="106"/>
      <c r="I343" s="320">
        <f>IFERROR(__xludf.DUMMYFUNCTION("""COMPUTED_VALUE"""),242.55)</f>
        <v>242.55</v>
      </c>
      <c r="J343" s="320">
        <f>IFERROR(__xludf.DUMMYFUNCTION("""COMPUTED_VALUE"""),141.53)</f>
        <v>141.53</v>
      </c>
      <c r="K343" s="320">
        <f>IFERROR(__xludf.DUMMYFUNCTION("""COMPUTED_VALUE"""),121.71)</f>
        <v>121.71</v>
      </c>
      <c r="L343" s="320">
        <f>IFERROR(__xludf.DUMMYFUNCTION("""COMPUTED_VALUE"""),0.8599)</f>
        <v>0.8599</v>
      </c>
      <c r="M343" s="320">
        <f>IFERROR(__xludf.DUMMYFUNCTION("""COMPUTED_VALUE"""),0.2898)</f>
        <v>0.2898</v>
      </c>
      <c r="N343" s="320">
        <f>IFERROR(__xludf.DUMMYFUNCTION("""COMPUTED_VALUE"""),0.2147)</f>
        <v>0.2147</v>
      </c>
      <c r="O343" s="320">
        <f>IFERROR(__xludf.DUMMYFUNCTION("""COMPUTED_VALUE"""),1.1629)</f>
        <v>1.1629</v>
      </c>
      <c r="P343" s="320">
        <f>IFERROR(__xludf.DUMMYFUNCTION("""COMPUTED_VALUE"""),425.62)</f>
        <v>425.62</v>
      </c>
      <c r="Q343" s="320">
        <f>IFERROR(__xludf.DUMMYFUNCTION("""COMPUTED_VALUE"""),167.2)</f>
        <v>167.2</v>
      </c>
      <c r="R343" s="320">
        <f>IFERROR(__xludf.DUMMYFUNCTION("""COMPUTED_VALUE"""),258.42)</f>
        <v>258.42</v>
      </c>
      <c r="S343" s="320">
        <f>IFERROR(__xludf.DUMMYFUNCTION("""COMPUTED_VALUE"""),0.0)</f>
        <v>0</v>
      </c>
      <c r="T343" s="320">
        <f>IFERROR(__xludf.DUMMYFUNCTION("""COMPUTED_VALUE"""),425.62)</f>
        <v>425.62</v>
      </c>
      <c r="U343" s="320">
        <f>IFERROR(__xludf.DUMMYFUNCTION("""COMPUTED_VALUE"""),539.61)</f>
        <v>539.61</v>
      </c>
      <c r="V343" s="320">
        <f>IFERROR(__xludf.DUMMYFUNCTION("""COMPUTED_VALUE"""),3.8126)</f>
        <v>3.8126</v>
      </c>
      <c r="W343" s="320">
        <f>IFERROR(__xludf.DUMMYFUNCTION("""COMPUTED_VALUE"""),0.0)</f>
        <v>0</v>
      </c>
      <c r="X343" s="320">
        <f>IFERROR(__xludf.DUMMYFUNCTION("""COMPUTED_VALUE"""),651.0)</f>
        <v>651</v>
      </c>
      <c r="Y343" s="320">
        <f>IFERROR(__xludf.DUMMYFUNCTION("""COMPUTED_VALUE"""),3814.0)</f>
        <v>3814</v>
      </c>
      <c r="Z343" s="320">
        <f>IFERROR(__xludf.DUMMYFUNCTION("""COMPUTED_VALUE"""),10884.0)</f>
        <v>10884</v>
      </c>
      <c r="AA343" s="320">
        <f>IFERROR(__xludf.DUMMYFUNCTION("""COMPUTED_VALUE"""),62.5598)</f>
        <v>62.5598</v>
      </c>
      <c r="AB343" s="320">
        <f>IFERROR(__xludf.DUMMYFUNCTION("""COMPUTED_VALUE"""),0.8983)</f>
        <v>0.8983</v>
      </c>
      <c r="AC343" s="320">
        <f>IFERROR(__xludf.DUMMYFUNCTION("""COMPUTED_VALUE"""),81.92)</f>
        <v>81.92</v>
      </c>
      <c r="AD343" s="320">
        <f>IFERROR(__xludf.DUMMYFUNCTION("""COMPUTED_VALUE"""),32.0)</f>
        <v>32</v>
      </c>
      <c r="AE343" s="320">
        <f>IFERROR(__xludf.DUMMYFUNCTION("""COMPUTED_VALUE"""),69.0)</f>
        <v>69</v>
      </c>
      <c r="AF343" s="320">
        <f>IFERROR(__xludf.DUMMYFUNCTION("""COMPUTED_VALUE"""),116.0)</f>
        <v>116</v>
      </c>
      <c r="AG343" s="320">
        <f>IFERROR(__xludf.DUMMYFUNCTION("""COMPUTED_VALUE"""),166.0)</f>
        <v>166</v>
      </c>
      <c r="AH343" s="320">
        <f>IFERROR(__xludf.DUMMYFUNCTION("""COMPUTED_VALUE"""),44.66)</f>
        <v>44.66</v>
      </c>
      <c r="AI343" s="320">
        <f>IFERROR(__xludf.DUMMYFUNCTION("""COMPUTED_VALUE"""),8.46)</f>
        <v>8.46</v>
      </c>
      <c r="AJ343" s="320">
        <f>IFERROR(__xludf.DUMMYFUNCTION("""COMPUTED_VALUE"""),1.34)</f>
        <v>1.34</v>
      </c>
      <c r="AK343" s="320">
        <f>IFERROR(__xludf.DUMMYFUNCTION("""COMPUTED_VALUE"""),0.0831)</f>
        <v>0.0831</v>
      </c>
      <c r="AL343" s="320">
        <f>IFERROR(__xludf.DUMMYFUNCTION("""COMPUTED_VALUE"""),21.85)</f>
        <v>21.85</v>
      </c>
      <c r="AM343" s="320">
        <f>IFERROR(__xludf.DUMMYFUNCTION("""COMPUTED_VALUE"""),145.35)</f>
        <v>145.35</v>
      </c>
      <c r="AN343" s="320">
        <f>IFERROR(__xludf.DUMMYFUNCTION("""COMPUTED_VALUE"""),84.36)</f>
        <v>84.36</v>
      </c>
      <c r="AO343" s="320">
        <f>IFERROR(__xludf.DUMMYFUNCTION("""COMPUTED_VALUE"""),18.43)</f>
        <v>18.43</v>
      </c>
    </row>
    <row r="344" ht="15.75" customHeight="1">
      <c r="A344" s="330">
        <f>IFERROR(__xludf.DUMMYFUNCTION("""COMPUTED_VALUE"""),46107.0)</f>
        <v>46107</v>
      </c>
      <c r="B344" s="319" t="str">
        <f>IFERROR(__xludf.DUMMYFUNCTION("""COMPUTED_VALUE"""),"A. 0")</f>
        <v>A. 0</v>
      </c>
      <c r="C344" s="320">
        <f>IFERROR(__xludf.DUMMYFUNCTION("""COMPUTED_VALUE"""),20812.0)</f>
        <v>20812</v>
      </c>
      <c r="D344" s="320">
        <f>IFERROR(__xludf.DUMMYFUNCTION("""COMPUTED_VALUE"""),19.89)</f>
        <v>19.89</v>
      </c>
      <c r="E344" s="320">
        <f>IFERROR(__xludf.DUMMYFUNCTION("""COMPUTED_VALUE"""),0.0)</f>
        <v>0</v>
      </c>
      <c r="F344" s="320">
        <f>IFERROR(__xludf.DUMMYFUNCTION("""COMPUTED_VALUE"""),0.0)</f>
        <v>0</v>
      </c>
      <c r="G344" s="320">
        <f>IFERROR(__xludf.DUMMYFUNCTION("""COMPUTED_VALUE"""),0.0)</f>
        <v>0</v>
      </c>
      <c r="H344" s="106"/>
      <c r="I344" s="320">
        <f>IFERROR(__xludf.DUMMYFUNCTION("""COMPUTED_VALUE"""),6.07)</f>
        <v>6.07</v>
      </c>
      <c r="J344" s="320">
        <f>IFERROR(__xludf.DUMMYFUNCTION("""COMPUTED_VALUE"""),2.52)</f>
        <v>2.52</v>
      </c>
      <c r="K344" s="320">
        <f>IFERROR(__xludf.DUMMYFUNCTION("""COMPUTED_VALUE"""),0.03)</f>
        <v>0.03</v>
      </c>
      <c r="L344" s="320">
        <f>IFERROR(__xludf.DUMMYFUNCTION("""COMPUTED_VALUE"""),0.0133)</f>
        <v>0.0133</v>
      </c>
      <c r="M344" s="320">
        <f>IFERROR(__xludf.DUMMYFUNCTION("""COMPUTED_VALUE"""),0.9901)</f>
        <v>0.9901</v>
      </c>
      <c r="N344" s="320">
        <f>IFERROR(__xludf.DUMMYFUNCTION("""COMPUTED_VALUE"""),0.8686)</f>
        <v>0.8686</v>
      </c>
      <c r="O344" s="320">
        <f>IFERROR(__xludf.DUMMYFUNCTION("""COMPUTED_VALUE"""),75.4555)</f>
        <v>75.4555</v>
      </c>
      <c r="P344" s="320">
        <f>IFERROR(__xludf.DUMMYFUNCTION("""COMPUTED_VALUE"""),22.49)</f>
        <v>22.49</v>
      </c>
      <c r="Q344" s="320">
        <f>IFERROR(__xludf.DUMMYFUNCTION("""COMPUTED_VALUE"""),22.38)</f>
        <v>22.38</v>
      </c>
      <c r="R344" s="320">
        <f>IFERROR(__xludf.DUMMYFUNCTION("""COMPUTED_VALUE"""),0.11)</f>
        <v>0.11</v>
      </c>
      <c r="S344" s="320">
        <f>IFERROR(__xludf.DUMMYFUNCTION("""COMPUTED_VALUE"""),0.0)</f>
        <v>0</v>
      </c>
      <c r="T344" s="320">
        <f>IFERROR(__xludf.DUMMYFUNCTION("""COMPUTED_VALUE"""),22.49)</f>
        <v>22.49</v>
      </c>
      <c r="U344" s="320">
        <f>IFERROR(__xludf.DUMMYFUNCTION("""COMPUTED_VALUE"""),2.26)</f>
        <v>2.26</v>
      </c>
      <c r="V344" s="320">
        <f>IFERROR(__xludf.DUMMYFUNCTION("""COMPUTED_VALUE"""),0.8969)</f>
        <v>0.8969</v>
      </c>
      <c r="W344" s="320">
        <f>IFERROR(__xludf.DUMMYFUNCTION("""COMPUTED_VALUE"""),0.0)</f>
        <v>0</v>
      </c>
      <c r="X344" s="320">
        <f>IFERROR(__xludf.DUMMYFUNCTION("""COMPUTED_VALUE"""),308.0)</f>
        <v>308</v>
      </c>
      <c r="Y344" s="320">
        <f>IFERROR(__xludf.DUMMYFUNCTION("""COMPUTED_VALUE"""),3643.0)</f>
        <v>3643</v>
      </c>
      <c r="Z344" s="320">
        <f>IFERROR(__xludf.DUMMYFUNCTION("""COMPUTED_VALUE"""),14717.0)</f>
        <v>14717</v>
      </c>
      <c r="AA344" s="320">
        <f>IFERROR(__xludf.DUMMYFUNCTION("""COMPUTED_VALUE"""),49.0484)</f>
        <v>49.0484</v>
      </c>
      <c r="AB344" s="320">
        <f>IFERROR(__xludf.DUMMYFUNCTION("""COMPUTED_VALUE"""),0.5464)</f>
        <v>0.5464</v>
      </c>
      <c r="AC344" s="106"/>
      <c r="AD344" s="106"/>
      <c r="AE344" s="106"/>
      <c r="AF344" s="106"/>
      <c r="AG344" s="106"/>
      <c r="AH344" s="320">
        <f>IFERROR(__xludf.DUMMYFUNCTION("""COMPUTED_VALUE"""),0.0)</f>
        <v>0</v>
      </c>
      <c r="AI344" s="320">
        <f>IFERROR(__xludf.DUMMYFUNCTION("""COMPUTED_VALUE"""),0.0)</f>
        <v>0</v>
      </c>
      <c r="AJ344" s="320">
        <f>IFERROR(__xludf.DUMMYFUNCTION("""COMPUTED_VALUE"""),0.0)</f>
        <v>0</v>
      </c>
      <c r="AK344" s="320">
        <f>IFERROR(__xludf.DUMMYFUNCTION("""COMPUTED_VALUE"""),0.2847)</f>
        <v>0.2847</v>
      </c>
      <c r="AL344" s="320">
        <f>IFERROR(__xludf.DUMMYFUNCTION("""COMPUTED_VALUE"""),16.29)</f>
        <v>16.29</v>
      </c>
      <c r="AM344" s="320">
        <f>IFERROR(__xludf.DUMMYFUNCTION("""COMPUTED_VALUE"""),6.09)</f>
        <v>6.09</v>
      </c>
      <c r="AN344" s="331"/>
      <c r="AO344" s="331"/>
    </row>
    <row r="345" ht="15.75" customHeight="1">
      <c r="A345" s="330">
        <f>IFERROR(__xludf.DUMMYFUNCTION("""COMPUTED_VALUE"""),46107.0)</f>
        <v>46107</v>
      </c>
      <c r="B345" s="319" t="str">
        <f>IFERROR(__xludf.DUMMYFUNCTION("""COMPUTED_VALUE"""),"B. 1-9")</f>
        <v>B. 1-9</v>
      </c>
      <c r="C345" s="320">
        <f>IFERROR(__xludf.DUMMYFUNCTION("""COMPUTED_VALUE"""),37157.0)</f>
        <v>37157</v>
      </c>
      <c r="D345" s="320">
        <f>IFERROR(__xludf.DUMMYFUNCTION("""COMPUTED_VALUE"""),35.51)</f>
        <v>35.51</v>
      </c>
      <c r="E345" s="320">
        <f>IFERROR(__xludf.DUMMYFUNCTION("""COMPUTED_VALUE"""),0.0)</f>
        <v>0</v>
      </c>
      <c r="F345" s="320">
        <f>IFERROR(__xludf.DUMMYFUNCTION("""COMPUTED_VALUE"""),0.0)</f>
        <v>0</v>
      </c>
      <c r="G345" s="320">
        <f>IFERROR(__xludf.DUMMYFUNCTION("""COMPUTED_VALUE"""),0.0)</f>
        <v>0</v>
      </c>
      <c r="H345" s="106"/>
      <c r="I345" s="320">
        <f>IFERROR(__xludf.DUMMYFUNCTION("""COMPUTED_VALUE"""),27.77)</f>
        <v>27.77</v>
      </c>
      <c r="J345" s="320">
        <f>IFERROR(__xludf.DUMMYFUNCTION("""COMPUTED_VALUE"""),12.74)</f>
        <v>12.74</v>
      </c>
      <c r="K345" s="320">
        <f>IFERROR(__xludf.DUMMYFUNCTION("""COMPUTED_VALUE"""),5.49)</f>
        <v>5.49</v>
      </c>
      <c r="L345" s="320">
        <f>IFERROR(__xludf.DUMMYFUNCTION("""COMPUTED_VALUE"""),0.4311)</f>
        <v>0.4311</v>
      </c>
      <c r="M345" s="320">
        <f>IFERROR(__xludf.DUMMYFUNCTION("""COMPUTED_VALUE"""),0.746)</f>
        <v>0.746</v>
      </c>
      <c r="N345" s="320">
        <f>IFERROR(__xludf.DUMMYFUNCTION("""COMPUTED_VALUE"""),0.5555)</f>
        <v>0.5555</v>
      </c>
      <c r="O345" s="320">
        <f>IFERROR(__xludf.DUMMYFUNCTION("""COMPUTED_VALUE"""),2.3199)</f>
        <v>2.3199</v>
      </c>
      <c r="P345" s="320">
        <f>IFERROR(__xludf.DUMMYFUNCTION("""COMPUTED_VALUE"""),46.72)</f>
        <v>46.72</v>
      </c>
      <c r="Q345" s="320">
        <f>IFERROR(__xludf.DUMMYFUNCTION("""COMPUTED_VALUE"""),35.18)</f>
        <v>35.18</v>
      </c>
      <c r="R345" s="320">
        <f>IFERROR(__xludf.DUMMYFUNCTION("""COMPUTED_VALUE"""),11.53)</f>
        <v>11.53</v>
      </c>
      <c r="S345" s="320">
        <f>IFERROR(__xludf.DUMMYFUNCTION("""COMPUTED_VALUE"""),0.0)</f>
        <v>0</v>
      </c>
      <c r="T345" s="320">
        <f>IFERROR(__xludf.DUMMYFUNCTION("""COMPUTED_VALUE"""),46.71)</f>
        <v>46.71</v>
      </c>
      <c r="U345" s="320">
        <f>IFERROR(__xludf.DUMMYFUNCTION("""COMPUTED_VALUE"""),48.6)</f>
        <v>48.6</v>
      </c>
      <c r="V345" s="320">
        <f>IFERROR(__xludf.DUMMYFUNCTION("""COMPUTED_VALUE"""),3.8159)</f>
        <v>3.8159</v>
      </c>
      <c r="W345" s="320">
        <f>IFERROR(__xludf.DUMMYFUNCTION("""COMPUTED_VALUE"""),0.01)</f>
        <v>0.01</v>
      </c>
      <c r="X345" s="320">
        <f>IFERROR(__xludf.DUMMYFUNCTION("""COMPUTED_VALUE"""),139.0)</f>
        <v>139</v>
      </c>
      <c r="Y345" s="320">
        <f>IFERROR(__xludf.DUMMYFUNCTION("""COMPUTED_VALUE"""),875.0)</f>
        <v>875</v>
      </c>
      <c r="Z345" s="320">
        <f>IFERROR(__xludf.DUMMYFUNCTION("""COMPUTED_VALUE"""),5830.0)</f>
        <v>5830</v>
      </c>
      <c r="AA345" s="320">
        <f>IFERROR(__xludf.DUMMYFUNCTION("""COMPUTED_VALUE"""),48.8632)</f>
        <v>48.8632</v>
      </c>
      <c r="AB345" s="320">
        <f>IFERROR(__xludf.DUMMYFUNCTION("""COMPUTED_VALUE"""),0.5335)</f>
        <v>0.5335</v>
      </c>
      <c r="AC345" s="320">
        <f>IFERROR(__xludf.DUMMYFUNCTION("""COMPUTED_VALUE"""),3.95)</f>
        <v>3.95</v>
      </c>
      <c r="AD345" s="320">
        <f>IFERROR(__xludf.DUMMYFUNCTION("""COMPUTED_VALUE"""),1.0)</f>
        <v>1</v>
      </c>
      <c r="AE345" s="320">
        <f>IFERROR(__xludf.DUMMYFUNCTION("""COMPUTED_VALUE"""),3.0)</f>
        <v>3</v>
      </c>
      <c r="AF345" s="320">
        <f>IFERROR(__xludf.DUMMYFUNCTION("""COMPUTED_VALUE"""),5.0)</f>
        <v>5</v>
      </c>
      <c r="AG345" s="320">
        <f>IFERROR(__xludf.DUMMYFUNCTION("""COMPUTED_VALUE"""),9.0)</f>
        <v>9</v>
      </c>
      <c r="AH345" s="320">
        <f>IFERROR(__xludf.DUMMYFUNCTION("""COMPUTED_VALUE"""),72.35)</f>
        <v>72.35</v>
      </c>
      <c r="AI345" s="320">
        <f>IFERROR(__xludf.DUMMYFUNCTION("""COMPUTED_VALUE"""),29.91)</f>
        <v>29.91</v>
      </c>
      <c r="AJ345" s="320">
        <f>IFERROR(__xludf.DUMMYFUNCTION("""COMPUTED_VALUE"""),8.78)</f>
        <v>8.78</v>
      </c>
      <c r="AK345" s="320">
        <f>IFERROR(__xludf.DUMMYFUNCTION("""COMPUTED_VALUE"""),0.2514)</f>
        <v>0.2514</v>
      </c>
      <c r="AL345" s="320">
        <f>IFERROR(__xludf.DUMMYFUNCTION("""COMPUTED_VALUE"""),19.3)</f>
        <v>19.3</v>
      </c>
      <c r="AM345" s="320">
        <f>IFERROR(__xludf.DUMMYFUNCTION("""COMPUTED_VALUE"""),15.88)</f>
        <v>15.88</v>
      </c>
      <c r="AN345" s="320">
        <f>IFERROR(__xludf.DUMMYFUNCTION("""COMPUTED_VALUE"""),66.22)</f>
        <v>66.22</v>
      </c>
      <c r="AO345" s="320">
        <f>IFERROR(__xludf.DUMMYFUNCTION("""COMPUTED_VALUE"""),12.78)</f>
        <v>12.78</v>
      </c>
    </row>
    <row r="346" ht="15.75" customHeight="1">
      <c r="A346" s="330">
        <f>IFERROR(__xludf.DUMMYFUNCTION("""COMPUTED_VALUE"""),46107.0)</f>
        <v>46107</v>
      </c>
      <c r="B346" s="319" t="str">
        <f>IFERROR(__xludf.DUMMYFUNCTION("""COMPUTED_VALUE"""),"C. 10-19")</f>
        <v>C. 10-19</v>
      </c>
      <c r="C346" s="320">
        <f>IFERROR(__xludf.DUMMYFUNCTION("""COMPUTED_VALUE"""),26140.0)</f>
        <v>26140</v>
      </c>
      <c r="D346" s="320">
        <f>IFERROR(__xludf.DUMMYFUNCTION("""COMPUTED_VALUE"""),24.98)</f>
        <v>24.98</v>
      </c>
      <c r="E346" s="320">
        <f>IFERROR(__xludf.DUMMYFUNCTION("""COMPUTED_VALUE"""),0.0)</f>
        <v>0</v>
      </c>
      <c r="F346" s="320">
        <f>IFERROR(__xludf.DUMMYFUNCTION("""COMPUTED_VALUE"""),0.0)</f>
        <v>0</v>
      </c>
      <c r="G346" s="320">
        <f>IFERROR(__xludf.DUMMYFUNCTION("""COMPUTED_VALUE"""),0.0)</f>
        <v>0</v>
      </c>
      <c r="H346" s="106"/>
      <c r="I346" s="320">
        <f>IFERROR(__xludf.DUMMYFUNCTION("""COMPUTED_VALUE"""),50.97)</f>
        <v>50.97</v>
      </c>
      <c r="J346" s="320">
        <f>IFERROR(__xludf.DUMMYFUNCTION("""COMPUTED_VALUE"""),24.26)</f>
        <v>24.26</v>
      </c>
      <c r="K346" s="320">
        <f>IFERROR(__xludf.DUMMYFUNCTION("""COMPUTED_VALUE"""),13.76)</f>
        <v>13.76</v>
      </c>
      <c r="L346" s="320">
        <f>IFERROR(__xludf.DUMMYFUNCTION("""COMPUTED_VALUE"""),0.5673)</f>
        <v>0.5673</v>
      </c>
      <c r="M346" s="320">
        <f>IFERROR(__xludf.DUMMYFUNCTION("""COMPUTED_VALUE"""),0.6297)</f>
        <v>0.6297</v>
      </c>
      <c r="N346" s="320">
        <f>IFERROR(__xludf.DUMMYFUNCTION("""COMPUTED_VALUE"""),0.4402)</f>
        <v>0.4402</v>
      </c>
      <c r="O346" s="320">
        <f>IFERROR(__xludf.DUMMYFUNCTION("""COMPUTED_VALUE"""),1.7628)</f>
        <v>1.7628</v>
      </c>
      <c r="P346" s="320">
        <f>IFERROR(__xludf.DUMMYFUNCTION("""COMPUTED_VALUE"""),91.85)</f>
        <v>91.85</v>
      </c>
      <c r="Q346" s="320">
        <f>IFERROR(__xludf.DUMMYFUNCTION("""COMPUTED_VALUE"""),63.96)</f>
        <v>63.96</v>
      </c>
      <c r="R346" s="320">
        <f>IFERROR(__xludf.DUMMYFUNCTION("""COMPUTED_VALUE"""),27.89)</f>
        <v>27.89</v>
      </c>
      <c r="S346" s="320">
        <f>IFERROR(__xludf.DUMMYFUNCTION("""COMPUTED_VALUE"""),0.0)</f>
        <v>0</v>
      </c>
      <c r="T346" s="320">
        <f>IFERROR(__xludf.DUMMYFUNCTION("""COMPUTED_VALUE"""),91.85)</f>
        <v>91.85</v>
      </c>
      <c r="U346" s="320">
        <f>IFERROR(__xludf.DUMMYFUNCTION("""COMPUTED_VALUE"""),91.58)</f>
        <v>91.58</v>
      </c>
      <c r="V346" s="320">
        <f>IFERROR(__xludf.DUMMYFUNCTION("""COMPUTED_VALUE"""),3.7743)</f>
        <v>3.7743</v>
      </c>
      <c r="W346" s="320">
        <f>IFERROR(__xludf.DUMMYFUNCTION("""COMPUTED_VALUE"""),0.0)</f>
        <v>0</v>
      </c>
      <c r="X346" s="320">
        <f>IFERROR(__xludf.DUMMYFUNCTION("""COMPUTED_VALUE"""),126.0)</f>
        <v>126</v>
      </c>
      <c r="Y346" s="320">
        <f>IFERROR(__xludf.DUMMYFUNCTION("""COMPUTED_VALUE"""),714.0)</f>
        <v>714</v>
      </c>
      <c r="Z346" s="320">
        <f>IFERROR(__xludf.DUMMYFUNCTION("""COMPUTED_VALUE"""),5560.0)</f>
        <v>5560</v>
      </c>
      <c r="AA346" s="320">
        <f>IFERROR(__xludf.DUMMYFUNCTION("""COMPUTED_VALUE"""),52.3905)</f>
        <v>52.3905</v>
      </c>
      <c r="AB346" s="320">
        <f>IFERROR(__xludf.DUMMYFUNCTION("""COMPUTED_VALUE"""),0.6277)</f>
        <v>0.6277</v>
      </c>
      <c r="AC346" s="320">
        <f>IFERROR(__xludf.DUMMYFUNCTION("""COMPUTED_VALUE"""),9.16)</f>
        <v>9.16</v>
      </c>
      <c r="AD346" s="320">
        <f>IFERROR(__xludf.DUMMYFUNCTION("""COMPUTED_VALUE"""),3.0)</f>
        <v>3</v>
      </c>
      <c r="AE346" s="320">
        <f>IFERROR(__xludf.DUMMYFUNCTION("""COMPUTED_VALUE"""),7.0)</f>
        <v>7</v>
      </c>
      <c r="AF346" s="320">
        <f>IFERROR(__xludf.DUMMYFUNCTION("""COMPUTED_VALUE"""),12.0)</f>
        <v>12</v>
      </c>
      <c r="AG346" s="320">
        <f>IFERROR(__xludf.DUMMYFUNCTION("""COMPUTED_VALUE"""),19.0)</f>
        <v>19</v>
      </c>
      <c r="AH346" s="320">
        <f>IFERROR(__xludf.DUMMYFUNCTION("""COMPUTED_VALUE"""),58.19)</f>
        <v>58.19</v>
      </c>
      <c r="AI346" s="320">
        <f>IFERROR(__xludf.DUMMYFUNCTION("""COMPUTED_VALUE"""),24.76)</f>
        <v>24.76</v>
      </c>
      <c r="AJ346" s="320">
        <f>IFERROR(__xludf.DUMMYFUNCTION("""COMPUTED_VALUE"""),4.68)</f>
        <v>4.68</v>
      </c>
      <c r="AK346" s="320">
        <f>IFERROR(__xludf.DUMMYFUNCTION("""COMPUTED_VALUE"""),0.1997)</f>
        <v>0.1997</v>
      </c>
      <c r="AL346" s="320">
        <f>IFERROR(__xludf.DUMMYFUNCTION("""COMPUTED_VALUE"""),19.93)</f>
        <v>19.93</v>
      </c>
      <c r="AM346" s="320">
        <f>IFERROR(__xludf.DUMMYFUNCTION("""COMPUTED_VALUE"""),44.03)</f>
        <v>44.03</v>
      </c>
      <c r="AN346" s="320">
        <f>IFERROR(__xludf.DUMMYFUNCTION("""COMPUTED_VALUE"""),74.74)</f>
        <v>74.74</v>
      </c>
      <c r="AO346" s="320">
        <f>IFERROR(__xludf.DUMMYFUNCTION("""COMPUTED_VALUE"""),14.9)</f>
        <v>14.9</v>
      </c>
    </row>
    <row r="347" ht="15.75" customHeight="1">
      <c r="A347" s="330">
        <f>IFERROR(__xludf.DUMMYFUNCTION("""COMPUTED_VALUE"""),46107.0)</f>
        <v>46107</v>
      </c>
      <c r="B347" s="319" t="str">
        <f>IFERROR(__xludf.DUMMYFUNCTION("""COMPUTED_VALUE"""),"D. 20-39")</f>
        <v>D. 20-39</v>
      </c>
      <c r="C347" s="320">
        <f>IFERROR(__xludf.DUMMYFUNCTION("""COMPUTED_VALUE"""),14114.0)</f>
        <v>14114</v>
      </c>
      <c r="D347" s="320">
        <f>IFERROR(__xludf.DUMMYFUNCTION("""COMPUTED_VALUE"""),13.49)</f>
        <v>13.49</v>
      </c>
      <c r="E347" s="320">
        <f>IFERROR(__xludf.DUMMYFUNCTION("""COMPUTED_VALUE"""),0.0)</f>
        <v>0</v>
      </c>
      <c r="F347" s="320">
        <f>IFERROR(__xludf.DUMMYFUNCTION("""COMPUTED_VALUE"""),0.0)</f>
        <v>0</v>
      </c>
      <c r="G347" s="320">
        <f>IFERROR(__xludf.DUMMYFUNCTION("""COMPUTED_VALUE"""),0.0)</f>
        <v>0</v>
      </c>
      <c r="H347" s="106"/>
      <c r="I347" s="320">
        <f>IFERROR(__xludf.DUMMYFUNCTION("""COMPUTED_VALUE"""),74.34)</f>
        <v>74.34</v>
      </c>
      <c r="J347" s="320">
        <f>IFERROR(__xludf.DUMMYFUNCTION("""COMPUTED_VALUE"""),37.89)</f>
        <v>37.89</v>
      </c>
      <c r="K347" s="320">
        <f>IFERROR(__xludf.DUMMYFUNCTION("""COMPUTED_VALUE"""),26.08)</f>
        <v>26.08</v>
      </c>
      <c r="L347" s="320">
        <f>IFERROR(__xludf.DUMMYFUNCTION("""COMPUTED_VALUE"""),0.6882)</f>
        <v>0.6882</v>
      </c>
      <c r="M347" s="320">
        <f>IFERROR(__xludf.DUMMYFUNCTION("""COMPUTED_VALUE"""),0.5063)</f>
        <v>0.5063</v>
      </c>
      <c r="N347" s="320">
        <f>IFERROR(__xludf.DUMMYFUNCTION("""COMPUTED_VALUE"""),0.3544)</f>
        <v>0.3544</v>
      </c>
      <c r="O347" s="320">
        <f>IFERROR(__xludf.DUMMYFUNCTION("""COMPUTED_VALUE"""),1.4531)</f>
        <v>1.4531</v>
      </c>
      <c r="P347" s="320">
        <f>IFERROR(__xludf.DUMMYFUNCTION("""COMPUTED_VALUE"""),172.07)</f>
        <v>172.07</v>
      </c>
      <c r="Q347" s="320">
        <f>IFERROR(__xludf.DUMMYFUNCTION("""COMPUTED_VALUE"""),116.58)</f>
        <v>116.58</v>
      </c>
      <c r="R347" s="320">
        <f>IFERROR(__xludf.DUMMYFUNCTION("""COMPUTED_VALUE"""),55.48)</f>
        <v>55.48</v>
      </c>
      <c r="S347" s="320">
        <f>IFERROR(__xludf.DUMMYFUNCTION("""COMPUTED_VALUE"""),0.0)</f>
        <v>0</v>
      </c>
      <c r="T347" s="320">
        <f>IFERROR(__xludf.DUMMYFUNCTION("""COMPUTED_VALUE"""),172.07)</f>
        <v>172.07</v>
      </c>
      <c r="U347" s="320">
        <f>IFERROR(__xludf.DUMMYFUNCTION("""COMPUTED_VALUE"""),158.02)</f>
        <v>158.02</v>
      </c>
      <c r="V347" s="320">
        <f>IFERROR(__xludf.DUMMYFUNCTION("""COMPUTED_VALUE"""),4.1701)</f>
        <v>4.1701</v>
      </c>
      <c r="W347" s="320">
        <f>IFERROR(__xludf.DUMMYFUNCTION("""COMPUTED_VALUE"""),0.0)</f>
        <v>0</v>
      </c>
      <c r="X347" s="320">
        <f>IFERROR(__xludf.DUMMYFUNCTION("""COMPUTED_VALUE"""),154.0)</f>
        <v>154</v>
      </c>
      <c r="Y347" s="320">
        <f>IFERROR(__xludf.DUMMYFUNCTION("""COMPUTED_VALUE"""),957.0)</f>
        <v>957</v>
      </c>
      <c r="Z347" s="320">
        <f>IFERROR(__xludf.DUMMYFUNCTION("""COMPUTED_VALUE"""),6228.0)</f>
        <v>6228</v>
      </c>
      <c r="AA347" s="320">
        <f>IFERROR(__xludf.DUMMYFUNCTION("""COMPUTED_VALUE"""),55.9108)</f>
        <v>55.9108</v>
      </c>
      <c r="AB347" s="320">
        <f>IFERROR(__xludf.DUMMYFUNCTION("""COMPUTED_VALUE"""),0.7416)</f>
        <v>0.7416</v>
      </c>
      <c r="AC347" s="320">
        <f>IFERROR(__xludf.DUMMYFUNCTION("""COMPUTED_VALUE"""),17.89)</f>
        <v>17.89</v>
      </c>
      <c r="AD347" s="320">
        <f>IFERROR(__xludf.DUMMYFUNCTION("""COMPUTED_VALUE"""),7.0)</f>
        <v>7</v>
      </c>
      <c r="AE347" s="320">
        <f>IFERROR(__xludf.DUMMYFUNCTION("""COMPUTED_VALUE"""),14.0)</f>
        <v>14</v>
      </c>
      <c r="AF347" s="320">
        <f>IFERROR(__xludf.DUMMYFUNCTION("""COMPUTED_VALUE"""),24.0)</f>
        <v>24</v>
      </c>
      <c r="AG347" s="320">
        <f>IFERROR(__xludf.DUMMYFUNCTION("""COMPUTED_VALUE"""),37.0)</f>
        <v>37</v>
      </c>
      <c r="AH347" s="320">
        <f>IFERROR(__xludf.DUMMYFUNCTION("""COMPUTED_VALUE"""),59.86)</f>
        <v>59.86</v>
      </c>
      <c r="AI347" s="320">
        <f>IFERROR(__xludf.DUMMYFUNCTION("""COMPUTED_VALUE"""),23.55)</f>
        <v>23.55</v>
      </c>
      <c r="AJ347" s="320">
        <f>IFERROR(__xludf.DUMMYFUNCTION("""COMPUTED_VALUE"""),7.41)</f>
        <v>7.41</v>
      </c>
      <c r="AK347" s="320">
        <f>IFERROR(__xludf.DUMMYFUNCTION("""COMPUTED_VALUE"""),0.1888)</f>
        <v>0.1888</v>
      </c>
      <c r="AL347" s="320">
        <f>IFERROR(__xludf.DUMMYFUNCTION("""COMPUTED_VALUE"""),19.83)</f>
        <v>19.83</v>
      </c>
      <c r="AM347" s="320">
        <f>IFERROR(__xludf.DUMMYFUNCTION("""COMPUTED_VALUE"""),96.75)</f>
        <v>96.75</v>
      </c>
      <c r="AN347" s="320">
        <f>IFERROR(__xludf.DUMMYFUNCTION("""COMPUTED_VALUE"""),77.8)</f>
        <v>77.8</v>
      </c>
      <c r="AO347" s="320">
        <f>IFERROR(__xludf.DUMMYFUNCTION("""COMPUTED_VALUE"""),15.43)</f>
        <v>15.43</v>
      </c>
    </row>
    <row r="348" ht="15.75" customHeight="1">
      <c r="A348" s="330">
        <f>IFERROR(__xludf.DUMMYFUNCTION("""COMPUTED_VALUE"""),46107.0)</f>
        <v>46107</v>
      </c>
      <c r="B348" s="319" t="str">
        <f>IFERROR(__xludf.DUMMYFUNCTION("""COMPUTED_VALUE"""),"E. 40-99")</f>
        <v>E. 40-99</v>
      </c>
      <c r="C348" s="320">
        <f>IFERROR(__xludf.DUMMYFUNCTION("""COMPUTED_VALUE"""),5778.0)</f>
        <v>5778</v>
      </c>
      <c r="D348" s="320">
        <f>IFERROR(__xludf.DUMMYFUNCTION("""COMPUTED_VALUE"""),5.52)</f>
        <v>5.52</v>
      </c>
      <c r="E348" s="320">
        <f>IFERROR(__xludf.DUMMYFUNCTION("""COMPUTED_VALUE"""),0.0)</f>
        <v>0</v>
      </c>
      <c r="F348" s="320">
        <f>IFERROR(__xludf.DUMMYFUNCTION("""COMPUTED_VALUE"""),0.0)</f>
        <v>0</v>
      </c>
      <c r="G348" s="320">
        <f>IFERROR(__xludf.DUMMYFUNCTION("""COMPUTED_VALUE"""),0.0)</f>
        <v>0</v>
      </c>
      <c r="H348" s="106"/>
      <c r="I348" s="320">
        <f>IFERROR(__xludf.DUMMYFUNCTION("""COMPUTED_VALUE"""),128.16)</f>
        <v>128.16</v>
      </c>
      <c r="J348" s="320">
        <f>IFERROR(__xludf.DUMMYFUNCTION("""COMPUTED_VALUE"""),70.32)</f>
        <v>70.32</v>
      </c>
      <c r="K348" s="320">
        <f>IFERROR(__xludf.DUMMYFUNCTION("""COMPUTED_VALUE"""),56.81)</f>
        <v>56.81</v>
      </c>
      <c r="L348" s="320">
        <f>IFERROR(__xludf.DUMMYFUNCTION("""COMPUTED_VALUE"""),0.808)</f>
        <v>0.808</v>
      </c>
      <c r="M348" s="320">
        <f>IFERROR(__xludf.DUMMYFUNCTION("""COMPUTED_VALUE"""),0.3721)</f>
        <v>0.3721</v>
      </c>
      <c r="N348" s="320">
        <f>IFERROR(__xludf.DUMMYFUNCTION("""COMPUTED_VALUE"""),0.2705)</f>
        <v>0.2705</v>
      </c>
      <c r="O348" s="320">
        <f>IFERROR(__xludf.DUMMYFUNCTION("""COMPUTED_VALUE"""),1.2377)</f>
        <v>1.2377</v>
      </c>
      <c r="P348" s="320">
        <f>IFERROR(__xludf.DUMMYFUNCTION("""COMPUTED_VALUE"""),389.23)</f>
        <v>389.23</v>
      </c>
      <c r="Q348" s="320">
        <f>IFERROR(__xludf.DUMMYFUNCTION("""COMPUTED_VALUE"""),269.72)</f>
        <v>269.72</v>
      </c>
      <c r="R348" s="320">
        <f>IFERROR(__xludf.DUMMYFUNCTION("""COMPUTED_VALUE"""),119.51)</f>
        <v>119.51</v>
      </c>
      <c r="S348" s="320">
        <f>IFERROR(__xludf.DUMMYFUNCTION("""COMPUTED_VALUE"""),0.0)</f>
        <v>0</v>
      </c>
      <c r="T348" s="320">
        <f>IFERROR(__xludf.DUMMYFUNCTION("""COMPUTED_VALUE"""),389.23)</f>
        <v>389.23</v>
      </c>
      <c r="U348" s="320">
        <f>IFERROR(__xludf.DUMMYFUNCTION("""COMPUTED_VALUE"""),333.03)</f>
        <v>333.03</v>
      </c>
      <c r="V348" s="320">
        <f>IFERROR(__xludf.DUMMYFUNCTION("""COMPUTED_VALUE"""),4.7361)</f>
        <v>4.7361</v>
      </c>
      <c r="W348" s="320">
        <f>IFERROR(__xludf.DUMMYFUNCTION("""COMPUTED_VALUE"""),0.0)</f>
        <v>0</v>
      </c>
      <c r="X348" s="320">
        <f>IFERROR(__xludf.DUMMYFUNCTION("""COMPUTED_VALUE"""),301.0)</f>
        <v>301</v>
      </c>
      <c r="Y348" s="320">
        <f>IFERROR(__xludf.DUMMYFUNCTION("""COMPUTED_VALUE"""),2011.0)</f>
        <v>2011</v>
      </c>
      <c r="Z348" s="320">
        <f>IFERROR(__xludf.DUMMYFUNCTION("""COMPUTED_VALUE"""),8703.0)</f>
        <v>8703</v>
      </c>
      <c r="AA348" s="320">
        <f>IFERROR(__xludf.DUMMYFUNCTION("""COMPUTED_VALUE"""),59.4849)</f>
        <v>59.4849</v>
      </c>
      <c r="AB348" s="320">
        <f>IFERROR(__xludf.DUMMYFUNCTION("""COMPUTED_VALUE"""),0.8246)</f>
        <v>0.8246</v>
      </c>
      <c r="AC348" s="320">
        <f>IFERROR(__xludf.DUMMYFUNCTION("""COMPUTED_VALUE"""),39.73)</f>
        <v>39.73</v>
      </c>
      <c r="AD348" s="320">
        <f>IFERROR(__xludf.DUMMYFUNCTION("""COMPUTED_VALUE"""),16.0)</f>
        <v>16</v>
      </c>
      <c r="AE348" s="320">
        <f>IFERROR(__xludf.DUMMYFUNCTION("""COMPUTED_VALUE"""),31.0)</f>
        <v>31</v>
      </c>
      <c r="AF348" s="320">
        <f>IFERROR(__xludf.DUMMYFUNCTION("""COMPUTED_VALUE"""),55.0)</f>
        <v>55</v>
      </c>
      <c r="AG348" s="320">
        <f>IFERROR(__xludf.DUMMYFUNCTION("""COMPUTED_VALUE"""),83.0)</f>
        <v>83</v>
      </c>
      <c r="AH348" s="320">
        <f>IFERROR(__xludf.DUMMYFUNCTION("""COMPUTED_VALUE"""),55.02)</f>
        <v>55.02</v>
      </c>
      <c r="AI348" s="320">
        <f>IFERROR(__xludf.DUMMYFUNCTION("""COMPUTED_VALUE"""),22.12)</f>
        <v>22.12</v>
      </c>
      <c r="AJ348" s="320">
        <f>IFERROR(__xludf.DUMMYFUNCTION("""COMPUTED_VALUE"""),5.57)</f>
        <v>5.57</v>
      </c>
      <c r="AK348" s="320">
        <f>IFERROR(__xludf.DUMMYFUNCTION("""COMPUTED_VALUE"""),0.1334)</f>
        <v>0.1334</v>
      </c>
      <c r="AL348" s="320">
        <f>IFERROR(__xludf.DUMMYFUNCTION("""COMPUTED_VALUE"""),21.01)</f>
        <v>21.01</v>
      </c>
      <c r="AM348" s="320">
        <f>IFERROR(__xludf.DUMMYFUNCTION("""COMPUTED_VALUE"""),248.71)</f>
        <v>248.71</v>
      </c>
      <c r="AN348" s="320">
        <f>IFERROR(__xludf.DUMMYFUNCTION("""COMPUTED_VALUE"""),82.54)</f>
        <v>82.54</v>
      </c>
      <c r="AO348" s="320">
        <f>IFERROR(__xludf.DUMMYFUNCTION("""COMPUTED_VALUE"""),17.34)</f>
        <v>17.34</v>
      </c>
    </row>
    <row r="349" ht="15.75" customHeight="1">
      <c r="A349" s="330">
        <f>IFERROR(__xludf.DUMMYFUNCTION("""COMPUTED_VALUE"""),46107.0)</f>
        <v>46107</v>
      </c>
      <c r="B349" s="319" t="str">
        <f>IFERROR(__xludf.DUMMYFUNCTION("""COMPUTED_VALUE"""),"F. 100+")</f>
        <v>F. 100+</v>
      </c>
      <c r="C349" s="320">
        <f>IFERROR(__xludf.DUMMYFUNCTION("""COMPUTED_VALUE"""),646.0)</f>
        <v>646</v>
      </c>
      <c r="D349" s="320">
        <f>IFERROR(__xludf.DUMMYFUNCTION("""COMPUTED_VALUE"""),0.62)</f>
        <v>0.62</v>
      </c>
      <c r="E349" s="320">
        <f>IFERROR(__xludf.DUMMYFUNCTION("""COMPUTED_VALUE"""),0.0)</f>
        <v>0</v>
      </c>
      <c r="F349" s="320">
        <f>IFERROR(__xludf.DUMMYFUNCTION("""COMPUTED_VALUE"""),0.0)</f>
        <v>0</v>
      </c>
      <c r="G349" s="320">
        <f>IFERROR(__xludf.DUMMYFUNCTION("""COMPUTED_VALUE"""),0.0)</f>
        <v>0</v>
      </c>
      <c r="H349" s="106"/>
      <c r="I349" s="320">
        <f>IFERROR(__xludf.DUMMYFUNCTION("""COMPUTED_VALUE"""),239.12)</f>
        <v>239.12</v>
      </c>
      <c r="J349" s="320">
        <f>IFERROR(__xludf.DUMMYFUNCTION("""COMPUTED_VALUE"""),140.42)</f>
        <v>140.42</v>
      </c>
      <c r="K349" s="320">
        <f>IFERROR(__xludf.DUMMYFUNCTION("""COMPUTED_VALUE"""),124.5)</f>
        <v>124.5</v>
      </c>
      <c r="L349" s="320">
        <f>IFERROR(__xludf.DUMMYFUNCTION("""COMPUTED_VALUE"""),0.8866)</f>
        <v>0.8866</v>
      </c>
      <c r="M349" s="320">
        <f>IFERROR(__xludf.DUMMYFUNCTION("""COMPUTED_VALUE"""),0.2717)</f>
        <v>0.2717</v>
      </c>
      <c r="N349" s="320">
        <f>IFERROR(__xludf.DUMMYFUNCTION("""COMPUTED_VALUE"""),0.2087)</f>
        <v>0.2087</v>
      </c>
      <c r="O349" s="320">
        <f>IFERROR(__xludf.DUMMYFUNCTION("""COMPUTED_VALUE"""),1.1279)</f>
        <v>1.1279</v>
      </c>
      <c r="P349" s="320">
        <f>IFERROR(__xludf.DUMMYFUNCTION("""COMPUTED_VALUE"""),795.64)</f>
        <v>795.64</v>
      </c>
      <c r="Q349" s="320">
        <f>IFERROR(__xludf.DUMMYFUNCTION("""COMPUTED_VALUE"""),532.79)</f>
        <v>532.79</v>
      </c>
      <c r="R349" s="320">
        <f>IFERROR(__xludf.DUMMYFUNCTION("""COMPUTED_VALUE"""),262.85)</f>
        <v>262.85</v>
      </c>
      <c r="S349" s="320">
        <f>IFERROR(__xludf.DUMMYFUNCTION("""COMPUTED_VALUE"""),0.0)</f>
        <v>0</v>
      </c>
      <c r="T349" s="320">
        <f>IFERROR(__xludf.DUMMYFUNCTION("""COMPUTED_VALUE"""),795.64)</f>
        <v>795.64</v>
      </c>
      <c r="U349" s="320">
        <f>IFERROR(__xludf.DUMMYFUNCTION("""COMPUTED_VALUE"""),683.28)</f>
        <v>683.28</v>
      </c>
      <c r="V349" s="320">
        <f>IFERROR(__xludf.DUMMYFUNCTION("""COMPUTED_VALUE"""),4.8659)</f>
        <v>4.8659</v>
      </c>
      <c r="W349" s="320">
        <f>IFERROR(__xludf.DUMMYFUNCTION("""COMPUTED_VALUE"""),0.0)</f>
        <v>0</v>
      </c>
      <c r="X349" s="320">
        <f>IFERROR(__xludf.DUMMYFUNCTION("""COMPUTED_VALUE"""),868.0)</f>
        <v>868</v>
      </c>
      <c r="Y349" s="320">
        <f>IFERROR(__xludf.DUMMYFUNCTION("""COMPUTED_VALUE"""),4291.0)</f>
        <v>4291</v>
      </c>
      <c r="Z349" s="320">
        <f>IFERROR(__xludf.DUMMYFUNCTION("""COMPUTED_VALUE"""),11366.0)</f>
        <v>11366</v>
      </c>
      <c r="AA349" s="320">
        <f>IFERROR(__xludf.DUMMYFUNCTION("""COMPUTED_VALUE"""),63.0062)</f>
        <v>63.0062</v>
      </c>
      <c r="AB349" s="320">
        <f>IFERROR(__xludf.DUMMYFUNCTION("""COMPUTED_VALUE"""),0.8843)</f>
        <v>0.8843</v>
      </c>
      <c r="AC349" s="320">
        <f>IFERROR(__xludf.DUMMYFUNCTION("""COMPUTED_VALUE"""),90.68)</f>
        <v>90.68</v>
      </c>
      <c r="AD349" s="320">
        <f>IFERROR(__xludf.DUMMYFUNCTION("""COMPUTED_VALUE"""),40.0)</f>
        <v>40</v>
      </c>
      <c r="AE349" s="320">
        <f>IFERROR(__xludf.DUMMYFUNCTION("""COMPUTED_VALUE"""),78.0)</f>
        <v>78</v>
      </c>
      <c r="AF349" s="320">
        <f>IFERROR(__xludf.DUMMYFUNCTION("""COMPUTED_VALUE"""),122.0)</f>
        <v>122</v>
      </c>
      <c r="AG349" s="320">
        <f>IFERROR(__xludf.DUMMYFUNCTION("""COMPUTED_VALUE"""),173.0)</f>
        <v>173</v>
      </c>
      <c r="AH349" s="320">
        <f>IFERROR(__xludf.DUMMYFUNCTION("""COMPUTED_VALUE"""),49.23)</f>
        <v>49.23</v>
      </c>
      <c r="AI349" s="320">
        <f>IFERROR(__xludf.DUMMYFUNCTION("""COMPUTED_VALUE"""),9.91)</f>
        <v>9.91</v>
      </c>
      <c r="AJ349" s="320">
        <f>IFERROR(__xludf.DUMMYFUNCTION("""COMPUTED_VALUE"""),1.24)</f>
        <v>1.24</v>
      </c>
      <c r="AK349" s="320">
        <f>IFERROR(__xludf.DUMMYFUNCTION("""COMPUTED_VALUE"""),0.0929)</f>
        <v>0.0929</v>
      </c>
      <c r="AL349" s="320">
        <f>IFERROR(__xludf.DUMMYFUNCTION("""COMPUTED_VALUE"""),24.45)</f>
        <v>24.45</v>
      </c>
      <c r="AM349" s="320">
        <f>IFERROR(__xludf.DUMMYFUNCTION("""COMPUTED_VALUE"""),508.34)</f>
        <v>508.34</v>
      </c>
      <c r="AN349" s="320">
        <f>IFERROR(__xludf.DUMMYFUNCTION("""COMPUTED_VALUE"""),86.0)</f>
        <v>86</v>
      </c>
      <c r="AO349" s="320">
        <f>IFERROR(__xludf.DUMMYFUNCTION("""COMPUTED_VALUE"""),21.03)</f>
        <v>21.03</v>
      </c>
    </row>
    <row r="350" ht="15.75" customHeight="1">
      <c r="A350" s="330">
        <f>IFERROR(__xludf.DUMMYFUNCTION("""COMPUTED_VALUE"""),46108.0)</f>
        <v>46108</v>
      </c>
      <c r="B350" s="319" t="str">
        <f>IFERROR(__xludf.DUMMYFUNCTION("""COMPUTED_VALUE"""),"A. 0")</f>
        <v>A. 0</v>
      </c>
      <c r="C350" s="320">
        <f>IFERROR(__xludf.DUMMYFUNCTION("""COMPUTED_VALUE"""),19264.0)</f>
        <v>19264</v>
      </c>
      <c r="D350" s="320">
        <f>IFERROR(__xludf.DUMMYFUNCTION("""COMPUTED_VALUE"""),18.73)</f>
        <v>18.73</v>
      </c>
      <c r="E350" s="320">
        <f>IFERROR(__xludf.DUMMYFUNCTION("""COMPUTED_VALUE"""),0.0)</f>
        <v>0</v>
      </c>
      <c r="F350" s="320">
        <f>IFERROR(__xludf.DUMMYFUNCTION("""COMPUTED_VALUE"""),0.0)</f>
        <v>0</v>
      </c>
      <c r="G350" s="320">
        <f>IFERROR(__xludf.DUMMYFUNCTION("""COMPUTED_VALUE"""),0.0)</f>
        <v>0</v>
      </c>
      <c r="H350" s="106"/>
      <c r="I350" s="320">
        <f>IFERROR(__xludf.DUMMYFUNCTION("""COMPUTED_VALUE"""),5.73)</f>
        <v>5.73</v>
      </c>
      <c r="J350" s="320">
        <f>IFERROR(__xludf.DUMMYFUNCTION("""COMPUTED_VALUE"""),2.36)</f>
        <v>2.36</v>
      </c>
      <c r="K350" s="320">
        <f>IFERROR(__xludf.DUMMYFUNCTION("""COMPUTED_VALUE"""),0.03)</f>
        <v>0.03</v>
      </c>
      <c r="L350" s="320">
        <f>IFERROR(__xludf.DUMMYFUNCTION("""COMPUTED_VALUE"""),0.0123)</f>
        <v>0.0123</v>
      </c>
      <c r="M350" s="320">
        <f>IFERROR(__xludf.DUMMYFUNCTION("""COMPUTED_VALUE"""),0.9904)</f>
        <v>0.9904</v>
      </c>
      <c r="N350" s="320">
        <f>IFERROR(__xludf.DUMMYFUNCTION("""COMPUTED_VALUE"""),0.8823)</f>
        <v>0.8823</v>
      </c>
      <c r="O350" s="320">
        <f>IFERROR(__xludf.DUMMYFUNCTION("""COMPUTED_VALUE"""),81.0946)</f>
        <v>81.0946</v>
      </c>
      <c r="P350" s="320">
        <f>IFERROR(__xludf.DUMMYFUNCTION("""COMPUTED_VALUE"""),26.08)</f>
        <v>26.08</v>
      </c>
      <c r="Q350" s="320">
        <f>IFERROR(__xludf.DUMMYFUNCTION("""COMPUTED_VALUE"""),25.98)</f>
        <v>25.98</v>
      </c>
      <c r="R350" s="320">
        <f>IFERROR(__xludf.DUMMYFUNCTION("""COMPUTED_VALUE"""),0.1)</f>
        <v>0.1</v>
      </c>
      <c r="S350" s="320">
        <f>IFERROR(__xludf.DUMMYFUNCTION("""COMPUTED_VALUE"""),0.0)</f>
        <v>0</v>
      </c>
      <c r="T350" s="320">
        <f>IFERROR(__xludf.DUMMYFUNCTION("""COMPUTED_VALUE"""),26.08)</f>
        <v>26.08</v>
      </c>
      <c r="U350" s="320">
        <f>IFERROR(__xludf.DUMMYFUNCTION("""COMPUTED_VALUE"""),1.82)</f>
        <v>1.82</v>
      </c>
      <c r="V350" s="320">
        <f>IFERROR(__xludf.DUMMYFUNCTION("""COMPUTED_VALUE"""),0.7707)</f>
        <v>0.7707</v>
      </c>
      <c r="W350" s="320">
        <f>IFERROR(__xludf.DUMMYFUNCTION("""COMPUTED_VALUE"""),0.0)</f>
        <v>0</v>
      </c>
      <c r="X350" s="320">
        <f>IFERROR(__xludf.DUMMYFUNCTION("""COMPUTED_VALUE"""),358.0)</f>
        <v>358</v>
      </c>
      <c r="Y350" s="320">
        <f>IFERROR(__xludf.DUMMYFUNCTION("""COMPUTED_VALUE"""),3957.0)</f>
        <v>3957</v>
      </c>
      <c r="Z350" s="320">
        <f>IFERROR(__xludf.DUMMYFUNCTION("""COMPUTED_VALUE"""),14672.0)</f>
        <v>14672</v>
      </c>
      <c r="AA350" s="320">
        <f>IFERROR(__xludf.DUMMYFUNCTION("""COMPUTED_VALUE"""),49.2613)</f>
        <v>49.2613</v>
      </c>
      <c r="AB350" s="320">
        <f>IFERROR(__xludf.DUMMYFUNCTION("""COMPUTED_VALUE"""),0.553)</f>
        <v>0.553</v>
      </c>
      <c r="AC350" s="106"/>
      <c r="AD350" s="106"/>
      <c r="AE350" s="106"/>
      <c r="AF350" s="106"/>
      <c r="AG350" s="106"/>
      <c r="AH350" s="320">
        <f>IFERROR(__xludf.DUMMYFUNCTION("""COMPUTED_VALUE"""),0.0)</f>
        <v>0</v>
      </c>
      <c r="AI350" s="320">
        <f>IFERROR(__xludf.DUMMYFUNCTION("""COMPUTED_VALUE"""),0.0)</f>
        <v>0</v>
      </c>
      <c r="AJ350" s="320">
        <f>IFERROR(__xludf.DUMMYFUNCTION("""COMPUTED_VALUE"""),0.0)</f>
        <v>0</v>
      </c>
      <c r="AK350" s="320">
        <f>IFERROR(__xludf.DUMMYFUNCTION("""COMPUTED_VALUE"""),0.3018)</f>
        <v>0.3018</v>
      </c>
      <c r="AL350" s="320">
        <f>IFERROR(__xludf.DUMMYFUNCTION("""COMPUTED_VALUE"""),17.73)</f>
        <v>17.73</v>
      </c>
      <c r="AM350" s="320">
        <f>IFERROR(__xludf.DUMMYFUNCTION("""COMPUTED_VALUE"""),8.25)</f>
        <v>8.25</v>
      </c>
      <c r="AN350" s="331"/>
      <c r="AO350" s="331"/>
    </row>
    <row r="351" ht="15.75" customHeight="1">
      <c r="A351" s="330">
        <f>IFERROR(__xludf.DUMMYFUNCTION("""COMPUTED_VALUE"""),46108.0)</f>
        <v>46108</v>
      </c>
      <c r="B351" s="319" t="str">
        <f>IFERROR(__xludf.DUMMYFUNCTION("""COMPUTED_VALUE"""),"B. 1-9")</f>
        <v>B. 1-9</v>
      </c>
      <c r="C351" s="320">
        <f>IFERROR(__xludf.DUMMYFUNCTION("""COMPUTED_VALUE"""),37412.0)</f>
        <v>37412</v>
      </c>
      <c r="D351" s="320">
        <f>IFERROR(__xludf.DUMMYFUNCTION("""COMPUTED_VALUE"""),36.38)</f>
        <v>36.38</v>
      </c>
      <c r="E351" s="320">
        <f>IFERROR(__xludf.DUMMYFUNCTION("""COMPUTED_VALUE"""),0.0)</f>
        <v>0</v>
      </c>
      <c r="F351" s="320">
        <f>IFERROR(__xludf.DUMMYFUNCTION("""COMPUTED_VALUE"""),0.0)</f>
        <v>0</v>
      </c>
      <c r="G351" s="320">
        <f>IFERROR(__xludf.DUMMYFUNCTION("""COMPUTED_VALUE"""),0.0)</f>
        <v>0</v>
      </c>
      <c r="H351" s="106"/>
      <c r="I351" s="320">
        <f>IFERROR(__xludf.DUMMYFUNCTION("""COMPUTED_VALUE"""),30.53)</f>
        <v>30.53</v>
      </c>
      <c r="J351" s="320">
        <f>IFERROR(__xludf.DUMMYFUNCTION("""COMPUTED_VALUE"""),13.97)</f>
        <v>13.97</v>
      </c>
      <c r="K351" s="320">
        <f>IFERROR(__xludf.DUMMYFUNCTION("""COMPUTED_VALUE"""),5.84)</f>
        <v>5.84</v>
      </c>
      <c r="L351" s="320">
        <f>IFERROR(__xludf.DUMMYFUNCTION("""COMPUTED_VALUE"""),0.4183)</f>
        <v>0.4183</v>
      </c>
      <c r="M351" s="320">
        <f>IFERROR(__xludf.DUMMYFUNCTION("""COMPUTED_VALUE"""),0.7515)</f>
        <v>0.7515</v>
      </c>
      <c r="N351" s="320">
        <f>IFERROR(__xludf.DUMMYFUNCTION("""COMPUTED_VALUE"""),0.5492)</f>
        <v>0.5492</v>
      </c>
      <c r="O351" s="320">
        <f>IFERROR(__xludf.DUMMYFUNCTION("""COMPUTED_VALUE"""),2.3908)</f>
        <v>2.3908</v>
      </c>
      <c r="P351" s="320">
        <f>IFERROR(__xludf.DUMMYFUNCTION("""COMPUTED_VALUE"""),58.22)</f>
        <v>58.22</v>
      </c>
      <c r="Q351" s="320">
        <f>IFERROR(__xludf.DUMMYFUNCTION("""COMPUTED_VALUE"""),46.18)</f>
        <v>46.18</v>
      </c>
      <c r="R351" s="320">
        <f>IFERROR(__xludf.DUMMYFUNCTION("""COMPUTED_VALUE"""),12.04)</f>
        <v>12.04</v>
      </c>
      <c r="S351" s="320">
        <f>IFERROR(__xludf.DUMMYFUNCTION("""COMPUTED_VALUE"""),0.0)</f>
        <v>0</v>
      </c>
      <c r="T351" s="320">
        <f>IFERROR(__xludf.DUMMYFUNCTION("""COMPUTED_VALUE"""),58.22)</f>
        <v>58.22</v>
      </c>
      <c r="U351" s="320">
        <f>IFERROR(__xludf.DUMMYFUNCTION("""COMPUTED_VALUE"""),53.21)</f>
        <v>53.21</v>
      </c>
      <c r="V351" s="320">
        <f>IFERROR(__xludf.DUMMYFUNCTION("""COMPUTED_VALUE"""),3.8092)</f>
        <v>3.8092</v>
      </c>
      <c r="W351" s="320">
        <f>IFERROR(__xludf.DUMMYFUNCTION("""COMPUTED_VALUE"""),0.0)</f>
        <v>0</v>
      </c>
      <c r="X351" s="320">
        <f>IFERROR(__xludf.DUMMYFUNCTION("""COMPUTED_VALUE"""),145.0)</f>
        <v>145</v>
      </c>
      <c r="Y351" s="320">
        <f>IFERROR(__xludf.DUMMYFUNCTION("""COMPUTED_VALUE"""),859.0)</f>
        <v>859</v>
      </c>
      <c r="Z351" s="320">
        <f>IFERROR(__xludf.DUMMYFUNCTION("""COMPUTED_VALUE"""),5881.0)</f>
        <v>5881</v>
      </c>
      <c r="AA351" s="320">
        <f>IFERROR(__xludf.DUMMYFUNCTION("""COMPUTED_VALUE"""),48.7387)</f>
        <v>48.7387</v>
      </c>
      <c r="AB351" s="320">
        <f>IFERROR(__xludf.DUMMYFUNCTION("""COMPUTED_VALUE"""),0.5317)</f>
        <v>0.5317</v>
      </c>
      <c r="AC351" s="320">
        <f>IFERROR(__xludf.DUMMYFUNCTION("""COMPUTED_VALUE"""),4.07)</f>
        <v>4.07</v>
      </c>
      <c r="AD351" s="320">
        <f>IFERROR(__xludf.DUMMYFUNCTION("""COMPUTED_VALUE"""),1.0)</f>
        <v>1</v>
      </c>
      <c r="AE351" s="320">
        <f>IFERROR(__xludf.DUMMYFUNCTION("""COMPUTED_VALUE"""),3.0)</f>
        <v>3</v>
      </c>
      <c r="AF351" s="320">
        <f>IFERROR(__xludf.DUMMYFUNCTION("""COMPUTED_VALUE"""),5.0)</f>
        <v>5</v>
      </c>
      <c r="AG351" s="320">
        <f>IFERROR(__xludf.DUMMYFUNCTION("""COMPUTED_VALUE"""),9.0)</f>
        <v>9</v>
      </c>
      <c r="AH351" s="320">
        <f>IFERROR(__xludf.DUMMYFUNCTION("""COMPUTED_VALUE"""),73.85)</f>
        <v>73.85</v>
      </c>
      <c r="AI351" s="320">
        <f>IFERROR(__xludf.DUMMYFUNCTION("""COMPUTED_VALUE"""),31.83)</f>
        <v>31.83</v>
      </c>
      <c r="AJ351" s="320">
        <f>IFERROR(__xludf.DUMMYFUNCTION("""COMPUTED_VALUE"""),8.87)</f>
        <v>8.87</v>
      </c>
      <c r="AK351" s="320">
        <f>IFERROR(__xludf.DUMMYFUNCTION("""COMPUTED_VALUE"""),0.2666)</f>
        <v>0.2666</v>
      </c>
      <c r="AL351" s="320">
        <f>IFERROR(__xludf.DUMMYFUNCTION("""COMPUTED_VALUE"""),20.43)</f>
        <v>20.43</v>
      </c>
      <c r="AM351" s="320">
        <f>IFERROR(__xludf.DUMMYFUNCTION("""COMPUTED_VALUE"""),25.75)</f>
        <v>25.75</v>
      </c>
      <c r="AN351" s="320">
        <f>IFERROR(__xludf.DUMMYFUNCTION("""COMPUTED_VALUE"""),66.02)</f>
        <v>66.02</v>
      </c>
      <c r="AO351" s="320">
        <f>IFERROR(__xludf.DUMMYFUNCTION("""COMPUTED_VALUE"""),13.49)</f>
        <v>13.49</v>
      </c>
    </row>
    <row r="352" ht="15.75" customHeight="1">
      <c r="A352" s="330">
        <f>IFERROR(__xludf.DUMMYFUNCTION("""COMPUTED_VALUE"""),46108.0)</f>
        <v>46108</v>
      </c>
      <c r="B352" s="319" t="str">
        <f>IFERROR(__xludf.DUMMYFUNCTION("""COMPUTED_VALUE"""),"C. 10-19")</f>
        <v>C. 10-19</v>
      </c>
      <c r="C352" s="320">
        <f>IFERROR(__xludf.DUMMYFUNCTION("""COMPUTED_VALUE"""),25709.0)</f>
        <v>25709</v>
      </c>
      <c r="D352" s="320">
        <f>IFERROR(__xludf.DUMMYFUNCTION("""COMPUTED_VALUE"""),25.0)</f>
        <v>25</v>
      </c>
      <c r="E352" s="320">
        <f>IFERROR(__xludf.DUMMYFUNCTION("""COMPUTED_VALUE"""),0.0)</f>
        <v>0</v>
      </c>
      <c r="F352" s="320">
        <f>IFERROR(__xludf.DUMMYFUNCTION("""COMPUTED_VALUE"""),0.0)</f>
        <v>0</v>
      </c>
      <c r="G352" s="320">
        <f>IFERROR(__xludf.DUMMYFUNCTION("""COMPUTED_VALUE"""),0.0)</f>
        <v>0</v>
      </c>
      <c r="H352" s="106"/>
      <c r="I352" s="320">
        <f>IFERROR(__xludf.DUMMYFUNCTION("""COMPUTED_VALUE"""),56.27)</f>
        <v>56.27</v>
      </c>
      <c r="J352" s="320">
        <f>IFERROR(__xludf.DUMMYFUNCTION("""COMPUTED_VALUE"""),27.01)</f>
        <v>27.01</v>
      </c>
      <c r="K352" s="320">
        <f>IFERROR(__xludf.DUMMYFUNCTION("""COMPUTED_VALUE"""),14.41)</f>
        <v>14.41</v>
      </c>
      <c r="L352" s="320">
        <f>IFERROR(__xludf.DUMMYFUNCTION("""COMPUTED_VALUE"""),0.5334)</f>
        <v>0.5334</v>
      </c>
      <c r="M352" s="320">
        <f>IFERROR(__xludf.DUMMYFUNCTION("""COMPUTED_VALUE"""),0.6536)</f>
        <v>0.6536</v>
      </c>
      <c r="N352" s="320">
        <f>IFERROR(__xludf.DUMMYFUNCTION("""COMPUTED_VALUE"""),0.451)</f>
        <v>0.451</v>
      </c>
      <c r="O352" s="320">
        <f>IFERROR(__xludf.DUMMYFUNCTION("""COMPUTED_VALUE"""),1.8748)</f>
        <v>1.8748</v>
      </c>
      <c r="P352" s="320">
        <f>IFERROR(__xludf.DUMMYFUNCTION("""COMPUTED_VALUE"""),99.89)</f>
        <v>99.89</v>
      </c>
      <c r="Q352" s="320">
        <f>IFERROR(__xludf.DUMMYFUNCTION("""COMPUTED_VALUE"""),69.8)</f>
        <v>69.8</v>
      </c>
      <c r="R352" s="320">
        <f>IFERROR(__xludf.DUMMYFUNCTION("""COMPUTED_VALUE"""),30.08)</f>
        <v>30.08</v>
      </c>
      <c r="S352" s="320">
        <f>IFERROR(__xludf.DUMMYFUNCTION("""COMPUTED_VALUE"""),0.0)</f>
        <v>0</v>
      </c>
      <c r="T352" s="320">
        <f>IFERROR(__xludf.DUMMYFUNCTION("""COMPUTED_VALUE"""),99.89)</f>
        <v>99.89</v>
      </c>
      <c r="U352" s="320">
        <f>IFERROR(__xludf.DUMMYFUNCTION("""COMPUTED_VALUE"""),97.99)</f>
        <v>97.99</v>
      </c>
      <c r="V352" s="320">
        <f>IFERROR(__xludf.DUMMYFUNCTION("""COMPUTED_VALUE"""),3.6277)</f>
        <v>3.6277</v>
      </c>
      <c r="W352" s="320">
        <f>IFERROR(__xludf.DUMMYFUNCTION("""COMPUTED_VALUE"""),0.0)</f>
        <v>0</v>
      </c>
      <c r="X352" s="320">
        <f>IFERROR(__xludf.DUMMYFUNCTION("""COMPUTED_VALUE"""),124.0)</f>
        <v>124</v>
      </c>
      <c r="Y352" s="320">
        <f>IFERROR(__xludf.DUMMYFUNCTION("""COMPUTED_VALUE"""),673.0)</f>
        <v>673</v>
      </c>
      <c r="Z352" s="320">
        <f>IFERROR(__xludf.DUMMYFUNCTION("""COMPUTED_VALUE"""),5102.0)</f>
        <v>5102</v>
      </c>
      <c r="AA352" s="320">
        <f>IFERROR(__xludf.DUMMYFUNCTION("""COMPUTED_VALUE"""),52.2849)</f>
        <v>52.2849</v>
      </c>
      <c r="AB352" s="320">
        <f>IFERROR(__xludf.DUMMYFUNCTION("""COMPUTED_VALUE"""),0.6315)</f>
        <v>0.6315</v>
      </c>
      <c r="AC352" s="320">
        <f>IFERROR(__xludf.DUMMYFUNCTION("""COMPUTED_VALUE"""),9.63)</f>
        <v>9.63</v>
      </c>
      <c r="AD352" s="320">
        <f>IFERROR(__xludf.DUMMYFUNCTION("""COMPUTED_VALUE"""),4.0)</f>
        <v>4</v>
      </c>
      <c r="AE352" s="320">
        <f>IFERROR(__xludf.DUMMYFUNCTION("""COMPUTED_VALUE"""),8.0)</f>
        <v>8</v>
      </c>
      <c r="AF352" s="320">
        <f>IFERROR(__xludf.DUMMYFUNCTION("""COMPUTED_VALUE"""),13.0)</f>
        <v>13</v>
      </c>
      <c r="AG352" s="320">
        <f>IFERROR(__xludf.DUMMYFUNCTION("""COMPUTED_VALUE"""),20.0)</f>
        <v>20</v>
      </c>
      <c r="AH352" s="320">
        <f>IFERROR(__xludf.DUMMYFUNCTION("""COMPUTED_VALUE"""),61.84)</f>
        <v>61.84</v>
      </c>
      <c r="AI352" s="320">
        <f>IFERROR(__xludf.DUMMYFUNCTION("""COMPUTED_VALUE"""),27.29)</f>
        <v>27.29</v>
      </c>
      <c r="AJ352" s="320">
        <f>IFERROR(__xludf.DUMMYFUNCTION("""COMPUTED_VALUE"""),4.75)</f>
        <v>4.75</v>
      </c>
      <c r="AK352" s="320">
        <f>IFERROR(__xludf.DUMMYFUNCTION("""COMPUTED_VALUE"""),0.2165)</f>
        <v>0.2165</v>
      </c>
      <c r="AL352" s="320">
        <f>IFERROR(__xludf.DUMMYFUNCTION("""COMPUTED_VALUE"""),21.05)</f>
        <v>21.05</v>
      </c>
      <c r="AM352" s="320">
        <f>IFERROR(__xludf.DUMMYFUNCTION("""COMPUTED_VALUE"""),48.75)</f>
        <v>48.75</v>
      </c>
      <c r="AN352" s="320">
        <f>IFERROR(__xludf.DUMMYFUNCTION("""COMPUTED_VALUE"""),75.39)</f>
        <v>75.39</v>
      </c>
      <c r="AO352" s="320">
        <f>IFERROR(__xludf.DUMMYFUNCTION("""COMPUTED_VALUE"""),15.87)</f>
        <v>15.87</v>
      </c>
    </row>
    <row r="353" ht="15.75" customHeight="1">
      <c r="A353" s="330">
        <f>IFERROR(__xludf.DUMMYFUNCTION("""COMPUTED_VALUE"""),46108.0)</f>
        <v>46108</v>
      </c>
      <c r="B353" s="319" t="str">
        <f>IFERROR(__xludf.DUMMYFUNCTION("""COMPUTED_VALUE"""),"D. 20-39")</f>
        <v>D. 20-39</v>
      </c>
      <c r="C353" s="320">
        <f>IFERROR(__xludf.DUMMYFUNCTION("""COMPUTED_VALUE"""),14083.0)</f>
        <v>14083</v>
      </c>
      <c r="D353" s="320">
        <f>IFERROR(__xludf.DUMMYFUNCTION("""COMPUTED_VALUE"""),13.69)</f>
        <v>13.69</v>
      </c>
      <c r="E353" s="320">
        <f>IFERROR(__xludf.DUMMYFUNCTION("""COMPUTED_VALUE"""),0.0)</f>
        <v>0</v>
      </c>
      <c r="F353" s="320">
        <f>IFERROR(__xludf.DUMMYFUNCTION("""COMPUTED_VALUE"""),0.0)</f>
        <v>0</v>
      </c>
      <c r="G353" s="320">
        <f>IFERROR(__xludf.DUMMYFUNCTION("""COMPUTED_VALUE"""),0.0)</f>
        <v>0</v>
      </c>
      <c r="H353" s="106"/>
      <c r="I353" s="320">
        <f>IFERROR(__xludf.DUMMYFUNCTION("""COMPUTED_VALUE"""),81.34)</f>
        <v>81.34</v>
      </c>
      <c r="J353" s="320">
        <f>IFERROR(__xludf.DUMMYFUNCTION("""COMPUTED_VALUE"""),41.38)</f>
        <v>41.38</v>
      </c>
      <c r="K353" s="320">
        <f>IFERROR(__xludf.DUMMYFUNCTION("""COMPUTED_VALUE"""),27.19)</f>
        <v>27.19</v>
      </c>
      <c r="L353" s="320">
        <f>IFERROR(__xludf.DUMMYFUNCTION("""COMPUTED_VALUE"""),0.6569)</f>
        <v>0.6569</v>
      </c>
      <c r="M353" s="320">
        <f>IFERROR(__xludf.DUMMYFUNCTION("""COMPUTED_VALUE"""),0.5293)</f>
        <v>0.5293</v>
      </c>
      <c r="N353" s="320">
        <f>IFERROR(__xludf.DUMMYFUNCTION("""COMPUTED_VALUE"""),0.3625)</f>
        <v>0.3625</v>
      </c>
      <c r="O353" s="320">
        <f>IFERROR(__xludf.DUMMYFUNCTION("""COMPUTED_VALUE"""),1.5222)</f>
        <v>1.5222</v>
      </c>
      <c r="P353" s="320">
        <f>IFERROR(__xludf.DUMMYFUNCTION("""COMPUTED_VALUE"""),159.16)</f>
        <v>159.16</v>
      </c>
      <c r="Q353" s="320">
        <f>IFERROR(__xludf.DUMMYFUNCTION("""COMPUTED_VALUE"""),101.55)</f>
        <v>101.55</v>
      </c>
      <c r="R353" s="320">
        <f>IFERROR(__xludf.DUMMYFUNCTION("""COMPUTED_VALUE"""),57.61)</f>
        <v>57.61</v>
      </c>
      <c r="S353" s="320">
        <f>IFERROR(__xludf.DUMMYFUNCTION("""COMPUTED_VALUE"""),0.0)</f>
        <v>0</v>
      </c>
      <c r="T353" s="320">
        <f>IFERROR(__xludf.DUMMYFUNCTION("""COMPUTED_VALUE"""),159.16)</f>
        <v>159.16</v>
      </c>
      <c r="U353" s="320">
        <f>IFERROR(__xludf.DUMMYFUNCTION("""COMPUTED_VALUE"""),166.39)</f>
        <v>166.39</v>
      </c>
      <c r="V353" s="320">
        <f>IFERROR(__xludf.DUMMYFUNCTION("""COMPUTED_VALUE"""),4.0205)</f>
        <v>4.0205</v>
      </c>
      <c r="W353" s="320">
        <f>IFERROR(__xludf.DUMMYFUNCTION("""COMPUTED_VALUE"""),0.0)</f>
        <v>0</v>
      </c>
      <c r="X353" s="320">
        <f>IFERROR(__xludf.DUMMYFUNCTION("""COMPUTED_VALUE"""),142.0)</f>
        <v>142</v>
      </c>
      <c r="Y353" s="320">
        <f>IFERROR(__xludf.DUMMYFUNCTION("""COMPUTED_VALUE"""),931.0)</f>
        <v>931</v>
      </c>
      <c r="Z353" s="320">
        <f>IFERROR(__xludf.DUMMYFUNCTION("""COMPUTED_VALUE"""),5953.0)</f>
        <v>5953</v>
      </c>
      <c r="AA353" s="320">
        <f>IFERROR(__xludf.DUMMYFUNCTION("""COMPUTED_VALUE"""),55.854)</f>
        <v>55.854</v>
      </c>
      <c r="AB353" s="320">
        <f>IFERROR(__xludf.DUMMYFUNCTION("""COMPUTED_VALUE"""),0.742)</f>
        <v>0.742</v>
      </c>
      <c r="AC353" s="320">
        <f>IFERROR(__xludf.DUMMYFUNCTION("""COMPUTED_VALUE"""),18.17)</f>
        <v>18.17</v>
      </c>
      <c r="AD353" s="320">
        <f>IFERROR(__xludf.DUMMYFUNCTION("""COMPUTED_VALUE"""),7.0)</f>
        <v>7</v>
      </c>
      <c r="AE353" s="320">
        <f>IFERROR(__xludf.DUMMYFUNCTION("""COMPUTED_VALUE"""),14.0)</f>
        <v>14</v>
      </c>
      <c r="AF353" s="320">
        <f>IFERROR(__xludf.DUMMYFUNCTION("""COMPUTED_VALUE"""),25.0)</f>
        <v>25</v>
      </c>
      <c r="AG353" s="320">
        <f>IFERROR(__xludf.DUMMYFUNCTION("""COMPUTED_VALUE"""),38.0)</f>
        <v>38</v>
      </c>
      <c r="AH353" s="320">
        <f>IFERROR(__xludf.DUMMYFUNCTION("""COMPUTED_VALUE"""),61.19)</f>
        <v>61.19</v>
      </c>
      <c r="AI353" s="320">
        <f>IFERROR(__xludf.DUMMYFUNCTION("""COMPUTED_VALUE"""),23.77)</f>
        <v>23.77</v>
      </c>
      <c r="AJ353" s="320">
        <f>IFERROR(__xludf.DUMMYFUNCTION("""COMPUTED_VALUE"""),7.4)</f>
        <v>7.4</v>
      </c>
      <c r="AK353" s="320">
        <f>IFERROR(__xludf.DUMMYFUNCTION("""COMPUTED_VALUE"""),0.2089)</f>
        <v>0.2089</v>
      </c>
      <c r="AL353" s="320">
        <f>IFERROR(__xludf.DUMMYFUNCTION("""COMPUTED_VALUE"""),21.36)</f>
        <v>21.36</v>
      </c>
      <c r="AM353" s="320">
        <f>IFERROR(__xludf.DUMMYFUNCTION("""COMPUTED_VALUE"""),80.19)</f>
        <v>80.19</v>
      </c>
      <c r="AN353" s="320">
        <f>IFERROR(__xludf.DUMMYFUNCTION("""COMPUTED_VALUE"""),77.86)</f>
        <v>77.86</v>
      </c>
      <c r="AO353" s="320">
        <f>IFERROR(__xludf.DUMMYFUNCTION("""COMPUTED_VALUE"""),16.63)</f>
        <v>16.63</v>
      </c>
    </row>
    <row r="354" ht="15.75" customHeight="1">
      <c r="A354" s="330">
        <f>IFERROR(__xludf.DUMMYFUNCTION("""COMPUTED_VALUE"""),46108.0)</f>
        <v>46108</v>
      </c>
      <c r="B354" s="319" t="str">
        <f>IFERROR(__xludf.DUMMYFUNCTION("""COMPUTED_VALUE"""),"E. 40-99")</f>
        <v>E. 40-99</v>
      </c>
      <c r="C354" s="320">
        <f>IFERROR(__xludf.DUMMYFUNCTION("""COMPUTED_VALUE"""),5711.0)</f>
        <v>5711</v>
      </c>
      <c r="D354" s="320">
        <f>IFERROR(__xludf.DUMMYFUNCTION("""COMPUTED_VALUE"""),5.55)</f>
        <v>5.55</v>
      </c>
      <c r="E354" s="320">
        <f>IFERROR(__xludf.DUMMYFUNCTION("""COMPUTED_VALUE"""),0.0)</f>
        <v>0</v>
      </c>
      <c r="F354" s="320">
        <f>IFERROR(__xludf.DUMMYFUNCTION("""COMPUTED_VALUE"""),0.0)</f>
        <v>0</v>
      </c>
      <c r="G354" s="320">
        <f>IFERROR(__xludf.DUMMYFUNCTION("""COMPUTED_VALUE"""),0.0)</f>
        <v>0</v>
      </c>
      <c r="H354" s="106"/>
      <c r="I354" s="320">
        <f>IFERROR(__xludf.DUMMYFUNCTION("""COMPUTED_VALUE"""),131.8)</f>
        <v>131.8</v>
      </c>
      <c r="J354" s="320">
        <f>IFERROR(__xludf.DUMMYFUNCTION("""COMPUTED_VALUE"""),71.44)</f>
        <v>71.44</v>
      </c>
      <c r="K354" s="320">
        <f>IFERROR(__xludf.DUMMYFUNCTION("""COMPUTED_VALUE"""),55.55)</f>
        <v>55.55</v>
      </c>
      <c r="L354" s="320">
        <f>IFERROR(__xludf.DUMMYFUNCTION("""COMPUTED_VALUE"""),0.7775)</f>
        <v>0.7775</v>
      </c>
      <c r="M354" s="320">
        <f>IFERROR(__xludf.DUMMYFUNCTION("""COMPUTED_VALUE"""),0.3973)</f>
        <v>0.3973</v>
      </c>
      <c r="N354" s="320">
        <f>IFERROR(__xludf.DUMMYFUNCTION("""COMPUTED_VALUE"""),0.2804)</f>
        <v>0.2804</v>
      </c>
      <c r="O354" s="320">
        <f>IFERROR(__xludf.DUMMYFUNCTION("""COMPUTED_VALUE"""),1.2862)</f>
        <v>1.2862</v>
      </c>
      <c r="P354" s="320">
        <f>IFERROR(__xludf.DUMMYFUNCTION("""COMPUTED_VALUE"""),278.85)</f>
        <v>278.85</v>
      </c>
      <c r="Q354" s="320">
        <f>IFERROR(__xludf.DUMMYFUNCTION("""COMPUTED_VALUE"""),161.49)</f>
        <v>161.49</v>
      </c>
      <c r="R354" s="320">
        <f>IFERROR(__xludf.DUMMYFUNCTION("""COMPUTED_VALUE"""),117.36)</f>
        <v>117.36</v>
      </c>
      <c r="S354" s="320">
        <f>IFERROR(__xludf.DUMMYFUNCTION("""COMPUTED_VALUE"""),0.0)</f>
        <v>0</v>
      </c>
      <c r="T354" s="320">
        <f>IFERROR(__xludf.DUMMYFUNCTION("""COMPUTED_VALUE"""),278.85)</f>
        <v>278.85</v>
      </c>
      <c r="U354" s="320">
        <f>IFERROR(__xludf.DUMMYFUNCTION("""COMPUTED_VALUE"""),309.84)</f>
        <v>309.84</v>
      </c>
      <c r="V354" s="320">
        <f>IFERROR(__xludf.DUMMYFUNCTION("""COMPUTED_VALUE"""),4.3368)</f>
        <v>4.3368</v>
      </c>
      <c r="W354" s="320">
        <f>IFERROR(__xludf.DUMMYFUNCTION("""COMPUTED_VALUE"""),0.0)</f>
        <v>0</v>
      </c>
      <c r="X354" s="320">
        <f>IFERROR(__xludf.DUMMYFUNCTION("""COMPUTED_VALUE"""),273.0)</f>
        <v>273</v>
      </c>
      <c r="Y354" s="320">
        <f>IFERROR(__xludf.DUMMYFUNCTION("""COMPUTED_VALUE"""),2098.0)</f>
        <v>2098</v>
      </c>
      <c r="Z354" s="320">
        <f>IFERROR(__xludf.DUMMYFUNCTION("""COMPUTED_VALUE"""),9095.0)</f>
        <v>9095</v>
      </c>
      <c r="AA354" s="320">
        <f>IFERROR(__xludf.DUMMYFUNCTION("""COMPUTED_VALUE"""),59.509)</f>
        <v>59.509</v>
      </c>
      <c r="AB354" s="320">
        <f>IFERROR(__xludf.DUMMYFUNCTION("""COMPUTED_VALUE"""),0.8369)</f>
        <v>0.8369</v>
      </c>
      <c r="AC354" s="320">
        <f>IFERROR(__xludf.DUMMYFUNCTION("""COMPUTED_VALUE"""),37.36)</f>
        <v>37.36</v>
      </c>
      <c r="AD354" s="320">
        <f>IFERROR(__xludf.DUMMYFUNCTION("""COMPUTED_VALUE"""),15.0)</f>
        <v>15</v>
      </c>
      <c r="AE354" s="320">
        <f>IFERROR(__xludf.DUMMYFUNCTION("""COMPUTED_VALUE"""),29.0)</f>
        <v>29</v>
      </c>
      <c r="AF354" s="320">
        <f>IFERROR(__xludf.DUMMYFUNCTION("""COMPUTED_VALUE"""),50.0)</f>
        <v>50</v>
      </c>
      <c r="AG354" s="320">
        <f>IFERROR(__xludf.DUMMYFUNCTION("""COMPUTED_VALUE"""),78.0)</f>
        <v>78</v>
      </c>
      <c r="AH354" s="320">
        <f>IFERROR(__xludf.DUMMYFUNCTION("""COMPUTED_VALUE"""),52.58)</f>
        <v>52.58</v>
      </c>
      <c r="AI354" s="320">
        <f>IFERROR(__xludf.DUMMYFUNCTION("""COMPUTED_VALUE"""),18.74)</f>
        <v>18.74</v>
      </c>
      <c r="AJ354" s="320">
        <f>IFERROR(__xludf.DUMMYFUNCTION("""COMPUTED_VALUE"""),5.03)</f>
        <v>5.03</v>
      </c>
      <c r="AK354" s="320">
        <f>IFERROR(__xludf.DUMMYFUNCTION("""COMPUTED_VALUE"""),0.1599)</f>
        <v>0.1599</v>
      </c>
      <c r="AL354" s="320">
        <f>IFERROR(__xludf.DUMMYFUNCTION("""COMPUTED_VALUE"""),21.94)</f>
        <v>21.94</v>
      </c>
      <c r="AM354" s="320">
        <f>IFERROR(__xludf.DUMMYFUNCTION("""COMPUTED_VALUE"""),139.56)</f>
        <v>139.56</v>
      </c>
      <c r="AN354" s="320">
        <f>IFERROR(__xludf.DUMMYFUNCTION("""COMPUTED_VALUE"""),83.35)</f>
        <v>83.35</v>
      </c>
      <c r="AO354" s="320">
        <f>IFERROR(__xludf.DUMMYFUNCTION("""COMPUTED_VALUE"""),18.29)</f>
        <v>18.29</v>
      </c>
    </row>
    <row r="355" ht="15.75" customHeight="1">
      <c r="A355" s="330">
        <f>IFERROR(__xludf.DUMMYFUNCTION("""COMPUTED_VALUE"""),46108.0)</f>
        <v>46108</v>
      </c>
      <c r="B355" s="319" t="str">
        <f>IFERROR(__xludf.DUMMYFUNCTION("""COMPUTED_VALUE"""),"F. 100+")</f>
        <v>F. 100+</v>
      </c>
      <c r="C355" s="320">
        <f>IFERROR(__xludf.DUMMYFUNCTION("""COMPUTED_VALUE"""),660.0)</f>
        <v>660</v>
      </c>
      <c r="D355" s="320">
        <f>IFERROR(__xludf.DUMMYFUNCTION("""COMPUTED_VALUE"""),0.64)</f>
        <v>0.64</v>
      </c>
      <c r="E355" s="320">
        <f>IFERROR(__xludf.DUMMYFUNCTION("""COMPUTED_VALUE"""),0.0)</f>
        <v>0</v>
      </c>
      <c r="F355" s="320">
        <f>IFERROR(__xludf.DUMMYFUNCTION("""COMPUTED_VALUE"""),0.0)</f>
        <v>0</v>
      </c>
      <c r="G355" s="320">
        <f>IFERROR(__xludf.DUMMYFUNCTION("""COMPUTED_VALUE"""),0.0)</f>
        <v>0</v>
      </c>
      <c r="H355" s="106"/>
      <c r="I355" s="320">
        <f>IFERROR(__xludf.DUMMYFUNCTION("""COMPUTED_VALUE"""),249.7)</f>
        <v>249.7</v>
      </c>
      <c r="J355" s="320">
        <f>IFERROR(__xludf.DUMMYFUNCTION("""COMPUTED_VALUE"""),145.6)</f>
        <v>145.6</v>
      </c>
      <c r="K355" s="320">
        <f>IFERROR(__xludf.DUMMYFUNCTION("""COMPUTED_VALUE"""),126.78)</f>
        <v>126.78</v>
      </c>
      <c r="L355" s="320">
        <f>IFERROR(__xludf.DUMMYFUNCTION("""COMPUTED_VALUE"""),0.8707)</f>
        <v>0.8707</v>
      </c>
      <c r="M355" s="320">
        <f>IFERROR(__xludf.DUMMYFUNCTION("""COMPUTED_VALUE"""),0.2806)</f>
        <v>0.2806</v>
      </c>
      <c r="N355" s="320">
        <f>IFERROR(__xludf.DUMMYFUNCTION("""COMPUTED_VALUE"""),0.2075)</f>
        <v>0.2075</v>
      </c>
      <c r="O355" s="320">
        <f>IFERROR(__xludf.DUMMYFUNCTION("""COMPUTED_VALUE"""),1.1484)</f>
        <v>1.1484</v>
      </c>
      <c r="P355" s="320">
        <f>IFERROR(__xludf.DUMMYFUNCTION("""COMPUTED_VALUE"""),584.56)</f>
        <v>584.56</v>
      </c>
      <c r="Q355" s="320">
        <f>IFERROR(__xludf.DUMMYFUNCTION("""COMPUTED_VALUE"""),315.64)</f>
        <v>315.64</v>
      </c>
      <c r="R355" s="320">
        <f>IFERROR(__xludf.DUMMYFUNCTION("""COMPUTED_VALUE"""),268.92)</f>
        <v>268.92</v>
      </c>
      <c r="S355" s="320">
        <f>IFERROR(__xludf.DUMMYFUNCTION("""COMPUTED_VALUE"""),0.0)</f>
        <v>0</v>
      </c>
      <c r="T355" s="320">
        <f>IFERROR(__xludf.DUMMYFUNCTION("""COMPUTED_VALUE"""),584.56)</f>
        <v>584.56</v>
      </c>
      <c r="U355" s="320">
        <f>IFERROR(__xludf.DUMMYFUNCTION("""COMPUTED_VALUE"""),638.48)</f>
        <v>638.48</v>
      </c>
      <c r="V355" s="320">
        <f>IFERROR(__xludf.DUMMYFUNCTION("""COMPUTED_VALUE"""),4.3852)</f>
        <v>4.3852</v>
      </c>
      <c r="W355" s="320">
        <f>IFERROR(__xludf.DUMMYFUNCTION("""COMPUTED_VALUE"""),0.0)</f>
        <v>0</v>
      </c>
      <c r="X355" s="320">
        <f>IFERROR(__xludf.DUMMYFUNCTION("""COMPUTED_VALUE"""),764.0)</f>
        <v>764</v>
      </c>
      <c r="Y355" s="320">
        <f>IFERROR(__xludf.DUMMYFUNCTION("""COMPUTED_VALUE"""),3936.0)</f>
        <v>3936</v>
      </c>
      <c r="Z355" s="320">
        <f>IFERROR(__xludf.DUMMYFUNCTION("""COMPUTED_VALUE"""),10817.0)</f>
        <v>10817</v>
      </c>
      <c r="AA355" s="320">
        <f>IFERROR(__xludf.DUMMYFUNCTION("""COMPUTED_VALUE"""),62.8993)</f>
        <v>62.8993</v>
      </c>
      <c r="AB355" s="320">
        <f>IFERROR(__xludf.DUMMYFUNCTION("""COMPUTED_VALUE"""),0.9051)</f>
        <v>0.9051</v>
      </c>
      <c r="AC355" s="320">
        <f>IFERROR(__xludf.DUMMYFUNCTION("""COMPUTED_VALUE"""),88.94)</f>
        <v>88.94</v>
      </c>
      <c r="AD355" s="320">
        <f>IFERROR(__xludf.DUMMYFUNCTION("""COMPUTED_VALUE"""),37.0)</f>
        <v>37</v>
      </c>
      <c r="AE355" s="320">
        <f>IFERROR(__xludf.DUMMYFUNCTION("""COMPUTED_VALUE"""),75.0)</f>
        <v>75</v>
      </c>
      <c r="AF355" s="320">
        <f>IFERROR(__xludf.DUMMYFUNCTION("""COMPUTED_VALUE"""),127.0)</f>
        <v>127</v>
      </c>
      <c r="AG355" s="320">
        <f>IFERROR(__xludf.DUMMYFUNCTION("""COMPUTED_VALUE"""),178.0)</f>
        <v>178</v>
      </c>
      <c r="AH355" s="320">
        <f>IFERROR(__xludf.DUMMYFUNCTION("""COMPUTED_VALUE"""),47.42)</f>
        <v>47.42</v>
      </c>
      <c r="AI355" s="320">
        <f>IFERROR(__xludf.DUMMYFUNCTION("""COMPUTED_VALUE"""),10.91)</f>
        <v>10.91</v>
      </c>
      <c r="AJ355" s="320">
        <f>IFERROR(__xludf.DUMMYFUNCTION("""COMPUTED_VALUE"""),1.36)</f>
        <v>1.36</v>
      </c>
      <c r="AK355" s="320">
        <f>IFERROR(__xludf.DUMMYFUNCTION("""COMPUTED_VALUE"""),0.0894)</f>
        <v>0.0894</v>
      </c>
      <c r="AL355" s="320">
        <f>IFERROR(__xludf.DUMMYFUNCTION("""COMPUTED_VALUE"""),23.79)</f>
        <v>23.79</v>
      </c>
      <c r="AM355" s="320">
        <f>IFERROR(__xludf.DUMMYFUNCTION("""COMPUTED_VALUE"""),291.85)</f>
        <v>291.85</v>
      </c>
      <c r="AN355" s="320">
        <f>IFERROR(__xludf.DUMMYFUNCTION("""COMPUTED_VALUE"""),84.65)</f>
        <v>84.65</v>
      </c>
      <c r="AO355" s="320">
        <f>IFERROR(__xludf.DUMMYFUNCTION("""COMPUTED_VALUE"""),20.14)</f>
        <v>20.14</v>
      </c>
    </row>
    <row r="356" ht="15.75" customHeight="1">
      <c r="A356" s="330">
        <f>IFERROR(__xludf.DUMMYFUNCTION("""COMPUTED_VALUE"""),46109.0)</f>
        <v>46109</v>
      </c>
      <c r="B356" s="319" t="str">
        <f>IFERROR(__xludf.DUMMYFUNCTION("""COMPUTED_VALUE"""),"A. 0")</f>
        <v>A. 0</v>
      </c>
      <c r="C356" s="320">
        <f>IFERROR(__xludf.DUMMYFUNCTION("""COMPUTED_VALUE"""),19004.0)</f>
        <v>19004</v>
      </c>
      <c r="D356" s="320">
        <f>IFERROR(__xludf.DUMMYFUNCTION("""COMPUTED_VALUE"""),18.74)</f>
        <v>18.74</v>
      </c>
      <c r="E356" s="320">
        <f>IFERROR(__xludf.DUMMYFUNCTION("""COMPUTED_VALUE"""),0.0)</f>
        <v>0</v>
      </c>
      <c r="F356" s="320">
        <f>IFERROR(__xludf.DUMMYFUNCTION("""COMPUTED_VALUE"""),0.0)</f>
        <v>0</v>
      </c>
      <c r="G356" s="320">
        <f>IFERROR(__xludf.DUMMYFUNCTION("""COMPUTED_VALUE"""),0.0)</f>
        <v>0</v>
      </c>
      <c r="H356" s="106"/>
      <c r="I356" s="320">
        <f>IFERROR(__xludf.DUMMYFUNCTION("""COMPUTED_VALUE"""),5.85)</f>
        <v>5.85</v>
      </c>
      <c r="J356" s="320">
        <f>IFERROR(__xludf.DUMMYFUNCTION("""COMPUTED_VALUE"""),2.43)</f>
        <v>2.43</v>
      </c>
      <c r="K356" s="320">
        <f>IFERROR(__xludf.DUMMYFUNCTION("""COMPUTED_VALUE"""),0.04)</f>
        <v>0.04</v>
      </c>
      <c r="L356" s="320">
        <f>IFERROR(__xludf.DUMMYFUNCTION("""COMPUTED_VALUE"""),0.0154)</f>
        <v>0.0154</v>
      </c>
      <c r="M356" s="320">
        <f>IFERROR(__xludf.DUMMYFUNCTION("""COMPUTED_VALUE"""),0.9882)</f>
        <v>0.9882</v>
      </c>
      <c r="N356" s="320">
        <f>IFERROR(__xludf.DUMMYFUNCTION("""COMPUTED_VALUE"""),0.8591)</f>
        <v>0.8591</v>
      </c>
      <c r="O356" s="320">
        <f>IFERROR(__xludf.DUMMYFUNCTION("""COMPUTED_VALUE"""),65.1427)</f>
        <v>65.1427</v>
      </c>
      <c r="P356" s="320">
        <f>IFERROR(__xludf.DUMMYFUNCTION("""COMPUTED_VALUE"""),25.55)</f>
        <v>25.55</v>
      </c>
      <c r="Q356" s="320">
        <f>IFERROR(__xludf.DUMMYFUNCTION("""COMPUTED_VALUE"""),25.43)</f>
        <v>25.43</v>
      </c>
      <c r="R356" s="320">
        <f>IFERROR(__xludf.DUMMYFUNCTION("""COMPUTED_VALUE"""),0.12)</f>
        <v>0.12</v>
      </c>
      <c r="S356" s="320">
        <f>IFERROR(__xludf.DUMMYFUNCTION("""COMPUTED_VALUE"""),0.0)</f>
        <v>0</v>
      </c>
      <c r="T356" s="320">
        <f>IFERROR(__xludf.DUMMYFUNCTION("""COMPUTED_VALUE"""),25.55)</f>
        <v>25.55</v>
      </c>
      <c r="U356" s="320">
        <f>IFERROR(__xludf.DUMMYFUNCTION("""COMPUTED_VALUE"""),2.01)</f>
        <v>2.01</v>
      </c>
      <c r="V356" s="320">
        <f>IFERROR(__xludf.DUMMYFUNCTION("""COMPUTED_VALUE"""),0.8272)</f>
        <v>0.8272</v>
      </c>
      <c r="W356" s="320">
        <f>IFERROR(__xludf.DUMMYFUNCTION("""COMPUTED_VALUE"""),0.0)</f>
        <v>0</v>
      </c>
      <c r="X356" s="320">
        <f>IFERROR(__xludf.DUMMYFUNCTION("""COMPUTED_VALUE"""),304.0)</f>
        <v>304</v>
      </c>
      <c r="Y356" s="320">
        <f>IFERROR(__xludf.DUMMYFUNCTION("""COMPUTED_VALUE"""),3560.0)</f>
        <v>3560</v>
      </c>
      <c r="Z356" s="320">
        <f>IFERROR(__xludf.DUMMYFUNCTION("""COMPUTED_VALUE"""),14871.0)</f>
        <v>14871</v>
      </c>
      <c r="AA356" s="320">
        <f>IFERROR(__xludf.DUMMYFUNCTION("""COMPUTED_VALUE"""),48.8852)</f>
        <v>48.8852</v>
      </c>
      <c r="AB356" s="320">
        <f>IFERROR(__xludf.DUMMYFUNCTION("""COMPUTED_VALUE"""),0.5381)</f>
        <v>0.5381</v>
      </c>
      <c r="AC356" s="106"/>
      <c r="AD356" s="106"/>
      <c r="AE356" s="106"/>
      <c r="AF356" s="106"/>
      <c r="AG356" s="106"/>
      <c r="AH356" s="320">
        <f>IFERROR(__xludf.DUMMYFUNCTION("""COMPUTED_VALUE"""),0.0)</f>
        <v>0</v>
      </c>
      <c r="AI356" s="320">
        <f>IFERROR(__xludf.DUMMYFUNCTION("""COMPUTED_VALUE"""),0.0)</f>
        <v>0</v>
      </c>
      <c r="AJ356" s="320">
        <f>IFERROR(__xludf.DUMMYFUNCTION("""COMPUTED_VALUE"""),0.0)</f>
        <v>0</v>
      </c>
      <c r="AK356" s="320">
        <f>IFERROR(__xludf.DUMMYFUNCTION("""COMPUTED_VALUE"""),0.2941)</f>
        <v>0.2941</v>
      </c>
      <c r="AL356" s="320">
        <f>IFERROR(__xludf.DUMMYFUNCTION("""COMPUTED_VALUE"""),19.23)</f>
        <v>19.23</v>
      </c>
      <c r="AM356" s="320">
        <f>IFERROR(__xludf.DUMMYFUNCTION("""COMPUTED_VALUE"""),6.2)</f>
        <v>6.2</v>
      </c>
      <c r="AN356" s="331"/>
      <c r="AO356" s="331"/>
    </row>
    <row r="357" ht="15.75" customHeight="1">
      <c r="A357" s="330">
        <f>IFERROR(__xludf.DUMMYFUNCTION("""COMPUTED_VALUE"""),46109.0)</f>
        <v>46109</v>
      </c>
      <c r="B357" s="319" t="str">
        <f>IFERROR(__xludf.DUMMYFUNCTION("""COMPUTED_VALUE"""),"B. 1-9")</f>
        <v>B. 1-9</v>
      </c>
      <c r="C357" s="320">
        <f>IFERROR(__xludf.DUMMYFUNCTION("""COMPUTED_VALUE"""),36824.0)</f>
        <v>36824</v>
      </c>
      <c r="D357" s="320">
        <f>IFERROR(__xludf.DUMMYFUNCTION("""COMPUTED_VALUE"""),36.32)</f>
        <v>36.32</v>
      </c>
      <c r="E357" s="320">
        <f>IFERROR(__xludf.DUMMYFUNCTION("""COMPUTED_VALUE"""),0.0)</f>
        <v>0</v>
      </c>
      <c r="F357" s="320">
        <f>IFERROR(__xludf.DUMMYFUNCTION("""COMPUTED_VALUE"""),0.0)</f>
        <v>0</v>
      </c>
      <c r="G357" s="320">
        <f>IFERROR(__xludf.DUMMYFUNCTION("""COMPUTED_VALUE"""),0.0)</f>
        <v>0</v>
      </c>
      <c r="H357" s="106"/>
      <c r="I357" s="320">
        <f>IFERROR(__xludf.DUMMYFUNCTION("""COMPUTED_VALUE"""),29.47)</f>
        <v>29.47</v>
      </c>
      <c r="J357" s="320">
        <f>IFERROR(__xludf.DUMMYFUNCTION("""COMPUTED_VALUE"""),13.54)</f>
        <v>13.54</v>
      </c>
      <c r="K357" s="320">
        <f>IFERROR(__xludf.DUMMYFUNCTION("""COMPUTED_VALUE"""),5.86)</f>
        <v>5.86</v>
      </c>
      <c r="L357" s="320">
        <f>IFERROR(__xludf.DUMMYFUNCTION("""COMPUTED_VALUE"""),0.4329)</f>
        <v>0.4329</v>
      </c>
      <c r="M357" s="320">
        <f>IFERROR(__xludf.DUMMYFUNCTION("""COMPUTED_VALUE"""),0.7417)</f>
        <v>0.7417</v>
      </c>
      <c r="N357" s="320">
        <f>IFERROR(__xludf.DUMMYFUNCTION("""COMPUTED_VALUE"""),0.5438)</f>
        <v>0.5438</v>
      </c>
      <c r="O357" s="320">
        <f>IFERROR(__xludf.DUMMYFUNCTION("""COMPUTED_VALUE"""),2.3101)</f>
        <v>2.3101</v>
      </c>
      <c r="P357" s="320">
        <f>IFERROR(__xludf.DUMMYFUNCTION("""COMPUTED_VALUE"""),53.65)</f>
        <v>53.65</v>
      </c>
      <c r="Q357" s="320">
        <f>IFERROR(__xludf.DUMMYFUNCTION("""COMPUTED_VALUE"""),41.6)</f>
        <v>41.6</v>
      </c>
      <c r="R357" s="320">
        <f>IFERROR(__xludf.DUMMYFUNCTION("""COMPUTED_VALUE"""),12.05)</f>
        <v>12.05</v>
      </c>
      <c r="S357" s="320">
        <f>IFERROR(__xludf.DUMMYFUNCTION("""COMPUTED_VALUE"""),0.0)</f>
        <v>0</v>
      </c>
      <c r="T357" s="320">
        <f>IFERROR(__xludf.DUMMYFUNCTION("""COMPUTED_VALUE"""),53.65)</f>
        <v>53.65</v>
      </c>
      <c r="U357" s="320">
        <f>IFERROR(__xludf.DUMMYFUNCTION("""COMPUTED_VALUE"""),53.64)</f>
        <v>53.64</v>
      </c>
      <c r="V357" s="320">
        <f>IFERROR(__xludf.DUMMYFUNCTION("""COMPUTED_VALUE"""),3.9613)</f>
        <v>3.9613</v>
      </c>
      <c r="W357" s="320">
        <f>IFERROR(__xludf.DUMMYFUNCTION("""COMPUTED_VALUE"""),0.0)</f>
        <v>0</v>
      </c>
      <c r="X357" s="320">
        <f>IFERROR(__xludf.DUMMYFUNCTION("""COMPUTED_VALUE"""),144.0)</f>
        <v>144</v>
      </c>
      <c r="Y357" s="320">
        <f>IFERROR(__xludf.DUMMYFUNCTION("""COMPUTED_VALUE"""),897.0)</f>
        <v>897</v>
      </c>
      <c r="Z357" s="320">
        <f>IFERROR(__xludf.DUMMYFUNCTION("""COMPUTED_VALUE"""),6075.0)</f>
        <v>6075</v>
      </c>
      <c r="AA357" s="320">
        <f>IFERROR(__xludf.DUMMYFUNCTION("""COMPUTED_VALUE"""),48.7652)</f>
        <v>48.7652</v>
      </c>
      <c r="AB357" s="320">
        <f>IFERROR(__xludf.DUMMYFUNCTION("""COMPUTED_VALUE"""),0.5365)</f>
        <v>0.5365</v>
      </c>
      <c r="AC357" s="320">
        <f>IFERROR(__xludf.DUMMYFUNCTION("""COMPUTED_VALUE"""),4.14)</f>
        <v>4.14</v>
      </c>
      <c r="AD357" s="320">
        <f>IFERROR(__xludf.DUMMYFUNCTION("""COMPUTED_VALUE"""),1.0)</f>
        <v>1</v>
      </c>
      <c r="AE357" s="320">
        <f>IFERROR(__xludf.DUMMYFUNCTION("""COMPUTED_VALUE"""),3.0)</f>
        <v>3</v>
      </c>
      <c r="AF357" s="320">
        <f>IFERROR(__xludf.DUMMYFUNCTION("""COMPUTED_VALUE"""),5.0)</f>
        <v>5</v>
      </c>
      <c r="AG357" s="320">
        <f>IFERROR(__xludf.DUMMYFUNCTION("""COMPUTED_VALUE"""),9.0)</f>
        <v>9</v>
      </c>
      <c r="AH357" s="320">
        <f>IFERROR(__xludf.DUMMYFUNCTION("""COMPUTED_VALUE"""),73.61)</f>
        <v>73.61</v>
      </c>
      <c r="AI357" s="320">
        <f>IFERROR(__xludf.DUMMYFUNCTION("""COMPUTED_VALUE"""),31.97)</f>
        <v>31.97</v>
      </c>
      <c r="AJ357" s="320">
        <f>IFERROR(__xludf.DUMMYFUNCTION("""COMPUTED_VALUE"""),9.64)</f>
        <v>9.64</v>
      </c>
      <c r="AK357" s="320">
        <f>IFERROR(__xludf.DUMMYFUNCTION("""COMPUTED_VALUE"""),0.2519)</f>
        <v>0.2519</v>
      </c>
      <c r="AL357" s="320">
        <f>IFERROR(__xludf.DUMMYFUNCTION("""COMPUTED_VALUE"""),22.27)</f>
        <v>22.27</v>
      </c>
      <c r="AM357" s="320">
        <f>IFERROR(__xludf.DUMMYFUNCTION("""COMPUTED_VALUE"""),19.32)</f>
        <v>19.32</v>
      </c>
      <c r="AN357" s="320">
        <f>IFERROR(__xludf.DUMMYFUNCTION("""COMPUTED_VALUE"""),65.74)</f>
        <v>65.74</v>
      </c>
      <c r="AO357" s="320">
        <f>IFERROR(__xludf.DUMMYFUNCTION("""COMPUTED_VALUE"""),14.64)</f>
        <v>14.64</v>
      </c>
    </row>
    <row r="358" ht="15.75" customHeight="1">
      <c r="A358" s="330">
        <f>IFERROR(__xludf.DUMMYFUNCTION("""COMPUTED_VALUE"""),46109.0)</f>
        <v>46109</v>
      </c>
      <c r="B358" s="319" t="str">
        <f>IFERROR(__xludf.DUMMYFUNCTION("""COMPUTED_VALUE"""),"C. 10-19")</f>
        <v>C. 10-19</v>
      </c>
      <c r="C358" s="320">
        <f>IFERROR(__xludf.DUMMYFUNCTION("""COMPUTED_VALUE"""),25093.0)</f>
        <v>25093</v>
      </c>
      <c r="D358" s="320">
        <f>IFERROR(__xludf.DUMMYFUNCTION("""COMPUTED_VALUE"""),24.75)</f>
        <v>24.75</v>
      </c>
      <c r="E358" s="320">
        <f>IFERROR(__xludf.DUMMYFUNCTION("""COMPUTED_VALUE"""),0.0)</f>
        <v>0</v>
      </c>
      <c r="F358" s="320">
        <f>IFERROR(__xludf.DUMMYFUNCTION("""COMPUTED_VALUE"""),0.0)</f>
        <v>0</v>
      </c>
      <c r="G358" s="320">
        <f>IFERROR(__xludf.DUMMYFUNCTION("""COMPUTED_VALUE"""),0.0)</f>
        <v>0</v>
      </c>
      <c r="H358" s="106"/>
      <c r="I358" s="320">
        <f>IFERROR(__xludf.DUMMYFUNCTION("""COMPUTED_VALUE"""),53.35)</f>
        <v>53.35</v>
      </c>
      <c r="J358" s="320">
        <f>IFERROR(__xludf.DUMMYFUNCTION("""COMPUTED_VALUE"""),25.58)</f>
        <v>25.58</v>
      </c>
      <c r="K358" s="320">
        <f>IFERROR(__xludf.DUMMYFUNCTION("""COMPUTED_VALUE"""),14.04)</f>
        <v>14.04</v>
      </c>
      <c r="L358" s="320">
        <f>IFERROR(__xludf.DUMMYFUNCTION("""COMPUTED_VALUE"""),0.5488)</f>
        <v>0.5488</v>
      </c>
      <c r="M358" s="320">
        <f>IFERROR(__xludf.DUMMYFUNCTION("""COMPUTED_VALUE"""),0.6451)</f>
        <v>0.6451</v>
      </c>
      <c r="N358" s="320">
        <f>IFERROR(__xludf.DUMMYFUNCTION("""COMPUTED_VALUE"""),0.4523)</f>
        <v>0.4523</v>
      </c>
      <c r="O358" s="320">
        <f>IFERROR(__xludf.DUMMYFUNCTION("""COMPUTED_VALUE"""),1.8221)</f>
        <v>1.8221</v>
      </c>
      <c r="P358" s="320">
        <f>IFERROR(__xludf.DUMMYFUNCTION("""COMPUTED_VALUE"""),95.11)</f>
        <v>95.11</v>
      </c>
      <c r="Q358" s="320">
        <f>IFERROR(__xludf.DUMMYFUNCTION("""COMPUTED_VALUE"""),65.94)</f>
        <v>65.94</v>
      </c>
      <c r="R358" s="320">
        <f>IFERROR(__xludf.DUMMYFUNCTION("""COMPUTED_VALUE"""),29.18)</f>
        <v>29.18</v>
      </c>
      <c r="S358" s="320">
        <f>IFERROR(__xludf.DUMMYFUNCTION("""COMPUTED_VALUE"""),0.04)</f>
        <v>0.04</v>
      </c>
      <c r="T358" s="320">
        <f>IFERROR(__xludf.DUMMYFUNCTION("""COMPUTED_VALUE"""),95.08)</f>
        <v>95.08</v>
      </c>
      <c r="U358" s="320">
        <f>IFERROR(__xludf.DUMMYFUNCTION("""COMPUTED_VALUE"""),97.98)</f>
        <v>97.98</v>
      </c>
      <c r="V358" s="320">
        <f>IFERROR(__xludf.DUMMYFUNCTION("""COMPUTED_VALUE"""),3.831)</f>
        <v>3.831</v>
      </c>
      <c r="W358" s="320">
        <f>IFERROR(__xludf.DUMMYFUNCTION("""COMPUTED_VALUE"""),0.04)</f>
        <v>0.04</v>
      </c>
      <c r="X358" s="320">
        <f>IFERROR(__xludf.DUMMYFUNCTION("""COMPUTED_VALUE"""),125.0)</f>
        <v>125</v>
      </c>
      <c r="Y358" s="320">
        <f>IFERROR(__xludf.DUMMYFUNCTION("""COMPUTED_VALUE"""),672.0)</f>
        <v>672</v>
      </c>
      <c r="Z358" s="320">
        <f>IFERROR(__xludf.DUMMYFUNCTION("""COMPUTED_VALUE"""),4869.0)</f>
        <v>4869</v>
      </c>
      <c r="AA358" s="320">
        <f>IFERROR(__xludf.DUMMYFUNCTION("""COMPUTED_VALUE"""),52.3429)</f>
        <v>52.3429</v>
      </c>
      <c r="AB358" s="320">
        <f>IFERROR(__xludf.DUMMYFUNCTION("""COMPUTED_VALUE"""),0.6379)</f>
        <v>0.6379</v>
      </c>
      <c r="AC358" s="320">
        <f>IFERROR(__xludf.DUMMYFUNCTION("""COMPUTED_VALUE"""),9.55)</f>
        <v>9.55</v>
      </c>
      <c r="AD358" s="320">
        <f>IFERROR(__xludf.DUMMYFUNCTION("""COMPUTED_VALUE"""),4.0)</f>
        <v>4</v>
      </c>
      <c r="AE358" s="320">
        <f>IFERROR(__xludf.DUMMYFUNCTION("""COMPUTED_VALUE"""),8.0)</f>
        <v>8</v>
      </c>
      <c r="AF358" s="320">
        <f>IFERROR(__xludf.DUMMYFUNCTION("""COMPUTED_VALUE"""),13.0)</f>
        <v>13</v>
      </c>
      <c r="AG358" s="320">
        <f>IFERROR(__xludf.DUMMYFUNCTION("""COMPUTED_VALUE"""),20.0)</f>
        <v>20</v>
      </c>
      <c r="AH358" s="320">
        <f>IFERROR(__xludf.DUMMYFUNCTION("""COMPUTED_VALUE"""),61.42)</f>
        <v>61.42</v>
      </c>
      <c r="AI358" s="320">
        <f>IFERROR(__xludf.DUMMYFUNCTION("""COMPUTED_VALUE"""),26.33)</f>
        <v>26.33</v>
      </c>
      <c r="AJ358" s="320">
        <f>IFERROR(__xludf.DUMMYFUNCTION("""COMPUTED_VALUE"""),4.83)</f>
        <v>4.83</v>
      </c>
      <c r="AK358" s="320">
        <f>IFERROR(__xludf.DUMMYFUNCTION("""COMPUTED_VALUE"""),0.2026)</f>
        <v>0.2026</v>
      </c>
      <c r="AL358" s="320">
        <f>IFERROR(__xludf.DUMMYFUNCTION("""COMPUTED_VALUE"""),23.12)</f>
        <v>23.12</v>
      </c>
      <c r="AM358" s="320">
        <f>IFERROR(__xludf.DUMMYFUNCTION("""COMPUTED_VALUE"""),42.82)</f>
        <v>42.82</v>
      </c>
      <c r="AN358" s="320">
        <f>IFERROR(__xludf.DUMMYFUNCTION("""COMPUTED_VALUE"""),74.94)</f>
        <v>74.94</v>
      </c>
      <c r="AO358" s="320">
        <f>IFERROR(__xludf.DUMMYFUNCTION("""COMPUTED_VALUE"""),17.33)</f>
        <v>17.33</v>
      </c>
    </row>
    <row r="359" ht="15.75" customHeight="1">
      <c r="A359" s="330">
        <f>IFERROR(__xludf.DUMMYFUNCTION("""COMPUTED_VALUE"""),46109.0)</f>
        <v>46109</v>
      </c>
      <c r="B359" s="319" t="str">
        <f>IFERROR(__xludf.DUMMYFUNCTION("""COMPUTED_VALUE"""),"D. 20-39")</f>
        <v>D. 20-39</v>
      </c>
      <c r="C359" s="320">
        <f>IFERROR(__xludf.DUMMYFUNCTION("""COMPUTED_VALUE"""),14068.0)</f>
        <v>14068</v>
      </c>
      <c r="D359" s="320">
        <f>IFERROR(__xludf.DUMMYFUNCTION("""COMPUTED_VALUE"""),13.88)</f>
        <v>13.88</v>
      </c>
      <c r="E359" s="320">
        <f>IFERROR(__xludf.DUMMYFUNCTION("""COMPUTED_VALUE"""),0.0)</f>
        <v>0</v>
      </c>
      <c r="F359" s="320">
        <f>IFERROR(__xludf.DUMMYFUNCTION("""COMPUTED_VALUE"""),0.0)</f>
        <v>0</v>
      </c>
      <c r="G359" s="320">
        <f>IFERROR(__xludf.DUMMYFUNCTION("""COMPUTED_VALUE"""),0.0)</f>
        <v>0</v>
      </c>
      <c r="H359" s="106"/>
      <c r="I359" s="320">
        <f>IFERROR(__xludf.DUMMYFUNCTION("""COMPUTED_VALUE"""),78.49)</f>
        <v>78.49</v>
      </c>
      <c r="J359" s="320">
        <f>IFERROR(__xludf.DUMMYFUNCTION("""COMPUTED_VALUE"""),39.8)</f>
        <v>39.8</v>
      </c>
      <c r="K359" s="320">
        <f>IFERROR(__xludf.DUMMYFUNCTION("""COMPUTED_VALUE"""),27.1)</f>
        <v>27.1</v>
      </c>
      <c r="L359" s="320">
        <f>IFERROR(__xludf.DUMMYFUNCTION("""COMPUTED_VALUE"""),0.6808)</f>
        <v>0.6808</v>
      </c>
      <c r="M359" s="320">
        <f>IFERROR(__xludf.DUMMYFUNCTION("""COMPUTED_VALUE"""),0.5118)</f>
        <v>0.5118</v>
      </c>
      <c r="N359" s="320">
        <f>IFERROR(__xludf.DUMMYFUNCTION("""COMPUTED_VALUE"""),0.3566)</f>
        <v>0.3566</v>
      </c>
      <c r="O359" s="320">
        <f>IFERROR(__xludf.DUMMYFUNCTION("""COMPUTED_VALUE"""),1.4689)</f>
        <v>1.4689</v>
      </c>
      <c r="P359" s="320">
        <f>IFERROR(__xludf.DUMMYFUNCTION("""COMPUTED_VALUE"""),163.16)</f>
        <v>163.16</v>
      </c>
      <c r="Q359" s="320">
        <f>IFERROR(__xludf.DUMMYFUNCTION("""COMPUTED_VALUE"""),106.09)</f>
        <v>106.09</v>
      </c>
      <c r="R359" s="320">
        <f>IFERROR(__xludf.DUMMYFUNCTION("""COMPUTED_VALUE"""),57.07)</f>
        <v>57.07</v>
      </c>
      <c r="S359" s="320">
        <f>IFERROR(__xludf.DUMMYFUNCTION("""COMPUTED_VALUE"""),0.0)</f>
        <v>0</v>
      </c>
      <c r="T359" s="320">
        <f>IFERROR(__xludf.DUMMYFUNCTION("""COMPUTED_VALUE"""),163.16)</f>
        <v>163.16</v>
      </c>
      <c r="U359" s="320">
        <f>IFERROR(__xludf.DUMMYFUNCTION("""COMPUTED_VALUE"""),166.39)</f>
        <v>166.39</v>
      </c>
      <c r="V359" s="320">
        <f>IFERROR(__xludf.DUMMYFUNCTION("""COMPUTED_VALUE"""),4.1802)</f>
        <v>4.1802</v>
      </c>
      <c r="W359" s="320">
        <f>IFERROR(__xludf.DUMMYFUNCTION("""COMPUTED_VALUE"""),0.0)</f>
        <v>0</v>
      </c>
      <c r="X359" s="320">
        <f>IFERROR(__xludf.DUMMYFUNCTION("""COMPUTED_VALUE"""),152.0)</f>
        <v>152</v>
      </c>
      <c r="Y359" s="320">
        <f>IFERROR(__xludf.DUMMYFUNCTION("""COMPUTED_VALUE"""),1016.0)</f>
        <v>1016</v>
      </c>
      <c r="Z359" s="320">
        <f>IFERROR(__xludf.DUMMYFUNCTION("""COMPUTED_VALUE"""),6558.0)</f>
        <v>6558</v>
      </c>
      <c r="AA359" s="320">
        <f>IFERROR(__xludf.DUMMYFUNCTION("""COMPUTED_VALUE"""),55.8089)</f>
        <v>55.8089</v>
      </c>
      <c r="AB359" s="320">
        <f>IFERROR(__xludf.DUMMYFUNCTION("""COMPUTED_VALUE"""),0.7431)</f>
        <v>0.7431</v>
      </c>
      <c r="AC359" s="320">
        <f>IFERROR(__xludf.DUMMYFUNCTION("""COMPUTED_VALUE"""),18.46)</f>
        <v>18.46</v>
      </c>
      <c r="AD359" s="320">
        <f>IFERROR(__xludf.DUMMYFUNCTION("""COMPUTED_VALUE"""),7.0)</f>
        <v>7</v>
      </c>
      <c r="AE359" s="320">
        <f>IFERROR(__xludf.DUMMYFUNCTION("""COMPUTED_VALUE"""),14.0)</f>
        <v>14</v>
      </c>
      <c r="AF359" s="320">
        <f>IFERROR(__xludf.DUMMYFUNCTION("""COMPUTED_VALUE"""),25.0)</f>
        <v>25</v>
      </c>
      <c r="AG359" s="320">
        <f>IFERROR(__xludf.DUMMYFUNCTION("""COMPUTED_VALUE"""),38.0)</f>
        <v>38</v>
      </c>
      <c r="AH359" s="320">
        <f>IFERROR(__xludf.DUMMYFUNCTION("""COMPUTED_VALUE"""),61.08)</f>
        <v>61.08</v>
      </c>
      <c r="AI359" s="320">
        <f>IFERROR(__xludf.DUMMYFUNCTION("""COMPUTED_VALUE"""),24.35)</f>
        <v>24.35</v>
      </c>
      <c r="AJ359" s="320">
        <f>IFERROR(__xludf.DUMMYFUNCTION("""COMPUTED_VALUE"""),7.89)</f>
        <v>7.89</v>
      </c>
      <c r="AK359" s="320">
        <f>IFERROR(__xludf.DUMMYFUNCTION("""COMPUTED_VALUE"""),0.1926)</f>
        <v>0.1926</v>
      </c>
      <c r="AL359" s="320">
        <f>IFERROR(__xludf.DUMMYFUNCTION("""COMPUTED_VALUE"""),23.15)</f>
        <v>23.15</v>
      </c>
      <c r="AM359" s="320">
        <f>IFERROR(__xludf.DUMMYFUNCTION("""COMPUTED_VALUE"""),82.94)</f>
        <v>82.94</v>
      </c>
      <c r="AN359" s="320">
        <f>IFERROR(__xludf.DUMMYFUNCTION("""COMPUTED_VALUE"""),77.01)</f>
        <v>77.01</v>
      </c>
      <c r="AO359" s="320">
        <f>IFERROR(__xludf.DUMMYFUNCTION("""COMPUTED_VALUE"""),17.83)</f>
        <v>17.83</v>
      </c>
    </row>
    <row r="360" ht="15.75" customHeight="1">
      <c r="A360" s="330">
        <f>IFERROR(__xludf.DUMMYFUNCTION("""COMPUTED_VALUE"""),46109.0)</f>
        <v>46109</v>
      </c>
      <c r="B360" s="319" t="str">
        <f>IFERROR(__xludf.DUMMYFUNCTION("""COMPUTED_VALUE"""),"E. 40-99")</f>
        <v>E. 40-99</v>
      </c>
      <c r="C360" s="320">
        <f>IFERROR(__xludf.DUMMYFUNCTION("""COMPUTED_VALUE"""),5765.0)</f>
        <v>5765</v>
      </c>
      <c r="D360" s="320">
        <f>IFERROR(__xludf.DUMMYFUNCTION("""COMPUTED_VALUE"""),5.69)</f>
        <v>5.69</v>
      </c>
      <c r="E360" s="320">
        <f>IFERROR(__xludf.DUMMYFUNCTION("""COMPUTED_VALUE"""),0.0)</f>
        <v>0</v>
      </c>
      <c r="F360" s="320">
        <f>IFERROR(__xludf.DUMMYFUNCTION("""COMPUTED_VALUE"""),0.0)</f>
        <v>0</v>
      </c>
      <c r="G360" s="320">
        <f>IFERROR(__xludf.DUMMYFUNCTION("""COMPUTED_VALUE"""),0.0)</f>
        <v>0</v>
      </c>
      <c r="H360" s="106"/>
      <c r="I360" s="320">
        <f>IFERROR(__xludf.DUMMYFUNCTION("""COMPUTED_VALUE"""),127.87)</f>
        <v>127.87</v>
      </c>
      <c r="J360" s="320">
        <f>IFERROR(__xludf.DUMMYFUNCTION("""COMPUTED_VALUE"""),69.54)</f>
        <v>69.54</v>
      </c>
      <c r="K360" s="320">
        <f>IFERROR(__xludf.DUMMYFUNCTION("""COMPUTED_VALUE"""),55.39)</f>
        <v>55.39</v>
      </c>
      <c r="L360" s="320">
        <f>IFERROR(__xludf.DUMMYFUNCTION("""COMPUTED_VALUE"""),0.7966)</f>
        <v>0.7966</v>
      </c>
      <c r="M360" s="320">
        <f>IFERROR(__xludf.DUMMYFUNCTION("""COMPUTED_VALUE"""),0.3824)</f>
        <v>0.3824</v>
      </c>
      <c r="N360" s="320">
        <f>IFERROR(__xludf.DUMMYFUNCTION("""COMPUTED_VALUE"""),0.276)</f>
        <v>0.276</v>
      </c>
      <c r="O360" s="320">
        <f>IFERROR(__xludf.DUMMYFUNCTION("""COMPUTED_VALUE"""),1.2554)</f>
        <v>1.2554</v>
      </c>
      <c r="P360" s="320">
        <f>IFERROR(__xludf.DUMMYFUNCTION("""COMPUTED_VALUE"""),315.4)</f>
        <v>315.4</v>
      </c>
      <c r="Q360" s="320">
        <f>IFERROR(__xludf.DUMMYFUNCTION("""COMPUTED_VALUE"""),198.6)</f>
        <v>198.6</v>
      </c>
      <c r="R360" s="320">
        <f>IFERROR(__xludf.DUMMYFUNCTION("""COMPUTED_VALUE"""),116.8)</f>
        <v>116.8</v>
      </c>
      <c r="S360" s="320">
        <f>IFERROR(__xludf.DUMMYFUNCTION("""COMPUTED_VALUE"""),0.0)</f>
        <v>0</v>
      </c>
      <c r="T360" s="320">
        <f>IFERROR(__xludf.DUMMYFUNCTION("""COMPUTED_VALUE"""),315.4)</f>
        <v>315.4</v>
      </c>
      <c r="U360" s="320">
        <f>IFERROR(__xludf.DUMMYFUNCTION("""COMPUTED_VALUE"""),316.09)</f>
        <v>316.09</v>
      </c>
      <c r="V360" s="320">
        <f>IFERROR(__xludf.DUMMYFUNCTION("""COMPUTED_VALUE"""),4.5456)</f>
        <v>4.5456</v>
      </c>
      <c r="W360" s="320">
        <f>IFERROR(__xludf.DUMMYFUNCTION("""COMPUTED_VALUE"""),0.0)</f>
        <v>0</v>
      </c>
      <c r="X360" s="320">
        <f>IFERROR(__xludf.DUMMYFUNCTION("""COMPUTED_VALUE"""),282.0)</f>
        <v>282</v>
      </c>
      <c r="Y360" s="320">
        <f>IFERROR(__xludf.DUMMYFUNCTION("""COMPUTED_VALUE"""),2018.0)</f>
        <v>2018</v>
      </c>
      <c r="Z360" s="320">
        <f>IFERROR(__xludf.DUMMYFUNCTION("""COMPUTED_VALUE"""),8761.0)</f>
        <v>8761</v>
      </c>
      <c r="AA360" s="320">
        <f>IFERROR(__xludf.DUMMYFUNCTION("""COMPUTED_VALUE"""),59.4792)</f>
        <v>59.4792</v>
      </c>
      <c r="AB360" s="320">
        <f>IFERROR(__xludf.DUMMYFUNCTION("""COMPUTED_VALUE"""),0.8339)</f>
        <v>0.8339</v>
      </c>
      <c r="AC360" s="320">
        <f>IFERROR(__xludf.DUMMYFUNCTION("""COMPUTED_VALUE"""),37.88)</f>
        <v>37.88</v>
      </c>
      <c r="AD360" s="320">
        <f>IFERROR(__xludf.DUMMYFUNCTION("""COMPUTED_VALUE"""),15.0)</f>
        <v>15</v>
      </c>
      <c r="AE360" s="320">
        <f>IFERROR(__xludf.DUMMYFUNCTION("""COMPUTED_VALUE"""),30.0)</f>
        <v>30</v>
      </c>
      <c r="AF360" s="320">
        <f>IFERROR(__xludf.DUMMYFUNCTION("""COMPUTED_VALUE"""),52.0)</f>
        <v>52</v>
      </c>
      <c r="AG360" s="320">
        <f>IFERROR(__xludf.DUMMYFUNCTION("""COMPUTED_VALUE"""),79.0)</f>
        <v>79</v>
      </c>
      <c r="AH360" s="320">
        <f>IFERROR(__xludf.DUMMYFUNCTION("""COMPUTED_VALUE"""),53.53)</f>
        <v>53.53</v>
      </c>
      <c r="AI360" s="320">
        <f>IFERROR(__xludf.DUMMYFUNCTION("""COMPUTED_VALUE"""),19.44)</f>
        <v>19.44</v>
      </c>
      <c r="AJ360" s="320">
        <f>IFERROR(__xludf.DUMMYFUNCTION("""COMPUTED_VALUE"""),5.03)</f>
        <v>5.03</v>
      </c>
      <c r="AK360" s="320">
        <f>IFERROR(__xludf.DUMMYFUNCTION("""COMPUTED_VALUE"""),0.1528)</f>
        <v>0.1528</v>
      </c>
      <c r="AL360" s="320">
        <f>IFERROR(__xludf.DUMMYFUNCTION("""COMPUTED_VALUE"""),23.34)</f>
        <v>23.34</v>
      </c>
      <c r="AM360" s="320">
        <f>IFERROR(__xludf.DUMMYFUNCTION("""COMPUTED_VALUE"""),175.26)</f>
        <v>175.26</v>
      </c>
      <c r="AN360" s="320">
        <f>IFERROR(__xludf.DUMMYFUNCTION("""COMPUTED_VALUE"""),81.67)</f>
        <v>81.67</v>
      </c>
      <c r="AO360" s="320">
        <f>IFERROR(__xludf.DUMMYFUNCTION("""COMPUTED_VALUE"""),19.06)</f>
        <v>19.06</v>
      </c>
    </row>
    <row r="361" ht="15.75" customHeight="1">
      <c r="A361" s="330">
        <f>IFERROR(__xludf.DUMMYFUNCTION("""COMPUTED_VALUE"""),46109.0)</f>
        <v>46109</v>
      </c>
      <c r="B361" s="319" t="str">
        <f>IFERROR(__xludf.DUMMYFUNCTION("""COMPUTED_VALUE"""),"F. 100+")</f>
        <v>F. 100+</v>
      </c>
      <c r="C361" s="320">
        <f>IFERROR(__xludf.DUMMYFUNCTION("""COMPUTED_VALUE"""),636.0)</f>
        <v>636</v>
      </c>
      <c r="D361" s="320">
        <f>IFERROR(__xludf.DUMMYFUNCTION("""COMPUTED_VALUE"""),0.63)</f>
        <v>0.63</v>
      </c>
      <c r="E361" s="320">
        <f>IFERROR(__xludf.DUMMYFUNCTION("""COMPUTED_VALUE"""),0.0)</f>
        <v>0</v>
      </c>
      <c r="F361" s="320">
        <f>IFERROR(__xludf.DUMMYFUNCTION("""COMPUTED_VALUE"""),0.0)</f>
        <v>0</v>
      </c>
      <c r="G361" s="320">
        <f>IFERROR(__xludf.DUMMYFUNCTION("""COMPUTED_VALUE"""),0.0)</f>
        <v>0</v>
      </c>
      <c r="H361" s="106"/>
      <c r="I361" s="320">
        <f>IFERROR(__xludf.DUMMYFUNCTION("""COMPUTED_VALUE"""),235.2)</f>
        <v>235.2</v>
      </c>
      <c r="J361" s="320">
        <f>IFERROR(__xludf.DUMMYFUNCTION("""COMPUTED_VALUE"""),138.78)</f>
        <v>138.78</v>
      </c>
      <c r="K361" s="320">
        <f>IFERROR(__xludf.DUMMYFUNCTION("""COMPUTED_VALUE"""),122.54)</f>
        <v>122.54</v>
      </c>
      <c r="L361" s="320">
        <f>IFERROR(__xludf.DUMMYFUNCTION("""COMPUTED_VALUE"""),0.883)</f>
        <v>0.883</v>
      </c>
      <c r="M361" s="320">
        <f>IFERROR(__xludf.DUMMYFUNCTION("""COMPUTED_VALUE"""),0.2697)</f>
        <v>0.2697</v>
      </c>
      <c r="N361" s="320">
        <f>IFERROR(__xludf.DUMMYFUNCTION("""COMPUTED_VALUE"""),0.2058)</f>
        <v>0.2058</v>
      </c>
      <c r="O361" s="320">
        <f>IFERROR(__xludf.DUMMYFUNCTION("""COMPUTED_VALUE"""),1.1325)</f>
        <v>1.1325</v>
      </c>
      <c r="P361" s="320">
        <f>IFERROR(__xludf.DUMMYFUNCTION("""COMPUTED_VALUE"""),642.91)</f>
        <v>642.91</v>
      </c>
      <c r="Q361" s="320">
        <f>IFERROR(__xludf.DUMMYFUNCTION("""COMPUTED_VALUE"""),385.64)</f>
        <v>385.64</v>
      </c>
      <c r="R361" s="320">
        <f>IFERROR(__xludf.DUMMYFUNCTION("""COMPUTED_VALUE"""),257.27)</f>
        <v>257.27</v>
      </c>
      <c r="S361" s="320">
        <f>IFERROR(__xludf.DUMMYFUNCTION("""COMPUTED_VALUE"""),0.0)</f>
        <v>0</v>
      </c>
      <c r="T361" s="320">
        <f>IFERROR(__xludf.DUMMYFUNCTION("""COMPUTED_VALUE"""),642.91)</f>
        <v>642.91</v>
      </c>
      <c r="U361" s="320">
        <f>IFERROR(__xludf.DUMMYFUNCTION("""COMPUTED_VALUE"""),612.34)</f>
        <v>612.34</v>
      </c>
      <c r="V361" s="320">
        <f>IFERROR(__xludf.DUMMYFUNCTION("""COMPUTED_VALUE"""),4.4124)</f>
        <v>4.4124</v>
      </c>
      <c r="W361" s="320">
        <f>IFERROR(__xludf.DUMMYFUNCTION("""COMPUTED_VALUE"""),0.0)</f>
        <v>0</v>
      </c>
      <c r="X361" s="320">
        <f>IFERROR(__xludf.DUMMYFUNCTION("""COMPUTED_VALUE"""),885.0)</f>
        <v>885</v>
      </c>
      <c r="Y361" s="320">
        <f>IFERROR(__xludf.DUMMYFUNCTION("""COMPUTED_VALUE"""),4634.0)</f>
        <v>4634</v>
      </c>
      <c r="Z361" s="320">
        <f>IFERROR(__xludf.DUMMYFUNCTION("""COMPUTED_VALUE"""),12266.0)</f>
        <v>12266</v>
      </c>
      <c r="AA361" s="320">
        <f>IFERROR(__xludf.DUMMYFUNCTION("""COMPUTED_VALUE"""),63.1233)</f>
        <v>63.1233</v>
      </c>
      <c r="AB361" s="320">
        <f>IFERROR(__xludf.DUMMYFUNCTION("""COMPUTED_VALUE"""),0.8932)</f>
        <v>0.8932</v>
      </c>
      <c r="AC361" s="320">
        <f>IFERROR(__xludf.DUMMYFUNCTION("""COMPUTED_VALUE"""),85.67)</f>
        <v>85.67</v>
      </c>
      <c r="AD361" s="320">
        <f>IFERROR(__xludf.DUMMYFUNCTION("""COMPUTED_VALUE"""),35.0)</f>
        <v>35</v>
      </c>
      <c r="AE361" s="320">
        <f>IFERROR(__xludf.DUMMYFUNCTION("""COMPUTED_VALUE"""),72.0)</f>
        <v>72</v>
      </c>
      <c r="AF361" s="320">
        <f>IFERROR(__xludf.DUMMYFUNCTION("""COMPUTED_VALUE"""),121.0)</f>
        <v>121</v>
      </c>
      <c r="AG361" s="320">
        <f>IFERROR(__xludf.DUMMYFUNCTION("""COMPUTED_VALUE"""),171.0)</f>
        <v>171</v>
      </c>
      <c r="AH361" s="320">
        <f>IFERROR(__xludf.DUMMYFUNCTION("""COMPUTED_VALUE"""),45.91)</f>
        <v>45.91</v>
      </c>
      <c r="AI361" s="320">
        <f>IFERROR(__xludf.DUMMYFUNCTION("""COMPUTED_VALUE"""),9.75)</f>
        <v>9.75</v>
      </c>
      <c r="AJ361" s="320">
        <f>IFERROR(__xludf.DUMMYFUNCTION("""COMPUTED_VALUE"""),0.94)</f>
        <v>0.94</v>
      </c>
      <c r="AK361" s="320">
        <f>IFERROR(__xludf.DUMMYFUNCTION("""COMPUTED_VALUE"""),0.1116)</f>
        <v>0.1116</v>
      </c>
      <c r="AL361" s="320">
        <f>IFERROR(__xludf.DUMMYFUNCTION("""COMPUTED_VALUE"""),23.69)</f>
        <v>23.69</v>
      </c>
      <c r="AM361" s="320">
        <f>IFERROR(__xludf.DUMMYFUNCTION("""COMPUTED_VALUE"""),361.95)</f>
        <v>361.95</v>
      </c>
      <c r="AN361" s="320">
        <f>IFERROR(__xludf.DUMMYFUNCTION("""COMPUTED_VALUE"""),84.86)</f>
        <v>84.86</v>
      </c>
      <c r="AO361" s="320">
        <f>IFERROR(__xludf.DUMMYFUNCTION("""COMPUTED_VALUE"""),20.1)</f>
        <v>20.1</v>
      </c>
    </row>
    <row r="362" ht="15.75" customHeight="1">
      <c r="A362" s="330">
        <f>IFERROR(__xludf.DUMMYFUNCTION("""COMPUTED_VALUE"""),46110.0)</f>
        <v>46110</v>
      </c>
      <c r="B362" s="319" t="str">
        <f>IFERROR(__xludf.DUMMYFUNCTION("""COMPUTED_VALUE"""),"A. 0")</f>
        <v>A. 0</v>
      </c>
      <c r="C362" s="320">
        <f>IFERROR(__xludf.DUMMYFUNCTION("""COMPUTED_VALUE"""),19282.0)</f>
        <v>19282</v>
      </c>
      <c r="D362" s="320">
        <f>IFERROR(__xludf.DUMMYFUNCTION("""COMPUTED_VALUE"""),18.76)</f>
        <v>18.76</v>
      </c>
      <c r="E362" s="320">
        <f>IFERROR(__xludf.DUMMYFUNCTION("""COMPUTED_VALUE"""),0.0)</f>
        <v>0</v>
      </c>
      <c r="F362" s="320">
        <f>IFERROR(__xludf.DUMMYFUNCTION("""COMPUTED_VALUE"""),0.0)</f>
        <v>0</v>
      </c>
      <c r="G362" s="320">
        <f>IFERROR(__xludf.DUMMYFUNCTION("""COMPUTED_VALUE"""),0.0)</f>
        <v>0</v>
      </c>
      <c r="H362" s="106"/>
      <c r="I362" s="320">
        <f>IFERROR(__xludf.DUMMYFUNCTION("""COMPUTED_VALUE"""),6.15)</f>
        <v>6.15</v>
      </c>
      <c r="J362" s="320">
        <f>IFERROR(__xludf.DUMMYFUNCTION("""COMPUTED_VALUE"""),2.55)</f>
        <v>2.55</v>
      </c>
      <c r="K362" s="320">
        <f>IFERROR(__xludf.DUMMYFUNCTION("""COMPUTED_VALUE"""),0.03)</f>
        <v>0.03</v>
      </c>
      <c r="L362" s="320">
        <f>IFERROR(__xludf.DUMMYFUNCTION("""COMPUTED_VALUE"""),0.0109)</f>
        <v>0.0109</v>
      </c>
      <c r="M362" s="320">
        <f>IFERROR(__xludf.DUMMYFUNCTION("""COMPUTED_VALUE"""),0.9912)</f>
        <v>0.9912</v>
      </c>
      <c r="N362" s="320">
        <f>IFERROR(__xludf.DUMMYFUNCTION("""COMPUTED_VALUE"""),0.8838)</f>
        <v>0.8838</v>
      </c>
      <c r="O362" s="320">
        <f>IFERROR(__xludf.DUMMYFUNCTION("""COMPUTED_VALUE"""),91.6499)</f>
        <v>91.6499</v>
      </c>
      <c r="P362" s="320">
        <f>IFERROR(__xludf.DUMMYFUNCTION("""COMPUTED_VALUE"""),24.31)</f>
        <v>24.31</v>
      </c>
      <c r="Q362" s="320">
        <f>IFERROR(__xludf.DUMMYFUNCTION("""COMPUTED_VALUE"""),23.93)</f>
        <v>23.93</v>
      </c>
      <c r="R362" s="320">
        <f>IFERROR(__xludf.DUMMYFUNCTION("""COMPUTED_VALUE"""),0.37)</f>
        <v>0.37</v>
      </c>
      <c r="S362" s="320">
        <f>IFERROR(__xludf.DUMMYFUNCTION("""COMPUTED_VALUE"""),0.0)</f>
        <v>0</v>
      </c>
      <c r="T362" s="320">
        <f>IFERROR(__xludf.DUMMYFUNCTION("""COMPUTED_VALUE"""),24.31)</f>
        <v>24.31</v>
      </c>
      <c r="U362" s="320">
        <f>IFERROR(__xludf.DUMMYFUNCTION("""COMPUTED_VALUE"""),1.89)</f>
        <v>1.89</v>
      </c>
      <c r="V362" s="320">
        <f>IFERROR(__xludf.DUMMYFUNCTION("""COMPUTED_VALUE"""),0.7396)</f>
        <v>0.7396</v>
      </c>
      <c r="W362" s="320">
        <f>IFERROR(__xludf.DUMMYFUNCTION("""COMPUTED_VALUE"""),0.0)</f>
        <v>0</v>
      </c>
      <c r="X362" s="320">
        <f>IFERROR(__xludf.DUMMYFUNCTION("""COMPUTED_VALUE"""),320.0)</f>
        <v>320</v>
      </c>
      <c r="Y362" s="320">
        <f>IFERROR(__xludf.DUMMYFUNCTION("""COMPUTED_VALUE"""),3928.0)</f>
        <v>3928</v>
      </c>
      <c r="Z362" s="320">
        <f>IFERROR(__xludf.DUMMYFUNCTION("""COMPUTED_VALUE"""),15316.0)</f>
        <v>15316</v>
      </c>
      <c r="AA362" s="320">
        <f>IFERROR(__xludf.DUMMYFUNCTION("""COMPUTED_VALUE"""),49.105)</f>
        <v>49.105</v>
      </c>
      <c r="AB362" s="320">
        <f>IFERROR(__xludf.DUMMYFUNCTION("""COMPUTED_VALUE"""),0.5489)</f>
        <v>0.5489</v>
      </c>
      <c r="AC362" s="106"/>
      <c r="AD362" s="106"/>
      <c r="AE362" s="106"/>
      <c r="AF362" s="106"/>
      <c r="AG362" s="106"/>
      <c r="AH362" s="320">
        <f>IFERROR(__xludf.DUMMYFUNCTION("""COMPUTED_VALUE"""),0.0)</f>
        <v>0</v>
      </c>
      <c r="AI362" s="320">
        <f>IFERROR(__xludf.DUMMYFUNCTION("""COMPUTED_VALUE"""),0.0)</f>
        <v>0</v>
      </c>
      <c r="AJ362" s="320">
        <f>IFERROR(__xludf.DUMMYFUNCTION("""COMPUTED_VALUE"""),0.0)</f>
        <v>0</v>
      </c>
      <c r="AK362" s="320">
        <f>IFERROR(__xludf.DUMMYFUNCTION("""COMPUTED_VALUE"""),0.29)</f>
        <v>0.29</v>
      </c>
      <c r="AL362" s="320">
        <f>IFERROR(__xludf.DUMMYFUNCTION("""COMPUTED_VALUE"""),19.44)</f>
        <v>19.44</v>
      </c>
      <c r="AM362" s="320">
        <f>IFERROR(__xludf.DUMMYFUNCTION("""COMPUTED_VALUE"""),4.49)</f>
        <v>4.49</v>
      </c>
      <c r="AN362" s="331"/>
      <c r="AO362" s="331"/>
    </row>
    <row r="363" ht="15.75" customHeight="1">
      <c r="A363" s="330">
        <f>IFERROR(__xludf.DUMMYFUNCTION("""COMPUTED_VALUE"""),46110.0)</f>
        <v>46110</v>
      </c>
      <c r="B363" s="319" t="str">
        <f>IFERROR(__xludf.DUMMYFUNCTION("""COMPUTED_VALUE"""),"B. 1-9")</f>
        <v>B. 1-9</v>
      </c>
      <c r="C363" s="320">
        <f>IFERROR(__xludf.DUMMYFUNCTION("""COMPUTED_VALUE"""),36913.0)</f>
        <v>36913</v>
      </c>
      <c r="D363" s="320">
        <f>IFERROR(__xludf.DUMMYFUNCTION("""COMPUTED_VALUE"""),35.91)</f>
        <v>35.91</v>
      </c>
      <c r="E363" s="320">
        <f>IFERROR(__xludf.DUMMYFUNCTION("""COMPUTED_VALUE"""),0.0)</f>
        <v>0</v>
      </c>
      <c r="F363" s="320">
        <f>IFERROR(__xludf.DUMMYFUNCTION("""COMPUTED_VALUE"""),0.0)</f>
        <v>0</v>
      </c>
      <c r="G363" s="320">
        <f>IFERROR(__xludf.DUMMYFUNCTION("""COMPUTED_VALUE"""),0.0)</f>
        <v>0</v>
      </c>
      <c r="H363" s="106"/>
      <c r="I363" s="320">
        <f>IFERROR(__xludf.DUMMYFUNCTION("""COMPUTED_VALUE"""),31.72)</f>
        <v>31.72</v>
      </c>
      <c r="J363" s="320">
        <f>IFERROR(__xludf.DUMMYFUNCTION("""COMPUTED_VALUE"""),14.7)</f>
        <v>14.7</v>
      </c>
      <c r="K363" s="320">
        <f>IFERROR(__xludf.DUMMYFUNCTION("""COMPUTED_VALUE"""),5.9)</f>
        <v>5.9</v>
      </c>
      <c r="L363" s="320">
        <f>IFERROR(__xludf.DUMMYFUNCTION("""COMPUTED_VALUE"""),0.4014)</f>
        <v>0.4014</v>
      </c>
      <c r="M363" s="320">
        <f>IFERROR(__xludf.DUMMYFUNCTION("""COMPUTED_VALUE"""),0.7633)</f>
        <v>0.7633</v>
      </c>
      <c r="N363" s="320">
        <f>IFERROR(__xludf.DUMMYFUNCTION("""COMPUTED_VALUE"""),0.5574)</f>
        <v>0.5574</v>
      </c>
      <c r="O363" s="320">
        <f>IFERROR(__xludf.DUMMYFUNCTION("""COMPUTED_VALUE"""),2.4916)</f>
        <v>2.4916</v>
      </c>
      <c r="P363" s="320">
        <f>IFERROR(__xludf.DUMMYFUNCTION("""COMPUTED_VALUE"""),47.62)</f>
        <v>47.62</v>
      </c>
      <c r="Q363" s="320">
        <f>IFERROR(__xludf.DUMMYFUNCTION("""COMPUTED_VALUE"""),35.47)</f>
        <v>35.47</v>
      </c>
      <c r="R363" s="320">
        <f>IFERROR(__xludf.DUMMYFUNCTION("""COMPUTED_VALUE"""),12.15)</f>
        <v>12.15</v>
      </c>
      <c r="S363" s="320">
        <f>IFERROR(__xludf.DUMMYFUNCTION("""COMPUTED_VALUE"""),0.05)</f>
        <v>0.05</v>
      </c>
      <c r="T363" s="320">
        <f>IFERROR(__xludf.DUMMYFUNCTION("""COMPUTED_VALUE"""),47.57)</f>
        <v>47.57</v>
      </c>
      <c r="U363" s="320">
        <f>IFERROR(__xludf.DUMMYFUNCTION("""COMPUTED_VALUE"""),52.16)</f>
        <v>52.16</v>
      </c>
      <c r="V363" s="320">
        <f>IFERROR(__xludf.DUMMYFUNCTION("""COMPUTED_VALUE"""),3.5483)</f>
        <v>3.5483</v>
      </c>
      <c r="W363" s="320">
        <f>IFERROR(__xludf.DUMMYFUNCTION("""COMPUTED_VALUE"""),0.1)</f>
        <v>0.1</v>
      </c>
      <c r="X363" s="320">
        <f>IFERROR(__xludf.DUMMYFUNCTION("""COMPUTED_VALUE"""),140.0)</f>
        <v>140</v>
      </c>
      <c r="Y363" s="320">
        <f>IFERROR(__xludf.DUMMYFUNCTION("""COMPUTED_VALUE"""),890.0)</f>
        <v>890</v>
      </c>
      <c r="Z363" s="320">
        <f>IFERROR(__xludf.DUMMYFUNCTION("""COMPUTED_VALUE"""),5967.0)</f>
        <v>5967</v>
      </c>
      <c r="AA363" s="320">
        <f>IFERROR(__xludf.DUMMYFUNCTION("""COMPUTED_VALUE"""),48.7801)</f>
        <v>48.7801</v>
      </c>
      <c r="AB363" s="320">
        <f>IFERROR(__xludf.DUMMYFUNCTION("""COMPUTED_VALUE"""),0.5386)</f>
        <v>0.5386</v>
      </c>
      <c r="AC363" s="320">
        <f>IFERROR(__xludf.DUMMYFUNCTION("""COMPUTED_VALUE"""),4.09)</f>
        <v>4.09</v>
      </c>
      <c r="AD363" s="320">
        <f>IFERROR(__xludf.DUMMYFUNCTION("""COMPUTED_VALUE"""),1.0)</f>
        <v>1</v>
      </c>
      <c r="AE363" s="320">
        <f>IFERROR(__xludf.DUMMYFUNCTION("""COMPUTED_VALUE"""),3.0)</f>
        <v>3</v>
      </c>
      <c r="AF363" s="320">
        <f>IFERROR(__xludf.DUMMYFUNCTION("""COMPUTED_VALUE"""),5.0)</f>
        <v>5</v>
      </c>
      <c r="AG363" s="320">
        <f>IFERROR(__xludf.DUMMYFUNCTION("""COMPUTED_VALUE"""),9.0)</f>
        <v>9</v>
      </c>
      <c r="AH363" s="320">
        <f>IFERROR(__xludf.DUMMYFUNCTION("""COMPUTED_VALUE"""),74.34)</f>
        <v>74.34</v>
      </c>
      <c r="AI363" s="320">
        <f>IFERROR(__xludf.DUMMYFUNCTION("""COMPUTED_VALUE"""),31.71)</f>
        <v>31.71</v>
      </c>
      <c r="AJ363" s="320">
        <f>IFERROR(__xludf.DUMMYFUNCTION("""COMPUTED_VALUE"""),8.96)</f>
        <v>8.96</v>
      </c>
      <c r="AK363" s="320">
        <f>IFERROR(__xludf.DUMMYFUNCTION("""COMPUTED_VALUE"""),0.2597)</f>
        <v>0.2597</v>
      </c>
      <c r="AL363" s="320">
        <f>IFERROR(__xludf.DUMMYFUNCTION("""COMPUTED_VALUE"""),20.76)</f>
        <v>20.76</v>
      </c>
      <c r="AM363" s="320">
        <f>IFERROR(__xludf.DUMMYFUNCTION("""COMPUTED_VALUE"""),14.71)</f>
        <v>14.71</v>
      </c>
      <c r="AN363" s="320">
        <f>IFERROR(__xludf.DUMMYFUNCTION("""COMPUTED_VALUE"""),65.5)</f>
        <v>65.5</v>
      </c>
      <c r="AO363" s="320">
        <f>IFERROR(__xludf.DUMMYFUNCTION("""COMPUTED_VALUE"""),13.6)</f>
        <v>13.6</v>
      </c>
    </row>
    <row r="364" ht="15.75" customHeight="1">
      <c r="A364" s="330">
        <f>IFERROR(__xludf.DUMMYFUNCTION("""COMPUTED_VALUE"""),46110.0)</f>
        <v>46110</v>
      </c>
      <c r="B364" s="319" t="str">
        <f>IFERROR(__xludf.DUMMYFUNCTION("""COMPUTED_VALUE"""),"C. 10-19")</f>
        <v>C. 10-19</v>
      </c>
      <c r="C364" s="320">
        <f>IFERROR(__xludf.DUMMYFUNCTION("""COMPUTED_VALUE"""),25691.0)</f>
        <v>25691</v>
      </c>
      <c r="D364" s="320">
        <f>IFERROR(__xludf.DUMMYFUNCTION("""COMPUTED_VALUE"""),24.99)</f>
        <v>24.99</v>
      </c>
      <c r="E364" s="320">
        <f>IFERROR(__xludf.DUMMYFUNCTION("""COMPUTED_VALUE"""),0.0)</f>
        <v>0</v>
      </c>
      <c r="F364" s="320">
        <f>IFERROR(__xludf.DUMMYFUNCTION("""COMPUTED_VALUE"""),0.0)</f>
        <v>0</v>
      </c>
      <c r="G364" s="320">
        <f>IFERROR(__xludf.DUMMYFUNCTION("""COMPUTED_VALUE"""),0.0)</f>
        <v>0</v>
      </c>
      <c r="H364" s="106"/>
      <c r="I364" s="320">
        <f>IFERROR(__xludf.DUMMYFUNCTION("""COMPUTED_VALUE"""),58.27)</f>
        <v>58.27</v>
      </c>
      <c r="J364" s="320">
        <f>IFERROR(__xludf.DUMMYFUNCTION("""COMPUTED_VALUE"""),28.02)</f>
        <v>28.02</v>
      </c>
      <c r="K364" s="320">
        <f>IFERROR(__xludf.DUMMYFUNCTION("""COMPUTED_VALUE"""),14.45)</f>
        <v>14.45</v>
      </c>
      <c r="L364" s="320">
        <f>IFERROR(__xludf.DUMMYFUNCTION("""COMPUTED_VALUE"""),0.5158)</f>
        <v>0.5158</v>
      </c>
      <c r="M364" s="320">
        <f>IFERROR(__xludf.DUMMYFUNCTION("""COMPUTED_VALUE"""),0.6692)</f>
        <v>0.6692</v>
      </c>
      <c r="N364" s="320">
        <f>IFERROR(__xludf.DUMMYFUNCTION("""COMPUTED_VALUE"""),0.4637)</f>
        <v>0.4637</v>
      </c>
      <c r="O364" s="320">
        <f>IFERROR(__xludf.DUMMYFUNCTION("""COMPUTED_VALUE"""),1.9386)</f>
        <v>1.9386</v>
      </c>
      <c r="P364" s="320">
        <f>IFERROR(__xludf.DUMMYFUNCTION("""COMPUTED_VALUE"""),81.35)</f>
        <v>81.35</v>
      </c>
      <c r="Q364" s="320">
        <f>IFERROR(__xludf.DUMMYFUNCTION("""COMPUTED_VALUE"""),51.23)</f>
        <v>51.23</v>
      </c>
      <c r="R364" s="320">
        <f>IFERROR(__xludf.DUMMYFUNCTION("""COMPUTED_VALUE"""),30.12)</f>
        <v>30.12</v>
      </c>
      <c r="S364" s="320">
        <f>IFERROR(__xludf.DUMMYFUNCTION("""COMPUTED_VALUE"""),0.05)</f>
        <v>0.05</v>
      </c>
      <c r="T364" s="320">
        <f>IFERROR(__xludf.DUMMYFUNCTION("""COMPUTED_VALUE"""),81.3)</f>
        <v>81.3</v>
      </c>
      <c r="U364" s="320">
        <f>IFERROR(__xludf.DUMMYFUNCTION("""COMPUTED_VALUE"""),93.95)</f>
        <v>93.95</v>
      </c>
      <c r="V364" s="320">
        <f>IFERROR(__xludf.DUMMYFUNCTION("""COMPUTED_VALUE"""),3.3529)</f>
        <v>3.3529</v>
      </c>
      <c r="W364" s="320">
        <f>IFERROR(__xludf.DUMMYFUNCTION("""COMPUTED_VALUE"""),0.07)</f>
        <v>0.07</v>
      </c>
      <c r="X364" s="320">
        <f>IFERROR(__xludf.DUMMYFUNCTION("""COMPUTED_VALUE"""),112.0)</f>
        <v>112</v>
      </c>
      <c r="Y364" s="320">
        <f>IFERROR(__xludf.DUMMYFUNCTION("""COMPUTED_VALUE"""),624.0)</f>
        <v>624</v>
      </c>
      <c r="Z364" s="320">
        <f>IFERROR(__xludf.DUMMYFUNCTION("""COMPUTED_VALUE"""),4636.0)</f>
        <v>4636</v>
      </c>
      <c r="AA364" s="320">
        <f>IFERROR(__xludf.DUMMYFUNCTION("""COMPUTED_VALUE"""),52.2554)</f>
        <v>52.2554</v>
      </c>
      <c r="AB364" s="320">
        <f>IFERROR(__xludf.DUMMYFUNCTION("""COMPUTED_VALUE"""),0.6377)</f>
        <v>0.6377</v>
      </c>
      <c r="AC364" s="320">
        <f>IFERROR(__xludf.DUMMYFUNCTION("""COMPUTED_VALUE"""),9.57)</f>
        <v>9.57</v>
      </c>
      <c r="AD364" s="320">
        <f>IFERROR(__xludf.DUMMYFUNCTION("""COMPUTED_VALUE"""),4.0)</f>
        <v>4</v>
      </c>
      <c r="AE364" s="320">
        <f>IFERROR(__xludf.DUMMYFUNCTION("""COMPUTED_VALUE"""),7.0)</f>
        <v>7</v>
      </c>
      <c r="AF364" s="320">
        <f>IFERROR(__xludf.DUMMYFUNCTION("""COMPUTED_VALUE"""),13.0)</f>
        <v>13</v>
      </c>
      <c r="AG364" s="320">
        <f>IFERROR(__xludf.DUMMYFUNCTION("""COMPUTED_VALUE"""),20.0)</f>
        <v>20</v>
      </c>
      <c r="AH364" s="320">
        <f>IFERROR(__xludf.DUMMYFUNCTION("""COMPUTED_VALUE"""),61.19)</f>
        <v>61.19</v>
      </c>
      <c r="AI364" s="320">
        <f>IFERROR(__xludf.DUMMYFUNCTION("""COMPUTED_VALUE"""),26.49)</f>
        <v>26.49</v>
      </c>
      <c r="AJ364" s="320">
        <f>IFERROR(__xludf.DUMMYFUNCTION("""COMPUTED_VALUE"""),5.08)</f>
        <v>5.08</v>
      </c>
      <c r="AK364" s="320">
        <f>IFERROR(__xludf.DUMMYFUNCTION("""COMPUTED_VALUE"""),0.211)</f>
        <v>0.211</v>
      </c>
      <c r="AL364" s="320">
        <f>IFERROR(__xludf.DUMMYFUNCTION("""COMPUTED_VALUE"""),21.33)</f>
        <v>21.33</v>
      </c>
      <c r="AM364" s="320">
        <f>IFERROR(__xludf.DUMMYFUNCTION("""COMPUTED_VALUE"""),29.9)</f>
        <v>29.9</v>
      </c>
      <c r="AN364" s="320">
        <f>IFERROR(__xludf.DUMMYFUNCTION("""COMPUTED_VALUE"""),74.2)</f>
        <v>74.2</v>
      </c>
      <c r="AO364" s="320">
        <f>IFERROR(__xludf.DUMMYFUNCTION("""COMPUTED_VALUE"""),15.83)</f>
        <v>15.83</v>
      </c>
    </row>
    <row r="365" ht="15.75" customHeight="1">
      <c r="A365" s="330">
        <f>IFERROR(__xludf.DUMMYFUNCTION("""COMPUTED_VALUE"""),46110.0)</f>
        <v>46110</v>
      </c>
      <c r="B365" s="319" t="str">
        <f>IFERROR(__xludf.DUMMYFUNCTION("""COMPUTED_VALUE"""),"D. 20-39")</f>
        <v>D. 20-39</v>
      </c>
      <c r="C365" s="320">
        <f>IFERROR(__xludf.DUMMYFUNCTION("""COMPUTED_VALUE"""),14390.0)</f>
        <v>14390</v>
      </c>
      <c r="D365" s="320">
        <f>IFERROR(__xludf.DUMMYFUNCTION("""COMPUTED_VALUE"""),14.0)</f>
        <v>14</v>
      </c>
      <c r="E365" s="320">
        <f>IFERROR(__xludf.DUMMYFUNCTION("""COMPUTED_VALUE"""),0.0)</f>
        <v>0</v>
      </c>
      <c r="F365" s="320">
        <f>IFERROR(__xludf.DUMMYFUNCTION("""COMPUTED_VALUE"""),0.0)</f>
        <v>0</v>
      </c>
      <c r="G365" s="320">
        <f>IFERROR(__xludf.DUMMYFUNCTION("""COMPUTED_VALUE"""),0.0)</f>
        <v>0</v>
      </c>
      <c r="H365" s="106"/>
      <c r="I365" s="320">
        <f>IFERROR(__xludf.DUMMYFUNCTION("""COMPUTED_VALUE"""),84.38)</f>
        <v>84.38</v>
      </c>
      <c r="J365" s="320">
        <f>IFERROR(__xludf.DUMMYFUNCTION("""COMPUTED_VALUE"""),43.09)</f>
        <v>43.09</v>
      </c>
      <c r="K365" s="320">
        <f>IFERROR(__xludf.DUMMYFUNCTION("""COMPUTED_VALUE"""),28.02)</f>
        <v>28.02</v>
      </c>
      <c r="L365" s="320">
        <f>IFERROR(__xludf.DUMMYFUNCTION("""COMPUTED_VALUE"""),0.6503)</f>
        <v>0.6503</v>
      </c>
      <c r="M365" s="320">
        <f>IFERROR(__xludf.DUMMYFUNCTION("""COMPUTED_VALUE"""),0.5348)</f>
        <v>0.5348</v>
      </c>
      <c r="N365" s="320">
        <f>IFERROR(__xludf.DUMMYFUNCTION("""COMPUTED_VALUE"""),0.3659)</f>
        <v>0.3659</v>
      </c>
      <c r="O365" s="320">
        <f>IFERROR(__xludf.DUMMYFUNCTION("""COMPUTED_VALUE"""),1.5378)</f>
        <v>1.5378</v>
      </c>
      <c r="P365" s="320">
        <f>IFERROR(__xludf.DUMMYFUNCTION("""COMPUTED_VALUE"""),132.57)</f>
        <v>132.57</v>
      </c>
      <c r="Q365" s="320">
        <f>IFERROR(__xludf.DUMMYFUNCTION("""COMPUTED_VALUE"""),74.15)</f>
        <v>74.15</v>
      </c>
      <c r="R365" s="320">
        <f>IFERROR(__xludf.DUMMYFUNCTION("""COMPUTED_VALUE"""),58.42)</f>
        <v>58.42</v>
      </c>
      <c r="S365" s="320">
        <f>IFERROR(__xludf.DUMMYFUNCTION("""COMPUTED_VALUE"""),0.0)</f>
        <v>0</v>
      </c>
      <c r="T365" s="320">
        <f>IFERROR(__xludf.DUMMYFUNCTION("""COMPUTED_VALUE"""),132.56)</f>
        <v>132.56</v>
      </c>
      <c r="U365" s="320">
        <f>IFERROR(__xludf.DUMMYFUNCTION("""COMPUTED_VALUE"""),162.52)</f>
        <v>162.52</v>
      </c>
      <c r="V365" s="320">
        <f>IFERROR(__xludf.DUMMYFUNCTION("""COMPUTED_VALUE"""),3.7715)</f>
        <v>3.7715</v>
      </c>
      <c r="W365" s="320">
        <f>IFERROR(__xludf.DUMMYFUNCTION("""COMPUTED_VALUE"""),0.0)</f>
        <v>0</v>
      </c>
      <c r="X365" s="320">
        <f>IFERROR(__xludf.DUMMYFUNCTION("""COMPUTED_VALUE"""),137.0)</f>
        <v>137</v>
      </c>
      <c r="Y365" s="320">
        <f>IFERROR(__xludf.DUMMYFUNCTION("""COMPUTED_VALUE"""),971.0)</f>
        <v>971</v>
      </c>
      <c r="Z365" s="320">
        <f>IFERROR(__xludf.DUMMYFUNCTION("""COMPUTED_VALUE"""),6313.0)</f>
        <v>6313</v>
      </c>
      <c r="AA365" s="320">
        <f>IFERROR(__xludf.DUMMYFUNCTION("""COMPUTED_VALUE"""),55.718)</f>
        <v>55.718</v>
      </c>
      <c r="AB365" s="320">
        <f>IFERROR(__xludf.DUMMYFUNCTION("""COMPUTED_VALUE"""),0.7465)</f>
        <v>0.7465</v>
      </c>
      <c r="AC365" s="320">
        <f>IFERROR(__xludf.DUMMYFUNCTION("""COMPUTED_VALUE"""),18.33)</f>
        <v>18.33</v>
      </c>
      <c r="AD365" s="320">
        <f>IFERROR(__xludf.DUMMYFUNCTION("""COMPUTED_VALUE"""),7.0)</f>
        <v>7</v>
      </c>
      <c r="AE365" s="320">
        <f>IFERROR(__xludf.DUMMYFUNCTION("""COMPUTED_VALUE"""),14.0)</f>
        <v>14</v>
      </c>
      <c r="AF365" s="320">
        <f>IFERROR(__xludf.DUMMYFUNCTION("""COMPUTED_VALUE"""),25.0)</f>
        <v>25</v>
      </c>
      <c r="AG365" s="320">
        <f>IFERROR(__xludf.DUMMYFUNCTION("""COMPUTED_VALUE"""),38.0)</f>
        <v>38</v>
      </c>
      <c r="AH365" s="320">
        <f>IFERROR(__xludf.DUMMYFUNCTION("""COMPUTED_VALUE"""),60.42)</f>
        <v>60.42</v>
      </c>
      <c r="AI365" s="320">
        <f>IFERROR(__xludf.DUMMYFUNCTION("""COMPUTED_VALUE"""),24.11)</f>
        <v>24.11</v>
      </c>
      <c r="AJ365" s="320">
        <f>IFERROR(__xludf.DUMMYFUNCTION("""COMPUTED_VALUE"""),7.85)</f>
        <v>7.85</v>
      </c>
      <c r="AK365" s="320">
        <f>IFERROR(__xludf.DUMMYFUNCTION("""COMPUTED_VALUE"""),0.207)</f>
        <v>0.207</v>
      </c>
      <c r="AL365" s="320">
        <f>IFERROR(__xludf.DUMMYFUNCTION("""COMPUTED_VALUE"""),21.55)</f>
        <v>21.55</v>
      </c>
      <c r="AM365" s="320">
        <f>IFERROR(__xludf.DUMMYFUNCTION("""COMPUTED_VALUE"""),52.6)</f>
        <v>52.6</v>
      </c>
      <c r="AN365" s="320">
        <f>IFERROR(__xludf.DUMMYFUNCTION("""COMPUTED_VALUE"""),76.25)</f>
        <v>76.25</v>
      </c>
      <c r="AO365" s="320">
        <f>IFERROR(__xludf.DUMMYFUNCTION("""COMPUTED_VALUE"""),16.43)</f>
        <v>16.43</v>
      </c>
    </row>
    <row r="366" ht="15.75" customHeight="1">
      <c r="A366" s="330">
        <f>IFERROR(__xludf.DUMMYFUNCTION("""COMPUTED_VALUE"""),46110.0)</f>
        <v>46110</v>
      </c>
      <c r="B366" s="319" t="str">
        <f>IFERROR(__xludf.DUMMYFUNCTION("""COMPUTED_VALUE"""),"E. 40-99")</f>
        <v>E. 40-99</v>
      </c>
      <c r="C366" s="320">
        <f>IFERROR(__xludf.DUMMYFUNCTION("""COMPUTED_VALUE"""),5873.0)</f>
        <v>5873</v>
      </c>
      <c r="D366" s="320">
        <f>IFERROR(__xludf.DUMMYFUNCTION("""COMPUTED_VALUE"""),5.71)</f>
        <v>5.71</v>
      </c>
      <c r="E366" s="320">
        <f>IFERROR(__xludf.DUMMYFUNCTION("""COMPUTED_VALUE"""),0.0)</f>
        <v>0</v>
      </c>
      <c r="F366" s="320">
        <f>IFERROR(__xludf.DUMMYFUNCTION("""COMPUTED_VALUE"""),0.0)</f>
        <v>0</v>
      </c>
      <c r="G366" s="320">
        <f>IFERROR(__xludf.DUMMYFUNCTION("""COMPUTED_VALUE"""),0.0)</f>
        <v>0</v>
      </c>
      <c r="H366" s="106"/>
      <c r="I366" s="320">
        <f>IFERROR(__xludf.DUMMYFUNCTION("""COMPUTED_VALUE"""),131.44)</f>
        <v>131.44</v>
      </c>
      <c r="J366" s="320">
        <f>IFERROR(__xludf.DUMMYFUNCTION("""COMPUTED_VALUE"""),71.89)</f>
        <v>71.89</v>
      </c>
      <c r="K366" s="320">
        <f>IFERROR(__xludf.DUMMYFUNCTION("""COMPUTED_VALUE"""),56.2)</f>
        <v>56.2</v>
      </c>
      <c r="L366" s="320">
        <f>IFERROR(__xludf.DUMMYFUNCTION("""COMPUTED_VALUE"""),0.7818)</f>
        <v>0.7818</v>
      </c>
      <c r="M366" s="320">
        <f>IFERROR(__xludf.DUMMYFUNCTION("""COMPUTED_VALUE"""),0.3938)</f>
        <v>0.3938</v>
      </c>
      <c r="N366" s="320">
        <f>IFERROR(__xludf.DUMMYFUNCTION("""COMPUTED_VALUE"""),0.2792)</f>
        <v>0.2792</v>
      </c>
      <c r="O366" s="320">
        <f>IFERROR(__xludf.DUMMYFUNCTION("""COMPUTED_VALUE"""),1.2791)</f>
        <v>1.2791</v>
      </c>
      <c r="P366" s="320">
        <f>IFERROR(__xludf.DUMMYFUNCTION("""COMPUTED_VALUE"""),241.05)</f>
        <v>241.05</v>
      </c>
      <c r="Q366" s="320">
        <f>IFERROR(__xludf.DUMMYFUNCTION("""COMPUTED_VALUE"""),123.2)</f>
        <v>123.2</v>
      </c>
      <c r="R366" s="320">
        <f>IFERROR(__xludf.DUMMYFUNCTION("""COMPUTED_VALUE"""),117.85)</f>
        <v>117.85</v>
      </c>
      <c r="S366" s="320">
        <f>IFERROR(__xludf.DUMMYFUNCTION("""COMPUTED_VALUE"""),0.0)</f>
        <v>0</v>
      </c>
      <c r="T366" s="320">
        <f>IFERROR(__xludf.DUMMYFUNCTION("""COMPUTED_VALUE"""),241.05)</f>
        <v>241.05</v>
      </c>
      <c r="U366" s="320">
        <f>IFERROR(__xludf.DUMMYFUNCTION("""COMPUTED_VALUE"""),309.26)</f>
        <v>309.26</v>
      </c>
      <c r="V366" s="320">
        <f>IFERROR(__xludf.DUMMYFUNCTION("""COMPUTED_VALUE"""),4.3021)</f>
        <v>4.3021</v>
      </c>
      <c r="W366" s="320">
        <f>IFERROR(__xludf.DUMMYFUNCTION("""COMPUTED_VALUE"""),0.0)</f>
        <v>0</v>
      </c>
      <c r="X366" s="320">
        <f>IFERROR(__xludf.DUMMYFUNCTION("""COMPUTED_VALUE"""),249.0)</f>
        <v>249</v>
      </c>
      <c r="Y366" s="320">
        <f>IFERROR(__xludf.DUMMYFUNCTION("""COMPUTED_VALUE"""),2126.0)</f>
        <v>2126</v>
      </c>
      <c r="Z366" s="320">
        <f>IFERROR(__xludf.DUMMYFUNCTION("""COMPUTED_VALUE"""),8820.0)</f>
        <v>8820</v>
      </c>
      <c r="AA366" s="320">
        <f>IFERROR(__xludf.DUMMYFUNCTION("""COMPUTED_VALUE"""),59.427)</f>
        <v>59.427</v>
      </c>
      <c r="AB366" s="320">
        <f>IFERROR(__xludf.DUMMYFUNCTION("""COMPUTED_VALUE"""),0.8352)</f>
        <v>0.8352</v>
      </c>
      <c r="AC366" s="320">
        <f>IFERROR(__xludf.DUMMYFUNCTION("""COMPUTED_VALUE"""),37.53)</f>
        <v>37.53</v>
      </c>
      <c r="AD366" s="320">
        <f>IFERROR(__xludf.DUMMYFUNCTION("""COMPUTED_VALUE"""),14.0)</f>
        <v>14</v>
      </c>
      <c r="AE366" s="320">
        <f>IFERROR(__xludf.DUMMYFUNCTION("""COMPUTED_VALUE"""),29.0)</f>
        <v>29</v>
      </c>
      <c r="AF366" s="320">
        <f>IFERROR(__xludf.DUMMYFUNCTION("""COMPUTED_VALUE"""),52.0)</f>
        <v>52</v>
      </c>
      <c r="AG366" s="320">
        <f>IFERROR(__xludf.DUMMYFUNCTION("""COMPUTED_VALUE"""),81.0)</f>
        <v>81</v>
      </c>
      <c r="AH366" s="320">
        <f>IFERROR(__xludf.DUMMYFUNCTION("""COMPUTED_VALUE"""),51.78)</f>
        <v>51.78</v>
      </c>
      <c r="AI366" s="320">
        <f>IFERROR(__xludf.DUMMYFUNCTION("""COMPUTED_VALUE"""),19.65)</f>
        <v>19.65</v>
      </c>
      <c r="AJ366" s="320">
        <f>IFERROR(__xludf.DUMMYFUNCTION("""COMPUTED_VALUE"""),4.6)</f>
        <v>4.6</v>
      </c>
      <c r="AK366" s="320">
        <f>IFERROR(__xludf.DUMMYFUNCTION("""COMPUTED_VALUE"""),0.1503)</f>
        <v>0.1503</v>
      </c>
      <c r="AL366" s="320">
        <f>IFERROR(__xludf.DUMMYFUNCTION("""COMPUTED_VALUE"""),21.41)</f>
        <v>21.41</v>
      </c>
      <c r="AM366" s="320">
        <f>IFERROR(__xludf.DUMMYFUNCTION("""COMPUTED_VALUE"""),101.79)</f>
        <v>101.79</v>
      </c>
      <c r="AN366" s="320">
        <f>IFERROR(__xludf.DUMMYFUNCTION("""COMPUTED_VALUE"""),81.08)</f>
        <v>81.08</v>
      </c>
      <c r="AO366" s="320">
        <f>IFERROR(__xludf.DUMMYFUNCTION("""COMPUTED_VALUE"""),17.36)</f>
        <v>17.36</v>
      </c>
    </row>
    <row r="367" ht="15.75" customHeight="1">
      <c r="A367" s="330">
        <f>IFERROR(__xludf.DUMMYFUNCTION("""COMPUTED_VALUE"""),46110.0)</f>
        <v>46110</v>
      </c>
      <c r="B367" s="319" t="str">
        <f>IFERROR(__xludf.DUMMYFUNCTION("""COMPUTED_VALUE"""),"F. 100+")</f>
        <v>F. 100+</v>
      </c>
      <c r="C367" s="320">
        <f>IFERROR(__xludf.DUMMYFUNCTION("""COMPUTED_VALUE"""),642.0)</f>
        <v>642</v>
      </c>
      <c r="D367" s="320">
        <f>IFERROR(__xludf.DUMMYFUNCTION("""COMPUTED_VALUE"""),0.62)</f>
        <v>0.62</v>
      </c>
      <c r="E367" s="320">
        <f>IFERROR(__xludf.DUMMYFUNCTION("""COMPUTED_VALUE"""),0.0)</f>
        <v>0</v>
      </c>
      <c r="F367" s="320">
        <f>IFERROR(__xludf.DUMMYFUNCTION("""COMPUTED_VALUE"""),0.0)</f>
        <v>0</v>
      </c>
      <c r="G367" s="320">
        <f>IFERROR(__xludf.DUMMYFUNCTION("""COMPUTED_VALUE"""),0.0)</f>
        <v>0</v>
      </c>
      <c r="H367" s="106"/>
      <c r="I367" s="320">
        <f>IFERROR(__xludf.DUMMYFUNCTION("""COMPUTED_VALUE"""),250.52)</f>
        <v>250.52</v>
      </c>
      <c r="J367" s="320">
        <f>IFERROR(__xludf.DUMMYFUNCTION("""COMPUTED_VALUE"""),149.33)</f>
        <v>149.33</v>
      </c>
      <c r="K367" s="320">
        <f>IFERROR(__xludf.DUMMYFUNCTION("""COMPUTED_VALUE"""),128.03)</f>
        <v>128.03</v>
      </c>
      <c r="L367" s="320">
        <f>IFERROR(__xludf.DUMMYFUNCTION("""COMPUTED_VALUE"""),0.8574)</f>
        <v>0.8574</v>
      </c>
      <c r="M367" s="320">
        <f>IFERROR(__xludf.DUMMYFUNCTION("""COMPUTED_VALUE"""),0.2902)</f>
        <v>0.2902</v>
      </c>
      <c r="N367" s="320">
        <f>IFERROR(__xludf.DUMMYFUNCTION("""COMPUTED_VALUE"""),0.2131)</f>
        <v>0.2131</v>
      </c>
      <c r="O367" s="320">
        <f>IFERROR(__xludf.DUMMYFUNCTION("""COMPUTED_VALUE"""),1.1664)</f>
        <v>1.1664</v>
      </c>
      <c r="P367" s="320">
        <f>IFERROR(__xludf.DUMMYFUNCTION("""COMPUTED_VALUE"""),502.01)</f>
        <v>502.01</v>
      </c>
      <c r="Q367" s="320">
        <f>IFERROR(__xludf.DUMMYFUNCTION("""COMPUTED_VALUE"""),231.45)</f>
        <v>231.45</v>
      </c>
      <c r="R367" s="320">
        <f>IFERROR(__xludf.DUMMYFUNCTION("""COMPUTED_VALUE"""),270.56)</f>
        <v>270.56</v>
      </c>
      <c r="S367" s="320">
        <f>IFERROR(__xludf.DUMMYFUNCTION("""COMPUTED_VALUE"""),0.0)</f>
        <v>0</v>
      </c>
      <c r="T367" s="320">
        <f>IFERROR(__xludf.DUMMYFUNCTION("""COMPUTED_VALUE"""),502.01)</f>
        <v>502.01</v>
      </c>
      <c r="U367" s="320">
        <f>IFERROR(__xludf.DUMMYFUNCTION("""COMPUTED_VALUE"""),625.08)</f>
        <v>625.08</v>
      </c>
      <c r="V367" s="320">
        <f>IFERROR(__xludf.DUMMYFUNCTION("""COMPUTED_VALUE"""),4.1859)</f>
        <v>4.1859</v>
      </c>
      <c r="W367" s="320">
        <f>IFERROR(__xludf.DUMMYFUNCTION("""COMPUTED_VALUE"""),0.0)</f>
        <v>0</v>
      </c>
      <c r="X367" s="320">
        <f>IFERROR(__xludf.DUMMYFUNCTION("""COMPUTED_VALUE"""),743.0)</f>
        <v>743</v>
      </c>
      <c r="Y367" s="320">
        <f>IFERROR(__xludf.DUMMYFUNCTION("""COMPUTED_VALUE"""),4169.0)</f>
        <v>4169</v>
      </c>
      <c r="Z367" s="320">
        <f>IFERROR(__xludf.DUMMYFUNCTION("""COMPUTED_VALUE"""),11682.0)</f>
        <v>11682</v>
      </c>
      <c r="AA367" s="320">
        <f>IFERROR(__xludf.DUMMYFUNCTION("""COMPUTED_VALUE"""),63.1033)</f>
        <v>63.1033</v>
      </c>
      <c r="AB367" s="320">
        <f>IFERROR(__xludf.DUMMYFUNCTION("""COMPUTED_VALUE"""),0.899)</f>
        <v>0.899</v>
      </c>
      <c r="AC367" s="320">
        <f>IFERROR(__xludf.DUMMYFUNCTION("""COMPUTED_VALUE"""),85.37)</f>
        <v>85.37</v>
      </c>
      <c r="AD367" s="320">
        <f>IFERROR(__xludf.DUMMYFUNCTION("""COMPUTED_VALUE"""),31.0)</f>
        <v>31</v>
      </c>
      <c r="AE367" s="320">
        <f>IFERROR(__xludf.DUMMYFUNCTION("""COMPUTED_VALUE"""),68.0)</f>
        <v>68</v>
      </c>
      <c r="AF367" s="320">
        <f>IFERROR(__xludf.DUMMYFUNCTION("""COMPUTED_VALUE"""),120.0)</f>
        <v>120</v>
      </c>
      <c r="AG367" s="320">
        <f>IFERROR(__xludf.DUMMYFUNCTION("""COMPUTED_VALUE"""),181.0)</f>
        <v>181</v>
      </c>
      <c r="AH367" s="320">
        <f>IFERROR(__xludf.DUMMYFUNCTION("""COMPUTED_VALUE"""),43.77)</f>
        <v>43.77</v>
      </c>
      <c r="AI367" s="320">
        <f>IFERROR(__xludf.DUMMYFUNCTION("""COMPUTED_VALUE"""),11.21)</f>
        <v>11.21</v>
      </c>
      <c r="AJ367" s="320">
        <f>IFERROR(__xludf.DUMMYFUNCTION("""COMPUTED_VALUE"""),1.87)</f>
        <v>1.87</v>
      </c>
      <c r="AK367" s="320">
        <f>IFERROR(__xludf.DUMMYFUNCTION("""COMPUTED_VALUE"""),0.1044)</f>
        <v>0.1044</v>
      </c>
      <c r="AL367" s="320">
        <f>IFERROR(__xludf.DUMMYFUNCTION("""COMPUTED_VALUE"""),23.4)</f>
        <v>23.4</v>
      </c>
      <c r="AM367" s="320">
        <f>IFERROR(__xludf.DUMMYFUNCTION("""COMPUTED_VALUE"""),208.05)</f>
        <v>208.05</v>
      </c>
      <c r="AN367" s="320">
        <f>IFERROR(__xludf.DUMMYFUNCTION("""COMPUTED_VALUE"""),82.62)</f>
        <v>82.62</v>
      </c>
      <c r="AO367" s="320">
        <f>IFERROR(__xludf.DUMMYFUNCTION("""COMPUTED_VALUE"""),19.33)</f>
        <v>19.33</v>
      </c>
    </row>
    <row r="368" ht="15.75" customHeight="1">
      <c r="A368" s="330">
        <f>IFERROR(__xludf.DUMMYFUNCTION("""COMPUTED_VALUE"""),46111.0)</f>
        <v>46111</v>
      </c>
      <c r="B368" s="319" t="str">
        <f>IFERROR(__xludf.DUMMYFUNCTION("""COMPUTED_VALUE"""),"A. 0")</f>
        <v>A. 0</v>
      </c>
      <c r="C368" s="320">
        <f>IFERROR(__xludf.DUMMYFUNCTION("""COMPUTED_VALUE"""),19746.0)</f>
        <v>19746</v>
      </c>
      <c r="D368" s="320">
        <f>IFERROR(__xludf.DUMMYFUNCTION("""COMPUTED_VALUE"""),18.16)</f>
        <v>18.16</v>
      </c>
      <c r="E368" s="320">
        <f>IFERROR(__xludf.DUMMYFUNCTION("""COMPUTED_VALUE"""),0.0)</f>
        <v>0</v>
      </c>
      <c r="F368" s="320">
        <f>IFERROR(__xludf.DUMMYFUNCTION("""COMPUTED_VALUE"""),0.0)</f>
        <v>0</v>
      </c>
      <c r="G368" s="320">
        <f>IFERROR(__xludf.DUMMYFUNCTION("""COMPUTED_VALUE"""),0.0)</f>
        <v>0</v>
      </c>
      <c r="H368" s="106"/>
      <c r="I368" s="320">
        <f>IFERROR(__xludf.DUMMYFUNCTION("""COMPUTED_VALUE"""),5.77)</f>
        <v>5.77</v>
      </c>
      <c r="J368" s="320">
        <f>IFERROR(__xludf.DUMMYFUNCTION("""COMPUTED_VALUE"""),2.32)</f>
        <v>2.32</v>
      </c>
      <c r="K368" s="320">
        <f>IFERROR(__xludf.DUMMYFUNCTION("""COMPUTED_VALUE"""),0.1)</f>
        <v>0.1</v>
      </c>
      <c r="L368" s="320">
        <f>IFERROR(__xludf.DUMMYFUNCTION("""COMPUTED_VALUE"""),0.041)</f>
        <v>0.041</v>
      </c>
      <c r="M368" s="320">
        <f>IFERROR(__xludf.DUMMYFUNCTION("""COMPUTED_VALUE"""),0.9666)</f>
        <v>0.9666</v>
      </c>
      <c r="N368" s="320">
        <f>IFERROR(__xludf.DUMMYFUNCTION("""COMPUTED_VALUE"""),0.6989)</f>
        <v>0.6989</v>
      </c>
      <c r="O368" s="320">
        <f>IFERROR(__xludf.DUMMYFUNCTION("""COMPUTED_VALUE"""),24.3938)</f>
        <v>24.3938</v>
      </c>
      <c r="P368" s="320">
        <f>IFERROR(__xludf.DUMMYFUNCTION("""COMPUTED_VALUE"""),33.52)</f>
        <v>33.52</v>
      </c>
      <c r="Q368" s="320">
        <f>IFERROR(__xludf.DUMMYFUNCTION("""COMPUTED_VALUE"""),33.36)</f>
        <v>33.36</v>
      </c>
      <c r="R368" s="320">
        <f>IFERROR(__xludf.DUMMYFUNCTION("""COMPUTED_VALUE"""),0.16)</f>
        <v>0.16</v>
      </c>
      <c r="S368" s="320">
        <f>IFERROR(__xludf.DUMMYFUNCTION("""COMPUTED_VALUE"""),0.0)</f>
        <v>0</v>
      </c>
      <c r="T368" s="320">
        <f>IFERROR(__xludf.DUMMYFUNCTION("""COMPUTED_VALUE"""),33.52)</f>
        <v>33.52</v>
      </c>
      <c r="U368" s="320">
        <f>IFERROR(__xludf.DUMMYFUNCTION("""COMPUTED_VALUE"""),2.1)</f>
        <v>2.1</v>
      </c>
      <c r="V368" s="320">
        <f>IFERROR(__xludf.DUMMYFUNCTION("""COMPUTED_VALUE"""),0.9032)</f>
        <v>0.9032</v>
      </c>
      <c r="W368" s="320">
        <f>IFERROR(__xludf.DUMMYFUNCTION("""COMPUTED_VALUE"""),0.0)</f>
        <v>0</v>
      </c>
      <c r="X368" s="320">
        <f>IFERROR(__xludf.DUMMYFUNCTION("""COMPUTED_VALUE"""),414.0)</f>
        <v>414</v>
      </c>
      <c r="Y368" s="320">
        <f>IFERROR(__xludf.DUMMYFUNCTION("""COMPUTED_VALUE"""),4378.0)</f>
        <v>4378</v>
      </c>
      <c r="Z368" s="320">
        <f>IFERROR(__xludf.DUMMYFUNCTION("""COMPUTED_VALUE"""),15780.0)</f>
        <v>15780</v>
      </c>
      <c r="AA368" s="320">
        <f>IFERROR(__xludf.DUMMYFUNCTION("""COMPUTED_VALUE"""),49.4048)</f>
        <v>49.4048</v>
      </c>
      <c r="AB368" s="320">
        <f>IFERROR(__xludf.DUMMYFUNCTION("""COMPUTED_VALUE"""),0.5566)</f>
        <v>0.5566</v>
      </c>
      <c r="AC368" s="106"/>
      <c r="AD368" s="106"/>
      <c r="AE368" s="106"/>
      <c r="AF368" s="106"/>
      <c r="AG368" s="106"/>
      <c r="AH368" s="320">
        <f>IFERROR(__xludf.DUMMYFUNCTION("""COMPUTED_VALUE"""),0.0)</f>
        <v>0</v>
      </c>
      <c r="AI368" s="320">
        <f>IFERROR(__xludf.DUMMYFUNCTION("""COMPUTED_VALUE"""),0.0)</f>
        <v>0</v>
      </c>
      <c r="AJ368" s="320">
        <f>IFERROR(__xludf.DUMMYFUNCTION("""COMPUTED_VALUE"""),0.0)</f>
        <v>0</v>
      </c>
      <c r="AK368" s="320">
        <f>IFERROR(__xludf.DUMMYFUNCTION("""COMPUTED_VALUE"""),0.2786)</f>
        <v>0.2786</v>
      </c>
      <c r="AL368" s="320">
        <f>IFERROR(__xludf.DUMMYFUNCTION("""COMPUTED_VALUE"""),16.92)</f>
        <v>16.92</v>
      </c>
      <c r="AM368" s="320">
        <f>IFERROR(__xludf.DUMMYFUNCTION("""COMPUTED_VALUE"""),16.44)</f>
        <v>16.44</v>
      </c>
      <c r="AN368" s="331"/>
      <c r="AO368" s="331"/>
    </row>
    <row r="369" ht="15.75" customHeight="1">
      <c r="A369" s="330">
        <f>IFERROR(__xludf.DUMMYFUNCTION("""COMPUTED_VALUE"""),46111.0)</f>
        <v>46111</v>
      </c>
      <c r="B369" s="319" t="str">
        <f>IFERROR(__xludf.DUMMYFUNCTION("""COMPUTED_VALUE"""),"B. 1-9")</f>
        <v>B. 1-9</v>
      </c>
      <c r="C369" s="320">
        <f>IFERROR(__xludf.DUMMYFUNCTION("""COMPUTED_VALUE"""),37749.0)</f>
        <v>37749</v>
      </c>
      <c r="D369" s="320">
        <f>IFERROR(__xludf.DUMMYFUNCTION("""COMPUTED_VALUE"""),34.72)</f>
        <v>34.72</v>
      </c>
      <c r="E369" s="320">
        <f>IFERROR(__xludf.DUMMYFUNCTION("""COMPUTED_VALUE"""),0.0)</f>
        <v>0</v>
      </c>
      <c r="F369" s="320">
        <f>IFERROR(__xludf.DUMMYFUNCTION("""COMPUTED_VALUE"""),0.0)</f>
        <v>0</v>
      </c>
      <c r="G369" s="320">
        <f>IFERROR(__xludf.DUMMYFUNCTION("""COMPUTED_VALUE"""),0.0)</f>
        <v>0</v>
      </c>
      <c r="H369" s="106"/>
      <c r="I369" s="320">
        <f>IFERROR(__xludf.DUMMYFUNCTION("""COMPUTED_VALUE"""),31.86)</f>
        <v>31.86</v>
      </c>
      <c r="J369" s="320">
        <f>IFERROR(__xludf.DUMMYFUNCTION("""COMPUTED_VALUE"""),14.49)</f>
        <v>14.49</v>
      </c>
      <c r="K369" s="320">
        <f>IFERROR(__xludf.DUMMYFUNCTION("""COMPUTED_VALUE"""),5.76)</f>
        <v>5.76</v>
      </c>
      <c r="L369" s="320">
        <f>IFERROR(__xludf.DUMMYFUNCTION("""COMPUTED_VALUE"""),0.3976)</f>
        <v>0.3976</v>
      </c>
      <c r="M369" s="320">
        <f>IFERROR(__xludf.DUMMYFUNCTION("""COMPUTED_VALUE"""),0.7707)</f>
        <v>0.7707</v>
      </c>
      <c r="N369" s="320">
        <f>IFERROR(__xludf.DUMMYFUNCTION("""COMPUTED_VALUE"""),0.5714)</f>
        <v>0.5714</v>
      </c>
      <c r="O369" s="320">
        <f>IFERROR(__xludf.DUMMYFUNCTION("""COMPUTED_VALUE"""),2.5148)</f>
        <v>2.5148</v>
      </c>
      <c r="P369" s="320">
        <f>IFERROR(__xludf.DUMMYFUNCTION("""COMPUTED_VALUE"""),71.27)</f>
        <v>71.27</v>
      </c>
      <c r="Q369" s="320">
        <f>IFERROR(__xludf.DUMMYFUNCTION("""COMPUTED_VALUE"""),59.65)</f>
        <v>59.65</v>
      </c>
      <c r="R369" s="320">
        <f>IFERROR(__xludf.DUMMYFUNCTION("""COMPUTED_VALUE"""),11.62)</f>
        <v>11.62</v>
      </c>
      <c r="S369" s="320">
        <f>IFERROR(__xludf.DUMMYFUNCTION("""COMPUTED_VALUE"""),0.0)</f>
        <v>0</v>
      </c>
      <c r="T369" s="320">
        <f>IFERROR(__xludf.DUMMYFUNCTION("""COMPUTED_VALUE"""),71.27)</f>
        <v>71.27</v>
      </c>
      <c r="U369" s="320">
        <f>IFERROR(__xludf.DUMMYFUNCTION("""COMPUTED_VALUE"""),58.57)</f>
        <v>58.57</v>
      </c>
      <c r="V369" s="320">
        <f>IFERROR(__xludf.DUMMYFUNCTION("""COMPUTED_VALUE"""),4.0433)</f>
        <v>4.0433</v>
      </c>
      <c r="W369" s="320">
        <f>IFERROR(__xludf.DUMMYFUNCTION("""COMPUTED_VALUE"""),0.0)</f>
        <v>0</v>
      </c>
      <c r="X369" s="320">
        <f>IFERROR(__xludf.DUMMYFUNCTION("""COMPUTED_VALUE"""),155.0)</f>
        <v>155</v>
      </c>
      <c r="Y369" s="320">
        <f>IFERROR(__xludf.DUMMYFUNCTION("""COMPUTED_VALUE"""),867.0)</f>
        <v>867</v>
      </c>
      <c r="Z369" s="320">
        <f>IFERROR(__xludf.DUMMYFUNCTION("""COMPUTED_VALUE"""),5836.0)</f>
        <v>5836</v>
      </c>
      <c r="AA369" s="320">
        <f>IFERROR(__xludf.DUMMYFUNCTION("""COMPUTED_VALUE"""),48.6363)</f>
        <v>48.6363</v>
      </c>
      <c r="AB369" s="320">
        <f>IFERROR(__xludf.DUMMYFUNCTION("""COMPUTED_VALUE"""),0.5265)</f>
        <v>0.5265</v>
      </c>
      <c r="AC369" s="320">
        <f>IFERROR(__xludf.DUMMYFUNCTION("""COMPUTED_VALUE"""),3.99)</f>
        <v>3.99</v>
      </c>
      <c r="AD369" s="320">
        <f>IFERROR(__xludf.DUMMYFUNCTION("""COMPUTED_VALUE"""),1.0)</f>
        <v>1</v>
      </c>
      <c r="AE369" s="320">
        <f>IFERROR(__xludf.DUMMYFUNCTION("""COMPUTED_VALUE"""),3.0)</f>
        <v>3</v>
      </c>
      <c r="AF369" s="320">
        <f>IFERROR(__xludf.DUMMYFUNCTION("""COMPUTED_VALUE"""),5.0)</f>
        <v>5</v>
      </c>
      <c r="AG369" s="320">
        <f>IFERROR(__xludf.DUMMYFUNCTION("""COMPUTED_VALUE"""),9.0)</f>
        <v>9</v>
      </c>
      <c r="AH369" s="320">
        <f>IFERROR(__xludf.DUMMYFUNCTION("""COMPUTED_VALUE"""),73.64)</f>
        <v>73.64</v>
      </c>
      <c r="AI369" s="320">
        <f>IFERROR(__xludf.DUMMYFUNCTION("""COMPUTED_VALUE"""),30.63)</f>
        <v>30.63</v>
      </c>
      <c r="AJ369" s="320">
        <f>IFERROR(__xludf.DUMMYFUNCTION("""COMPUTED_VALUE"""),8.33)</f>
        <v>8.33</v>
      </c>
      <c r="AK369" s="320">
        <f>IFERROR(__xludf.DUMMYFUNCTION("""COMPUTED_VALUE"""),0.2381)</f>
        <v>0.2381</v>
      </c>
      <c r="AL369" s="320">
        <f>IFERROR(__xludf.DUMMYFUNCTION("""COMPUTED_VALUE"""),18.54)</f>
        <v>18.54</v>
      </c>
      <c r="AM369" s="320">
        <f>IFERROR(__xludf.DUMMYFUNCTION("""COMPUTED_VALUE"""),41.11)</f>
        <v>41.11</v>
      </c>
      <c r="AN369" s="320">
        <f>IFERROR(__xludf.DUMMYFUNCTION("""COMPUTED_VALUE"""),65.98)</f>
        <v>65.98</v>
      </c>
      <c r="AO369" s="320">
        <f>IFERROR(__xludf.DUMMYFUNCTION("""COMPUTED_VALUE"""),12.23)</f>
        <v>12.23</v>
      </c>
    </row>
    <row r="370" ht="15.75" customHeight="1">
      <c r="A370" s="330">
        <f>IFERROR(__xludf.DUMMYFUNCTION("""COMPUTED_VALUE"""),46111.0)</f>
        <v>46111</v>
      </c>
      <c r="B370" s="319" t="str">
        <f>IFERROR(__xludf.DUMMYFUNCTION("""COMPUTED_VALUE"""),"C. 10-19")</f>
        <v>C. 10-19</v>
      </c>
      <c r="C370" s="320">
        <f>IFERROR(__xludf.DUMMYFUNCTION("""COMPUTED_VALUE"""),27626.0)</f>
        <v>27626</v>
      </c>
      <c r="D370" s="320">
        <f>IFERROR(__xludf.DUMMYFUNCTION("""COMPUTED_VALUE"""),25.41)</f>
        <v>25.41</v>
      </c>
      <c r="E370" s="320">
        <f>IFERROR(__xludf.DUMMYFUNCTION("""COMPUTED_VALUE"""),0.0)</f>
        <v>0</v>
      </c>
      <c r="F370" s="320">
        <f>IFERROR(__xludf.DUMMYFUNCTION("""COMPUTED_VALUE"""),0.0)</f>
        <v>0</v>
      </c>
      <c r="G370" s="320">
        <f>IFERROR(__xludf.DUMMYFUNCTION("""COMPUTED_VALUE"""),0.0)</f>
        <v>0</v>
      </c>
      <c r="H370" s="106"/>
      <c r="I370" s="320">
        <f>IFERROR(__xludf.DUMMYFUNCTION("""COMPUTED_VALUE"""),60.34)</f>
        <v>60.34</v>
      </c>
      <c r="J370" s="320">
        <f>IFERROR(__xludf.DUMMYFUNCTION("""COMPUTED_VALUE"""),28.41)</f>
        <v>28.41</v>
      </c>
      <c r="K370" s="320">
        <f>IFERROR(__xludf.DUMMYFUNCTION("""COMPUTED_VALUE"""),15.13)</f>
        <v>15.13</v>
      </c>
      <c r="L370" s="320">
        <f>IFERROR(__xludf.DUMMYFUNCTION("""COMPUTED_VALUE"""),0.5325)</f>
        <v>0.5325</v>
      </c>
      <c r="M370" s="320">
        <f>IFERROR(__xludf.DUMMYFUNCTION("""COMPUTED_VALUE"""),0.6627)</f>
        <v>0.6627</v>
      </c>
      <c r="N370" s="320">
        <f>IFERROR(__xludf.DUMMYFUNCTION("""COMPUTED_VALUE"""),0.464)</f>
        <v>0.464</v>
      </c>
      <c r="O370" s="320">
        <f>IFERROR(__xludf.DUMMYFUNCTION("""COMPUTED_VALUE"""),1.8779)</f>
        <v>1.8779</v>
      </c>
      <c r="P370" s="320">
        <f>IFERROR(__xludf.DUMMYFUNCTION("""COMPUTED_VALUE"""),130.07)</f>
        <v>130.07</v>
      </c>
      <c r="Q370" s="320">
        <f>IFERROR(__xludf.DUMMYFUNCTION("""COMPUTED_VALUE"""),100.57)</f>
        <v>100.57</v>
      </c>
      <c r="R370" s="320">
        <f>IFERROR(__xludf.DUMMYFUNCTION("""COMPUTED_VALUE"""),29.5)</f>
        <v>29.5</v>
      </c>
      <c r="S370" s="320">
        <f>IFERROR(__xludf.DUMMYFUNCTION("""COMPUTED_VALUE"""),0.0)</f>
        <v>0</v>
      </c>
      <c r="T370" s="320">
        <f>IFERROR(__xludf.DUMMYFUNCTION("""COMPUTED_VALUE"""),130.07)</f>
        <v>130.07</v>
      </c>
      <c r="U370" s="320">
        <f>IFERROR(__xludf.DUMMYFUNCTION("""COMPUTED_VALUE"""),112.67)</f>
        <v>112.67</v>
      </c>
      <c r="V370" s="320">
        <f>IFERROR(__xludf.DUMMYFUNCTION("""COMPUTED_VALUE"""),3.9658)</f>
        <v>3.9658</v>
      </c>
      <c r="W370" s="320">
        <f>IFERROR(__xludf.DUMMYFUNCTION("""COMPUTED_VALUE"""),0.0)</f>
        <v>0</v>
      </c>
      <c r="X370" s="320">
        <f>IFERROR(__xludf.DUMMYFUNCTION("""COMPUTED_VALUE"""),144.0)</f>
        <v>144</v>
      </c>
      <c r="Y370" s="320">
        <f>IFERROR(__xludf.DUMMYFUNCTION("""COMPUTED_VALUE"""),704.0)</f>
        <v>704</v>
      </c>
      <c r="Z370" s="320">
        <f>IFERROR(__xludf.DUMMYFUNCTION("""COMPUTED_VALUE"""),5342.0)</f>
        <v>5342</v>
      </c>
      <c r="AA370" s="320">
        <f>IFERROR(__xludf.DUMMYFUNCTION("""COMPUTED_VALUE"""),52.1654)</f>
        <v>52.1654</v>
      </c>
      <c r="AB370" s="320">
        <f>IFERROR(__xludf.DUMMYFUNCTION("""COMPUTED_VALUE"""),0.5935)</f>
        <v>0.5935</v>
      </c>
      <c r="AC370" s="320">
        <f>IFERROR(__xludf.DUMMYFUNCTION("""COMPUTED_VALUE"""),9.79)</f>
        <v>9.79</v>
      </c>
      <c r="AD370" s="320">
        <f>IFERROR(__xludf.DUMMYFUNCTION("""COMPUTED_VALUE"""),4.0)</f>
        <v>4</v>
      </c>
      <c r="AE370" s="320">
        <f>IFERROR(__xludf.DUMMYFUNCTION("""COMPUTED_VALUE"""),8.0)</f>
        <v>8</v>
      </c>
      <c r="AF370" s="320">
        <f>IFERROR(__xludf.DUMMYFUNCTION("""COMPUTED_VALUE"""),13.0)</f>
        <v>13</v>
      </c>
      <c r="AG370" s="320">
        <f>IFERROR(__xludf.DUMMYFUNCTION("""COMPUTED_VALUE"""),21.0)</f>
        <v>21</v>
      </c>
      <c r="AH370" s="320">
        <f>IFERROR(__xludf.DUMMYFUNCTION("""COMPUTED_VALUE"""),61.45)</f>
        <v>61.45</v>
      </c>
      <c r="AI370" s="320">
        <f>IFERROR(__xludf.DUMMYFUNCTION("""COMPUTED_VALUE"""),27.73)</f>
        <v>27.73</v>
      </c>
      <c r="AJ370" s="320">
        <f>IFERROR(__xludf.DUMMYFUNCTION("""COMPUTED_VALUE"""),5.6)</f>
        <v>5.6</v>
      </c>
      <c r="AK370" s="320">
        <f>IFERROR(__xludf.DUMMYFUNCTION("""COMPUTED_VALUE"""),0.1783)</f>
        <v>0.1783</v>
      </c>
      <c r="AL370" s="320">
        <f>IFERROR(__xludf.DUMMYFUNCTION("""COMPUTED_VALUE"""),19.27)</f>
        <v>19.27</v>
      </c>
      <c r="AM370" s="320">
        <f>IFERROR(__xludf.DUMMYFUNCTION("""COMPUTED_VALUE"""),81.3)</f>
        <v>81.3</v>
      </c>
      <c r="AN370" s="320">
        <f>IFERROR(__xludf.DUMMYFUNCTION("""COMPUTED_VALUE"""),73.19)</f>
        <v>73.19</v>
      </c>
      <c r="AO370" s="320">
        <f>IFERROR(__xludf.DUMMYFUNCTION("""COMPUTED_VALUE"""),14.1)</f>
        <v>14.1</v>
      </c>
    </row>
    <row r="371" ht="15.75" customHeight="1">
      <c r="A371" s="330">
        <f>IFERROR(__xludf.DUMMYFUNCTION("""COMPUTED_VALUE"""),46111.0)</f>
        <v>46111</v>
      </c>
      <c r="B371" s="319" t="str">
        <f>IFERROR(__xludf.DUMMYFUNCTION("""COMPUTED_VALUE"""),"D. 20-39")</f>
        <v>D. 20-39</v>
      </c>
      <c r="C371" s="320">
        <f>IFERROR(__xludf.DUMMYFUNCTION("""COMPUTED_VALUE"""),16185.0)</f>
        <v>16185</v>
      </c>
      <c r="D371" s="320">
        <f>IFERROR(__xludf.DUMMYFUNCTION("""COMPUTED_VALUE"""),14.89)</f>
        <v>14.89</v>
      </c>
      <c r="E371" s="320">
        <f>IFERROR(__xludf.DUMMYFUNCTION("""COMPUTED_VALUE"""),0.0)</f>
        <v>0</v>
      </c>
      <c r="F371" s="320">
        <f>IFERROR(__xludf.DUMMYFUNCTION("""COMPUTED_VALUE"""),0.0)</f>
        <v>0</v>
      </c>
      <c r="G371" s="320">
        <f>IFERROR(__xludf.DUMMYFUNCTION("""COMPUTED_VALUE"""),0.0)</f>
        <v>0</v>
      </c>
      <c r="H371" s="106"/>
      <c r="I371" s="320">
        <f>IFERROR(__xludf.DUMMYFUNCTION("""COMPUTED_VALUE"""),90.23)</f>
        <v>90.23</v>
      </c>
      <c r="J371" s="320">
        <f>IFERROR(__xludf.DUMMYFUNCTION("""COMPUTED_VALUE"""),45.22)</f>
        <v>45.22</v>
      </c>
      <c r="K371" s="320">
        <f>IFERROR(__xludf.DUMMYFUNCTION("""COMPUTED_VALUE"""),31.04)</f>
        <v>31.04</v>
      </c>
      <c r="L371" s="320">
        <f>IFERROR(__xludf.DUMMYFUNCTION("""COMPUTED_VALUE"""),0.6863)</f>
        <v>0.6863</v>
      </c>
      <c r="M371" s="320">
        <f>IFERROR(__xludf.DUMMYFUNCTION("""COMPUTED_VALUE"""),0.5138)</f>
        <v>0.5138</v>
      </c>
      <c r="N371" s="320">
        <f>IFERROR(__xludf.DUMMYFUNCTION("""COMPUTED_VALUE"""),0.3581)</f>
        <v>0.3581</v>
      </c>
      <c r="O371" s="320">
        <f>IFERROR(__xludf.DUMMYFUNCTION("""COMPUTED_VALUE"""),1.457)</f>
        <v>1.457</v>
      </c>
      <c r="P371" s="320">
        <f>IFERROR(__xludf.DUMMYFUNCTION("""COMPUTED_VALUE"""),223.53)</f>
        <v>223.53</v>
      </c>
      <c r="Q371" s="320">
        <f>IFERROR(__xludf.DUMMYFUNCTION("""COMPUTED_VALUE"""),165.97)</f>
        <v>165.97</v>
      </c>
      <c r="R371" s="320">
        <f>IFERROR(__xludf.DUMMYFUNCTION("""COMPUTED_VALUE"""),57.56)</f>
        <v>57.56</v>
      </c>
      <c r="S371" s="320">
        <f>IFERROR(__xludf.DUMMYFUNCTION("""COMPUTED_VALUE"""),0.0)</f>
        <v>0</v>
      </c>
      <c r="T371" s="320">
        <f>IFERROR(__xludf.DUMMYFUNCTION("""COMPUTED_VALUE"""),223.53)</f>
        <v>223.53</v>
      </c>
      <c r="U371" s="320">
        <f>IFERROR(__xludf.DUMMYFUNCTION("""COMPUTED_VALUE"""),198.75)</f>
        <v>198.75</v>
      </c>
      <c r="V371" s="320">
        <f>IFERROR(__xludf.DUMMYFUNCTION("""COMPUTED_VALUE"""),4.3947)</f>
        <v>4.3947</v>
      </c>
      <c r="W371" s="320">
        <f>IFERROR(__xludf.DUMMYFUNCTION("""COMPUTED_VALUE"""),0.0)</f>
        <v>0</v>
      </c>
      <c r="X371" s="320">
        <f>IFERROR(__xludf.DUMMYFUNCTION("""COMPUTED_VALUE"""),171.0)</f>
        <v>171</v>
      </c>
      <c r="Y371" s="320">
        <f>IFERROR(__xludf.DUMMYFUNCTION("""COMPUTED_VALUE"""),1050.0)</f>
        <v>1050</v>
      </c>
      <c r="Z371" s="320">
        <f>IFERROR(__xludf.DUMMYFUNCTION("""COMPUTED_VALUE"""),7489.0)</f>
        <v>7489</v>
      </c>
      <c r="AA371" s="320">
        <f>IFERROR(__xludf.DUMMYFUNCTION("""COMPUTED_VALUE"""),55.2036)</f>
        <v>55.2036</v>
      </c>
      <c r="AB371" s="320">
        <f>IFERROR(__xludf.DUMMYFUNCTION("""COMPUTED_VALUE"""),0.6566)</f>
        <v>0.6566</v>
      </c>
      <c r="AC371" s="320">
        <f>IFERROR(__xludf.DUMMYFUNCTION("""COMPUTED_VALUE"""),19.29)</f>
        <v>19.29</v>
      </c>
      <c r="AD371" s="320">
        <f>IFERROR(__xludf.DUMMYFUNCTION("""COMPUTED_VALUE"""),8.0)</f>
        <v>8</v>
      </c>
      <c r="AE371" s="320">
        <f>IFERROR(__xludf.DUMMYFUNCTION("""COMPUTED_VALUE"""),15.0)</f>
        <v>15</v>
      </c>
      <c r="AF371" s="320">
        <f>IFERROR(__xludf.DUMMYFUNCTION("""COMPUTED_VALUE"""),27.0)</f>
        <v>27</v>
      </c>
      <c r="AG371" s="320">
        <f>IFERROR(__xludf.DUMMYFUNCTION("""COMPUTED_VALUE"""),39.0)</f>
        <v>39</v>
      </c>
      <c r="AH371" s="320">
        <f>IFERROR(__xludf.DUMMYFUNCTION("""COMPUTED_VALUE"""),64.93)</f>
        <v>64.93</v>
      </c>
      <c r="AI371" s="320">
        <f>IFERROR(__xludf.DUMMYFUNCTION("""COMPUTED_VALUE"""),27.91)</f>
        <v>27.91</v>
      </c>
      <c r="AJ371" s="320">
        <f>IFERROR(__xludf.DUMMYFUNCTION("""COMPUTED_VALUE"""),6.64)</f>
        <v>6.64</v>
      </c>
      <c r="AK371" s="320">
        <f>IFERROR(__xludf.DUMMYFUNCTION("""COMPUTED_VALUE"""),0.1616)</f>
        <v>0.1616</v>
      </c>
      <c r="AL371" s="320">
        <f>IFERROR(__xludf.DUMMYFUNCTION("""COMPUTED_VALUE"""),19.62)</f>
        <v>19.62</v>
      </c>
      <c r="AM371" s="320">
        <f>IFERROR(__xludf.DUMMYFUNCTION("""COMPUTED_VALUE"""),146.35)</f>
        <v>146.35</v>
      </c>
      <c r="AN371" s="320">
        <f>IFERROR(__xludf.DUMMYFUNCTION("""COMPUTED_VALUE"""),71.72)</f>
        <v>71.72</v>
      </c>
      <c r="AO371" s="320">
        <f>IFERROR(__xludf.DUMMYFUNCTION("""COMPUTED_VALUE"""),14.07)</f>
        <v>14.07</v>
      </c>
    </row>
    <row r="372" ht="15.75" customHeight="1">
      <c r="A372" s="330">
        <f>IFERROR(__xludf.DUMMYFUNCTION("""COMPUTED_VALUE"""),46111.0)</f>
        <v>46111</v>
      </c>
      <c r="B372" s="319" t="str">
        <f>IFERROR(__xludf.DUMMYFUNCTION("""COMPUTED_VALUE"""),"E. 40-99")</f>
        <v>E. 40-99</v>
      </c>
      <c r="C372" s="320">
        <f>IFERROR(__xludf.DUMMYFUNCTION("""COMPUTED_VALUE"""),6753.0)</f>
        <v>6753</v>
      </c>
      <c r="D372" s="320">
        <f>IFERROR(__xludf.DUMMYFUNCTION("""COMPUTED_VALUE"""),6.21)</f>
        <v>6.21</v>
      </c>
      <c r="E372" s="320">
        <f>IFERROR(__xludf.DUMMYFUNCTION("""COMPUTED_VALUE"""),0.0)</f>
        <v>0</v>
      </c>
      <c r="F372" s="320">
        <f>IFERROR(__xludf.DUMMYFUNCTION("""COMPUTED_VALUE"""),0.0)</f>
        <v>0</v>
      </c>
      <c r="G372" s="320">
        <f>IFERROR(__xludf.DUMMYFUNCTION("""COMPUTED_VALUE"""),0.0)</f>
        <v>0</v>
      </c>
      <c r="H372" s="106"/>
      <c r="I372" s="320">
        <f>IFERROR(__xludf.DUMMYFUNCTION("""COMPUTED_VALUE"""),143.7)</f>
        <v>143.7</v>
      </c>
      <c r="J372" s="320">
        <f>IFERROR(__xludf.DUMMYFUNCTION("""COMPUTED_VALUE"""),77.39)</f>
        <v>77.39</v>
      </c>
      <c r="K372" s="320">
        <f>IFERROR(__xludf.DUMMYFUNCTION("""COMPUTED_VALUE"""),62.64)</f>
        <v>62.64</v>
      </c>
      <c r="L372" s="320">
        <f>IFERROR(__xludf.DUMMYFUNCTION("""COMPUTED_VALUE"""),0.8094)</f>
        <v>0.8094</v>
      </c>
      <c r="M372" s="320">
        <f>IFERROR(__xludf.DUMMYFUNCTION("""COMPUTED_VALUE"""),0.3753)</f>
        <v>0.3753</v>
      </c>
      <c r="N372" s="320">
        <f>IFERROR(__xludf.DUMMYFUNCTION("""COMPUTED_VALUE"""),0.2732)</f>
        <v>0.2732</v>
      </c>
      <c r="O372" s="320">
        <f>IFERROR(__xludf.DUMMYFUNCTION("""COMPUTED_VALUE"""),1.2355)</f>
        <v>1.2355</v>
      </c>
      <c r="P372" s="320">
        <f>IFERROR(__xludf.DUMMYFUNCTION("""COMPUTED_VALUE"""),401.63)</f>
        <v>401.63</v>
      </c>
      <c r="Q372" s="320">
        <f>IFERROR(__xludf.DUMMYFUNCTION("""COMPUTED_VALUE"""),287.3)</f>
        <v>287.3</v>
      </c>
      <c r="R372" s="320">
        <f>IFERROR(__xludf.DUMMYFUNCTION("""COMPUTED_VALUE"""),114.33)</f>
        <v>114.33</v>
      </c>
      <c r="S372" s="320">
        <f>IFERROR(__xludf.DUMMYFUNCTION("""COMPUTED_VALUE"""),0.0)</f>
        <v>0</v>
      </c>
      <c r="T372" s="320">
        <f>IFERROR(__xludf.DUMMYFUNCTION("""COMPUTED_VALUE"""),401.63)</f>
        <v>401.63</v>
      </c>
      <c r="U372" s="320">
        <f>IFERROR(__xludf.DUMMYFUNCTION("""COMPUTED_VALUE"""),363.5)</f>
        <v>363.5</v>
      </c>
      <c r="V372" s="320">
        <f>IFERROR(__xludf.DUMMYFUNCTION("""COMPUTED_VALUE"""),4.6969)</f>
        <v>4.6969</v>
      </c>
      <c r="W372" s="320">
        <f>IFERROR(__xludf.DUMMYFUNCTION("""COMPUTED_VALUE"""),0.0)</f>
        <v>0</v>
      </c>
      <c r="X372" s="320">
        <f>IFERROR(__xludf.DUMMYFUNCTION("""COMPUTED_VALUE"""),356.0)</f>
        <v>356</v>
      </c>
      <c r="Y372" s="320">
        <f>IFERROR(__xludf.DUMMYFUNCTION("""COMPUTED_VALUE"""),2390.0)</f>
        <v>2390</v>
      </c>
      <c r="Z372" s="320">
        <f>IFERROR(__xludf.DUMMYFUNCTION("""COMPUTED_VALUE"""),10987.0)</f>
        <v>10987</v>
      </c>
      <c r="AA372" s="320">
        <f>IFERROR(__xludf.DUMMYFUNCTION("""COMPUTED_VALUE"""),58.6823)</f>
        <v>58.6823</v>
      </c>
      <c r="AB372" s="320">
        <f>IFERROR(__xludf.DUMMYFUNCTION("""COMPUTED_VALUE"""),0.7309)</f>
        <v>0.7309</v>
      </c>
      <c r="AC372" s="320">
        <f>IFERROR(__xludf.DUMMYFUNCTION("""COMPUTED_VALUE"""),38.84)</f>
        <v>38.84</v>
      </c>
      <c r="AD372" s="320">
        <f>IFERROR(__xludf.DUMMYFUNCTION("""COMPUTED_VALUE"""),18.0)</f>
        <v>18</v>
      </c>
      <c r="AE372" s="320">
        <f>IFERROR(__xludf.DUMMYFUNCTION("""COMPUTED_VALUE"""),34.0)</f>
        <v>34</v>
      </c>
      <c r="AF372" s="320">
        <f>IFERROR(__xludf.DUMMYFUNCTION("""COMPUTED_VALUE"""),50.0)</f>
        <v>50</v>
      </c>
      <c r="AG372" s="320">
        <f>IFERROR(__xludf.DUMMYFUNCTION("""COMPUTED_VALUE"""),78.0)</f>
        <v>78</v>
      </c>
      <c r="AH372" s="320">
        <f>IFERROR(__xludf.DUMMYFUNCTION("""COMPUTED_VALUE"""),57.9)</f>
        <v>57.9</v>
      </c>
      <c r="AI372" s="320">
        <f>IFERROR(__xludf.DUMMYFUNCTION("""COMPUTED_VALUE"""),18.87)</f>
        <v>18.87</v>
      </c>
      <c r="AJ372" s="320">
        <f>IFERROR(__xludf.DUMMYFUNCTION("""COMPUTED_VALUE"""),4.66)</f>
        <v>4.66</v>
      </c>
      <c r="AK372" s="320">
        <f>IFERROR(__xludf.DUMMYFUNCTION("""COMPUTED_VALUE"""),0.1158)</f>
        <v>0.1158</v>
      </c>
      <c r="AL372" s="320">
        <f>IFERROR(__xludf.DUMMYFUNCTION("""COMPUTED_VALUE"""),21.4)</f>
        <v>21.4</v>
      </c>
      <c r="AM372" s="320">
        <f>IFERROR(__xludf.DUMMYFUNCTION("""COMPUTED_VALUE"""),265.9)</f>
        <v>265.9</v>
      </c>
      <c r="AN372" s="320">
        <f>IFERROR(__xludf.DUMMYFUNCTION("""COMPUTED_VALUE"""),73.79)</f>
        <v>73.79</v>
      </c>
      <c r="AO372" s="320">
        <f>IFERROR(__xludf.DUMMYFUNCTION("""COMPUTED_VALUE"""),15.79)</f>
        <v>15.79</v>
      </c>
    </row>
    <row r="373" ht="15.75" customHeight="1">
      <c r="A373" s="330">
        <f>IFERROR(__xludf.DUMMYFUNCTION("""COMPUTED_VALUE"""),46111.0)</f>
        <v>46111</v>
      </c>
      <c r="B373" s="319" t="str">
        <f>IFERROR(__xludf.DUMMYFUNCTION("""COMPUTED_VALUE"""),"F. 100+")</f>
        <v>F. 100+</v>
      </c>
      <c r="C373" s="320">
        <f>IFERROR(__xludf.DUMMYFUNCTION("""COMPUTED_VALUE"""),661.0)</f>
        <v>661</v>
      </c>
      <c r="D373" s="320">
        <f>IFERROR(__xludf.DUMMYFUNCTION("""COMPUTED_VALUE"""),0.61)</f>
        <v>0.61</v>
      </c>
      <c r="E373" s="320">
        <f>IFERROR(__xludf.DUMMYFUNCTION("""COMPUTED_VALUE"""),0.0)</f>
        <v>0</v>
      </c>
      <c r="F373" s="320">
        <f>IFERROR(__xludf.DUMMYFUNCTION("""COMPUTED_VALUE"""),0.0)</f>
        <v>0</v>
      </c>
      <c r="G373" s="320">
        <f>IFERROR(__xludf.DUMMYFUNCTION("""COMPUTED_VALUE"""),0.0)</f>
        <v>0</v>
      </c>
      <c r="H373" s="106"/>
      <c r="I373" s="320">
        <f>IFERROR(__xludf.DUMMYFUNCTION("""COMPUTED_VALUE"""),263.2)</f>
        <v>263.2</v>
      </c>
      <c r="J373" s="320">
        <f>IFERROR(__xludf.DUMMYFUNCTION("""COMPUTED_VALUE"""),154.95)</f>
        <v>154.95</v>
      </c>
      <c r="K373" s="320">
        <f>IFERROR(__xludf.DUMMYFUNCTION("""COMPUTED_VALUE"""),136.22)</f>
        <v>136.22</v>
      </c>
      <c r="L373" s="320">
        <f>IFERROR(__xludf.DUMMYFUNCTION("""COMPUTED_VALUE"""),0.8791)</f>
        <v>0.8791</v>
      </c>
      <c r="M373" s="320">
        <f>IFERROR(__xludf.DUMMYFUNCTION("""COMPUTED_VALUE"""),0.2713)</f>
        <v>0.2713</v>
      </c>
      <c r="N373" s="320">
        <f>IFERROR(__xludf.DUMMYFUNCTION("""COMPUTED_VALUE"""),0.205)</f>
        <v>0.205</v>
      </c>
      <c r="O373" s="320">
        <f>IFERROR(__xludf.DUMMYFUNCTION("""COMPUTED_VALUE"""),1.1375)</f>
        <v>1.1375</v>
      </c>
      <c r="P373" s="320">
        <f>IFERROR(__xludf.DUMMYFUNCTION("""COMPUTED_VALUE"""),786.28)</f>
        <v>786.28</v>
      </c>
      <c r="Q373" s="320">
        <f>IFERROR(__xludf.DUMMYFUNCTION("""COMPUTED_VALUE"""),500.33)</f>
        <v>500.33</v>
      </c>
      <c r="R373" s="320">
        <f>IFERROR(__xludf.DUMMYFUNCTION("""COMPUTED_VALUE"""),285.95)</f>
        <v>285.95</v>
      </c>
      <c r="S373" s="320">
        <f>IFERROR(__xludf.DUMMYFUNCTION("""COMPUTED_VALUE"""),0.0)</f>
        <v>0</v>
      </c>
      <c r="T373" s="320">
        <f>IFERROR(__xludf.DUMMYFUNCTION("""COMPUTED_VALUE"""),786.28)</f>
        <v>786.28</v>
      </c>
      <c r="U373" s="320">
        <f>IFERROR(__xludf.DUMMYFUNCTION("""COMPUTED_VALUE"""),819.29)</f>
        <v>819.29</v>
      </c>
      <c r="V373" s="320">
        <f>IFERROR(__xludf.DUMMYFUNCTION("""COMPUTED_VALUE"""),5.2874)</f>
        <v>5.2874</v>
      </c>
      <c r="W373" s="320">
        <f>IFERROR(__xludf.DUMMYFUNCTION("""COMPUTED_VALUE"""),0.0)</f>
        <v>0</v>
      </c>
      <c r="X373" s="320">
        <f>IFERROR(__xludf.DUMMYFUNCTION("""COMPUTED_VALUE"""),1020.0)</f>
        <v>1020</v>
      </c>
      <c r="Y373" s="320">
        <f>IFERROR(__xludf.DUMMYFUNCTION("""COMPUTED_VALUE"""),4464.0)</f>
        <v>4464</v>
      </c>
      <c r="Z373" s="320">
        <f>IFERROR(__xludf.DUMMYFUNCTION("""COMPUTED_VALUE"""),12073.0)</f>
        <v>12073</v>
      </c>
      <c r="AA373" s="320">
        <f>IFERROR(__xludf.DUMMYFUNCTION("""COMPUTED_VALUE"""),63.2066)</f>
        <v>63.2066</v>
      </c>
      <c r="AB373" s="320">
        <f>IFERROR(__xludf.DUMMYFUNCTION("""COMPUTED_VALUE"""),0.8898)</f>
        <v>0.8898</v>
      </c>
      <c r="AC373" s="320">
        <f>IFERROR(__xludf.DUMMYFUNCTION("""COMPUTED_VALUE"""),97.62)</f>
        <v>97.62</v>
      </c>
      <c r="AD373" s="320">
        <f>IFERROR(__xludf.DUMMYFUNCTION("""COMPUTED_VALUE"""),42.0)</f>
        <v>42</v>
      </c>
      <c r="AE373" s="320">
        <f>IFERROR(__xludf.DUMMYFUNCTION("""COMPUTED_VALUE"""),82.0)</f>
        <v>82</v>
      </c>
      <c r="AF373" s="320">
        <f>IFERROR(__xludf.DUMMYFUNCTION("""COMPUTED_VALUE"""),137.0)</f>
        <v>137</v>
      </c>
      <c r="AG373" s="320">
        <f>IFERROR(__xludf.DUMMYFUNCTION("""COMPUTED_VALUE"""),196.0)</f>
        <v>196</v>
      </c>
      <c r="AH373" s="320">
        <f>IFERROR(__xludf.DUMMYFUNCTION("""COMPUTED_VALUE"""),51.59)</f>
        <v>51.59</v>
      </c>
      <c r="AI373" s="320">
        <f>IFERROR(__xludf.DUMMYFUNCTION("""COMPUTED_VALUE"""),14.37)</f>
        <v>14.37</v>
      </c>
      <c r="AJ373" s="320">
        <f>IFERROR(__xludf.DUMMYFUNCTION("""COMPUTED_VALUE"""),2.27)</f>
        <v>2.27</v>
      </c>
      <c r="AK373" s="320">
        <f>IFERROR(__xludf.DUMMYFUNCTION("""COMPUTED_VALUE"""),0.0802)</f>
        <v>0.0802</v>
      </c>
      <c r="AL373" s="320">
        <f>IFERROR(__xludf.DUMMYFUNCTION("""COMPUTED_VALUE"""),24.75)</f>
        <v>24.75</v>
      </c>
      <c r="AM373" s="320">
        <f>IFERROR(__xludf.DUMMYFUNCTION("""COMPUTED_VALUE"""),475.58)</f>
        <v>475.58</v>
      </c>
      <c r="AN373" s="320">
        <f>IFERROR(__xludf.DUMMYFUNCTION("""COMPUTED_VALUE"""),84.07)</f>
        <v>84.07</v>
      </c>
      <c r="AO373" s="320">
        <f>IFERROR(__xludf.DUMMYFUNCTION("""COMPUTED_VALUE"""),20.81)</f>
        <v>20.81</v>
      </c>
    </row>
    <row r="374" ht="15.75" customHeight="1">
      <c r="A374" s="330">
        <f>IFERROR(__xludf.DUMMYFUNCTION("""COMPUTED_VALUE"""),46112.0)</f>
        <v>46112</v>
      </c>
      <c r="B374" s="319" t="str">
        <f>IFERROR(__xludf.DUMMYFUNCTION("""COMPUTED_VALUE"""),"A. 0")</f>
        <v>A. 0</v>
      </c>
      <c r="C374" s="320">
        <f>IFERROR(__xludf.DUMMYFUNCTION("""COMPUTED_VALUE"""),18534.0)</f>
        <v>18534</v>
      </c>
      <c r="D374" s="320">
        <f>IFERROR(__xludf.DUMMYFUNCTION("""COMPUTED_VALUE"""),17.16)</f>
        <v>17.16</v>
      </c>
      <c r="E374" s="320">
        <f>IFERROR(__xludf.DUMMYFUNCTION("""COMPUTED_VALUE"""),0.0)</f>
        <v>0</v>
      </c>
      <c r="F374" s="320">
        <f>IFERROR(__xludf.DUMMYFUNCTION("""COMPUTED_VALUE"""),0.0)</f>
        <v>0</v>
      </c>
      <c r="G374" s="320">
        <f>IFERROR(__xludf.DUMMYFUNCTION("""COMPUTED_VALUE"""),0.0)</f>
        <v>0</v>
      </c>
      <c r="H374" s="106"/>
      <c r="I374" s="320">
        <f>IFERROR(__xludf.DUMMYFUNCTION("""COMPUTED_VALUE"""),6.11)</f>
        <v>6.11</v>
      </c>
      <c r="J374" s="320">
        <f>IFERROR(__xludf.DUMMYFUNCTION("""COMPUTED_VALUE"""),2.39)</f>
        <v>2.39</v>
      </c>
      <c r="K374" s="320">
        <f>IFERROR(__xludf.DUMMYFUNCTION("""COMPUTED_VALUE"""),0.08)</f>
        <v>0.08</v>
      </c>
      <c r="L374" s="320">
        <f>IFERROR(__xludf.DUMMYFUNCTION("""COMPUTED_VALUE"""),0.0354)</f>
        <v>0.0354</v>
      </c>
      <c r="M374" s="320">
        <f>IFERROR(__xludf.DUMMYFUNCTION("""COMPUTED_VALUE"""),0.9726)</f>
        <v>0.9726</v>
      </c>
      <c r="N374" s="320">
        <f>IFERROR(__xludf.DUMMYFUNCTION("""COMPUTED_VALUE"""),0.7363)</f>
        <v>0.7363</v>
      </c>
      <c r="O374" s="320">
        <f>IFERROR(__xludf.DUMMYFUNCTION("""COMPUTED_VALUE"""),28.2669)</f>
        <v>28.2669</v>
      </c>
      <c r="P374" s="320">
        <f>IFERROR(__xludf.DUMMYFUNCTION("""COMPUTED_VALUE"""),33.64)</f>
        <v>33.64</v>
      </c>
      <c r="Q374" s="320">
        <f>IFERROR(__xludf.DUMMYFUNCTION("""COMPUTED_VALUE"""),33.52)</f>
        <v>33.52</v>
      </c>
      <c r="R374" s="320">
        <f>IFERROR(__xludf.DUMMYFUNCTION("""COMPUTED_VALUE"""),0.12)</f>
        <v>0.12</v>
      </c>
      <c r="S374" s="320">
        <f>IFERROR(__xludf.DUMMYFUNCTION("""COMPUTED_VALUE"""),0.0)</f>
        <v>0</v>
      </c>
      <c r="T374" s="320">
        <f>IFERROR(__xludf.DUMMYFUNCTION("""COMPUTED_VALUE"""),33.64)</f>
        <v>33.64</v>
      </c>
      <c r="U374" s="320">
        <f>IFERROR(__xludf.DUMMYFUNCTION("""COMPUTED_VALUE"""),2.5)</f>
        <v>2.5</v>
      </c>
      <c r="V374" s="320">
        <f>IFERROR(__xludf.DUMMYFUNCTION("""COMPUTED_VALUE"""),1.0444)</f>
        <v>1.0444</v>
      </c>
      <c r="W374" s="320">
        <f>IFERROR(__xludf.DUMMYFUNCTION("""COMPUTED_VALUE"""),0.0)</f>
        <v>0</v>
      </c>
      <c r="X374" s="320">
        <f>IFERROR(__xludf.DUMMYFUNCTION("""COMPUTED_VALUE"""),330.0)</f>
        <v>330</v>
      </c>
      <c r="Y374" s="320">
        <f>IFERROR(__xludf.DUMMYFUNCTION("""COMPUTED_VALUE"""),3754.0)</f>
        <v>3754</v>
      </c>
      <c r="Z374" s="320">
        <f>IFERROR(__xludf.DUMMYFUNCTION("""COMPUTED_VALUE"""),15051.0)</f>
        <v>15051</v>
      </c>
      <c r="AA374" s="320">
        <f>IFERROR(__xludf.DUMMYFUNCTION("""COMPUTED_VALUE"""),48.9473)</f>
        <v>48.9473</v>
      </c>
      <c r="AB374" s="320">
        <f>IFERROR(__xludf.DUMMYFUNCTION("""COMPUTED_VALUE"""),0.5386)</f>
        <v>0.5386</v>
      </c>
      <c r="AC374" s="106"/>
      <c r="AD374" s="106"/>
      <c r="AE374" s="106"/>
      <c r="AF374" s="106"/>
      <c r="AG374" s="106"/>
      <c r="AH374" s="320">
        <f>IFERROR(__xludf.DUMMYFUNCTION("""COMPUTED_VALUE"""),0.0)</f>
        <v>0</v>
      </c>
      <c r="AI374" s="320">
        <f>IFERROR(__xludf.DUMMYFUNCTION("""COMPUTED_VALUE"""),0.0)</f>
        <v>0</v>
      </c>
      <c r="AJ374" s="320">
        <f>IFERROR(__xludf.DUMMYFUNCTION("""COMPUTED_VALUE"""),0.0)</f>
        <v>0</v>
      </c>
      <c r="AK374" s="320">
        <f>IFERROR(__xludf.DUMMYFUNCTION("""COMPUTED_VALUE"""),0.2946)</f>
        <v>0.2946</v>
      </c>
      <c r="AL374" s="320">
        <f>IFERROR(__xludf.DUMMYFUNCTION("""COMPUTED_VALUE"""),16.89)</f>
        <v>16.89</v>
      </c>
      <c r="AM374" s="320">
        <f>IFERROR(__xludf.DUMMYFUNCTION("""COMPUTED_VALUE"""),16.63)</f>
        <v>16.63</v>
      </c>
      <c r="AN374" s="331"/>
      <c r="AO374" s="331"/>
    </row>
    <row r="375" ht="15.75" customHeight="1">
      <c r="A375" s="330">
        <f>IFERROR(__xludf.DUMMYFUNCTION("""COMPUTED_VALUE"""),46112.0)</f>
        <v>46112</v>
      </c>
      <c r="B375" s="319" t="str">
        <f>IFERROR(__xludf.DUMMYFUNCTION("""COMPUTED_VALUE"""),"B. 1-9")</f>
        <v>B. 1-9</v>
      </c>
      <c r="C375" s="320">
        <f>IFERROR(__xludf.DUMMYFUNCTION("""COMPUTED_VALUE"""),38024.0)</f>
        <v>38024</v>
      </c>
      <c r="D375" s="320">
        <f>IFERROR(__xludf.DUMMYFUNCTION("""COMPUTED_VALUE"""),35.2)</f>
        <v>35.2</v>
      </c>
      <c r="E375" s="320">
        <f>IFERROR(__xludf.DUMMYFUNCTION("""COMPUTED_VALUE"""),0.0)</f>
        <v>0</v>
      </c>
      <c r="F375" s="320">
        <f>IFERROR(__xludf.DUMMYFUNCTION("""COMPUTED_VALUE"""),0.0)</f>
        <v>0</v>
      </c>
      <c r="G375" s="320">
        <f>IFERROR(__xludf.DUMMYFUNCTION("""COMPUTED_VALUE"""),0.0)</f>
        <v>0</v>
      </c>
      <c r="H375" s="106"/>
      <c r="I375" s="320">
        <f>IFERROR(__xludf.DUMMYFUNCTION("""COMPUTED_VALUE"""),30.63)</f>
        <v>30.63</v>
      </c>
      <c r="J375" s="320">
        <f>IFERROR(__xludf.DUMMYFUNCTION("""COMPUTED_VALUE"""),13.93)</f>
        <v>13.93</v>
      </c>
      <c r="K375" s="320">
        <f>IFERROR(__xludf.DUMMYFUNCTION("""COMPUTED_VALUE"""),6.0)</f>
        <v>6</v>
      </c>
      <c r="L375" s="320">
        <f>IFERROR(__xludf.DUMMYFUNCTION("""COMPUTED_VALUE"""),0.4307)</f>
        <v>0.4307</v>
      </c>
      <c r="M375" s="320">
        <f>IFERROR(__xludf.DUMMYFUNCTION("""COMPUTED_VALUE"""),0.7391)</f>
        <v>0.7391</v>
      </c>
      <c r="N375" s="320">
        <f>IFERROR(__xludf.DUMMYFUNCTION("""COMPUTED_VALUE"""),0.5346)</f>
        <v>0.5346</v>
      </c>
      <c r="O375" s="320">
        <f>IFERROR(__xludf.DUMMYFUNCTION("""COMPUTED_VALUE"""),2.3216)</f>
        <v>2.3216</v>
      </c>
      <c r="P375" s="320">
        <f>IFERROR(__xludf.DUMMYFUNCTION("""COMPUTED_VALUE"""),73.47)</f>
        <v>73.47</v>
      </c>
      <c r="Q375" s="320">
        <f>IFERROR(__xludf.DUMMYFUNCTION("""COMPUTED_VALUE"""),62.02)</f>
        <v>62.02</v>
      </c>
      <c r="R375" s="320">
        <f>IFERROR(__xludf.DUMMYFUNCTION("""COMPUTED_VALUE"""),11.45)</f>
        <v>11.45</v>
      </c>
      <c r="S375" s="320">
        <f>IFERROR(__xludf.DUMMYFUNCTION("""COMPUTED_VALUE"""),0.01)</f>
        <v>0.01</v>
      </c>
      <c r="T375" s="320">
        <f>IFERROR(__xludf.DUMMYFUNCTION("""COMPUTED_VALUE"""),73.45)</f>
        <v>73.45</v>
      </c>
      <c r="U375" s="320">
        <f>IFERROR(__xludf.DUMMYFUNCTION("""COMPUTED_VALUE"""),57.95)</f>
        <v>57.95</v>
      </c>
      <c r="V375" s="320">
        <f>IFERROR(__xludf.DUMMYFUNCTION("""COMPUTED_VALUE"""),4.1608)</f>
        <v>4.1608</v>
      </c>
      <c r="W375" s="320">
        <f>IFERROR(__xludf.DUMMYFUNCTION("""COMPUTED_VALUE"""),0.02)</f>
        <v>0.02</v>
      </c>
      <c r="X375" s="320">
        <f>IFERROR(__xludf.DUMMYFUNCTION("""COMPUTED_VALUE"""),161.0)</f>
        <v>161</v>
      </c>
      <c r="Y375" s="320">
        <f>IFERROR(__xludf.DUMMYFUNCTION("""COMPUTED_VALUE"""),972.0)</f>
        <v>972</v>
      </c>
      <c r="Z375" s="320">
        <f>IFERROR(__xludf.DUMMYFUNCTION("""COMPUTED_VALUE"""),6250.0)</f>
        <v>6250</v>
      </c>
      <c r="AA375" s="320">
        <f>IFERROR(__xludf.DUMMYFUNCTION("""COMPUTED_VALUE"""),48.6113)</f>
        <v>48.6113</v>
      </c>
      <c r="AB375" s="320">
        <f>IFERROR(__xludf.DUMMYFUNCTION("""COMPUTED_VALUE"""),0.531)</f>
        <v>0.531</v>
      </c>
      <c r="AC375" s="320">
        <f>IFERROR(__xludf.DUMMYFUNCTION("""COMPUTED_VALUE"""),4.37)</f>
        <v>4.37</v>
      </c>
      <c r="AD375" s="320">
        <f>IFERROR(__xludf.DUMMYFUNCTION("""COMPUTED_VALUE"""),2.0)</f>
        <v>2</v>
      </c>
      <c r="AE375" s="320">
        <f>IFERROR(__xludf.DUMMYFUNCTION("""COMPUTED_VALUE"""),3.0)</f>
        <v>3</v>
      </c>
      <c r="AF375" s="320">
        <f>IFERROR(__xludf.DUMMYFUNCTION("""COMPUTED_VALUE"""),6.0)</f>
        <v>6</v>
      </c>
      <c r="AG375" s="320">
        <f>IFERROR(__xludf.DUMMYFUNCTION("""COMPUTED_VALUE"""),10.0)</f>
        <v>10</v>
      </c>
      <c r="AH375" s="320">
        <f>IFERROR(__xludf.DUMMYFUNCTION("""COMPUTED_VALUE"""),75.3)</f>
        <v>75.3</v>
      </c>
      <c r="AI375" s="320">
        <f>IFERROR(__xludf.DUMMYFUNCTION("""COMPUTED_VALUE"""),34.54)</f>
        <v>34.54</v>
      </c>
      <c r="AJ375" s="320">
        <f>IFERROR(__xludf.DUMMYFUNCTION("""COMPUTED_VALUE"""),10.65)</f>
        <v>10.65</v>
      </c>
      <c r="AK375" s="320">
        <f>IFERROR(__xludf.DUMMYFUNCTION("""COMPUTED_VALUE"""),0.2484)</f>
        <v>0.2484</v>
      </c>
      <c r="AL375" s="320">
        <f>IFERROR(__xludf.DUMMYFUNCTION("""COMPUTED_VALUE"""),18.85)</f>
        <v>18.85</v>
      </c>
      <c r="AM375" s="320">
        <f>IFERROR(__xludf.DUMMYFUNCTION("""COMPUTED_VALUE"""),43.17)</f>
        <v>43.17</v>
      </c>
      <c r="AN375" s="320">
        <f>IFERROR(__xludf.DUMMYFUNCTION("""COMPUTED_VALUE"""),65.38)</f>
        <v>65.38</v>
      </c>
      <c r="AO375" s="320">
        <f>IFERROR(__xludf.DUMMYFUNCTION("""COMPUTED_VALUE"""),12.32)</f>
        <v>12.32</v>
      </c>
    </row>
    <row r="376" ht="15.75" customHeight="1">
      <c r="A376" s="330">
        <f>IFERROR(__xludf.DUMMYFUNCTION("""COMPUTED_VALUE"""),46112.0)</f>
        <v>46112</v>
      </c>
      <c r="B376" s="319" t="str">
        <f>IFERROR(__xludf.DUMMYFUNCTION("""COMPUTED_VALUE"""),"C. 10-19")</f>
        <v>C. 10-19</v>
      </c>
      <c r="C376" s="320">
        <f>IFERROR(__xludf.DUMMYFUNCTION("""COMPUTED_VALUE"""),28561.0)</f>
        <v>28561</v>
      </c>
      <c r="D376" s="320">
        <f>IFERROR(__xludf.DUMMYFUNCTION("""COMPUTED_VALUE"""),26.44)</f>
        <v>26.44</v>
      </c>
      <c r="E376" s="320">
        <f>IFERROR(__xludf.DUMMYFUNCTION("""COMPUTED_VALUE"""),0.0)</f>
        <v>0</v>
      </c>
      <c r="F376" s="320">
        <f>IFERROR(__xludf.DUMMYFUNCTION("""COMPUTED_VALUE"""),0.0)</f>
        <v>0</v>
      </c>
      <c r="G376" s="320">
        <f>IFERROR(__xludf.DUMMYFUNCTION("""COMPUTED_VALUE"""),0.0)</f>
        <v>0</v>
      </c>
      <c r="H376" s="106"/>
      <c r="I376" s="320">
        <f>IFERROR(__xludf.DUMMYFUNCTION("""COMPUTED_VALUE"""),57.89)</f>
        <v>57.89</v>
      </c>
      <c r="J376" s="320">
        <f>IFERROR(__xludf.DUMMYFUNCTION("""COMPUTED_VALUE"""),27.63)</f>
        <v>27.63</v>
      </c>
      <c r="K376" s="320">
        <f>IFERROR(__xludf.DUMMYFUNCTION("""COMPUTED_VALUE"""),15.61)</f>
        <v>15.61</v>
      </c>
      <c r="L376" s="320">
        <f>IFERROR(__xludf.DUMMYFUNCTION("""COMPUTED_VALUE"""),0.5649)</f>
        <v>0.5649</v>
      </c>
      <c r="M376" s="320">
        <f>IFERROR(__xludf.DUMMYFUNCTION("""COMPUTED_VALUE"""),0.629)</f>
        <v>0.629</v>
      </c>
      <c r="N376" s="320">
        <f>IFERROR(__xludf.DUMMYFUNCTION("""COMPUTED_VALUE"""),0.4319)</f>
        <v>0.4319</v>
      </c>
      <c r="O376" s="320">
        <f>IFERROR(__xludf.DUMMYFUNCTION("""COMPUTED_VALUE"""),1.7702)</f>
        <v>1.7702</v>
      </c>
      <c r="P376" s="320">
        <f>IFERROR(__xludf.DUMMYFUNCTION("""COMPUTED_VALUE"""),134.9)</f>
        <v>134.9</v>
      </c>
      <c r="Q376" s="320">
        <f>IFERROR(__xludf.DUMMYFUNCTION("""COMPUTED_VALUE"""),106.31)</f>
        <v>106.31</v>
      </c>
      <c r="R376" s="320">
        <f>IFERROR(__xludf.DUMMYFUNCTION("""COMPUTED_VALUE"""),28.58)</f>
        <v>28.58</v>
      </c>
      <c r="S376" s="320">
        <f>IFERROR(__xludf.DUMMYFUNCTION("""COMPUTED_VALUE"""),0.13)</f>
        <v>0.13</v>
      </c>
      <c r="T376" s="320">
        <f>IFERROR(__xludf.DUMMYFUNCTION("""COMPUTED_VALUE"""),134.77)</f>
        <v>134.77</v>
      </c>
      <c r="U376" s="320">
        <f>IFERROR(__xludf.DUMMYFUNCTION("""COMPUTED_VALUE"""),111.66)</f>
        <v>111.66</v>
      </c>
      <c r="V376" s="320">
        <f>IFERROR(__xludf.DUMMYFUNCTION("""COMPUTED_VALUE"""),4.0413)</f>
        <v>4.0413</v>
      </c>
      <c r="W376" s="320">
        <f>IFERROR(__xludf.DUMMYFUNCTION("""COMPUTED_VALUE"""),0.09)</f>
        <v>0.09</v>
      </c>
      <c r="X376" s="320">
        <f>IFERROR(__xludf.DUMMYFUNCTION("""COMPUTED_VALUE"""),151.0)</f>
        <v>151</v>
      </c>
      <c r="Y376" s="320">
        <f>IFERROR(__xludf.DUMMYFUNCTION("""COMPUTED_VALUE"""),779.0)</f>
        <v>779</v>
      </c>
      <c r="Z376" s="320">
        <f>IFERROR(__xludf.DUMMYFUNCTION("""COMPUTED_VALUE"""),5742.0)</f>
        <v>5742</v>
      </c>
      <c r="AA376" s="320">
        <f>IFERROR(__xludf.DUMMYFUNCTION("""COMPUTED_VALUE"""),52.0737)</f>
        <v>52.0737</v>
      </c>
      <c r="AB376" s="320">
        <f>IFERROR(__xludf.DUMMYFUNCTION("""COMPUTED_VALUE"""),0.5997)</f>
        <v>0.5997</v>
      </c>
      <c r="AC376" s="320">
        <f>IFERROR(__xludf.DUMMYFUNCTION("""COMPUTED_VALUE"""),10.26)</f>
        <v>10.26</v>
      </c>
      <c r="AD376" s="320">
        <f>IFERROR(__xludf.DUMMYFUNCTION("""COMPUTED_VALUE"""),4.0)</f>
        <v>4</v>
      </c>
      <c r="AE376" s="320">
        <f>IFERROR(__xludf.DUMMYFUNCTION("""COMPUTED_VALUE"""),8.0)</f>
        <v>8</v>
      </c>
      <c r="AF376" s="320">
        <f>IFERROR(__xludf.DUMMYFUNCTION("""COMPUTED_VALUE"""),14.0)</f>
        <v>14</v>
      </c>
      <c r="AG376" s="320">
        <f>IFERROR(__xludf.DUMMYFUNCTION("""COMPUTED_VALUE"""),21.0)</f>
        <v>21</v>
      </c>
      <c r="AH376" s="320">
        <f>IFERROR(__xludf.DUMMYFUNCTION("""COMPUTED_VALUE"""),65.0)</f>
        <v>65</v>
      </c>
      <c r="AI376" s="320">
        <f>IFERROR(__xludf.DUMMYFUNCTION("""COMPUTED_VALUE"""),30.37)</f>
        <v>30.37</v>
      </c>
      <c r="AJ376" s="320">
        <f>IFERROR(__xludf.DUMMYFUNCTION("""COMPUTED_VALUE"""),5.81)</f>
        <v>5.81</v>
      </c>
      <c r="AK376" s="320">
        <f>IFERROR(__xludf.DUMMYFUNCTION("""COMPUTED_VALUE"""),0.1875)</f>
        <v>0.1875</v>
      </c>
      <c r="AL376" s="320">
        <f>IFERROR(__xludf.DUMMYFUNCTION("""COMPUTED_VALUE"""),21.95)</f>
        <v>21.95</v>
      </c>
      <c r="AM376" s="320">
        <f>IFERROR(__xludf.DUMMYFUNCTION("""COMPUTED_VALUE"""),84.36)</f>
        <v>84.36</v>
      </c>
      <c r="AN376" s="320">
        <f>IFERROR(__xludf.DUMMYFUNCTION("""COMPUTED_VALUE"""),72.55)</f>
        <v>72.55</v>
      </c>
      <c r="AO376" s="320">
        <f>IFERROR(__xludf.DUMMYFUNCTION("""COMPUTED_VALUE"""),15.92)</f>
        <v>15.92</v>
      </c>
    </row>
    <row r="377" ht="15.75" customHeight="1">
      <c r="A377" s="330">
        <f>IFERROR(__xludf.DUMMYFUNCTION("""COMPUTED_VALUE"""),46112.0)</f>
        <v>46112</v>
      </c>
      <c r="B377" s="319" t="str">
        <f>IFERROR(__xludf.DUMMYFUNCTION("""COMPUTED_VALUE"""),"D. 20-39")</f>
        <v>D. 20-39</v>
      </c>
      <c r="C377" s="320">
        <f>IFERROR(__xludf.DUMMYFUNCTION("""COMPUTED_VALUE"""),16117.0)</f>
        <v>16117</v>
      </c>
      <c r="D377" s="320">
        <f>IFERROR(__xludf.DUMMYFUNCTION("""COMPUTED_VALUE"""),14.92)</f>
        <v>14.92</v>
      </c>
      <c r="E377" s="320">
        <f>IFERROR(__xludf.DUMMYFUNCTION("""COMPUTED_VALUE"""),0.0)</f>
        <v>0</v>
      </c>
      <c r="F377" s="320">
        <f>IFERROR(__xludf.DUMMYFUNCTION("""COMPUTED_VALUE"""),0.0)</f>
        <v>0</v>
      </c>
      <c r="G377" s="320">
        <f>IFERROR(__xludf.DUMMYFUNCTION("""COMPUTED_VALUE"""),0.0)</f>
        <v>0</v>
      </c>
      <c r="H377" s="106"/>
      <c r="I377" s="320">
        <f>IFERROR(__xludf.DUMMYFUNCTION("""COMPUTED_VALUE"""),86.26)</f>
        <v>86.26</v>
      </c>
      <c r="J377" s="320">
        <f>IFERROR(__xludf.DUMMYFUNCTION("""COMPUTED_VALUE"""),44.35)</f>
        <v>44.35</v>
      </c>
      <c r="K377" s="320">
        <f>IFERROR(__xludf.DUMMYFUNCTION("""COMPUTED_VALUE"""),31.45)</f>
        <v>31.45</v>
      </c>
      <c r="L377" s="320">
        <f>IFERROR(__xludf.DUMMYFUNCTION("""COMPUTED_VALUE"""),0.7093)</f>
        <v>0.7093</v>
      </c>
      <c r="M377" s="320">
        <f>IFERROR(__xludf.DUMMYFUNCTION("""COMPUTED_VALUE"""),0.4835)</f>
        <v>0.4835</v>
      </c>
      <c r="N377" s="320">
        <f>IFERROR(__xludf.DUMMYFUNCTION("""COMPUTED_VALUE"""),0.3331)</f>
        <v>0.3331</v>
      </c>
      <c r="O377" s="320">
        <f>IFERROR(__xludf.DUMMYFUNCTION("""COMPUTED_VALUE"""),1.4099)</f>
        <v>1.4099</v>
      </c>
      <c r="P377" s="320">
        <f>IFERROR(__xludf.DUMMYFUNCTION("""COMPUTED_VALUE"""),242.82)</f>
        <v>242.82</v>
      </c>
      <c r="Q377" s="320">
        <f>IFERROR(__xludf.DUMMYFUNCTION("""COMPUTED_VALUE"""),189.78)</f>
        <v>189.78</v>
      </c>
      <c r="R377" s="320">
        <f>IFERROR(__xludf.DUMMYFUNCTION("""COMPUTED_VALUE"""),53.04)</f>
        <v>53.04</v>
      </c>
      <c r="S377" s="320">
        <f>IFERROR(__xludf.DUMMYFUNCTION("""COMPUTED_VALUE"""),0.0)</f>
        <v>0</v>
      </c>
      <c r="T377" s="320">
        <f>IFERROR(__xludf.DUMMYFUNCTION("""COMPUTED_VALUE"""),242.82)</f>
        <v>242.82</v>
      </c>
      <c r="U377" s="320">
        <f>IFERROR(__xludf.DUMMYFUNCTION("""COMPUTED_VALUE"""),198.68)</f>
        <v>198.68</v>
      </c>
      <c r="V377" s="320">
        <f>IFERROR(__xludf.DUMMYFUNCTION("""COMPUTED_VALUE"""),4.4799)</f>
        <v>4.4799</v>
      </c>
      <c r="W377" s="320">
        <f>IFERROR(__xludf.DUMMYFUNCTION("""COMPUTED_VALUE"""),0.0)</f>
        <v>0</v>
      </c>
      <c r="X377" s="320">
        <f>IFERROR(__xludf.DUMMYFUNCTION("""COMPUTED_VALUE"""),202.0)</f>
        <v>202</v>
      </c>
      <c r="Y377" s="320">
        <f>IFERROR(__xludf.DUMMYFUNCTION("""COMPUTED_VALUE"""),1123.0)</f>
        <v>1123</v>
      </c>
      <c r="Z377" s="320">
        <f>IFERROR(__xludf.DUMMYFUNCTION("""COMPUTED_VALUE"""),7455.0)</f>
        <v>7455</v>
      </c>
      <c r="AA377" s="320">
        <f>IFERROR(__xludf.DUMMYFUNCTION("""COMPUTED_VALUE"""),55.3951)</f>
        <v>55.3951</v>
      </c>
      <c r="AB377" s="320">
        <f>IFERROR(__xludf.DUMMYFUNCTION("""COMPUTED_VALUE"""),0.687)</f>
        <v>0.687</v>
      </c>
      <c r="AC377" s="320">
        <f>IFERROR(__xludf.DUMMYFUNCTION("""COMPUTED_VALUE"""),18.83)</f>
        <v>18.83</v>
      </c>
      <c r="AD377" s="320">
        <f>IFERROR(__xludf.DUMMYFUNCTION("""COMPUTED_VALUE"""),8.0)</f>
        <v>8</v>
      </c>
      <c r="AE377" s="320">
        <f>IFERROR(__xludf.DUMMYFUNCTION("""COMPUTED_VALUE"""),15.0)</f>
        <v>15</v>
      </c>
      <c r="AF377" s="320">
        <f>IFERROR(__xludf.DUMMYFUNCTION("""COMPUTED_VALUE"""),26.0)</f>
        <v>26</v>
      </c>
      <c r="AG377" s="320">
        <f>IFERROR(__xludf.DUMMYFUNCTION("""COMPUTED_VALUE"""),38.0)</f>
        <v>38</v>
      </c>
      <c r="AH377" s="320">
        <f>IFERROR(__xludf.DUMMYFUNCTION("""COMPUTED_VALUE"""),64.14)</f>
        <v>64.14</v>
      </c>
      <c r="AI377" s="320">
        <f>IFERROR(__xludf.DUMMYFUNCTION("""COMPUTED_VALUE"""),25.78)</f>
        <v>25.78</v>
      </c>
      <c r="AJ377" s="320">
        <f>IFERROR(__xludf.DUMMYFUNCTION("""COMPUTED_VALUE"""),7.69)</f>
        <v>7.69</v>
      </c>
      <c r="AK377" s="320">
        <f>IFERROR(__xludf.DUMMYFUNCTION("""COMPUTED_VALUE"""),0.1642)</f>
        <v>0.1642</v>
      </c>
      <c r="AL377" s="320">
        <f>IFERROR(__xludf.DUMMYFUNCTION("""COMPUTED_VALUE"""),23.43)</f>
        <v>23.43</v>
      </c>
      <c r="AM377" s="320">
        <f>IFERROR(__xludf.DUMMYFUNCTION("""COMPUTED_VALUE"""),166.35)</f>
        <v>166.35</v>
      </c>
      <c r="AN377" s="320">
        <f>IFERROR(__xludf.DUMMYFUNCTION("""COMPUTED_VALUE"""),73.15)</f>
        <v>73.15</v>
      </c>
      <c r="AO377" s="320">
        <f>IFERROR(__xludf.DUMMYFUNCTION("""COMPUTED_VALUE"""),17.14)</f>
        <v>17.14</v>
      </c>
    </row>
    <row r="378" ht="15.75" customHeight="1">
      <c r="A378" s="330">
        <f>IFERROR(__xludf.DUMMYFUNCTION("""COMPUTED_VALUE"""),46112.0)</f>
        <v>46112</v>
      </c>
      <c r="B378" s="319" t="str">
        <f>IFERROR(__xludf.DUMMYFUNCTION("""COMPUTED_VALUE"""),"E. 40-99")</f>
        <v>E. 40-99</v>
      </c>
      <c r="C378" s="320">
        <f>IFERROR(__xludf.DUMMYFUNCTION("""COMPUTED_VALUE"""),6081.0)</f>
        <v>6081</v>
      </c>
      <c r="D378" s="320">
        <f>IFERROR(__xludf.DUMMYFUNCTION("""COMPUTED_VALUE"""),5.63)</f>
        <v>5.63</v>
      </c>
      <c r="E378" s="320">
        <f>IFERROR(__xludf.DUMMYFUNCTION("""COMPUTED_VALUE"""),0.0)</f>
        <v>0</v>
      </c>
      <c r="F378" s="320">
        <f>IFERROR(__xludf.DUMMYFUNCTION("""COMPUTED_VALUE"""),0.0)</f>
        <v>0</v>
      </c>
      <c r="G378" s="320">
        <f>IFERROR(__xludf.DUMMYFUNCTION("""COMPUTED_VALUE"""),0.0)</f>
        <v>0</v>
      </c>
      <c r="H378" s="106"/>
      <c r="I378" s="320">
        <f>IFERROR(__xludf.DUMMYFUNCTION("""COMPUTED_VALUE"""),134.01)</f>
        <v>134.01</v>
      </c>
      <c r="J378" s="320">
        <f>IFERROR(__xludf.DUMMYFUNCTION("""COMPUTED_VALUE"""),73.59)</f>
        <v>73.59</v>
      </c>
      <c r="K378" s="320">
        <f>IFERROR(__xludf.DUMMYFUNCTION("""COMPUTED_VALUE"""),59.04)</f>
        <v>59.04</v>
      </c>
      <c r="L378" s="320">
        <f>IFERROR(__xludf.DUMMYFUNCTION("""COMPUTED_VALUE"""),0.8024)</f>
        <v>0.8024</v>
      </c>
      <c r="M378" s="320">
        <f>IFERROR(__xludf.DUMMYFUNCTION("""COMPUTED_VALUE"""),0.3786)</f>
        <v>0.3786</v>
      </c>
      <c r="N378" s="320">
        <f>IFERROR(__xludf.DUMMYFUNCTION("""COMPUTED_VALUE"""),0.2728)</f>
        <v>0.2728</v>
      </c>
      <c r="O378" s="320">
        <f>IFERROR(__xludf.DUMMYFUNCTION("""COMPUTED_VALUE"""),1.2463)</f>
        <v>1.2463</v>
      </c>
      <c r="P378" s="320">
        <f>IFERROR(__xludf.DUMMYFUNCTION("""COMPUTED_VALUE"""),486.51)</f>
        <v>486.51</v>
      </c>
      <c r="Q378" s="320">
        <f>IFERROR(__xludf.DUMMYFUNCTION("""COMPUTED_VALUE"""),373.9)</f>
        <v>373.9</v>
      </c>
      <c r="R378" s="320">
        <f>IFERROR(__xludf.DUMMYFUNCTION("""COMPUTED_VALUE"""),112.61)</f>
        <v>112.61</v>
      </c>
      <c r="S378" s="320">
        <f>IFERROR(__xludf.DUMMYFUNCTION("""COMPUTED_VALUE"""),0.0)</f>
        <v>0</v>
      </c>
      <c r="T378" s="320">
        <f>IFERROR(__xludf.DUMMYFUNCTION("""COMPUTED_VALUE"""),486.51)</f>
        <v>486.51</v>
      </c>
      <c r="U378" s="320">
        <f>IFERROR(__xludf.DUMMYFUNCTION("""COMPUTED_VALUE"""),386.4)</f>
        <v>386.4</v>
      </c>
      <c r="V378" s="320">
        <f>IFERROR(__xludf.DUMMYFUNCTION("""COMPUTED_VALUE"""),5.251)</f>
        <v>5.251</v>
      </c>
      <c r="W378" s="320">
        <f>IFERROR(__xludf.DUMMYFUNCTION("""COMPUTED_VALUE"""),0.0)</f>
        <v>0</v>
      </c>
      <c r="X378" s="320">
        <f>IFERROR(__xludf.DUMMYFUNCTION("""COMPUTED_VALUE"""),425.0)</f>
        <v>425</v>
      </c>
      <c r="Y378" s="320">
        <f>IFERROR(__xludf.DUMMYFUNCTION("""COMPUTED_VALUE"""),2192.0)</f>
        <v>2192</v>
      </c>
      <c r="Z378" s="320">
        <f>IFERROR(__xludf.DUMMYFUNCTION("""COMPUTED_VALUE"""),9070.0)</f>
        <v>9070</v>
      </c>
      <c r="AA378" s="320">
        <f>IFERROR(__xludf.DUMMYFUNCTION("""COMPUTED_VALUE"""),59.3184)</f>
        <v>59.3184</v>
      </c>
      <c r="AB378" s="320">
        <f>IFERROR(__xludf.DUMMYFUNCTION("""COMPUTED_VALUE"""),0.8243)</f>
        <v>0.8243</v>
      </c>
      <c r="AC378" s="320">
        <f>IFERROR(__xludf.DUMMYFUNCTION("""COMPUTED_VALUE"""),40.73)</f>
        <v>40.73</v>
      </c>
      <c r="AD378" s="320">
        <f>IFERROR(__xludf.DUMMYFUNCTION("""COMPUTED_VALUE"""),17.0)</f>
        <v>17</v>
      </c>
      <c r="AE378" s="320">
        <f>IFERROR(__xludf.DUMMYFUNCTION("""COMPUTED_VALUE"""),33.0)</f>
        <v>33</v>
      </c>
      <c r="AF378" s="320">
        <f>IFERROR(__xludf.DUMMYFUNCTION("""COMPUTED_VALUE"""),55.0)</f>
        <v>55</v>
      </c>
      <c r="AG378" s="320">
        <f>IFERROR(__xludf.DUMMYFUNCTION("""COMPUTED_VALUE"""),83.0)</f>
        <v>83</v>
      </c>
      <c r="AH378" s="320">
        <f>IFERROR(__xludf.DUMMYFUNCTION("""COMPUTED_VALUE"""),57.77)</f>
        <v>57.77</v>
      </c>
      <c r="AI378" s="320">
        <f>IFERROR(__xludf.DUMMYFUNCTION("""COMPUTED_VALUE"""),22.02)</f>
        <v>22.02</v>
      </c>
      <c r="AJ378" s="320">
        <f>IFERROR(__xludf.DUMMYFUNCTION("""COMPUTED_VALUE"""),5.67)</f>
        <v>5.67</v>
      </c>
      <c r="AK378" s="320">
        <f>IFERROR(__xludf.DUMMYFUNCTION("""COMPUTED_VALUE"""),0.1311)</f>
        <v>0.1311</v>
      </c>
      <c r="AL378" s="320">
        <f>IFERROR(__xludf.DUMMYFUNCTION("""COMPUTED_VALUE"""),25.68)</f>
        <v>25.68</v>
      </c>
      <c r="AM378" s="320">
        <f>IFERROR(__xludf.DUMMYFUNCTION("""COMPUTED_VALUE"""),348.22)</f>
        <v>348.22</v>
      </c>
      <c r="AN378" s="320">
        <f>IFERROR(__xludf.DUMMYFUNCTION("""COMPUTED_VALUE"""),81.76)</f>
        <v>81.76</v>
      </c>
      <c r="AO378" s="320">
        <f>IFERROR(__xludf.DUMMYFUNCTION("""COMPUTED_VALUE"""),21.0)</f>
        <v>21</v>
      </c>
    </row>
    <row r="379" ht="15.75" customHeight="1">
      <c r="A379" s="330">
        <f>IFERROR(__xludf.DUMMYFUNCTION("""COMPUTED_VALUE"""),46112.0)</f>
        <v>46112</v>
      </c>
      <c r="B379" s="319" t="str">
        <f>IFERROR(__xludf.DUMMYFUNCTION("""COMPUTED_VALUE"""),"F. 100+")</f>
        <v>F. 100+</v>
      </c>
      <c r="C379" s="320">
        <f>IFERROR(__xludf.DUMMYFUNCTION("""COMPUTED_VALUE"""),716.0)</f>
        <v>716</v>
      </c>
      <c r="D379" s="320">
        <f>IFERROR(__xludf.DUMMYFUNCTION("""COMPUTED_VALUE"""),0.66)</f>
        <v>0.66</v>
      </c>
      <c r="E379" s="320">
        <f>IFERROR(__xludf.DUMMYFUNCTION("""COMPUTED_VALUE"""),0.0)</f>
        <v>0</v>
      </c>
      <c r="F379" s="320">
        <f>IFERROR(__xludf.DUMMYFUNCTION("""COMPUTED_VALUE"""),0.0)</f>
        <v>0</v>
      </c>
      <c r="G379" s="320">
        <f>IFERROR(__xludf.DUMMYFUNCTION("""COMPUTED_VALUE"""),0.0)</f>
        <v>0</v>
      </c>
      <c r="H379" s="106"/>
      <c r="I379" s="320">
        <f>IFERROR(__xludf.DUMMYFUNCTION("""COMPUTED_VALUE"""),255.39)</f>
        <v>255.39</v>
      </c>
      <c r="J379" s="320">
        <f>IFERROR(__xludf.DUMMYFUNCTION("""COMPUTED_VALUE"""),150.01)</f>
        <v>150.01</v>
      </c>
      <c r="K379" s="320">
        <f>IFERROR(__xludf.DUMMYFUNCTION("""COMPUTED_VALUE"""),132.24)</f>
        <v>132.24</v>
      </c>
      <c r="L379" s="320">
        <f>IFERROR(__xludf.DUMMYFUNCTION("""COMPUTED_VALUE"""),0.8816)</f>
        <v>0.8816</v>
      </c>
      <c r="M379" s="320">
        <f>IFERROR(__xludf.DUMMYFUNCTION("""COMPUTED_VALUE"""),0.271)</f>
        <v>0.271</v>
      </c>
      <c r="N379" s="320">
        <f>IFERROR(__xludf.DUMMYFUNCTION("""COMPUTED_VALUE"""),0.205)</f>
        <v>0.205</v>
      </c>
      <c r="O379" s="320">
        <f>IFERROR(__xludf.DUMMYFUNCTION("""COMPUTED_VALUE"""),1.1344)</f>
        <v>1.1344</v>
      </c>
      <c r="P379" s="320">
        <f>IFERROR(__xludf.DUMMYFUNCTION("""COMPUTED_VALUE"""),1035.42)</f>
        <v>1035.42</v>
      </c>
      <c r="Q379" s="320">
        <f>IFERROR(__xludf.DUMMYFUNCTION("""COMPUTED_VALUE"""),778.6)</f>
        <v>778.6</v>
      </c>
      <c r="R379" s="320">
        <f>IFERROR(__xludf.DUMMYFUNCTION("""COMPUTED_VALUE"""),256.82)</f>
        <v>256.82</v>
      </c>
      <c r="S379" s="320">
        <f>IFERROR(__xludf.DUMMYFUNCTION("""COMPUTED_VALUE"""),0.0)</f>
        <v>0</v>
      </c>
      <c r="T379" s="320">
        <f>IFERROR(__xludf.DUMMYFUNCTION("""COMPUTED_VALUE"""),1035.42)</f>
        <v>1035.42</v>
      </c>
      <c r="U379" s="320">
        <f>IFERROR(__xludf.DUMMYFUNCTION("""COMPUTED_VALUE"""),867.11)</f>
        <v>867.11</v>
      </c>
      <c r="V379" s="320">
        <f>IFERROR(__xludf.DUMMYFUNCTION("""COMPUTED_VALUE"""),5.7802)</f>
        <v>5.7802</v>
      </c>
      <c r="W379" s="320">
        <f>IFERROR(__xludf.DUMMYFUNCTION("""COMPUTED_VALUE"""),0.0)</f>
        <v>0</v>
      </c>
      <c r="X379" s="320">
        <f>IFERROR(__xludf.DUMMYFUNCTION("""COMPUTED_VALUE"""),1308.0)</f>
        <v>1308</v>
      </c>
      <c r="Y379" s="320">
        <f>IFERROR(__xludf.DUMMYFUNCTION("""COMPUTED_VALUE"""),4977.0)</f>
        <v>4977</v>
      </c>
      <c r="Z379" s="320">
        <f>IFERROR(__xludf.DUMMYFUNCTION("""COMPUTED_VALUE"""),12323.0)</f>
        <v>12323</v>
      </c>
      <c r="AA379" s="320">
        <f>IFERROR(__xludf.DUMMYFUNCTION("""COMPUTED_VALUE"""),63.108)</f>
        <v>63.108</v>
      </c>
      <c r="AB379" s="320">
        <f>IFERROR(__xludf.DUMMYFUNCTION("""COMPUTED_VALUE"""),0.8994)</f>
        <v>0.8994</v>
      </c>
      <c r="AC379" s="320">
        <f>IFERROR(__xludf.DUMMYFUNCTION("""COMPUTED_VALUE"""),93.32)</f>
        <v>93.32</v>
      </c>
      <c r="AD379" s="320">
        <f>IFERROR(__xludf.DUMMYFUNCTION("""COMPUTED_VALUE"""),41.0)</f>
        <v>41</v>
      </c>
      <c r="AE379" s="320">
        <f>IFERROR(__xludf.DUMMYFUNCTION("""COMPUTED_VALUE"""),82.0)</f>
        <v>82</v>
      </c>
      <c r="AF379" s="320">
        <f>IFERROR(__xludf.DUMMYFUNCTION("""COMPUTED_VALUE"""),128.0)</f>
        <v>128</v>
      </c>
      <c r="AG379" s="320">
        <f>IFERROR(__xludf.DUMMYFUNCTION("""COMPUTED_VALUE"""),182.0)</f>
        <v>182</v>
      </c>
      <c r="AH379" s="320">
        <f>IFERROR(__xludf.DUMMYFUNCTION("""COMPUTED_VALUE"""),51.26)</f>
        <v>51.26</v>
      </c>
      <c r="AI379" s="320">
        <f>IFERROR(__xludf.DUMMYFUNCTION("""COMPUTED_VALUE"""),11.17)</f>
        <v>11.17</v>
      </c>
      <c r="AJ379" s="320">
        <f>IFERROR(__xludf.DUMMYFUNCTION("""COMPUTED_VALUE"""),1.82)</f>
        <v>1.82</v>
      </c>
      <c r="AK379" s="320">
        <f>IFERROR(__xludf.DUMMYFUNCTION("""COMPUTED_VALUE"""),0.0824)</f>
        <v>0.0824</v>
      </c>
      <c r="AL379" s="320">
        <f>IFERROR(__xludf.DUMMYFUNCTION("""COMPUTED_VALUE"""),23.51)</f>
        <v>23.51</v>
      </c>
      <c r="AM379" s="320">
        <f>IFERROR(__xludf.DUMMYFUNCTION("""COMPUTED_VALUE"""),755.09)</f>
        <v>755.09</v>
      </c>
      <c r="AN379" s="320">
        <f>IFERROR(__xludf.DUMMYFUNCTION("""COMPUTED_VALUE"""),85.18)</f>
        <v>85.18</v>
      </c>
      <c r="AO379" s="320">
        <f>IFERROR(__xludf.DUMMYFUNCTION("""COMPUTED_VALUE"""),20.03)</f>
        <v>20.03</v>
      </c>
    </row>
    <row r="380" ht="15.75" customHeight="1">
      <c r="A380" s="330">
        <f>IFERROR(__xludf.DUMMYFUNCTION("""COMPUTED_VALUE"""),46113.0)</f>
        <v>46113</v>
      </c>
      <c r="B380" s="319" t="str">
        <f>IFERROR(__xludf.DUMMYFUNCTION("""COMPUTED_VALUE"""),"A. 0")</f>
        <v>A. 0</v>
      </c>
      <c r="C380" s="320">
        <f>IFERROR(__xludf.DUMMYFUNCTION("""COMPUTED_VALUE"""),19255.0)</f>
        <v>19255</v>
      </c>
      <c r="D380" s="320">
        <f>IFERROR(__xludf.DUMMYFUNCTION("""COMPUTED_VALUE"""),18.51)</f>
        <v>18.51</v>
      </c>
      <c r="E380" s="320">
        <f>IFERROR(__xludf.DUMMYFUNCTION("""COMPUTED_VALUE"""),0.0)</f>
        <v>0</v>
      </c>
      <c r="F380" s="320">
        <f>IFERROR(__xludf.DUMMYFUNCTION("""COMPUTED_VALUE"""),0.0)</f>
        <v>0</v>
      </c>
      <c r="G380" s="320">
        <f>IFERROR(__xludf.DUMMYFUNCTION("""COMPUTED_VALUE"""),0.0)</f>
        <v>0</v>
      </c>
      <c r="H380" s="106"/>
      <c r="I380" s="320">
        <f>IFERROR(__xludf.DUMMYFUNCTION("""COMPUTED_VALUE"""),6.31)</f>
        <v>6.31</v>
      </c>
      <c r="J380" s="320">
        <f>IFERROR(__xludf.DUMMYFUNCTION("""COMPUTED_VALUE"""),2.53)</f>
        <v>2.53</v>
      </c>
      <c r="K380" s="320">
        <f>IFERROR(__xludf.DUMMYFUNCTION("""COMPUTED_VALUE"""),0.04)</f>
        <v>0.04</v>
      </c>
      <c r="L380" s="320">
        <f>IFERROR(__xludf.DUMMYFUNCTION("""COMPUTED_VALUE"""),0.0172)</f>
        <v>0.0172</v>
      </c>
      <c r="M380" s="320">
        <f>IFERROR(__xludf.DUMMYFUNCTION("""COMPUTED_VALUE"""),0.9842)</f>
        <v>0.9842</v>
      </c>
      <c r="N380" s="320">
        <f>IFERROR(__xludf.DUMMYFUNCTION("""COMPUTED_VALUE"""),0.8387)</f>
        <v>0.8387</v>
      </c>
      <c r="O380" s="320">
        <f>IFERROR(__xludf.DUMMYFUNCTION("""COMPUTED_VALUE"""),58.2823)</f>
        <v>58.2823</v>
      </c>
      <c r="P380" s="320">
        <f>IFERROR(__xludf.DUMMYFUNCTION("""COMPUTED_VALUE"""),24.08)</f>
        <v>24.08</v>
      </c>
      <c r="Q380" s="320">
        <f>IFERROR(__xludf.DUMMYFUNCTION("""COMPUTED_VALUE"""),23.92)</f>
        <v>23.92</v>
      </c>
      <c r="R380" s="320">
        <f>IFERROR(__xludf.DUMMYFUNCTION("""COMPUTED_VALUE"""),0.16)</f>
        <v>0.16</v>
      </c>
      <c r="S380" s="320">
        <f>IFERROR(__xludf.DUMMYFUNCTION("""COMPUTED_VALUE"""),0.0)</f>
        <v>0</v>
      </c>
      <c r="T380" s="320">
        <f>IFERROR(__xludf.DUMMYFUNCTION("""COMPUTED_VALUE"""),24.08)</f>
        <v>24.08</v>
      </c>
      <c r="U380" s="320">
        <f>IFERROR(__xludf.DUMMYFUNCTION("""COMPUTED_VALUE"""),2.23)</f>
        <v>2.23</v>
      </c>
      <c r="V380" s="320">
        <f>IFERROR(__xludf.DUMMYFUNCTION("""COMPUTED_VALUE"""),0.8815)</f>
        <v>0.8815</v>
      </c>
      <c r="W380" s="320">
        <f>IFERROR(__xludf.DUMMYFUNCTION("""COMPUTED_VALUE"""),0.0)</f>
        <v>0</v>
      </c>
      <c r="X380" s="320">
        <f>IFERROR(__xludf.DUMMYFUNCTION("""COMPUTED_VALUE"""),347.0)</f>
        <v>347</v>
      </c>
      <c r="Y380" s="320">
        <f>IFERROR(__xludf.DUMMYFUNCTION("""COMPUTED_VALUE"""),3766.0)</f>
        <v>3766</v>
      </c>
      <c r="Z380" s="320">
        <f>IFERROR(__xludf.DUMMYFUNCTION("""COMPUTED_VALUE"""),15165.0)</f>
        <v>15165</v>
      </c>
      <c r="AA380" s="320">
        <f>IFERROR(__xludf.DUMMYFUNCTION("""COMPUTED_VALUE"""),49.0826)</f>
        <v>49.0826</v>
      </c>
      <c r="AB380" s="320">
        <f>IFERROR(__xludf.DUMMYFUNCTION("""COMPUTED_VALUE"""),0.5478)</f>
        <v>0.5478</v>
      </c>
      <c r="AC380" s="106"/>
      <c r="AD380" s="106"/>
      <c r="AE380" s="106"/>
      <c r="AF380" s="106"/>
      <c r="AG380" s="106"/>
      <c r="AH380" s="320">
        <f>IFERROR(__xludf.DUMMYFUNCTION("""COMPUTED_VALUE"""),0.0)</f>
        <v>0</v>
      </c>
      <c r="AI380" s="320">
        <f>IFERROR(__xludf.DUMMYFUNCTION("""COMPUTED_VALUE"""),0.0)</f>
        <v>0</v>
      </c>
      <c r="AJ380" s="320">
        <f>IFERROR(__xludf.DUMMYFUNCTION("""COMPUTED_VALUE"""),0.0)</f>
        <v>0</v>
      </c>
      <c r="AK380" s="320">
        <f>IFERROR(__xludf.DUMMYFUNCTION("""COMPUTED_VALUE"""),0.28)</f>
        <v>0.28</v>
      </c>
      <c r="AL380" s="320">
        <f>IFERROR(__xludf.DUMMYFUNCTION("""COMPUTED_VALUE"""),15.36)</f>
        <v>15.36</v>
      </c>
      <c r="AM380" s="320">
        <f>IFERROR(__xludf.DUMMYFUNCTION("""COMPUTED_VALUE"""),8.56)</f>
        <v>8.56</v>
      </c>
      <c r="AN380" s="331"/>
      <c r="AO380" s="331"/>
    </row>
    <row r="381" ht="15.75" customHeight="1">
      <c r="A381" s="330">
        <f>IFERROR(__xludf.DUMMYFUNCTION("""COMPUTED_VALUE"""),46113.0)</f>
        <v>46113</v>
      </c>
      <c r="B381" s="319" t="str">
        <f>IFERROR(__xludf.DUMMYFUNCTION("""COMPUTED_VALUE"""),"B. 1-9")</f>
        <v>B. 1-9</v>
      </c>
      <c r="C381" s="320">
        <f>IFERROR(__xludf.DUMMYFUNCTION("""COMPUTED_VALUE"""),36523.0)</f>
        <v>36523</v>
      </c>
      <c r="D381" s="320">
        <f>IFERROR(__xludf.DUMMYFUNCTION("""COMPUTED_VALUE"""),35.11)</f>
        <v>35.11</v>
      </c>
      <c r="E381" s="320">
        <f>IFERROR(__xludf.DUMMYFUNCTION("""COMPUTED_VALUE"""),0.0)</f>
        <v>0</v>
      </c>
      <c r="F381" s="320">
        <f>IFERROR(__xludf.DUMMYFUNCTION("""COMPUTED_VALUE"""),0.0)</f>
        <v>0</v>
      </c>
      <c r="G381" s="320">
        <f>IFERROR(__xludf.DUMMYFUNCTION("""COMPUTED_VALUE"""),0.0)</f>
        <v>0</v>
      </c>
      <c r="H381" s="106"/>
      <c r="I381" s="320">
        <f>IFERROR(__xludf.DUMMYFUNCTION("""COMPUTED_VALUE"""),30.43)</f>
        <v>30.43</v>
      </c>
      <c r="J381" s="320">
        <f>IFERROR(__xludf.DUMMYFUNCTION("""COMPUTED_VALUE"""),13.91)</f>
        <v>13.91</v>
      </c>
      <c r="K381" s="320">
        <f>IFERROR(__xludf.DUMMYFUNCTION("""COMPUTED_VALUE"""),5.73)</f>
        <v>5.73</v>
      </c>
      <c r="L381" s="320">
        <f>IFERROR(__xludf.DUMMYFUNCTION("""COMPUTED_VALUE"""),0.4116)</f>
        <v>0.4116</v>
      </c>
      <c r="M381" s="320">
        <f>IFERROR(__xludf.DUMMYFUNCTION("""COMPUTED_VALUE"""),0.7531)</f>
        <v>0.7531</v>
      </c>
      <c r="N381" s="320">
        <f>IFERROR(__xludf.DUMMYFUNCTION("""COMPUTED_VALUE"""),0.5451)</f>
        <v>0.5451</v>
      </c>
      <c r="O381" s="320">
        <f>IFERROR(__xludf.DUMMYFUNCTION("""COMPUTED_VALUE"""),2.4297)</f>
        <v>2.4297</v>
      </c>
      <c r="P381" s="320">
        <f>IFERROR(__xludf.DUMMYFUNCTION("""COMPUTED_VALUE"""),52.83)</f>
        <v>52.83</v>
      </c>
      <c r="Q381" s="320">
        <f>IFERROR(__xludf.DUMMYFUNCTION("""COMPUTED_VALUE"""),42.67)</f>
        <v>42.67</v>
      </c>
      <c r="R381" s="320">
        <f>IFERROR(__xludf.DUMMYFUNCTION("""COMPUTED_VALUE"""),10.16)</f>
        <v>10.16</v>
      </c>
      <c r="S381" s="320">
        <f>IFERROR(__xludf.DUMMYFUNCTION("""COMPUTED_VALUE"""),0.0)</f>
        <v>0</v>
      </c>
      <c r="T381" s="320">
        <f>IFERROR(__xludf.DUMMYFUNCTION("""COMPUTED_VALUE"""),52.83)</f>
        <v>52.83</v>
      </c>
      <c r="U381" s="320">
        <f>IFERROR(__xludf.DUMMYFUNCTION("""COMPUTED_VALUE"""),53.05)</f>
        <v>53.05</v>
      </c>
      <c r="V381" s="320">
        <f>IFERROR(__xludf.DUMMYFUNCTION("""COMPUTED_VALUE"""),3.8129)</f>
        <v>3.8129</v>
      </c>
      <c r="W381" s="320">
        <f>IFERROR(__xludf.DUMMYFUNCTION("""COMPUTED_VALUE"""),0.0)</f>
        <v>0</v>
      </c>
      <c r="X381" s="320">
        <f>IFERROR(__xludf.DUMMYFUNCTION("""COMPUTED_VALUE"""),158.0)</f>
        <v>158</v>
      </c>
      <c r="Y381" s="320">
        <f>IFERROR(__xludf.DUMMYFUNCTION("""COMPUTED_VALUE"""),970.0)</f>
        <v>970</v>
      </c>
      <c r="Z381" s="320">
        <f>IFERROR(__xludf.DUMMYFUNCTION("""COMPUTED_VALUE"""),6309.0)</f>
        <v>6309</v>
      </c>
      <c r="AA381" s="320">
        <f>IFERROR(__xludf.DUMMYFUNCTION("""COMPUTED_VALUE"""),48.6475)</f>
        <v>48.6475</v>
      </c>
      <c r="AB381" s="320">
        <f>IFERROR(__xludf.DUMMYFUNCTION("""COMPUTED_VALUE"""),0.5336)</f>
        <v>0.5336</v>
      </c>
      <c r="AC381" s="320">
        <f>IFERROR(__xludf.DUMMYFUNCTION("""COMPUTED_VALUE"""),4.15)</f>
        <v>4.15</v>
      </c>
      <c r="AD381" s="320">
        <f>IFERROR(__xludf.DUMMYFUNCTION("""COMPUTED_VALUE"""),1.0)</f>
        <v>1</v>
      </c>
      <c r="AE381" s="320">
        <f>IFERROR(__xludf.DUMMYFUNCTION("""COMPUTED_VALUE"""),3.0)</f>
        <v>3</v>
      </c>
      <c r="AF381" s="320">
        <f>IFERROR(__xludf.DUMMYFUNCTION("""COMPUTED_VALUE"""),5.0)</f>
        <v>5</v>
      </c>
      <c r="AG381" s="320">
        <f>IFERROR(__xludf.DUMMYFUNCTION("""COMPUTED_VALUE"""),9.0)</f>
        <v>9</v>
      </c>
      <c r="AH381" s="320">
        <f>IFERROR(__xludf.DUMMYFUNCTION("""COMPUTED_VALUE"""),73.71)</f>
        <v>73.71</v>
      </c>
      <c r="AI381" s="320">
        <f>IFERROR(__xludf.DUMMYFUNCTION("""COMPUTED_VALUE"""),32.0)</f>
        <v>32</v>
      </c>
      <c r="AJ381" s="320">
        <f>IFERROR(__xludf.DUMMYFUNCTION("""COMPUTED_VALUE"""),9.5)</f>
        <v>9.5</v>
      </c>
      <c r="AK381" s="320">
        <f>IFERROR(__xludf.DUMMYFUNCTION("""COMPUTED_VALUE"""),0.2515)</f>
        <v>0.2515</v>
      </c>
      <c r="AL381" s="320">
        <f>IFERROR(__xludf.DUMMYFUNCTION("""COMPUTED_VALUE"""),18.5)</f>
        <v>18.5</v>
      </c>
      <c r="AM381" s="320">
        <f>IFERROR(__xludf.DUMMYFUNCTION("""COMPUTED_VALUE"""),24.17)</f>
        <v>24.17</v>
      </c>
      <c r="AN381" s="320">
        <f>IFERROR(__xludf.DUMMYFUNCTION("""COMPUTED_VALUE"""),65.93)</f>
        <v>65.93</v>
      </c>
      <c r="AO381" s="320">
        <f>IFERROR(__xludf.DUMMYFUNCTION("""COMPUTED_VALUE"""),12.2)</f>
        <v>12.2</v>
      </c>
    </row>
    <row r="382" ht="15.75" customHeight="1">
      <c r="A382" s="330">
        <f>IFERROR(__xludf.DUMMYFUNCTION("""COMPUTED_VALUE"""),46113.0)</f>
        <v>46113</v>
      </c>
      <c r="B382" s="319" t="str">
        <f>IFERROR(__xludf.DUMMYFUNCTION("""COMPUTED_VALUE"""),"C. 10-19")</f>
        <v>C. 10-19</v>
      </c>
      <c r="C382" s="320">
        <f>IFERROR(__xludf.DUMMYFUNCTION("""COMPUTED_VALUE"""),27157.0)</f>
        <v>27157</v>
      </c>
      <c r="D382" s="320">
        <f>IFERROR(__xludf.DUMMYFUNCTION("""COMPUTED_VALUE"""),26.11)</f>
        <v>26.11</v>
      </c>
      <c r="E382" s="320">
        <f>IFERROR(__xludf.DUMMYFUNCTION("""COMPUTED_VALUE"""),0.0)</f>
        <v>0</v>
      </c>
      <c r="F382" s="320">
        <f>IFERROR(__xludf.DUMMYFUNCTION("""COMPUTED_VALUE"""),0.0)</f>
        <v>0</v>
      </c>
      <c r="G382" s="320">
        <f>IFERROR(__xludf.DUMMYFUNCTION("""COMPUTED_VALUE"""),0.0)</f>
        <v>0</v>
      </c>
      <c r="H382" s="106"/>
      <c r="I382" s="320">
        <f>IFERROR(__xludf.DUMMYFUNCTION("""COMPUTED_VALUE"""),56.73)</f>
        <v>56.73</v>
      </c>
      <c r="J382" s="320">
        <f>IFERROR(__xludf.DUMMYFUNCTION("""COMPUTED_VALUE"""),27.3)</f>
        <v>27.3</v>
      </c>
      <c r="K382" s="320">
        <f>IFERROR(__xludf.DUMMYFUNCTION("""COMPUTED_VALUE"""),14.54)</f>
        <v>14.54</v>
      </c>
      <c r="L382" s="320">
        <f>IFERROR(__xludf.DUMMYFUNCTION("""COMPUTED_VALUE"""),0.5328)</f>
        <v>0.5328</v>
      </c>
      <c r="M382" s="320">
        <f>IFERROR(__xludf.DUMMYFUNCTION("""COMPUTED_VALUE"""),0.6509)</f>
        <v>0.6509</v>
      </c>
      <c r="N382" s="320">
        <f>IFERROR(__xludf.DUMMYFUNCTION("""COMPUTED_VALUE"""),0.441)</f>
        <v>0.441</v>
      </c>
      <c r="O382" s="320">
        <f>IFERROR(__xludf.DUMMYFUNCTION("""COMPUTED_VALUE"""),1.8769)</f>
        <v>1.8769</v>
      </c>
      <c r="P382" s="320">
        <f>IFERROR(__xludf.DUMMYFUNCTION("""COMPUTED_VALUE"""),85.82)</f>
        <v>85.82</v>
      </c>
      <c r="Q382" s="320">
        <f>IFERROR(__xludf.DUMMYFUNCTION("""COMPUTED_VALUE"""),61.87)</f>
        <v>61.87</v>
      </c>
      <c r="R382" s="320">
        <f>IFERROR(__xludf.DUMMYFUNCTION("""COMPUTED_VALUE"""),23.95)</f>
        <v>23.95</v>
      </c>
      <c r="S382" s="320">
        <f>IFERROR(__xludf.DUMMYFUNCTION("""COMPUTED_VALUE"""),0.0)</f>
        <v>0</v>
      </c>
      <c r="T382" s="320">
        <f>IFERROR(__xludf.DUMMYFUNCTION("""COMPUTED_VALUE"""),85.82)</f>
        <v>85.82</v>
      </c>
      <c r="U382" s="320">
        <f>IFERROR(__xludf.DUMMYFUNCTION("""COMPUTED_VALUE"""),95.11)</f>
        <v>95.11</v>
      </c>
      <c r="V382" s="320">
        <f>IFERROR(__xludf.DUMMYFUNCTION("""COMPUTED_VALUE"""),3.484)</f>
        <v>3.484</v>
      </c>
      <c r="W382" s="320">
        <f>IFERROR(__xludf.DUMMYFUNCTION("""COMPUTED_VALUE"""),0.0)</f>
        <v>0</v>
      </c>
      <c r="X382" s="320">
        <f>IFERROR(__xludf.DUMMYFUNCTION("""COMPUTED_VALUE"""),126.0)</f>
        <v>126</v>
      </c>
      <c r="Y382" s="320">
        <f>IFERROR(__xludf.DUMMYFUNCTION("""COMPUTED_VALUE"""),746.0)</f>
        <v>746</v>
      </c>
      <c r="Z382" s="320">
        <f>IFERROR(__xludf.DUMMYFUNCTION("""COMPUTED_VALUE"""),5496.0)</f>
        <v>5496</v>
      </c>
      <c r="AA382" s="320">
        <f>IFERROR(__xludf.DUMMYFUNCTION("""COMPUTED_VALUE"""),52.1918)</f>
        <v>52.1918</v>
      </c>
      <c r="AB382" s="320">
        <f>IFERROR(__xludf.DUMMYFUNCTION("""COMPUTED_VALUE"""),0.6151)</f>
        <v>0.6151</v>
      </c>
      <c r="AC382" s="320">
        <f>IFERROR(__xludf.DUMMYFUNCTION("""COMPUTED_VALUE"""),9.29)</f>
        <v>9.29</v>
      </c>
      <c r="AD382" s="320">
        <f>IFERROR(__xludf.DUMMYFUNCTION("""COMPUTED_VALUE"""),3.0)</f>
        <v>3</v>
      </c>
      <c r="AE382" s="320">
        <f>IFERROR(__xludf.DUMMYFUNCTION("""COMPUTED_VALUE"""),7.0)</f>
        <v>7</v>
      </c>
      <c r="AF382" s="320">
        <f>IFERROR(__xludf.DUMMYFUNCTION("""COMPUTED_VALUE"""),13.0)</f>
        <v>13</v>
      </c>
      <c r="AG382" s="320">
        <f>IFERROR(__xludf.DUMMYFUNCTION("""COMPUTED_VALUE"""),20.0)</f>
        <v>20</v>
      </c>
      <c r="AH382" s="320">
        <f>IFERROR(__xludf.DUMMYFUNCTION("""COMPUTED_VALUE"""),59.61)</f>
        <v>59.61</v>
      </c>
      <c r="AI382" s="320">
        <f>IFERROR(__xludf.DUMMYFUNCTION("""COMPUTED_VALUE"""),25.92)</f>
        <v>25.92</v>
      </c>
      <c r="AJ382" s="320">
        <f>IFERROR(__xludf.DUMMYFUNCTION("""COMPUTED_VALUE"""),4.5)</f>
        <v>4.5</v>
      </c>
      <c r="AK382" s="320">
        <f>IFERROR(__xludf.DUMMYFUNCTION("""COMPUTED_VALUE"""),0.1895)</f>
        <v>0.1895</v>
      </c>
      <c r="AL382" s="320">
        <f>IFERROR(__xludf.DUMMYFUNCTION("""COMPUTED_VALUE"""),19.5)</f>
        <v>19.5</v>
      </c>
      <c r="AM382" s="320">
        <f>IFERROR(__xludf.DUMMYFUNCTION("""COMPUTED_VALUE"""),42.37)</f>
        <v>42.37</v>
      </c>
      <c r="AN382" s="320">
        <f>IFERROR(__xludf.DUMMYFUNCTION("""COMPUTED_VALUE"""),74.07)</f>
        <v>74.07</v>
      </c>
      <c r="AO382" s="320">
        <f>IFERROR(__xludf.DUMMYFUNCTION("""COMPUTED_VALUE"""),14.44)</f>
        <v>14.44</v>
      </c>
    </row>
    <row r="383" ht="15.75" customHeight="1">
      <c r="A383" s="330">
        <f>IFERROR(__xludf.DUMMYFUNCTION("""COMPUTED_VALUE"""),46113.0)</f>
        <v>46113</v>
      </c>
      <c r="B383" s="319" t="str">
        <f>IFERROR(__xludf.DUMMYFUNCTION("""COMPUTED_VALUE"""),"D. 20-39")</f>
        <v>D. 20-39</v>
      </c>
      <c r="C383" s="320">
        <f>IFERROR(__xludf.DUMMYFUNCTION("""COMPUTED_VALUE"""),14604.0)</f>
        <v>14604</v>
      </c>
      <c r="D383" s="320">
        <f>IFERROR(__xludf.DUMMYFUNCTION("""COMPUTED_VALUE"""),14.04)</f>
        <v>14.04</v>
      </c>
      <c r="E383" s="320">
        <f>IFERROR(__xludf.DUMMYFUNCTION("""COMPUTED_VALUE"""),0.0)</f>
        <v>0</v>
      </c>
      <c r="F383" s="320">
        <f>IFERROR(__xludf.DUMMYFUNCTION("""COMPUTED_VALUE"""),0.0)</f>
        <v>0</v>
      </c>
      <c r="G383" s="320">
        <f>IFERROR(__xludf.DUMMYFUNCTION("""COMPUTED_VALUE"""),0.0)</f>
        <v>0</v>
      </c>
      <c r="H383" s="106"/>
      <c r="I383" s="320">
        <f>IFERROR(__xludf.DUMMYFUNCTION("""COMPUTED_VALUE"""),78.78)</f>
        <v>78.78</v>
      </c>
      <c r="J383" s="320">
        <f>IFERROR(__xludf.DUMMYFUNCTION("""COMPUTED_VALUE"""),40.19)</f>
        <v>40.19</v>
      </c>
      <c r="K383" s="320">
        <f>IFERROR(__xludf.DUMMYFUNCTION("""COMPUTED_VALUE"""),26.28)</f>
        <v>26.28</v>
      </c>
      <c r="L383" s="320">
        <f>IFERROR(__xludf.DUMMYFUNCTION("""COMPUTED_VALUE"""),0.6538)</f>
        <v>0.6538</v>
      </c>
      <c r="M383" s="320">
        <f>IFERROR(__xludf.DUMMYFUNCTION("""COMPUTED_VALUE"""),0.5324)</f>
        <v>0.5324</v>
      </c>
      <c r="N383" s="320">
        <f>IFERROR(__xludf.DUMMYFUNCTION("""COMPUTED_VALUE"""),0.3628)</f>
        <v>0.3628</v>
      </c>
      <c r="O383" s="320">
        <f>IFERROR(__xludf.DUMMYFUNCTION("""COMPUTED_VALUE"""),1.5294)</f>
        <v>1.5294</v>
      </c>
      <c r="P383" s="320">
        <f>IFERROR(__xludf.DUMMYFUNCTION("""COMPUTED_VALUE"""),134.71)</f>
        <v>134.71</v>
      </c>
      <c r="Q383" s="320">
        <f>IFERROR(__xludf.DUMMYFUNCTION("""COMPUTED_VALUE"""),88.45)</f>
        <v>88.45</v>
      </c>
      <c r="R383" s="320">
        <f>IFERROR(__xludf.DUMMYFUNCTION("""COMPUTED_VALUE"""),46.26)</f>
        <v>46.26</v>
      </c>
      <c r="S383" s="320">
        <f>IFERROR(__xludf.DUMMYFUNCTION("""COMPUTED_VALUE"""),0.26)</f>
        <v>0.26</v>
      </c>
      <c r="T383" s="320">
        <f>IFERROR(__xludf.DUMMYFUNCTION("""COMPUTED_VALUE"""),134.45)</f>
        <v>134.45</v>
      </c>
      <c r="U383" s="320">
        <f>IFERROR(__xludf.DUMMYFUNCTION("""COMPUTED_VALUE"""),160.27)</f>
        <v>160.27</v>
      </c>
      <c r="V383" s="320">
        <f>IFERROR(__xludf.DUMMYFUNCTION("""COMPUTED_VALUE"""),3.9879)</f>
        <v>3.9879</v>
      </c>
      <c r="W383" s="320">
        <f>IFERROR(__xludf.DUMMYFUNCTION("""COMPUTED_VALUE"""),0.2)</f>
        <v>0.2</v>
      </c>
      <c r="X383" s="320">
        <f>IFERROR(__xludf.DUMMYFUNCTION("""COMPUTED_VALUE"""),149.0)</f>
        <v>149</v>
      </c>
      <c r="Y383" s="320">
        <f>IFERROR(__xludf.DUMMYFUNCTION("""COMPUTED_VALUE"""),1007.0)</f>
        <v>1007</v>
      </c>
      <c r="Z383" s="320">
        <f>IFERROR(__xludf.DUMMYFUNCTION("""COMPUTED_VALUE"""),6583.0)</f>
        <v>6583</v>
      </c>
      <c r="AA383" s="320">
        <f>IFERROR(__xludf.DUMMYFUNCTION("""COMPUTED_VALUE"""),55.8686)</f>
        <v>55.8686</v>
      </c>
      <c r="AB383" s="320">
        <f>IFERROR(__xludf.DUMMYFUNCTION("""COMPUTED_VALUE"""),0.7467)</f>
        <v>0.7467</v>
      </c>
      <c r="AC383" s="320">
        <f>IFERROR(__xludf.DUMMYFUNCTION("""COMPUTED_VALUE"""),17.51)</f>
        <v>17.51</v>
      </c>
      <c r="AD383" s="320">
        <f>IFERROR(__xludf.DUMMYFUNCTION("""COMPUTED_VALUE"""),7.0)</f>
        <v>7</v>
      </c>
      <c r="AE383" s="320">
        <f>IFERROR(__xludf.DUMMYFUNCTION("""COMPUTED_VALUE"""),14.0)</f>
        <v>14</v>
      </c>
      <c r="AF383" s="320">
        <f>IFERROR(__xludf.DUMMYFUNCTION("""COMPUTED_VALUE"""),24.0)</f>
        <v>24</v>
      </c>
      <c r="AG383" s="320">
        <f>IFERROR(__xludf.DUMMYFUNCTION("""COMPUTED_VALUE"""),37.0)</f>
        <v>37</v>
      </c>
      <c r="AH383" s="320">
        <f>IFERROR(__xludf.DUMMYFUNCTION("""COMPUTED_VALUE"""),59.96)</f>
        <v>59.96</v>
      </c>
      <c r="AI383" s="320">
        <f>IFERROR(__xludf.DUMMYFUNCTION("""COMPUTED_VALUE"""),22.73)</f>
        <v>22.73</v>
      </c>
      <c r="AJ383" s="320">
        <f>IFERROR(__xludf.DUMMYFUNCTION("""COMPUTED_VALUE"""),6.6)</f>
        <v>6.6</v>
      </c>
      <c r="AK383" s="320">
        <f>IFERROR(__xludf.DUMMYFUNCTION("""COMPUTED_VALUE"""),0.1828)</f>
        <v>0.1828</v>
      </c>
      <c r="AL383" s="320">
        <f>IFERROR(__xludf.DUMMYFUNCTION("""COMPUTED_VALUE"""),19.89)</f>
        <v>19.89</v>
      </c>
      <c r="AM383" s="320">
        <f>IFERROR(__xludf.DUMMYFUNCTION("""COMPUTED_VALUE"""),68.56)</f>
        <v>68.56</v>
      </c>
      <c r="AN383" s="320">
        <f>IFERROR(__xludf.DUMMYFUNCTION("""COMPUTED_VALUE"""),77.83)</f>
        <v>77.83</v>
      </c>
      <c r="AO383" s="320">
        <f>IFERROR(__xludf.DUMMYFUNCTION("""COMPUTED_VALUE"""),15.48)</f>
        <v>15.48</v>
      </c>
    </row>
    <row r="384" ht="15.75" customHeight="1">
      <c r="A384" s="330">
        <f>IFERROR(__xludf.DUMMYFUNCTION("""COMPUTED_VALUE"""),46113.0)</f>
        <v>46113</v>
      </c>
      <c r="B384" s="319" t="str">
        <f>IFERROR(__xludf.DUMMYFUNCTION("""COMPUTED_VALUE"""),"E. 40-99")</f>
        <v>E. 40-99</v>
      </c>
      <c r="C384" s="320">
        <f>IFERROR(__xludf.DUMMYFUNCTION("""COMPUTED_VALUE"""),5800.0)</f>
        <v>5800</v>
      </c>
      <c r="D384" s="320">
        <f>IFERROR(__xludf.DUMMYFUNCTION("""COMPUTED_VALUE"""),5.58)</f>
        <v>5.58</v>
      </c>
      <c r="E384" s="320">
        <f>IFERROR(__xludf.DUMMYFUNCTION("""COMPUTED_VALUE"""),0.0)</f>
        <v>0</v>
      </c>
      <c r="F384" s="320">
        <f>IFERROR(__xludf.DUMMYFUNCTION("""COMPUTED_VALUE"""),0.0)</f>
        <v>0</v>
      </c>
      <c r="G384" s="320">
        <f>IFERROR(__xludf.DUMMYFUNCTION("""COMPUTED_VALUE"""),0.0)</f>
        <v>0</v>
      </c>
      <c r="H384" s="106"/>
      <c r="I384" s="320">
        <f>IFERROR(__xludf.DUMMYFUNCTION("""COMPUTED_VALUE"""),125.71)</f>
        <v>125.71</v>
      </c>
      <c r="J384" s="320">
        <f>IFERROR(__xludf.DUMMYFUNCTION("""COMPUTED_VALUE"""),68.3)</f>
        <v>68.3</v>
      </c>
      <c r="K384" s="320">
        <f>IFERROR(__xludf.DUMMYFUNCTION("""COMPUTED_VALUE"""),52.66)</f>
        <v>52.66</v>
      </c>
      <c r="L384" s="320">
        <f>IFERROR(__xludf.DUMMYFUNCTION("""COMPUTED_VALUE"""),0.7709)</f>
        <v>0.7709</v>
      </c>
      <c r="M384" s="320">
        <f>IFERROR(__xludf.DUMMYFUNCTION("""COMPUTED_VALUE"""),0.4078)</f>
        <v>0.4078</v>
      </c>
      <c r="N384" s="320">
        <f>IFERROR(__xludf.DUMMYFUNCTION("""COMPUTED_VALUE"""),0.2868)</f>
        <v>0.2868</v>
      </c>
      <c r="O384" s="320">
        <f>IFERROR(__xludf.DUMMYFUNCTION("""COMPUTED_VALUE"""),1.2972)</f>
        <v>1.2972</v>
      </c>
      <c r="P384" s="320">
        <f>IFERROR(__xludf.DUMMYFUNCTION("""COMPUTED_VALUE"""),244.29)</f>
        <v>244.29</v>
      </c>
      <c r="Q384" s="320">
        <f>IFERROR(__xludf.DUMMYFUNCTION("""COMPUTED_VALUE"""),149.96)</f>
        <v>149.96</v>
      </c>
      <c r="R384" s="320">
        <f>IFERROR(__xludf.DUMMYFUNCTION("""COMPUTED_VALUE"""),94.33)</f>
        <v>94.33</v>
      </c>
      <c r="S384" s="320">
        <f>IFERROR(__xludf.DUMMYFUNCTION("""COMPUTED_VALUE"""),0.0)</f>
        <v>0</v>
      </c>
      <c r="T384" s="320">
        <f>IFERROR(__xludf.DUMMYFUNCTION("""COMPUTED_VALUE"""),244.29)</f>
        <v>244.29</v>
      </c>
      <c r="U384" s="320">
        <f>IFERROR(__xludf.DUMMYFUNCTION("""COMPUTED_VALUE"""),307.56)</f>
        <v>307.56</v>
      </c>
      <c r="V384" s="320">
        <f>IFERROR(__xludf.DUMMYFUNCTION("""COMPUTED_VALUE"""),4.5028)</f>
        <v>4.5028</v>
      </c>
      <c r="W384" s="320">
        <f>IFERROR(__xludf.DUMMYFUNCTION("""COMPUTED_VALUE"""),0.0)</f>
        <v>0</v>
      </c>
      <c r="X384" s="320">
        <f>IFERROR(__xludf.DUMMYFUNCTION("""COMPUTED_VALUE"""),308.0)</f>
        <v>308</v>
      </c>
      <c r="Y384" s="320">
        <f>IFERROR(__xludf.DUMMYFUNCTION("""COMPUTED_VALUE"""),2077.0)</f>
        <v>2077</v>
      </c>
      <c r="Z384" s="320">
        <f>IFERROR(__xludf.DUMMYFUNCTION("""COMPUTED_VALUE"""),8610.0)</f>
        <v>8610</v>
      </c>
      <c r="AA384" s="320">
        <f>IFERROR(__xludf.DUMMYFUNCTION("""COMPUTED_VALUE"""),59.373)</f>
        <v>59.373</v>
      </c>
      <c r="AB384" s="320">
        <f>IFERROR(__xludf.DUMMYFUNCTION("""COMPUTED_VALUE"""),0.8444)</f>
        <v>0.8444</v>
      </c>
      <c r="AC384" s="320">
        <f>IFERROR(__xludf.DUMMYFUNCTION("""COMPUTED_VALUE"""),35.9)</f>
        <v>35.9</v>
      </c>
      <c r="AD384" s="320">
        <f>IFERROR(__xludf.DUMMYFUNCTION("""COMPUTED_VALUE"""),13.0)</f>
        <v>13</v>
      </c>
      <c r="AE384" s="320">
        <f>IFERROR(__xludf.DUMMYFUNCTION("""COMPUTED_VALUE"""),28.0)</f>
        <v>28</v>
      </c>
      <c r="AF384" s="320">
        <f>IFERROR(__xludf.DUMMYFUNCTION("""COMPUTED_VALUE"""),50.0)</f>
        <v>50</v>
      </c>
      <c r="AG384" s="320">
        <f>IFERROR(__xludf.DUMMYFUNCTION("""COMPUTED_VALUE"""),76.0)</f>
        <v>76</v>
      </c>
      <c r="AH384" s="320">
        <f>IFERROR(__xludf.DUMMYFUNCTION("""COMPUTED_VALUE"""),50.21)</f>
        <v>50.21</v>
      </c>
      <c r="AI384" s="320">
        <f>IFERROR(__xludf.DUMMYFUNCTION("""COMPUTED_VALUE"""),18.02)</f>
        <v>18.02</v>
      </c>
      <c r="AJ384" s="320">
        <f>IFERROR(__xludf.DUMMYFUNCTION("""COMPUTED_VALUE"""),4.17)</f>
        <v>4.17</v>
      </c>
      <c r="AK384" s="320">
        <f>IFERROR(__xludf.DUMMYFUNCTION("""COMPUTED_VALUE"""),0.1257)</f>
        <v>0.1257</v>
      </c>
      <c r="AL384" s="320">
        <f>IFERROR(__xludf.DUMMYFUNCTION("""COMPUTED_VALUE"""),20.33)</f>
        <v>20.33</v>
      </c>
      <c r="AM384" s="320">
        <f>IFERROR(__xludf.DUMMYFUNCTION("""COMPUTED_VALUE"""),129.63)</f>
        <v>129.63</v>
      </c>
      <c r="AN384" s="320">
        <f>IFERROR(__xludf.DUMMYFUNCTION("""COMPUTED_VALUE"""),83.14)</f>
        <v>83.14</v>
      </c>
      <c r="AO384" s="320">
        <f>IFERROR(__xludf.DUMMYFUNCTION("""COMPUTED_VALUE"""),16.9)</f>
        <v>16.9</v>
      </c>
    </row>
    <row r="385" ht="15.75" customHeight="1">
      <c r="A385" s="330">
        <f>IFERROR(__xludf.DUMMYFUNCTION("""COMPUTED_VALUE"""),46113.0)</f>
        <v>46113</v>
      </c>
      <c r="B385" s="319" t="str">
        <f>IFERROR(__xludf.DUMMYFUNCTION("""COMPUTED_VALUE"""),"F. 100+")</f>
        <v>F. 100+</v>
      </c>
      <c r="C385" s="320">
        <f>IFERROR(__xludf.DUMMYFUNCTION("""COMPUTED_VALUE"""),678.0)</f>
        <v>678</v>
      </c>
      <c r="D385" s="320">
        <f>IFERROR(__xludf.DUMMYFUNCTION("""COMPUTED_VALUE"""),0.65)</f>
        <v>0.65</v>
      </c>
      <c r="E385" s="320">
        <f>IFERROR(__xludf.DUMMYFUNCTION("""COMPUTED_VALUE"""),0.0)</f>
        <v>0</v>
      </c>
      <c r="F385" s="320">
        <f>IFERROR(__xludf.DUMMYFUNCTION("""COMPUTED_VALUE"""),0.0)</f>
        <v>0</v>
      </c>
      <c r="G385" s="320">
        <f>IFERROR(__xludf.DUMMYFUNCTION("""COMPUTED_VALUE"""),0.0)</f>
        <v>0</v>
      </c>
      <c r="H385" s="106"/>
      <c r="I385" s="320">
        <f>IFERROR(__xludf.DUMMYFUNCTION("""COMPUTED_VALUE"""),233.1)</f>
        <v>233.1</v>
      </c>
      <c r="J385" s="320">
        <f>IFERROR(__xludf.DUMMYFUNCTION("""COMPUTED_VALUE"""),137.05)</f>
        <v>137.05</v>
      </c>
      <c r="K385" s="320">
        <f>IFERROR(__xludf.DUMMYFUNCTION("""COMPUTED_VALUE"""),116.76)</f>
        <v>116.76</v>
      </c>
      <c r="L385" s="320">
        <f>IFERROR(__xludf.DUMMYFUNCTION("""COMPUTED_VALUE"""),0.852)</f>
        <v>0.852</v>
      </c>
      <c r="M385" s="320">
        <f>IFERROR(__xludf.DUMMYFUNCTION("""COMPUTED_VALUE"""),0.3049)</f>
        <v>0.3049</v>
      </c>
      <c r="N385" s="320">
        <f>IFERROR(__xludf.DUMMYFUNCTION("""COMPUTED_VALUE"""),0.2207)</f>
        <v>0.2207</v>
      </c>
      <c r="O385" s="320">
        <f>IFERROR(__xludf.DUMMYFUNCTION("""COMPUTED_VALUE"""),1.1737)</f>
        <v>1.1737</v>
      </c>
      <c r="P385" s="320">
        <f>IFERROR(__xludf.DUMMYFUNCTION("""COMPUTED_VALUE"""),481.34)</f>
        <v>481.34</v>
      </c>
      <c r="Q385" s="320">
        <f>IFERROR(__xludf.DUMMYFUNCTION("""COMPUTED_VALUE"""),271.11)</f>
        <v>271.11</v>
      </c>
      <c r="R385" s="320">
        <f>IFERROR(__xludf.DUMMYFUNCTION("""COMPUTED_VALUE"""),210.23)</f>
        <v>210.23</v>
      </c>
      <c r="S385" s="320">
        <f>IFERROR(__xludf.DUMMYFUNCTION("""COMPUTED_VALUE"""),0.0)</f>
        <v>0</v>
      </c>
      <c r="T385" s="320">
        <f>IFERROR(__xludf.DUMMYFUNCTION("""COMPUTED_VALUE"""),481.34)</f>
        <v>481.34</v>
      </c>
      <c r="U385" s="320">
        <f>IFERROR(__xludf.DUMMYFUNCTION("""COMPUTED_VALUE"""),668.51)</f>
        <v>668.51</v>
      </c>
      <c r="V385" s="320">
        <f>IFERROR(__xludf.DUMMYFUNCTION("""COMPUTED_VALUE"""),4.878)</f>
        <v>4.878</v>
      </c>
      <c r="W385" s="320">
        <f>IFERROR(__xludf.DUMMYFUNCTION("""COMPUTED_VALUE"""),0.0)</f>
        <v>0</v>
      </c>
      <c r="X385" s="320">
        <f>IFERROR(__xludf.DUMMYFUNCTION("""COMPUTED_VALUE"""),968.0)</f>
        <v>968</v>
      </c>
      <c r="Y385" s="320">
        <f>IFERROR(__xludf.DUMMYFUNCTION("""COMPUTED_VALUE"""),4563.0)</f>
        <v>4563</v>
      </c>
      <c r="Z385" s="320">
        <f>IFERROR(__xludf.DUMMYFUNCTION("""COMPUTED_VALUE"""),11662.0)</f>
        <v>11662</v>
      </c>
      <c r="AA385" s="320">
        <f>IFERROR(__xludf.DUMMYFUNCTION("""COMPUTED_VALUE"""),63.1561)</f>
        <v>63.1561</v>
      </c>
      <c r="AB385" s="320">
        <f>IFERROR(__xludf.DUMMYFUNCTION("""COMPUTED_VALUE"""),0.9096)</f>
        <v>0.9096</v>
      </c>
      <c r="AC385" s="320">
        <f>IFERROR(__xludf.DUMMYFUNCTION("""COMPUTED_VALUE"""),81.5)</f>
        <v>81.5</v>
      </c>
      <c r="AD385" s="320">
        <f>IFERROR(__xludf.DUMMYFUNCTION("""COMPUTED_VALUE"""),32.0)</f>
        <v>32</v>
      </c>
      <c r="AE385" s="320">
        <f>IFERROR(__xludf.DUMMYFUNCTION("""COMPUTED_VALUE"""),67.0)</f>
        <v>67</v>
      </c>
      <c r="AF385" s="320">
        <f>IFERROR(__xludf.DUMMYFUNCTION("""COMPUTED_VALUE"""),116.0)</f>
        <v>116</v>
      </c>
      <c r="AG385" s="320">
        <f>IFERROR(__xludf.DUMMYFUNCTION("""COMPUTED_VALUE"""),166.0)</f>
        <v>166</v>
      </c>
      <c r="AH385" s="320">
        <f>IFERROR(__xludf.DUMMYFUNCTION("""COMPUTED_VALUE"""),42.18)</f>
        <v>42.18</v>
      </c>
      <c r="AI385" s="320">
        <f>IFERROR(__xludf.DUMMYFUNCTION("""COMPUTED_VALUE"""),8.26)</f>
        <v>8.26</v>
      </c>
      <c r="AJ385" s="320">
        <f>IFERROR(__xludf.DUMMYFUNCTION("""COMPUTED_VALUE"""),1.33)</f>
        <v>1.33</v>
      </c>
      <c r="AK385" s="320">
        <f>IFERROR(__xludf.DUMMYFUNCTION("""COMPUTED_VALUE"""),0.0811)</f>
        <v>0.0811</v>
      </c>
      <c r="AL385" s="320">
        <f>IFERROR(__xludf.DUMMYFUNCTION("""COMPUTED_VALUE"""),25.05)</f>
        <v>25.05</v>
      </c>
      <c r="AM385" s="320">
        <f>IFERROR(__xludf.DUMMYFUNCTION("""COMPUTED_VALUE"""),246.06)</f>
        <v>246.06</v>
      </c>
      <c r="AN385" s="320">
        <f>IFERROR(__xludf.DUMMYFUNCTION("""COMPUTED_VALUE"""),87.32)</f>
        <v>87.32</v>
      </c>
      <c r="AO385" s="320">
        <f>IFERROR(__xludf.DUMMYFUNCTION("""COMPUTED_VALUE"""),21.87)</f>
        <v>21.87</v>
      </c>
    </row>
    <row r="386" ht="15.75" customHeight="1">
      <c r="A386" s="330">
        <f>IFERROR(__xludf.DUMMYFUNCTION("""COMPUTED_VALUE"""),46114.0)</f>
        <v>46114</v>
      </c>
      <c r="B386" s="319" t="str">
        <f>IFERROR(__xludf.DUMMYFUNCTION("""COMPUTED_VALUE"""),"A. 0")</f>
        <v>A. 0</v>
      </c>
      <c r="C386" s="320">
        <f>IFERROR(__xludf.DUMMYFUNCTION("""COMPUTED_VALUE"""),20013.0)</f>
        <v>20013</v>
      </c>
      <c r="D386" s="320">
        <f>IFERROR(__xludf.DUMMYFUNCTION("""COMPUTED_VALUE"""),19.46)</f>
        <v>19.46</v>
      </c>
      <c r="E386" s="320">
        <f>IFERROR(__xludf.DUMMYFUNCTION("""COMPUTED_VALUE"""),0.0)</f>
        <v>0</v>
      </c>
      <c r="F386" s="320">
        <f>IFERROR(__xludf.DUMMYFUNCTION("""COMPUTED_VALUE"""),0.0)</f>
        <v>0</v>
      </c>
      <c r="G386" s="320">
        <f>IFERROR(__xludf.DUMMYFUNCTION("""COMPUTED_VALUE"""),0.0)</f>
        <v>0</v>
      </c>
      <c r="H386" s="106"/>
      <c r="I386" s="320">
        <f>IFERROR(__xludf.DUMMYFUNCTION("""COMPUTED_VALUE"""),6.32)</f>
        <v>6.32</v>
      </c>
      <c r="J386" s="320">
        <f>IFERROR(__xludf.DUMMYFUNCTION("""COMPUTED_VALUE"""),2.58)</f>
        <v>2.58</v>
      </c>
      <c r="K386" s="320">
        <f>IFERROR(__xludf.DUMMYFUNCTION("""COMPUTED_VALUE"""),0.04)</f>
        <v>0.04</v>
      </c>
      <c r="L386" s="320">
        <f>IFERROR(__xludf.DUMMYFUNCTION("""COMPUTED_VALUE"""),0.0172)</f>
        <v>0.0172</v>
      </c>
      <c r="M386" s="320">
        <f>IFERROR(__xludf.DUMMYFUNCTION("""COMPUTED_VALUE"""),0.9863)</f>
        <v>0.9863</v>
      </c>
      <c r="N386" s="320">
        <f>IFERROR(__xludf.DUMMYFUNCTION("""COMPUTED_VALUE"""),0.828)</f>
        <v>0.828</v>
      </c>
      <c r="O386" s="320">
        <f>IFERROR(__xludf.DUMMYFUNCTION("""COMPUTED_VALUE"""),58.1181)</f>
        <v>58.1181</v>
      </c>
      <c r="P386" s="320">
        <f>IFERROR(__xludf.DUMMYFUNCTION("""COMPUTED_VALUE"""),22.38)</f>
        <v>22.38</v>
      </c>
      <c r="Q386" s="320">
        <f>IFERROR(__xludf.DUMMYFUNCTION("""COMPUTED_VALUE"""),22.28)</f>
        <v>22.28</v>
      </c>
      <c r="R386" s="320">
        <f>IFERROR(__xludf.DUMMYFUNCTION("""COMPUTED_VALUE"""),0.1)</f>
        <v>0.1</v>
      </c>
      <c r="S386" s="320">
        <f>IFERROR(__xludf.DUMMYFUNCTION("""COMPUTED_VALUE"""),0.0)</f>
        <v>0</v>
      </c>
      <c r="T386" s="320">
        <f>IFERROR(__xludf.DUMMYFUNCTION("""COMPUTED_VALUE"""),22.38)</f>
        <v>22.38</v>
      </c>
      <c r="U386" s="320">
        <f>IFERROR(__xludf.DUMMYFUNCTION("""COMPUTED_VALUE"""),2.17)</f>
        <v>2.17</v>
      </c>
      <c r="V386" s="320">
        <f>IFERROR(__xludf.DUMMYFUNCTION("""COMPUTED_VALUE"""),0.8419)</f>
        <v>0.8419</v>
      </c>
      <c r="W386" s="320">
        <f>IFERROR(__xludf.DUMMYFUNCTION("""COMPUTED_VALUE"""),0.0)</f>
        <v>0</v>
      </c>
      <c r="X386" s="320">
        <f>IFERROR(__xludf.DUMMYFUNCTION("""COMPUTED_VALUE"""),329.0)</f>
        <v>329</v>
      </c>
      <c r="Y386" s="320">
        <f>IFERROR(__xludf.DUMMYFUNCTION("""COMPUTED_VALUE"""),3692.0)</f>
        <v>3692</v>
      </c>
      <c r="Z386" s="320">
        <f>IFERROR(__xludf.DUMMYFUNCTION("""COMPUTED_VALUE"""),14596.0)</f>
        <v>14596</v>
      </c>
      <c r="AA386" s="320">
        <f>IFERROR(__xludf.DUMMYFUNCTION("""COMPUTED_VALUE"""),48.8108)</f>
        <v>48.8108</v>
      </c>
      <c r="AB386" s="320">
        <f>IFERROR(__xludf.DUMMYFUNCTION("""COMPUTED_VALUE"""),0.5426)</f>
        <v>0.5426</v>
      </c>
      <c r="AC386" s="106"/>
      <c r="AD386" s="106"/>
      <c r="AE386" s="106"/>
      <c r="AF386" s="106"/>
      <c r="AG386" s="106"/>
      <c r="AH386" s="320">
        <f>IFERROR(__xludf.DUMMYFUNCTION("""COMPUTED_VALUE"""),0.0)</f>
        <v>0</v>
      </c>
      <c r="AI386" s="320">
        <f>IFERROR(__xludf.DUMMYFUNCTION("""COMPUTED_VALUE"""),0.0)</f>
        <v>0</v>
      </c>
      <c r="AJ386" s="320">
        <f>IFERROR(__xludf.DUMMYFUNCTION("""COMPUTED_VALUE"""),0.0)</f>
        <v>0</v>
      </c>
      <c r="AK386" s="320">
        <f>IFERROR(__xludf.DUMMYFUNCTION("""COMPUTED_VALUE"""),0.2836)</f>
        <v>0.2836</v>
      </c>
      <c r="AL386" s="320">
        <f>IFERROR(__xludf.DUMMYFUNCTION("""COMPUTED_VALUE"""),16.17)</f>
        <v>16.17</v>
      </c>
      <c r="AM386" s="320">
        <f>IFERROR(__xludf.DUMMYFUNCTION("""COMPUTED_VALUE"""),6.11)</f>
        <v>6.11</v>
      </c>
      <c r="AN386" s="331"/>
      <c r="AO386" s="331"/>
    </row>
    <row r="387" ht="15.75" customHeight="1">
      <c r="A387" s="330">
        <f>IFERROR(__xludf.DUMMYFUNCTION("""COMPUTED_VALUE"""),46114.0)</f>
        <v>46114</v>
      </c>
      <c r="B387" s="319" t="str">
        <f>IFERROR(__xludf.DUMMYFUNCTION("""COMPUTED_VALUE"""),"B. 1-9")</f>
        <v>B. 1-9</v>
      </c>
      <c r="C387" s="320">
        <f>IFERROR(__xludf.DUMMYFUNCTION("""COMPUTED_VALUE"""),36017.0)</f>
        <v>36017</v>
      </c>
      <c r="D387" s="320">
        <f>IFERROR(__xludf.DUMMYFUNCTION("""COMPUTED_VALUE"""),35.01)</f>
        <v>35.01</v>
      </c>
      <c r="E387" s="320">
        <f>IFERROR(__xludf.DUMMYFUNCTION("""COMPUTED_VALUE"""),0.0)</f>
        <v>0</v>
      </c>
      <c r="F387" s="320">
        <f>IFERROR(__xludf.DUMMYFUNCTION("""COMPUTED_VALUE"""),0.0)</f>
        <v>0</v>
      </c>
      <c r="G387" s="320">
        <f>IFERROR(__xludf.DUMMYFUNCTION("""COMPUTED_VALUE"""),0.0)</f>
        <v>0</v>
      </c>
      <c r="H387" s="106"/>
      <c r="I387" s="320">
        <f>IFERROR(__xludf.DUMMYFUNCTION("""COMPUTED_VALUE"""),28.31)</f>
        <v>28.31</v>
      </c>
      <c r="J387" s="320">
        <f>IFERROR(__xludf.DUMMYFUNCTION("""COMPUTED_VALUE"""),12.8)</f>
        <v>12.8</v>
      </c>
      <c r="K387" s="320">
        <f>IFERROR(__xludf.DUMMYFUNCTION("""COMPUTED_VALUE"""),5.42)</f>
        <v>5.42</v>
      </c>
      <c r="L387" s="320">
        <f>IFERROR(__xludf.DUMMYFUNCTION("""COMPUTED_VALUE"""),0.4234)</f>
        <v>0.4234</v>
      </c>
      <c r="M387" s="320">
        <f>IFERROR(__xludf.DUMMYFUNCTION("""COMPUTED_VALUE"""),0.7486)</f>
        <v>0.7486</v>
      </c>
      <c r="N387" s="320">
        <f>IFERROR(__xludf.DUMMYFUNCTION("""COMPUTED_VALUE"""),0.5513)</f>
        <v>0.5513</v>
      </c>
      <c r="O387" s="320">
        <f>IFERROR(__xludf.DUMMYFUNCTION("""COMPUTED_VALUE"""),2.3617)</f>
        <v>2.3617</v>
      </c>
      <c r="P387" s="320">
        <f>IFERROR(__xludf.DUMMYFUNCTION("""COMPUTED_VALUE"""),47.94)</f>
        <v>47.94</v>
      </c>
      <c r="Q387" s="320">
        <f>IFERROR(__xludf.DUMMYFUNCTION("""COMPUTED_VALUE"""),38.56)</f>
        <v>38.56</v>
      </c>
      <c r="R387" s="320">
        <f>IFERROR(__xludf.DUMMYFUNCTION("""COMPUTED_VALUE"""),9.38)</f>
        <v>9.38</v>
      </c>
      <c r="S387" s="320">
        <f>IFERROR(__xludf.DUMMYFUNCTION("""COMPUTED_VALUE"""),0.0)</f>
        <v>0</v>
      </c>
      <c r="T387" s="320">
        <f>IFERROR(__xludf.DUMMYFUNCTION("""COMPUTED_VALUE"""),47.94)</f>
        <v>47.94</v>
      </c>
      <c r="U387" s="320">
        <f>IFERROR(__xludf.DUMMYFUNCTION("""COMPUTED_VALUE"""),50.8)</f>
        <v>50.8</v>
      </c>
      <c r="V387" s="320">
        <f>IFERROR(__xludf.DUMMYFUNCTION("""COMPUTED_VALUE"""),3.9699)</f>
        <v>3.9699</v>
      </c>
      <c r="W387" s="320">
        <f>IFERROR(__xludf.DUMMYFUNCTION("""COMPUTED_VALUE"""),0.0)</f>
        <v>0</v>
      </c>
      <c r="X387" s="320">
        <f>IFERROR(__xludf.DUMMYFUNCTION("""COMPUTED_VALUE"""),152.0)</f>
        <v>152</v>
      </c>
      <c r="Y387" s="320">
        <f>IFERROR(__xludf.DUMMYFUNCTION("""COMPUTED_VALUE"""),934.0)</f>
        <v>934</v>
      </c>
      <c r="Z387" s="320">
        <f>IFERROR(__xludf.DUMMYFUNCTION("""COMPUTED_VALUE"""),5904.0)</f>
        <v>5904</v>
      </c>
      <c r="AA387" s="320">
        <f>IFERROR(__xludf.DUMMYFUNCTION("""COMPUTED_VALUE"""),48.7179)</f>
        <v>48.7179</v>
      </c>
      <c r="AB387" s="320">
        <f>IFERROR(__xludf.DUMMYFUNCTION("""COMPUTED_VALUE"""),0.5371)</f>
        <v>0.5371</v>
      </c>
      <c r="AC387" s="320">
        <f>IFERROR(__xludf.DUMMYFUNCTION("""COMPUTED_VALUE"""),3.95)</f>
        <v>3.95</v>
      </c>
      <c r="AD387" s="320">
        <f>IFERROR(__xludf.DUMMYFUNCTION("""COMPUTED_VALUE"""),1.0)</f>
        <v>1</v>
      </c>
      <c r="AE387" s="320">
        <f>IFERROR(__xludf.DUMMYFUNCTION("""COMPUTED_VALUE"""),3.0)</f>
        <v>3</v>
      </c>
      <c r="AF387" s="320">
        <f>IFERROR(__xludf.DUMMYFUNCTION("""COMPUTED_VALUE"""),5.0)</f>
        <v>5</v>
      </c>
      <c r="AG387" s="320">
        <f>IFERROR(__xludf.DUMMYFUNCTION("""COMPUTED_VALUE"""),9.0)</f>
        <v>9</v>
      </c>
      <c r="AH387" s="320">
        <f>IFERROR(__xludf.DUMMYFUNCTION("""COMPUTED_VALUE"""),72.02)</f>
        <v>72.02</v>
      </c>
      <c r="AI387" s="320">
        <f>IFERROR(__xludf.DUMMYFUNCTION("""COMPUTED_VALUE"""),30.3)</f>
        <v>30.3</v>
      </c>
      <c r="AJ387" s="320">
        <f>IFERROR(__xludf.DUMMYFUNCTION("""COMPUTED_VALUE"""),8.64)</f>
        <v>8.64</v>
      </c>
      <c r="AK387" s="320">
        <f>IFERROR(__xludf.DUMMYFUNCTION("""COMPUTED_VALUE"""),0.2642)</f>
        <v>0.2642</v>
      </c>
      <c r="AL387" s="320">
        <f>IFERROR(__xludf.DUMMYFUNCTION("""COMPUTED_VALUE"""),19.22)</f>
        <v>19.22</v>
      </c>
      <c r="AM387" s="320">
        <f>IFERROR(__xludf.DUMMYFUNCTION("""COMPUTED_VALUE"""),19.34)</f>
        <v>19.34</v>
      </c>
      <c r="AN387" s="320">
        <f>IFERROR(__xludf.DUMMYFUNCTION("""COMPUTED_VALUE"""),65.98)</f>
        <v>65.98</v>
      </c>
      <c r="AO387" s="320">
        <f>IFERROR(__xludf.DUMMYFUNCTION("""COMPUTED_VALUE"""),12.68)</f>
        <v>12.68</v>
      </c>
    </row>
    <row r="388" ht="15.75" customHeight="1">
      <c r="A388" s="330">
        <f>IFERROR(__xludf.DUMMYFUNCTION("""COMPUTED_VALUE"""),46114.0)</f>
        <v>46114</v>
      </c>
      <c r="B388" s="319" t="str">
        <f>IFERROR(__xludf.DUMMYFUNCTION("""COMPUTED_VALUE"""),"C. 10-19")</f>
        <v>C. 10-19</v>
      </c>
      <c r="C388" s="320">
        <f>IFERROR(__xludf.DUMMYFUNCTION("""COMPUTED_VALUE"""),26152.0)</f>
        <v>26152</v>
      </c>
      <c r="D388" s="320">
        <f>IFERROR(__xludf.DUMMYFUNCTION("""COMPUTED_VALUE"""),25.42)</f>
        <v>25.42</v>
      </c>
      <c r="E388" s="320">
        <f>IFERROR(__xludf.DUMMYFUNCTION("""COMPUTED_VALUE"""),0.0)</f>
        <v>0</v>
      </c>
      <c r="F388" s="320">
        <f>IFERROR(__xludf.DUMMYFUNCTION("""COMPUTED_VALUE"""),0.0)</f>
        <v>0</v>
      </c>
      <c r="G388" s="320">
        <f>IFERROR(__xludf.DUMMYFUNCTION("""COMPUTED_VALUE"""),0.0)</f>
        <v>0</v>
      </c>
      <c r="H388" s="106"/>
      <c r="I388" s="320">
        <f>IFERROR(__xludf.DUMMYFUNCTION("""COMPUTED_VALUE"""),51.45)</f>
        <v>51.45</v>
      </c>
      <c r="J388" s="320">
        <f>IFERROR(__xludf.DUMMYFUNCTION("""COMPUTED_VALUE"""),24.75)</f>
        <v>24.75</v>
      </c>
      <c r="K388" s="320">
        <f>IFERROR(__xludf.DUMMYFUNCTION("""COMPUTED_VALUE"""),13.55)</f>
        <v>13.55</v>
      </c>
      <c r="L388" s="320">
        <f>IFERROR(__xludf.DUMMYFUNCTION("""COMPUTED_VALUE"""),0.5474)</f>
        <v>0.5474</v>
      </c>
      <c r="M388" s="320">
        <f>IFERROR(__xludf.DUMMYFUNCTION("""COMPUTED_VALUE"""),0.6435)</f>
        <v>0.6435</v>
      </c>
      <c r="N388" s="320">
        <f>IFERROR(__xludf.DUMMYFUNCTION("""COMPUTED_VALUE"""),0.4453)</f>
        <v>0.4453</v>
      </c>
      <c r="O388" s="320">
        <f>IFERROR(__xludf.DUMMYFUNCTION("""COMPUTED_VALUE"""),1.8268)</f>
        <v>1.8268</v>
      </c>
      <c r="P388" s="320">
        <f>IFERROR(__xludf.DUMMYFUNCTION("""COMPUTED_VALUE"""),86.83)</f>
        <v>86.83</v>
      </c>
      <c r="Q388" s="320">
        <f>IFERROR(__xludf.DUMMYFUNCTION("""COMPUTED_VALUE"""),63.5)</f>
        <v>63.5</v>
      </c>
      <c r="R388" s="320">
        <f>IFERROR(__xludf.DUMMYFUNCTION("""COMPUTED_VALUE"""),23.32)</f>
        <v>23.32</v>
      </c>
      <c r="S388" s="320">
        <f>IFERROR(__xludf.DUMMYFUNCTION("""COMPUTED_VALUE"""),0.0)</f>
        <v>0</v>
      </c>
      <c r="T388" s="320">
        <f>IFERROR(__xludf.DUMMYFUNCTION("""COMPUTED_VALUE"""),86.83)</f>
        <v>86.83</v>
      </c>
      <c r="U388" s="320">
        <f>IFERROR(__xludf.DUMMYFUNCTION("""COMPUTED_VALUE"""),92.85)</f>
        <v>92.85</v>
      </c>
      <c r="V388" s="320">
        <f>IFERROR(__xludf.DUMMYFUNCTION("""COMPUTED_VALUE"""),3.7521)</f>
        <v>3.7521</v>
      </c>
      <c r="W388" s="320">
        <f>IFERROR(__xludf.DUMMYFUNCTION("""COMPUTED_VALUE"""),0.0)</f>
        <v>0</v>
      </c>
      <c r="X388" s="320">
        <f>IFERROR(__xludf.DUMMYFUNCTION("""COMPUTED_VALUE"""),125.0)</f>
        <v>125</v>
      </c>
      <c r="Y388" s="320">
        <f>IFERROR(__xludf.DUMMYFUNCTION("""COMPUTED_VALUE"""),731.0)</f>
        <v>731</v>
      </c>
      <c r="Z388" s="320">
        <f>IFERROR(__xludf.DUMMYFUNCTION("""COMPUTED_VALUE"""),5490.0)</f>
        <v>5490</v>
      </c>
      <c r="AA388" s="320">
        <f>IFERROR(__xludf.DUMMYFUNCTION("""COMPUTED_VALUE"""),52.3208)</f>
        <v>52.3208</v>
      </c>
      <c r="AB388" s="320">
        <f>IFERROR(__xludf.DUMMYFUNCTION("""COMPUTED_VALUE"""),0.6338)</f>
        <v>0.6338</v>
      </c>
      <c r="AC388" s="320">
        <f>IFERROR(__xludf.DUMMYFUNCTION("""COMPUTED_VALUE"""),9.03)</f>
        <v>9.03</v>
      </c>
      <c r="AD388" s="320">
        <f>IFERROR(__xludf.DUMMYFUNCTION("""COMPUTED_VALUE"""),3.0)</f>
        <v>3</v>
      </c>
      <c r="AE388" s="320">
        <f>IFERROR(__xludf.DUMMYFUNCTION("""COMPUTED_VALUE"""),7.0)</f>
        <v>7</v>
      </c>
      <c r="AF388" s="320">
        <f>IFERROR(__xludf.DUMMYFUNCTION("""COMPUTED_VALUE"""),12.0)</f>
        <v>12</v>
      </c>
      <c r="AG388" s="320">
        <f>IFERROR(__xludf.DUMMYFUNCTION("""COMPUTED_VALUE"""),19.0)</f>
        <v>19</v>
      </c>
      <c r="AH388" s="320">
        <f>IFERROR(__xludf.DUMMYFUNCTION("""COMPUTED_VALUE"""),58.51)</f>
        <v>58.51</v>
      </c>
      <c r="AI388" s="320">
        <f>IFERROR(__xludf.DUMMYFUNCTION("""COMPUTED_VALUE"""),24.98)</f>
        <v>24.98</v>
      </c>
      <c r="AJ388" s="320">
        <f>IFERROR(__xludf.DUMMYFUNCTION("""COMPUTED_VALUE"""),3.99)</f>
        <v>3.99</v>
      </c>
      <c r="AK388" s="320">
        <f>IFERROR(__xludf.DUMMYFUNCTION("""COMPUTED_VALUE"""),0.2122)</f>
        <v>0.2122</v>
      </c>
      <c r="AL388" s="320">
        <f>IFERROR(__xludf.DUMMYFUNCTION("""COMPUTED_VALUE"""),20.19)</f>
        <v>20.19</v>
      </c>
      <c r="AM388" s="320">
        <f>IFERROR(__xludf.DUMMYFUNCTION("""COMPUTED_VALUE"""),43.32)</f>
        <v>43.32</v>
      </c>
      <c r="AN388" s="320">
        <f>IFERROR(__xludf.DUMMYFUNCTION("""COMPUTED_VALUE"""),74.58)</f>
        <v>74.58</v>
      </c>
      <c r="AO388" s="320">
        <f>IFERROR(__xludf.DUMMYFUNCTION("""COMPUTED_VALUE"""),15.06)</f>
        <v>15.06</v>
      </c>
    </row>
    <row r="389" ht="15.75" customHeight="1">
      <c r="A389" s="330">
        <f>IFERROR(__xludf.DUMMYFUNCTION("""COMPUTED_VALUE"""),46114.0)</f>
        <v>46114</v>
      </c>
      <c r="B389" s="319" t="str">
        <f>IFERROR(__xludf.DUMMYFUNCTION("""COMPUTED_VALUE"""),"D. 20-39")</f>
        <v>D. 20-39</v>
      </c>
      <c r="C389" s="320">
        <f>IFERROR(__xludf.DUMMYFUNCTION("""COMPUTED_VALUE"""),14283.0)</f>
        <v>14283</v>
      </c>
      <c r="D389" s="320">
        <f>IFERROR(__xludf.DUMMYFUNCTION("""COMPUTED_VALUE"""),13.88)</f>
        <v>13.88</v>
      </c>
      <c r="E389" s="320">
        <f>IFERROR(__xludf.DUMMYFUNCTION("""COMPUTED_VALUE"""),0.0)</f>
        <v>0</v>
      </c>
      <c r="F389" s="320">
        <f>IFERROR(__xludf.DUMMYFUNCTION("""COMPUTED_VALUE"""),0.0)</f>
        <v>0</v>
      </c>
      <c r="G389" s="320">
        <f>IFERROR(__xludf.DUMMYFUNCTION("""COMPUTED_VALUE"""),0.0)</f>
        <v>0</v>
      </c>
      <c r="H389" s="106"/>
      <c r="I389" s="320">
        <f>IFERROR(__xludf.DUMMYFUNCTION("""COMPUTED_VALUE"""),74.91)</f>
        <v>74.91</v>
      </c>
      <c r="J389" s="320">
        <f>IFERROR(__xludf.DUMMYFUNCTION("""COMPUTED_VALUE"""),38.3)</f>
        <v>38.3</v>
      </c>
      <c r="K389" s="320">
        <f>IFERROR(__xludf.DUMMYFUNCTION("""COMPUTED_VALUE"""),25.32)</f>
        <v>25.32</v>
      </c>
      <c r="L389" s="320">
        <f>IFERROR(__xludf.DUMMYFUNCTION("""COMPUTED_VALUE"""),0.6611)</f>
        <v>0.6611</v>
      </c>
      <c r="M389" s="320">
        <f>IFERROR(__xludf.DUMMYFUNCTION("""COMPUTED_VALUE"""),0.5288)</f>
        <v>0.5288</v>
      </c>
      <c r="N389" s="320">
        <f>IFERROR(__xludf.DUMMYFUNCTION("""COMPUTED_VALUE"""),0.3647)</f>
        <v>0.3647</v>
      </c>
      <c r="O389" s="320">
        <f>IFERROR(__xludf.DUMMYFUNCTION("""COMPUTED_VALUE"""),1.5127)</f>
        <v>1.5127</v>
      </c>
      <c r="P389" s="320">
        <f>IFERROR(__xludf.DUMMYFUNCTION("""COMPUTED_VALUE"""),152.35)</f>
        <v>152.35</v>
      </c>
      <c r="Q389" s="320">
        <f>IFERROR(__xludf.DUMMYFUNCTION("""COMPUTED_VALUE"""),108.49)</f>
        <v>108.49</v>
      </c>
      <c r="R389" s="320">
        <f>IFERROR(__xludf.DUMMYFUNCTION("""COMPUTED_VALUE"""),43.86)</f>
        <v>43.86</v>
      </c>
      <c r="S389" s="320">
        <f>IFERROR(__xludf.DUMMYFUNCTION("""COMPUTED_VALUE"""),0.0)</f>
        <v>0</v>
      </c>
      <c r="T389" s="320">
        <f>IFERROR(__xludf.DUMMYFUNCTION("""COMPUTED_VALUE"""),152.35)</f>
        <v>152.35</v>
      </c>
      <c r="U389" s="320">
        <f>IFERROR(__xludf.DUMMYFUNCTION("""COMPUTED_VALUE"""),166.23)</f>
        <v>166.23</v>
      </c>
      <c r="V389" s="320">
        <f>IFERROR(__xludf.DUMMYFUNCTION("""COMPUTED_VALUE"""),4.3398)</f>
        <v>4.3398</v>
      </c>
      <c r="W389" s="320">
        <f>IFERROR(__xludf.DUMMYFUNCTION("""COMPUTED_VALUE"""),0.0)</f>
        <v>0</v>
      </c>
      <c r="X389" s="320">
        <f>IFERROR(__xludf.DUMMYFUNCTION("""COMPUTED_VALUE"""),151.0)</f>
        <v>151</v>
      </c>
      <c r="Y389" s="320">
        <f>IFERROR(__xludf.DUMMYFUNCTION("""COMPUTED_VALUE"""),1047.0)</f>
        <v>1047</v>
      </c>
      <c r="Z389" s="320">
        <f>IFERROR(__xludf.DUMMYFUNCTION("""COMPUTED_VALUE"""),6679.0)</f>
        <v>6679</v>
      </c>
      <c r="AA389" s="320">
        <f>IFERROR(__xludf.DUMMYFUNCTION("""COMPUTED_VALUE"""),55.8174)</f>
        <v>55.8174</v>
      </c>
      <c r="AB389" s="320">
        <f>IFERROR(__xludf.DUMMYFUNCTION("""COMPUTED_VALUE"""),0.7474)</f>
        <v>0.7474</v>
      </c>
      <c r="AC389" s="320">
        <f>IFERROR(__xludf.DUMMYFUNCTION("""COMPUTED_VALUE"""),17.08)</f>
        <v>17.08</v>
      </c>
      <c r="AD389" s="320">
        <f>IFERROR(__xludf.DUMMYFUNCTION("""COMPUTED_VALUE"""),7.0)</f>
        <v>7</v>
      </c>
      <c r="AE389" s="320">
        <f>IFERROR(__xludf.DUMMYFUNCTION("""COMPUTED_VALUE"""),14.0)</f>
        <v>14</v>
      </c>
      <c r="AF389" s="320">
        <f>IFERROR(__xludf.DUMMYFUNCTION("""COMPUTED_VALUE"""),23.0)</f>
        <v>23</v>
      </c>
      <c r="AG389" s="320">
        <f>IFERROR(__xludf.DUMMYFUNCTION("""COMPUTED_VALUE"""),36.0)</f>
        <v>36</v>
      </c>
      <c r="AH389" s="320">
        <f>IFERROR(__xludf.DUMMYFUNCTION("""COMPUTED_VALUE"""),58.24)</f>
        <v>58.24</v>
      </c>
      <c r="AI389" s="320">
        <f>IFERROR(__xludf.DUMMYFUNCTION("""COMPUTED_VALUE"""),21.35)</f>
        <v>21.35</v>
      </c>
      <c r="AJ389" s="320">
        <f>IFERROR(__xludf.DUMMYFUNCTION("""COMPUTED_VALUE"""),6.34)</f>
        <v>6.34</v>
      </c>
      <c r="AK389" s="320">
        <f>IFERROR(__xludf.DUMMYFUNCTION("""COMPUTED_VALUE"""),0.1941)</f>
        <v>0.1941</v>
      </c>
      <c r="AL389" s="320">
        <f>IFERROR(__xludf.DUMMYFUNCTION("""COMPUTED_VALUE"""),20.17)</f>
        <v>20.17</v>
      </c>
      <c r="AM389" s="320">
        <f>IFERROR(__xludf.DUMMYFUNCTION("""COMPUTED_VALUE"""),88.33)</f>
        <v>88.33</v>
      </c>
      <c r="AN389" s="320">
        <f>IFERROR(__xludf.DUMMYFUNCTION("""COMPUTED_VALUE"""),78.34)</f>
        <v>78.34</v>
      </c>
      <c r="AO389" s="320">
        <f>IFERROR(__xludf.DUMMYFUNCTION("""COMPUTED_VALUE"""),15.8)</f>
        <v>15.8</v>
      </c>
    </row>
    <row r="390" ht="15.75" customHeight="1">
      <c r="A390" s="330">
        <f>IFERROR(__xludf.DUMMYFUNCTION("""COMPUTED_VALUE"""),46114.0)</f>
        <v>46114</v>
      </c>
      <c r="B390" s="319" t="str">
        <f>IFERROR(__xludf.DUMMYFUNCTION("""COMPUTED_VALUE"""),"E. 40-99")</f>
        <v>E. 40-99</v>
      </c>
      <c r="C390" s="320">
        <f>IFERROR(__xludf.DUMMYFUNCTION("""COMPUTED_VALUE"""),5720.0)</f>
        <v>5720</v>
      </c>
      <c r="D390" s="320">
        <f>IFERROR(__xludf.DUMMYFUNCTION("""COMPUTED_VALUE"""),5.56)</f>
        <v>5.56</v>
      </c>
      <c r="E390" s="320">
        <f>IFERROR(__xludf.DUMMYFUNCTION("""COMPUTED_VALUE"""),0.0)</f>
        <v>0</v>
      </c>
      <c r="F390" s="320">
        <f>IFERROR(__xludf.DUMMYFUNCTION("""COMPUTED_VALUE"""),0.0)</f>
        <v>0</v>
      </c>
      <c r="G390" s="320">
        <f>IFERROR(__xludf.DUMMYFUNCTION("""COMPUTED_VALUE"""),0.0)</f>
        <v>0</v>
      </c>
      <c r="H390" s="106"/>
      <c r="I390" s="320">
        <f>IFERROR(__xludf.DUMMYFUNCTION("""COMPUTED_VALUE"""),122.95)</f>
        <v>122.95</v>
      </c>
      <c r="J390" s="320">
        <f>IFERROR(__xludf.DUMMYFUNCTION("""COMPUTED_VALUE"""),66.99)</f>
        <v>66.99</v>
      </c>
      <c r="K390" s="320">
        <f>IFERROR(__xludf.DUMMYFUNCTION("""COMPUTED_VALUE"""),52.58)</f>
        <v>52.58</v>
      </c>
      <c r="L390" s="320">
        <f>IFERROR(__xludf.DUMMYFUNCTION("""COMPUTED_VALUE"""),0.7849)</f>
        <v>0.7849</v>
      </c>
      <c r="M390" s="320">
        <f>IFERROR(__xludf.DUMMYFUNCTION("""COMPUTED_VALUE"""),0.3965)</f>
        <v>0.3965</v>
      </c>
      <c r="N390" s="320">
        <f>IFERROR(__xludf.DUMMYFUNCTION("""COMPUTED_VALUE"""),0.2836)</f>
        <v>0.2836</v>
      </c>
      <c r="O390" s="320">
        <f>IFERROR(__xludf.DUMMYFUNCTION("""COMPUTED_VALUE"""),1.274)</f>
        <v>1.274</v>
      </c>
      <c r="P390" s="320">
        <f>IFERROR(__xludf.DUMMYFUNCTION("""COMPUTED_VALUE"""),301.9)</f>
        <v>301.9</v>
      </c>
      <c r="Q390" s="320">
        <f>IFERROR(__xludf.DUMMYFUNCTION("""COMPUTED_VALUE"""),209.89)</f>
        <v>209.89</v>
      </c>
      <c r="R390" s="320">
        <f>IFERROR(__xludf.DUMMYFUNCTION("""COMPUTED_VALUE"""),92.01)</f>
        <v>92.01</v>
      </c>
      <c r="S390" s="320">
        <f>IFERROR(__xludf.DUMMYFUNCTION("""COMPUTED_VALUE"""),0.04)</f>
        <v>0.04</v>
      </c>
      <c r="T390" s="320">
        <f>IFERROR(__xludf.DUMMYFUNCTION("""COMPUTED_VALUE"""),301.86)</f>
        <v>301.86</v>
      </c>
      <c r="U390" s="320">
        <f>IFERROR(__xludf.DUMMYFUNCTION("""COMPUTED_VALUE"""),317.53)</f>
        <v>317.53</v>
      </c>
      <c r="V390" s="320">
        <f>IFERROR(__xludf.DUMMYFUNCTION("""COMPUTED_VALUE"""),4.74)</f>
        <v>4.74</v>
      </c>
      <c r="W390" s="320">
        <f>IFERROR(__xludf.DUMMYFUNCTION("""COMPUTED_VALUE"""),0.01)</f>
        <v>0.01</v>
      </c>
      <c r="X390" s="320">
        <f>IFERROR(__xludf.DUMMYFUNCTION("""COMPUTED_VALUE"""),304.0)</f>
        <v>304</v>
      </c>
      <c r="Y390" s="320">
        <f>IFERROR(__xludf.DUMMYFUNCTION("""COMPUTED_VALUE"""),2194.0)</f>
        <v>2194</v>
      </c>
      <c r="Z390" s="320">
        <f>IFERROR(__xludf.DUMMYFUNCTION("""COMPUTED_VALUE"""),8768.0)</f>
        <v>8768</v>
      </c>
      <c r="AA390" s="320">
        <f>IFERROR(__xludf.DUMMYFUNCTION("""COMPUTED_VALUE"""),59.479)</f>
        <v>59.479</v>
      </c>
      <c r="AB390" s="320">
        <f>IFERROR(__xludf.DUMMYFUNCTION("""COMPUTED_VALUE"""),0.831)</f>
        <v>0.831</v>
      </c>
      <c r="AC390" s="320">
        <f>IFERROR(__xludf.DUMMYFUNCTION("""COMPUTED_VALUE"""),35.91)</f>
        <v>35.91</v>
      </c>
      <c r="AD390" s="320">
        <f>IFERROR(__xludf.DUMMYFUNCTION("""COMPUTED_VALUE"""),14.0)</f>
        <v>14</v>
      </c>
      <c r="AE390" s="320">
        <f>IFERROR(__xludf.DUMMYFUNCTION("""COMPUTED_VALUE"""),28.0)</f>
        <v>28</v>
      </c>
      <c r="AF390" s="320">
        <f>IFERROR(__xludf.DUMMYFUNCTION("""COMPUTED_VALUE"""),51.0)</f>
        <v>51</v>
      </c>
      <c r="AG390" s="320">
        <f>IFERROR(__xludf.DUMMYFUNCTION("""COMPUTED_VALUE"""),75.0)</f>
        <v>75</v>
      </c>
      <c r="AH390" s="320">
        <f>IFERROR(__xludf.DUMMYFUNCTION("""COMPUTED_VALUE"""),50.86)</f>
        <v>50.86</v>
      </c>
      <c r="AI390" s="320">
        <f>IFERROR(__xludf.DUMMYFUNCTION("""COMPUTED_VALUE"""),17.9)</f>
        <v>17.9</v>
      </c>
      <c r="AJ390" s="320">
        <f>IFERROR(__xludf.DUMMYFUNCTION("""COMPUTED_VALUE"""),3.85)</f>
        <v>3.85</v>
      </c>
      <c r="AK390" s="320">
        <f>IFERROR(__xludf.DUMMYFUNCTION("""COMPUTED_VALUE"""),0.1407)</f>
        <v>0.1407</v>
      </c>
      <c r="AL390" s="320">
        <f>IFERROR(__xludf.DUMMYFUNCTION("""COMPUTED_VALUE"""),21.08)</f>
        <v>21.08</v>
      </c>
      <c r="AM390" s="320">
        <f>IFERROR(__xludf.DUMMYFUNCTION("""COMPUTED_VALUE"""),188.82)</f>
        <v>188.82</v>
      </c>
      <c r="AN390" s="320">
        <f>IFERROR(__xludf.DUMMYFUNCTION("""COMPUTED_VALUE"""),83.34)</f>
        <v>83.34</v>
      </c>
      <c r="AO390" s="320">
        <f>IFERROR(__xludf.DUMMYFUNCTION("""COMPUTED_VALUE"""),17.57)</f>
        <v>17.57</v>
      </c>
    </row>
    <row r="391" ht="15.75" customHeight="1">
      <c r="A391" s="330">
        <f>IFERROR(__xludf.DUMMYFUNCTION("""COMPUTED_VALUE"""),46114.0)</f>
        <v>46114</v>
      </c>
      <c r="B391" s="319" t="str">
        <f>IFERROR(__xludf.DUMMYFUNCTION("""COMPUTED_VALUE"""),"F. 100+")</f>
        <v>F. 100+</v>
      </c>
      <c r="C391" s="320">
        <f>IFERROR(__xludf.DUMMYFUNCTION("""COMPUTED_VALUE"""),682.0)</f>
        <v>682</v>
      </c>
      <c r="D391" s="320">
        <f>IFERROR(__xludf.DUMMYFUNCTION("""COMPUTED_VALUE"""),0.66)</f>
        <v>0.66</v>
      </c>
      <c r="E391" s="320">
        <f>IFERROR(__xludf.DUMMYFUNCTION("""COMPUTED_VALUE"""),0.0)</f>
        <v>0</v>
      </c>
      <c r="F391" s="320">
        <f>IFERROR(__xludf.DUMMYFUNCTION("""COMPUTED_VALUE"""),0.0)</f>
        <v>0</v>
      </c>
      <c r="G391" s="320">
        <f>IFERROR(__xludf.DUMMYFUNCTION("""COMPUTED_VALUE"""),0.0)</f>
        <v>0</v>
      </c>
      <c r="H391" s="106"/>
      <c r="I391" s="320">
        <f>IFERROR(__xludf.DUMMYFUNCTION("""COMPUTED_VALUE"""),223.41)</f>
        <v>223.41</v>
      </c>
      <c r="J391" s="320">
        <f>IFERROR(__xludf.DUMMYFUNCTION("""COMPUTED_VALUE"""),131.39)</f>
        <v>131.39</v>
      </c>
      <c r="K391" s="320">
        <f>IFERROR(__xludf.DUMMYFUNCTION("""COMPUTED_VALUE"""),111.94)</f>
        <v>111.94</v>
      </c>
      <c r="L391" s="320">
        <f>IFERROR(__xludf.DUMMYFUNCTION("""COMPUTED_VALUE"""),0.852)</f>
        <v>0.852</v>
      </c>
      <c r="M391" s="320">
        <f>IFERROR(__xludf.DUMMYFUNCTION("""COMPUTED_VALUE"""),0.3036)</f>
        <v>0.3036</v>
      </c>
      <c r="N391" s="320">
        <f>IFERROR(__xludf.DUMMYFUNCTION("""COMPUTED_VALUE"""),0.2227)</f>
        <v>0.2227</v>
      </c>
      <c r="O391" s="320">
        <f>IFERROR(__xludf.DUMMYFUNCTION("""COMPUTED_VALUE"""),1.1737)</f>
        <v>1.1737</v>
      </c>
      <c r="P391" s="320">
        <f>IFERROR(__xludf.DUMMYFUNCTION("""COMPUTED_VALUE"""),540.95)</f>
        <v>540.95</v>
      </c>
      <c r="Q391" s="320">
        <f>IFERROR(__xludf.DUMMYFUNCTION("""COMPUTED_VALUE"""),343.47)</f>
        <v>343.47</v>
      </c>
      <c r="R391" s="320">
        <f>IFERROR(__xludf.DUMMYFUNCTION("""COMPUTED_VALUE"""),197.48)</f>
        <v>197.48</v>
      </c>
      <c r="S391" s="320">
        <f>IFERROR(__xludf.DUMMYFUNCTION("""COMPUTED_VALUE"""),0.0)</f>
        <v>0</v>
      </c>
      <c r="T391" s="320">
        <f>IFERROR(__xludf.DUMMYFUNCTION("""COMPUTED_VALUE"""),540.95)</f>
        <v>540.95</v>
      </c>
      <c r="U391" s="320">
        <f>IFERROR(__xludf.DUMMYFUNCTION("""COMPUTED_VALUE"""),689.22)</f>
        <v>689.22</v>
      </c>
      <c r="V391" s="320">
        <f>IFERROR(__xludf.DUMMYFUNCTION("""COMPUTED_VALUE"""),5.2457)</f>
        <v>5.2457</v>
      </c>
      <c r="W391" s="320">
        <f>IFERROR(__xludf.DUMMYFUNCTION("""COMPUTED_VALUE"""),0.0)</f>
        <v>0</v>
      </c>
      <c r="X391" s="320">
        <f>IFERROR(__xludf.DUMMYFUNCTION("""COMPUTED_VALUE"""),817.0)</f>
        <v>817</v>
      </c>
      <c r="Y391" s="320">
        <f>IFERROR(__xludf.DUMMYFUNCTION("""COMPUTED_VALUE"""),4324.0)</f>
        <v>4324</v>
      </c>
      <c r="Z391" s="320">
        <f>IFERROR(__xludf.DUMMYFUNCTION("""COMPUTED_VALUE"""),11928.0)</f>
        <v>11928</v>
      </c>
      <c r="AA391" s="320">
        <f>IFERROR(__xludf.DUMMYFUNCTION("""COMPUTED_VALUE"""),62.8043)</f>
        <v>62.8043</v>
      </c>
      <c r="AB391" s="320">
        <f>IFERROR(__xludf.DUMMYFUNCTION("""COMPUTED_VALUE"""),0.8897)</f>
        <v>0.8897</v>
      </c>
      <c r="AC391" s="320">
        <f>IFERROR(__xludf.DUMMYFUNCTION("""COMPUTED_VALUE"""),76.44)</f>
        <v>76.44</v>
      </c>
      <c r="AD391" s="320">
        <f>IFERROR(__xludf.DUMMYFUNCTION("""COMPUTED_VALUE"""),33.0)</f>
        <v>33</v>
      </c>
      <c r="AE391" s="320">
        <f>IFERROR(__xludf.DUMMYFUNCTION("""COMPUTED_VALUE"""),60.0)</f>
        <v>60</v>
      </c>
      <c r="AF391" s="320">
        <f>IFERROR(__xludf.DUMMYFUNCTION("""COMPUTED_VALUE"""),109.0)</f>
        <v>109</v>
      </c>
      <c r="AG391" s="320">
        <f>IFERROR(__xludf.DUMMYFUNCTION("""COMPUTED_VALUE"""),155.0)</f>
        <v>155</v>
      </c>
      <c r="AH391" s="320">
        <f>IFERROR(__xludf.DUMMYFUNCTION("""COMPUTED_VALUE"""),40.32)</f>
        <v>40.32</v>
      </c>
      <c r="AI391" s="320">
        <f>IFERROR(__xludf.DUMMYFUNCTION("""COMPUTED_VALUE"""),6.89)</f>
        <v>6.89</v>
      </c>
      <c r="AJ391" s="320">
        <f>IFERROR(__xludf.DUMMYFUNCTION("""COMPUTED_VALUE"""),0.44)</f>
        <v>0.44</v>
      </c>
      <c r="AK391" s="320">
        <f>IFERROR(__xludf.DUMMYFUNCTION("""COMPUTED_VALUE"""),0.1012)</f>
        <v>0.1012</v>
      </c>
      <c r="AL391" s="320">
        <f>IFERROR(__xludf.DUMMYFUNCTION("""COMPUTED_VALUE"""),23.53)</f>
        <v>23.53</v>
      </c>
      <c r="AM391" s="320">
        <f>IFERROR(__xludf.DUMMYFUNCTION("""COMPUTED_VALUE"""),319.94)</f>
        <v>319.94</v>
      </c>
      <c r="AN391" s="320">
        <f>IFERROR(__xludf.DUMMYFUNCTION("""COMPUTED_VALUE"""),87.01)</f>
        <v>87.01</v>
      </c>
      <c r="AO391" s="320">
        <f>IFERROR(__xludf.DUMMYFUNCTION("""COMPUTED_VALUE"""),20.47)</f>
        <v>20.47</v>
      </c>
    </row>
    <row r="392" ht="15.75" customHeight="1">
      <c r="A392" s="330">
        <f>IFERROR(__xludf.DUMMYFUNCTION("""COMPUTED_VALUE"""),46115.0)</f>
        <v>46115</v>
      </c>
      <c r="B392" s="319" t="str">
        <f>IFERROR(__xludf.DUMMYFUNCTION("""COMPUTED_VALUE"""),"A. 0")</f>
        <v>A. 0</v>
      </c>
      <c r="C392" s="320">
        <f>IFERROR(__xludf.DUMMYFUNCTION("""COMPUTED_VALUE"""),17925.0)</f>
        <v>17925</v>
      </c>
      <c r="D392" s="320">
        <f>IFERROR(__xludf.DUMMYFUNCTION("""COMPUTED_VALUE"""),17.67)</f>
        <v>17.67</v>
      </c>
      <c r="E392" s="320">
        <f>IFERROR(__xludf.DUMMYFUNCTION("""COMPUTED_VALUE"""),0.0)</f>
        <v>0</v>
      </c>
      <c r="F392" s="320">
        <f>IFERROR(__xludf.DUMMYFUNCTION("""COMPUTED_VALUE"""),0.0)</f>
        <v>0</v>
      </c>
      <c r="G392" s="320">
        <f>IFERROR(__xludf.DUMMYFUNCTION("""COMPUTED_VALUE"""),0.0)</f>
        <v>0</v>
      </c>
      <c r="H392" s="106"/>
      <c r="I392" s="320">
        <f>IFERROR(__xludf.DUMMYFUNCTION("""COMPUTED_VALUE"""),5.74)</f>
        <v>5.74</v>
      </c>
      <c r="J392" s="320">
        <f>IFERROR(__xludf.DUMMYFUNCTION("""COMPUTED_VALUE"""),2.33)</f>
        <v>2.33</v>
      </c>
      <c r="K392" s="320">
        <f>IFERROR(__xludf.DUMMYFUNCTION("""COMPUTED_VALUE"""),0.06)</f>
        <v>0.06</v>
      </c>
      <c r="L392" s="320">
        <f>IFERROR(__xludf.DUMMYFUNCTION("""COMPUTED_VALUE"""),0.0266)</f>
        <v>0.0266</v>
      </c>
      <c r="M392" s="320">
        <f>IFERROR(__xludf.DUMMYFUNCTION("""COMPUTED_VALUE"""),0.9799)</f>
        <v>0.9799</v>
      </c>
      <c r="N392" s="320">
        <f>IFERROR(__xludf.DUMMYFUNCTION("""COMPUTED_VALUE"""),0.7935)</f>
        <v>0.7935</v>
      </c>
      <c r="O392" s="320">
        <f>IFERROR(__xludf.DUMMYFUNCTION("""COMPUTED_VALUE"""),37.5446)</f>
        <v>37.5446</v>
      </c>
      <c r="P392" s="320">
        <f>IFERROR(__xludf.DUMMYFUNCTION("""COMPUTED_VALUE"""),27.87)</f>
        <v>27.87</v>
      </c>
      <c r="Q392" s="320">
        <f>IFERROR(__xludf.DUMMYFUNCTION("""COMPUTED_VALUE"""),27.77)</f>
        <v>27.77</v>
      </c>
      <c r="R392" s="320">
        <f>IFERROR(__xludf.DUMMYFUNCTION("""COMPUTED_VALUE"""),0.1)</f>
        <v>0.1</v>
      </c>
      <c r="S392" s="320">
        <f>IFERROR(__xludf.DUMMYFUNCTION("""COMPUTED_VALUE"""),0.0)</f>
        <v>0</v>
      </c>
      <c r="T392" s="320">
        <f>IFERROR(__xludf.DUMMYFUNCTION("""COMPUTED_VALUE"""),27.87)</f>
        <v>27.87</v>
      </c>
      <c r="U392" s="320">
        <f>IFERROR(__xludf.DUMMYFUNCTION("""COMPUTED_VALUE"""),2.15)</f>
        <v>2.15</v>
      </c>
      <c r="V392" s="320">
        <f>IFERROR(__xludf.DUMMYFUNCTION("""COMPUTED_VALUE"""),0.9218)</f>
        <v>0.9218</v>
      </c>
      <c r="W392" s="320">
        <f>IFERROR(__xludf.DUMMYFUNCTION("""COMPUTED_VALUE"""),0.0)</f>
        <v>0</v>
      </c>
      <c r="X392" s="320">
        <f>IFERROR(__xludf.DUMMYFUNCTION("""COMPUTED_VALUE"""),429.0)</f>
        <v>429</v>
      </c>
      <c r="Y392" s="320">
        <f>IFERROR(__xludf.DUMMYFUNCTION("""COMPUTED_VALUE"""),4237.0)</f>
        <v>4237</v>
      </c>
      <c r="Z392" s="320">
        <f>IFERROR(__xludf.DUMMYFUNCTION("""COMPUTED_VALUE"""),15640.0)</f>
        <v>15640</v>
      </c>
      <c r="AA392" s="320">
        <f>IFERROR(__xludf.DUMMYFUNCTION("""COMPUTED_VALUE"""),49.0334)</f>
        <v>49.0334</v>
      </c>
      <c r="AB392" s="320">
        <f>IFERROR(__xludf.DUMMYFUNCTION("""COMPUTED_VALUE"""),0.5489)</f>
        <v>0.5489</v>
      </c>
      <c r="AC392" s="106"/>
      <c r="AD392" s="106"/>
      <c r="AE392" s="106"/>
      <c r="AF392" s="106"/>
      <c r="AG392" s="106"/>
      <c r="AH392" s="320">
        <f>IFERROR(__xludf.DUMMYFUNCTION("""COMPUTED_VALUE"""),0.0)</f>
        <v>0</v>
      </c>
      <c r="AI392" s="320">
        <f>IFERROR(__xludf.DUMMYFUNCTION("""COMPUTED_VALUE"""),0.0)</f>
        <v>0</v>
      </c>
      <c r="AJ392" s="320">
        <f>IFERROR(__xludf.DUMMYFUNCTION("""COMPUTED_VALUE"""),0.0)</f>
        <v>0</v>
      </c>
      <c r="AK392" s="320">
        <f>IFERROR(__xludf.DUMMYFUNCTION("""COMPUTED_VALUE"""),0.3006)</f>
        <v>0.3006</v>
      </c>
      <c r="AL392" s="320">
        <f>IFERROR(__xludf.DUMMYFUNCTION("""COMPUTED_VALUE"""),17.91)</f>
        <v>17.91</v>
      </c>
      <c r="AM392" s="320">
        <f>IFERROR(__xludf.DUMMYFUNCTION("""COMPUTED_VALUE"""),9.86)</f>
        <v>9.86</v>
      </c>
      <c r="AN392" s="331"/>
      <c r="AO392" s="331"/>
    </row>
    <row r="393" ht="15.75" customHeight="1">
      <c r="A393" s="330">
        <f>IFERROR(__xludf.DUMMYFUNCTION("""COMPUTED_VALUE"""),46115.0)</f>
        <v>46115</v>
      </c>
      <c r="B393" s="319" t="str">
        <f>IFERROR(__xludf.DUMMYFUNCTION("""COMPUTED_VALUE"""),"B. 1-9")</f>
        <v>B. 1-9</v>
      </c>
      <c r="C393" s="320">
        <f>IFERROR(__xludf.DUMMYFUNCTION("""COMPUTED_VALUE"""),36244.0)</f>
        <v>36244</v>
      </c>
      <c r="D393" s="320">
        <f>IFERROR(__xludf.DUMMYFUNCTION("""COMPUTED_VALUE"""),35.72)</f>
        <v>35.72</v>
      </c>
      <c r="E393" s="320">
        <f>IFERROR(__xludf.DUMMYFUNCTION("""COMPUTED_VALUE"""),0.0)</f>
        <v>0</v>
      </c>
      <c r="F393" s="320">
        <f>IFERROR(__xludf.DUMMYFUNCTION("""COMPUTED_VALUE"""),0.0)</f>
        <v>0</v>
      </c>
      <c r="G393" s="320">
        <f>IFERROR(__xludf.DUMMYFUNCTION("""COMPUTED_VALUE"""),0.0)</f>
        <v>0</v>
      </c>
      <c r="H393" s="106"/>
      <c r="I393" s="320">
        <f>IFERROR(__xludf.DUMMYFUNCTION("""COMPUTED_VALUE"""),31.27)</f>
        <v>31.27</v>
      </c>
      <c r="J393" s="320">
        <f>IFERROR(__xludf.DUMMYFUNCTION("""COMPUTED_VALUE"""),14.32)</f>
        <v>14.32</v>
      </c>
      <c r="K393" s="320">
        <f>IFERROR(__xludf.DUMMYFUNCTION("""COMPUTED_VALUE"""),6.05)</f>
        <v>6.05</v>
      </c>
      <c r="L393" s="320">
        <f>IFERROR(__xludf.DUMMYFUNCTION("""COMPUTED_VALUE"""),0.4226)</f>
        <v>0.4226</v>
      </c>
      <c r="M393" s="320">
        <f>IFERROR(__xludf.DUMMYFUNCTION("""COMPUTED_VALUE"""),0.745)</f>
        <v>0.745</v>
      </c>
      <c r="N393" s="320">
        <f>IFERROR(__xludf.DUMMYFUNCTION("""COMPUTED_VALUE"""),0.5394)</f>
        <v>0.5394</v>
      </c>
      <c r="O393" s="320">
        <f>IFERROR(__xludf.DUMMYFUNCTION("""COMPUTED_VALUE"""),2.3665)</f>
        <v>2.3665</v>
      </c>
      <c r="P393" s="320">
        <f>IFERROR(__xludf.DUMMYFUNCTION("""COMPUTED_VALUE"""),58.67)</f>
        <v>58.67</v>
      </c>
      <c r="Q393" s="320">
        <f>IFERROR(__xludf.DUMMYFUNCTION("""COMPUTED_VALUE"""),48.6)</f>
        <v>48.6</v>
      </c>
      <c r="R393" s="320">
        <f>IFERROR(__xludf.DUMMYFUNCTION("""COMPUTED_VALUE"""),10.08)</f>
        <v>10.08</v>
      </c>
      <c r="S393" s="320">
        <f>IFERROR(__xludf.DUMMYFUNCTION("""COMPUTED_VALUE"""),0.01)</f>
        <v>0.01</v>
      </c>
      <c r="T393" s="320">
        <f>IFERROR(__xludf.DUMMYFUNCTION("""COMPUTED_VALUE"""),58.67)</f>
        <v>58.67</v>
      </c>
      <c r="U393" s="320">
        <f>IFERROR(__xludf.DUMMYFUNCTION("""COMPUTED_VALUE"""),55.44)</f>
        <v>55.44</v>
      </c>
      <c r="V393" s="320">
        <f>IFERROR(__xludf.DUMMYFUNCTION("""COMPUTED_VALUE"""),3.873)</f>
        <v>3.873</v>
      </c>
      <c r="W393" s="320">
        <f>IFERROR(__xludf.DUMMYFUNCTION("""COMPUTED_VALUE"""),0.01)</f>
        <v>0.01</v>
      </c>
      <c r="X393" s="320">
        <f>IFERROR(__xludf.DUMMYFUNCTION("""COMPUTED_VALUE"""),144.0)</f>
        <v>144</v>
      </c>
      <c r="Y393" s="320">
        <f>IFERROR(__xludf.DUMMYFUNCTION("""COMPUTED_VALUE"""),888.0)</f>
        <v>888</v>
      </c>
      <c r="Z393" s="320">
        <f>IFERROR(__xludf.DUMMYFUNCTION("""COMPUTED_VALUE"""),5584.0)</f>
        <v>5584</v>
      </c>
      <c r="AA393" s="320">
        <f>IFERROR(__xludf.DUMMYFUNCTION("""COMPUTED_VALUE"""),48.5915)</f>
        <v>48.5915</v>
      </c>
      <c r="AB393" s="320">
        <f>IFERROR(__xludf.DUMMYFUNCTION("""COMPUTED_VALUE"""),0.5367)</f>
        <v>0.5367</v>
      </c>
      <c r="AC393" s="320">
        <f>IFERROR(__xludf.DUMMYFUNCTION("""COMPUTED_VALUE"""),4.25)</f>
        <v>4.25</v>
      </c>
      <c r="AD393" s="320">
        <f>IFERROR(__xludf.DUMMYFUNCTION("""COMPUTED_VALUE"""),2.0)</f>
        <v>2</v>
      </c>
      <c r="AE393" s="320">
        <f>IFERROR(__xludf.DUMMYFUNCTION("""COMPUTED_VALUE"""),3.0)</f>
        <v>3</v>
      </c>
      <c r="AF393" s="320">
        <f>IFERROR(__xludf.DUMMYFUNCTION("""COMPUTED_VALUE"""),6.0)</f>
        <v>6</v>
      </c>
      <c r="AG393" s="320">
        <f>IFERROR(__xludf.DUMMYFUNCTION("""COMPUTED_VALUE"""),9.0)</f>
        <v>9</v>
      </c>
      <c r="AH393" s="320">
        <f>IFERROR(__xludf.DUMMYFUNCTION("""COMPUTED_VALUE"""),75.38)</f>
        <v>75.38</v>
      </c>
      <c r="AI393" s="320">
        <f>IFERROR(__xludf.DUMMYFUNCTION("""COMPUTED_VALUE"""),34.17)</f>
        <v>34.17</v>
      </c>
      <c r="AJ393" s="320">
        <f>IFERROR(__xludf.DUMMYFUNCTION("""COMPUTED_VALUE"""),9.69)</f>
        <v>9.69</v>
      </c>
      <c r="AK393" s="320">
        <f>IFERROR(__xludf.DUMMYFUNCTION("""COMPUTED_VALUE"""),0.2667)</f>
        <v>0.2667</v>
      </c>
      <c r="AL393" s="320">
        <f>IFERROR(__xludf.DUMMYFUNCTION("""COMPUTED_VALUE"""),20.15)</f>
        <v>20.15</v>
      </c>
      <c r="AM393" s="320">
        <f>IFERROR(__xludf.DUMMYFUNCTION("""COMPUTED_VALUE"""),28.45)</f>
        <v>28.45</v>
      </c>
      <c r="AN393" s="320">
        <f>IFERROR(__xludf.DUMMYFUNCTION("""COMPUTED_VALUE"""),65.74)</f>
        <v>65.74</v>
      </c>
      <c r="AO393" s="320">
        <f>IFERROR(__xludf.DUMMYFUNCTION("""COMPUTED_VALUE"""),13.25)</f>
        <v>13.25</v>
      </c>
    </row>
    <row r="394" ht="15.75" customHeight="1">
      <c r="A394" s="330">
        <f>IFERROR(__xludf.DUMMYFUNCTION("""COMPUTED_VALUE"""),46115.0)</f>
        <v>46115</v>
      </c>
      <c r="B394" s="319" t="str">
        <f>IFERROR(__xludf.DUMMYFUNCTION("""COMPUTED_VALUE"""),"C. 10-19")</f>
        <v>C. 10-19</v>
      </c>
      <c r="C394" s="320">
        <f>IFERROR(__xludf.DUMMYFUNCTION("""COMPUTED_VALUE"""),26479.0)</f>
        <v>26479</v>
      </c>
      <c r="D394" s="320">
        <f>IFERROR(__xludf.DUMMYFUNCTION("""COMPUTED_VALUE"""),26.1)</f>
        <v>26.1</v>
      </c>
      <c r="E394" s="320">
        <f>IFERROR(__xludf.DUMMYFUNCTION("""COMPUTED_VALUE"""),0.0)</f>
        <v>0</v>
      </c>
      <c r="F394" s="320">
        <f>IFERROR(__xludf.DUMMYFUNCTION("""COMPUTED_VALUE"""),0.0)</f>
        <v>0</v>
      </c>
      <c r="G394" s="320">
        <f>IFERROR(__xludf.DUMMYFUNCTION("""COMPUTED_VALUE"""),0.0)</f>
        <v>0</v>
      </c>
      <c r="H394" s="106"/>
      <c r="I394" s="320">
        <f>IFERROR(__xludf.DUMMYFUNCTION("""COMPUTED_VALUE"""),57.16)</f>
        <v>57.16</v>
      </c>
      <c r="J394" s="320">
        <f>IFERROR(__xludf.DUMMYFUNCTION("""COMPUTED_VALUE"""),27.55)</f>
        <v>27.55</v>
      </c>
      <c r="K394" s="320">
        <f>IFERROR(__xludf.DUMMYFUNCTION("""COMPUTED_VALUE"""),14.37)</f>
        <v>14.37</v>
      </c>
      <c r="L394" s="320">
        <f>IFERROR(__xludf.DUMMYFUNCTION("""COMPUTED_VALUE"""),0.5218)</f>
        <v>0.5218</v>
      </c>
      <c r="M394" s="320">
        <f>IFERROR(__xludf.DUMMYFUNCTION("""COMPUTED_VALUE"""),0.6612)</f>
        <v>0.6612</v>
      </c>
      <c r="N394" s="320">
        <f>IFERROR(__xludf.DUMMYFUNCTION("""COMPUTED_VALUE"""),0.4563)</f>
        <v>0.4563</v>
      </c>
      <c r="O394" s="320">
        <f>IFERROR(__xludf.DUMMYFUNCTION("""COMPUTED_VALUE"""),1.9165)</f>
        <v>1.9165</v>
      </c>
      <c r="P394" s="320">
        <f>IFERROR(__xludf.DUMMYFUNCTION("""COMPUTED_VALUE"""),98.38)</f>
        <v>98.38</v>
      </c>
      <c r="Q394" s="320">
        <f>IFERROR(__xludf.DUMMYFUNCTION("""COMPUTED_VALUE"""),73.61)</f>
        <v>73.61</v>
      </c>
      <c r="R394" s="320">
        <f>IFERROR(__xludf.DUMMYFUNCTION("""COMPUTED_VALUE"""),24.77)</f>
        <v>24.77</v>
      </c>
      <c r="S394" s="320">
        <f>IFERROR(__xludf.DUMMYFUNCTION("""COMPUTED_VALUE"""),0.09)</f>
        <v>0.09</v>
      </c>
      <c r="T394" s="320">
        <f>IFERROR(__xludf.DUMMYFUNCTION("""COMPUTED_VALUE"""),98.29)</f>
        <v>98.29</v>
      </c>
      <c r="U394" s="320">
        <f>IFERROR(__xludf.DUMMYFUNCTION("""COMPUTED_VALUE"""),99.25)</f>
        <v>99.25</v>
      </c>
      <c r="V394" s="320">
        <f>IFERROR(__xludf.DUMMYFUNCTION("""COMPUTED_VALUE"""),3.6026)</f>
        <v>3.6026</v>
      </c>
      <c r="W394" s="320">
        <f>IFERROR(__xludf.DUMMYFUNCTION("""COMPUTED_VALUE"""),0.09)</f>
        <v>0.09</v>
      </c>
      <c r="X394" s="320">
        <f>IFERROR(__xludf.DUMMYFUNCTION("""COMPUTED_VALUE"""),129.0)</f>
        <v>129</v>
      </c>
      <c r="Y394" s="320">
        <f>IFERROR(__xludf.DUMMYFUNCTION("""COMPUTED_VALUE"""),672.0)</f>
        <v>672</v>
      </c>
      <c r="Z394" s="320">
        <f>IFERROR(__xludf.DUMMYFUNCTION("""COMPUTED_VALUE"""),4998.0)</f>
        <v>4998</v>
      </c>
      <c r="AA394" s="320">
        <f>IFERROR(__xludf.DUMMYFUNCTION("""COMPUTED_VALUE"""),52.1473)</f>
        <v>52.1473</v>
      </c>
      <c r="AB394" s="320">
        <f>IFERROR(__xludf.DUMMYFUNCTION("""COMPUTED_VALUE"""),0.6322)</f>
        <v>0.6322</v>
      </c>
      <c r="AC394" s="320">
        <f>IFERROR(__xludf.DUMMYFUNCTION("""COMPUTED_VALUE"""),9.48)</f>
        <v>9.48</v>
      </c>
      <c r="AD394" s="320">
        <f>IFERROR(__xludf.DUMMYFUNCTION("""COMPUTED_VALUE"""),4.0)</f>
        <v>4</v>
      </c>
      <c r="AE394" s="320">
        <f>IFERROR(__xludf.DUMMYFUNCTION("""COMPUTED_VALUE"""),8.0)</f>
        <v>8</v>
      </c>
      <c r="AF394" s="320">
        <f>IFERROR(__xludf.DUMMYFUNCTION("""COMPUTED_VALUE"""),13.0)</f>
        <v>13</v>
      </c>
      <c r="AG394" s="320">
        <f>IFERROR(__xludf.DUMMYFUNCTION("""COMPUTED_VALUE"""),19.0)</f>
        <v>19</v>
      </c>
      <c r="AH394" s="320">
        <f>IFERROR(__xludf.DUMMYFUNCTION("""COMPUTED_VALUE"""),62.55)</f>
        <v>62.55</v>
      </c>
      <c r="AI394" s="320">
        <f>IFERROR(__xludf.DUMMYFUNCTION("""COMPUTED_VALUE"""),26.24)</f>
        <v>26.24</v>
      </c>
      <c r="AJ394" s="320">
        <f>IFERROR(__xludf.DUMMYFUNCTION("""COMPUTED_VALUE"""),4.27)</f>
        <v>4.27</v>
      </c>
      <c r="AK394" s="320">
        <f>IFERROR(__xludf.DUMMYFUNCTION("""COMPUTED_VALUE"""),0.2169)</f>
        <v>0.2169</v>
      </c>
      <c r="AL394" s="320">
        <f>IFERROR(__xludf.DUMMYFUNCTION("""COMPUTED_VALUE"""),20.76)</f>
        <v>20.76</v>
      </c>
      <c r="AM394" s="320">
        <f>IFERROR(__xludf.DUMMYFUNCTION("""COMPUTED_VALUE"""),52.86)</f>
        <v>52.86</v>
      </c>
      <c r="AN394" s="320">
        <f>IFERROR(__xludf.DUMMYFUNCTION("""COMPUTED_VALUE"""),74.55)</f>
        <v>74.55</v>
      </c>
      <c r="AO394" s="320">
        <f>IFERROR(__xludf.DUMMYFUNCTION("""COMPUTED_VALUE"""),15.48)</f>
        <v>15.48</v>
      </c>
    </row>
    <row r="395" ht="15.75" customHeight="1">
      <c r="A395" s="330">
        <f>IFERROR(__xludf.DUMMYFUNCTION("""COMPUTED_VALUE"""),46115.0)</f>
        <v>46115</v>
      </c>
      <c r="B395" s="319" t="str">
        <f>IFERROR(__xludf.DUMMYFUNCTION("""COMPUTED_VALUE"""),"D. 20-39")</f>
        <v>D. 20-39</v>
      </c>
      <c r="C395" s="320">
        <f>IFERROR(__xludf.DUMMYFUNCTION("""COMPUTED_VALUE"""),14411.0)</f>
        <v>14411</v>
      </c>
      <c r="D395" s="320">
        <f>IFERROR(__xludf.DUMMYFUNCTION("""COMPUTED_VALUE"""),14.2)</f>
        <v>14.2</v>
      </c>
      <c r="E395" s="320">
        <f>IFERROR(__xludf.DUMMYFUNCTION("""COMPUTED_VALUE"""),0.0)</f>
        <v>0</v>
      </c>
      <c r="F395" s="320">
        <f>IFERROR(__xludf.DUMMYFUNCTION("""COMPUTED_VALUE"""),0.0)</f>
        <v>0</v>
      </c>
      <c r="G395" s="320">
        <f>IFERROR(__xludf.DUMMYFUNCTION("""COMPUTED_VALUE"""),0.0)</f>
        <v>0</v>
      </c>
      <c r="H395" s="106"/>
      <c r="I395" s="320">
        <f>IFERROR(__xludf.DUMMYFUNCTION("""COMPUTED_VALUE"""),82.79)</f>
        <v>82.79</v>
      </c>
      <c r="J395" s="320">
        <f>IFERROR(__xludf.DUMMYFUNCTION("""COMPUTED_VALUE"""),42.27)</f>
        <v>42.27</v>
      </c>
      <c r="K395" s="320">
        <f>IFERROR(__xludf.DUMMYFUNCTION("""COMPUTED_VALUE"""),27.12)</f>
        <v>27.12</v>
      </c>
      <c r="L395" s="320">
        <f>IFERROR(__xludf.DUMMYFUNCTION("""COMPUTED_VALUE"""),0.6417)</f>
        <v>0.6417</v>
      </c>
      <c r="M395" s="320">
        <f>IFERROR(__xludf.DUMMYFUNCTION("""COMPUTED_VALUE"""),0.5433)</f>
        <v>0.5433</v>
      </c>
      <c r="N395" s="320">
        <f>IFERROR(__xludf.DUMMYFUNCTION("""COMPUTED_VALUE"""),0.3722)</f>
        <v>0.3722</v>
      </c>
      <c r="O395" s="320">
        <f>IFERROR(__xludf.DUMMYFUNCTION("""COMPUTED_VALUE"""),1.5583)</f>
        <v>1.5583</v>
      </c>
      <c r="P395" s="320">
        <f>IFERROR(__xludf.DUMMYFUNCTION("""COMPUTED_VALUE"""),153.97)</f>
        <v>153.97</v>
      </c>
      <c r="Q395" s="320">
        <f>IFERROR(__xludf.DUMMYFUNCTION("""COMPUTED_VALUE"""),107.15)</f>
        <v>107.15</v>
      </c>
      <c r="R395" s="320">
        <f>IFERROR(__xludf.DUMMYFUNCTION("""COMPUTED_VALUE"""),46.82)</f>
        <v>46.82</v>
      </c>
      <c r="S395" s="320">
        <f>IFERROR(__xludf.DUMMYFUNCTION("""COMPUTED_VALUE"""),0.0)</f>
        <v>0</v>
      </c>
      <c r="T395" s="320">
        <f>IFERROR(__xludf.DUMMYFUNCTION("""COMPUTED_VALUE"""),153.97)</f>
        <v>153.97</v>
      </c>
      <c r="U395" s="320">
        <f>IFERROR(__xludf.DUMMYFUNCTION("""COMPUTED_VALUE"""),168.2)</f>
        <v>168.2</v>
      </c>
      <c r="V395" s="320">
        <f>IFERROR(__xludf.DUMMYFUNCTION("""COMPUTED_VALUE"""),3.9796)</f>
        <v>3.9796</v>
      </c>
      <c r="W395" s="320">
        <f>IFERROR(__xludf.DUMMYFUNCTION("""COMPUTED_VALUE"""),0.0)</f>
        <v>0</v>
      </c>
      <c r="X395" s="320">
        <f>IFERROR(__xludf.DUMMYFUNCTION("""COMPUTED_VALUE"""),143.0)</f>
        <v>143</v>
      </c>
      <c r="Y395" s="320">
        <f>IFERROR(__xludf.DUMMYFUNCTION("""COMPUTED_VALUE"""),990.0)</f>
        <v>990</v>
      </c>
      <c r="Z395" s="320">
        <f>IFERROR(__xludf.DUMMYFUNCTION("""COMPUTED_VALUE"""),6492.0)</f>
        <v>6492</v>
      </c>
      <c r="AA395" s="320">
        <f>IFERROR(__xludf.DUMMYFUNCTION("""COMPUTED_VALUE"""),55.5446)</f>
        <v>55.5446</v>
      </c>
      <c r="AB395" s="320">
        <f>IFERROR(__xludf.DUMMYFUNCTION("""COMPUTED_VALUE"""),0.7394)</f>
        <v>0.7394</v>
      </c>
      <c r="AC395" s="320">
        <f>IFERROR(__xludf.DUMMYFUNCTION("""COMPUTED_VALUE"""),17.73)</f>
        <v>17.73</v>
      </c>
      <c r="AD395" s="320">
        <f>IFERROR(__xludf.DUMMYFUNCTION("""COMPUTED_VALUE"""),8.0)</f>
        <v>8</v>
      </c>
      <c r="AE395" s="320">
        <f>IFERROR(__xludf.DUMMYFUNCTION("""COMPUTED_VALUE"""),14.0)</f>
        <v>14</v>
      </c>
      <c r="AF395" s="320">
        <f>IFERROR(__xludf.DUMMYFUNCTION("""COMPUTED_VALUE"""),24.0)</f>
        <v>24</v>
      </c>
      <c r="AG395" s="320">
        <f>IFERROR(__xludf.DUMMYFUNCTION("""COMPUTED_VALUE"""),36.0)</f>
        <v>36</v>
      </c>
      <c r="AH395" s="320">
        <f>IFERROR(__xludf.DUMMYFUNCTION("""COMPUTED_VALUE"""),61.51)</f>
        <v>61.51</v>
      </c>
      <c r="AI395" s="320">
        <f>IFERROR(__xludf.DUMMYFUNCTION("""COMPUTED_VALUE"""),22.45)</f>
        <v>22.45</v>
      </c>
      <c r="AJ395" s="320">
        <f>IFERROR(__xludf.DUMMYFUNCTION("""COMPUTED_VALUE"""),6.32)</f>
        <v>6.32</v>
      </c>
      <c r="AK395" s="320">
        <f>IFERROR(__xludf.DUMMYFUNCTION("""COMPUTED_VALUE"""),0.199)</f>
        <v>0.199</v>
      </c>
      <c r="AL395" s="320">
        <f>IFERROR(__xludf.DUMMYFUNCTION("""COMPUTED_VALUE"""),20.99)</f>
        <v>20.99</v>
      </c>
      <c r="AM395" s="320">
        <f>IFERROR(__xludf.DUMMYFUNCTION("""COMPUTED_VALUE"""),86.16)</f>
        <v>86.16</v>
      </c>
      <c r="AN395" s="320">
        <f>IFERROR(__xludf.DUMMYFUNCTION("""COMPUTED_VALUE"""),77.6)</f>
        <v>77.6</v>
      </c>
      <c r="AO395" s="320">
        <f>IFERROR(__xludf.DUMMYFUNCTION("""COMPUTED_VALUE"""),16.29)</f>
        <v>16.29</v>
      </c>
    </row>
    <row r="396" ht="15.75" customHeight="1">
      <c r="A396" s="330">
        <f>IFERROR(__xludf.DUMMYFUNCTION("""COMPUTED_VALUE"""),46115.0)</f>
        <v>46115</v>
      </c>
      <c r="B396" s="319" t="str">
        <f>IFERROR(__xludf.DUMMYFUNCTION("""COMPUTED_VALUE"""),"E. 40-99")</f>
        <v>E. 40-99</v>
      </c>
      <c r="C396" s="320">
        <f>IFERROR(__xludf.DUMMYFUNCTION("""COMPUTED_VALUE"""),5760.0)</f>
        <v>5760</v>
      </c>
      <c r="D396" s="320">
        <f>IFERROR(__xludf.DUMMYFUNCTION("""COMPUTED_VALUE"""),5.68)</f>
        <v>5.68</v>
      </c>
      <c r="E396" s="320">
        <f>IFERROR(__xludf.DUMMYFUNCTION("""COMPUTED_VALUE"""),0.0)</f>
        <v>0</v>
      </c>
      <c r="F396" s="320">
        <f>IFERROR(__xludf.DUMMYFUNCTION("""COMPUTED_VALUE"""),0.0)</f>
        <v>0</v>
      </c>
      <c r="G396" s="320">
        <f>IFERROR(__xludf.DUMMYFUNCTION("""COMPUTED_VALUE"""),0.0)</f>
        <v>0</v>
      </c>
      <c r="H396" s="106"/>
      <c r="I396" s="320">
        <f>IFERROR(__xludf.DUMMYFUNCTION("""COMPUTED_VALUE"""),135.92)</f>
        <v>135.92</v>
      </c>
      <c r="J396" s="320">
        <f>IFERROR(__xludf.DUMMYFUNCTION("""COMPUTED_VALUE"""),73.61)</f>
        <v>73.61</v>
      </c>
      <c r="K396" s="320">
        <f>IFERROR(__xludf.DUMMYFUNCTION("""COMPUTED_VALUE"""),55.49)</f>
        <v>55.49</v>
      </c>
      <c r="L396" s="320">
        <f>IFERROR(__xludf.DUMMYFUNCTION("""COMPUTED_VALUE"""),0.7539)</f>
        <v>0.7539</v>
      </c>
      <c r="M396" s="320">
        <f>IFERROR(__xludf.DUMMYFUNCTION("""COMPUTED_VALUE"""),0.4217)</f>
        <v>0.4217</v>
      </c>
      <c r="N396" s="320">
        <f>IFERROR(__xludf.DUMMYFUNCTION("""COMPUTED_VALUE"""),0.2935)</f>
        <v>0.2935</v>
      </c>
      <c r="O396" s="320">
        <f>IFERROR(__xludf.DUMMYFUNCTION("""COMPUTED_VALUE"""),1.3265)</f>
        <v>1.3265</v>
      </c>
      <c r="P396" s="320">
        <f>IFERROR(__xludf.DUMMYFUNCTION("""COMPUTED_VALUE"""),262.95)</f>
        <v>262.95</v>
      </c>
      <c r="Q396" s="320">
        <f>IFERROR(__xludf.DUMMYFUNCTION("""COMPUTED_VALUE"""),167.09)</f>
        <v>167.09</v>
      </c>
      <c r="R396" s="320">
        <f>IFERROR(__xludf.DUMMYFUNCTION("""COMPUTED_VALUE"""),95.86)</f>
        <v>95.86</v>
      </c>
      <c r="S396" s="320">
        <f>IFERROR(__xludf.DUMMYFUNCTION("""COMPUTED_VALUE"""),0.0)</f>
        <v>0</v>
      </c>
      <c r="T396" s="320">
        <f>IFERROR(__xludf.DUMMYFUNCTION("""COMPUTED_VALUE"""),262.95)</f>
        <v>262.95</v>
      </c>
      <c r="U396" s="320">
        <f>IFERROR(__xludf.DUMMYFUNCTION("""COMPUTED_VALUE"""),322.41)</f>
        <v>322.41</v>
      </c>
      <c r="V396" s="320">
        <f>IFERROR(__xludf.DUMMYFUNCTION("""COMPUTED_VALUE"""),4.3802)</f>
        <v>4.3802</v>
      </c>
      <c r="W396" s="320">
        <f>IFERROR(__xludf.DUMMYFUNCTION("""COMPUTED_VALUE"""),0.0)</f>
        <v>0</v>
      </c>
      <c r="X396" s="320">
        <f>IFERROR(__xludf.DUMMYFUNCTION("""COMPUTED_VALUE"""),232.0)</f>
        <v>232</v>
      </c>
      <c r="Y396" s="320">
        <f>IFERROR(__xludf.DUMMYFUNCTION("""COMPUTED_VALUE"""),2101.0)</f>
        <v>2101</v>
      </c>
      <c r="Z396" s="320">
        <f>IFERROR(__xludf.DUMMYFUNCTION("""COMPUTED_VALUE"""),8567.0)</f>
        <v>8567</v>
      </c>
      <c r="AA396" s="320">
        <f>IFERROR(__xludf.DUMMYFUNCTION("""COMPUTED_VALUE"""),59.2328)</f>
        <v>59.2328</v>
      </c>
      <c r="AB396" s="320">
        <f>IFERROR(__xludf.DUMMYFUNCTION("""COMPUTED_VALUE"""),0.827)</f>
        <v>0.827</v>
      </c>
      <c r="AC396" s="320">
        <f>IFERROR(__xludf.DUMMYFUNCTION("""COMPUTED_VALUE"""),36.15)</f>
        <v>36.15</v>
      </c>
      <c r="AD396" s="320">
        <f>IFERROR(__xludf.DUMMYFUNCTION("""COMPUTED_VALUE"""),15.0)</f>
        <v>15</v>
      </c>
      <c r="AE396" s="320">
        <f>IFERROR(__xludf.DUMMYFUNCTION("""COMPUTED_VALUE"""),28.0)</f>
        <v>28</v>
      </c>
      <c r="AF396" s="320">
        <f>IFERROR(__xludf.DUMMYFUNCTION("""COMPUTED_VALUE"""),48.0)</f>
        <v>48</v>
      </c>
      <c r="AG396" s="320">
        <f>IFERROR(__xludf.DUMMYFUNCTION("""COMPUTED_VALUE"""),77.0)</f>
        <v>77</v>
      </c>
      <c r="AH396" s="320">
        <f>IFERROR(__xludf.DUMMYFUNCTION("""COMPUTED_VALUE"""),50.35)</f>
        <v>50.35</v>
      </c>
      <c r="AI396" s="320">
        <f>IFERROR(__xludf.DUMMYFUNCTION("""COMPUTED_VALUE"""),17.15)</f>
        <v>17.15</v>
      </c>
      <c r="AJ396" s="320">
        <f>IFERROR(__xludf.DUMMYFUNCTION("""COMPUTED_VALUE"""),4.6)</f>
        <v>4.6</v>
      </c>
      <c r="AK396" s="320">
        <f>IFERROR(__xludf.DUMMYFUNCTION("""COMPUTED_VALUE"""),0.1418)</f>
        <v>0.1418</v>
      </c>
      <c r="AL396" s="320">
        <f>IFERROR(__xludf.DUMMYFUNCTION("""COMPUTED_VALUE"""),22.33)</f>
        <v>22.33</v>
      </c>
      <c r="AM396" s="320">
        <f>IFERROR(__xludf.DUMMYFUNCTION("""COMPUTED_VALUE"""),144.76)</f>
        <v>144.76</v>
      </c>
      <c r="AN396" s="320">
        <f>IFERROR(__xludf.DUMMYFUNCTION("""COMPUTED_VALUE"""),83.16)</f>
        <v>83.16</v>
      </c>
      <c r="AO396" s="320">
        <f>IFERROR(__xludf.DUMMYFUNCTION("""COMPUTED_VALUE"""),18.57)</f>
        <v>18.57</v>
      </c>
    </row>
    <row r="397" ht="15.75" customHeight="1">
      <c r="A397" s="330">
        <f>IFERROR(__xludf.DUMMYFUNCTION("""COMPUTED_VALUE"""),46115.0)</f>
        <v>46115</v>
      </c>
      <c r="B397" s="319" t="str">
        <f>IFERROR(__xludf.DUMMYFUNCTION("""COMPUTED_VALUE"""),"F. 100+")</f>
        <v>F. 100+</v>
      </c>
      <c r="C397" s="320">
        <f>IFERROR(__xludf.DUMMYFUNCTION("""COMPUTED_VALUE"""),652.0)</f>
        <v>652</v>
      </c>
      <c r="D397" s="320">
        <f>IFERROR(__xludf.DUMMYFUNCTION("""COMPUTED_VALUE"""),0.64)</f>
        <v>0.64</v>
      </c>
      <c r="E397" s="320">
        <f>IFERROR(__xludf.DUMMYFUNCTION("""COMPUTED_VALUE"""),0.0)</f>
        <v>0</v>
      </c>
      <c r="F397" s="320">
        <f>IFERROR(__xludf.DUMMYFUNCTION("""COMPUTED_VALUE"""),0.0)</f>
        <v>0</v>
      </c>
      <c r="G397" s="320">
        <f>IFERROR(__xludf.DUMMYFUNCTION("""COMPUTED_VALUE"""),0.0)</f>
        <v>0</v>
      </c>
      <c r="H397" s="106"/>
      <c r="I397" s="320">
        <f>IFERROR(__xludf.DUMMYFUNCTION("""COMPUTED_VALUE"""),241.05)</f>
        <v>241.05</v>
      </c>
      <c r="J397" s="320">
        <f>IFERROR(__xludf.DUMMYFUNCTION("""COMPUTED_VALUE"""),139.64)</f>
        <v>139.64</v>
      </c>
      <c r="K397" s="320">
        <f>IFERROR(__xludf.DUMMYFUNCTION("""COMPUTED_VALUE"""),118.14)</f>
        <v>118.14</v>
      </c>
      <c r="L397" s="320">
        <f>IFERROR(__xludf.DUMMYFUNCTION("""COMPUTED_VALUE"""),0.8461)</f>
        <v>0.8461</v>
      </c>
      <c r="M397" s="320">
        <f>IFERROR(__xludf.DUMMYFUNCTION("""COMPUTED_VALUE"""),0.308)</f>
        <v>0.308</v>
      </c>
      <c r="N397" s="320">
        <f>IFERROR(__xludf.DUMMYFUNCTION("""COMPUTED_VALUE"""),0.2251)</f>
        <v>0.2251</v>
      </c>
      <c r="O397" s="320">
        <f>IFERROR(__xludf.DUMMYFUNCTION("""COMPUTED_VALUE"""),1.1819)</f>
        <v>1.1819</v>
      </c>
      <c r="P397" s="320">
        <f>IFERROR(__xludf.DUMMYFUNCTION("""COMPUTED_VALUE"""),476.97)</f>
        <v>476.97</v>
      </c>
      <c r="Q397" s="320">
        <f>IFERROR(__xludf.DUMMYFUNCTION("""COMPUTED_VALUE"""),269.94)</f>
        <v>269.94</v>
      </c>
      <c r="R397" s="320">
        <f>IFERROR(__xludf.DUMMYFUNCTION("""COMPUTED_VALUE"""),207.03)</f>
        <v>207.03</v>
      </c>
      <c r="S397" s="320">
        <f>IFERROR(__xludf.DUMMYFUNCTION("""COMPUTED_VALUE"""),0.0)</f>
        <v>0</v>
      </c>
      <c r="T397" s="320">
        <f>IFERROR(__xludf.DUMMYFUNCTION("""COMPUTED_VALUE"""),476.97)</f>
        <v>476.97</v>
      </c>
      <c r="U397" s="320">
        <f>IFERROR(__xludf.DUMMYFUNCTION("""COMPUTED_VALUE"""),729.52)</f>
        <v>729.52</v>
      </c>
      <c r="V397" s="320">
        <f>IFERROR(__xludf.DUMMYFUNCTION("""COMPUTED_VALUE"""),5.2245)</f>
        <v>5.2245</v>
      </c>
      <c r="W397" s="320">
        <f>IFERROR(__xludf.DUMMYFUNCTION("""COMPUTED_VALUE"""),0.0)</f>
        <v>0</v>
      </c>
      <c r="X397" s="320">
        <f>IFERROR(__xludf.DUMMYFUNCTION("""COMPUTED_VALUE"""),661.0)</f>
        <v>661</v>
      </c>
      <c r="Y397" s="320">
        <f>IFERROR(__xludf.DUMMYFUNCTION("""COMPUTED_VALUE"""),4110.0)</f>
        <v>4110</v>
      </c>
      <c r="Z397" s="320">
        <f>IFERROR(__xludf.DUMMYFUNCTION("""COMPUTED_VALUE"""),11840.0)</f>
        <v>11840</v>
      </c>
      <c r="AA397" s="320">
        <f>IFERROR(__xludf.DUMMYFUNCTION("""COMPUTED_VALUE"""),62.3233)</f>
        <v>62.3233</v>
      </c>
      <c r="AB397" s="320">
        <f>IFERROR(__xludf.DUMMYFUNCTION("""COMPUTED_VALUE"""),0.8807)</f>
        <v>0.8807</v>
      </c>
      <c r="AC397" s="320">
        <f>IFERROR(__xludf.DUMMYFUNCTION("""COMPUTED_VALUE"""),78.38)</f>
        <v>78.38</v>
      </c>
      <c r="AD397" s="320">
        <f>IFERROR(__xludf.DUMMYFUNCTION("""COMPUTED_VALUE"""),30.0)</f>
        <v>30</v>
      </c>
      <c r="AE397" s="320">
        <f>IFERROR(__xludf.DUMMYFUNCTION("""COMPUTED_VALUE"""),64.0)</f>
        <v>64</v>
      </c>
      <c r="AF397" s="320">
        <f>IFERROR(__xludf.DUMMYFUNCTION("""COMPUTED_VALUE"""),116.0)</f>
        <v>116</v>
      </c>
      <c r="AG397" s="320">
        <f>IFERROR(__xludf.DUMMYFUNCTION("""COMPUTED_VALUE"""),161.0)</f>
        <v>161</v>
      </c>
      <c r="AH397" s="320">
        <f>IFERROR(__xludf.DUMMYFUNCTION("""COMPUTED_VALUE"""),40.34)</f>
        <v>40.34</v>
      </c>
      <c r="AI397" s="320">
        <f>IFERROR(__xludf.DUMMYFUNCTION("""COMPUTED_VALUE"""),6.9)</f>
        <v>6.9</v>
      </c>
      <c r="AJ397" s="320">
        <f>IFERROR(__xludf.DUMMYFUNCTION("""COMPUTED_VALUE"""),0.61)</f>
        <v>0.61</v>
      </c>
      <c r="AK397" s="320">
        <f>IFERROR(__xludf.DUMMYFUNCTION("""COMPUTED_VALUE"""),0.0767)</f>
        <v>0.0767</v>
      </c>
      <c r="AL397" s="320">
        <f>IFERROR(__xludf.DUMMYFUNCTION("""COMPUTED_VALUE"""),25.87)</f>
        <v>25.87</v>
      </c>
      <c r="AM397" s="320">
        <f>IFERROR(__xludf.DUMMYFUNCTION("""COMPUTED_VALUE"""),244.07)</f>
        <v>244.07</v>
      </c>
      <c r="AN397" s="320">
        <f>IFERROR(__xludf.DUMMYFUNCTION("""COMPUTED_VALUE"""),86.22)</f>
        <v>86.22</v>
      </c>
      <c r="AO397" s="320">
        <f>IFERROR(__xludf.DUMMYFUNCTION("""COMPUTED_VALUE"""),22.31)</f>
        <v>22.31</v>
      </c>
    </row>
    <row r="398" ht="15.75" customHeight="1">
      <c r="A398" s="330">
        <f>IFERROR(__xludf.DUMMYFUNCTION("""COMPUTED_VALUE"""),46116.0)</f>
        <v>46116</v>
      </c>
      <c r="B398" s="319" t="str">
        <f>IFERROR(__xludf.DUMMYFUNCTION("""COMPUTED_VALUE"""),"A. 0")</f>
        <v>A. 0</v>
      </c>
      <c r="C398" s="320">
        <f>IFERROR(__xludf.DUMMYFUNCTION("""COMPUTED_VALUE"""),18793.0)</f>
        <v>18793</v>
      </c>
      <c r="D398" s="320">
        <f>IFERROR(__xludf.DUMMYFUNCTION("""COMPUTED_VALUE"""),18.68)</f>
        <v>18.68</v>
      </c>
      <c r="E398" s="320">
        <f>IFERROR(__xludf.DUMMYFUNCTION("""COMPUTED_VALUE"""),0.0)</f>
        <v>0</v>
      </c>
      <c r="F398" s="320">
        <f>IFERROR(__xludf.DUMMYFUNCTION("""COMPUTED_VALUE"""),0.0)</f>
        <v>0</v>
      </c>
      <c r="G398" s="320">
        <f>IFERROR(__xludf.DUMMYFUNCTION("""COMPUTED_VALUE"""),0.0)</f>
        <v>0</v>
      </c>
      <c r="H398" s="106"/>
      <c r="I398" s="320">
        <f>IFERROR(__xludf.DUMMYFUNCTION("""COMPUTED_VALUE"""),5.88)</f>
        <v>5.88</v>
      </c>
      <c r="J398" s="320">
        <f>IFERROR(__xludf.DUMMYFUNCTION("""COMPUTED_VALUE"""),2.39)</f>
        <v>2.39</v>
      </c>
      <c r="K398" s="320">
        <f>IFERROR(__xludf.DUMMYFUNCTION("""COMPUTED_VALUE"""),0.03)</f>
        <v>0.03</v>
      </c>
      <c r="L398" s="320">
        <f>IFERROR(__xludf.DUMMYFUNCTION("""COMPUTED_VALUE"""),0.0125)</f>
        <v>0.0125</v>
      </c>
      <c r="M398" s="320">
        <f>IFERROR(__xludf.DUMMYFUNCTION("""COMPUTED_VALUE"""),0.9896)</f>
        <v>0.9896</v>
      </c>
      <c r="N398" s="320">
        <f>IFERROR(__xludf.DUMMYFUNCTION("""COMPUTED_VALUE"""),0.8802)</f>
        <v>0.8802</v>
      </c>
      <c r="O398" s="320">
        <f>IFERROR(__xludf.DUMMYFUNCTION("""COMPUTED_VALUE"""),79.8668)</f>
        <v>79.8668</v>
      </c>
      <c r="P398" s="320">
        <f>IFERROR(__xludf.DUMMYFUNCTION("""COMPUTED_VALUE"""),25.38)</f>
        <v>25.38</v>
      </c>
      <c r="Q398" s="320">
        <f>IFERROR(__xludf.DUMMYFUNCTION("""COMPUTED_VALUE"""),25.28)</f>
        <v>25.28</v>
      </c>
      <c r="R398" s="320">
        <f>IFERROR(__xludf.DUMMYFUNCTION("""COMPUTED_VALUE"""),0.1)</f>
        <v>0.1</v>
      </c>
      <c r="S398" s="320">
        <f>IFERROR(__xludf.DUMMYFUNCTION("""COMPUTED_VALUE"""),0.0)</f>
        <v>0</v>
      </c>
      <c r="T398" s="320">
        <f>IFERROR(__xludf.DUMMYFUNCTION("""COMPUTED_VALUE"""),25.38)</f>
        <v>25.38</v>
      </c>
      <c r="U398" s="320">
        <f>IFERROR(__xludf.DUMMYFUNCTION("""COMPUTED_VALUE"""),2.29)</f>
        <v>2.29</v>
      </c>
      <c r="V398" s="320">
        <f>IFERROR(__xludf.DUMMYFUNCTION("""COMPUTED_VALUE"""),0.9563)</f>
        <v>0.9563</v>
      </c>
      <c r="W398" s="320">
        <f>IFERROR(__xludf.DUMMYFUNCTION("""COMPUTED_VALUE"""),0.0)</f>
        <v>0</v>
      </c>
      <c r="X398" s="320">
        <f>IFERROR(__xludf.DUMMYFUNCTION("""COMPUTED_VALUE"""),339.0)</f>
        <v>339</v>
      </c>
      <c r="Y398" s="320">
        <f>IFERROR(__xludf.DUMMYFUNCTION("""COMPUTED_VALUE"""),3859.0)</f>
        <v>3859</v>
      </c>
      <c r="Z398" s="320">
        <f>IFERROR(__xludf.DUMMYFUNCTION("""COMPUTED_VALUE"""),14623.0)</f>
        <v>14623</v>
      </c>
      <c r="AA398" s="320">
        <f>IFERROR(__xludf.DUMMYFUNCTION("""COMPUTED_VALUE"""),48.8774)</f>
        <v>48.8774</v>
      </c>
      <c r="AB398" s="320">
        <f>IFERROR(__xludf.DUMMYFUNCTION("""COMPUTED_VALUE"""),0.5423)</f>
        <v>0.5423</v>
      </c>
      <c r="AC398" s="106"/>
      <c r="AD398" s="106"/>
      <c r="AE398" s="106"/>
      <c r="AF398" s="106"/>
      <c r="AG398" s="106"/>
      <c r="AH398" s="320">
        <f>IFERROR(__xludf.DUMMYFUNCTION("""COMPUTED_VALUE"""),0.0)</f>
        <v>0</v>
      </c>
      <c r="AI398" s="320">
        <f>IFERROR(__xludf.DUMMYFUNCTION("""COMPUTED_VALUE"""),0.0)</f>
        <v>0</v>
      </c>
      <c r="AJ398" s="320">
        <f>IFERROR(__xludf.DUMMYFUNCTION("""COMPUTED_VALUE"""),0.0)</f>
        <v>0</v>
      </c>
      <c r="AK398" s="320">
        <f>IFERROR(__xludf.DUMMYFUNCTION("""COMPUTED_VALUE"""),0.2939)</f>
        <v>0.2939</v>
      </c>
      <c r="AL398" s="320">
        <f>IFERROR(__xludf.DUMMYFUNCTION("""COMPUTED_VALUE"""),18.28)</f>
        <v>18.28</v>
      </c>
      <c r="AM398" s="320">
        <f>IFERROR(__xludf.DUMMYFUNCTION("""COMPUTED_VALUE"""),7.0)</f>
        <v>7</v>
      </c>
      <c r="AN398" s="331"/>
      <c r="AO398" s="331"/>
    </row>
    <row r="399" ht="15.75" customHeight="1">
      <c r="A399" s="330">
        <f>IFERROR(__xludf.DUMMYFUNCTION("""COMPUTED_VALUE"""),46116.0)</f>
        <v>46116</v>
      </c>
      <c r="B399" s="319" t="str">
        <f>IFERROR(__xludf.DUMMYFUNCTION("""COMPUTED_VALUE"""),"B. 1-9")</f>
        <v>B. 1-9</v>
      </c>
      <c r="C399" s="320">
        <f>IFERROR(__xludf.DUMMYFUNCTION("""COMPUTED_VALUE"""),35387.0)</f>
        <v>35387</v>
      </c>
      <c r="D399" s="320">
        <f>IFERROR(__xludf.DUMMYFUNCTION("""COMPUTED_VALUE"""),35.17)</f>
        <v>35.17</v>
      </c>
      <c r="E399" s="320">
        <f>IFERROR(__xludf.DUMMYFUNCTION("""COMPUTED_VALUE"""),0.0)</f>
        <v>0</v>
      </c>
      <c r="F399" s="320">
        <f>IFERROR(__xludf.DUMMYFUNCTION("""COMPUTED_VALUE"""),0.0)</f>
        <v>0</v>
      </c>
      <c r="G399" s="320">
        <f>IFERROR(__xludf.DUMMYFUNCTION("""COMPUTED_VALUE"""),0.0)</f>
        <v>0</v>
      </c>
      <c r="H399" s="106"/>
      <c r="I399" s="320">
        <f>IFERROR(__xludf.DUMMYFUNCTION("""COMPUTED_VALUE"""),29.5)</f>
        <v>29.5</v>
      </c>
      <c r="J399" s="320">
        <f>IFERROR(__xludf.DUMMYFUNCTION("""COMPUTED_VALUE"""),13.43)</f>
        <v>13.43</v>
      </c>
      <c r="K399" s="320">
        <f>IFERROR(__xludf.DUMMYFUNCTION("""COMPUTED_VALUE"""),5.78)</f>
        <v>5.78</v>
      </c>
      <c r="L399" s="320">
        <f>IFERROR(__xludf.DUMMYFUNCTION("""COMPUTED_VALUE"""),0.4302)</f>
        <v>0.4302</v>
      </c>
      <c r="M399" s="320">
        <f>IFERROR(__xludf.DUMMYFUNCTION("""COMPUTED_VALUE"""),0.7421)</f>
        <v>0.7421</v>
      </c>
      <c r="N399" s="320">
        <f>IFERROR(__xludf.DUMMYFUNCTION("""COMPUTED_VALUE"""),0.5452)</f>
        <v>0.5452</v>
      </c>
      <c r="O399" s="320">
        <f>IFERROR(__xludf.DUMMYFUNCTION("""COMPUTED_VALUE"""),2.3243)</f>
        <v>2.3243</v>
      </c>
      <c r="P399" s="320">
        <f>IFERROR(__xludf.DUMMYFUNCTION("""COMPUTED_VALUE"""),52.05)</f>
        <v>52.05</v>
      </c>
      <c r="Q399" s="320">
        <f>IFERROR(__xludf.DUMMYFUNCTION("""COMPUTED_VALUE"""),42.42)</f>
        <v>42.42</v>
      </c>
      <c r="R399" s="320">
        <f>IFERROR(__xludf.DUMMYFUNCTION("""COMPUTED_VALUE"""),9.63)</f>
        <v>9.63</v>
      </c>
      <c r="S399" s="320">
        <f>IFERROR(__xludf.DUMMYFUNCTION("""COMPUTED_VALUE"""),0.0)</f>
        <v>0</v>
      </c>
      <c r="T399" s="320">
        <f>IFERROR(__xludf.DUMMYFUNCTION("""COMPUTED_VALUE"""),52.05)</f>
        <v>52.05</v>
      </c>
      <c r="U399" s="320">
        <f>IFERROR(__xludf.DUMMYFUNCTION("""COMPUTED_VALUE"""),53.19)</f>
        <v>53.19</v>
      </c>
      <c r="V399" s="320">
        <f>IFERROR(__xludf.DUMMYFUNCTION("""COMPUTED_VALUE"""),3.9613)</f>
        <v>3.9613</v>
      </c>
      <c r="W399" s="320">
        <f>IFERROR(__xludf.DUMMYFUNCTION("""COMPUTED_VALUE"""),0.0)</f>
        <v>0</v>
      </c>
      <c r="X399" s="320">
        <f>IFERROR(__xludf.DUMMYFUNCTION("""COMPUTED_VALUE"""),147.0)</f>
        <v>147</v>
      </c>
      <c r="Y399" s="320">
        <f>IFERROR(__xludf.DUMMYFUNCTION("""COMPUTED_VALUE"""),910.0)</f>
        <v>910</v>
      </c>
      <c r="Z399" s="320">
        <f>IFERROR(__xludf.DUMMYFUNCTION("""COMPUTED_VALUE"""),5932.0)</f>
        <v>5932</v>
      </c>
      <c r="AA399" s="320">
        <f>IFERROR(__xludf.DUMMYFUNCTION("""COMPUTED_VALUE"""),48.7697)</f>
        <v>48.7697</v>
      </c>
      <c r="AB399" s="320">
        <f>IFERROR(__xludf.DUMMYFUNCTION("""COMPUTED_VALUE"""),0.5434)</f>
        <v>0.5434</v>
      </c>
      <c r="AC399" s="320">
        <f>IFERROR(__xludf.DUMMYFUNCTION("""COMPUTED_VALUE"""),4.1)</f>
        <v>4.1</v>
      </c>
      <c r="AD399" s="320">
        <f>IFERROR(__xludf.DUMMYFUNCTION("""COMPUTED_VALUE"""),1.0)</f>
        <v>1</v>
      </c>
      <c r="AE399" s="320">
        <f>IFERROR(__xludf.DUMMYFUNCTION("""COMPUTED_VALUE"""),3.0)</f>
        <v>3</v>
      </c>
      <c r="AF399" s="320">
        <f>IFERROR(__xludf.DUMMYFUNCTION("""COMPUTED_VALUE"""),5.0)</f>
        <v>5</v>
      </c>
      <c r="AG399" s="320">
        <f>IFERROR(__xludf.DUMMYFUNCTION("""COMPUTED_VALUE"""),9.0)</f>
        <v>9</v>
      </c>
      <c r="AH399" s="320">
        <f>IFERROR(__xludf.DUMMYFUNCTION("""COMPUTED_VALUE"""),73.66)</f>
        <v>73.66</v>
      </c>
      <c r="AI399" s="320">
        <f>IFERROR(__xludf.DUMMYFUNCTION("""COMPUTED_VALUE"""),32.04)</f>
        <v>32.04</v>
      </c>
      <c r="AJ399" s="320">
        <f>IFERROR(__xludf.DUMMYFUNCTION("""COMPUTED_VALUE"""),9.25)</f>
        <v>9.25</v>
      </c>
      <c r="AK399" s="320">
        <f>IFERROR(__xludf.DUMMYFUNCTION("""COMPUTED_VALUE"""),0.2601)</f>
        <v>0.2601</v>
      </c>
      <c r="AL399" s="320">
        <f>IFERROR(__xludf.DUMMYFUNCTION("""COMPUTED_VALUE"""),21.94)</f>
        <v>21.94</v>
      </c>
      <c r="AM399" s="320">
        <f>IFERROR(__xludf.DUMMYFUNCTION("""COMPUTED_VALUE"""),20.48)</f>
        <v>20.48</v>
      </c>
      <c r="AN399" s="320">
        <f>IFERROR(__xludf.DUMMYFUNCTION("""COMPUTED_VALUE"""),65.46)</f>
        <v>65.46</v>
      </c>
      <c r="AO399" s="320">
        <f>IFERROR(__xludf.DUMMYFUNCTION("""COMPUTED_VALUE"""),14.36)</f>
        <v>14.36</v>
      </c>
    </row>
    <row r="400" ht="15.75" customHeight="1">
      <c r="A400" s="330">
        <f>IFERROR(__xludf.DUMMYFUNCTION("""COMPUTED_VALUE"""),46116.0)</f>
        <v>46116</v>
      </c>
      <c r="B400" s="319" t="str">
        <f>IFERROR(__xludf.DUMMYFUNCTION("""COMPUTED_VALUE"""),"C. 10-19")</f>
        <v>C. 10-19</v>
      </c>
      <c r="C400" s="320">
        <f>IFERROR(__xludf.DUMMYFUNCTION("""COMPUTED_VALUE"""),25906.0)</f>
        <v>25906</v>
      </c>
      <c r="D400" s="320">
        <f>IFERROR(__xludf.DUMMYFUNCTION("""COMPUTED_VALUE"""),25.75)</f>
        <v>25.75</v>
      </c>
      <c r="E400" s="320">
        <f>IFERROR(__xludf.DUMMYFUNCTION("""COMPUTED_VALUE"""),0.0)</f>
        <v>0</v>
      </c>
      <c r="F400" s="320">
        <f>IFERROR(__xludf.DUMMYFUNCTION("""COMPUTED_VALUE"""),0.0)</f>
        <v>0</v>
      </c>
      <c r="G400" s="320">
        <f>IFERROR(__xludf.DUMMYFUNCTION("""COMPUTED_VALUE"""),0.0)</f>
        <v>0</v>
      </c>
      <c r="H400" s="106"/>
      <c r="I400" s="320">
        <f>IFERROR(__xludf.DUMMYFUNCTION("""COMPUTED_VALUE"""),53.73)</f>
        <v>53.73</v>
      </c>
      <c r="J400" s="320">
        <f>IFERROR(__xludf.DUMMYFUNCTION("""COMPUTED_VALUE"""),25.55)</f>
        <v>25.55</v>
      </c>
      <c r="K400" s="320">
        <f>IFERROR(__xludf.DUMMYFUNCTION("""COMPUTED_VALUE"""),13.71)</f>
        <v>13.71</v>
      </c>
      <c r="L400" s="320">
        <f>IFERROR(__xludf.DUMMYFUNCTION("""COMPUTED_VALUE"""),0.5366)</f>
        <v>0.5366</v>
      </c>
      <c r="M400" s="320">
        <f>IFERROR(__xludf.DUMMYFUNCTION("""COMPUTED_VALUE"""),0.6559)</f>
        <v>0.6559</v>
      </c>
      <c r="N400" s="320">
        <f>IFERROR(__xludf.DUMMYFUNCTION("""COMPUTED_VALUE"""),0.4604)</f>
        <v>0.4604</v>
      </c>
      <c r="O400" s="320">
        <f>IFERROR(__xludf.DUMMYFUNCTION("""COMPUTED_VALUE"""),1.8637)</f>
        <v>1.8637</v>
      </c>
      <c r="P400" s="320">
        <f>IFERROR(__xludf.DUMMYFUNCTION("""COMPUTED_VALUE"""),90.46)</f>
        <v>90.46</v>
      </c>
      <c r="Q400" s="320">
        <f>IFERROR(__xludf.DUMMYFUNCTION("""COMPUTED_VALUE"""),67.25)</f>
        <v>67.25</v>
      </c>
      <c r="R400" s="320">
        <f>IFERROR(__xludf.DUMMYFUNCTION("""COMPUTED_VALUE"""),23.21)</f>
        <v>23.21</v>
      </c>
      <c r="S400" s="320">
        <f>IFERROR(__xludf.DUMMYFUNCTION("""COMPUTED_VALUE"""),0.11)</f>
        <v>0.11</v>
      </c>
      <c r="T400" s="320">
        <f>IFERROR(__xludf.DUMMYFUNCTION("""COMPUTED_VALUE"""),90.35)</f>
        <v>90.35</v>
      </c>
      <c r="U400" s="320">
        <f>IFERROR(__xludf.DUMMYFUNCTION("""COMPUTED_VALUE"""),97.34)</f>
        <v>97.34</v>
      </c>
      <c r="V400" s="320">
        <f>IFERROR(__xludf.DUMMYFUNCTION("""COMPUTED_VALUE"""),3.8106)</f>
        <v>3.8106</v>
      </c>
      <c r="W400" s="320">
        <f>IFERROR(__xludf.DUMMYFUNCTION("""COMPUTED_VALUE"""),0.12)</f>
        <v>0.12</v>
      </c>
      <c r="X400" s="320">
        <f>IFERROR(__xludf.DUMMYFUNCTION("""COMPUTED_VALUE"""),122.0)</f>
        <v>122</v>
      </c>
      <c r="Y400" s="320">
        <f>IFERROR(__xludf.DUMMYFUNCTION("""COMPUTED_VALUE"""),682.0)</f>
        <v>682</v>
      </c>
      <c r="Z400" s="320">
        <f>IFERROR(__xludf.DUMMYFUNCTION("""COMPUTED_VALUE"""),5466.0)</f>
        <v>5466</v>
      </c>
      <c r="AA400" s="320">
        <f>IFERROR(__xludf.DUMMYFUNCTION("""COMPUTED_VALUE"""),52.136)</f>
        <v>52.136</v>
      </c>
      <c r="AB400" s="320">
        <f>IFERROR(__xludf.DUMMYFUNCTION("""COMPUTED_VALUE"""),0.6382)</f>
        <v>0.6382</v>
      </c>
      <c r="AC400" s="320">
        <f>IFERROR(__xludf.DUMMYFUNCTION("""COMPUTED_VALUE"""),9.29)</f>
        <v>9.29</v>
      </c>
      <c r="AD400" s="320">
        <f>IFERROR(__xludf.DUMMYFUNCTION("""COMPUTED_VALUE"""),4.0)</f>
        <v>4</v>
      </c>
      <c r="AE400" s="320">
        <f>IFERROR(__xludf.DUMMYFUNCTION("""COMPUTED_VALUE"""),7.0)</f>
        <v>7</v>
      </c>
      <c r="AF400" s="320">
        <f>IFERROR(__xludf.DUMMYFUNCTION("""COMPUTED_VALUE"""),13.0)</f>
        <v>13</v>
      </c>
      <c r="AG400" s="320">
        <f>IFERROR(__xludf.DUMMYFUNCTION("""COMPUTED_VALUE"""),19.0)</f>
        <v>19</v>
      </c>
      <c r="AH400" s="320">
        <f>IFERROR(__xludf.DUMMYFUNCTION("""COMPUTED_VALUE"""),60.41)</f>
        <v>60.41</v>
      </c>
      <c r="AI400" s="320">
        <f>IFERROR(__xludf.DUMMYFUNCTION("""COMPUTED_VALUE"""),25.99)</f>
        <v>25.99</v>
      </c>
      <c r="AJ400" s="320">
        <f>IFERROR(__xludf.DUMMYFUNCTION("""COMPUTED_VALUE"""),4.13)</f>
        <v>4.13</v>
      </c>
      <c r="AK400" s="320">
        <f>IFERROR(__xludf.DUMMYFUNCTION("""COMPUTED_VALUE"""),0.2156)</f>
        <v>0.2156</v>
      </c>
      <c r="AL400" s="320">
        <f>IFERROR(__xludf.DUMMYFUNCTION("""COMPUTED_VALUE"""),22.83)</f>
        <v>22.83</v>
      </c>
      <c r="AM400" s="320">
        <f>IFERROR(__xludf.DUMMYFUNCTION("""COMPUTED_VALUE"""),44.42)</f>
        <v>44.42</v>
      </c>
      <c r="AN400" s="320">
        <f>IFERROR(__xludf.DUMMYFUNCTION("""COMPUTED_VALUE"""),74.19)</f>
        <v>74.19</v>
      </c>
      <c r="AO400" s="320">
        <f>IFERROR(__xludf.DUMMYFUNCTION("""COMPUTED_VALUE"""),16.94)</f>
        <v>16.94</v>
      </c>
    </row>
    <row r="401" ht="15.75" customHeight="1">
      <c r="A401" s="330">
        <f>IFERROR(__xludf.DUMMYFUNCTION("""COMPUTED_VALUE"""),46116.0)</f>
        <v>46116</v>
      </c>
      <c r="B401" s="319" t="str">
        <f>IFERROR(__xludf.DUMMYFUNCTION("""COMPUTED_VALUE"""),"D. 20-39")</f>
        <v>D. 20-39</v>
      </c>
      <c r="C401" s="320">
        <f>IFERROR(__xludf.DUMMYFUNCTION("""COMPUTED_VALUE"""),14178.0)</f>
        <v>14178</v>
      </c>
      <c r="D401" s="320">
        <f>IFERROR(__xludf.DUMMYFUNCTION("""COMPUTED_VALUE"""),14.09)</f>
        <v>14.09</v>
      </c>
      <c r="E401" s="320">
        <f>IFERROR(__xludf.DUMMYFUNCTION("""COMPUTED_VALUE"""),0.0)</f>
        <v>0</v>
      </c>
      <c r="F401" s="320">
        <f>IFERROR(__xludf.DUMMYFUNCTION("""COMPUTED_VALUE"""),0.0)</f>
        <v>0</v>
      </c>
      <c r="G401" s="320">
        <f>IFERROR(__xludf.DUMMYFUNCTION("""COMPUTED_VALUE"""),0.0)</f>
        <v>0</v>
      </c>
      <c r="H401" s="106"/>
      <c r="I401" s="320">
        <f>IFERROR(__xludf.DUMMYFUNCTION("""COMPUTED_VALUE"""),79.41)</f>
        <v>79.41</v>
      </c>
      <c r="J401" s="320">
        <f>IFERROR(__xludf.DUMMYFUNCTION("""COMPUTED_VALUE"""),40.11)</f>
        <v>40.11</v>
      </c>
      <c r="K401" s="320">
        <f>IFERROR(__xludf.DUMMYFUNCTION("""COMPUTED_VALUE"""),26.24)</f>
        <v>26.24</v>
      </c>
      <c r="L401" s="320">
        <f>IFERROR(__xludf.DUMMYFUNCTION("""COMPUTED_VALUE"""),0.6541)</f>
        <v>0.6541</v>
      </c>
      <c r="M401" s="320">
        <f>IFERROR(__xludf.DUMMYFUNCTION("""COMPUTED_VALUE"""),0.5379)</f>
        <v>0.5379</v>
      </c>
      <c r="N401" s="320">
        <f>IFERROR(__xludf.DUMMYFUNCTION("""COMPUTED_VALUE"""),0.3739)</f>
        <v>0.3739</v>
      </c>
      <c r="O401" s="320">
        <f>IFERROR(__xludf.DUMMYFUNCTION("""COMPUTED_VALUE"""),1.5289)</f>
        <v>1.5289</v>
      </c>
      <c r="P401" s="320">
        <f>IFERROR(__xludf.DUMMYFUNCTION("""COMPUTED_VALUE"""),154.25)</f>
        <v>154.25</v>
      </c>
      <c r="Q401" s="320">
        <f>IFERROR(__xludf.DUMMYFUNCTION("""COMPUTED_VALUE"""),109.49)</f>
        <v>109.49</v>
      </c>
      <c r="R401" s="320">
        <f>IFERROR(__xludf.DUMMYFUNCTION("""COMPUTED_VALUE"""),44.77)</f>
        <v>44.77</v>
      </c>
      <c r="S401" s="320">
        <f>IFERROR(__xludf.DUMMYFUNCTION("""COMPUTED_VALUE"""),0.11)</f>
        <v>0.11</v>
      </c>
      <c r="T401" s="320">
        <f>IFERROR(__xludf.DUMMYFUNCTION("""COMPUTED_VALUE"""),154.14)</f>
        <v>154.14</v>
      </c>
      <c r="U401" s="320">
        <f>IFERROR(__xludf.DUMMYFUNCTION("""COMPUTED_VALUE"""),166.68)</f>
        <v>166.68</v>
      </c>
      <c r="V401" s="320">
        <f>IFERROR(__xludf.DUMMYFUNCTION("""COMPUTED_VALUE"""),4.155)</f>
        <v>4.155</v>
      </c>
      <c r="W401" s="320">
        <f>IFERROR(__xludf.DUMMYFUNCTION("""COMPUTED_VALUE"""),0.07)</f>
        <v>0.07</v>
      </c>
      <c r="X401" s="320">
        <f>IFERROR(__xludf.DUMMYFUNCTION("""COMPUTED_VALUE"""),148.0)</f>
        <v>148</v>
      </c>
      <c r="Y401" s="320">
        <f>IFERROR(__xludf.DUMMYFUNCTION("""COMPUTED_VALUE"""),1016.0)</f>
        <v>1016</v>
      </c>
      <c r="Z401" s="320">
        <f>IFERROR(__xludf.DUMMYFUNCTION("""COMPUTED_VALUE"""),6692.0)</f>
        <v>6692</v>
      </c>
      <c r="AA401" s="320">
        <f>IFERROR(__xludf.DUMMYFUNCTION("""COMPUTED_VALUE"""),55.7135)</f>
        <v>55.7135</v>
      </c>
      <c r="AB401" s="320">
        <f>IFERROR(__xludf.DUMMYFUNCTION("""COMPUTED_VALUE"""),0.7375)</f>
        <v>0.7375</v>
      </c>
      <c r="AC401" s="320">
        <f>IFERROR(__xludf.DUMMYFUNCTION("""COMPUTED_VALUE"""),17.37)</f>
        <v>17.37</v>
      </c>
      <c r="AD401" s="320">
        <f>IFERROR(__xludf.DUMMYFUNCTION("""COMPUTED_VALUE"""),7.0)</f>
        <v>7</v>
      </c>
      <c r="AE401" s="320">
        <f>IFERROR(__xludf.DUMMYFUNCTION("""COMPUTED_VALUE"""),13.0)</f>
        <v>13</v>
      </c>
      <c r="AF401" s="320">
        <f>IFERROR(__xludf.DUMMYFUNCTION("""COMPUTED_VALUE"""),24.0)</f>
        <v>24</v>
      </c>
      <c r="AG401" s="320">
        <f>IFERROR(__xludf.DUMMYFUNCTION("""COMPUTED_VALUE"""),36.0)</f>
        <v>36</v>
      </c>
      <c r="AH401" s="320">
        <f>IFERROR(__xludf.DUMMYFUNCTION("""COMPUTED_VALUE"""),59.57)</f>
        <v>59.57</v>
      </c>
      <c r="AI401" s="320">
        <f>IFERROR(__xludf.DUMMYFUNCTION("""COMPUTED_VALUE"""),21.27)</f>
        <v>21.27</v>
      </c>
      <c r="AJ401" s="320">
        <f>IFERROR(__xludf.DUMMYFUNCTION("""COMPUTED_VALUE"""),6.48)</f>
        <v>6.48</v>
      </c>
      <c r="AK401" s="320">
        <f>IFERROR(__xludf.DUMMYFUNCTION("""COMPUTED_VALUE"""),0.1951)</f>
        <v>0.1951</v>
      </c>
      <c r="AL401" s="320">
        <f>IFERROR(__xludf.DUMMYFUNCTION("""COMPUTED_VALUE"""),22.77)</f>
        <v>22.77</v>
      </c>
      <c r="AM401" s="320">
        <f>IFERROR(__xludf.DUMMYFUNCTION("""COMPUTED_VALUE"""),86.72)</f>
        <v>86.72</v>
      </c>
      <c r="AN401" s="320">
        <f>IFERROR(__xludf.DUMMYFUNCTION("""COMPUTED_VALUE"""),77.49)</f>
        <v>77.49</v>
      </c>
      <c r="AO401" s="320">
        <f>IFERROR(__xludf.DUMMYFUNCTION("""COMPUTED_VALUE"""),17.64)</f>
        <v>17.64</v>
      </c>
    </row>
    <row r="402" ht="15.75" customHeight="1">
      <c r="A402" s="330">
        <f>IFERROR(__xludf.DUMMYFUNCTION("""COMPUTED_VALUE"""),46116.0)</f>
        <v>46116</v>
      </c>
      <c r="B402" s="319" t="str">
        <f>IFERROR(__xludf.DUMMYFUNCTION("""COMPUTED_VALUE"""),"E. 40-99")</f>
        <v>E. 40-99</v>
      </c>
      <c r="C402" s="320">
        <f>IFERROR(__xludf.DUMMYFUNCTION("""COMPUTED_VALUE"""),5701.0)</f>
        <v>5701</v>
      </c>
      <c r="D402" s="320">
        <f>IFERROR(__xludf.DUMMYFUNCTION("""COMPUTED_VALUE"""),5.67)</f>
        <v>5.67</v>
      </c>
      <c r="E402" s="320">
        <f>IFERROR(__xludf.DUMMYFUNCTION("""COMPUTED_VALUE"""),0.0)</f>
        <v>0</v>
      </c>
      <c r="F402" s="320">
        <f>IFERROR(__xludf.DUMMYFUNCTION("""COMPUTED_VALUE"""),0.0)</f>
        <v>0</v>
      </c>
      <c r="G402" s="320">
        <f>IFERROR(__xludf.DUMMYFUNCTION("""COMPUTED_VALUE"""),0.0)</f>
        <v>0</v>
      </c>
      <c r="H402" s="106"/>
      <c r="I402" s="320">
        <f>IFERROR(__xludf.DUMMYFUNCTION("""COMPUTED_VALUE"""),128.24)</f>
        <v>128.24</v>
      </c>
      <c r="J402" s="320">
        <f>IFERROR(__xludf.DUMMYFUNCTION("""COMPUTED_VALUE"""),69.48)</f>
        <v>69.48</v>
      </c>
      <c r="K402" s="320">
        <f>IFERROR(__xludf.DUMMYFUNCTION("""COMPUTED_VALUE"""),53.31)</f>
        <v>53.31</v>
      </c>
      <c r="L402" s="320">
        <f>IFERROR(__xludf.DUMMYFUNCTION("""COMPUTED_VALUE"""),0.7672)</f>
        <v>0.7672</v>
      </c>
      <c r="M402" s="320">
        <f>IFERROR(__xludf.DUMMYFUNCTION("""COMPUTED_VALUE"""),0.4152)</f>
        <v>0.4152</v>
      </c>
      <c r="N402" s="320">
        <f>IFERROR(__xludf.DUMMYFUNCTION("""COMPUTED_VALUE"""),0.2944)</f>
        <v>0.2944</v>
      </c>
      <c r="O402" s="320">
        <f>IFERROR(__xludf.DUMMYFUNCTION("""COMPUTED_VALUE"""),1.3034)</f>
        <v>1.3034</v>
      </c>
      <c r="P402" s="320">
        <f>IFERROR(__xludf.DUMMYFUNCTION("""COMPUTED_VALUE"""),289.08)</f>
        <v>289.08</v>
      </c>
      <c r="Q402" s="320">
        <f>IFERROR(__xludf.DUMMYFUNCTION("""COMPUTED_VALUE"""),197.33)</f>
        <v>197.33</v>
      </c>
      <c r="R402" s="320">
        <f>IFERROR(__xludf.DUMMYFUNCTION("""COMPUTED_VALUE"""),91.75)</f>
        <v>91.75</v>
      </c>
      <c r="S402" s="320">
        <f>IFERROR(__xludf.DUMMYFUNCTION("""COMPUTED_VALUE"""),0.0)</f>
        <v>0</v>
      </c>
      <c r="T402" s="320">
        <f>IFERROR(__xludf.DUMMYFUNCTION("""COMPUTED_VALUE"""),289.08)</f>
        <v>289.08</v>
      </c>
      <c r="U402" s="320">
        <f>IFERROR(__xludf.DUMMYFUNCTION("""COMPUTED_VALUE"""),315.51)</f>
        <v>315.51</v>
      </c>
      <c r="V402" s="320">
        <f>IFERROR(__xludf.DUMMYFUNCTION("""COMPUTED_VALUE"""),4.5412)</f>
        <v>4.5412</v>
      </c>
      <c r="W402" s="320">
        <f>IFERROR(__xludf.DUMMYFUNCTION("""COMPUTED_VALUE"""),0.0)</f>
        <v>0</v>
      </c>
      <c r="X402" s="320">
        <f>IFERROR(__xludf.DUMMYFUNCTION("""COMPUTED_VALUE"""),250.0)</f>
        <v>250</v>
      </c>
      <c r="Y402" s="320">
        <f>IFERROR(__xludf.DUMMYFUNCTION("""COMPUTED_VALUE"""),2096.0)</f>
        <v>2096</v>
      </c>
      <c r="Z402" s="320">
        <f>IFERROR(__xludf.DUMMYFUNCTION("""COMPUTED_VALUE"""),8723.0)</f>
        <v>8723</v>
      </c>
      <c r="AA402" s="320">
        <f>IFERROR(__xludf.DUMMYFUNCTION("""COMPUTED_VALUE"""),59.0864)</f>
        <v>59.0864</v>
      </c>
      <c r="AB402" s="320">
        <f>IFERROR(__xludf.DUMMYFUNCTION("""COMPUTED_VALUE"""),0.8189)</f>
        <v>0.8189</v>
      </c>
      <c r="AC402" s="320">
        <f>IFERROR(__xludf.DUMMYFUNCTION("""COMPUTED_VALUE"""),35.27)</f>
        <v>35.27</v>
      </c>
      <c r="AD402" s="320">
        <f>IFERROR(__xludf.DUMMYFUNCTION("""COMPUTED_VALUE"""),14.0)</f>
        <v>14</v>
      </c>
      <c r="AE402" s="320">
        <f>IFERROR(__xludf.DUMMYFUNCTION("""COMPUTED_VALUE"""),27.0)</f>
        <v>27</v>
      </c>
      <c r="AF402" s="320">
        <f>IFERROR(__xludf.DUMMYFUNCTION("""COMPUTED_VALUE"""),49.0)</f>
        <v>49</v>
      </c>
      <c r="AG402" s="320">
        <f>IFERROR(__xludf.DUMMYFUNCTION("""COMPUTED_VALUE"""),76.0)</f>
        <v>76</v>
      </c>
      <c r="AH402" s="320">
        <f>IFERROR(__xludf.DUMMYFUNCTION("""COMPUTED_VALUE"""),48.55)</f>
        <v>48.55</v>
      </c>
      <c r="AI402" s="320">
        <f>IFERROR(__xludf.DUMMYFUNCTION("""COMPUTED_VALUE"""),17.96)</f>
        <v>17.96</v>
      </c>
      <c r="AJ402" s="320">
        <f>IFERROR(__xludf.DUMMYFUNCTION("""COMPUTED_VALUE"""),3.89)</f>
        <v>3.89</v>
      </c>
      <c r="AK402" s="320">
        <f>IFERROR(__xludf.DUMMYFUNCTION("""COMPUTED_VALUE"""),0.1393)</f>
        <v>0.1393</v>
      </c>
      <c r="AL402" s="320">
        <f>IFERROR(__xludf.DUMMYFUNCTION("""COMPUTED_VALUE"""),23.6)</f>
        <v>23.6</v>
      </c>
      <c r="AM402" s="320">
        <f>IFERROR(__xludf.DUMMYFUNCTION("""COMPUTED_VALUE"""),173.73)</f>
        <v>173.73</v>
      </c>
      <c r="AN402" s="320">
        <f>IFERROR(__xludf.DUMMYFUNCTION("""COMPUTED_VALUE"""),82.86)</f>
        <v>82.86</v>
      </c>
      <c r="AO402" s="320">
        <f>IFERROR(__xludf.DUMMYFUNCTION("""COMPUTED_VALUE"""),19.55)</f>
        <v>19.55</v>
      </c>
    </row>
    <row r="403" ht="15.75" customHeight="1">
      <c r="A403" s="330">
        <f>IFERROR(__xludf.DUMMYFUNCTION("""COMPUTED_VALUE"""),46116.0)</f>
        <v>46116</v>
      </c>
      <c r="B403" s="319" t="str">
        <f>IFERROR(__xludf.DUMMYFUNCTION("""COMPUTED_VALUE"""),"F. 100+")</f>
        <v>F. 100+</v>
      </c>
      <c r="C403" s="320">
        <f>IFERROR(__xludf.DUMMYFUNCTION("""COMPUTED_VALUE"""),647.0)</f>
        <v>647</v>
      </c>
      <c r="D403" s="320">
        <f>IFERROR(__xludf.DUMMYFUNCTION("""COMPUTED_VALUE"""),0.64)</f>
        <v>0.64</v>
      </c>
      <c r="E403" s="320">
        <f>IFERROR(__xludf.DUMMYFUNCTION("""COMPUTED_VALUE"""),0.0)</f>
        <v>0</v>
      </c>
      <c r="F403" s="320">
        <f>IFERROR(__xludf.DUMMYFUNCTION("""COMPUTED_VALUE"""),0.0)</f>
        <v>0</v>
      </c>
      <c r="G403" s="320">
        <f>IFERROR(__xludf.DUMMYFUNCTION("""COMPUTED_VALUE"""),0.0)</f>
        <v>0</v>
      </c>
      <c r="H403" s="106"/>
      <c r="I403" s="320">
        <f>IFERROR(__xludf.DUMMYFUNCTION("""COMPUTED_VALUE"""),235.8)</f>
        <v>235.8</v>
      </c>
      <c r="J403" s="320">
        <f>IFERROR(__xludf.DUMMYFUNCTION("""COMPUTED_VALUE"""),138.97)</f>
        <v>138.97</v>
      </c>
      <c r="K403" s="320">
        <f>IFERROR(__xludf.DUMMYFUNCTION("""COMPUTED_VALUE"""),120.05)</f>
        <v>120.05</v>
      </c>
      <c r="L403" s="320">
        <f>IFERROR(__xludf.DUMMYFUNCTION("""COMPUTED_VALUE"""),0.8638)</f>
        <v>0.8638</v>
      </c>
      <c r="M403" s="320">
        <f>IFERROR(__xludf.DUMMYFUNCTION("""COMPUTED_VALUE"""),0.2912)</f>
        <v>0.2912</v>
      </c>
      <c r="N403" s="320">
        <f>IFERROR(__xludf.DUMMYFUNCTION("""COMPUTED_VALUE"""),0.2166)</f>
        <v>0.2166</v>
      </c>
      <c r="O403" s="320">
        <f>IFERROR(__xludf.DUMMYFUNCTION("""COMPUTED_VALUE"""),1.1576)</f>
        <v>1.1576</v>
      </c>
      <c r="P403" s="320">
        <f>IFERROR(__xludf.DUMMYFUNCTION("""COMPUTED_VALUE"""),543.49)</f>
        <v>543.49</v>
      </c>
      <c r="Q403" s="320">
        <f>IFERROR(__xludf.DUMMYFUNCTION("""COMPUTED_VALUE"""),334.98)</f>
        <v>334.98</v>
      </c>
      <c r="R403" s="320">
        <f>IFERROR(__xludf.DUMMYFUNCTION("""COMPUTED_VALUE"""),208.51)</f>
        <v>208.51</v>
      </c>
      <c r="S403" s="320">
        <f>IFERROR(__xludf.DUMMYFUNCTION("""COMPUTED_VALUE"""),0.0)</f>
        <v>0</v>
      </c>
      <c r="T403" s="320">
        <f>IFERROR(__xludf.DUMMYFUNCTION("""COMPUTED_VALUE"""),543.49)</f>
        <v>543.49</v>
      </c>
      <c r="U403" s="320">
        <f>IFERROR(__xludf.DUMMYFUNCTION("""COMPUTED_VALUE"""),684.39)</f>
        <v>684.39</v>
      </c>
      <c r="V403" s="320">
        <f>IFERROR(__xludf.DUMMYFUNCTION("""COMPUTED_VALUE"""),4.9247)</f>
        <v>4.9247</v>
      </c>
      <c r="W403" s="320">
        <f>IFERROR(__xludf.DUMMYFUNCTION("""COMPUTED_VALUE"""),0.0)</f>
        <v>0</v>
      </c>
      <c r="X403" s="320">
        <f>IFERROR(__xludf.DUMMYFUNCTION("""COMPUTED_VALUE"""),900.0)</f>
        <v>900</v>
      </c>
      <c r="Y403" s="320">
        <f>IFERROR(__xludf.DUMMYFUNCTION("""COMPUTED_VALUE"""),4874.0)</f>
        <v>4874</v>
      </c>
      <c r="Z403" s="320">
        <f>IFERROR(__xludf.DUMMYFUNCTION("""COMPUTED_VALUE"""),13081.0)</f>
        <v>13081</v>
      </c>
      <c r="AA403" s="320">
        <f>IFERROR(__xludf.DUMMYFUNCTION("""COMPUTED_VALUE"""),62.5587)</f>
        <v>62.5587</v>
      </c>
      <c r="AB403" s="320">
        <f>IFERROR(__xludf.DUMMYFUNCTION("""COMPUTED_VALUE"""),0.8909)</f>
        <v>0.8909</v>
      </c>
      <c r="AC403" s="320">
        <f>IFERROR(__xludf.DUMMYFUNCTION("""COMPUTED_VALUE"""),81.76)</f>
        <v>81.76</v>
      </c>
      <c r="AD403" s="320">
        <f>IFERROR(__xludf.DUMMYFUNCTION("""COMPUTED_VALUE"""),32.0)</f>
        <v>32</v>
      </c>
      <c r="AE403" s="320">
        <f>IFERROR(__xludf.DUMMYFUNCTION("""COMPUTED_VALUE"""),67.0)</f>
        <v>67</v>
      </c>
      <c r="AF403" s="320">
        <f>IFERROR(__xludf.DUMMYFUNCTION("""COMPUTED_VALUE"""),115.0)</f>
        <v>115</v>
      </c>
      <c r="AG403" s="320">
        <f>IFERROR(__xludf.DUMMYFUNCTION("""COMPUTED_VALUE"""),160.0)</f>
        <v>160</v>
      </c>
      <c r="AH403" s="320">
        <f>IFERROR(__xludf.DUMMYFUNCTION("""COMPUTED_VALUE"""),42.04)</f>
        <v>42.04</v>
      </c>
      <c r="AI403" s="320">
        <f>IFERROR(__xludf.DUMMYFUNCTION("""COMPUTED_VALUE"""),7.73)</f>
        <v>7.73</v>
      </c>
      <c r="AJ403" s="320">
        <f>IFERROR(__xludf.DUMMYFUNCTION("""COMPUTED_VALUE"""),1.39)</f>
        <v>1.39</v>
      </c>
      <c r="AK403" s="320">
        <f>IFERROR(__xludf.DUMMYFUNCTION("""COMPUTED_VALUE"""),0.0974)</f>
        <v>0.0974</v>
      </c>
      <c r="AL403" s="320">
        <f>IFERROR(__xludf.DUMMYFUNCTION("""COMPUTED_VALUE"""),22.74)</f>
        <v>22.74</v>
      </c>
      <c r="AM403" s="320">
        <f>IFERROR(__xludf.DUMMYFUNCTION("""COMPUTED_VALUE"""),312.24)</f>
        <v>312.24</v>
      </c>
      <c r="AN403" s="320">
        <f>IFERROR(__xludf.DUMMYFUNCTION("""COMPUTED_VALUE"""),84.06)</f>
        <v>84.06</v>
      </c>
      <c r="AO403" s="320">
        <f>IFERROR(__xludf.DUMMYFUNCTION("""COMPUTED_VALUE"""),19.12)</f>
        <v>19.12</v>
      </c>
    </row>
    <row r="404" ht="15.75" customHeight="1">
      <c r="A404" s="330">
        <f>IFERROR(__xludf.DUMMYFUNCTION("""COMPUTED_VALUE"""),46117.0)</f>
        <v>46117</v>
      </c>
      <c r="B404" s="319" t="str">
        <f>IFERROR(__xludf.DUMMYFUNCTION("""COMPUTED_VALUE"""),"A. 0")</f>
        <v>A. 0</v>
      </c>
      <c r="C404" s="320">
        <f>IFERROR(__xludf.DUMMYFUNCTION("""COMPUTED_VALUE"""),18948.0)</f>
        <v>18948</v>
      </c>
      <c r="D404" s="320">
        <f>IFERROR(__xludf.DUMMYFUNCTION("""COMPUTED_VALUE"""),18.78)</f>
        <v>18.78</v>
      </c>
      <c r="E404" s="320">
        <f>IFERROR(__xludf.DUMMYFUNCTION("""COMPUTED_VALUE"""),0.0)</f>
        <v>0</v>
      </c>
      <c r="F404" s="320">
        <f>IFERROR(__xludf.DUMMYFUNCTION("""COMPUTED_VALUE"""),0.0)</f>
        <v>0</v>
      </c>
      <c r="G404" s="320">
        <f>IFERROR(__xludf.DUMMYFUNCTION("""COMPUTED_VALUE"""),0.0)</f>
        <v>0</v>
      </c>
      <c r="H404" s="106"/>
      <c r="I404" s="320">
        <f>IFERROR(__xludf.DUMMYFUNCTION("""COMPUTED_VALUE"""),5.99)</f>
        <v>5.99</v>
      </c>
      <c r="J404" s="320">
        <f>IFERROR(__xludf.DUMMYFUNCTION("""COMPUTED_VALUE"""),2.45)</f>
        <v>2.45</v>
      </c>
      <c r="K404" s="320">
        <f>IFERROR(__xludf.DUMMYFUNCTION("""COMPUTED_VALUE"""),0.01)</f>
        <v>0.01</v>
      </c>
      <c r="L404" s="320">
        <f>IFERROR(__xludf.DUMMYFUNCTION("""COMPUTED_VALUE"""),0.0059)</f>
        <v>0.0059</v>
      </c>
      <c r="M404" s="320">
        <f>IFERROR(__xludf.DUMMYFUNCTION("""COMPUTED_VALUE"""),0.9957)</f>
        <v>0.9957</v>
      </c>
      <c r="N404" s="320">
        <f>IFERROR(__xludf.DUMMYFUNCTION("""COMPUTED_VALUE"""),0.9416)</f>
        <v>0.9416</v>
      </c>
      <c r="O404" s="320">
        <f>IFERROR(__xludf.DUMMYFUNCTION("""COMPUTED_VALUE"""),168.8436)</f>
        <v>168.8436</v>
      </c>
      <c r="P404" s="320">
        <f>IFERROR(__xludf.DUMMYFUNCTION("""COMPUTED_VALUE"""),22.97)</f>
        <v>22.97</v>
      </c>
      <c r="Q404" s="320">
        <f>IFERROR(__xludf.DUMMYFUNCTION("""COMPUTED_VALUE"""),22.86)</f>
        <v>22.86</v>
      </c>
      <c r="R404" s="320">
        <f>IFERROR(__xludf.DUMMYFUNCTION("""COMPUTED_VALUE"""),0.11)</f>
        <v>0.11</v>
      </c>
      <c r="S404" s="320">
        <f>IFERROR(__xludf.DUMMYFUNCTION("""COMPUTED_VALUE"""),0.0)</f>
        <v>0</v>
      </c>
      <c r="T404" s="320">
        <f>IFERROR(__xludf.DUMMYFUNCTION("""COMPUTED_VALUE"""),22.97)</f>
        <v>22.97</v>
      </c>
      <c r="U404" s="320">
        <f>IFERROR(__xludf.DUMMYFUNCTION("""COMPUTED_VALUE"""),1.96)</f>
        <v>1.96</v>
      </c>
      <c r="V404" s="320">
        <f>IFERROR(__xludf.DUMMYFUNCTION("""COMPUTED_VALUE"""),0.799)</f>
        <v>0.799</v>
      </c>
      <c r="W404" s="320">
        <f>IFERROR(__xludf.DUMMYFUNCTION("""COMPUTED_VALUE"""),0.0)</f>
        <v>0</v>
      </c>
      <c r="X404" s="320">
        <f>IFERROR(__xludf.DUMMYFUNCTION("""COMPUTED_VALUE"""),342.0)</f>
        <v>342</v>
      </c>
      <c r="Y404" s="320">
        <f>IFERROR(__xludf.DUMMYFUNCTION("""COMPUTED_VALUE"""),3965.0)</f>
        <v>3965</v>
      </c>
      <c r="Z404" s="320">
        <f>IFERROR(__xludf.DUMMYFUNCTION("""COMPUTED_VALUE"""),15064.0)</f>
        <v>15064</v>
      </c>
      <c r="AA404" s="320">
        <f>IFERROR(__xludf.DUMMYFUNCTION("""COMPUTED_VALUE"""),49.341)</f>
        <v>49.341</v>
      </c>
      <c r="AB404" s="320">
        <f>IFERROR(__xludf.DUMMYFUNCTION("""COMPUTED_VALUE"""),0.5533)</f>
        <v>0.5533</v>
      </c>
      <c r="AC404" s="106"/>
      <c r="AD404" s="106"/>
      <c r="AE404" s="106"/>
      <c r="AF404" s="106"/>
      <c r="AG404" s="106"/>
      <c r="AH404" s="320">
        <f>IFERROR(__xludf.DUMMYFUNCTION("""COMPUTED_VALUE"""),0.0)</f>
        <v>0</v>
      </c>
      <c r="AI404" s="320">
        <f>IFERROR(__xludf.DUMMYFUNCTION("""COMPUTED_VALUE"""),0.0)</f>
        <v>0</v>
      </c>
      <c r="AJ404" s="320">
        <f>IFERROR(__xludf.DUMMYFUNCTION("""COMPUTED_VALUE"""),0.0)</f>
        <v>0</v>
      </c>
      <c r="AK404" s="320">
        <f>IFERROR(__xludf.DUMMYFUNCTION("""COMPUTED_VALUE"""),0.2797)</f>
        <v>0.2797</v>
      </c>
      <c r="AL404" s="320">
        <f>IFERROR(__xludf.DUMMYFUNCTION("""COMPUTED_VALUE"""),18.52)</f>
        <v>18.52</v>
      </c>
      <c r="AM404" s="320">
        <f>IFERROR(__xludf.DUMMYFUNCTION("""COMPUTED_VALUE"""),4.34)</f>
        <v>4.34</v>
      </c>
      <c r="AN404" s="331"/>
      <c r="AO404" s="331"/>
    </row>
    <row r="405" ht="15.75" customHeight="1">
      <c r="A405" s="330">
        <f>IFERROR(__xludf.DUMMYFUNCTION("""COMPUTED_VALUE"""),46117.0)</f>
        <v>46117</v>
      </c>
      <c r="B405" s="319" t="str">
        <f>IFERROR(__xludf.DUMMYFUNCTION("""COMPUTED_VALUE"""),"B. 1-9")</f>
        <v>B. 1-9</v>
      </c>
      <c r="C405" s="320">
        <f>IFERROR(__xludf.DUMMYFUNCTION("""COMPUTED_VALUE"""),35507.0)</f>
        <v>35507</v>
      </c>
      <c r="D405" s="320">
        <f>IFERROR(__xludf.DUMMYFUNCTION("""COMPUTED_VALUE"""),35.2)</f>
        <v>35.2</v>
      </c>
      <c r="E405" s="320">
        <f>IFERROR(__xludf.DUMMYFUNCTION("""COMPUTED_VALUE"""),0.0)</f>
        <v>0</v>
      </c>
      <c r="F405" s="320">
        <f>IFERROR(__xludf.DUMMYFUNCTION("""COMPUTED_VALUE"""),0.0)</f>
        <v>0</v>
      </c>
      <c r="G405" s="320">
        <f>IFERROR(__xludf.DUMMYFUNCTION("""COMPUTED_VALUE"""),0.0)</f>
        <v>0</v>
      </c>
      <c r="H405" s="106"/>
      <c r="I405" s="320">
        <f>IFERROR(__xludf.DUMMYFUNCTION("""COMPUTED_VALUE"""),31.17)</f>
        <v>31.17</v>
      </c>
      <c r="J405" s="320">
        <f>IFERROR(__xludf.DUMMYFUNCTION("""COMPUTED_VALUE"""),14.37)</f>
        <v>14.37</v>
      </c>
      <c r="K405" s="320">
        <f>IFERROR(__xludf.DUMMYFUNCTION("""COMPUTED_VALUE"""),5.71)</f>
        <v>5.71</v>
      </c>
      <c r="L405" s="320">
        <f>IFERROR(__xludf.DUMMYFUNCTION("""COMPUTED_VALUE"""),0.3976)</f>
        <v>0.3976</v>
      </c>
      <c r="M405" s="320">
        <f>IFERROR(__xludf.DUMMYFUNCTION("""COMPUTED_VALUE"""),0.7652)</f>
        <v>0.7652</v>
      </c>
      <c r="N405" s="320">
        <f>IFERROR(__xludf.DUMMYFUNCTION("""COMPUTED_VALUE"""),0.5617)</f>
        <v>0.5617</v>
      </c>
      <c r="O405" s="320">
        <f>IFERROR(__xludf.DUMMYFUNCTION("""COMPUTED_VALUE"""),2.5152)</f>
        <v>2.5152</v>
      </c>
      <c r="P405" s="320">
        <f>IFERROR(__xludf.DUMMYFUNCTION("""COMPUTED_VALUE"""),45.59)</f>
        <v>45.59</v>
      </c>
      <c r="Q405" s="320">
        <f>IFERROR(__xludf.DUMMYFUNCTION("""COMPUTED_VALUE"""),36.12)</f>
        <v>36.12</v>
      </c>
      <c r="R405" s="320">
        <f>IFERROR(__xludf.DUMMYFUNCTION("""COMPUTED_VALUE"""),9.47)</f>
        <v>9.47</v>
      </c>
      <c r="S405" s="320">
        <f>IFERROR(__xludf.DUMMYFUNCTION("""COMPUTED_VALUE"""),0.02)</f>
        <v>0.02</v>
      </c>
      <c r="T405" s="320">
        <f>IFERROR(__xludf.DUMMYFUNCTION("""COMPUTED_VALUE"""),45.57)</f>
        <v>45.57</v>
      </c>
      <c r="U405" s="320">
        <f>IFERROR(__xludf.DUMMYFUNCTION("""COMPUTED_VALUE"""),50.91)</f>
        <v>50.91</v>
      </c>
      <c r="V405" s="320">
        <f>IFERROR(__xludf.DUMMYFUNCTION("""COMPUTED_VALUE"""),3.5424)</f>
        <v>3.5424</v>
      </c>
      <c r="W405" s="320">
        <f>IFERROR(__xludf.DUMMYFUNCTION("""COMPUTED_VALUE"""),0.04)</f>
        <v>0.04</v>
      </c>
      <c r="X405" s="320">
        <f>IFERROR(__xludf.DUMMYFUNCTION("""COMPUTED_VALUE"""),140.0)</f>
        <v>140</v>
      </c>
      <c r="Y405" s="320">
        <f>IFERROR(__xludf.DUMMYFUNCTION("""COMPUTED_VALUE"""),913.0)</f>
        <v>913</v>
      </c>
      <c r="Z405" s="320">
        <f>IFERROR(__xludf.DUMMYFUNCTION("""COMPUTED_VALUE"""),6046.0)</f>
        <v>6046</v>
      </c>
      <c r="AA405" s="320">
        <f>IFERROR(__xludf.DUMMYFUNCTION("""COMPUTED_VALUE"""),48.7208)</f>
        <v>48.7208</v>
      </c>
      <c r="AB405" s="320">
        <f>IFERROR(__xludf.DUMMYFUNCTION("""COMPUTED_VALUE"""),0.5415)</f>
        <v>0.5415</v>
      </c>
      <c r="AC405" s="320">
        <f>IFERROR(__xludf.DUMMYFUNCTION("""COMPUTED_VALUE"""),3.99)</f>
        <v>3.99</v>
      </c>
      <c r="AD405" s="320">
        <f>IFERROR(__xludf.DUMMYFUNCTION("""COMPUTED_VALUE"""),1.0)</f>
        <v>1</v>
      </c>
      <c r="AE405" s="320">
        <f>IFERROR(__xludf.DUMMYFUNCTION("""COMPUTED_VALUE"""),3.0)</f>
        <v>3</v>
      </c>
      <c r="AF405" s="320">
        <f>IFERROR(__xludf.DUMMYFUNCTION("""COMPUTED_VALUE"""),5.0)</f>
        <v>5</v>
      </c>
      <c r="AG405" s="320">
        <f>IFERROR(__xludf.DUMMYFUNCTION("""COMPUTED_VALUE"""),9.0)</f>
        <v>9</v>
      </c>
      <c r="AH405" s="320">
        <f>IFERROR(__xludf.DUMMYFUNCTION("""COMPUTED_VALUE"""),73.7)</f>
        <v>73.7</v>
      </c>
      <c r="AI405" s="320">
        <f>IFERROR(__xludf.DUMMYFUNCTION("""COMPUTED_VALUE"""),30.56)</f>
        <v>30.56</v>
      </c>
      <c r="AJ405" s="320">
        <f>IFERROR(__xludf.DUMMYFUNCTION("""COMPUTED_VALUE"""),8.33)</f>
        <v>8.33</v>
      </c>
      <c r="AK405" s="320">
        <f>IFERROR(__xludf.DUMMYFUNCTION("""COMPUTED_VALUE"""),0.2643)</f>
        <v>0.2643</v>
      </c>
      <c r="AL405" s="320">
        <f>IFERROR(__xludf.DUMMYFUNCTION("""COMPUTED_VALUE"""),20.96)</f>
        <v>20.96</v>
      </c>
      <c r="AM405" s="320">
        <f>IFERROR(__xludf.DUMMYFUNCTION("""COMPUTED_VALUE"""),15.16)</f>
        <v>15.16</v>
      </c>
      <c r="AN405" s="320">
        <f>IFERROR(__xludf.DUMMYFUNCTION("""COMPUTED_VALUE"""),65.25)</f>
        <v>65.25</v>
      </c>
      <c r="AO405" s="320">
        <f>IFERROR(__xludf.DUMMYFUNCTION("""COMPUTED_VALUE"""),13.68)</f>
        <v>13.68</v>
      </c>
    </row>
    <row r="406" ht="15.75" customHeight="1">
      <c r="A406" s="330">
        <f>IFERROR(__xludf.DUMMYFUNCTION("""COMPUTED_VALUE"""),46117.0)</f>
        <v>46117</v>
      </c>
      <c r="B406" s="319" t="str">
        <f>IFERROR(__xludf.DUMMYFUNCTION("""COMPUTED_VALUE"""),"C. 10-19")</f>
        <v>C. 10-19</v>
      </c>
      <c r="C406" s="320">
        <f>IFERROR(__xludf.DUMMYFUNCTION("""COMPUTED_VALUE"""),25929.0)</f>
        <v>25929</v>
      </c>
      <c r="D406" s="320">
        <f>IFERROR(__xludf.DUMMYFUNCTION("""COMPUTED_VALUE"""),25.71)</f>
        <v>25.71</v>
      </c>
      <c r="E406" s="320">
        <f>IFERROR(__xludf.DUMMYFUNCTION("""COMPUTED_VALUE"""),0.0)</f>
        <v>0</v>
      </c>
      <c r="F406" s="320">
        <f>IFERROR(__xludf.DUMMYFUNCTION("""COMPUTED_VALUE"""),0.0)</f>
        <v>0</v>
      </c>
      <c r="G406" s="320">
        <f>IFERROR(__xludf.DUMMYFUNCTION("""COMPUTED_VALUE"""),0.0)</f>
        <v>0</v>
      </c>
      <c r="H406" s="106"/>
      <c r="I406" s="320">
        <f>IFERROR(__xludf.DUMMYFUNCTION("""COMPUTED_VALUE"""),57.12)</f>
        <v>57.12</v>
      </c>
      <c r="J406" s="320">
        <f>IFERROR(__xludf.DUMMYFUNCTION("""COMPUTED_VALUE"""),27.48)</f>
        <v>27.48</v>
      </c>
      <c r="K406" s="320">
        <f>IFERROR(__xludf.DUMMYFUNCTION("""COMPUTED_VALUE"""),13.87)</f>
        <v>13.87</v>
      </c>
      <c r="L406" s="320">
        <f>IFERROR(__xludf.DUMMYFUNCTION("""COMPUTED_VALUE"""),0.5049)</f>
        <v>0.5049</v>
      </c>
      <c r="M406" s="320">
        <f>IFERROR(__xludf.DUMMYFUNCTION("""COMPUTED_VALUE"""),0.678)</f>
        <v>0.678</v>
      </c>
      <c r="N406" s="320">
        <f>IFERROR(__xludf.DUMMYFUNCTION("""COMPUTED_VALUE"""),0.4707)</f>
        <v>0.4707</v>
      </c>
      <c r="O406" s="320">
        <f>IFERROR(__xludf.DUMMYFUNCTION("""COMPUTED_VALUE"""),1.9806)</f>
        <v>1.9806</v>
      </c>
      <c r="P406" s="320">
        <f>IFERROR(__xludf.DUMMYFUNCTION("""COMPUTED_VALUE"""),74.12)</f>
        <v>74.12</v>
      </c>
      <c r="Q406" s="320">
        <f>IFERROR(__xludf.DUMMYFUNCTION("""COMPUTED_VALUE"""),50.68)</f>
        <v>50.68</v>
      </c>
      <c r="R406" s="320">
        <f>IFERROR(__xludf.DUMMYFUNCTION("""COMPUTED_VALUE"""),23.43)</f>
        <v>23.43</v>
      </c>
      <c r="S406" s="320">
        <f>IFERROR(__xludf.DUMMYFUNCTION("""COMPUTED_VALUE"""),0.0)</f>
        <v>0</v>
      </c>
      <c r="T406" s="320">
        <f>IFERROR(__xludf.DUMMYFUNCTION("""COMPUTED_VALUE"""),74.12)</f>
        <v>74.12</v>
      </c>
      <c r="U406" s="320">
        <f>IFERROR(__xludf.DUMMYFUNCTION("""COMPUTED_VALUE"""),92.0)</f>
        <v>92</v>
      </c>
      <c r="V406" s="320">
        <f>IFERROR(__xludf.DUMMYFUNCTION("""COMPUTED_VALUE"""),3.3478)</f>
        <v>3.3478</v>
      </c>
      <c r="W406" s="320">
        <f>IFERROR(__xludf.DUMMYFUNCTION("""COMPUTED_VALUE"""),0.0)</f>
        <v>0</v>
      </c>
      <c r="X406" s="320">
        <f>IFERROR(__xludf.DUMMYFUNCTION("""COMPUTED_VALUE"""),110.0)</f>
        <v>110</v>
      </c>
      <c r="Y406" s="320">
        <f>IFERROR(__xludf.DUMMYFUNCTION("""COMPUTED_VALUE"""),641.0)</f>
        <v>641</v>
      </c>
      <c r="Z406" s="320">
        <f>IFERROR(__xludf.DUMMYFUNCTION("""COMPUTED_VALUE"""),4880.0)</f>
        <v>4880</v>
      </c>
      <c r="AA406" s="320">
        <f>IFERROR(__xludf.DUMMYFUNCTION("""COMPUTED_VALUE"""),52.153)</f>
        <v>52.153</v>
      </c>
      <c r="AB406" s="320">
        <f>IFERROR(__xludf.DUMMYFUNCTION("""COMPUTED_VALUE"""),0.6355)</f>
        <v>0.6355</v>
      </c>
      <c r="AC406" s="320">
        <f>IFERROR(__xludf.DUMMYFUNCTION("""COMPUTED_VALUE"""),9.19)</f>
        <v>9.19</v>
      </c>
      <c r="AD406" s="320">
        <f>IFERROR(__xludf.DUMMYFUNCTION("""COMPUTED_VALUE"""),4.0)</f>
        <v>4</v>
      </c>
      <c r="AE406" s="320">
        <f>IFERROR(__xludf.DUMMYFUNCTION("""COMPUTED_VALUE"""),7.0)</f>
        <v>7</v>
      </c>
      <c r="AF406" s="320">
        <f>IFERROR(__xludf.DUMMYFUNCTION("""COMPUTED_VALUE"""),12.0)</f>
        <v>12</v>
      </c>
      <c r="AG406" s="320">
        <f>IFERROR(__xludf.DUMMYFUNCTION("""COMPUTED_VALUE"""),19.0)</f>
        <v>19</v>
      </c>
      <c r="AH406" s="320">
        <f>IFERROR(__xludf.DUMMYFUNCTION("""COMPUTED_VALUE"""),60.09)</f>
        <v>60.09</v>
      </c>
      <c r="AI406" s="320">
        <f>IFERROR(__xludf.DUMMYFUNCTION("""COMPUTED_VALUE"""),24.8)</f>
        <v>24.8</v>
      </c>
      <c r="AJ406" s="320">
        <f>IFERROR(__xludf.DUMMYFUNCTION("""COMPUTED_VALUE"""),4.26)</f>
        <v>4.26</v>
      </c>
      <c r="AK406" s="320">
        <f>IFERROR(__xludf.DUMMYFUNCTION("""COMPUTED_VALUE"""),0.2197)</f>
        <v>0.2197</v>
      </c>
      <c r="AL406" s="320">
        <f>IFERROR(__xludf.DUMMYFUNCTION("""COMPUTED_VALUE"""),21.3)</f>
        <v>21.3</v>
      </c>
      <c r="AM406" s="320">
        <f>IFERROR(__xludf.DUMMYFUNCTION("""COMPUTED_VALUE"""),29.38)</f>
        <v>29.38</v>
      </c>
      <c r="AN406" s="320">
        <f>IFERROR(__xludf.DUMMYFUNCTION("""COMPUTED_VALUE"""),73.83)</f>
        <v>73.83</v>
      </c>
      <c r="AO406" s="320">
        <f>IFERROR(__xludf.DUMMYFUNCTION("""COMPUTED_VALUE"""),15.73)</f>
        <v>15.73</v>
      </c>
    </row>
    <row r="407" ht="15.75" customHeight="1">
      <c r="A407" s="330">
        <f>IFERROR(__xludf.DUMMYFUNCTION("""COMPUTED_VALUE"""),46117.0)</f>
        <v>46117</v>
      </c>
      <c r="B407" s="319" t="str">
        <f>IFERROR(__xludf.DUMMYFUNCTION("""COMPUTED_VALUE"""),"D. 20-39")</f>
        <v>D. 20-39</v>
      </c>
      <c r="C407" s="320">
        <f>IFERROR(__xludf.DUMMYFUNCTION("""COMPUTED_VALUE"""),14172.0)</f>
        <v>14172</v>
      </c>
      <c r="D407" s="320">
        <f>IFERROR(__xludf.DUMMYFUNCTION("""COMPUTED_VALUE"""),14.05)</f>
        <v>14.05</v>
      </c>
      <c r="E407" s="320">
        <f>IFERROR(__xludf.DUMMYFUNCTION("""COMPUTED_VALUE"""),0.0)</f>
        <v>0</v>
      </c>
      <c r="F407" s="320">
        <f>IFERROR(__xludf.DUMMYFUNCTION("""COMPUTED_VALUE"""),0.0)</f>
        <v>0</v>
      </c>
      <c r="G407" s="320">
        <f>IFERROR(__xludf.DUMMYFUNCTION("""COMPUTED_VALUE"""),0.0)</f>
        <v>0</v>
      </c>
      <c r="H407" s="106"/>
      <c r="I407" s="320">
        <f>IFERROR(__xludf.DUMMYFUNCTION("""COMPUTED_VALUE"""),83.31)</f>
        <v>83.31</v>
      </c>
      <c r="J407" s="320">
        <f>IFERROR(__xludf.DUMMYFUNCTION("""COMPUTED_VALUE"""),42.5)</f>
        <v>42.5</v>
      </c>
      <c r="K407" s="320">
        <f>IFERROR(__xludf.DUMMYFUNCTION("""COMPUTED_VALUE"""),27.0)</f>
        <v>27</v>
      </c>
      <c r="L407" s="320">
        <f>IFERROR(__xludf.DUMMYFUNCTION("""COMPUTED_VALUE"""),0.6352)</f>
        <v>0.6352</v>
      </c>
      <c r="M407" s="320">
        <f>IFERROR(__xludf.DUMMYFUNCTION("""COMPUTED_VALUE"""),0.5504)</f>
        <v>0.5504</v>
      </c>
      <c r="N407" s="320">
        <f>IFERROR(__xludf.DUMMYFUNCTION("""COMPUTED_VALUE"""),0.3769)</f>
        <v>0.3769</v>
      </c>
      <c r="O407" s="320">
        <f>IFERROR(__xludf.DUMMYFUNCTION("""COMPUTED_VALUE"""),1.5742)</f>
        <v>1.5742</v>
      </c>
      <c r="P407" s="320">
        <f>IFERROR(__xludf.DUMMYFUNCTION("""COMPUTED_VALUE"""),122.67)</f>
        <v>122.67</v>
      </c>
      <c r="Q407" s="320">
        <f>IFERROR(__xludf.DUMMYFUNCTION("""COMPUTED_VALUE"""),76.49)</f>
        <v>76.49</v>
      </c>
      <c r="R407" s="320">
        <f>IFERROR(__xludf.DUMMYFUNCTION("""COMPUTED_VALUE"""),46.18)</f>
        <v>46.18</v>
      </c>
      <c r="S407" s="320">
        <f>IFERROR(__xludf.DUMMYFUNCTION("""COMPUTED_VALUE"""),0.0)</f>
        <v>0</v>
      </c>
      <c r="T407" s="320">
        <f>IFERROR(__xludf.DUMMYFUNCTION("""COMPUTED_VALUE"""),122.67)</f>
        <v>122.67</v>
      </c>
      <c r="U407" s="320">
        <f>IFERROR(__xludf.DUMMYFUNCTION("""COMPUTED_VALUE"""),157.55)</f>
        <v>157.55</v>
      </c>
      <c r="V407" s="320">
        <f>IFERROR(__xludf.DUMMYFUNCTION("""COMPUTED_VALUE"""),3.7074)</f>
        <v>3.7074</v>
      </c>
      <c r="W407" s="320">
        <f>IFERROR(__xludf.DUMMYFUNCTION("""COMPUTED_VALUE"""),0.0)</f>
        <v>0</v>
      </c>
      <c r="X407" s="320">
        <f>IFERROR(__xludf.DUMMYFUNCTION("""COMPUTED_VALUE"""),121.0)</f>
        <v>121</v>
      </c>
      <c r="Y407" s="320">
        <f>IFERROR(__xludf.DUMMYFUNCTION("""COMPUTED_VALUE"""),948.0)</f>
        <v>948</v>
      </c>
      <c r="Z407" s="320">
        <f>IFERROR(__xludf.DUMMYFUNCTION("""COMPUTED_VALUE"""),6371.0)</f>
        <v>6371</v>
      </c>
      <c r="AA407" s="320">
        <f>IFERROR(__xludf.DUMMYFUNCTION("""COMPUTED_VALUE"""),55.5766)</f>
        <v>55.5766</v>
      </c>
      <c r="AB407" s="320">
        <f>IFERROR(__xludf.DUMMYFUNCTION("""COMPUTED_VALUE"""),0.7341)</f>
        <v>0.7341</v>
      </c>
      <c r="AC407" s="320">
        <f>IFERROR(__xludf.DUMMYFUNCTION("""COMPUTED_VALUE"""),17.53)</f>
        <v>17.53</v>
      </c>
      <c r="AD407" s="320">
        <f>IFERROR(__xludf.DUMMYFUNCTION("""COMPUTED_VALUE"""),7.0)</f>
        <v>7</v>
      </c>
      <c r="AE407" s="320">
        <f>IFERROR(__xludf.DUMMYFUNCTION("""COMPUTED_VALUE"""),13.0)</f>
        <v>13</v>
      </c>
      <c r="AF407" s="320">
        <f>IFERROR(__xludf.DUMMYFUNCTION("""COMPUTED_VALUE"""),23.0)</f>
        <v>23</v>
      </c>
      <c r="AG407" s="320">
        <f>IFERROR(__xludf.DUMMYFUNCTION("""COMPUTED_VALUE"""),37.0)</f>
        <v>37</v>
      </c>
      <c r="AH407" s="320">
        <f>IFERROR(__xludf.DUMMYFUNCTION("""COMPUTED_VALUE"""),58.01)</f>
        <v>58.01</v>
      </c>
      <c r="AI407" s="320">
        <f>IFERROR(__xludf.DUMMYFUNCTION("""COMPUTED_VALUE"""),22.24)</f>
        <v>22.24</v>
      </c>
      <c r="AJ407" s="320">
        <f>IFERROR(__xludf.DUMMYFUNCTION("""COMPUTED_VALUE"""),7.2)</f>
        <v>7.2</v>
      </c>
      <c r="AK407" s="320">
        <f>IFERROR(__xludf.DUMMYFUNCTION("""COMPUTED_VALUE"""),0.196)</f>
        <v>0.196</v>
      </c>
      <c r="AL407" s="320">
        <f>IFERROR(__xludf.DUMMYFUNCTION("""COMPUTED_VALUE"""),21.43)</f>
        <v>21.43</v>
      </c>
      <c r="AM407" s="320">
        <f>IFERROR(__xludf.DUMMYFUNCTION("""COMPUTED_VALUE"""),55.06)</f>
        <v>55.06</v>
      </c>
      <c r="AN407" s="320">
        <f>IFERROR(__xludf.DUMMYFUNCTION("""COMPUTED_VALUE"""),77.15)</f>
        <v>77.15</v>
      </c>
      <c r="AO407" s="320">
        <f>IFERROR(__xludf.DUMMYFUNCTION("""COMPUTED_VALUE"""),16.53)</f>
        <v>16.53</v>
      </c>
    </row>
    <row r="408" ht="15.75" customHeight="1">
      <c r="A408" s="330">
        <f>IFERROR(__xludf.DUMMYFUNCTION("""COMPUTED_VALUE"""),46117.0)</f>
        <v>46117</v>
      </c>
      <c r="B408" s="319" t="str">
        <f>IFERROR(__xludf.DUMMYFUNCTION("""COMPUTED_VALUE"""),"E. 40-99")</f>
        <v>E. 40-99</v>
      </c>
      <c r="C408" s="320">
        <f>IFERROR(__xludf.DUMMYFUNCTION("""COMPUTED_VALUE"""),5725.0)</f>
        <v>5725</v>
      </c>
      <c r="D408" s="320">
        <f>IFERROR(__xludf.DUMMYFUNCTION("""COMPUTED_VALUE"""),5.68)</f>
        <v>5.68</v>
      </c>
      <c r="E408" s="320">
        <f>IFERROR(__xludf.DUMMYFUNCTION("""COMPUTED_VALUE"""),0.0)</f>
        <v>0</v>
      </c>
      <c r="F408" s="320">
        <f>IFERROR(__xludf.DUMMYFUNCTION("""COMPUTED_VALUE"""),0.0)</f>
        <v>0</v>
      </c>
      <c r="G408" s="320">
        <f>IFERROR(__xludf.DUMMYFUNCTION("""COMPUTED_VALUE"""),0.0)</f>
        <v>0</v>
      </c>
      <c r="H408" s="106"/>
      <c r="I408" s="320">
        <f>IFERROR(__xludf.DUMMYFUNCTION("""COMPUTED_VALUE"""),135.09)</f>
        <v>135.09</v>
      </c>
      <c r="J408" s="320">
        <f>IFERROR(__xludf.DUMMYFUNCTION("""COMPUTED_VALUE"""),73.76)</f>
        <v>73.76</v>
      </c>
      <c r="K408" s="320">
        <f>IFERROR(__xludf.DUMMYFUNCTION("""COMPUTED_VALUE"""),55.27)</f>
        <v>55.27</v>
      </c>
      <c r="L408" s="320">
        <f>IFERROR(__xludf.DUMMYFUNCTION("""COMPUTED_VALUE"""),0.7492)</f>
        <v>0.7492</v>
      </c>
      <c r="M408" s="320">
        <f>IFERROR(__xludf.DUMMYFUNCTION("""COMPUTED_VALUE"""),0.4256)</f>
        <v>0.4256</v>
      </c>
      <c r="N408" s="320">
        <f>IFERROR(__xludf.DUMMYFUNCTION("""COMPUTED_VALUE"""),0.2936)</f>
        <v>0.2936</v>
      </c>
      <c r="O408" s="320">
        <f>IFERROR(__xludf.DUMMYFUNCTION("""COMPUTED_VALUE"""),1.3347)</f>
        <v>1.3347</v>
      </c>
      <c r="P408" s="320">
        <f>IFERROR(__xludf.DUMMYFUNCTION("""COMPUTED_VALUE"""),211.54)</f>
        <v>211.54</v>
      </c>
      <c r="Q408" s="320">
        <f>IFERROR(__xludf.DUMMYFUNCTION("""COMPUTED_VALUE"""),116.99)</f>
        <v>116.99</v>
      </c>
      <c r="R408" s="320">
        <f>IFERROR(__xludf.DUMMYFUNCTION("""COMPUTED_VALUE"""),94.55)</f>
        <v>94.55</v>
      </c>
      <c r="S408" s="320">
        <f>IFERROR(__xludf.DUMMYFUNCTION("""COMPUTED_VALUE"""),0.23)</f>
        <v>0.23</v>
      </c>
      <c r="T408" s="320">
        <f>IFERROR(__xludf.DUMMYFUNCTION("""COMPUTED_VALUE"""),211.32)</f>
        <v>211.32</v>
      </c>
      <c r="U408" s="320">
        <f>IFERROR(__xludf.DUMMYFUNCTION("""COMPUTED_VALUE"""),302.64)</f>
        <v>302.64</v>
      </c>
      <c r="V408" s="320">
        <f>IFERROR(__xludf.DUMMYFUNCTION("""COMPUTED_VALUE"""),4.1028)</f>
        <v>4.1028</v>
      </c>
      <c r="W408" s="320">
        <f>IFERROR(__xludf.DUMMYFUNCTION("""COMPUTED_VALUE"""),0.11)</f>
        <v>0.11</v>
      </c>
      <c r="X408" s="320">
        <f>IFERROR(__xludf.DUMMYFUNCTION("""COMPUTED_VALUE"""),202.0)</f>
        <v>202</v>
      </c>
      <c r="Y408" s="320">
        <f>IFERROR(__xludf.DUMMYFUNCTION("""COMPUTED_VALUE"""),2072.0)</f>
        <v>2072</v>
      </c>
      <c r="Z408" s="320">
        <f>IFERROR(__xludf.DUMMYFUNCTION("""COMPUTED_VALUE"""),9107.0)</f>
        <v>9107</v>
      </c>
      <c r="AA408" s="320">
        <f>IFERROR(__xludf.DUMMYFUNCTION("""COMPUTED_VALUE"""),59.3096)</f>
        <v>59.3096</v>
      </c>
      <c r="AB408" s="320">
        <f>IFERROR(__xludf.DUMMYFUNCTION("""COMPUTED_VALUE"""),0.8239)</f>
        <v>0.8239</v>
      </c>
      <c r="AC408" s="320">
        <f>IFERROR(__xludf.DUMMYFUNCTION("""COMPUTED_VALUE"""),36.05)</f>
        <v>36.05</v>
      </c>
      <c r="AD408" s="320">
        <f>IFERROR(__xludf.DUMMYFUNCTION("""COMPUTED_VALUE"""),13.0)</f>
        <v>13</v>
      </c>
      <c r="AE408" s="320">
        <f>IFERROR(__xludf.DUMMYFUNCTION("""COMPUTED_VALUE"""),26.0)</f>
        <v>26</v>
      </c>
      <c r="AF408" s="320">
        <f>IFERROR(__xludf.DUMMYFUNCTION("""COMPUTED_VALUE"""),50.0)</f>
        <v>50</v>
      </c>
      <c r="AG408" s="320">
        <f>IFERROR(__xludf.DUMMYFUNCTION("""COMPUTED_VALUE"""),79.0)</f>
        <v>79</v>
      </c>
      <c r="AH408" s="320">
        <f>IFERROR(__xludf.DUMMYFUNCTION("""COMPUTED_VALUE"""),48.07)</f>
        <v>48.07</v>
      </c>
      <c r="AI408" s="320">
        <f>IFERROR(__xludf.DUMMYFUNCTION("""COMPUTED_VALUE"""),18.72)</f>
        <v>18.72</v>
      </c>
      <c r="AJ408" s="320">
        <f>IFERROR(__xludf.DUMMYFUNCTION("""COMPUTED_VALUE"""),4.94)</f>
        <v>4.94</v>
      </c>
      <c r="AK408" s="320">
        <f>IFERROR(__xludf.DUMMYFUNCTION("""COMPUTED_VALUE"""),0.1445)</f>
        <v>0.1445</v>
      </c>
      <c r="AL408" s="320">
        <f>IFERROR(__xludf.DUMMYFUNCTION("""COMPUTED_VALUE"""),21.89)</f>
        <v>21.89</v>
      </c>
      <c r="AM408" s="320">
        <f>IFERROR(__xludf.DUMMYFUNCTION("""COMPUTED_VALUE"""),95.1)</f>
        <v>95.1</v>
      </c>
      <c r="AN408" s="320">
        <f>IFERROR(__xludf.DUMMYFUNCTION("""COMPUTED_VALUE"""),82.1)</f>
        <v>82.1</v>
      </c>
      <c r="AO408" s="320">
        <f>IFERROR(__xludf.DUMMYFUNCTION("""COMPUTED_VALUE"""),17.97)</f>
        <v>17.97</v>
      </c>
    </row>
    <row r="409" ht="15.75" customHeight="1">
      <c r="A409" s="330">
        <f>IFERROR(__xludf.DUMMYFUNCTION("""COMPUTED_VALUE"""),46117.0)</f>
        <v>46117</v>
      </c>
      <c r="B409" s="319" t="str">
        <f>IFERROR(__xludf.DUMMYFUNCTION("""COMPUTED_VALUE"""),"F. 100+")</f>
        <v>F. 100+</v>
      </c>
      <c r="C409" s="320">
        <f>IFERROR(__xludf.DUMMYFUNCTION("""COMPUTED_VALUE"""),590.0)</f>
        <v>590</v>
      </c>
      <c r="D409" s="320">
        <f>IFERROR(__xludf.DUMMYFUNCTION("""COMPUTED_VALUE"""),0.58)</f>
        <v>0.58</v>
      </c>
      <c r="E409" s="320">
        <f>IFERROR(__xludf.DUMMYFUNCTION("""COMPUTED_VALUE"""),0.0)</f>
        <v>0</v>
      </c>
      <c r="F409" s="320">
        <f>IFERROR(__xludf.DUMMYFUNCTION("""COMPUTED_VALUE"""),0.0)</f>
        <v>0</v>
      </c>
      <c r="G409" s="320">
        <f>IFERROR(__xludf.DUMMYFUNCTION("""COMPUTED_VALUE"""),0.0)</f>
        <v>0</v>
      </c>
      <c r="H409" s="106"/>
      <c r="I409" s="320">
        <f>IFERROR(__xludf.DUMMYFUNCTION("""COMPUTED_VALUE"""),241.94)</f>
        <v>241.94</v>
      </c>
      <c r="J409" s="320">
        <f>IFERROR(__xludf.DUMMYFUNCTION("""COMPUTED_VALUE"""),142.02)</f>
        <v>142.02</v>
      </c>
      <c r="K409" s="320">
        <f>IFERROR(__xludf.DUMMYFUNCTION("""COMPUTED_VALUE"""),119.78)</f>
        <v>119.78</v>
      </c>
      <c r="L409" s="320">
        <f>IFERROR(__xludf.DUMMYFUNCTION("""COMPUTED_VALUE"""),0.8434)</f>
        <v>0.8434</v>
      </c>
      <c r="M409" s="320">
        <f>IFERROR(__xludf.DUMMYFUNCTION("""COMPUTED_VALUE"""),0.3091)</f>
        <v>0.3091</v>
      </c>
      <c r="N409" s="320">
        <f>IFERROR(__xludf.DUMMYFUNCTION("""COMPUTED_VALUE"""),0.2235)</f>
        <v>0.2235</v>
      </c>
      <c r="O409" s="320">
        <f>IFERROR(__xludf.DUMMYFUNCTION("""COMPUTED_VALUE"""),1.1856)</f>
        <v>1.1856</v>
      </c>
      <c r="P409" s="320">
        <f>IFERROR(__xludf.DUMMYFUNCTION("""COMPUTED_VALUE"""),370.68)</f>
        <v>370.68</v>
      </c>
      <c r="Q409" s="320">
        <f>IFERROR(__xludf.DUMMYFUNCTION("""COMPUTED_VALUE"""),165.98)</f>
        <v>165.98</v>
      </c>
      <c r="R409" s="320">
        <f>IFERROR(__xludf.DUMMYFUNCTION("""COMPUTED_VALUE"""),204.7)</f>
        <v>204.7</v>
      </c>
      <c r="S409" s="320">
        <f>IFERROR(__xludf.DUMMYFUNCTION("""COMPUTED_VALUE"""),0.0)</f>
        <v>0</v>
      </c>
      <c r="T409" s="320">
        <f>IFERROR(__xludf.DUMMYFUNCTION("""COMPUTED_VALUE"""),370.68)</f>
        <v>370.68</v>
      </c>
      <c r="U409" s="320">
        <f>IFERROR(__xludf.DUMMYFUNCTION("""COMPUTED_VALUE"""),713.22)</f>
        <v>713.22</v>
      </c>
      <c r="V409" s="320">
        <f>IFERROR(__xludf.DUMMYFUNCTION("""COMPUTED_VALUE"""),5.022)</f>
        <v>5.022</v>
      </c>
      <c r="W409" s="320">
        <f>IFERROR(__xludf.DUMMYFUNCTION("""COMPUTED_VALUE"""),0.0)</f>
        <v>0</v>
      </c>
      <c r="X409" s="320">
        <f>IFERROR(__xludf.DUMMYFUNCTION("""COMPUTED_VALUE"""),727.0)</f>
        <v>727</v>
      </c>
      <c r="Y409" s="320">
        <f>IFERROR(__xludf.DUMMYFUNCTION("""COMPUTED_VALUE"""),4253.0)</f>
        <v>4253</v>
      </c>
      <c r="Z409" s="320">
        <f>IFERROR(__xludf.DUMMYFUNCTION("""COMPUTED_VALUE"""),11241.0)</f>
        <v>11241</v>
      </c>
      <c r="AA409" s="320">
        <f>IFERROR(__xludf.DUMMYFUNCTION("""COMPUTED_VALUE"""),62.6699)</f>
        <v>62.6699</v>
      </c>
      <c r="AB409" s="320">
        <f>IFERROR(__xludf.DUMMYFUNCTION("""COMPUTED_VALUE"""),0.8892)</f>
        <v>0.8892</v>
      </c>
      <c r="AC409" s="320">
        <f>IFERROR(__xludf.DUMMYFUNCTION("""COMPUTED_VALUE"""),77.32)</f>
        <v>77.32</v>
      </c>
      <c r="AD409" s="320">
        <f>IFERROR(__xludf.DUMMYFUNCTION("""COMPUTED_VALUE"""),27.0)</f>
        <v>27</v>
      </c>
      <c r="AE409" s="320">
        <f>IFERROR(__xludf.DUMMYFUNCTION("""COMPUTED_VALUE"""),58.0)</f>
        <v>58</v>
      </c>
      <c r="AF409" s="320">
        <f>IFERROR(__xludf.DUMMYFUNCTION("""COMPUTED_VALUE"""),110.0)</f>
        <v>110</v>
      </c>
      <c r="AG409" s="320">
        <f>IFERROR(__xludf.DUMMYFUNCTION("""COMPUTED_VALUE"""),167.0)</f>
        <v>167</v>
      </c>
      <c r="AH409" s="320">
        <f>IFERROR(__xludf.DUMMYFUNCTION("""COMPUTED_VALUE"""),37.63)</f>
        <v>37.63</v>
      </c>
      <c r="AI409" s="320">
        <f>IFERROR(__xludf.DUMMYFUNCTION("""COMPUTED_VALUE"""),9.15)</f>
        <v>9.15</v>
      </c>
      <c r="AJ409" s="320">
        <f>IFERROR(__xludf.DUMMYFUNCTION("""COMPUTED_VALUE"""),1.69)</f>
        <v>1.69</v>
      </c>
      <c r="AK409" s="320">
        <f>IFERROR(__xludf.DUMMYFUNCTION("""COMPUTED_VALUE"""),0.0966)</f>
        <v>0.0966</v>
      </c>
      <c r="AL409" s="320">
        <f>IFERROR(__xludf.DUMMYFUNCTION("""COMPUTED_VALUE"""),23.08)</f>
        <v>23.08</v>
      </c>
      <c r="AM409" s="320">
        <f>IFERROR(__xludf.DUMMYFUNCTION("""COMPUTED_VALUE"""),142.89)</f>
        <v>142.89</v>
      </c>
      <c r="AN409" s="320">
        <f>IFERROR(__xludf.DUMMYFUNCTION("""COMPUTED_VALUE"""),84.53)</f>
        <v>84.53</v>
      </c>
      <c r="AO409" s="320">
        <f>IFERROR(__xludf.DUMMYFUNCTION("""COMPUTED_VALUE"""),19.51)</f>
        <v>19.51</v>
      </c>
    </row>
    <row r="410" ht="15.75" customHeight="1">
      <c r="A410" s="330">
        <f>IFERROR(__xludf.DUMMYFUNCTION("""COMPUTED_VALUE"""),46118.0)</f>
        <v>46118</v>
      </c>
      <c r="B410" s="319" t="str">
        <f>IFERROR(__xludf.DUMMYFUNCTION("""COMPUTED_VALUE"""),"A. 0")</f>
        <v>A. 0</v>
      </c>
      <c r="C410" s="320">
        <f>IFERROR(__xludf.DUMMYFUNCTION("""COMPUTED_VALUE"""),18659.0)</f>
        <v>18659</v>
      </c>
      <c r="D410" s="320">
        <f>IFERROR(__xludf.DUMMYFUNCTION("""COMPUTED_VALUE"""),17.35)</f>
        <v>17.35</v>
      </c>
      <c r="E410" s="320">
        <f>IFERROR(__xludf.DUMMYFUNCTION("""COMPUTED_VALUE"""),0.0)</f>
        <v>0</v>
      </c>
      <c r="F410" s="320">
        <f>IFERROR(__xludf.DUMMYFUNCTION("""COMPUTED_VALUE"""),0.0)</f>
        <v>0</v>
      </c>
      <c r="G410" s="320">
        <f>IFERROR(__xludf.DUMMYFUNCTION("""COMPUTED_VALUE"""),0.0)</f>
        <v>0</v>
      </c>
      <c r="H410" s="106"/>
      <c r="I410" s="320">
        <f>IFERROR(__xludf.DUMMYFUNCTION("""COMPUTED_VALUE"""),5.54)</f>
        <v>5.54</v>
      </c>
      <c r="J410" s="320">
        <f>IFERROR(__xludf.DUMMYFUNCTION("""COMPUTED_VALUE"""),2.2)</f>
        <v>2.2</v>
      </c>
      <c r="K410" s="320">
        <f>IFERROR(__xludf.DUMMYFUNCTION("""COMPUTED_VALUE"""),0.07)</f>
        <v>0.07</v>
      </c>
      <c r="L410" s="320">
        <f>IFERROR(__xludf.DUMMYFUNCTION("""COMPUTED_VALUE"""),0.0333)</f>
        <v>0.0333</v>
      </c>
      <c r="M410" s="320">
        <f>IFERROR(__xludf.DUMMYFUNCTION("""COMPUTED_VALUE"""),0.9741)</f>
        <v>0.9741</v>
      </c>
      <c r="N410" s="320">
        <f>IFERROR(__xludf.DUMMYFUNCTION("""COMPUTED_VALUE"""),0.7643)</f>
        <v>0.7643</v>
      </c>
      <c r="O410" s="320">
        <f>IFERROR(__xludf.DUMMYFUNCTION("""COMPUTED_VALUE"""),30.0747)</f>
        <v>30.0747</v>
      </c>
      <c r="P410" s="320">
        <f>IFERROR(__xludf.DUMMYFUNCTION("""COMPUTED_VALUE"""),35.43)</f>
        <v>35.43</v>
      </c>
      <c r="Q410" s="320">
        <f>IFERROR(__xludf.DUMMYFUNCTION("""COMPUTED_VALUE"""),35.33)</f>
        <v>35.33</v>
      </c>
      <c r="R410" s="320">
        <f>IFERROR(__xludf.DUMMYFUNCTION("""COMPUTED_VALUE"""),0.1)</f>
        <v>0.1</v>
      </c>
      <c r="S410" s="320">
        <f>IFERROR(__xludf.DUMMYFUNCTION("""COMPUTED_VALUE"""),0.0)</f>
        <v>0</v>
      </c>
      <c r="T410" s="320">
        <f>IFERROR(__xludf.DUMMYFUNCTION("""COMPUTED_VALUE"""),35.43)</f>
        <v>35.43</v>
      </c>
      <c r="U410" s="320">
        <f>IFERROR(__xludf.DUMMYFUNCTION("""COMPUTED_VALUE"""),2.31)</f>
        <v>2.31</v>
      </c>
      <c r="V410" s="320">
        <f>IFERROR(__xludf.DUMMYFUNCTION("""COMPUTED_VALUE"""),1.0491)</f>
        <v>1.0491</v>
      </c>
      <c r="W410" s="320">
        <f>IFERROR(__xludf.DUMMYFUNCTION("""COMPUTED_VALUE"""),0.0)</f>
        <v>0</v>
      </c>
      <c r="X410" s="320">
        <f>IFERROR(__xludf.DUMMYFUNCTION("""COMPUTED_VALUE"""),424.0)</f>
        <v>424</v>
      </c>
      <c r="Y410" s="320">
        <f>IFERROR(__xludf.DUMMYFUNCTION("""COMPUTED_VALUE"""),4391.0)</f>
        <v>4391</v>
      </c>
      <c r="Z410" s="320">
        <f>IFERROR(__xludf.DUMMYFUNCTION("""COMPUTED_VALUE"""),16030.0)</f>
        <v>16030</v>
      </c>
      <c r="AA410" s="320">
        <f>IFERROR(__xludf.DUMMYFUNCTION("""COMPUTED_VALUE"""),49.5218)</f>
        <v>49.5218</v>
      </c>
      <c r="AB410" s="320">
        <f>IFERROR(__xludf.DUMMYFUNCTION("""COMPUTED_VALUE"""),0.5558)</f>
        <v>0.5558</v>
      </c>
      <c r="AC410" s="106"/>
      <c r="AD410" s="106"/>
      <c r="AE410" s="106"/>
      <c r="AF410" s="106"/>
      <c r="AG410" s="106"/>
      <c r="AH410" s="320">
        <f>IFERROR(__xludf.DUMMYFUNCTION("""COMPUTED_VALUE"""),0.0)</f>
        <v>0</v>
      </c>
      <c r="AI410" s="320">
        <f>IFERROR(__xludf.DUMMYFUNCTION("""COMPUTED_VALUE"""),0.0)</f>
        <v>0</v>
      </c>
      <c r="AJ410" s="320">
        <f>IFERROR(__xludf.DUMMYFUNCTION("""COMPUTED_VALUE"""),0.0)</f>
        <v>0</v>
      </c>
      <c r="AK410" s="320">
        <f>IFERROR(__xludf.DUMMYFUNCTION("""COMPUTED_VALUE"""),0.2805)</f>
        <v>0.2805</v>
      </c>
      <c r="AL410" s="320">
        <f>IFERROR(__xludf.DUMMYFUNCTION("""COMPUTED_VALUE"""),17.16)</f>
        <v>17.16</v>
      </c>
      <c r="AM410" s="320">
        <f>IFERROR(__xludf.DUMMYFUNCTION("""COMPUTED_VALUE"""),18.18)</f>
        <v>18.18</v>
      </c>
      <c r="AN410" s="331"/>
      <c r="AO410" s="331"/>
    </row>
    <row r="411" ht="15.75" customHeight="1">
      <c r="A411" s="330">
        <f>IFERROR(__xludf.DUMMYFUNCTION("""COMPUTED_VALUE"""),46118.0)</f>
        <v>46118</v>
      </c>
      <c r="B411" s="319" t="str">
        <f>IFERROR(__xludf.DUMMYFUNCTION("""COMPUTED_VALUE"""),"B. 1-9")</f>
        <v>B. 1-9</v>
      </c>
      <c r="C411" s="320">
        <f>IFERROR(__xludf.DUMMYFUNCTION("""COMPUTED_VALUE"""),36885.0)</f>
        <v>36885</v>
      </c>
      <c r="D411" s="320">
        <f>IFERROR(__xludf.DUMMYFUNCTION("""COMPUTED_VALUE"""),34.3)</f>
        <v>34.3</v>
      </c>
      <c r="E411" s="320">
        <f>IFERROR(__xludf.DUMMYFUNCTION("""COMPUTED_VALUE"""),0.0)</f>
        <v>0</v>
      </c>
      <c r="F411" s="320">
        <f>IFERROR(__xludf.DUMMYFUNCTION("""COMPUTED_VALUE"""),0.0)</f>
        <v>0</v>
      </c>
      <c r="G411" s="320">
        <f>IFERROR(__xludf.DUMMYFUNCTION("""COMPUTED_VALUE"""),0.0)</f>
        <v>0</v>
      </c>
      <c r="H411" s="106"/>
      <c r="I411" s="320">
        <f>IFERROR(__xludf.DUMMYFUNCTION("""COMPUTED_VALUE"""),31.74)</f>
        <v>31.74</v>
      </c>
      <c r="J411" s="320">
        <f>IFERROR(__xludf.DUMMYFUNCTION("""COMPUTED_VALUE"""),14.46)</f>
        <v>14.46</v>
      </c>
      <c r="K411" s="320">
        <f>IFERROR(__xludf.DUMMYFUNCTION("""COMPUTED_VALUE"""),5.85)</f>
        <v>5.85</v>
      </c>
      <c r="L411" s="320">
        <f>IFERROR(__xludf.DUMMYFUNCTION("""COMPUTED_VALUE"""),0.4044)</f>
        <v>0.4044</v>
      </c>
      <c r="M411" s="320">
        <f>IFERROR(__xludf.DUMMYFUNCTION("""COMPUTED_VALUE"""),0.7666)</f>
        <v>0.7666</v>
      </c>
      <c r="N411" s="320">
        <f>IFERROR(__xludf.DUMMYFUNCTION("""COMPUTED_VALUE"""),0.5725)</f>
        <v>0.5725</v>
      </c>
      <c r="O411" s="320">
        <f>IFERROR(__xludf.DUMMYFUNCTION("""COMPUTED_VALUE"""),2.4728)</f>
        <v>2.4728</v>
      </c>
      <c r="P411" s="320">
        <f>IFERROR(__xludf.DUMMYFUNCTION("""COMPUTED_VALUE"""),72.75)</f>
        <v>72.75</v>
      </c>
      <c r="Q411" s="320">
        <f>IFERROR(__xludf.DUMMYFUNCTION("""COMPUTED_VALUE"""),63.17)</f>
        <v>63.17</v>
      </c>
      <c r="R411" s="320">
        <f>IFERROR(__xludf.DUMMYFUNCTION("""COMPUTED_VALUE"""),9.59)</f>
        <v>9.59</v>
      </c>
      <c r="S411" s="320">
        <f>IFERROR(__xludf.DUMMYFUNCTION("""COMPUTED_VALUE"""),0.0)</f>
        <v>0</v>
      </c>
      <c r="T411" s="320">
        <f>IFERROR(__xludf.DUMMYFUNCTION("""COMPUTED_VALUE"""),72.75)</f>
        <v>72.75</v>
      </c>
      <c r="U411" s="320">
        <f>IFERROR(__xludf.DUMMYFUNCTION("""COMPUTED_VALUE"""),59.92)</f>
        <v>59.92</v>
      </c>
      <c r="V411" s="320">
        <f>IFERROR(__xludf.DUMMYFUNCTION("""COMPUTED_VALUE"""),4.1444)</f>
        <v>4.1444</v>
      </c>
      <c r="W411" s="320">
        <f>IFERROR(__xludf.DUMMYFUNCTION("""COMPUTED_VALUE"""),0.0)</f>
        <v>0</v>
      </c>
      <c r="X411" s="320">
        <f>IFERROR(__xludf.DUMMYFUNCTION("""COMPUTED_VALUE"""),161.0)</f>
        <v>161</v>
      </c>
      <c r="Y411" s="320">
        <f>IFERROR(__xludf.DUMMYFUNCTION("""COMPUTED_VALUE"""),888.0)</f>
        <v>888</v>
      </c>
      <c r="Z411" s="320">
        <f>IFERROR(__xludf.DUMMYFUNCTION("""COMPUTED_VALUE"""),5940.0)</f>
        <v>5940</v>
      </c>
      <c r="AA411" s="320">
        <f>IFERROR(__xludf.DUMMYFUNCTION("""COMPUTED_VALUE"""),48.6953)</f>
        <v>48.6953</v>
      </c>
      <c r="AB411" s="320">
        <f>IFERROR(__xludf.DUMMYFUNCTION("""COMPUTED_VALUE"""),0.5324)</f>
        <v>0.5324</v>
      </c>
      <c r="AC411" s="320">
        <f>IFERROR(__xludf.DUMMYFUNCTION("""COMPUTED_VALUE"""),4.05)</f>
        <v>4.05</v>
      </c>
      <c r="AD411" s="320">
        <f>IFERROR(__xludf.DUMMYFUNCTION("""COMPUTED_VALUE"""),1.0)</f>
        <v>1</v>
      </c>
      <c r="AE411" s="320">
        <f>IFERROR(__xludf.DUMMYFUNCTION("""COMPUTED_VALUE"""),3.0)</f>
        <v>3</v>
      </c>
      <c r="AF411" s="320">
        <f>IFERROR(__xludf.DUMMYFUNCTION("""COMPUTED_VALUE"""),5.0)</f>
        <v>5</v>
      </c>
      <c r="AG411" s="320">
        <f>IFERROR(__xludf.DUMMYFUNCTION("""COMPUTED_VALUE"""),9.0)</f>
        <v>9</v>
      </c>
      <c r="AH411" s="320">
        <f>IFERROR(__xludf.DUMMYFUNCTION("""COMPUTED_VALUE"""),74.32)</f>
        <v>74.32</v>
      </c>
      <c r="AI411" s="320">
        <f>IFERROR(__xludf.DUMMYFUNCTION("""COMPUTED_VALUE"""),31.56)</f>
        <v>31.56</v>
      </c>
      <c r="AJ411" s="320">
        <f>IFERROR(__xludf.DUMMYFUNCTION("""COMPUTED_VALUE"""),8.55)</f>
        <v>8.55</v>
      </c>
      <c r="AK411" s="320">
        <f>IFERROR(__xludf.DUMMYFUNCTION("""COMPUTED_VALUE"""),0.2483)</f>
        <v>0.2483</v>
      </c>
      <c r="AL411" s="320">
        <f>IFERROR(__xludf.DUMMYFUNCTION("""COMPUTED_VALUE"""),18.1)</f>
        <v>18.1</v>
      </c>
      <c r="AM411" s="320">
        <f>IFERROR(__xludf.DUMMYFUNCTION("""COMPUTED_VALUE"""),45.07)</f>
        <v>45.07</v>
      </c>
      <c r="AN411" s="320">
        <f>IFERROR(__xludf.DUMMYFUNCTION("""COMPUTED_VALUE"""),65.44)</f>
        <v>65.44</v>
      </c>
      <c r="AO411" s="320">
        <f>IFERROR(__xludf.DUMMYFUNCTION("""COMPUTED_VALUE"""),11.84)</f>
        <v>11.84</v>
      </c>
    </row>
    <row r="412" ht="15.75" customHeight="1">
      <c r="A412" s="330">
        <f>IFERROR(__xludf.DUMMYFUNCTION("""COMPUTED_VALUE"""),46118.0)</f>
        <v>46118</v>
      </c>
      <c r="B412" s="319" t="str">
        <f>IFERROR(__xludf.DUMMYFUNCTION("""COMPUTED_VALUE"""),"C. 10-19")</f>
        <v>C. 10-19</v>
      </c>
      <c r="C412" s="320">
        <f>IFERROR(__xludf.DUMMYFUNCTION("""COMPUTED_VALUE"""),28446.0)</f>
        <v>28446</v>
      </c>
      <c r="D412" s="320">
        <f>IFERROR(__xludf.DUMMYFUNCTION("""COMPUTED_VALUE"""),26.45)</f>
        <v>26.45</v>
      </c>
      <c r="E412" s="320">
        <f>IFERROR(__xludf.DUMMYFUNCTION("""COMPUTED_VALUE"""),0.0)</f>
        <v>0</v>
      </c>
      <c r="F412" s="320">
        <f>IFERROR(__xludf.DUMMYFUNCTION("""COMPUTED_VALUE"""),0.0)</f>
        <v>0</v>
      </c>
      <c r="G412" s="320">
        <f>IFERROR(__xludf.DUMMYFUNCTION("""COMPUTED_VALUE"""),0.0)</f>
        <v>0</v>
      </c>
      <c r="H412" s="106"/>
      <c r="I412" s="320">
        <f>IFERROR(__xludf.DUMMYFUNCTION("""COMPUTED_VALUE"""),61.06)</f>
        <v>61.06</v>
      </c>
      <c r="J412" s="320">
        <f>IFERROR(__xludf.DUMMYFUNCTION("""COMPUTED_VALUE"""),28.75)</f>
        <v>28.75</v>
      </c>
      <c r="K412" s="320">
        <f>IFERROR(__xludf.DUMMYFUNCTION("""COMPUTED_VALUE"""),15.01)</f>
        <v>15.01</v>
      </c>
      <c r="L412" s="320">
        <f>IFERROR(__xludf.DUMMYFUNCTION("""COMPUTED_VALUE"""),0.5221)</f>
        <v>0.5221</v>
      </c>
      <c r="M412" s="320">
        <f>IFERROR(__xludf.DUMMYFUNCTION("""COMPUTED_VALUE"""),0.6761)</f>
        <v>0.6761</v>
      </c>
      <c r="N412" s="320">
        <f>IFERROR(__xludf.DUMMYFUNCTION("""COMPUTED_VALUE"""),0.4829)</f>
        <v>0.4829</v>
      </c>
      <c r="O412" s="320">
        <f>IFERROR(__xludf.DUMMYFUNCTION("""COMPUTED_VALUE"""),1.9154)</f>
        <v>1.9154</v>
      </c>
      <c r="P412" s="320">
        <f>IFERROR(__xludf.DUMMYFUNCTION("""COMPUTED_VALUE"""),127.52)</f>
        <v>127.52</v>
      </c>
      <c r="Q412" s="320">
        <f>IFERROR(__xludf.DUMMYFUNCTION("""COMPUTED_VALUE"""),103.72)</f>
        <v>103.72</v>
      </c>
      <c r="R412" s="320">
        <f>IFERROR(__xludf.DUMMYFUNCTION("""COMPUTED_VALUE"""),23.8)</f>
        <v>23.8</v>
      </c>
      <c r="S412" s="320">
        <f>IFERROR(__xludf.DUMMYFUNCTION("""COMPUTED_VALUE"""),0.0)</f>
        <v>0</v>
      </c>
      <c r="T412" s="320">
        <f>IFERROR(__xludf.DUMMYFUNCTION("""COMPUTED_VALUE"""),127.52)</f>
        <v>127.52</v>
      </c>
      <c r="U412" s="320">
        <f>IFERROR(__xludf.DUMMYFUNCTION("""COMPUTED_VALUE"""),113.62)</f>
        <v>113.62</v>
      </c>
      <c r="V412" s="320">
        <f>IFERROR(__xludf.DUMMYFUNCTION("""COMPUTED_VALUE"""),3.9521)</f>
        <v>3.9521</v>
      </c>
      <c r="W412" s="320">
        <f>IFERROR(__xludf.DUMMYFUNCTION("""COMPUTED_VALUE"""),0.0)</f>
        <v>0</v>
      </c>
      <c r="X412" s="320">
        <f>IFERROR(__xludf.DUMMYFUNCTION("""COMPUTED_VALUE"""),130.0)</f>
        <v>130</v>
      </c>
      <c r="Y412" s="320">
        <f>IFERROR(__xludf.DUMMYFUNCTION("""COMPUTED_VALUE"""),698.0)</f>
        <v>698</v>
      </c>
      <c r="Z412" s="320">
        <f>IFERROR(__xludf.DUMMYFUNCTION("""COMPUTED_VALUE"""),5491.0)</f>
        <v>5491</v>
      </c>
      <c r="AA412" s="320">
        <f>IFERROR(__xludf.DUMMYFUNCTION("""COMPUTED_VALUE"""),51.982)</f>
        <v>51.982</v>
      </c>
      <c r="AB412" s="320">
        <f>IFERROR(__xludf.DUMMYFUNCTION("""COMPUTED_VALUE"""),0.586)</f>
        <v>0.586</v>
      </c>
      <c r="AC412" s="320">
        <f>IFERROR(__xludf.DUMMYFUNCTION("""COMPUTED_VALUE"""),9.57)</f>
        <v>9.57</v>
      </c>
      <c r="AD412" s="320">
        <f>IFERROR(__xludf.DUMMYFUNCTION("""COMPUTED_VALUE"""),4.0)</f>
        <v>4</v>
      </c>
      <c r="AE412" s="320">
        <f>IFERROR(__xludf.DUMMYFUNCTION("""COMPUTED_VALUE"""),8.0)</f>
        <v>8</v>
      </c>
      <c r="AF412" s="320">
        <f>IFERROR(__xludf.DUMMYFUNCTION("""COMPUTED_VALUE"""),13.0)</f>
        <v>13</v>
      </c>
      <c r="AG412" s="320">
        <f>IFERROR(__xludf.DUMMYFUNCTION("""COMPUTED_VALUE"""),20.0)</f>
        <v>20</v>
      </c>
      <c r="AH412" s="320">
        <f>IFERROR(__xludf.DUMMYFUNCTION("""COMPUTED_VALUE"""),62.32)</f>
        <v>62.32</v>
      </c>
      <c r="AI412" s="320">
        <f>IFERROR(__xludf.DUMMYFUNCTION("""COMPUTED_VALUE"""),26.99)</f>
        <v>26.99</v>
      </c>
      <c r="AJ412" s="320">
        <f>IFERROR(__xludf.DUMMYFUNCTION("""COMPUTED_VALUE"""),4.64)</f>
        <v>4.64</v>
      </c>
      <c r="AK412" s="320">
        <f>IFERROR(__xludf.DUMMYFUNCTION("""COMPUTED_VALUE"""),0.1898)</f>
        <v>0.1898</v>
      </c>
      <c r="AL412" s="320">
        <f>IFERROR(__xludf.DUMMYFUNCTION("""COMPUTED_VALUE"""),18.98)</f>
        <v>18.98</v>
      </c>
      <c r="AM412" s="320">
        <f>IFERROR(__xludf.DUMMYFUNCTION("""COMPUTED_VALUE"""),84.74)</f>
        <v>84.74</v>
      </c>
      <c r="AN412" s="320">
        <f>IFERROR(__xludf.DUMMYFUNCTION("""COMPUTED_VALUE"""),72.01)</f>
        <v>72.01</v>
      </c>
      <c r="AO412" s="320">
        <f>IFERROR(__xludf.DUMMYFUNCTION("""COMPUTED_VALUE"""),13.67)</f>
        <v>13.67</v>
      </c>
    </row>
    <row r="413" ht="15.75" customHeight="1">
      <c r="A413" s="330">
        <f>IFERROR(__xludf.DUMMYFUNCTION("""COMPUTED_VALUE"""),46118.0)</f>
        <v>46118</v>
      </c>
      <c r="B413" s="319" t="str">
        <f>IFERROR(__xludf.DUMMYFUNCTION("""COMPUTED_VALUE"""),"D. 20-39")</f>
        <v>D. 20-39</v>
      </c>
      <c r="C413" s="320">
        <f>IFERROR(__xludf.DUMMYFUNCTION("""COMPUTED_VALUE"""),16382.0)</f>
        <v>16382</v>
      </c>
      <c r="D413" s="320">
        <f>IFERROR(__xludf.DUMMYFUNCTION("""COMPUTED_VALUE"""),15.23)</f>
        <v>15.23</v>
      </c>
      <c r="E413" s="320">
        <f>IFERROR(__xludf.DUMMYFUNCTION("""COMPUTED_VALUE"""),0.0)</f>
        <v>0</v>
      </c>
      <c r="F413" s="320">
        <f>IFERROR(__xludf.DUMMYFUNCTION("""COMPUTED_VALUE"""),0.0)</f>
        <v>0</v>
      </c>
      <c r="G413" s="320">
        <f>IFERROR(__xludf.DUMMYFUNCTION("""COMPUTED_VALUE"""),0.0)</f>
        <v>0</v>
      </c>
      <c r="H413" s="106"/>
      <c r="I413" s="320">
        <f>IFERROR(__xludf.DUMMYFUNCTION("""COMPUTED_VALUE"""),93.43)</f>
        <v>93.43</v>
      </c>
      <c r="J413" s="320">
        <f>IFERROR(__xludf.DUMMYFUNCTION("""COMPUTED_VALUE"""),46.17)</f>
        <v>46.17</v>
      </c>
      <c r="K413" s="320">
        <f>IFERROR(__xludf.DUMMYFUNCTION("""COMPUTED_VALUE"""),30.24)</f>
        <v>30.24</v>
      </c>
      <c r="L413" s="320">
        <f>IFERROR(__xludf.DUMMYFUNCTION("""COMPUTED_VALUE"""),0.655)</f>
        <v>0.655</v>
      </c>
      <c r="M413" s="320">
        <f>IFERROR(__xludf.DUMMYFUNCTION("""COMPUTED_VALUE"""),0.5506)</f>
        <v>0.5506</v>
      </c>
      <c r="N413" s="320">
        <f>IFERROR(__xludf.DUMMYFUNCTION("""COMPUTED_VALUE"""),0.389)</f>
        <v>0.389</v>
      </c>
      <c r="O413" s="320">
        <f>IFERROR(__xludf.DUMMYFUNCTION("""COMPUTED_VALUE"""),1.5266)</f>
        <v>1.5266</v>
      </c>
      <c r="P413" s="320">
        <f>IFERROR(__xludf.DUMMYFUNCTION("""COMPUTED_VALUE"""),217.78)</f>
        <v>217.78</v>
      </c>
      <c r="Q413" s="320">
        <f>IFERROR(__xludf.DUMMYFUNCTION("""COMPUTED_VALUE"""),170.4)</f>
        <v>170.4</v>
      </c>
      <c r="R413" s="320">
        <f>IFERROR(__xludf.DUMMYFUNCTION("""COMPUTED_VALUE"""),47.38)</f>
        <v>47.38</v>
      </c>
      <c r="S413" s="320">
        <f>IFERROR(__xludf.DUMMYFUNCTION("""COMPUTED_VALUE"""),0.0)</f>
        <v>0</v>
      </c>
      <c r="T413" s="320">
        <f>IFERROR(__xludf.DUMMYFUNCTION("""COMPUTED_VALUE"""),217.78)</f>
        <v>217.78</v>
      </c>
      <c r="U413" s="320">
        <f>IFERROR(__xludf.DUMMYFUNCTION("""COMPUTED_VALUE"""),204.71)</f>
        <v>204.71</v>
      </c>
      <c r="V413" s="320">
        <f>IFERROR(__xludf.DUMMYFUNCTION("""COMPUTED_VALUE"""),4.4342)</f>
        <v>4.4342</v>
      </c>
      <c r="W413" s="320">
        <f>IFERROR(__xludf.DUMMYFUNCTION("""COMPUTED_VALUE"""),0.0)</f>
        <v>0</v>
      </c>
      <c r="X413" s="320">
        <f>IFERROR(__xludf.DUMMYFUNCTION("""COMPUTED_VALUE"""),154.0)</f>
        <v>154</v>
      </c>
      <c r="Y413" s="320">
        <f>IFERROR(__xludf.DUMMYFUNCTION("""COMPUTED_VALUE"""),1138.0)</f>
        <v>1138</v>
      </c>
      <c r="Z413" s="320">
        <f>IFERROR(__xludf.DUMMYFUNCTION("""COMPUTED_VALUE"""),7593.0)</f>
        <v>7593</v>
      </c>
      <c r="AA413" s="320">
        <f>IFERROR(__xludf.DUMMYFUNCTION("""COMPUTED_VALUE"""),55.0624)</f>
        <v>55.0624</v>
      </c>
      <c r="AB413" s="320">
        <f>IFERROR(__xludf.DUMMYFUNCTION("""COMPUTED_VALUE"""),0.6431)</f>
        <v>0.6431</v>
      </c>
      <c r="AC413" s="320">
        <f>IFERROR(__xludf.DUMMYFUNCTION("""COMPUTED_VALUE"""),18.58)</f>
        <v>18.58</v>
      </c>
      <c r="AD413" s="320">
        <f>IFERROR(__xludf.DUMMYFUNCTION("""COMPUTED_VALUE"""),8.0)</f>
        <v>8</v>
      </c>
      <c r="AE413" s="320">
        <f>IFERROR(__xludf.DUMMYFUNCTION("""COMPUTED_VALUE"""),15.0)</f>
        <v>15</v>
      </c>
      <c r="AF413" s="320">
        <f>IFERROR(__xludf.DUMMYFUNCTION("""COMPUTED_VALUE"""),26.0)</f>
        <v>26</v>
      </c>
      <c r="AG413" s="320">
        <f>IFERROR(__xludf.DUMMYFUNCTION("""COMPUTED_VALUE"""),38.0)</f>
        <v>38</v>
      </c>
      <c r="AH413" s="320">
        <f>IFERROR(__xludf.DUMMYFUNCTION("""COMPUTED_VALUE"""),64.04)</f>
        <v>64.04</v>
      </c>
      <c r="AI413" s="320">
        <f>IFERROR(__xludf.DUMMYFUNCTION("""COMPUTED_VALUE"""),25.52)</f>
        <v>25.52</v>
      </c>
      <c r="AJ413" s="320">
        <f>IFERROR(__xludf.DUMMYFUNCTION("""COMPUTED_VALUE"""),6.07)</f>
        <v>6.07</v>
      </c>
      <c r="AK413" s="320">
        <f>IFERROR(__xludf.DUMMYFUNCTION("""COMPUTED_VALUE"""),0.1601)</f>
        <v>0.1601</v>
      </c>
      <c r="AL413" s="320">
        <f>IFERROR(__xludf.DUMMYFUNCTION("""COMPUTED_VALUE"""),19.87)</f>
        <v>19.87</v>
      </c>
      <c r="AM413" s="320">
        <f>IFERROR(__xludf.DUMMYFUNCTION("""COMPUTED_VALUE"""),150.53)</f>
        <v>150.53</v>
      </c>
      <c r="AN413" s="320">
        <f>IFERROR(__xludf.DUMMYFUNCTION("""COMPUTED_VALUE"""),71.69)</f>
        <v>71.69</v>
      </c>
      <c r="AO413" s="320">
        <f>IFERROR(__xludf.DUMMYFUNCTION("""COMPUTED_VALUE"""),14.24)</f>
        <v>14.24</v>
      </c>
    </row>
    <row r="414" ht="15.75" customHeight="1">
      <c r="A414" s="330">
        <f>IFERROR(__xludf.DUMMYFUNCTION("""COMPUTED_VALUE"""),46118.0)</f>
        <v>46118</v>
      </c>
      <c r="B414" s="319" t="str">
        <f>IFERROR(__xludf.DUMMYFUNCTION("""COMPUTED_VALUE"""),"E. 40-99")</f>
        <v>E. 40-99</v>
      </c>
      <c r="C414" s="320">
        <f>IFERROR(__xludf.DUMMYFUNCTION("""COMPUTED_VALUE"""),6570.0)</f>
        <v>6570</v>
      </c>
      <c r="D414" s="320">
        <f>IFERROR(__xludf.DUMMYFUNCTION("""COMPUTED_VALUE"""),6.11)</f>
        <v>6.11</v>
      </c>
      <c r="E414" s="320">
        <f>IFERROR(__xludf.DUMMYFUNCTION("""COMPUTED_VALUE"""),0.0)</f>
        <v>0</v>
      </c>
      <c r="F414" s="320">
        <f>IFERROR(__xludf.DUMMYFUNCTION("""COMPUTED_VALUE"""),0.0)</f>
        <v>0</v>
      </c>
      <c r="G414" s="320">
        <f>IFERROR(__xludf.DUMMYFUNCTION("""COMPUTED_VALUE"""),0.0)</f>
        <v>0</v>
      </c>
      <c r="H414" s="106"/>
      <c r="I414" s="320">
        <f>IFERROR(__xludf.DUMMYFUNCTION("""COMPUTED_VALUE"""),149.63)</f>
        <v>149.63</v>
      </c>
      <c r="J414" s="320">
        <f>IFERROR(__xludf.DUMMYFUNCTION("""COMPUTED_VALUE"""),78.94)</f>
        <v>78.94</v>
      </c>
      <c r="K414" s="320">
        <f>IFERROR(__xludf.DUMMYFUNCTION("""COMPUTED_VALUE"""),61.07)</f>
        <v>61.07</v>
      </c>
      <c r="L414" s="320">
        <f>IFERROR(__xludf.DUMMYFUNCTION("""COMPUTED_VALUE"""),0.7736)</f>
        <v>0.7736</v>
      </c>
      <c r="M414" s="320">
        <f>IFERROR(__xludf.DUMMYFUNCTION("""COMPUTED_VALUE"""),0.4189)</f>
        <v>0.4189</v>
      </c>
      <c r="N414" s="320">
        <f>IFERROR(__xludf.DUMMYFUNCTION("""COMPUTED_VALUE"""),0.3013)</f>
        <v>0.3013</v>
      </c>
      <c r="O414" s="320">
        <f>IFERROR(__xludf.DUMMYFUNCTION("""COMPUTED_VALUE"""),1.2927)</f>
        <v>1.2927</v>
      </c>
      <c r="P414" s="320">
        <f>IFERROR(__xludf.DUMMYFUNCTION("""COMPUTED_VALUE"""),369.13)</f>
        <v>369.13</v>
      </c>
      <c r="Q414" s="320">
        <f>IFERROR(__xludf.DUMMYFUNCTION("""COMPUTED_VALUE"""),273.99)</f>
        <v>273.99</v>
      </c>
      <c r="R414" s="320">
        <f>IFERROR(__xludf.DUMMYFUNCTION("""COMPUTED_VALUE"""),95.14)</f>
        <v>95.14</v>
      </c>
      <c r="S414" s="320">
        <f>IFERROR(__xludf.DUMMYFUNCTION("""COMPUTED_VALUE"""),0.0)</f>
        <v>0</v>
      </c>
      <c r="T414" s="320">
        <f>IFERROR(__xludf.DUMMYFUNCTION("""COMPUTED_VALUE"""),369.13)</f>
        <v>369.13</v>
      </c>
      <c r="U414" s="320">
        <f>IFERROR(__xludf.DUMMYFUNCTION("""COMPUTED_VALUE"""),387.13)</f>
        <v>387.13</v>
      </c>
      <c r="V414" s="320">
        <f>IFERROR(__xludf.DUMMYFUNCTION("""COMPUTED_VALUE"""),4.9041)</f>
        <v>4.9041</v>
      </c>
      <c r="W414" s="320">
        <f>IFERROR(__xludf.DUMMYFUNCTION("""COMPUTED_VALUE"""),0.0)</f>
        <v>0</v>
      </c>
      <c r="X414" s="320">
        <f>IFERROR(__xludf.DUMMYFUNCTION("""COMPUTED_VALUE"""),249.0)</f>
        <v>249</v>
      </c>
      <c r="Y414" s="320">
        <f>IFERROR(__xludf.DUMMYFUNCTION("""COMPUTED_VALUE"""),2369.0)</f>
        <v>2369</v>
      </c>
      <c r="Z414" s="320">
        <f>IFERROR(__xludf.DUMMYFUNCTION("""COMPUTED_VALUE"""),10922.0)</f>
        <v>10922</v>
      </c>
      <c r="AA414" s="320">
        <f>IFERROR(__xludf.DUMMYFUNCTION("""COMPUTED_VALUE"""),58.2834)</f>
        <v>58.2834</v>
      </c>
      <c r="AB414" s="320">
        <f>IFERROR(__xludf.DUMMYFUNCTION("""COMPUTED_VALUE"""),0.707)</f>
        <v>0.707</v>
      </c>
      <c r="AC414" s="320">
        <f>IFERROR(__xludf.DUMMYFUNCTION("""COMPUTED_VALUE"""),36.49)</f>
        <v>36.49</v>
      </c>
      <c r="AD414" s="320">
        <f>IFERROR(__xludf.DUMMYFUNCTION("""COMPUTED_VALUE"""),16.0)</f>
        <v>16</v>
      </c>
      <c r="AE414" s="320">
        <f>IFERROR(__xludf.DUMMYFUNCTION("""COMPUTED_VALUE"""),30.0)</f>
        <v>30</v>
      </c>
      <c r="AF414" s="320">
        <f>IFERROR(__xludf.DUMMYFUNCTION("""COMPUTED_VALUE"""),47.0)</f>
        <v>47</v>
      </c>
      <c r="AG414" s="320">
        <f>IFERROR(__xludf.DUMMYFUNCTION("""COMPUTED_VALUE"""),72.0)</f>
        <v>72</v>
      </c>
      <c r="AH414" s="320">
        <f>IFERROR(__xludf.DUMMYFUNCTION("""COMPUTED_VALUE"""),53.93)</f>
        <v>53.93</v>
      </c>
      <c r="AI414" s="320">
        <f>IFERROR(__xludf.DUMMYFUNCTION("""COMPUTED_VALUE"""),16.54)</f>
        <v>16.54</v>
      </c>
      <c r="AJ414" s="320">
        <f>IFERROR(__xludf.DUMMYFUNCTION("""COMPUTED_VALUE"""),3.97)</f>
        <v>3.97</v>
      </c>
      <c r="AK414" s="320">
        <f>IFERROR(__xludf.DUMMYFUNCTION("""COMPUTED_VALUE"""),0.1161)</f>
        <v>0.1161</v>
      </c>
      <c r="AL414" s="320">
        <f>IFERROR(__xludf.DUMMYFUNCTION("""COMPUTED_VALUE"""),21.32)</f>
        <v>21.32</v>
      </c>
      <c r="AM414" s="320">
        <f>IFERROR(__xludf.DUMMYFUNCTION("""COMPUTED_VALUE"""),252.67)</f>
        <v>252.67</v>
      </c>
      <c r="AN414" s="320">
        <f>IFERROR(__xludf.DUMMYFUNCTION("""COMPUTED_VALUE"""),74.13)</f>
        <v>74.13</v>
      </c>
      <c r="AO414" s="320">
        <f>IFERROR(__xludf.DUMMYFUNCTION("""COMPUTED_VALUE"""),15.8)</f>
        <v>15.8</v>
      </c>
    </row>
    <row r="415" ht="15.75" customHeight="1">
      <c r="A415" s="330">
        <f>IFERROR(__xludf.DUMMYFUNCTION("""COMPUTED_VALUE"""),46118.0)</f>
        <v>46118</v>
      </c>
      <c r="B415" s="319" t="str">
        <f>IFERROR(__xludf.DUMMYFUNCTION("""COMPUTED_VALUE"""),"F. 100+")</f>
        <v>F. 100+</v>
      </c>
      <c r="C415" s="320">
        <f>IFERROR(__xludf.DUMMYFUNCTION("""COMPUTED_VALUE"""),588.0)</f>
        <v>588</v>
      </c>
      <c r="D415" s="320">
        <f>IFERROR(__xludf.DUMMYFUNCTION("""COMPUTED_VALUE"""),0.55)</f>
        <v>0.55</v>
      </c>
      <c r="E415" s="320">
        <f>IFERROR(__xludf.DUMMYFUNCTION("""COMPUTED_VALUE"""),0.0)</f>
        <v>0</v>
      </c>
      <c r="F415" s="320">
        <f>IFERROR(__xludf.DUMMYFUNCTION("""COMPUTED_VALUE"""),0.0)</f>
        <v>0</v>
      </c>
      <c r="G415" s="320">
        <f>IFERROR(__xludf.DUMMYFUNCTION("""COMPUTED_VALUE"""),0.0)</f>
        <v>0</v>
      </c>
      <c r="H415" s="106"/>
      <c r="I415" s="320">
        <f>IFERROR(__xludf.DUMMYFUNCTION("""COMPUTED_VALUE"""),255.42)</f>
        <v>255.42</v>
      </c>
      <c r="J415" s="320">
        <f>IFERROR(__xludf.DUMMYFUNCTION("""COMPUTED_VALUE"""),146.93)</f>
        <v>146.93</v>
      </c>
      <c r="K415" s="320">
        <f>IFERROR(__xludf.DUMMYFUNCTION("""COMPUTED_VALUE"""),126.24)</f>
        <v>126.24</v>
      </c>
      <c r="L415" s="320">
        <f>IFERROR(__xludf.DUMMYFUNCTION("""COMPUTED_VALUE"""),0.8592)</f>
        <v>0.8592</v>
      </c>
      <c r="M415" s="320">
        <f>IFERROR(__xludf.DUMMYFUNCTION("""COMPUTED_VALUE"""),0.3028)</f>
        <v>0.3028</v>
      </c>
      <c r="N415" s="320">
        <f>IFERROR(__xludf.DUMMYFUNCTION("""COMPUTED_VALUE"""),0.2266)</f>
        <v>0.2266</v>
      </c>
      <c r="O415" s="320">
        <f>IFERROR(__xludf.DUMMYFUNCTION("""COMPUTED_VALUE"""),1.1638)</f>
        <v>1.1638</v>
      </c>
      <c r="P415" s="320">
        <f>IFERROR(__xludf.DUMMYFUNCTION("""COMPUTED_VALUE"""),625.5)</f>
        <v>625.5</v>
      </c>
      <c r="Q415" s="320">
        <f>IFERROR(__xludf.DUMMYFUNCTION("""COMPUTED_VALUE"""),409.49)</f>
        <v>409.49</v>
      </c>
      <c r="R415" s="320">
        <f>IFERROR(__xludf.DUMMYFUNCTION("""COMPUTED_VALUE"""),216.01)</f>
        <v>216.01</v>
      </c>
      <c r="S415" s="320">
        <f>IFERROR(__xludf.DUMMYFUNCTION("""COMPUTED_VALUE"""),0.0)</f>
        <v>0</v>
      </c>
      <c r="T415" s="320">
        <f>IFERROR(__xludf.DUMMYFUNCTION("""COMPUTED_VALUE"""),625.5)</f>
        <v>625.5</v>
      </c>
      <c r="U415" s="320">
        <f>IFERROR(__xludf.DUMMYFUNCTION("""COMPUTED_VALUE"""),788.27)</f>
        <v>788.27</v>
      </c>
      <c r="V415" s="320">
        <f>IFERROR(__xludf.DUMMYFUNCTION("""COMPUTED_VALUE"""),5.3651)</f>
        <v>5.3651</v>
      </c>
      <c r="W415" s="320">
        <f>IFERROR(__xludf.DUMMYFUNCTION("""COMPUTED_VALUE"""),0.0)</f>
        <v>0</v>
      </c>
      <c r="X415" s="320">
        <f>IFERROR(__xludf.DUMMYFUNCTION("""COMPUTED_VALUE"""),998.0)</f>
        <v>998</v>
      </c>
      <c r="Y415" s="320">
        <f>IFERROR(__xludf.DUMMYFUNCTION("""COMPUTED_VALUE"""),5103.0)</f>
        <v>5103</v>
      </c>
      <c r="Z415" s="320">
        <f>IFERROR(__xludf.DUMMYFUNCTION("""COMPUTED_VALUE"""),14750.0)</f>
        <v>14750</v>
      </c>
      <c r="AA415" s="320">
        <f>IFERROR(__xludf.DUMMYFUNCTION("""COMPUTED_VALUE"""),62.5203)</f>
        <v>62.5203</v>
      </c>
      <c r="AB415" s="320">
        <f>IFERROR(__xludf.DUMMYFUNCTION("""COMPUTED_VALUE"""),0.8823)</f>
        <v>0.8823</v>
      </c>
      <c r="AC415" s="320">
        <f>IFERROR(__xludf.DUMMYFUNCTION("""COMPUTED_VALUE"""),85.02)</f>
        <v>85.02</v>
      </c>
      <c r="AD415" s="320">
        <f>IFERROR(__xludf.DUMMYFUNCTION("""COMPUTED_VALUE"""),34.0)</f>
        <v>34</v>
      </c>
      <c r="AE415" s="320">
        <f>IFERROR(__xludf.DUMMYFUNCTION("""COMPUTED_VALUE"""),69.0)</f>
        <v>69</v>
      </c>
      <c r="AF415" s="320">
        <f>IFERROR(__xludf.DUMMYFUNCTION("""COMPUTED_VALUE"""),119.0)</f>
        <v>119</v>
      </c>
      <c r="AG415" s="320">
        <f>IFERROR(__xludf.DUMMYFUNCTION("""COMPUTED_VALUE"""),177.0)</f>
        <v>177</v>
      </c>
      <c r="AH415" s="320">
        <f>IFERROR(__xludf.DUMMYFUNCTION("""COMPUTED_VALUE"""),44.73)</f>
        <v>44.73</v>
      </c>
      <c r="AI415" s="320">
        <f>IFERROR(__xludf.DUMMYFUNCTION("""COMPUTED_VALUE"""),10.2)</f>
        <v>10.2</v>
      </c>
      <c r="AJ415" s="320">
        <f>IFERROR(__xludf.DUMMYFUNCTION("""COMPUTED_VALUE"""),1.02)</f>
        <v>1.02</v>
      </c>
      <c r="AK415" s="320">
        <f>IFERROR(__xludf.DUMMYFUNCTION("""COMPUTED_VALUE"""),0.0816)</f>
        <v>0.0816</v>
      </c>
      <c r="AL415" s="320">
        <f>IFERROR(__xludf.DUMMYFUNCTION("""COMPUTED_VALUE"""),21.25)</f>
        <v>21.25</v>
      </c>
      <c r="AM415" s="320">
        <f>IFERROR(__xludf.DUMMYFUNCTION("""COMPUTED_VALUE"""),388.24)</f>
        <v>388.24</v>
      </c>
      <c r="AN415" s="320">
        <f>IFERROR(__xludf.DUMMYFUNCTION("""COMPUTED_VALUE"""),84.45)</f>
        <v>84.45</v>
      </c>
      <c r="AO415" s="320">
        <f>IFERROR(__xludf.DUMMYFUNCTION("""COMPUTED_VALUE"""),17.95)</f>
        <v>17.95</v>
      </c>
    </row>
    <row r="416" ht="15.75" customHeight="1">
      <c r="A416" s="330">
        <f>IFERROR(__xludf.DUMMYFUNCTION("""COMPUTED_VALUE"""),46119.0)</f>
        <v>46119</v>
      </c>
      <c r="B416" s="319" t="str">
        <f>IFERROR(__xludf.DUMMYFUNCTION("""COMPUTED_VALUE"""),"A. 0")</f>
        <v>A. 0</v>
      </c>
      <c r="C416" s="320">
        <f>IFERROR(__xludf.DUMMYFUNCTION("""COMPUTED_VALUE"""),19542.0)</f>
        <v>19542</v>
      </c>
      <c r="D416" s="320">
        <f>IFERROR(__xludf.DUMMYFUNCTION("""COMPUTED_VALUE"""),18.36)</f>
        <v>18.36</v>
      </c>
      <c r="E416" s="320">
        <f>IFERROR(__xludf.DUMMYFUNCTION("""COMPUTED_VALUE"""),0.0)</f>
        <v>0</v>
      </c>
      <c r="F416" s="320">
        <f>IFERROR(__xludf.DUMMYFUNCTION("""COMPUTED_VALUE"""),0.0)</f>
        <v>0</v>
      </c>
      <c r="G416" s="320">
        <f>IFERROR(__xludf.DUMMYFUNCTION("""COMPUTED_VALUE"""),0.0)</f>
        <v>0</v>
      </c>
      <c r="H416" s="106"/>
      <c r="I416" s="320">
        <f>IFERROR(__xludf.DUMMYFUNCTION("""COMPUTED_VALUE"""),5.7)</f>
        <v>5.7</v>
      </c>
      <c r="J416" s="320">
        <f>IFERROR(__xludf.DUMMYFUNCTION("""COMPUTED_VALUE"""),2.38)</f>
        <v>2.38</v>
      </c>
      <c r="K416" s="320">
        <f>IFERROR(__xludf.DUMMYFUNCTION("""COMPUTED_VALUE"""),0.04)</f>
        <v>0.04</v>
      </c>
      <c r="L416" s="320">
        <f>IFERROR(__xludf.DUMMYFUNCTION("""COMPUTED_VALUE"""),0.0187)</f>
        <v>0.0187</v>
      </c>
      <c r="M416" s="320">
        <f>IFERROR(__xludf.DUMMYFUNCTION("""COMPUTED_VALUE"""),0.9856)</f>
        <v>0.9856</v>
      </c>
      <c r="N416" s="320">
        <f>IFERROR(__xludf.DUMMYFUNCTION("""COMPUTED_VALUE"""),0.8293)</f>
        <v>0.8293</v>
      </c>
      <c r="O416" s="320">
        <f>IFERROR(__xludf.DUMMYFUNCTION("""COMPUTED_VALUE"""),53.5138)</f>
        <v>53.5138</v>
      </c>
      <c r="P416" s="320">
        <f>IFERROR(__xludf.DUMMYFUNCTION("""COMPUTED_VALUE"""),25.93)</f>
        <v>25.93</v>
      </c>
      <c r="Q416" s="320">
        <f>IFERROR(__xludf.DUMMYFUNCTION("""COMPUTED_VALUE"""),25.82)</f>
        <v>25.82</v>
      </c>
      <c r="R416" s="320">
        <f>IFERROR(__xludf.DUMMYFUNCTION("""COMPUTED_VALUE"""),0.11)</f>
        <v>0.11</v>
      </c>
      <c r="S416" s="320">
        <f>IFERROR(__xludf.DUMMYFUNCTION("""COMPUTED_VALUE"""),0.0)</f>
        <v>0</v>
      </c>
      <c r="T416" s="320">
        <f>IFERROR(__xludf.DUMMYFUNCTION("""COMPUTED_VALUE"""),25.93)</f>
        <v>25.93</v>
      </c>
      <c r="U416" s="320">
        <f>IFERROR(__xludf.DUMMYFUNCTION("""COMPUTED_VALUE"""),2.03)</f>
        <v>2.03</v>
      </c>
      <c r="V416" s="320">
        <f>IFERROR(__xludf.DUMMYFUNCTION("""COMPUTED_VALUE"""),0.8536)</f>
        <v>0.8536</v>
      </c>
      <c r="W416" s="320">
        <f>IFERROR(__xludf.DUMMYFUNCTION("""COMPUTED_VALUE"""),0.0)</f>
        <v>0</v>
      </c>
      <c r="X416" s="320">
        <f>IFERROR(__xludf.DUMMYFUNCTION("""COMPUTED_VALUE"""),376.0)</f>
        <v>376</v>
      </c>
      <c r="Y416" s="320">
        <f>IFERROR(__xludf.DUMMYFUNCTION("""COMPUTED_VALUE"""),4017.0)</f>
        <v>4017</v>
      </c>
      <c r="Z416" s="320">
        <f>IFERROR(__xludf.DUMMYFUNCTION("""COMPUTED_VALUE"""),15352.0)</f>
        <v>15352</v>
      </c>
      <c r="AA416" s="320">
        <f>IFERROR(__xludf.DUMMYFUNCTION("""COMPUTED_VALUE"""),49.108)</f>
        <v>49.108</v>
      </c>
      <c r="AB416" s="320">
        <f>IFERROR(__xludf.DUMMYFUNCTION("""COMPUTED_VALUE"""),0.5448)</f>
        <v>0.5448</v>
      </c>
      <c r="AC416" s="106"/>
      <c r="AD416" s="106"/>
      <c r="AE416" s="106"/>
      <c r="AF416" s="106"/>
      <c r="AG416" s="106"/>
      <c r="AH416" s="320">
        <f>IFERROR(__xludf.DUMMYFUNCTION("""COMPUTED_VALUE"""),0.0)</f>
        <v>0</v>
      </c>
      <c r="AI416" s="320">
        <f>IFERROR(__xludf.DUMMYFUNCTION("""COMPUTED_VALUE"""),0.0)</f>
        <v>0</v>
      </c>
      <c r="AJ416" s="320">
        <f>IFERROR(__xludf.DUMMYFUNCTION("""COMPUTED_VALUE"""),0.0)</f>
        <v>0</v>
      </c>
      <c r="AK416" s="320">
        <f>IFERROR(__xludf.DUMMYFUNCTION("""COMPUTED_VALUE"""),0.2724)</f>
        <v>0.2724</v>
      </c>
      <c r="AL416" s="320">
        <f>IFERROR(__xludf.DUMMYFUNCTION("""COMPUTED_VALUE"""),15.99)</f>
        <v>15.99</v>
      </c>
      <c r="AM416" s="320">
        <f>IFERROR(__xludf.DUMMYFUNCTION("""COMPUTED_VALUE"""),9.82)</f>
        <v>9.82</v>
      </c>
      <c r="AN416" s="331"/>
      <c r="AO416" s="331"/>
    </row>
    <row r="417" ht="15.75" customHeight="1">
      <c r="A417" s="330">
        <f>IFERROR(__xludf.DUMMYFUNCTION("""COMPUTED_VALUE"""),46119.0)</f>
        <v>46119</v>
      </c>
      <c r="B417" s="319" t="str">
        <f>IFERROR(__xludf.DUMMYFUNCTION("""COMPUTED_VALUE"""),"B. 1-9")</f>
        <v>B. 1-9</v>
      </c>
      <c r="C417" s="320">
        <f>IFERROR(__xludf.DUMMYFUNCTION("""COMPUTED_VALUE"""),37376.0)</f>
        <v>37376</v>
      </c>
      <c r="D417" s="320">
        <f>IFERROR(__xludf.DUMMYFUNCTION("""COMPUTED_VALUE"""),35.11)</f>
        <v>35.11</v>
      </c>
      <c r="E417" s="320">
        <f>IFERROR(__xludf.DUMMYFUNCTION("""COMPUTED_VALUE"""),0.0)</f>
        <v>0</v>
      </c>
      <c r="F417" s="320">
        <f>IFERROR(__xludf.DUMMYFUNCTION("""COMPUTED_VALUE"""),0.0)</f>
        <v>0</v>
      </c>
      <c r="G417" s="320">
        <f>IFERROR(__xludf.DUMMYFUNCTION("""COMPUTED_VALUE"""),0.0)</f>
        <v>0</v>
      </c>
      <c r="H417" s="106"/>
      <c r="I417" s="320">
        <f>IFERROR(__xludf.DUMMYFUNCTION("""COMPUTED_VALUE"""),28.21)</f>
        <v>28.21</v>
      </c>
      <c r="J417" s="320">
        <f>IFERROR(__xludf.DUMMYFUNCTION("""COMPUTED_VALUE"""),12.75)</f>
        <v>12.75</v>
      </c>
      <c r="K417" s="320">
        <f>IFERROR(__xludf.DUMMYFUNCTION("""COMPUTED_VALUE"""),5.49)</f>
        <v>5.49</v>
      </c>
      <c r="L417" s="320">
        <f>IFERROR(__xludf.DUMMYFUNCTION("""COMPUTED_VALUE"""),0.4305)</f>
        <v>0.4305</v>
      </c>
      <c r="M417" s="320">
        <f>IFERROR(__xludf.DUMMYFUNCTION("""COMPUTED_VALUE"""),0.7499)</f>
        <v>0.7499</v>
      </c>
      <c r="N417" s="320">
        <f>IFERROR(__xludf.DUMMYFUNCTION("""COMPUTED_VALUE"""),0.5655)</f>
        <v>0.5655</v>
      </c>
      <c r="O417" s="320">
        <f>IFERROR(__xludf.DUMMYFUNCTION("""COMPUTED_VALUE"""),2.3226)</f>
        <v>2.3226</v>
      </c>
      <c r="P417" s="320">
        <f>IFERROR(__xludf.DUMMYFUNCTION("""COMPUTED_VALUE"""),51.03)</f>
        <v>51.03</v>
      </c>
      <c r="Q417" s="320">
        <f>IFERROR(__xludf.DUMMYFUNCTION("""COMPUTED_VALUE"""),41.96)</f>
        <v>41.96</v>
      </c>
      <c r="R417" s="320">
        <f>IFERROR(__xludf.DUMMYFUNCTION("""COMPUTED_VALUE"""),9.07)</f>
        <v>9.07</v>
      </c>
      <c r="S417" s="320">
        <f>IFERROR(__xludf.DUMMYFUNCTION("""COMPUTED_VALUE"""),0.0)</f>
        <v>0</v>
      </c>
      <c r="T417" s="320">
        <f>IFERROR(__xludf.DUMMYFUNCTION("""COMPUTED_VALUE"""),51.03)</f>
        <v>51.03</v>
      </c>
      <c r="U417" s="320">
        <f>IFERROR(__xludf.DUMMYFUNCTION("""COMPUTED_VALUE"""),53.14)</f>
        <v>53.14</v>
      </c>
      <c r="V417" s="320">
        <f>IFERROR(__xludf.DUMMYFUNCTION("""COMPUTED_VALUE"""),4.1676)</f>
        <v>4.1676</v>
      </c>
      <c r="W417" s="320">
        <f>IFERROR(__xludf.DUMMYFUNCTION("""COMPUTED_VALUE"""),0.0)</f>
        <v>0</v>
      </c>
      <c r="X417" s="320">
        <f>IFERROR(__xludf.DUMMYFUNCTION("""COMPUTED_VALUE"""),150.0)</f>
        <v>150</v>
      </c>
      <c r="Y417" s="320">
        <f>IFERROR(__xludf.DUMMYFUNCTION("""COMPUTED_VALUE"""),872.0)</f>
        <v>872</v>
      </c>
      <c r="Z417" s="320">
        <f>IFERROR(__xludf.DUMMYFUNCTION("""COMPUTED_VALUE"""),5941.0)</f>
        <v>5941</v>
      </c>
      <c r="AA417" s="320">
        <f>IFERROR(__xludf.DUMMYFUNCTION("""COMPUTED_VALUE"""),48.9457)</f>
        <v>48.9457</v>
      </c>
      <c r="AB417" s="320">
        <f>IFERROR(__xludf.DUMMYFUNCTION("""COMPUTED_VALUE"""),0.537)</f>
        <v>0.537</v>
      </c>
      <c r="AC417" s="320">
        <f>IFERROR(__xludf.DUMMYFUNCTION("""COMPUTED_VALUE"""),4.0)</f>
        <v>4</v>
      </c>
      <c r="AD417" s="320">
        <f>IFERROR(__xludf.DUMMYFUNCTION("""COMPUTED_VALUE"""),1.0)</f>
        <v>1</v>
      </c>
      <c r="AE417" s="320">
        <f>IFERROR(__xludf.DUMMYFUNCTION("""COMPUTED_VALUE"""),3.0)</f>
        <v>3</v>
      </c>
      <c r="AF417" s="320">
        <f>IFERROR(__xludf.DUMMYFUNCTION("""COMPUTED_VALUE"""),5.0)</f>
        <v>5</v>
      </c>
      <c r="AG417" s="320">
        <f>IFERROR(__xludf.DUMMYFUNCTION("""COMPUTED_VALUE"""),9.0)</f>
        <v>9</v>
      </c>
      <c r="AH417" s="320">
        <f>IFERROR(__xludf.DUMMYFUNCTION("""COMPUTED_VALUE"""),73.04)</f>
        <v>73.04</v>
      </c>
      <c r="AI417" s="320">
        <f>IFERROR(__xludf.DUMMYFUNCTION("""COMPUTED_VALUE"""),31.11)</f>
        <v>31.11</v>
      </c>
      <c r="AJ417" s="320">
        <f>IFERROR(__xludf.DUMMYFUNCTION("""COMPUTED_VALUE"""),8.74)</f>
        <v>8.74</v>
      </c>
      <c r="AK417" s="320">
        <f>IFERROR(__xludf.DUMMYFUNCTION("""COMPUTED_VALUE"""),0.2351)</f>
        <v>0.2351</v>
      </c>
      <c r="AL417" s="320">
        <f>IFERROR(__xludf.DUMMYFUNCTION("""COMPUTED_VALUE"""),17.77)</f>
        <v>17.77</v>
      </c>
      <c r="AM417" s="320">
        <f>IFERROR(__xludf.DUMMYFUNCTION("""COMPUTED_VALUE"""),24.19)</f>
        <v>24.19</v>
      </c>
      <c r="AN417" s="320">
        <f>IFERROR(__xludf.DUMMYFUNCTION("""COMPUTED_VALUE"""),65.72)</f>
        <v>65.72</v>
      </c>
      <c r="AO417" s="320">
        <f>IFERROR(__xludf.DUMMYFUNCTION("""COMPUTED_VALUE"""),11.68)</f>
        <v>11.68</v>
      </c>
    </row>
    <row r="418" ht="15.75" customHeight="1">
      <c r="A418" s="330">
        <f>IFERROR(__xludf.DUMMYFUNCTION("""COMPUTED_VALUE"""),46119.0)</f>
        <v>46119</v>
      </c>
      <c r="B418" s="319" t="str">
        <f>IFERROR(__xludf.DUMMYFUNCTION("""COMPUTED_VALUE"""),"C. 10-19")</f>
        <v>C. 10-19</v>
      </c>
      <c r="C418" s="320">
        <f>IFERROR(__xludf.DUMMYFUNCTION("""COMPUTED_VALUE"""),27864.0)</f>
        <v>27864</v>
      </c>
      <c r="D418" s="320">
        <f>IFERROR(__xludf.DUMMYFUNCTION("""COMPUTED_VALUE"""),26.17)</f>
        <v>26.17</v>
      </c>
      <c r="E418" s="320">
        <f>IFERROR(__xludf.DUMMYFUNCTION("""COMPUTED_VALUE"""),0.0)</f>
        <v>0</v>
      </c>
      <c r="F418" s="320">
        <f>IFERROR(__xludf.DUMMYFUNCTION("""COMPUTED_VALUE"""),0.0)</f>
        <v>0</v>
      </c>
      <c r="G418" s="320">
        <f>IFERROR(__xludf.DUMMYFUNCTION("""COMPUTED_VALUE"""),0.0)</f>
        <v>0</v>
      </c>
      <c r="H418" s="106"/>
      <c r="I418" s="320">
        <f>IFERROR(__xludf.DUMMYFUNCTION("""COMPUTED_VALUE"""),53.44)</f>
        <v>53.44</v>
      </c>
      <c r="J418" s="320">
        <f>IFERROR(__xludf.DUMMYFUNCTION("""COMPUTED_VALUE"""),24.97)</f>
        <v>24.97</v>
      </c>
      <c r="K418" s="320">
        <f>IFERROR(__xludf.DUMMYFUNCTION("""COMPUTED_VALUE"""),13.82)</f>
        <v>13.82</v>
      </c>
      <c r="L418" s="320">
        <f>IFERROR(__xludf.DUMMYFUNCTION("""COMPUTED_VALUE"""),0.5534)</f>
        <v>0.5534</v>
      </c>
      <c r="M418" s="320">
        <f>IFERROR(__xludf.DUMMYFUNCTION("""COMPUTED_VALUE"""),0.6523)</f>
        <v>0.6523</v>
      </c>
      <c r="N418" s="320">
        <f>IFERROR(__xludf.DUMMYFUNCTION("""COMPUTED_VALUE"""),0.4683)</f>
        <v>0.4683</v>
      </c>
      <c r="O418" s="320">
        <f>IFERROR(__xludf.DUMMYFUNCTION("""COMPUTED_VALUE"""),1.8069)</f>
        <v>1.8069</v>
      </c>
      <c r="P418" s="320">
        <f>IFERROR(__xludf.DUMMYFUNCTION("""COMPUTED_VALUE"""),93.2)</f>
        <v>93.2</v>
      </c>
      <c r="Q418" s="320">
        <f>IFERROR(__xludf.DUMMYFUNCTION("""COMPUTED_VALUE"""),70.43)</f>
        <v>70.43</v>
      </c>
      <c r="R418" s="320">
        <f>IFERROR(__xludf.DUMMYFUNCTION("""COMPUTED_VALUE"""),22.77)</f>
        <v>22.77</v>
      </c>
      <c r="S418" s="320">
        <f>IFERROR(__xludf.DUMMYFUNCTION("""COMPUTED_VALUE"""),0.0)</f>
        <v>0</v>
      </c>
      <c r="T418" s="320">
        <f>IFERROR(__xludf.DUMMYFUNCTION("""COMPUTED_VALUE"""),93.2)</f>
        <v>93.2</v>
      </c>
      <c r="U418" s="320">
        <f>IFERROR(__xludf.DUMMYFUNCTION("""COMPUTED_VALUE"""),98.45)</f>
        <v>98.45</v>
      </c>
      <c r="V418" s="320">
        <f>IFERROR(__xludf.DUMMYFUNCTION("""COMPUTED_VALUE"""),3.9433)</f>
        <v>3.9433</v>
      </c>
      <c r="W418" s="320">
        <f>IFERROR(__xludf.DUMMYFUNCTION("""COMPUTED_VALUE"""),0.0)</f>
        <v>0</v>
      </c>
      <c r="X418" s="320">
        <f>IFERROR(__xludf.DUMMYFUNCTION("""COMPUTED_VALUE"""),128.0)</f>
        <v>128</v>
      </c>
      <c r="Y418" s="320">
        <f>IFERROR(__xludf.DUMMYFUNCTION("""COMPUTED_VALUE"""),725.0)</f>
        <v>725</v>
      </c>
      <c r="Z418" s="320">
        <f>IFERROR(__xludf.DUMMYFUNCTION("""COMPUTED_VALUE"""),5634.0)</f>
        <v>5634</v>
      </c>
      <c r="AA418" s="320">
        <f>IFERROR(__xludf.DUMMYFUNCTION("""COMPUTED_VALUE"""),52.101)</f>
        <v>52.101</v>
      </c>
      <c r="AB418" s="320">
        <f>IFERROR(__xludf.DUMMYFUNCTION("""COMPUTED_VALUE"""),0.5947)</f>
        <v>0.5947</v>
      </c>
      <c r="AC418" s="320">
        <f>IFERROR(__xludf.DUMMYFUNCTION("""COMPUTED_VALUE"""),9.0)</f>
        <v>9</v>
      </c>
      <c r="AD418" s="320">
        <f>IFERROR(__xludf.DUMMYFUNCTION("""COMPUTED_VALUE"""),3.0)</f>
        <v>3</v>
      </c>
      <c r="AE418" s="320">
        <f>IFERROR(__xludf.DUMMYFUNCTION("""COMPUTED_VALUE"""),7.0)</f>
        <v>7</v>
      </c>
      <c r="AF418" s="320">
        <f>IFERROR(__xludf.DUMMYFUNCTION("""COMPUTED_VALUE"""),12.0)</f>
        <v>12</v>
      </c>
      <c r="AG418" s="320">
        <f>IFERROR(__xludf.DUMMYFUNCTION("""COMPUTED_VALUE"""),19.0)</f>
        <v>19</v>
      </c>
      <c r="AH418" s="320">
        <f>IFERROR(__xludf.DUMMYFUNCTION("""COMPUTED_VALUE"""),59.32)</f>
        <v>59.32</v>
      </c>
      <c r="AI418" s="320">
        <f>IFERROR(__xludf.DUMMYFUNCTION("""COMPUTED_VALUE"""),24.17)</f>
        <v>24.17</v>
      </c>
      <c r="AJ418" s="320">
        <f>IFERROR(__xludf.DUMMYFUNCTION("""COMPUTED_VALUE"""),3.82)</f>
        <v>3.82</v>
      </c>
      <c r="AK418" s="320">
        <f>IFERROR(__xludf.DUMMYFUNCTION("""COMPUTED_VALUE"""),0.1821)</f>
        <v>0.1821</v>
      </c>
      <c r="AL418" s="320">
        <f>IFERROR(__xludf.DUMMYFUNCTION("""COMPUTED_VALUE"""),18.7)</f>
        <v>18.7</v>
      </c>
      <c r="AM418" s="320">
        <f>IFERROR(__xludf.DUMMYFUNCTION("""COMPUTED_VALUE"""),51.73)</f>
        <v>51.73</v>
      </c>
      <c r="AN418" s="320">
        <f>IFERROR(__xludf.DUMMYFUNCTION("""COMPUTED_VALUE"""),71.99)</f>
        <v>71.99</v>
      </c>
      <c r="AO418" s="320">
        <f>IFERROR(__xludf.DUMMYFUNCTION("""COMPUTED_VALUE"""),13.46)</f>
        <v>13.46</v>
      </c>
    </row>
    <row r="419" ht="15.75" customHeight="1">
      <c r="A419" s="330">
        <f>IFERROR(__xludf.DUMMYFUNCTION("""COMPUTED_VALUE"""),46119.0)</f>
        <v>46119</v>
      </c>
      <c r="B419" s="319" t="str">
        <f>IFERROR(__xludf.DUMMYFUNCTION("""COMPUTED_VALUE"""),"D. 20-39")</f>
        <v>D. 20-39</v>
      </c>
      <c r="C419" s="320">
        <f>IFERROR(__xludf.DUMMYFUNCTION("""COMPUTED_VALUE"""),15595.0)</f>
        <v>15595</v>
      </c>
      <c r="D419" s="320">
        <f>IFERROR(__xludf.DUMMYFUNCTION("""COMPUTED_VALUE"""),14.65)</f>
        <v>14.65</v>
      </c>
      <c r="E419" s="320">
        <f>IFERROR(__xludf.DUMMYFUNCTION("""COMPUTED_VALUE"""),0.0)</f>
        <v>0</v>
      </c>
      <c r="F419" s="320">
        <f>IFERROR(__xludf.DUMMYFUNCTION("""COMPUTED_VALUE"""),0.0)</f>
        <v>0</v>
      </c>
      <c r="G419" s="320">
        <f>IFERROR(__xludf.DUMMYFUNCTION("""COMPUTED_VALUE"""),0.0)</f>
        <v>0</v>
      </c>
      <c r="H419" s="106"/>
      <c r="I419" s="320">
        <f>IFERROR(__xludf.DUMMYFUNCTION("""COMPUTED_VALUE"""),83.95)</f>
        <v>83.95</v>
      </c>
      <c r="J419" s="320">
        <f>IFERROR(__xludf.DUMMYFUNCTION("""COMPUTED_VALUE"""),41.75)</f>
        <v>41.75</v>
      </c>
      <c r="K419" s="320">
        <f>IFERROR(__xludf.DUMMYFUNCTION("""COMPUTED_VALUE"""),28.28)</f>
        <v>28.28</v>
      </c>
      <c r="L419" s="320">
        <f>IFERROR(__xludf.DUMMYFUNCTION("""COMPUTED_VALUE"""),0.6774)</f>
        <v>0.6774</v>
      </c>
      <c r="M419" s="320">
        <f>IFERROR(__xludf.DUMMYFUNCTION("""COMPUTED_VALUE"""),0.5242)</f>
        <v>0.5242</v>
      </c>
      <c r="N419" s="320">
        <f>IFERROR(__xludf.DUMMYFUNCTION("""COMPUTED_VALUE"""),0.3677)</f>
        <v>0.3677</v>
      </c>
      <c r="O419" s="320">
        <f>IFERROR(__xludf.DUMMYFUNCTION("""COMPUTED_VALUE"""),1.4762)</f>
        <v>1.4762</v>
      </c>
      <c r="P419" s="320">
        <f>IFERROR(__xludf.DUMMYFUNCTION("""COMPUTED_VALUE"""),168.54)</f>
        <v>168.54</v>
      </c>
      <c r="Q419" s="320">
        <f>IFERROR(__xludf.DUMMYFUNCTION("""COMPUTED_VALUE"""),125.04)</f>
        <v>125.04</v>
      </c>
      <c r="R419" s="320">
        <f>IFERROR(__xludf.DUMMYFUNCTION("""COMPUTED_VALUE"""),43.5)</f>
        <v>43.5</v>
      </c>
      <c r="S419" s="320">
        <f>IFERROR(__xludf.DUMMYFUNCTION("""COMPUTED_VALUE"""),0.0)</f>
        <v>0</v>
      </c>
      <c r="T419" s="320">
        <f>IFERROR(__xludf.DUMMYFUNCTION("""COMPUTED_VALUE"""),168.54)</f>
        <v>168.54</v>
      </c>
      <c r="U419" s="320">
        <f>IFERROR(__xludf.DUMMYFUNCTION("""COMPUTED_VALUE"""),185.08)</f>
        <v>185.08</v>
      </c>
      <c r="V419" s="320">
        <f>IFERROR(__xludf.DUMMYFUNCTION("""COMPUTED_VALUE"""),4.4332)</f>
        <v>4.4332</v>
      </c>
      <c r="W419" s="320">
        <f>IFERROR(__xludf.DUMMYFUNCTION("""COMPUTED_VALUE"""),0.0)</f>
        <v>0</v>
      </c>
      <c r="X419" s="320">
        <f>IFERROR(__xludf.DUMMYFUNCTION("""COMPUTED_VALUE"""),152.0)</f>
        <v>152</v>
      </c>
      <c r="Y419" s="320">
        <f>IFERROR(__xludf.DUMMYFUNCTION("""COMPUTED_VALUE"""),1027.0)</f>
        <v>1027</v>
      </c>
      <c r="Z419" s="320">
        <f>IFERROR(__xludf.DUMMYFUNCTION("""COMPUTED_VALUE"""),7311.0)</f>
        <v>7311</v>
      </c>
      <c r="AA419" s="320">
        <f>IFERROR(__xludf.DUMMYFUNCTION("""COMPUTED_VALUE"""),55.2766)</f>
        <v>55.2766</v>
      </c>
      <c r="AB419" s="320">
        <f>IFERROR(__xludf.DUMMYFUNCTION("""COMPUTED_VALUE"""),0.6679)</f>
        <v>0.6679</v>
      </c>
      <c r="AC419" s="320">
        <f>IFERROR(__xludf.DUMMYFUNCTION("""COMPUTED_VALUE"""),16.77)</f>
        <v>16.77</v>
      </c>
      <c r="AD419" s="320">
        <f>IFERROR(__xludf.DUMMYFUNCTION("""COMPUTED_VALUE"""),7.0)</f>
        <v>7</v>
      </c>
      <c r="AE419" s="320">
        <f>IFERROR(__xludf.DUMMYFUNCTION("""COMPUTED_VALUE"""),13.0)</f>
        <v>13</v>
      </c>
      <c r="AF419" s="320">
        <f>IFERROR(__xludf.DUMMYFUNCTION("""COMPUTED_VALUE"""),23.0)</f>
        <v>23</v>
      </c>
      <c r="AG419" s="320">
        <f>IFERROR(__xludf.DUMMYFUNCTION("""COMPUTED_VALUE"""),35.0)</f>
        <v>35</v>
      </c>
      <c r="AH419" s="320">
        <f>IFERROR(__xludf.DUMMYFUNCTION("""COMPUTED_VALUE"""),58.01)</f>
        <v>58.01</v>
      </c>
      <c r="AI419" s="320">
        <f>IFERROR(__xludf.DUMMYFUNCTION("""COMPUTED_VALUE"""),20.47)</f>
        <v>20.47</v>
      </c>
      <c r="AJ419" s="320">
        <f>IFERROR(__xludf.DUMMYFUNCTION("""COMPUTED_VALUE"""),5.89)</f>
        <v>5.89</v>
      </c>
      <c r="AK419" s="320">
        <f>IFERROR(__xludf.DUMMYFUNCTION("""COMPUTED_VALUE"""),0.1555)</f>
        <v>0.1555</v>
      </c>
      <c r="AL419" s="320">
        <f>IFERROR(__xludf.DUMMYFUNCTION("""COMPUTED_VALUE"""),18.95)</f>
        <v>18.95</v>
      </c>
      <c r="AM419" s="320">
        <f>IFERROR(__xludf.DUMMYFUNCTION("""COMPUTED_VALUE"""),106.09)</f>
        <v>106.09</v>
      </c>
      <c r="AN419" s="320">
        <f>IFERROR(__xludf.DUMMYFUNCTION("""COMPUTED_VALUE"""),73.11)</f>
        <v>73.11</v>
      </c>
      <c r="AO419" s="320">
        <f>IFERROR(__xludf.DUMMYFUNCTION("""COMPUTED_VALUE"""),13.85)</f>
        <v>13.85</v>
      </c>
    </row>
    <row r="420" ht="15.75" customHeight="1">
      <c r="A420" s="330">
        <f>IFERROR(__xludf.DUMMYFUNCTION("""COMPUTED_VALUE"""),46119.0)</f>
        <v>46119</v>
      </c>
      <c r="B420" s="319" t="str">
        <f>IFERROR(__xludf.DUMMYFUNCTION("""COMPUTED_VALUE"""),"E. 40-99")</f>
        <v>E. 40-99</v>
      </c>
      <c r="C420" s="320">
        <f>IFERROR(__xludf.DUMMYFUNCTION("""COMPUTED_VALUE"""),5540.0)</f>
        <v>5540</v>
      </c>
      <c r="D420" s="320">
        <f>IFERROR(__xludf.DUMMYFUNCTION("""COMPUTED_VALUE"""),5.2)</f>
        <v>5.2</v>
      </c>
      <c r="E420" s="320">
        <f>IFERROR(__xludf.DUMMYFUNCTION("""COMPUTED_VALUE"""),0.0)</f>
        <v>0</v>
      </c>
      <c r="F420" s="320">
        <f>IFERROR(__xludf.DUMMYFUNCTION("""COMPUTED_VALUE"""),0.0)</f>
        <v>0</v>
      </c>
      <c r="G420" s="320">
        <f>IFERROR(__xludf.DUMMYFUNCTION("""COMPUTED_VALUE"""),0.0)</f>
        <v>0</v>
      </c>
      <c r="H420" s="106"/>
      <c r="I420" s="320">
        <f>IFERROR(__xludf.DUMMYFUNCTION("""COMPUTED_VALUE"""),128.13)</f>
        <v>128.13</v>
      </c>
      <c r="J420" s="320">
        <f>IFERROR(__xludf.DUMMYFUNCTION("""COMPUTED_VALUE"""),68.94)</f>
        <v>68.94</v>
      </c>
      <c r="K420" s="320">
        <f>IFERROR(__xludf.DUMMYFUNCTION("""COMPUTED_VALUE"""),54.03)</f>
        <v>54.03</v>
      </c>
      <c r="L420" s="320">
        <f>IFERROR(__xludf.DUMMYFUNCTION("""COMPUTED_VALUE"""),0.7837)</f>
        <v>0.7837</v>
      </c>
      <c r="M420" s="320">
        <f>IFERROR(__xludf.DUMMYFUNCTION("""COMPUTED_VALUE"""),0.4024)</f>
        <v>0.4024</v>
      </c>
      <c r="N420" s="320">
        <f>IFERROR(__xludf.DUMMYFUNCTION("""COMPUTED_VALUE"""),0.2915)</f>
        <v>0.2915</v>
      </c>
      <c r="O420" s="320">
        <f>IFERROR(__xludf.DUMMYFUNCTION("""COMPUTED_VALUE"""),1.2759)</f>
        <v>1.2759</v>
      </c>
      <c r="P420" s="320">
        <f>IFERROR(__xludf.DUMMYFUNCTION("""COMPUTED_VALUE"""),304.81)</f>
        <v>304.81</v>
      </c>
      <c r="Q420" s="320">
        <f>IFERROR(__xludf.DUMMYFUNCTION("""COMPUTED_VALUE"""),213.19)</f>
        <v>213.19</v>
      </c>
      <c r="R420" s="320">
        <f>IFERROR(__xludf.DUMMYFUNCTION("""COMPUTED_VALUE"""),91.62)</f>
        <v>91.62</v>
      </c>
      <c r="S420" s="320">
        <f>IFERROR(__xludf.DUMMYFUNCTION("""COMPUTED_VALUE"""),0.03)</f>
        <v>0.03</v>
      </c>
      <c r="T420" s="320">
        <f>IFERROR(__xludf.DUMMYFUNCTION("""COMPUTED_VALUE"""),304.78)</f>
        <v>304.78</v>
      </c>
      <c r="U420" s="320">
        <f>IFERROR(__xludf.DUMMYFUNCTION("""COMPUTED_VALUE"""),330.46)</f>
        <v>330.46</v>
      </c>
      <c r="V420" s="320">
        <f>IFERROR(__xludf.DUMMYFUNCTION("""COMPUTED_VALUE"""),4.7935)</f>
        <v>4.7935</v>
      </c>
      <c r="W420" s="320">
        <f>IFERROR(__xludf.DUMMYFUNCTION("""COMPUTED_VALUE"""),0.01)</f>
        <v>0.01</v>
      </c>
      <c r="X420" s="320">
        <f>IFERROR(__xludf.DUMMYFUNCTION("""COMPUTED_VALUE"""),250.0)</f>
        <v>250</v>
      </c>
      <c r="Y420" s="320">
        <f>IFERROR(__xludf.DUMMYFUNCTION("""COMPUTED_VALUE"""),2216.0)</f>
        <v>2216</v>
      </c>
      <c r="Z420" s="320">
        <f>IFERROR(__xludf.DUMMYFUNCTION("""COMPUTED_VALUE"""),9332.0)</f>
        <v>9332</v>
      </c>
      <c r="AA420" s="320">
        <f>IFERROR(__xludf.DUMMYFUNCTION("""COMPUTED_VALUE"""),59.192)</f>
        <v>59.192</v>
      </c>
      <c r="AB420" s="320">
        <f>IFERROR(__xludf.DUMMYFUNCTION("""COMPUTED_VALUE"""),0.8113)</f>
        <v>0.8113</v>
      </c>
      <c r="AC420" s="320">
        <f>IFERROR(__xludf.DUMMYFUNCTION("""COMPUTED_VALUE"""),36.4)</f>
        <v>36.4</v>
      </c>
      <c r="AD420" s="320">
        <f>IFERROR(__xludf.DUMMYFUNCTION("""COMPUTED_VALUE"""),14.0)</f>
        <v>14</v>
      </c>
      <c r="AE420" s="320">
        <f>IFERROR(__xludf.DUMMYFUNCTION("""COMPUTED_VALUE"""),28.0)</f>
        <v>28</v>
      </c>
      <c r="AF420" s="320">
        <f>IFERROR(__xludf.DUMMYFUNCTION("""COMPUTED_VALUE"""),50.0)</f>
        <v>50</v>
      </c>
      <c r="AG420" s="320">
        <f>IFERROR(__xludf.DUMMYFUNCTION("""COMPUTED_VALUE"""),78.0)</f>
        <v>78</v>
      </c>
      <c r="AH420" s="320">
        <f>IFERROR(__xludf.DUMMYFUNCTION("""COMPUTED_VALUE"""),49.95)</f>
        <v>49.95</v>
      </c>
      <c r="AI420" s="320">
        <f>IFERROR(__xludf.DUMMYFUNCTION("""COMPUTED_VALUE"""),18.63)</f>
        <v>18.63</v>
      </c>
      <c r="AJ420" s="320">
        <f>IFERROR(__xludf.DUMMYFUNCTION("""COMPUTED_VALUE"""),4.3)</f>
        <v>4.3</v>
      </c>
      <c r="AK420" s="320">
        <f>IFERROR(__xludf.DUMMYFUNCTION("""COMPUTED_VALUE"""),0.1139)</f>
        <v>0.1139</v>
      </c>
      <c r="AL420" s="320">
        <f>IFERROR(__xludf.DUMMYFUNCTION("""COMPUTED_VALUE"""),20.54)</f>
        <v>20.54</v>
      </c>
      <c r="AM420" s="320">
        <f>IFERROR(__xludf.DUMMYFUNCTION("""COMPUTED_VALUE"""),192.65)</f>
        <v>192.65</v>
      </c>
      <c r="AN420" s="320">
        <f>IFERROR(__xludf.DUMMYFUNCTION("""COMPUTED_VALUE"""),82.83)</f>
        <v>82.83</v>
      </c>
      <c r="AO420" s="320">
        <f>IFERROR(__xludf.DUMMYFUNCTION("""COMPUTED_VALUE"""),17.01)</f>
        <v>17.01</v>
      </c>
    </row>
    <row r="421" ht="15.75" customHeight="1">
      <c r="A421" s="330">
        <f>IFERROR(__xludf.DUMMYFUNCTION("""COMPUTED_VALUE"""),46119.0)</f>
        <v>46119</v>
      </c>
      <c r="B421" s="319" t="str">
        <f>IFERROR(__xludf.DUMMYFUNCTION("""COMPUTED_VALUE"""),"F. 100+")</f>
        <v>F. 100+</v>
      </c>
      <c r="C421" s="320">
        <f>IFERROR(__xludf.DUMMYFUNCTION("""COMPUTED_VALUE"""),549.0)</f>
        <v>549</v>
      </c>
      <c r="D421" s="320">
        <f>IFERROR(__xludf.DUMMYFUNCTION("""COMPUTED_VALUE"""),0.52)</f>
        <v>0.52</v>
      </c>
      <c r="E421" s="320">
        <f>IFERROR(__xludf.DUMMYFUNCTION("""COMPUTED_VALUE"""),0.0)</f>
        <v>0</v>
      </c>
      <c r="F421" s="320">
        <f>IFERROR(__xludf.DUMMYFUNCTION("""COMPUTED_VALUE"""),0.0)</f>
        <v>0</v>
      </c>
      <c r="G421" s="320">
        <f>IFERROR(__xludf.DUMMYFUNCTION("""COMPUTED_VALUE"""),0.0)</f>
        <v>0</v>
      </c>
      <c r="H421" s="106"/>
      <c r="I421" s="320">
        <f>IFERROR(__xludf.DUMMYFUNCTION("""COMPUTED_VALUE"""),258.04)</f>
        <v>258.04</v>
      </c>
      <c r="J421" s="320">
        <f>IFERROR(__xludf.DUMMYFUNCTION("""COMPUTED_VALUE"""),152.11)</f>
        <v>152.11</v>
      </c>
      <c r="K421" s="320">
        <f>IFERROR(__xludf.DUMMYFUNCTION("""COMPUTED_VALUE"""),130.95)</f>
        <v>130.95</v>
      </c>
      <c r="L421" s="320">
        <f>IFERROR(__xludf.DUMMYFUNCTION("""COMPUTED_VALUE"""),0.8609)</f>
        <v>0.8609</v>
      </c>
      <c r="M421" s="320">
        <f>IFERROR(__xludf.DUMMYFUNCTION("""COMPUTED_VALUE"""),0.2928)</f>
        <v>0.2928</v>
      </c>
      <c r="N421" s="320">
        <f>IFERROR(__xludf.DUMMYFUNCTION("""COMPUTED_VALUE"""),0.2161)</f>
        <v>0.2161</v>
      </c>
      <c r="O421" s="320">
        <f>IFERROR(__xludf.DUMMYFUNCTION("""COMPUTED_VALUE"""),1.1616)</f>
        <v>1.1616</v>
      </c>
      <c r="P421" s="320">
        <f>IFERROR(__xludf.DUMMYFUNCTION("""COMPUTED_VALUE"""),599.44)</f>
        <v>599.44</v>
      </c>
      <c r="Q421" s="320">
        <f>IFERROR(__xludf.DUMMYFUNCTION("""COMPUTED_VALUE"""),374.75)</f>
        <v>374.75</v>
      </c>
      <c r="R421" s="320">
        <f>IFERROR(__xludf.DUMMYFUNCTION("""COMPUTED_VALUE"""),224.69)</f>
        <v>224.69</v>
      </c>
      <c r="S421" s="320">
        <f>IFERROR(__xludf.DUMMYFUNCTION("""COMPUTED_VALUE"""),0.0)</f>
        <v>0</v>
      </c>
      <c r="T421" s="320">
        <f>IFERROR(__xludf.DUMMYFUNCTION("""COMPUTED_VALUE"""),599.44)</f>
        <v>599.44</v>
      </c>
      <c r="U421" s="320">
        <f>IFERROR(__xludf.DUMMYFUNCTION("""COMPUTED_VALUE"""),725.77)</f>
        <v>725.77</v>
      </c>
      <c r="V421" s="320">
        <f>IFERROR(__xludf.DUMMYFUNCTION("""COMPUTED_VALUE"""),4.7714)</f>
        <v>4.7714</v>
      </c>
      <c r="W421" s="320">
        <f>IFERROR(__xludf.DUMMYFUNCTION("""COMPUTED_VALUE"""),0.0)</f>
        <v>0</v>
      </c>
      <c r="X421" s="320">
        <f>IFERROR(__xludf.DUMMYFUNCTION("""COMPUTED_VALUE"""),1188.0)</f>
        <v>1188</v>
      </c>
      <c r="Y421" s="320">
        <f>IFERROR(__xludf.DUMMYFUNCTION("""COMPUTED_VALUE"""),5118.0)</f>
        <v>5118</v>
      </c>
      <c r="Z421" s="320">
        <f>IFERROR(__xludf.DUMMYFUNCTION("""COMPUTED_VALUE"""),12879.0)</f>
        <v>12879</v>
      </c>
      <c r="AA421" s="320">
        <f>IFERROR(__xludf.DUMMYFUNCTION("""COMPUTED_VALUE"""),63.0722)</f>
        <v>63.0722</v>
      </c>
      <c r="AB421" s="320">
        <f>IFERROR(__xludf.DUMMYFUNCTION("""COMPUTED_VALUE"""),0.8888)</f>
        <v>0.8888</v>
      </c>
      <c r="AC421" s="320">
        <f>IFERROR(__xludf.DUMMYFUNCTION("""COMPUTED_VALUE"""),91.22)</f>
        <v>91.22</v>
      </c>
      <c r="AD421" s="320">
        <f>IFERROR(__xludf.DUMMYFUNCTION("""COMPUTED_VALUE"""),36.0)</f>
        <v>36</v>
      </c>
      <c r="AE421" s="320">
        <f>IFERROR(__xludf.DUMMYFUNCTION("""COMPUTED_VALUE"""),76.0)</f>
        <v>76</v>
      </c>
      <c r="AF421" s="320">
        <f>IFERROR(__xludf.DUMMYFUNCTION("""COMPUTED_VALUE"""),130.0)</f>
        <v>130</v>
      </c>
      <c r="AG421" s="320">
        <f>IFERROR(__xludf.DUMMYFUNCTION("""COMPUTED_VALUE"""),185.0)</f>
        <v>185</v>
      </c>
      <c r="AH421" s="320">
        <f>IFERROR(__xludf.DUMMYFUNCTION("""COMPUTED_VALUE"""),48.09)</f>
        <v>48.09</v>
      </c>
      <c r="AI421" s="320">
        <f>IFERROR(__xludf.DUMMYFUNCTION("""COMPUTED_VALUE"""),12.57)</f>
        <v>12.57</v>
      </c>
      <c r="AJ421" s="320">
        <f>IFERROR(__xludf.DUMMYFUNCTION("""COMPUTED_VALUE"""),2.0)</f>
        <v>2</v>
      </c>
      <c r="AK421" s="320">
        <f>IFERROR(__xludf.DUMMYFUNCTION("""COMPUTED_VALUE"""),0.0692)</f>
        <v>0.0692</v>
      </c>
      <c r="AL421" s="320">
        <f>IFERROR(__xludf.DUMMYFUNCTION("""COMPUTED_VALUE"""),21.97)</f>
        <v>21.97</v>
      </c>
      <c r="AM421" s="320">
        <f>IFERROR(__xludf.DUMMYFUNCTION("""COMPUTED_VALUE"""),352.78)</f>
        <v>352.78</v>
      </c>
      <c r="AN421" s="320">
        <f>IFERROR(__xludf.DUMMYFUNCTION("""COMPUTED_VALUE"""),87.04)</f>
        <v>87.04</v>
      </c>
      <c r="AO421" s="320">
        <f>IFERROR(__xludf.DUMMYFUNCTION("""COMPUTED_VALUE"""),19.12)</f>
        <v>19.12</v>
      </c>
    </row>
    <row r="422" ht="15.75" customHeight="1">
      <c r="A422" s="330">
        <f>IFERROR(__xludf.DUMMYFUNCTION("""COMPUTED_VALUE"""),46120.0)</f>
        <v>46120</v>
      </c>
      <c r="B422" s="319" t="str">
        <f>IFERROR(__xludf.DUMMYFUNCTION("""COMPUTED_VALUE"""),"A. 0")</f>
        <v>A. 0</v>
      </c>
      <c r="C422" s="320">
        <f>IFERROR(__xludf.DUMMYFUNCTION("""COMPUTED_VALUE"""),20370.0)</f>
        <v>20370</v>
      </c>
      <c r="D422" s="320">
        <f>IFERROR(__xludf.DUMMYFUNCTION("""COMPUTED_VALUE"""),19.43)</f>
        <v>19.43</v>
      </c>
      <c r="E422" s="320">
        <f>IFERROR(__xludf.DUMMYFUNCTION("""COMPUTED_VALUE"""),0.0)</f>
        <v>0</v>
      </c>
      <c r="F422" s="320">
        <f>IFERROR(__xludf.DUMMYFUNCTION("""COMPUTED_VALUE"""),0.0)</f>
        <v>0</v>
      </c>
      <c r="G422" s="320">
        <f>IFERROR(__xludf.DUMMYFUNCTION("""COMPUTED_VALUE"""),0.0)</f>
        <v>0</v>
      </c>
      <c r="H422" s="106"/>
      <c r="I422" s="320">
        <f>IFERROR(__xludf.DUMMYFUNCTION("""COMPUTED_VALUE"""),5.94)</f>
        <v>5.94</v>
      </c>
      <c r="J422" s="320">
        <f>IFERROR(__xludf.DUMMYFUNCTION("""COMPUTED_VALUE"""),2.43)</f>
        <v>2.43</v>
      </c>
      <c r="K422" s="320">
        <f>IFERROR(__xludf.DUMMYFUNCTION("""COMPUTED_VALUE"""),0.05)</f>
        <v>0.05</v>
      </c>
      <c r="L422" s="320">
        <f>IFERROR(__xludf.DUMMYFUNCTION("""COMPUTED_VALUE"""),0.0218)</f>
        <v>0.0218</v>
      </c>
      <c r="M422" s="320">
        <f>IFERROR(__xludf.DUMMYFUNCTION("""COMPUTED_VALUE"""),0.9838)</f>
        <v>0.9838</v>
      </c>
      <c r="N422" s="320">
        <f>IFERROR(__xludf.DUMMYFUNCTION("""COMPUTED_VALUE"""),0.8158)</f>
        <v>0.8158</v>
      </c>
      <c r="O422" s="320">
        <f>IFERROR(__xludf.DUMMYFUNCTION("""COMPUTED_VALUE"""),45.8078)</f>
        <v>45.8078</v>
      </c>
      <c r="P422" s="320">
        <f>IFERROR(__xludf.DUMMYFUNCTION("""COMPUTED_VALUE"""),21.62)</f>
        <v>21.62</v>
      </c>
      <c r="Q422" s="320">
        <f>IFERROR(__xludf.DUMMYFUNCTION("""COMPUTED_VALUE"""),21.52)</f>
        <v>21.52</v>
      </c>
      <c r="R422" s="320">
        <f>IFERROR(__xludf.DUMMYFUNCTION("""COMPUTED_VALUE"""),0.1)</f>
        <v>0.1</v>
      </c>
      <c r="S422" s="320">
        <f>IFERROR(__xludf.DUMMYFUNCTION("""COMPUTED_VALUE"""),0.0)</f>
        <v>0</v>
      </c>
      <c r="T422" s="320">
        <f>IFERROR(__xludf.DUMMYFUNCTION("""COMPUTED_VALUE"""),21.62)</f>
        <v>21.62</v>
      </c>
      <c r="U422" s="320">
        <f>IFERROR(__xludf.DUMMYFUNCTION("""COMPUTED_VALUE"""),1.96)</f>
        <v>1.96</v>
      </c>
      <c r="V422" s="320">
        <f>IFERROR(__xludf.DUMMYFUNCTION("""COMPUTED_VALUE"""),0.8056)</f>
        <v>0.8056</v>
      </c>
      <c r="W422" s="320">
        <f>IFERROR(__xludf.DUMMYFUNCTION("""COMPUTED_VALUE"""),0.0)</f>
        <v>0</v>
      </c>
      <c r="X422" s="320">
        <f>IFERROR(__xludf.DUMMYFUNCTION("""COMPUTED_VALUE"""),338.0)</f>
        <v>338</v>
      </c>
      <c r="Y422" s="320">
        <f>IFERROR(__xludf.DUMMYFUNCTION("""COMPUTED_VALUE"""),4027.0)</f>
        <v>4027</v>
      </c>
      <c r="Z422" s="320">
        <f>IFERROR(__xludf.DUMMYFUNCTION("""COMPUTED_VALUE"""),15179.0)</f>
        <v>15179</v>
      </c>
      <c r="AA422" s="320">
        <f>IFERROR(__xludf.DUMMYFUNCTION("""COMPUTED_VALUE"""),49.4116)</f>
        <v>49.4116</v>
      </c>
      <c r="AB422" s="320">
        <f>IFERROR(__xludf.DUMMYFUNCTION("""COMPUTED_VALUE"""),0.5556)</f>
        <v>0.5556</v>
      </c>
      <c r="AC422" s="106"/>
      <c r="AD422" s="106"/>
      <c r="AE422" s="106"/>
      <c r="AF422" s="106"/>
      <c r="AG422" s="106"/>
      <c r="AH422" s="320">
        <f>IFERROR(__xludf.DUMMYFUNCTION("""COMPUTED_VALUE"""),0.0)</f>
        <v>0</v>
      </c>
      <c r="AI422" s="320">
        <f>IFERROR(__xludf.DUMMYFUNCTION("""COMPUTED_VALUE"""),0.0)</f>
        <v>0</v>
      </c>
      <c r="AJ422" s="320">
        <f>IFERROR(__xludf.DUMMYFUNCTION("""COMPUTED_VALUE"""),0.0)</f>
        <v>0</v>
      </c>
      <c r="AK422" s="320">
        <f>IFERROR(__xludf.DUMMYFUNCTION("""COMPUTED_VALUE"""),0.2807)</f>
        <v>0.2807</v>
      </c>
      <c r="AL422" s="320">
        <f>IFERROR(__xludf.DUMMYFUNCTION("""COMPUTED_VALUE"""),15.94)</f>
        <v>15.94</v>
      </c>
      <c r="AM422" s="320">
        <f>IFERROR(__xludf.DUMMYFUNCTION("""COMPUTED_VALUE"""),5.58)</f>
        <v>5.58</v>
      </c>
      <c r="AN422" s="331"/>
      <c r="AO422" s="331"/>
    </row>
    <row r="423" ht="15.75" customHeight="1">
      <c r="A423" s="330">
        <f>IFERROR(__xludf.DUMMYFUNCTION("""COMPUTED_VALUE"""),46120.0)</f>
        <v>46120</v>
      </c>
      <c r="B423" s="319" t="str">
        <f>IFERROR(__xludf.DUMMYFUNCTION("""COMPUTED_VALUE"""),"B. 1-9")</f>
        <v>B. 1-9</v>
      </c>
      <c r="C423" s="320">
        <f>IFERROR(__xludf.DUMMYFUNCTION("""COMPUTED_VALUE"""),37730.0)</f>
        <v>37730</v>
      </c>
      <c r="D423" s="320">
        <f>IFERROR(__xludf.DUMMYFUNCTION("""COMPUTED_VALUE"""),35.99)</f>
        <v>35.99</v>
      </c>
      <c r="E423" s="320">
        <f>IFERROR(__xludf.DUMMYFUNCTION("""COMPUTED_VALUE"""),0.0)</f>
        <v>0</v>
      </c>
      <c r="F423" s="320">
        <f>IFERROR(__xludf.DUMMYFUNCTION("""COMPUTED_VALUE"""),0.0)</f>
        <v>0</v>
      </c>
      <c r="G423" s="320">
        <f>IFERROR(__xludf.DUMMYFUNCTION("""COMPUTED_VALUE"""),0.0)</f>
        <v>0</v>
      </c>
      <c r="H423" s="106"/>
      <c r="I423" s="320">
        <f>IFERROR(__xludf.DUMMYFUNCTION("""COMPUTED_VALUE"""),29.41)</f>
        <v>29.41</v>
      </c>
      <c r="J423" s="320">
        <f>IFERROR(__xludf.DUMMYFUNCTION("""COMPUTED_VALUE"""),13.32)</f>
        <v>13.32</v>
      </c>
      <c r="K423" s="320">
        <f>IFERROR(__xludf.DUMMYFUNCTION("""COMPUTED_VALUE"""),5.45)</f>
        <v>5.45</v>
      </c>
      <c r="L423" s="320">
        <f>IFERROR(__xludf.DUMMYFUNCTION("""COMPUTED_VALUE"""),0.4094)</f>
        <v>0.4094</v>
      </c>
      <c r="M423" s="320">
        <f>IFERROR(__xludf.DUMMYFUNCTION("""COMPUTED_VALUE"""),0.7623)</f>
        <v>0.7623</v>
      </c>
      <c r="N423" s="320">
        <f>IFERROR(__xludf.DUMMYFUNCTION("""COMPUTED_VALUE"""),0.5701)</f>
        <v>0.5701</v>
      </c>
      <c r="O423" s="320">
        <f>IFERROR(__xludf.DUMMYFUNCTION("""COMPUTED_VALUE"""),2.4425)</f>
        <v>2.4425</v>
      </c>
      <c r="P423" s="320">
        <f>IFERROR(__xludf.DUMMYFUNCTION("""COMPUTED_VALUE"""),42.63)</f>
        <v>42.63</v>
      </c>
      <c r="Q423" s="320">
        <f>IFERROR(__xludf.DUMMYFUNCTION("""COMPUTED_VALUE"""),33.46)</f>
        <v>33.46</v>
      </c>
      <c r="R423" s="320">
        <f>IFERROR(__xludf.DUMMYFUNCTION("""COMPUTED_VALUE"""),9.18)</f>
        <v>9.18</v>
      </c>
      <c r="S423" s="320">
        <f>IFERROR(__xludf.DUMMYFUNCTION("""COMPUTED_VALUE"""),0.0)</f>
        <v>0</v>
      </c>
      <c r="T423" s="320">
        <f>IFERROR(__xludf.DUMMYFUNCTION("""COMPUTED_VALUE"""),42.63)</f>
        <v>42.63</v>
      </c>
      <c r="U423" s="320">
        <f>IFERROR(__xludf.DUMMYFUNCTION("""COMPUTED_VALUE"""),49.31)</f>
        <v>49.31</v>
      </c>
      <c r="V423" s="320">
        <f>IFERROR(__xludf.DUMMYFUNCTION("""COMPUTED_VALUE"""),3.7027)</f>
        <v>3.7027</v>
      </c>
      <c r="W423" s="320">
        <f>IFERROR(__xludf.DUMMYFUNCTION("""COMPUTED_VALUE"""),0.0)</f>
        <v>0</v>
      </c>
      <c r="X423" s="320">
        <f>IFERROR(__xludf.DUMMYFUNCTION("""COMPUTED_VALUE"""),138.0)</f>
        <v>138</v>
      </c>
      <c r="Y423" s="320">
        <f>IFERROR(__xludf.DUMMYFUNCTION("""COMPUTED_VALUE"""),901.0)</f>
        <v>901</v>
      </c>
      <c r="Z423" s="320">
        <f>IFERROR(__xludf.DUMMYFUNCTION("""COMPUTED_VALUE"""),5945.0)</f>
        <v>5945</v>
      </c>
      <c r="AA423" s="320">
        <f>IFERROR(__xludf.DUMMYFUNCTION("""COMPUTED_VALUE"""),48.9745)</f>
        <v>48.9745</v>
      </c>
      <c r="AB423" s="320">
        <f>IFERROR(__xludf.DUMMYFUNCTION("""COMPUTED_VALUE"""),0.5421)</f>
        <v>0.5421</v>
      </c>
      <c r="AC423" s="320">
        <f>IFERROR(__xludf.DUMMYFUNCTION("""COMPUTED_VALUE"""),3.92)</f>
        <v>3.92</v>
      </c>
      <c r="AD423" s="320">
        <f>IFERROR(__xludf.DUMMYFUNCTION("""COMPUTED_VALUE"""),1.0)</f>
        <v>1</v>
      </c>
      <c r="AE423" s="320">
        <f>IFERROR(__xludf.DUMMYFUNCTION("""COMPUTED_VALUE"""),3.0)</f>
        <v>3</v>
      </c>
      <c r="AF423" s="320">
        <f>IFERROR(__xludf.DUMMYFUNCTION("""COMPUTED_VALUE"""),5.0)</f>
        <v>5</v>
      </c>
      <c r="AG423" s="320">
        <f>IFERROR(__xludf.DUMMYFUNCTION("""COMPUTED_VALUE"""),9.0)</f>
        <v>9</v>
      </c>
      <c r="AH423" s="320">
        <f>IFERROR(__xludf.DUMMYFUNCTION("""COMPUTED_VALUE"""),73.22)</f>
        <v>73.22</v>
      </c>
      <c r="AI423" s="320">
        <f>IFERROR(__xludf.DUMMYFUNCTION("""COMPUTED_VALUE"""),30.22)</f>
        <v>30.22</v>
      </c>
      <c r="AJ423" s="320">
        <f>IFERROR(__xludf.DUMMYFUNCTION("""COMPUTED_VALUE"""),7.86)</f>
        <v>7.86</v>
      </c>
      <c r="AK423" s="320">
        <f>IFERROR(__xludf.DUMMYFUNCTION("""COMPUTED_VALUE"""),0.2459)</f>
        <v>0.2459</v>
      </c>
      <c r="AL423" s="320">
        <f>IFERROR(__xludf.DUMMYFUNCTION("""COMPUTED_VALUE"""),18.09)</f>
        <v>18.09</v>
      </c>
      <c r="AM423" s="320">
        <f>IFERROR(__xludf.DUMMYFUNCTION("""COMPUTED_VALUE"""),15.37)</f>
        <v>15.37</v>
      </c>
      <c r="AN423" s="320">
        <f>IFERROR(__xludf.DUMMYFUNCTION("""COMPUTED_VALUE"""),65.61)</f>
        <v>65.61</v>
      </c>
      <c r="AO423" s="320">
        <f>IFERROR(__xludf.DUMMYFUNCTION("""COMPUTED_VALUE"""),11.87)</f>
        <v>11.87</v>
      </c>
    </row>
    <row r="424" ht="15.75" customHeight="1">
      <c r="A424" s="330">
        <f>IFERROR(__xludf.DUMMYFUNCTION("""COMPUTED_VALUE"""),46120.0)</f>
        <v>46120</v>
      </c>
      <c r="B424" s="319" t="str">
        <f>IFERROR(__xludf.DUMMYFUNCTION("""COMPUTED_VALUE"""),"C. 10-19")</f>
        <v>C. 10-19</v>
      </c>
      <c r="C424" s="320">
        <f>IFERROR(__xludf.DUMMYFUNCTION("""COMPUTED_VALUE"""),27037.0)</f>
        <v>27037</v>
      </c>
      <c r="D424" s="320">
        <f>IFERROR(__xludf.DUMMYFUNCTION("""COMPUTED_VALUE"""),25.79)</f>
        <v>25.79</v>
      </c>
      <c r="E424" s="320">
        <f>IFERROR(__xludf.DUMMYFUNCTION("""COMPUTED_VALUE"""),0.0)</f>
        <v>0</v>
      </c>
      <c r="F424" s="320">
        <f>IFERROR(__xludf.DUMMYFUNCTION("""COMPUTED_VALUE"""),0.0)</f>
        <v>0</v>
      </c>
      <c r="G424" s="320">
        <f>IFERROR(__xludf.DUMMYFUNCTION("""COMPUTED_VALUE"""),0.0)</f>
        <v>0</v>
      </c>
      <c r="H424" s="106"/>
      <c r="I424" s="320">
        <f>IFERROR(__xludf.DUMMYFUNCTION("""COMPUTED_VALUE"""),55.74)</f>
        <v>55.74</v>
      </c>
      <c r="J424" s="320">
        <f>IFERROR(__xludf.DUMMYFUNCTION("""COMPUTED_VALUE"""),26.4)</f>
        <v>26.4</v>
      </c>
      <c r="K424" s="320">
        <f>IFERROR(__xludf.DUMMYFUNCTION("""COMPUTED_VALUE"""),13.79)</f>
        <v>13.79</v>
      </c>
      <c r="L424" s="320">
        <f>IFERROR(__xludf.DUMMYFUNCTION("""COMPUTED_VALUE"""),0.5221)</f>
        <v>0.5221</v>
      </c>
      <c r="M424" s="320">
        <f>IFERROR(__xludf.DUMMYFUNCTION("""COMPUTED_VALUE"""),0.6677)</f>
        <v>0.6677</v>
      </c>
      <c r="N424" s="320">
        <f>IFERROR(__xludf.DUMMYFUNCTION("""COMPUTED_VALUE"""),0.4662)</f>
        <v>0.4662</v>
      </c>
      <c r="O424" s="320">
        <f>IFERROR(__xludf.DUMMYFUNCTION("""COMPUTED_VALUE"""),1.9152)</f>
        <v>1.9152</v>
      </c>
      <c r="P424" s="320">
        <f>IFERROR(__xludf.DUMMYFUNCTION("""COMPUTED_VALUE"""),71.64)</f>
        <v>71.64</v>
      </c>
      <c r="Q424" s="320">
        <f>IFERROR(__xludf.DUMMYFUNCTION("""COMPUTED_VALUE"""),49.28)</f>
        <v>49.28</v>
      </c>
      <c r="R424" s="320">
        <f>IFERROR(__xludf.DUMMYFUNCTION("""COMPUTED_VALUE"""),22.36)</f>
        <v>22.36</v>
      </c>
      <c r="S424" s="320">
        <f>IFERROR(__xludf.DUMMYFUNCTION("""COMPUTED_VALUE"""),0.0)</f>
        <v>0</v>
      </c>
      <c r="T424" s="320">
        <f>IFERROR(__xludf.DUMMYFUNCTION("""COMPUTED_VALUE"""),71.64)</f>
        <v>71.64</v>
      </c>
      <c r="U424" s="320">
        <f>IFERROR(__xludf.DUMMYFUNCTION("""COMPUTED_VALUE"""),88.75)</f>
        <v>88.75</v>
      </c>
      <c r="V424" s="320">
        <f>IFERROR(__xludf.DUMMYFUNCTION("""COMPUTED_VALUE"""),3.3611)</f>
        <v>3.3611</v>
      </c>
      <c r="W424" s="320">
        <f>IFERROR(__xludf.DUMMYFUNCTION("""COMPUTED_VALUE"""),0.0)</f>
        <v>0</v>
      </c>
      <c r="X424" s="320">
        <f>IFERROR(__xludf.DUMMYFUNCTION("""COMPUTED_VALUE"""),112.0)</f>
        <v>112</v>
      </c>
      <c r="Y424" s="320">
        <f>IFERROR(__xludf.DUMMYFUNCTION("""COMPUTED_VALUE"""),640.0)</f>
        <v>640</v>
      </c>
      <c r="Z424" s="320">
        <f>IFERROR(__xludf.DUMMYFUNCTION("""COMPUTED_VALUE"""),5330.0)</f>
        <v>5330</v>
      </c>
      <c r="AA424" s="320">
        <f>IFERROR(__xludf.DUMMYFUNCTION("""COMPUTED_VALUE"""),52.1073)</f>
        <v>52.1073</v>
      </c>
      <c r="AB424" s="320">
        <f>IFERROR(__xludf.DUMMYFUNCTION("""COMPUTED_VALUE"""),0.604)</f>
        <v>0.604</v>
      </c>
      <c r="AC424" s="320">
        <f>IFERROR(__xludf.DUMMYFUNCTION("""COMPUTED_VALUE"""),8.69)</f>
        <v>8.69</v>
      </c>
      <c r="AD424" s="320">
        <f>IFERROR(__xludf.DUMMYFUNCTION("""COMPUTED_VALUE"""),3.0)</f>
        <v>3</v>
      </c>
      <c r="AE424" s="320">
        <f>IFERROR(__xludf.DUMMYFUNCTION("""COMPUTED_VALUE"""),7.0)</f>
        <v>7</v>
      </c>
      <c r="AF424" s="320">
        <f>IFERROR(__xludf.DUMMYFUNCTION("""COMPUTED_VALUE"""),12.0)</f>
        <v>12</v>
      </c>
      <c r="AG424" s="320">
        <f>IFERROR(__xludf.DUMMYFUNCTION("""COMPUTED_VALUE"""),18.0)</f>
        <v>18</v>
      </c>
      <c r="AH424" s="320">
        <f>IFERROR(__xludf.DUMMYFUNCTION("""COMPUTED_VALUE"""),57.53)</f>
        <v>57.53</v>
      </c>
      <c r="AI424" s="320">
        <f>IFERROR(__xludf.DUMMYFUNCTION("""COMPUTED_VALUE"""),22.57)</f>
        <v>22.57</v>
      </c>
      <c r="AJ424" s="320">
        <f>IFERROR(__xludf.DUMMYFUNCTION("""COMPUTED_VALUE"""),3.41)</f>
        <v>3.41</v>
      </c>
      <c r="AK424" s="320">
        <f>IFERROR(__xludf.DUMMYFUNCTION("""COMPUTED_VALUE"""),0.1879)</f>
        <v>0.1879</v>
      </c>
      <c r="AL424" s="320">
        <f>IFERROR(__xludf.DUMMYFUNCTION("""COMPUTED_VALUE"""),18.94)</f>
        <v>18.94</v>
      </c>
      <c r="AM424" s="320">
        <f>IFERROR(__xludf.DUMMYFUNCTION("""COMPUTED_VALUE"""),30.34)</f>
        <v>30.34</v>
      </c>
      <c r="AN424" s="320">
        <f>IFERROR(__xludf.DUMMYFUNCTION("""COMPUTED_VALUE"""),72.94)</f>
        <v>72.94</v>
      </c>
      <c r="AO424" s="320">
        <f>IFERROR(__xludf.DUMMYFUNCTION("""COMPUTED_VALUE"""),13.81)</f>
        <v>13.81</v>
      </c>
    </row>
    <row r="425" ht="15.75" customHeight="1">
      <c r="A425" s="330">
        <f>IFERROR(__xludf.DUMMYFUNCTION("""COMPUTED_VALUE"""),46120.0)</f>
        <v>46120</v>
      </c>
      <c r="B425" s="319" t="str">
        <f>IFERROR(__xludf.DUMMYFUNCTION("""COMPUTED_VALUE"""),"D. 20-39")</f>
        <v>D. 20-39</v>
      </c>
      <c r="C425" s="320">
        <f>IFERROR(__xludf.DUMMYFUNCTION("""COMPUTED_VALUE"""),13732.0)</f>
        <v>13732</v>
      </c>
      <c r="D425" s="320">
        <f>IFERROR(__xludf.DUMMYFUNCTION("""COMPUTED_VALUE"""),13.1)</f>
        <v>13.1</v>
      </c>
      <c r="E425" s="320">
        <f>IFERROR(__xludf.DUMMYFUNCTION("""COMPUTED_VALUE"""),0.0)</f>
        <v>0</v>
      </c>
      <c r="F425" s="320">
        <f>IFERROR(__xludf.DUMMYFUNCTION("""COMPUTED_VALUE"""),0.0)</f>
        <v>0</v>
      </c>
      <c r="G425" s="320">
        <f>IFERROR(__xludf.DUMMYFUNCTION("""COMPUTED_VALUE"""),0.0)</f>
        <v>0</v>
      </c>
      <c r="H425" s="106"/>
      <c r="I425" s="320">
        <f>IFERROR(__xludf.DUMMYFUNCTION("""COMPUTED_VALUE"""),79.74)</f>
        <v>79.74</v>
      </c>
      <c r="J425" s="320">
        <f>IFERROR(__xludf.DUMMYFUNCTION("""COMPUTED_VALUE"""),40.19)</f>
        <v>40.19</v>
      </c>
      <c r="K425" s="320">
        <f>IFERROR(__xludf.DUMMYFUNCTION("""COMPUTED_VALUE"""),25.51)</f>
        <v>25.51</v>
      </c>
      <c r="L425" s="320">
        <f>IFERROR(__xludf.DUMMYFUNCTION("""COMPUTED_VALUE"""),0.6347)</f>
        <v>0.6347</v>
      </c>
      <c r="M425" s="320">
        <f>IFERROR(__xludf.DUMMYFUNCTION("""COMPUTED_VALUE"""),0.5538)</f>
        <v>0.5538</v>
      </c>
      <c r="N425" s="320">
        <f>IFERROR(__xludf.DUMMYFUNCTION("""COMPUTED_VALUE"""),0.3817)</f>
        <v>0.3817</v>
      </c>
      <c r="O425" s="320">
        <f>IFERROR(__xludf.DUMMYFUNCTION("""COMPUTED_VALUE"""),1.5756)</f>
        <v>1.5756</v>
      </c>
      <c r="P425" s="320">
        <f>IFERROR(__xludf.DUMMYFUNCTION("""COMPUTED_VALUE"""),113.65)</f>
        <v>113.65</v>
      </c>
      <c r="Q425" s="320">
        <f>IFERROR(__xludf.DUMMYFUNCTION("""COMPUTED_VALUE"""),70.82)</f>
        <v>70.82</v>
      </c>
      <c r="R425" s="320">
        <f>IFERROR(__xludf.DUMMYFUNCTION("""COMPUTED_VALUE"""),42.84)</f>
        <v>42.84</v>
      </c>
      <c r="S425" s="320">
        <f>IFERROR(__xludf.DUMMYFUNCTION("""COMPUTED_VALUE"""),0.0)</f>
        <v>0</v>
      </c>
      <c r="T425" s="320">
        <f>IFERROR(__xludf.DUMMYFUNCTION("""COMPUTED_VALUE"""),113.65)</f>
        <v>113.65</v>
      </c>
      <c r="U425" s="320">
        <f>IFERROR(__xludf.DUMMYFUNCTION("""COMPUTED_VALUE"""),148.1)</f>
        <v>148.1</v>
      </c>
      <c r="V425" s="320">
        <f>IFERROR(__xludf.DUMMYFUNCTION("""COMPUTED_VALUE"""),3.6845)</f>
        <v>3.6845</v>
      </c>
      <c r="W425" s="320">
        <f>IFERROR(__xludf.DUMMYFUNCTION("""COMPUTED_VALUE"""),0.0)</f>
        <v>0</v>
      </c>
      <c r="X425" s="320">
        <f>IFERROR(__xludf.DUMMYFUNCTION("""COMPUTED_VALUE"""),125.0)</f>
        <v>125</v>
      </c>
      <c r="Y425" s="320">
        <f>IFERROR(__xludf.DUMMYFUNCTION("""COMPUTED_VALUE"""),944.0)</f>
        <v>944</v>
      </c>
      <c r="Z425" s="320">
        <f>IFERROR(__xludf.DUMMYFUNCTION("""COMPUTED_VALUE"""),6685.0)</f>
        <v>6685</v>
      </c>
      <c r="AA425" s="320">
        <f>IFERROR(__xludf.DUMMYFUNCTION("""COMPUTED_VALUE"""),55.8388)</f>
        <v>55.8388</v>
      </c>
      <c r="AB425" s="320">
        <f>IFERROR(__xludf.DUMMYFUNCTION("""COMPUTED_VALUE"""),0.7297)</f>
        <v>0.7297</v>
      </c>
      <c r="AC425" s="320">
        <f>IFERROR(__xludf.DUMMYFUNCTION("""COMPUTED_VALUE"""),16.47)</f>
        <v>16.47</v>
      </c>
      <c r="AD425" s="320">
        <f>IFERROR(__xludf.DUMMYFUNCTION("""COMPUTED_VALUE"""),6.0)</f>
        <v>6</v>
      </c>
      <c r="AE425" s="320">
        <f>IFERROR(__xludf.DUMMYFUNCTION("""COMPUTED_VALUE"""),12.0)</f>
        <v>12</v>
      </c>
      <c r="AF425" s="320">
        <f>IFERROR(__xludf.DUMMYFUNCTION("""COMPUTED_VALUE"""),22.0)</f>
        <v>22</v>
      </c>
      <c r="AG425" s="320">
        <f>IFERROR(__xludf.DUMMYFUNCTION("""COMPUTED_VALUE"""),35.0)</f>
        <v>35</v>
      </c>
      <c r="AH425" s="320">
        <f>IFERROR(__xludf.DUMMYFUNCTION("""COMPUTED_VALUE"""),55.83)</f>
        <v>55.83</v>
      </c>
      <c r="AI425" s="320">
        <f>IFERROR(__xludf.DUMMYFUNCTION("""COMPUTED_VALUE"""),20.19)</f>
        <v>20.19</v>
      </c>
      <c r="AJ425" s="320">
        <f>IFERROR(__xludf.DUMMYFUNCTION("""COMPUTED_VALUE"""),5.87)</f>
        <v>5.87</v>
      </c>
      <c r="AK425" s="320">
        <f>IFERROR(__xludf.DUMMYFUNCTION("""COMPUTED_VALUE"""),0.1647)</f>
        <v>0.1647</v>
      </c>
      <c r="AL425" s="320">
        <f>IFERROR(__xludf.DUMMYFUNCTION("""COMPUTED_VALUE"""),19.49)</f>
        <v>19.49</v>
      </c>
      <c r="AM425" s="320">
        <f>IFERROR(__xludf.DUMMYFUNCTION("""COMPUTED_VALUE"""),51.33)</f>
        <v>51.33</v>
      </c>
      <c r="AN425" s="320">
        <f>IFERROR(__xludf.DUMMYFUNCTION("""COMPUTED_VALUE"""),77.69)</f>
        <v>77.69</v>
      </c>
      <c r="AO425" s="320">
        <f>IFERROR(__xludf.DUMMYFUNCTION("""COMPUTED_VALUE"""),15.14)</f>
        <v>15.14</v>
      </c>
    </row>
    <row r="426" ht="15.75" customHeight="1">
      <c r="A426" s="330">
        <f>IFERROR(__xludf.DUMMYFUNCTION("""COMPUTED_VALUE"""),46120.0)</f>
        <v>46120</v>
      </c>
      <c r="B426" s="319" t="str">
        <f>IFERROR(__xludf.DUMMYFUNCTION("""COMPUTED_VALUE"""),"E. 40-99")</f>
        <v>E. 40-99</v>
      </c>
      <c r="C426" s="320">
        <f>IFERROR(__xludf.DUMMYFUNCTION("""COMPUTED_VALUE"""),5394.0)</f>
        <v>5394</v>
      </c>
      <c r="D426" s="320">
        <f>IFERROR(__xludf.DUMMYFUNCTION("""COMPUTED_VALUE"""),5.15)</f>
        <v>5.15</v>
      </c>
      <c r="E426" s="320">
        <f>IFERROR(__xludf.DUMMYFUNCTION("""COMPUTED_VALUE"""),0.0)</f>
        <v>0</v>
      </c>
      <c r="F426" s="320">
        <f>IFERROR(__xludf.DUMMYFUNCTION("""COMPUTED_VALUE"""),0.0)</f>
        <v>0</v>
      </c>
      <c r="G426" s="320">
        <f>IFERROR(__xludf.DUMMYFUNCTION("""COMPUTED_VALUE"""),0.0)</f>
        <v>0</v>
      </c>
      <c r="H426" s="106"/>
      <c r="I426" s="320">
        <f>IFERROR(__xludf.DUMMYFUNCTION("""COMPUTED_VALUE"""),131.67)</f>
        <v>131.67</v>
      </c>
      <c r="J426" s="320">
        <f>IFERROR(__xludf.DUMMYFUNCTION("""COMPUTED_VALUE"""),70.44)</f>
        <v>70.44</v>
      </c>
      <c r="K426" s="320">
        <f>IFERROR(__xludf.DUMMYFUNCTION("""COMPUTED_VALUE"""),53.2)</f>
        <v>53.2</v>
      </c>
      <c r="L426" s="320">
        <f>IFERROR(__xludf.DUMMYFUNCTION("""COMPUTED_VALUE"""),0.7553)</f>
        <v>0.7553</v>
      </c>
      <c r="M426" s="320">
        <f>IFERROR(__xludf.DUMMYFUNCTION("""COMPUTED_VALUE"""),0.4238)</f>
        <v>0.4238</v>
      </c>
      <c r="N426" s="320">
        <f>IFERROR(__xludf.DUMMYFUNCTION("""COMPUTED_VALUE"""),0.2982)</f>
        <v>0.2982</v>
      </c>
      <c r="O426" s="320">
        <f>IFERROR(__xludf.DUMMYFUNCTION("""COMPUTED_VALUE"""),1.3241)</f>
        <v>1.3241</v>
      </c>
      <c r="P426" s="320">
        <f>IFERROR(__xludf.DUMMYFUNCTION("""COMPUTED_VALUE"""),198.76)</f>
        <v>198.76</v>
      </c>
      <c r="Q426" s="320">
        <f>IFERROR(__xludf.DUMMYFUNCTION("""COMPUTED_VALUE"""),107.02)</f>
        <v>107.02</v>
      </c>
      <c r="R426" s="320">
        <f>IFERROR(__xludf.DUMMYFUNCTION("""COMPUTED_VALUE"""),91.74)</f>
        <v>91.74</v>
      </c>
      <c r="S426" s="320">
        <f>IFERROR(__xludf.DUMMYFUNCTION("""COMPUTED_VALUE"""),0.0)</f>
        <v>0</v>
      </c>
      <c r="T426" s="320">
        <f>IFERROR(__xludf.DUMMYFUNCTION("""COMPUTED_VALUE"""),198.76)</f>
        <v>198.76</v>
      </c>
      <c r="U426" s="320">
        <f>IFERROR(__xludf.DUMMYFUNCTION("""COMPUTED_VALUE"""),307.7)</f>
        <v>307.7</v>
      </c>
      <c r="V426" s="320">
        <f>IFERROR(__xludf.DUMMYFUNCTION("""COMPUTED_VALUE"""),4.3686)</f>
        <v>4.3686</v>
      </c>
      <c r="W426" s="320">
        <f>IFERROR(__xludf.DUMMYFUNCTION("""COMPUTED_VALUE"""),0.0)</f>
        <v>0</v>
      </c>
      <c r="X426" s="320">
        <f>IFERROR(__xludf.DUMMYFUNCTION("""COMPUTED_VALUE"""),197.0)</f>
        <v>197</v>
      </c>
      <c r="Y426" s="320">
        <f>IFERROR(__xludf.DUMMYFUNCTION("""COMPUTED_VALUE"""),2177.0)</f>
        <v>2177</v>
      </c>
      <c r="Z426" s="320">
        <f>IFERROR(__xludf.DUMMYFUNCTION("""COMPUTED_VALUE"""),9145.0)</f>
        <v>9145</v>
      </c>
      <c r="AA426" s="320">
        <f>IFERROR(__xludf.DUMMYFUNCTION("""COMPUTED_VALUE"""),59.3919)</f>
        <v>59.3919</v>
      </c>
      <c r="AB426" s="320">
        <f>IFERROR(__xludf.DUMMYFUNCTION("""COMPUTED_VALUE"""),0.8211)</f>
        <v>0.8211</v>
      </c>
      <c r="AC426" s="320">
        <f>IFERROR(__xludf.DUMMYFUNCTION("""COMPUTED_VALUE"""),34.85)</f>
        <v>34.85</v>
      </c>
      <c r="AD426" s="320">
        <f>IFERROR(__xludf.DUMMYFUNCTION("""COMPUTED_VALUE"""),13.0)</f>
        <v>13</v>
      </c>
      <c r="AE426" s="320">
        <f>IFERROR(__xludf.DUMMYFUNCTION("""COMPUTED_VALUE"""),26.0)</f>
        <v>26</v>
      </c>
      <c r="AF426" s="320">
        <f>IFERROR(__xludf.DUMMYFUNCTION("""COMPUTED_VALUE"""),48.0)</f>
        <v>48</v>
      </c>
      <c r="AG426" s="320">
        <f>IFERROR(__xludf.DUMMYFUNCTION("""COMPUTED_VALUE"""),76.0)</f>
        <v>76</v>
      </c>
      <c r="AH426" s="320">
        <f>IFERROR(__xludf.DUMMYFUNCTION("""COMPUTED_VALUE"""),47.27)</f>
        <v>47.27</v>
      </c>
      <c r="AI426" s="320">
        <f>IFERROR(__xludf.DUMMYFUNCTION("""COMPUTED_VALUE"""),17.39)</f>
        <v>17.39</v>
      </c>
      <c r="AJ426" s="320">
        <f>IFERROR(__xludf.DUMMYFUNCTION("""COMPUTED_VALUE"""),4.38)</f>
        <v>4.38</v>
      </c>
      <c r="AK426" s="320">
        <f>IFERROR(__xludf.DUMMYFUNCTION("""COMPUTED_VALUE"""),0.111)</f>
        <v>0.111</v>
      </c>
      <c r="AL426" s="320">
        <f>IFERROR(__xludf.DUMMYFUNCTION("""COMPUTED_VALUE"""),20.81)</f>
        <v>20.81</v>
      </c>
      <c r="AM426" s="320">
        <f>IFERROR(__xludf.DUMMYFUNCTION("""COMPUTED_VALUE"""),86.21)</f>
        <v>86.21</v>
      </c>
      <c r="AN426" s="320">
        <f>IFERROR(__xludf.DUMMYFUNCTION("""COMPUTED_VALUE"""),83.98)</f>
        <v>83.98</v>
      </c>
      <c r="AO426" s="320">
        <f>IFERROR(__xludf.DUMMYFUNCTION("""COMPUTED_VALUE"""),17.48)</f>
        <v>17.48</v>
      </c>
    </row>
    <row r="427" ht="15.75" customHeight="1">
      <c r="A427" s="330">
        <f>IFERROR(__xludf.DUMMYFUNCTION("""COMPUTED_VALUE"""),46120.0)</f>
        <v>46120</v>
      </c>
      <c r="B427" s="319" t="str">
        <f>IFERROR(__xludf.DUMMYFUNCTION("""COMPUTED_VALUE"""),"F. 100+")</f>
        <v>F. 100+</v>
      </c>
      <c r="C427" s="320">
        <f>IFERROR(__xludf.DUMMYFUNCTION("""COMPUTED_VALUE"""),571.0)</f>
        <v>571</v>
      </c>
      <c r="D427" s="320">
        <f>IFERROR(__xludf.DUMMYFUNCTION("""COMPUTED_VALUE"""),0.54)</f>
        <v>0.54</v>
      </c>
      <c r="E427" s="320">
        <f>IFERROR(__xludf.DUMMYFUNCTION("""COMPUTED_VALUE"""),0.0)</f>
        <v>0</v>
      </c>
      <c r="F427" s="320">
        <f>IFERROR(__xludf.DUMMYFUNCTION("""COMPUTED_VALUE"""),0.0)</f>
        <v>0</v>
      </c>
      <c r="G427" s="320">
        <f>IFERROR(__xludf.DUMMYFUNCTION("""COMPUTED_VALUE"""),0.0)</f>
        <v>0</v>
      </c>
      <c r="H427" s="106"/>
      <c r="I427" s="320">
        <f>IFERROR(__xludf.DUMMYFUNCTION("""COMPUTED_VALUE"""),258.36)</f>
        <v>258.36</v>
      </c>
      <c r="J427" s="320">
        <f>IFERROR(__xludf.DUMMYFUNCTION("""COMPUTED_VALUE"""),147.06)</f>
        <v>147.06</v>
      </c>
      <c r="K427" s="320">
        <f>IFERROR(__xludf.DUMMYFUNCTION("""COMPUTED_VALUE"""),127.63)</f>
        <v>127.63</v>
      </c>
      <c r="L427" s="320">
        <f>IFERROR(__xludf.DUMMYFUNCTION("""COMPUTED_VALUE"""),0.8679)</f>
        <v>0.8679</v>
      </c>
      <c r="M427" s="320">
        <f>IFERROR(__xludf.DUMMYFUNCTION("""COMPUTED_VALUE"""),0.2879)</f>
        <v>0.2879</v>
      </c>
      <c r="N427" s="320">
        <f>IFERROR(__xludf.DUMMYFUNCTION("""COMPUTED_VALUE"""),0.2165)</f>
        <v>0.2165</v>
      </c>
      <c r="O427" s="320">
        <f>IFERROR(__xludf.DUMMYFUNCTION("""COMPUTED_VALUE"""),1.1522)</f>
        <v>1.1522</v>
      </c>
      <c r="P427" s="320">
        <f>IFERROR(__xludf.DUMMYFUNCTION("""COMPUTED_VALUE"""),401.21)</f>
        <v>401.21</v>
      </c>
      <c r="Q427" s="320">
        <f>IFERROR(__xludf.DUMMYFUNCTION("""COMPUTED_VALUE"""),184.17)</f>
        <v>184.17</v>
      </c>
      <c r="R427" s="320">
        <f>IFERROR(__xludf.DUMMYFUNCTION("""COMPUTED_VALUE"""),217.04)</f>
        <v>217.04</v>
      </c>
      <c r="S427" s="320">
        <f>IFERROR(__xludf.DUMMYFUNCTION("""COMPUTED_VALUE"""),0.0)</f>
        <v>0</v>
      </c>
      <c r="T427" s="320">
        <f>IFERROR(__xludf.DUMMYFUNCTION("""COMPUTED_VALUE"""),401.21)</f>
        <v>401.21</v>
      </c>
      <c r="U427" s="320">
        <f>IFERROR(__xludf.DUMMYFUNCTION("""COMPUTED_VALUE"""),893.96)</f>
        <v>893.96</v>
      </c>
      <c r="V427" s="320">
        <f>IFERROR(__xludf.DUMMYFUNCTION("""COMPUTED_VALUE"""),6.0787)</f>
        <v>6.0787</v>
      </c>
      <c r="W427" s="320">
        <f>IFERROR(__xludf.DUMMYFUNCTION("""COMPUTED_VALUE"""),0.0)</f>
        <v>0</v>
      </c>
      <c r="X427" s="320">
        <f>IFERROR(__xludf.DUMMYFUNCTION("""COMPUTED_VALUE"""),949.0)</f>
        <v>949</v>
      </c>
      <c r="Y427" s="320">
        <f>IFERROR(__xludf.DUMMYFUNCTION("""COMPUTED_VALUE"""),5594.0)</f>
        <v>5594</v>
      </c>
      <c r="Z427" s="320">
        <f>IFERROR(__xludf.DUMMYFUNCTION("""COMPUTED_VALUE"""),15821.0)</f>
        <v>15821</v>
      </c>
      <c r="AA427" s="320">
        <f>IFERROR(__xludf.DUMMYFUNCTION("""COMPUTED_VALUE"""),63.1441)</f>
        <v>63.1441</v>
      </c>
      <c r="AB427" s="320">
        <f>IFERROR(__xludf.DUMMYFUNCTION("""COMPUTED_VALUE"""),0.8933)</f>
        <v>0.8933</v>
      </c>
      <c r="AC427" s="320">
        <f>IFERROR(__xludf.DUMMYFUNCTION("""COMPUTED_VALUE"""),85.81)</f>
        <v>85.81</v>
      </c>
      <c r="AD427" s="320">
        <f>IFERROR(__xludf.DUMMYFUNCTION("""COMPUTED_VALUE"""),34.0)</f>
        <v>34</v>
      </c>
      <c r="AE427" s="320">
        <f>IFERROR(__xludf.DUMMYFUNCTION("""COMPUTED_VALUE"""),69.0)</f>
        <v>69</v>
      </c>
      <c r="AF427" s="320">
        <f>IFERROR(__xludf.DUMMYFUNCTION("""COMPUTED_VALUE"""),123.0)</f>
        <v>123</v>
      </c>
      <c r="AG427" s="320">
        <f>IFERROR(__xludf.DUMMYFUNCTION("""COMPUTED_VALUE"""),175.0)</f>
        <v>175</v>
      </c>
      <c r="AH427" s="320">
        <f>IFERROR(__xludf.DUMMYFUNCTION("""COMPUTED_VALUE"""),45.53)</f>
        <v>45.53</v>
      </c>
      <c r="AI427" s="320">
        <f>IFERROR(__xludf.DUMMYFUNCTION("""COMPUTED_VALUE"""),10.16)</f>
        <v>10.16</v>
      </c>
      <c r="AJ427" s="320">
        <f>IFERROR(__xludf.DUMMYFUNCTION("""COMPUTED_VALUE"""),1.58)</f>
        <v>1.58</v>
      </c>
      <c r="AK427" s="320">
        <f>IFERROR(__xludf.DUMMYFUNCTION("""COMPUTED_VALUE"""),0.049)</f>
        <v>0.049</v>
      </c>
      <c r="AL427" s="320">
        <f>IFERROR(__xludf.DUMMYFUNCTION("""COMPUTED_VALUE"""),25.27)</f>
        <v>25.27</v>
      </c>
      <c r="AM427" s="320">
        <f>IFERROR(__xludf.DUMMYFUNCTION("""COMPUTED_VALUE"""),158.89)</f>
        <v>158.89</v>
      </c>
      <c r="AN427" s="320">
        <f>IFERROR(__xludf.DUMMYFUNCTION("""COMPUTED_VALUE"""),86.01)</f>
        <v>86.01</v>
      </c>
      <c r="AO427" s="320">
        <f>IFERROR(__xludf.DUMMYFUNCTION("""COMPUTED_VALUE"""),21.73)</f>
        <v>21.73</v>
      </c>
    </row>
    <row r="428" ht="15.75" customHeight="1">
      <c r="A428" s="330">
        <f>IFERROR(__xludf.DUMMYFUNCTION("""COMPUTED_VALUE"""),46121.0)</f>
        <v>46121</v>
      </c>
      <c r="B428" s="319" t="str">
        <f>IFERROR(__xludf.DUMMYFUNCTION("""COMPUTED_VALUE"""),"A. 0")</f>
        <v>A. 0</v>
      </c>
      <c r="C428" s="320">
        <f>IFERROR(__xludf.DUMMYFUNCTION("""COMPUTED_VALUE"""),20709.0)</f>
        <v>20709</v>
      </c>
      <c r="D428" s="320">
        <f>IFERROR(__xludf.DUMMYFUNCTION("""COMPUTED_VALUE"""),20.17)</f>
        <v>20.17</v>
      </c>
      <c r="E428" s="320">
        <f>IFERROR(__xludf.DUMMYFUNCTION("""COMPUTED_VALUE"""),0.0)</f>
        <v>0</v>
      </c>
      <c r="F428" s="320">
        <f>IFERROR(__xludf.DUMMYFUNCTION("""COMPUTED_VALUE"""),0.0)</f>
        <v>0</v>
      </c>
      <c r="G428" s="320">
        <f>IFERROR(__xludf.DUMMYFUNCTION("""COMPUTED_VALUE"""),0.0)</f>
        <v>0</v>
      </c>
      <c r="H428" s="106"/>
      <c r="I428" s="320">
        <f>IFERROR(__xludf.DUMMYFUNCTION("""COMPUTED_VALUE"""),6.13)</f>
        <v>6.13</v>
      </c>
      <c r="J428" s="320">
        <f>IFERROR(__xludf.DUMMYFUNCTION("""COMPUTED_VALUE"""),2.51)</f>
        <v>2.51</v>
      </c>
      <c r="K428" s="320">
        <f>IFERROR(__xludf.DUMMYFUNCTION("""COMPUTED_VALUE"""),0.05)</f>
        <v>0.05</v>
      </c>
      <c r="L428" s="320">
        <f>IFERROR(__xludf.DUMMYFUNCTION("""COMPUTED_VALUE"""),0.0207)</f>
        <v>0.0207</v>
      </c>
      <c r="M428" s="320">
        <f>IFERROR(__xludf.DUMMYFUNCTION("""COMPUTED_VALUE"""),0.9834)</f>
        <v>0.9834</v>
      </c>
      <c r="N428" s="320">
        <f>IFERROR(__xludf.DUMMYFUNCTION("""COMPUTED_VALUE"""),0.8031)</f>
        <v>0.8031</v>
      </c>
      <c r="O428" s="320">
        <f>IFERROR(__xludf.DUMMYFUNCTION("""COMPUTED_VALUE"""),48.3389)</f>
        <v>48.3389</v>
      </c>
      <c r="P428" s="320">
        <f>IFERROR(__xludf.DUMMYFUNCTION("""COMPUTED_VALUE"""),22.84)</f>
        <v>22.84</v>
      </c>
      <c r="Q428" s="320">
        <f>IFERROR(__xludf.DUMMYFUNCTION("""COMPUTED_VALUE"""),22.75)</f>
        <v>22.75</v>
      </c>
      <c r="R428" s="320">
        <f>IFERROR(__xludf.DUMMYFUNCTION("""COMPUTED_VALUE"""),0.08)</f>
        <v>0.08</v>
      </c>
      <c r="S428" s="320">
        <f>IFERROR(__xludf.DUMMYFUNCTION("""COMPUTED_VALUE"""),0.0)</f>
        <v>0</v>
      </c>
      <c r="T428" s="320">
        <f>IFERROR(__xludf.DUMMYFUNCTION("""COMPUTED_VALUE"""),22.84)</f>
        <v>22.84</v>
      </c>
      <c r="U428" s="320">
        <f>IFERROR(__xludf.DUMMYFUNCTION("""COMPUTED_VALUE"""),2.09)</f>
        <v>2.09</v>
      </c>
      <c r="V428" s="320">
        <f>IFERROR(__xludf.DUMMYFUNCTION("""COMPUTED_VALUE"""),0.8317)</f>
        <v>0.8317</v>
      </c>
      <c r="W428" s="320">
        <f>IFERROR(__xludf.DUMMYFUNCTION("""COMPUTED_VALUE"""),0.0)</f>
        <v>0</v>
      </c>
      <c r="X428" s="320">
        <f>IFERROR(__xludf.DUMMYFUNCTION("""COMPUTED_VALUE"""),309.0)</f>
        <v>309</v>
      </c>
      <c r="Y428" s="320">
        <f>IFERROR(__xludf.DUMMYFUNCTION("""COMPUTED_VALUE"""),3646.0)</f>
        <v>3646</v>
      </c>
      <c r="Z428" s="320">
        <f>IFERROR(__xludf.DUMMYFUNCTION("""COMPUTED_VALUE"""),14686.0)</f>
        <v>14686</v>
      </c>
      <c r="AA428" s="320">
        <f>IFERROR(__xludf.DUMMYFUNCTION("""COMPUTED_VALUE"""),49.0702)</f>
        <v>49.0702</v>
      </c>
      <c r="AB428" s="320">
        <f>IFERROR(__xludf.DUMMYFUNCTION("""COMPUTED_VALUE"""),0.5458)</f>
        <v>0.5458</v>
      </c>
      <c r="AC428" s="106"/>
      <c r="AD428" s="106"/>
      <c r="AE428" s="106"/>
      <c r="AF428" s="106"/>
      <c r="AG428" s="106"/>
      <c r="AH428" s="320">
        <f>IFERROR(__xludf.DUMMYFUNCTION("""COMPUTED_VALUE"""),0.0)</f>
        <v>0</v>
      </c>
      <c r="AI428" s="320">
        <f>IFERROR(__xludf.DUMMYFUNCTION("""COMPUTED_VALUE"""),0.0)</f>
        <v>0</v>
      </c>
      <c r="AJ428" s="320">
        <f>IFERROR(__xludf.DUMMYFUNCTION("""COMPUTED_VALUE"""),0.0)</f>
        <v>0</v>
      </c>
      <c r="AK428" s="320">
        <f>IFERROR(__xludf.DUMMYFUNCTION("""COMPUTED_VALUE"""),0.2868)</f>
        <v>0.2868</v>
      </c>
      <c r="AL428" s="320">
        <f>IFERROR(__xludf.DUMMYFUNCTION("""COMPUTED_VALUE"""),16.65)</f>
        <v>16.65</v>
      </c>
      <c r="AM428" s="320">
        <f>IFERROR(__xludf.DUMMYFUNCTION("""COMPUTED_VALUE"""),6.1)</f>
        <v>6.1</v>
      </c>
      <c r="AN428" s="331"/>
      <c r="AO428" s="331"/>
    </row>
    <row r="429" ht="15.75" customHeight="1">
      <c r="A429" s="330">
        <f>IFERROR(__xludf.DUMMYFUNCTION("""COMPUTED_VALUE"""),46121.0)</f>
        <v>46121</v>
      </c>
      <c r="B429" s="319" t="str">
        <f>IFERROR(__xludf.DUMMYFUNCTION("""COMPUTED_VALUE"""),"B. 1-9")</f>
        <v>B. 1-9</v>
      </c>
      <c r="C429" s="320">
        <f>IFERROR(__xludf.DUMMYFUNCTION("""COMPUTED_VALUE"""),37090.0)</f>
        <v>37090</v>
      </c>
      <c r="D429" s="320">
        <f>IFERROR(__xludf.DUMMYFUNCTION("""COMPUTED_VALUE"""),36.13)</f>
        <v>36.13</v>
      </c>
      <c r="E429" s="320">
        <f>IFERROR(__xludf.DUMMYFUNCTION("""COMPUTED_VALUE"""),0.0)</f>
        <v>0</v>
      </c>
      <c r="F429" s="320">
        <f>IFERROR(__xludf.DUMMYFUNCTION("""COMPUTED_VALUE"""),0.0)</f>
        <v>0</v>
      </c>
      <c r="G429" s="320">
        <f>IFERROR(__xludf.DUMMYFUNCTION("""COMPUTED_VALUE"""),0.0)</f>
        <v>0</v>
      </c>
      <c r="H429" s="106"/>
      <c r="I429" s="320">
        <f>IFERROR(__xludf.DUMMYFUNCTION("""COMPUTED_VALUE"""),27.36)</f>
        <v>27.36</v>
      </c>
      <c r="J429" s="320">
        <f>IFERROR(__xludf.DUMMYFUNCTION("""COMPUTED_VALUE"""),12.24)</f>
        <v>12.24</v>
      </c>
      <c r="K429" s="320">
        <f>IFERROR(__xludf.DUMMYFUNCTION("""COMPUTED_VALUE"""),5.29)</f>
        <v>5.29</v>
      </c>
      <c r="L429" s="320">
        <f>IFERROR(__xludf.DUMMYFUNCTION("""COMPUTED_VALUE"""),0.4325)</f>
        <v>0.4325</v>
      </c>
      <c r="M429" s="320">
        <f>IFERROR(__xludf.DUMMYFUNCTION("""COMPUTED_VALUE"""),0.747)</f>
        <v>0.747</v>
      </c>
      <c r="N429" s="320">
        <f>IFERROR(__xludf.DUMMYFUNCTION("""COMPUTED_VALUE"""),0.5624)</f>
        <v>0.5624</v>
      </c>
      <c r="O429" s="320">
        <f>IFERROR(__xludf.DUMMYFUNCTION("""COMPUTED_VALUE"""),2.3121)</f>
        <v>2.3121</v>
      </c>
      <c r="P429" s="320">
        <f>IFERROR(__xludf.DUMMYFUNCTION("""COMPUTED_VALUE"""),44.76)</f>
        <v>44.76</v>
      </c>
      <c r="Q429" s="320">
        <f>IFERROR(__xludf.DUMMYFUNCTION("""COMPUTED_VALUE"""),34.78)</f>
        <v>34.78</v>
      </c>
      <c r="R429" s="320">
        <f>IFERROR(__xludf.DUMMYFUNCTION("""COMPUTED_VALUE"""),9.98)</f>
        <v>9.98</v>
      </c>
      <c r="S429" s="320">
        <f>IFERROR(__xludf.DUMMYFUNCTION("""COMPUTED_VALUE"""),0.0)</f>
        <v>0</v>
      </c>
      <c r="T429" s="320">
        <f>IFERROR(__xludf.DUMMYFUNCTION("""COMPUTED_VALUE"""),44.76)</f>
        <v>44.76</v>
      </c>
      <c r="U429" s="320">
        <f>IFERROR(__xludf.DUMMYFUNCTION("""COMPUTED_VALUE"""),47.77)</f>
        <v>47.77</v>
      </c>
      <c r="V429" s="320">
        <f>IFERROR(__xludf.DUMMYFUNCTION("""COMPUTED_VALUE"""),3.9024)</f>
        <v>3.9024</v>
      </c>
      <c r="W429" s="320">
        <f>IFERROR(__xludf.DUMMYFUNCTION("""COMPUTED_VALUE"""),0.0)</f>
        <v>0</v>
      </c>
      <c r="X429" s="320">
        <f>IFERROR(__xludf.DUMMYFUNCTION("""COMPUTED_VALUE"""),137.0)</f>
        <v>137</v>
      </c>
      <c r="Y429" s="320">
        <f>IFERROR(__xludf.DUMMYFUNCTION("""COMPUTED_VALUE"""),877.0)</f>
        <v>877</v>
      </c>
      <c r="Z429" s="320">
        <f>IFERROR(__xludf.DUMMYFUNCTION("""COMPUTED_VALUE"""),5982.0)</f>
        <v>5982</v>
      </c>
      <c r="AA429" s="320">
        <f>IFERROR(__xludf.DUMMYFUNCTION("""COMPUTED_VALUE"""),49.0623)</f>
        <v>49.0623</v>
      </c>
      <c r="AB429" s="320">
        <f>IFERROR(__xludf.DUMMYFUNCTION("""COMPUTED_VALUE"""),0.5436)</f>
        <v>0.5436</v>
      </c>
      <c r="AC429" s="320">
        <f>IFERROR(__xludf.DUMMYFUNCTION("""COMPUTED_VALUE"""),3.86)</f>
        <v>3.86</v>
      </c>
      <c r="AD429" s="320">
        <f>IFERROR(__xludf.DUMMYFUNCTION("""COMPUTED_VALUE"""),1.0)</f>
        <v>1</v>
      </c>
      <c r="AE429" s="320">
        <f>IFERROR(__xludf.DUMMYFUNCTION("""COMPUTED_VALUE"""),3.0)</f>
        <v>3</v>
      </c>
      <c r="AF429" s="320">
        <f>IFERROR(__xludf.DUMMYFUNCTION("""COMPUTED_VALUE"""),5.0)</f>
        <v>5</v>
      </c>
      <c r="AG429" s="320">
        <f>IFERROR(__xludf.DUMMYFUNCTION("""COMPUTED_VALUE"""),9.0)</f>
        <v>9</v>
      </c>
      <c r="AH429" s="320">
        <f>IFERROR(__xludf.DUMMYFUNCTION("""COMPUTED_VALUE"""),71.88)</f>
        <v>71.88</v>
      </c>
      <c r="AI429" s="320">
        <f>IFERROR(__xludf.DUMMYFUNCTION("""COMPUTED_VALUE"""),29.65)</f>
        <v>29.65</v>
      </c>
      <c r="AJ429" s="320">
        <f>IFERROR(__xludf.DUMMYFUNCTION("""COMPUTED_VALUE"""),7.94)</f>
        <v>7.94</v>
      </c>
      <c r="AK429" s="320">
        <f>IFERROR(__xludf.DUMMYFUNCTION("""COMPUTED_VALUE"""),0.2521)</f>
        <v>0.2521</v>
      </c>
      <c r="AL429" s="320">
        <f>IFERROR(__xludf.DUMMYFUNCTION("""COMPUTED_VALUE"""),19.17)</f>
        <v>19.17</v>
      </c>
      <c r="AM429" s="320">
        <f>IFERROR(__xludf.DUMMYFUNCTION("""COMPUTED_VALUE"""),15.6)</f>
        <v>15.6</v>
      </c>
      <c r="AN429" s="320">
        <f>IFERROR(__xludf.DUMMYFUNCTION("""COMPUTED_VALUE"""),66.05)</f>
        <v>66.05</v>
      </c>
      <c r="AO429" s="320">
        <f>IFERROR(__xludf.DUMMYFUNCTION("""COMPUTED_VALUE"""),12.66)</f>
        <v>12.66</v>
      </c>
    </row>
    <row r="430" ht="15.75" customHeight="1">
      <c r="A430" s="330">
        <f>IFERROR(__xludf.DUMMYFUNCTION("""COMPUTED_VALUE"""),46121.0)</f>
        <v>46121</v>
      </c>
      <c r="B430" s="319" t="str">
        <f>IFERROR(__xludf.DUMMYFUNCTION("""COMPUTED_VALUE"""),"C. 10-19")</f>
        <v>C. 10-19</v>
      </c>
      <c r="C430" s="320">
        <f>IFERROR(__xludf.DUMMYFUNCTION("""COMPUTED_VALUE"""),25485.0)</f>
        <v>25485</v>
      </c>
      <c r="D430" s="320">
        <f>IFERROR(__xludf.DUMMYFUNCTION("""COMPUTED_VALUE"""),24.82)</f>
        <v>24.82</v>
      </c>
      <c r="E430" s="320">
        <f>IFERROR(__xludf.DUMMYFUNCTION("""COMPUTED_VALUE"""),0.0)</f>
        <v>0</v>
      </c>
      <c r="F430" s="320">
        <f>IFERROR(__xludf.DUMMYFUNCTION("""COMPUTED_VALUE"""),0.0)</f>
        <v>0</v>
      </c>
      <c r="G430" s="320">
        <f>IFERROR(__xludf.DUMMYFUNCTION("""COMPUTED_VALUE"""),0.0)</f>
        <v>0</v>
      </c>
      <c r="H430" s="106"/>
      <c r="I430" s="320">
        <f>IFERROR(__xludf.DUMMYFUNCTION("""COMPUTED_VALUE"""),50.55)</f>
        <v>50.55</v>
      </c>
      <c r="J430" s="320">
        <f>IFERROR(__xludf.DUMMYFUNCTION("""COMPUTED_VALUE"""),23.64)</f>
        <v>23.64</v>
      </c>
      <c r="K430" s="320">
        <f>IFERROR(__xludf.DUMMYFUNCTION("""COMPUTED_VALUE"""),13.12)</f>
        <v>13.12</v>
      </c>
      <c r="L430" s="320">
        <f>IFERROR(__xludf.DUMMYFUNCTION("""COMPUTED_VALUE"""),0.5552)</f>
        <v>0.5552</v>
      </c>
      <c r="M430" s="320">
        <f>IFERROR(__xludf.DUMMYFUNCTION("""COMPUTED_VALUE"""),0.6439)</f>
        <v>0.6439</v>
      </c>
      <c r="N430" s="320">
        <f>IFERROR(__xludf.DUMMYFUNCTION("""COMPUTED_VALUE"""),0.4568)</f>
        <v>0.4568</v>
      </c>
      <c r="O430" s="320">
        <f>IFERROR(__xludf.DUMMYFUNCTION("""COMPUTED_VALUE"""),1.8012)</f>
        <v>1.8012</v>
      </c>
      <c r="P430" s="320">
        <f>IFERROR(__xludf.DUMMYFUNCTION("""COMPUTED_VALUE"""),88.61)</f>
        <v>88.61</v>
      </c>
      <c r="Q430" s="320">
        <f>IFERROR(__xludf.DUMMYFUNCTION("""COMPUTED_VALUE"""),64.16)</f>
        <v>64.16</v>
      </c>
      <c r="R430" s="320">
        <f>IFERROR(__xludf.DUMMYFUNCTION("""COMPUTED_VALUE"""),24.45)</f>
        <v>24.45</v>
      </c>
      <c r="S430" s="320">
        <f>IFERROR(__xludf.DUMMYFUNCTION("""COMPUTED_VALUE"""),0.0)</f>
        <v>0</v>
      </c>
      <c r="T430" s="320">
        <f>IFERROR(__xludf.DUMMYFUNCTION("""COMPUTED_VALUE"""),88.61)</f>
        <v>88.61</v>
      </c>
      <c r="U430" s="320">
        <f>IFERROR(__xludf.DUMMYFUNCTION("""COMPUTED_VALUE"""),88.11)</f>
        <v>88.11</v>
      </c>
      <c r="V430" s="320">
        <f>IFERROR(__xludf.DUMMYFUNCTION("""COMPUTED_VALUE"""),3.727)</f>
        <v>3.727</v>
      </c>
      <c r="W430" s="320">
        <f>IFERROR(__xludf.DUMMYFUNCTION("""COMPUTED_VALUE"""),0.0)</f>
        <v>0</v>
      </c>
      <c r="X430" s="320">
        <f>IFERROR(__xludf.DUMMYFUNCTION("""COMPUTED_VALUE"""),119.0)</f>
        <v>119</v>
      </c>
      <c r="Y430" s="320">
        <f>IFERROR(__xludf.DUMMYFUNCTION("""COMPUTED_VALUE"""),680.0)</f>
        <v>680</v>
      </c>
      <c r="Z430" s="320">
        <f>IFERROR(__xludf.DUMMYFUNCTION("""COMPUTED_VALUE"""),5495.0)</f>
        <v>5495</v>
      </c>
      <c r="AA430" s="320">
        <f>IFERROR(__xludf.DUMMYFUNCTION("""COMPUTED_VALUE"""),52.2796)</f>
        <v>52.2796</v>
      </c>
      <c r="AB430" s="320">
        <f>IFERROR(__xludf.DUMMYFUNCTION("""COMPUTED_VALUE"""),0.6201)</f>
        <v>0.6201</v>
      </c>
      <c r="AC430" s="320">
        <f>IFERROR(__xludf.DUMMYFUNCTION("""COMPUTED_VALUE"""),8.79)</f>
        <v>8.79</v>
      </c>
      <c r="AD430" s="320">
        <f>IFERROR(__xludf.DUMMYFUNCTION("""COMPUTED_VALUE"""),3.0)</f>
        <v>3</v>
      </c>
      <c r="AE430" s="320">
        <f>IFERROR(__xludf.DUMMYFUNCTION("""COMPUTED_VALUE"""),7.0)</f>
        <v>7</v>
      </c>
      <c r="AF430" s="320">
        <f>IFERROR(__xludf.DUMMYFUNCTION("""COMPUTED_VALUE"""),12.0)</f>
        <v>12</v>
      </c>
      <c r="AG430" s="320">
        <f>IFERROR(__xludf.DUMMYFUNCTION("""COMPUTED_VALUE"""),19.0)</f>
        <v>19</v>
      </c>
      <c r="AH430" s="320">
        <f>IFERROR(__xludf.DUMMYFUNCTION("""COMPUTED_VALUE"""),57.31)</f>
        <v>57.31</v>
      </c>
      <c r="AI430" s="320">
        <f>IFERROR(__xludf.DUMMYFUNCTION("""COMPUTED_VALUE"""),22.68)</f>
        <v>22.68</v>
      </c>
      <c r="AJ430" s="320">
        <f>IFERROR(__xludf.DUMMYFUNCTION("""COMPUTED_VALUE"""),3.79)</f>
        <v>3.79</v>
      </c>
      <c r="AK430" s="320">
        <f>IFERROR(__xludf.DUMMYFUNCTION("""COMPUTED_VALUE"""),0.2007)</f>
        <v>0.2007</v>
      </c>
      <c r="AL430" s="320">
        <f>IFERROR(__xludf.DUMMYFUNCTION("""COMPUTED_VALUE"""),20.04)</f>
        <v>20.04</v>
      </c>
      <c r="AM430" s="320">
        <f>IFERROR(__xludf.DUMMYFUNCTION("""COMPUTED_VALUE"""),44.12)</f>
        <v>44.12</v>
      </c>
      <c r="AN430" s="320">
        <f>IFERROR(__xludf.DUMMYFUNCTION("""COMPUTED_VALUE"""),74.55)</f>
        <v>74.55</v>
      </c>
      <c r="AO430" s="320">
        <f>IFERROR(__xludf.DUMMYFUNCTION("""COMPUTED_VALUE"""),14.94)</f>
        <v>14.94</v>
      </c>
    </row>
    <row r="431" ht="15.75" customHeight="1">
      <c r="A431" s="330">
        <f>IFERROR(__xludf.DUMMYFUNCTION("""COMPUTED_VALUE"""),46121.0)</f>
        <v>46121</v>
      </c>
      <c r="B431" s="319" t="str">
        <f>IFERROR(__xludf.DUMMYFUNCTION("""COMPUTED_VALUE"""),"D. 20-39")</f>
        <v>D. 20-39</v>
      </c>
      <c r="C431" s="320">
        <f>IFERROR(__xludf.DUMMYFUNCTION("""COMPUTED_VALUE"""),13426.0)</f>
        <v>13426</v>
      </c>
      <c r="D431" s="320">
        <f>IFERROR(__xludf.DUMMYFUNCTION("""COMPUTED_VALUE"""),13.08)</f>
        <v>13.08</v>
      </c>
      <c r="E431" s="320">
        <f>IFERROR(__xludf.DUMMYFUNCTION("""COMPUTED_VALUE"""),0.0)</f>
        <v>0</v>
      </c>
      <c r="F431" s="320">
        <f>IFERROR(__xludf.DUMMYFUNCTION("""COMPUTED_VALUE"""),0.0)</f>
        <v>0</v>
      </c>
      <c r="G431" s="320">
        <f>IFERROR(__xludf.DUMMYFUNCTION("""COMPUTED_VALUE"""),0.0)</f>
        <v>0</v>
      </c>
      <c r="H431" s="106"/>
      <c r="I431" s="320">
        <f>IFERROR(__xludf.DUMMYFUNCTION("""COMPUTED_VALUE"""),76.76)</f>
        <v>76.76</v>
      </c>
      <c r="J431" s="320">
        <f>IFERROR(__xludf.DUMMYFUNCTION("""COMPUTED_VALUE"""),38.41)</f>
        <v>38.41</v>
      </c>
      <c r="K431" s="320">
        <f>IFERROR(__xludf.DUMMYFUNCTION("""COMPUTED_VALUE"""),25.89)</f>
        <v>25.89</v>
      </c>
      <c r="L431" s="320">
        <f>IFERROR(__xludf.DUMMYFUNCTION("""COMPUTED_VALUE"""),0.6739)</f>
        <v>0.6739</v>
      </c>
      <c r="M431" s="320">
        <f>IFERROR(__xludf.DUMMYFUNCTION("""COMPUTED_VALUE"""),0.5213)</f>
        <v>0.5213</v>
      </c>
      <c r="N431" s="320">
        <f>IFERROR(__xludf.DUMMYFUNCTION("""COMPUTED_VALUE"""),0.3637)</f>
        <v>0.3637</v>
      </c>
      <c r="O431" s="320">
        <f>IFERROR(__xludf.DUMMYFUNCTION("""COMPUTED_VALUE"""),1.4838)</f>
        <v>1.4838</v>
      </c>
      <c r="P431" s="320">
        <f>IFERROR(__xludf.DUMMYFUNCTION("""COMPUTED_VALUE"""),176.52)</f>
        <v>176.52</v>
      </c>
      <c r="Q431" s="320">
        <f>IFERROR(__xludf.DUMMYFUNCTION("""COMPUTED_VALUE"""),127.41)</f>
        <v>127.41</v>
      </c>
      <c r="R431" s="320">
        <f>IFERROR(__xludf.DUMMYFUNCTION("""COMPUTED_VALUE"""),49.1)</f>
        <v>49.1</v>
      </c>
      <c r="S431" s="320">
        <f>IFERROR(__xludf.DUMMYFUNCTION("""COMPUTED_VALUE"""),0.04)</f>
        <v>0.04</v>
      </c>
      <c r="T431" s="320">
        <f>IFERROR(__xludf.DUMMYFUNCTION("""COMPUTED_VALUE"""),176.48)</f>
        <v>176.48</v>
      </c>
      <c r="U431" s="320">
        <f>IFERROR(__xludf.DUMMYFUNCTION("""COMPUTED_VALUE"""),162.22)</f>
        <v>162.22</v>
      </c>
      <c r="V431" s="320">
        <f>IFERROR(__xludf.DUMMYFUNCTION("""COMPUTED_VALUE"""),4.2228)</f>
        <v>4.2228</v>
      </c>
      <c r="W431" s="320">
        <f>IFERROR(__xludf.DUMMYFUNCTION("""COMPUTED_VALUE"""),0.02)</f>
        <v>0.02</v>
      </c>
      <c r="X431" s="320">
        <f>IFERROR(__xludf.DUMMYFUNCTION("""COMPUTED_VALUE"""),152.0)</f>
        <v>152</v>
      </c>
      <c r="Y431" s="320">
        <f>IFERROR(__xludf.DUMMYFUNCTION("""COMPUTED_VALUE"""),1048.0)</f>
        <v>1048</v>
      </c>
      <c r="Z431" s="320">
        <f>IFERROR(__xludf.DUMMYFUNCTION("""COMPUTED_VALUE"""),6693.0)</f>
        <v>6693</v>
      </c>
      <c r="AA431" s="320">
        <f>IFERROR(__xludf.DUMMYFUNCTION("""COMPUTED_VALUE"""),55.763)</f>
        <v>55.763</v>
      </c>
      <c r="AB431" s="320">
        <f>IFERROR(__xludf.DUMMYFUNCTION("""COMPUTED_VALUE"""),0.7303)</f>
        <v>0.7303</v>
      </c>
      <c r="AC431" s="320">
        <f>IFERROR(__xludf.DUMMYFUNCTION("""COMPUTED_VALUE"""),17.57)</f>
        <v>17.57</v>
      </c>
      <c r="AD431" s="320">
        <f>IFERROR(__xludf.DUMMYFUNCTION("""COMPUTED_VALUE"""),7.0)</f>
        <v>7</v>
      </c>
      <c r="AE431" s="320">
        <f>IFERROR(__xludf.DUMMYFUNCTION("""COMPUTED_VALUE"""),13.0)</f>
        <v>13</v>
      </c>
      <c r="AF431" s="320">
        <f>IFERROR(__xludf.DUMMYFUNCTION("""COMPUTED_VALUE"""),24.0)</f>
        <v>24</v>
      </c>
      <c r="AG431" s="320">
        <f>IFERROR(__xludf.DUMMYFUNCTION("""COMPUTED_VALUE"""),38.0)</f>
        <v>38</v>
      </c>
      <c r="AH431" s="320">
        <f>IFERROR(__xludf.DUMMYFUNCTION("""COMPUTED_VALUE"""),58.16)</f>
        <v>58.16</v>
      </c>
      <c r="AI431" s="320">
        <f>IFERROR(__xludf.DUMMYFUNCTION("""COMPUTED_VALUE"""),23.01)</f>
        <v>23.01</v>
      </c>
      <c r="AJ431" s="320">
        <f>IFERROR(__xludf.DUMMYFUNCTION("""COMPUTED_VALUE"""),7.41)</f>
        <v>7.41</v>
      </c>
      <c r="AK431" s="320">
        <f>IFERROR(__xludf.DUMMYFUNCTION("""COMPUTED_VALUE"""),0.177)</f>
        <v>0.177</v>
      </c>
      <c r="AL431" s="320">
        <f>IFERROR(__xludf.DUMMYFUNCTION("""COMPUTED_VALUE"""),20.42)</f>
        <v>20.42</v>
      </c>
      <c r="AM431" s="320">
        <f>IFERROR(__xludf.DUMMYFUNCTION("""COMPUTED_VALUE"""),106.99)</f>
        <v>106.99</v>
      </c>
      <c r="AN431" s="320">
        <f>IFERROR(__xludf.DUMMYFUNCTION("""COMPUTED_VALUE"""),78.5)</f>
        <v>78.5</v>
      </c>
      <c r="AO431" s="320">
        <f>IFERROR(__xludf.DUMMYFUNCTION("""COMPUTED_VALUE"""),16.03)</f>
        <v>16.03</v>
      </c>
    </row>
    <row r="432" ht="15.75" customHeight="1">
      <c r="A432" s="330">
        <f>IFERROR(__xludf.DUMMYFUNCTION("""COMPUTED_VALUE"""),46121.0)</f>
        <v>46121</v>
      </c>
      <c r="B432" s="319" t="str">
        <f>IFERROR(__xludf.DUMMYFUNCTION("""COMPUTED_VALUE"""),"E. 40-99")</f>
        <v>E. 40-99</v>
      </c>
      <c r="C432" s="320">
        <f>IFERROR(__xludf.DUMMYFUNCTION("""COMPUTED_VALUE"""),5388.0)</f>
        <v>5388</v>
      </c>
      <c r="D432" s="320">
        <f>IFERROR(__xludf.DUMMYFUNCTION("""COMPUTED_VALUE"""),5.25)</f>
        <v>5.25</v>
      </c>
      <c r="E432" s="320">
        <f>IFERROR(__xludf.DUMMYFUNCTION("""COMPUTED_VALUE"""),0.0)</f>
        <v>0</v>
      </c>
      <c r="F432" s="320">
        <f>IFERROR(__xludf.DUMMYFUNCTION("""COMPUTED_VALUE"""),0.0)</f>
        <v>0</v>
      </c>
      <c r="G432" s="320">
        <f>IFERROR(__xludf.DUMMYFUNCTION("""COMPUTED_VALUE"""),0.0)</f>
        <v>0</v>
      </c>
      <c r="H432" s="106"/>
      <c r="I432" s="320">
        <f>IFERROR(__xludf.DUMMYFUNCTION("""COMPUTED_VALUE"""),126.2)</f>
        <v>126.2</v>
      </c>
      <c r="J432" s="320">
        <f>IFERROR(__xludf.DUMMYFUNCTION("""COMPUTED_VALUE"""),68.05)</f>
        <v>68.05</v>
      </c>
      <c r="K432" s="320">
        <f>IFERROR(__xludf.DUMMYFUNCTION("""COMPUTED_VALUE"""),54.39)</f>
        <v>54.39</v>
      </c>
      <c r="L432" s="320">
        <f>IFERROR(__xludf.DUMMYFUNCTION("""COMPUTED_VALUE"""),0.7993)</f>
        <v>0.7993</v>
      </c>
      <c r="M432" s="320">
        <f>IFERROR(__xludf.DUMMYFUNCTION("""COMPUTED_VALUE"""),0.3843)</f>
        <v>0.3843</v>
      </c>
      <c r="N432" s="320">
        <f>IFERROR(__xludf.DUMMYFUNCTION("""COMPUTED_VALUE"""),0.2783)</f>
        <v>0.2783</v>
      </c>
      <c r="O432" s="320">
        <f>IFERROR(__xludf.DUMMYFUNCTION("""COMPUTED_VALUE"""),1.2511)</f>
        <v>1.2511</v>
      </c>
      <c r="P432" s="320">
        <f>IFERROR(__xludf.DUMMYFUNCTION("""COMPUTED_VALUE"""),381.74)</f>
        <v>381.74</v>
      </c>
      <c r="Q432" s="320">
        <f>IFERROR(__xludf.DUMMYFUNCTION("""COMPUTED_VALUE"""),278.56)</f>
        <v>278.56</v>
      </c>
      <c r="R432" s="320">
        <f>IFERROR(__xludf.DUMMYFUNCTION("""COMPUTED_VALUE"""),103.18)</f>
        <v>103.18</v>
      </c>
      <c r="S432" s="320">
        <f>IFERROR(__xludf.DUMMYFUNCTION("""COMPUTED_VALUE"""),0.0)</f>
        <v>0</v>
      </c>
      <c r="T432" s="320">
        <f>IFERROR(__xludf.DUMMYFUNCTION("""COMPUTED_VALUE"""),381.74)</f>
        <v>381.74</v>
      </c>
      <c r="U432" s="320">
        <f>IFERROR(__xludf.DUMMYFUNCTION("""COMPUTED_VALUE"""),314.56)</f>
        <v>314.56</v>
      </c>
      <c r="V432" s="320">
        <f>IFERROR(__xludf.DUMMYFUNCTION("""COMPUTED_VALUE"""),4.6225)</f>
        <v>4.6225</v>
      </c>
      <c r="W432" s="320">
        <f>IFERROR(__xludf.DUMMYFUNCTION("""COMPUTED_VALUE"""),0.0)</f>
        <v>0</v>
      </c>
      <c r="X432" s="320">
        <f>IFERROR(__xludf.DUMMYFUNCTION("""COMPUTED_VALUE"""),301.0)</f>
        <v>301</v>
      </c>
      <c r="Y432" s="320">
        <f>IFERROR(__xludf.DUMMYFUNCTION("""COMPUTED_VALUE"""),2404.0)</f>
        <v>2404</v>
      </c>
      <c r="Z432" s="320">
        <f>IFERROR(__xludf.DUMMYFUNCTION("""COMPUTED_VALUE"""),9156.0)</f>
        <v>9156</v>
      </c>
      <c r="AA432" s="320">
        <f>IFERROR(__xludf.DUMMYFUNCTION("""COMPUTED_VALUE"""),59.4448)</f>
        <v>59.4448</v>
      </c>
      <c r="AB432" s="320">
        <f>IFERROR(__xludf.DUMMYFUNCTION("""COMPUTED_VALUE"""),0.8152)</f>
        <v>0.8152</v>
      </c>
      <c r="AC432" s="320">
        <f>IFERROR(__xludf.DUMMYFUNCTION("""COMPUTED_VALUE"""),38.0)</f>
        <v>38</v>
      </c>
      <c r="AD432" s="320">
        <f>IFERROR(__xludf.DUMMYFUNCTION("""COMPUTED_VALUE"""),15.0)</f>
        <v>15</v>
      </c>
      <c r="AE432" s="320">
        <f>IFERROR(__xludf.DUMMYFUNCTION("""COMPUTED_VALUE"""),30.0)</f>
        <v>30</v>
      </c>
      <c r="AF432" s="320">
        <f>IFERROR(__xludf.DUMMYFUNCTION("""COMPUTED_VALUE"""),53.0)</f>
        <v>53</v>
      </c>
      <c r="AG432" s="320">
        <f>IFERROR(__xludf.DUMMYFUNCTION("""COMPUTED_VALUE"""),79.0)</f>
        <v>79</v>
      </c>
      <c r="AH432" s="320">
        <f>IFERROR(__xludf.DUMMYFUNCTION("""COMPUTED_VALUE"""),53.25)</f>
        <v>53.25</v>
      </c>
      <c r="AI432" s="320">
        <f>IFERROR(__xludf.DUMMYFUNCTION("""COMPUTED_VALUE"""),19.86)</f>
        <v>19.86</v>
      </c>
      <c r="AJ432" s="320">
        <f>IFERROR(__xludf.DUMMYFUNCTION("""COMPUTED_VALUE"""),4.81)</f>
        <v>4.81</v>
      </c>
      <c r="AK432" s="320">
        <f>IFERROR(__xludf.DUMMYFUNCTION("""COMPUTED_VALUE"""),0.1346)</f>
        <v>0.1346</v>
      </c>
      <c r="AL432" s="320">
        <f>IFERROR(__xludf.DUMMYFUNCTION("""COMPUTED_VALUE"""),21.11)</f>
        <v>21.11</v>
      </c>
      <c r="AM432" s="320">
        <f>IFERROR(__xludf.DUMMYFUNCTION("""COMPUTED_VALUE"""),257.45)</f>
        <v>257.45</v>
      </c>
      <c r="AN432" s="320">
        <f>IFERROR(__xludf.DUMMYFUNCTION("""COMPUTED_VALUE"""),83.77)</f>
        <v>83.77</v>
      </c>
      <c r="AO432" s="320">
        <f>IFERROR(__xludf.DUMMYFUNCTION("""COMPUTED_VALUE"""),17.68)</f>
        <v>17.68</v>
      </c>
    </row>
    <row r="433" ht="15.75" customHeight="1">
      <c r="A433" s="330">
        <f>IFERROR(__xludf.DUMMYFUNCTION("""COMPUTED_VALUE"""),46121.0)</f>
        <v>46121</v>
      </c>
      <c r="B433" s="319" t="str">
        <f>IFERROR(__xludf.DUMMYFUNCTION("""COMPUTED_VALUE"""),"F. 100+")</f>
        <v>F. 100+</v>
      </c>
      <c r="C433" s="320">
        <f>IFERROR(__xludf.DUMMYFUNCTION("""COMPUTED_VALUE"""),564.0)</f>
        <v>564</v>
      </c>
      <c r="D433" s="320">
        <f>IFERROR(__xludf.DUMMYFUNCTION("""COMPUTED_VALUE"""),0.55)</f>
        <v>0.55</v>
      </c>
      <c r="E433" s="320">
        <f>IFERROR(__xludf.DUMMYFUNCTION("""COMPUTED_VALUE"""),0.0)</f>
        <v>0</v>
      </c>
      <c r="F433" s="320">
        <f>IFERROR(__xludf.DUMMYFUNCTION("""COMPUTED_VALUE"""),0.0)</f>
        <v>0</v>
      </c>
      <c r="G433" s="320">
        <f>IFERROR(__xludf.DUMMYFUNCTION("""COMPUTED_VALUE"""),0.0)</f>
        <v>0</v>
      </c>
      <c r="H433" s="106"/>
      <c r="I433" s="320">
        <f>IFERROR(__xludf.DUMMYFUNCTION("""COMPUTED_VALUE"""),259.78)</f>
        <v>259.78</v>
      </c>
      <c r="J433" s="320">
        <f>IFERROR(__xludf.DUMMYFUNCTION("""COMPUTED_VALUE"""),153.05)</f>
        <v>153.05</v>
      </c>
      <c r="K433" s="320">
        <f>IFERROR(__xludf.DUMMYFUNCTION("""COMPUTED_VALUE"""),135.92)</f>
        <v>135.92</v>
      </c>
      <c r="L433" s="320">
        <f>IFERROR(__xludf.DUMMYFUNCTION("""COMPUTED_VALUE"""),0.8881)</f>
        <v>0.8881</v>
      </c>
      <c r="M433" s="320">
        <f>IFERROR(__xludf.DUMMYFUNCTION("""COMPUTED_VALUE"""),0.2709)</f>
        <v>0.2709</v>
      </c>
      <c r="N433" s="320">
        <f>IFERROR(__xludf.DUMMYFUNCTION("""COMPUTED_VALUE"""),0.2088)</f>
        <v>0.2088</v>
      </c>
      <c r="O433" s="320">
        <f>IFERROR(__xludf.DUMMYFUNCTION("""COMPUTED_VALUE"""),1.1261)</f>
        <v>1.1261</v>
      </c>
      <c r="P433" s="320">
        <f>IFERROR(__xludf.DUMMYFUNCTION("""COMPUTED_VALUE"""),819.3)</f>
        <v>819.3</v>
      </c>
      <c r="Q433" s="320">
        <f>IFERROR(__xludf.DUMMYFUNCTION("""COMPUTED_VALUE"""),560.3)</f>
        <v>560.3</v>
      </c>
      <c r="R433" s="320">
        <f>IFERROR(__xludf.DUMMYFUNCTION("""COMPUTED_VALUE"""),259.01)</f>
        <v>259.01</v>
      </c>
      <c r="S433" s="320">
        <f>IFERROR(__xludf.DUMMYFUNCTION("""COMPUTED_VALUE"""),0.0)</f>
        <v>0</v>
      </c>
      <c r="T433" s="320">
        <f>IFERROR(__xludf.DUMMYFUNCTION("""COMPUTED_VALUE"""),819.3)</f>
        <v>819.3</v>
      </c>
      <c r="U433" s="320">
        <f>IFERROR(__xludf.DUMMYFUNCTION("""COMPUTED_VALUE"""),1038.39)</f>
        <v>1038.39</v>
      </c>
      <c r="V433" s="320">
        <f>IFERROR(__xludf.DUMMYFUNCTION("""COMPUTED_VALUE"""),6.7844)</f>
        <v>6.7844</v>
      </c>
      <c r="W433" s="320">
        <f>IFERROR(__xludf.DUMMYFUNCTION("""COMPUTED_VALUE"""),0.0)</f>
        <v>0</v>
      </c>
      <c r="X433" s="320">
        <f>IFERROR(__xludf.DUMMYFUNCTION("""COMPUTED_VALUE"""),1138.0)</f>
        <v>1138</v>
      </c>
      <c r="Y433" s="320">
        <f>IFERROR(__xludf.DUMMYFUNCTION("""COMPUTED_VALUE"""),5447.0)</f>
        <v>5447</v>
      </c>
      <c r="Z433" s="320">
        <f>IFERROR(__xludf.DUMMYFUNCTION("""COMPUTED_VALUE"""),16849.0)</f>
        <v>16849</v>
      </c>
      <c r="AA433" s="320">
        <f>IFERROR(__xludf.DUMMYFUNCTION("""COMPUTED_VALUE"""),63.1021)</f>
        <v>63.1021</v>
      </c>
      <c r="AB433" s="320">
        <f>IFERROR(__xludf.DUMMYFUNCTION("""COMPUTED_VALUE"""),0.8885)</f>
        <v>0.8885</v>
      </c>
      <c r="AC433" s="320">
        <f>IFERROR(__xludf.DUMMYFUNCTION("""COMPUTED_VALUE"""),99.75)</f>
        <v>99.75</v>
      </c>
      <c r="AD433" s="320">
        <f>IFERROR(__xludf.DUMMYFUNCTION("""COMPUTED_VALUE"""),44.0)</f>
        <v>44</v>
      </c>
      <c r="AE433" s="320">
        <f>IFERROR(__xludf.DUMMYFUNCTION("""COMPUTED_VALUE"""),87.0)</f>
        <v>87</v>
      </c>
      <c r="AF433" s="320">
        <f>IFERROR(__xludf.DUMMYFUNCTION("""COMPUTED_VALUE"""),131.0)</f>
        <v>131</v>
      </c>
      <c r="AG433" s="320">
        <f>IFERROR(__xludf.DUMMYFUNCTION("""COMPUTED_VALUE"""),198.0)</f>
        <v>198</v>
      </c>
      <c r="AH433" s="320">
        <f>IFERROR(__xludf.DUMMYFUNCTION("""COMPUTED_VALUE"""),56.74)</f>
        <v>56.74</v>
      </c>
      <c r="AI433" s="320">
        <f>IFERROR(__xludf.DUMMYFUNCTION("""COMPUTED_VALUE"""),13.48)</f>
        <v>13.48</v>
      </c>
      <c r="AJ433" s="320">
        <f>IFERROR(__xludf.DUMMYFUNCTION("""COMPUTED_VALUE"""),2.48)</f>
        <v>2.48</v>
      </c>
      <c r="AK433" s="320">
        <f>IFERROR(__xludf.DUMMYFUNCTION("""COMPUTED_VALUE"""),0.0851)</f>
        <v>0.0851</v>
      </c>
      <c r="AL433" s="320">
        <f>IFERROR(__xludf.DUMMYFUNCTION("""COMPUTED_VALUE"""),24.02)</f>
        <v>24.02</v>
      </c>
      <c r="AM433" s="320">
        <f>IFERROR(__xludf.DUMMYFUNCTION("""COMPUTED_VALUE"""),536.27)</f>
        <v>536.27</v>
      </c>
      <c r="AN433" s="320">
        <f>IFERROR(__xludf.DUMMYFUNCTION("""COMPUTED_VALUE"""),88.47)</f>
        <v>88.47</v>
      </c>
      <c r="AO433" s="320">
        <f>IFERROR(__xludf.DUMMYFUNCTION("""COMPUTED_VALUE"""),21.25)</f>
        <v>21.25</v>
      </c>
    </row>
    <row r="434" ht="15.75" customHeight="1">
      <c r="A434" s="330">
        <f>IFERROR(__xludf.DUMMYFUNCTION("""COMPUTED_VALUE"""),46122.0)</f>
        <v>46122</v>
      </c>
      <c r="B434" s="319" t="str">
        <f>IFERROR(__xludf.DUMMYFUNCTION("""COMPUTED_VALUE"""),"A. 0")</f>
        <v>A. 0</v>
      </c>
      <c r="C434" s="320">
        <f>IFERROR(__xludf.DUMMYFUNCTION("""COMPUTED_VALUE"""),19085.0)</f>
        <v>19085</v>
      </c>
      <c r="D434" s="320">
        <f>IFERROR(__xludf.DUMMYFUNCTION("""COMPUTED_VALUE"""),18.94)</f>
        <v>18.94</v>
      </c>
      <c r="E434" s="320">
        <f>IFERROR(__xludf.DUMMYFUNCTION("""COMPUTED_VALUE"""),0.0)</f>
        <v>0</v>
      </c>
      <c r="F434" s="320">
        <f>IFERROR(__xludf.DUMMYFUNCTION("""COMPUTED_VALUE"""),0.0)</f>
        <v>0</v>
      </c>
      <c r="G434" s="320">
        <f>IFERROR(__xludf.DUMMYFUNCTION("""COMPUTED_VALUE"""),0.0)</f>
        <v>0</v>
      </c>
      <c r="H434" s="106"/>
      <c r="I434" s="320">
        <f>IFERROR(__xludf.DUMMYFUNCTION("""COMPUTED_VALUE"""),5.68)</f>
        <v>5.68</v>
      </c>
      <c r="J434" s="320">
        <f>IFERROR(__xludf.DUMMYFUNCTION("""COMPUTED_VALUE"""),2.22)</f>
        <v>2.22</v>
      </c>
      <c r="K434" s="320">
        <f>IFERROR(__xludf.DUMMYFUNCTION("""COMPUTED_VALUE"""),0.02)</f>
        <v>0.02</v>
      </c>
      <c r="L434" s="320">
        <f>IFERROR(__xludf.DUMMYFUNCTION("""COMPUTED_VALUE"""),0.0091)</f>
        <v>0.0091</v>
      </c>
      <c r="M434" s="320">
        <f>IFERROR(__xludf.DUMMYFUNCTION("""COMPUTED_VALUE"""),0.9932)</f>
        <v>0.9932</v>
      </c>
      <c r="N434" s="320">
        <f>IFERROR(__xludf.DUMMYFUNCTION("""COMPUTED_VALUE"""),0.9202)</f>
        <v>0.9202</v>
      </c>
      <c r="O434" s="320">
        <f>IFERROR(__xludf.DUMMYFUNCTION("""COMPUTED_VALUE"""),109.6667)</f>
        <v>109.6667</v>
      </c>
      <c r="P434" s="320">
        <f>IFERROR(__xludf.DUMMYFUNCTION("""COMPUTED_VALUE"""),26.71)</f>
        <v>26.71</v>
      </c>
      <c r="Q434" s="320">
        <f>IFERROR(__xludf.DUMMYFUNCTION("""COMPUTED_VALUE"""),26.6)</f>
        <v>26.6</v>
      </c>
      <c r="R434" s="320">
        <f>IFERROR(__xludf.DUMMYFUNCTION("""COMPUTED_VALUE"""),0.1)</f>
        <v>0.1</v>
      </c>
      <c r="S434" s="320">
        <f>IFERROR(__xludf.DUMMYFUNCTION("""COMPUTED_VALUE"""),0.0)</f>
        <v>0</v>
      </c>
      <c r="T434" s="320">
        <f>IFERROR(__xludf.DUMMYFUNCTION("""COMPUTED_VALUE"""),26.71)</f>
        <v>26.71</v>
      </c>
      <c r="U434" s="320">
        <f>IFERROR(__xludf.DUMMYFUNCTION("""COMPUTED_VALUE"""),1.67)</f>
        <v>1.67</v>
      </c>
      <c r="V434" s="320">
        <f>IFERROR(__xludf.DUMMYFUNCTION("""COMPUTED_VALUE"""),0.7528)</f>
        <v>0.7528</v>
      </c>
      <c r="W434" s="320">
        <f>IFERROR(__xludf.DUMMYFUNCTION("""COMPUTED_VALUE"""),0.0)</f>
        <v>0</v>
      </c>
      <c r="X434" s="320">
        <f>IFERROR(__xludf.DUMMYFUNCTION("""COMPUTED_VALUE"""),370.0)</f>
        <v>370</v>
      </c>
      <c r="Y434" s="320">
        <f>IFERROR(__xludf.DUMMYFUNCTION("""COMPUTED_VALUE"""),4079.0)</f>
        <v>4079</v>
      </c>
      <c r="Z434" s="320">
        <f>IFERROR(__xludf.DUMMYFUNCTION("""COMPUTED_VALUE"""),15474.0)</f>
        <v>15474</v>
      </c>
      <c r="AA434" s="320">
        <f>IFERROR(__xludf.DUMMYFUNCTION("""COMPUTED_VALUE"""),49.3611)</f>
        <v>49.3611</v>
      </c>
      <c r="AB434" s="320">
        <f>IFERROR(__xludf.DUMMYFUNCTION("""COMPUTED_VALUE"""),0.553)</f>
        <v>0.553</v>
      </c>
      <c r="AC434" s="106"/>
      <c r="AD434" s="106"/>
      <c r="AE434" s="106"/>
      <c r="AF434" s="106"/>
      <c r="AG434" s="106"/>
      <c r="AH434" s="320">
        <f>IFERROR(__xludf.DUMMYFUNCTION("""COMPUTED_VALUE"""),0.0)</f>
        <v>0</v>
      </c>
      <c r="AI434" s="320">
        <f>IFERROR(__xludf.DUMMYFUNCTION("""COMPUTED_VALUE"""),0.0)</f>
        <v>0</v>
      </c>
      <c r="AJ434" s="320">
        <f>IFERROR(__xludf.DUMMYFUNCTION("""COMPUTED_VALUE"""),0.0)</f>
        <v>0</v>
      </c>
      <c r="AK434" s="320">
        <f>IFERROR(__xludf.DUMMYFUNCTION("""COMPUTED_VALUE"""),0.3061)</f>
        <v>0.3061</v>
      </c>
      <c r="AL434" s="320">
        <f>IFERROR(__xludf.DUMMYFUNCTION("""COMPUTED_VALUE"""),17.55)</f>
        <v>17.55</v>
      </c>
      <c r="AM434" s="320">
        <f>IFERROR(__xludf.DUMMYFUNCTION("""COMPUTED_VALUE"""),9.05)</f>
        <v>9.05</v>
      </c>
      <c r="AN434" s="331"/>
      <c r="AO434" s="331"/>
    </row>
    <row r="435" ht="15.75" customHeight="1">
      <c r="A435" s="330">
        <f>IFERROR(__xludf.DUMMYFUNCTION("""COMPUTED_VALUE"""),46122.0)</f>
        <v>46122</v>
      </c>
      <c r="B435" s="319" t="str">
        <f>IFERROR(__xludf.DUMMYFUNCTION("""COMPUTED_VALUE"""),"B. 1-9")</f>
        <v>B. 1-9</v>
      </c>
      <c r="C435" s="320">
        <f>IFERROR(__xludf.DUMMYFUNCTION("""COMPUTED_VALUE"""),37638.0)</f>
        <v>37638</v>
      </c>
      <c r="D435" s="320">
        <f>IFERROR(__xludf.DUMMYFUNCTION("""COMPUTED_VALUE"""),37.35)</f>
        <v>37.35</v>
      </c>
      <c r="E435" s="320">
        <f>IFERROR(__xludf.DUMMYFUNCTION("""COMPUTED_VALUE"""),0.0)</f>
        <v>0</v>
      </c>
      <c r="F435" s="320">
        <f>IFERROR(__xludf.DUMMYFUNCTION("""COMPUTED_VALUE"""),0.0)</f>
        <v>0</v>
      </c>
      <c r="G435" s="320">
        <f>IFERROR(__xludf.DUMMYFUNCTION("""COMPUTED_VALUE"""),0.0)</f>
        <v>0</v>
      </c>
      <c r="H435" s="106"/>
      <c r="I435" s="320">
        <f>IFERROR(__xludf.DUMMYFUNCTION("""COMPUTED_VALUE"""),30.31)</f>
        <v>30.31</v>
      </c>
      <c r="J435" s="320">
        <f>IFERROR(__xludf.DUMMYFUNCTION("""COMPUTED_VALUE"""),13.62)</f>
        <v>13.62</v>
      </c>
      <c r="K435" s="320">
        <f>IFERROR(__xludf.DUMMYFUNCTION("""COMPUTED_VALUE"""),5.7)</f>
        <v>5.7</v>
      </c>
      <c r="L435" s="320">
        <f>IFERROR(__xludf.DUMMYFUNCTION("""COMPUTED_VALUE"""),0.4187)</f>
        <v>0.4187</v>
      </c>
      <c r="M435" s="320">
        <f>IFERROR(__xludf.DUMMYFUNCTION("""COMPUTED_VALUE"""),0.7535)</f>
        <v>0.7535</v>
      </c>
      <c r="N435" s="320">
        <f>IFERROR(__xludf.DUMMYFUNCTION("""COMPUTED_VALUE"""),0.5599)</f>
        <v>0.5599</v>
      </c>
      <c r="O435" s="320">
        <f>IFERROR(__xludf.DUMMYFUNCTION("""COMPUTED_VALUE"""),2.3883)</f>
        <v>2.3883</v>
      </c>
      <c r="P435" s="320">
        <f>IFERROR(__xludf.DUMMYFUNCTION("""COMPUTED_VALUE"""),57.65)</f>
        <v>57.65</v>
      </c>
      <c r="Q435" s="320">
        <f>IFERROR(__xludf.DUMMYFUNCTION("""COMPUTED_VALUE"""),45.98)</f>
        <v>45.98</v>
      </c>
      <c r="R435" s="320">
        <f>IFERROR(__xludf.DUMMYFUNCTION("""COMPUTED_VALUE"""),11.67)</f>
        <v>11.67</v>
      </c>
      <c r="S435" s="320">
        <f>IFERROR(__xludf.DUMMYFUNCTION("""COMPUTED_VALUE"""),0.0)</f>
        <v>0</v>
      </c>
      <c r="T435" s="320">
        <f>IFERROR(__xludf.DUMMYFUNCTION("""COMPUTED_VALUE"""),57.65)</f>
        <v>57.65</v>
      </c>
      <c r="U435" s="320">
        <f>IFERROR(__xludf.DUMMYFUNCTION("""COMPUTED_VALUE"""),52.48)</f>
        <v>52.48</v>
      </c>
      <c r="V435" s="320">
        <f>IFERROR(__xludf.DUMMYFUNCTION("""COMPUTED_VALUE"""),3.8535)</f>
        <v>3.8535</v>
      </c>
      <c r="W435" s="320">
        <f>IFERROR(__xludf.DUMMYFUNCTION("""COMPUTED_VALUE"""),0.0)</f>
        <v>0</v>
      </c>
      <c r="X435" s="320">
        <f>IFERROR(__xludf.DUMMYFUNCTION("""COMPUTED_VALUE"""),139.0)</f>
        <v>139</v>
      </c>
      <c r="Y435" s="320">
        <f>IFERROR(__xludf.DUMMYFUNCTION("""COMPUTED_VALUE"""),847.0)</f>
        <v>847</v>
      </c>
      <c r="Z435" s="320">
        <f>IFERROR(__xludf.DUMMYFUNCTION("""COMPUTED_VALUE"""),5786.0)</f>
        <v>5786</v>
      </c>
      <c r="AA435" s="320">
        <f>IFERROR(__xludf.DUMMYFUNCTION("""COMPUTED_VALUE"""),48.8259)</f>
        <v>48.8259</v>
      </c>
      <c r="AB435" s="320">
        <f>IFERROR(__xludf.DUMMYFUNCTION("""COMPUTED_VALUE"""),0.5383)</f>
        <v>0.5383</v>
      </c>
      <c r="AC435" s="320">
        <f>IFERROR(__xludf.DUMMYFUNCTION("""COMPUTED_VALUE"""),4.05)</f>
        <v>4.05</v>
      </c>
      <c r="AD435" s="320">
        <f>IFERROR(__xludf.DUMMYFUNCTION("""COMPUTED_VALUE"""),1.0)</f>
        <v>1</v>
      </c>
      <c r="AE435" s="320">
        <f>IFERROR(__xludf.DUMMYFUNCTION("""COMPUTED_VALUE"""),3.0)</f>
        <v>3</v>
      </c>
      <c r="AF435" s="320">
        <f>IFERROR(__xludf.DUMMYFUNCTION("""COMPUTED_VALUE"""),5.0)</f>
        <v>5</v>
      </c>
      <c r="AG435" s="320">
        <f>IFERROR(__xludf.DUMMYFUNCTION("""COMPUTED_VALUE"""),9.0)</f>
        <v>9</v>
      </c>
      <c r="AH435" s="320">
        <f>IFERROR(__xludf.DUMMYFUNCTION("""COMPUTED_VALUE"""),73.79)</f>
        <v>73.79</v>
      </c>
      <c r="AI435" s="320">
        <f>IFERROR(__xludf.DUMMYFUNCTION("""COMPUTED_VALUE"""),31.55)</f>
        <v>31.55</v>
      </c>
      <c r="AJ435" s="320">
        <f>IFERROR(__xludf.DUMMYFUNCTION("""COMPUTED_VALUE"""),8.72)</f>
        <v>8.72</v>
      </c>
      <c r="AK435" s="320">
        <f>IFERROR(__xludf.DUMMYFUNCTION("""COMPUTED_VALUE"""),0.264)</f>
        <v>0.264</v>
      </c>
      <c r="AL435" s="320">
        <f>IFERROR(__xludf.DUMMYFUNCTION("""COMPUTED_VALUE"""),20.12)</f>
        <v>20.12</v>
      </c>
      <c r="AM435" s="320">
        <f>IFERROR(__xludf.DUMMYFUNCTION("""COMPUTED_VALUE"""),25.86)</f>
        <v>25.86</v>
      </c>
      <c r="AN435" s="320">
        <f>IFERROR(__xludf.DUMMYFUNCTION("""COMPUTED_VALUE"""),66.28)</f>
        <v>66.28</v>
      </c>
      <c r="AO435" s="320">
        <f>IFERROR(__xludf.DUMMYFUNCTION("""COMPUTED_VALUE"""),13.34)</f>
        <v>13.34</v>
      </c>
    </row>
    <row r="436" ht="15.75" customHeight="1">
      <c r="A436" s="330">
        <f>IFERROR(__xludf.DUMMYFUNCTION("""COMPUTED_VALUE"""),46122.0)</f>
        <v>46122</v>
      </c>
      <c r="B436" s="319" t="str">
        <f>IFERROR(__xludf.DUMMYFUNCTION("""COMPUTED_VALUE"""),"C. 10-19")</f>
        <v>C. 10-19</v>
      </c>
      <c r="C436" s="320">
        <f>IFERROR(__xludf.DUMMYFUNCTION("""COMPUTED_VALUE"""),24895.0)</f>
        <v>24895</v>
      </c>
      <c r="D436" s="320">
        <f>IFERROR(__xludf.DUMMYFUNCTION("""COMPUTED_VALUE"""),24.71)</f>
        <v>24.71</v>
      </c>
      <c r="E436" s="320">
        <f>IFERROR(__xludf.DUMMYFUNCTION("""COMPUTED_VALUE"""),0.0)</f>
        <v>0</v>
      </c>
      <c r="F436" s="320">
        <f>IFERROR(__xludf.DUMMYFUNCTION("""COMPUTED_VALUE"""),0.0)</f>
        <v>0</v>
      </c>
      <c r="G436" s="320">
        <f>IFERROR(__xludf.DUMMYFUNCTION("""COMPUTED_VALUE"""),0.0)</f>
        <v>0</v>
      </c>
      <c r="H436" s="106"/>
      <c r="I436" s="320">
        <f>IFERROR(__xludf.DUMMYFUNCTION("""COMPUTED_VALUE"""),57.34)</f>
        <v>57.34</v>
      </c>
      <c r="J436" s="320">
        <f>IFERROR(__xludf.DUMMYFUNCTION("""COMPUTED_VALUE"""),27.12)</f>
        <v>27.12</v>
      </c>
      <c r="K436" s="320">
        <f>IFERROR(__xludf.DUMMYFUNCTION("""COMPUTED_VALUE"""),14.38)</f>
        <v>14.38</v>
      </c>
      <c r="L436" s="320">
        <f>IFERROR(__xludf.DUMMYFUNCTION("""COMPUTED_VALUE"""),0.5302)</f>
        <v>0.5302</v>
      </c>
      <c r="M436" s="320">
        <f>IFERROR(__xludf.DUMMYFUNCTION("""COMPUTED_VALUE"""),0.6597)</f>
        <v>0.6597</v>
      </c>
      <c r="N436" s="320">
        <f>IFERROR(__xludf.DUMMYFUNCTION("""COMPUTED_VALUE"""),0.4613)</f>
        <v>0.4613</v>
      </c>
      <c r="O436" s="320">
        <f>IFERROR(__xludf.DUMMYFUNCTION("""COMPUTED_VALUE"""),1.886)</f>
        <v>1.886</v>
      </c>
      <c r="P436" s="320">
        <f>IFERROR(__xludf.DUMMYFUNCTION("""COMPUTED_VALUE"""),101.14)</f>
        <v>101.14</v>
      </c>
      <c r="Q436" s="320">
        <f>IFERROR(__xludf.DUMMYFUNCTION("""COMPUTED_VALUE"""),71.87)</f>
        <v>71.87</v>
      </c>
      <c r="R436" s="320">
        <f>IFERROR(__xludf.DUMMYFUNCTION("""COMPUTED_VALUE"""),29.27)</f>
        <v>29.27</v>
      </c>
      <c r="S436" s="320">
        <f>IFERROR(__xludf.DUMMYFUNCTION("""COMPUTED_VALUE"""),0.0)</f>
        <v>0</v>
      </c>
      <c r="T436" s="320">
        <f>IFERROR(__xludf.DUMMYFUNCTION("""COMPUTED_VALUE"""),101.14)</f>
        <v>101.14</v>
      </c>
      <c r="U436" s="320">
        <f>IFERROR(__xludf.DUMMYFUNCTION("""COMPUTED_VALUE"""),100.31)</f>
        <v>100.31</v>
      </c>
      <c r="V436" s="320">
        <f>IFERROR(__xludf.DUMMYFUNCTION("""COMPUTED_VALUE"""),3.6991)</f>
        <v>3.6991</v>
      </c>
      <c r="W436" s="320">
        <f>IFERROR(__xludf.DUMMYFUNCTION("""COMPUTED_VALUE"""),0.0)</f>
        <v>0</v>
      </c>
      <c r="X436" s="320">
        <f>IFERROR(__xludf.DUMMYFUNCTION("""COMPUTED_VALUE"""),119.0)</f>
        <v>119</v>
      </c>
      <c r="Y436" s="320">
        <f>IFERROR(__xludf.DUMMYFUNCTION("""COMPUTED_VALUE"""),639.0)</f>
        <v>639</v>
      </c>
      <c r="Z436" s="320">
        <f>IFERROR(__xludf.DUMMYFUNCTION("""COMPUTED_VALUE"""),5087.0)</f>
        <v>5087</v>
      </c>
      <c r="AA436" s="320">
        <f>IFERROR(__xludf.DUMMYFUNCTION("""COMPUTED_VALUE"""),52.2419)</f>
        <v>52.2419</v>
      </c>
      <c r="AB436" s="320">
        <f>IFERROR(__xludf.DUMMYFUNCTION("""COMPUTED_VALUE"""),0.6258)</f>
        <v>0.6258</v>
      </c>
      <c r="AC436" s="320">
        <f>IFERROR(__xludf.DUMMYFUNCTION("""COMPUTED_VALUE"""),9.57)</f>
        <v>9.57</v>
      </c>
      <c r="AD436" s="320">
        <f>IFERROR(__xludf.DUMMYFUNCTION("""COMPUTED_VALUE"""),4.0)</f>
        <v>4</v>
      </c>
      <c r="AE436" s="320">
        <f>IFERROR(__xludf.DUMMYFUNCTION("""COMPUTED_VALUE"""),8.0)</f>
        <v>8</v>
      </c>
      <c r="AF436" s="320">
        <f>IFERROR(__xludf.DUMMYFUNCTION("""COMPUTED_VALUE"""),13.0)</f>
        <v>13</v>
      </c>
      <c r="AG436" s="320">
        <f>IFERROR(__xludf.DUMMYFUNCTION("""COMPUTED_VALUE"""),20.0)</f>
        <v>20</v>
      </c>
      <c r="AH436" s="320">
        <f>IFERROR(__xludf.DUMMYFUNCTION("""COMPUTED_VALUE"""),61.3)</f>
        <v>61.3</v>
      </c>
      <c r="AI436" s="320">
        <f>IFERROR(__xludf.DUMMYFUNCTION("""COMPUTED_VALUE"""),26.31)</f>
        <v>26.31</v>
      </c>
      <c r="AJ436" s="320">
        <f>IFERROR(__xludf.DUMMYFUNCTION("""COMPUTED_VALUE"""),5.07)</f>
        <v>5.07</v>
      </c>
      <c r="AK436" s="320">
        <f>IFERROR(__xludf.DUMMYFUNCTION("""COMPUTED_VALUE"""),0.2172)</f>
        <v>0.2172</v>
      </c>
      <c r="AL436" s="320">
        <f>IFERROR(__xludf.DUMMYFUNCTION("""COMPUTED_VALUE"""),21.38)</f>
        <v>21.38</v>
      </c>
      <c r="AM436" s="320">
        <f>IFERROR(__xludf.DUMMYFUNCTION("""COMPUTED_VALUE"""),50.49)</f>
        <v>50.49</v>
      </c>
      <c r="AN436" s="320">
        <f>IFERROR(__xludf.DUMMYFUNCTION("""COMPUTED_VALUE"""),74.77)</f>
        <v>74.77</v>
      </c>
      <c r="AO436" s="320">
        <f>IFERROR(__xludf.DUMMYFUNCTION("""COMPUTED_VALUE"""),15.99)</f>
        <v>15.99</v>
      </c>
    </row>
    <row r="437" ht="15.75" customHeight="1">
      <c r="A437" s="330">
        <f>IFERROR(__xludf.DUMMYFUNCTION("""COMPUTED_VALUE"""),46122.0)</f>
        <v>46122</v>
      </c>
      <c r="B437" s="319" t="str">
        <f>IFERROR(__xludf.DUMMYFUNCTION("""COMPUTED_VALUE"""),"D. 20-39")</f>
        <v>D. 20-39</v>
      </c>
      <c r="C437" s="320">
        <f>IFERROR(__xludf.DUMMYFUNCTION("""COMPUTED_VALUE"""),13300.0)</f>
        <v>13300</v>
      </c>
      <c r="D437" s="320">
        <f>IFERROR(__xludf.DUMMYFUNCTION("""COMPUTED_VALUE"""),13.2)</f>
        <v>13.2</v>
      </c>
      <c r="E437" s="320">
        <f>IFERROR(__xludf.DUMMYFUNCTION("""COMPUTED_VALUE"""),0.0)</f>
        <v>0</v>
      </c>
      <c r="F437" s="320">
        <f>IFERROR(__xludf.DUMMYFUNCTION("""COMPUTED_VALUE"""),0.0)</f>
        <v>0</v>
      </c>
      <c r="G437" s="320">
        <f>IFERROR(__xludf.DUMMYFUNCTION("""COMPUTED_VALUE"""),0.0)</f>
        <v>0</v>
      </c>
      <c r="H437" s="106"/>
      <c r="I437" s="320">
        <f>IFERROR(__xludf.DUMMYFUNCTION("""COMPUTED_VALUE"""),84.97)</f>
        <v>84.97</v>
      </c>
      <c r="J437" s="320">
        <f>IFERROR(__xludf.DUMMYFUNCTION("""COMPUTED_VALUE"""),42.64)</f>
        <v>42.64</v>
      </c>
      <c r="K437" s="320">
        <f>IFERROR(__xludf.DUMMYFUNCTION("""COMPUTED_VALUE"""),27.68)</f>
        <v>27.68</v>
      </c>
      <c r="L437" s="320">
        <f>IFERROR(__xludf.DUMMYFUNCTION("""COMPUTED_VALUE"""),0.6491)</f>
        <v>0.6491</v>
      </c>
      <c r="M437" s="320">
        <f>IFERROR(__xludf.DUMMYFUNCTION("""COMPUTED_VALUE"""),0.5398)</f>
        <v>0.5398</v>
      </c>
      <c r="N437" s="320">
        <f>IFERROR(__xludf.DUMMYFUNCTION("""COMPUTED_VALUE"""),0.3718)</f>
        <v>0.3718</v>
      </c>
      <c r="O437" s="320">
        <f>IFERROR(__xludf.DUMMYFUNCTION("""COMPUTED_VALUE"""),1.5405)</f>
        <v>1.5405</v>
      </c>
      <c r="P437" s="320">
        <f>IFERROR(__xludf.DUMMYFUNCTION("""COMPUTED_VALUE"""),164.91)</f>
        <v>164.91</v>
      </c>
      <c r="Q437" s="320">
        <f>IFERROR(__xludf.DUMMYFUNCTION("""COMPUTED_VALUE"""),108.46)</f>
        <v>108.46</v>
      </c>
      <c r="R437" s="320">
        <f>IFERROR(__xludf.DUMMYFUNCTION("""COMPUTED_VALUE"""),56.44)</f>
        <v>56.44</v>
      </c>
      <c r="S437" s="320">
        <f>IFERROR(__xludf.DUMMYFUNCTION("""COMPUTED_VALUE"""),0.19)</f>
        <v>0.19</v>
      </c>
      <c r="T437" s="320">
        <f>IFERROR(__xludf.DUMMYFUNCTION("""COMPUTED_VALUE"""),164.72)</f>
        <v>164.72</v>
      </c>
      <c r="U437" s="320">
        <f>IFERROR(__xludf.DUMMYFUNCTION("""COMPUTED_VALUE"""),175.05)</f>
        <v>175.05</v>
      </c>
      <c r="V437" s="320">
        <f>IFERROR(__xludf.DUMMYFUNCTION("""COMPUTED_VALUE"""),4.1053)</f>
        <v>4.1053</v>
      </c>
      <c r="W437" s="320">
        <f>IFERROR(__xludf.DUMMYFUNCTION("""COMPUTED_VALUE"""),0.11)</f>
        <v>0.11</v>
      </c>
      <c r="X437" s="320">
        <f>IFERROR(__xludf.DUMMYFUNCTION("""COMPUTED_VALUE"""),148.0)</f>
        <v>148</v>
      </c>
      <c r="Y437" s="320">
        <f>IFERROR(__xludf.DUMMYFUNCTION("""COMPUTED_VALUE"""),962.0)</f>
        <v>962</v>
      </c>
      <c r="Z437" s="320">
        <f>IFERROR(__xludf.DUMMYFUNCTION("""COMPUTED_VALUE"""),6352.0)</f>
        <v>6352</v>
      </c>
      <c r="AA437" s="320">
        <f>IFERROR(__xludf.DUMMYFUNCTION("""COMPUTED_VALUE"""),55.5727)</f>
        <v>55.5727</v>
      </c>
      <c r="AB437" s="320">
        <f>IFERROR(__xludf.DUMMYFUNCTION("""COMPUTED_VALUE"""),0.7264)</f>
        <v>0.7264</v>
      </c>
      <c r="AC437" s="320">
        <f>IFERROR(__xludf.DUMMYFUNCTION("""COMPUTED_VALUE"""),18.1)</f>
        <v>18.1</v>
      </c>
      <c r="AD437" s="320">
        <f>IFERROR(__xludf.DUMMYFUNCTION("""COMPUTED_VALUE"""),8.0)</f>
        <v>8</v>
      </c>
      <c r="AE437" s="320">
        <f>IFERROR(__xludf.DUMMYFUNCTION("""COMPUTED_VALUE"""),14.0)</f>
        <v>14</v>
      </c>
      <c r="AF437" s="320">
        <f>IFERROR(__xludf.DUMMYFUNCTION("""COMPUTED_VALUE"""),25.0)</f>
        <v>25</v>
      </c>
      <c r="AG437" s="320">
        <f>IFERROR(__xludf.DUMMYFUNCTION("""COMPUTED_VALUE"""),37.0)</f>
        <v>37</v>
      </c>
      <c r="AH437" s="320">
        <f>IFERROR(__xludf.DUMMYFUNCTION("""COMPUTED_VALUE"""),61.11)</f>
        <v>61.11</v>
      </c>
      <c r="AI437" s="320">
        <f>IFERROR(__xludf.DUMMYFUNCTION("""COMPUTED_VALUE"""),24.14)</f>
        <v>24.14</v>
      </c>
      <c r="AJ437" s="320">
        <f>IFERROR(__xludf.DUMMYFUNCTION("""COMPUTED_VALUE"""),7.15)</f>
        <v>7.15</v>
      </c>
      <c r="AK437" s="320">
        <f>IFERROR(__xludf.DUMMYFUNCTION("""COMPUTED_VALUE"""),0.1955)</f>
        <v>0.1955</v>
      </c>
      <c r="AL437" s="320">
        <f>IFERROR(__xludf.DUMMYFUNCTION("""COMPUTED_VALUE"""),21.57)</f>
        <v>21.57</v>
      </c>
      <c r="AM437" s="320">
        <f>IFERROR(__xludf.DUMMYFUNCTION("""COMPUTED_VALUE"""),86.9)</f>
        <v>86.9</v>
      </c>
      <c r="AN437" s="320">
        <f>IFERROR(__xludf.DUMMYFUNCTION("""COMPUTED_VALUE"""),78.52)</f>
        <v>78.52</v>
      </c>
      <c r="AO437" s="320">
        <f>IFERROR(__xludf.DUMMYFUNCTION("""COMPUTED_VALUE"""),16.94)</f>
        <v>16.94</v>
      </c>
    </row>
    <row r="438" ht="15.75" customHeight="1">
      <c r="A438" s="330">
        <f>IFERROR(__xludf.DUMMYFUNCTION("""COMPUTED_VALUE"""),46122.0)</f>
        <v>46122</v>
      </c>
      <c r="B438" s="319" t="str">
        <f>IFERROR(__xludf.DUMMYFUNCTION("""COMPUTED_VALUE"""),"E. 40-99")</f>
        <v>E. 40-99</v>
      </c>
      <c r="C438" s="320">
        <f>IFERROR(__xludf.DUMMYFUNCTION("""COMPUTED_VALUE"""),5260.0)</f>
        <v>5260</v>
      </c>
      <c r="D438" s="320">
        <f>IFERROR(__xludf.DUMMYFUNCTION("""COMPUTED_VALUE"""),5.22)</f>
        <v>5.22</v>
      </c>
      <c r="E438" s="320">
        <f>IFERROR(__xludf.DUMMYFUNCTION("""COMPUTED_VALUE"""),0.0)</f>
        <v>0</v>
      </c>
      <c r="F438" s="320">
        <f>IFERROR(__xludf.DUMMYFUNCTION("""COMPUTED_VALUE"""),0.0)</f>
        <v>0</v>
      </c>
      <c r="G438" s="320">
        <f>IFERROR(__xludf.DUMMYFUNCTION("""COMPUTED_VALUE"""),0.0)</f>
        <v>0</v>
      </c>
      <c r="H438" s="106"/>
      <c r="I438" s="320">
        <f>IFERROR(__xludf.DUMMYFUNCTION("""COMPUTED_VALUE"""),135.07)</f>
        <v>135.07</v>
      </c>
      <c r="J438" s="320">
        <f>IFERROR(__xludf.DUMMYFUNCTION("""COMPUTED_VALUE"""),72.3)</f>
        <v>72.3</v>
      </c>
      <c r="K438" s="320">
        <f>IFERROR(__xludf.DUMMYFUNCTION("""COMPUTED_VALUE"""),55.98)</f>
        <v>55.98</v>
      </c>
      <c r="L438" s="320">
        <f>IFERROR(__xludf.DUMMYFUNCTION("""COMPUTED_VALUE"""),0.7743)</f>
        <v>0.7743</v>
      </c>
      <c r="M438" s="320">
        <f>IFERROR(__xludf.DUMMYFUNCTION("""COMPUTED_VALUE"""),0.4039)</f>
        <v>0.4039</v>
      </c>
      <c r="N438" s="320">
        <f>IFERROR(__xludf.DUMMYFUNCTION("""COMPUTED_VALUE"""),0.2857)</f>
        <v>0.2857</v>
      </c>
      <c r="O438" s="320">
        <f>IFERROR(__xludf.DUMMYFUNCTION("""COMPUTED_VALUE"""),1.2914)</f>
        <v>1.2914</v>
      </c>
      <c r="P438" s="320">
        <f>IFERROR(__xludf.DUMMYFUNCTION("""COMPUTED_VALUE"""),285.31)</f>
        <v>285.31</v>
      </c>
      <c r="Q438" s="320">
        <f>IFERROR(__xludf.DUMMYFUNCTION("""COMPUTED_VALUE"""),171.11)</f>
        <v>171.11</v>
      </c>
      <c r="R438" s="320">
        <f>IFERROR(__xludf.DUMMYFUNCTION("""COMPUTED_VALUE"""),114.2)</f>
        <v>114.2</v>
      </c>
      <c r="S438" s="320">
        <f>IFERROR(__xludf.DUMMYFUNCTION("""COMPUTED_VALUE"""),0.0)</f>
        <v>0</v>
      </c>
      <c r="T438" s="320">
        <f>IFERROR(__xludf.DUMMYFUNCTION("""COMPUTED_VALUE"""),285.31)</f>
        <v>285.31</v>
      </c>
      <c r="U438" s="320">
        <f>IFERROR(__xludf.DUMMYFUNCTION("""COMPUTED_VALUE"""),312.02)</f>
        <v>312.02</v>
      </c>
      <c r="V438" s="320">
        <f>IFERROR(__xludf.DUMMYFUNCTION("""COMPUTED_VALUE"""),4.3158)</f>
        <v>4.3158</v>
      </c>
      <c r="W438" s="320">
        <f>IFERROR(__xludf.DUMMYFUNCTION("""COMPUTED_VALUE"""),0.0)</f>
        <v>0</v>
      </c>
      <c r="X438" s="320">
        <f>IFERROR(__xludf.DUMMYFUNCTION("""COMPUTED_VALUE"""),267.0)</f>
        <v>267</v>
      </c>
      <c r="Y438" s="320">
        <f>IFERROR(__xludf.DUMMYFUNCTION("""COMPUTED_VALUE"""),2253.0)</f>
        <v>2253</v>
      </c>
      <c r="Z438" s="320">
        <f>IFERROR(__xludf.DUMMYFUNCTION("""COMPUTED_VALUE"""),9270.0)</f>
        <v>9270</v>
      </c>
      <c r="AA438" s="320">
        <f>IFERROR(__xludf.DUMMYFUNCTION("""COMPUTED_VALUE"""),59.4862)</f>
        <v>59.4862</v>
      </c>
      <c r="AB438" s="320">
        <f>IFERROR(__xludf.DUMMYFUNCTION("""COMPUTED_VALUE"""),0.8295)</f>
        <v>0.8295</v>
      </c>
      <c r="AC438" s="320">
        <f>IFERROR(__xludf.DUMMYFUNCTION("""COMPUTED_VALUE"""),37.55)</f>
        <v>37.55</v>
      </c>
      <c r="AD438" s="320">
        <f>IFERROR(__xludf.DUMMYFUNCTION("""COMPUTED_VALUE"""),15.0)</f>
        <v>15</v>
      </c>
      <c r="AE438" s="320">
        <f>IFERROR(__xludf.DUMMYFUNCTION("""COMPUTED_VALUE"""),28.0)</f>
        <v>28</v>
      </c>
      <c r="AF438" s="320">
        <f>IFERROR(__xludf.DUMMYFUNCTION("""COMPUTED_VALUE"""),52.0)</f>
        <v>52</v>
      </c>
      <c r="AG438" s="320">
        <f>IFERROR(__xludf.DUMMYFUNCTION("""COMPUTED_VALUE"""),78.0)</f>
        <v>78</v>
      </c>
      <c r="AH438" s="320">
        <f>IFERROR(__xludf.DUMMYFUNCTION("""COMPUTED_VALUE"""),51.43)</f>
        <v>51.43</v>
      </c>
      <c r="AI438" s="320">
        <f>IFERROR(__xludf.DUMMYFUNCTION("""COMPUTED_VALUE"""),19.45)</f>
        <v>19.45</v>
      </c>
      <c r="AJ438" s="320">
        <f>IFERROR(__xludf.DUMMYFUNCTION("""COMPUTED_VALUE"""),4.92)</f>
        <v>4.92</v>
      </c>
      <c r="AK438" s="320">
        <f>IFERROR(__xludf.DUMMYFUNCTION("""COMPUTED_VALUE"""),0.1411)</f>
        <v>0.1411</v>
      </c>
      <c r="AL438" s="320">
        <f>IFERROR(__xludf.DUMMYFUNCTION("""COMPUTED_VALUE"""),22.16)</f>
        <v>22.16</v>
      </c>
      <c r="AM438" s="320">
        <f>IFERROR(__xludf.DUMMYFUNCTION("""COMPUTED_VALUE"""),148.95)</f>
        <v>148.95</v>
      </c>
      <c r="AN438" s="320">
        <f>IFERROR(__xludf.DUMMYFUNCTION("""COMPUTED_VALUE"""),83.99)</f>
        <v>83.99</v>
      </c>
      <c r="AO438" s="320">
        <f>IFERROR(__xludf.DUMMYFUNCTION("""COMPUTED_VALUE"""),18.61)</f>
        <v>18.61</v>
      </c>
    </row>
    <row r="439" ht="15.75" customHeight="1">
      <c r="A439" s="330">
        <f>IFERROR(__xludf.DUMMYFUNCTION("""COMPUTED_VALUE"""),46122.0)</f>
        <v>46122</v>
      </c>
      <c r="B439" s="319" t="str">
        <f>IFERROR(__xludf.DUMMYFUNCTION("""COMPUTED_VALUE"""),"F. 100+")</f>
        <v>F. 100+</v>
      </c>
      <c r="C439" s="320">
        <f>IFERROR(__xludf.DUMMYFUNCTION("""COMPUTED_VALUE"""),582.0)</f>
        <v>582</v>
      </c>
      <c r="D439" s="320">
        <f>IFERROR(__xludf.DUMMYFUNCTION("""COMPUTED_VALUE"""),0.58)</f>
        <v>0.58</v>
      </c>
      <c r="E439" s="320">
        <f>IFERROR(__xludf.DUMMYFUNCTION("""COMPUTED_VALUE"""),0.0)</f>
        <v>0</v>
      </c>
      <c r="F439" s="320">
        <f>IFERROR(__xludf.DUMMYFUNCTION("""COMPUTED_VALUE"""),0.0)</f>
        <v>0</v>
      </c>
      <c r="G439" s="320">
        <f>IFERROR(__xludf.DUMMYFUNCTION("""COMPUTED_VALUE"""),0.0)</f>
        <v>0</v>
      </c>
      <c r="H439" s="106"/>
      <c r="I439" s="320">
        <f>IFERROR(__xludf.DUMMYFUNCTION("""COMPUTED_VALUE"""),261.23)</f>
        <v>261.23</v>
      </c>
      <c r="J439" s="320">
        <f>IFERROR(__xludf.DUMMYFUNCTION("""COMPUTED_VALUE"""),149.14)</f>
        <v>149.14</v>
      </c>
      <c r="K439" s="320">
        <f>IFERROR(__xludf.DUMMYFUNCTION("""COMPUTED_VALUE"""),130.14)</f>
        <v>130.14</v>
      </c>
      <c r="L439" s="320">
        <f>IFERROR(__xludf.DUMMYFUNCTION("""COMPUTED_VALUE"""),0.8725)</f>
        <v>0.8725</v>
      </c>
      <c r="M439" s="320">
        <f>IFERROR(__xludf.DUMMYFUNCTION("""COMPUTED_VALUE"""),0.2839)</f>
        <v>0.2839</v>
      </c>
      <c r="N439" s="320">
        <f>IFERROR(__xludf.DUMMYFUNCTION("""COMPUTED_VALUE"""),0.2144)</f>
        <v>0.2144</v>
      </c>
      <c r="O439" s="320">
        <f>IFERROR(__xludf.DUMMYFUNCTION("""COMPUTED_VALUE"""),1.1461)</f>
        <v>1.1461</v>
      </c>
      <c r="P439" s="320">
        <f>IFERROR(__xludf.DUMMYFUNCTION("""COMPUTED_VALUE"""),619.45)</f>
        <v>619.45</v>
      </c>
      <c r="Q439" s="320">
        <f>IFERROR(__xludf.DUMMYFUNCTION("""COMPUTED_VALUE"""),352.52)</f>
        <v>352.52</v>
      </c>
      <c r="R439" s="320">
        <f>IFERROR(__xludf.DUMMYFUNCTION("""COMPUTED_VALUE"""),266.92)</f>
        <v>266.92</v>
      </c>
      <c r="S439" s="320">
        <f>IFERROR(__xludf.DUMMYFUNCTION("""COMPUTED_VALUE"""),0.0)</f>
        <v>0</v>
      </c>
      <c r="T439" s="320">
        <f>IFERROR(__xludf.DUMMYFUNCTION("""COMPUTED_VALUE"""),619.45)</f>
        <v>619.45</v>
      </c>
      <c r="U439" s="320">
        <f>IFERROR(__xludf.DUMMYFUNCTION("""COMPUTED_VALUE"""),1012.97)</f>
        <v>1012.97</v>
      </c>
      <c r="V439" s="320">
        <f>IFERROR(__xludf.DUMMYFUNCTION("""COMPUTED_VALUE"""),6.7919)</f>
        <v>6.7919</v>
      </c>
      <c r="W439" s="320">
        <f>IFERROR(__xludf.DUMMYFUNCTION("""COMPUTED_VALUE"""),0.0)</f>
        <v>0</v>
      </c>
      <c r="X439" s="320">
        <f>IFERROR(__xludf.DUMMYFUNCTION("""COMPUTED_VALUE"""),1195.0)</f>
        <v>1195</v>
      </c>
      <c r="Y439" s="320">
        <f>IFERROR(__xludf.DUMMYFUNCTION("""COMPUTED_VALUE"""),5916.0)</f>
        <v>5916</v>
      </c>
      <c r="Z439" s="320">
        <f>IFERROR(__xludf.DUMMYFUNCTION("""COMPUTED_VALUE"""),15776.0)</f>
        <v>15776</v>
      </c>
      <c r="AA439" s="320">
        <f>IFERROR(__xludf.DUMMYFUNCTION("""COMPUTED_VALUE"""),63.1905)</f>
        <v>63.1905</v>
      </c>
      <c r="AB439" s="320">
        <f>IFERROR(__xludf.DUMMYFUNCTION("""COMPUTED_VALUE"""),0.9083)</f>
        <v>0.9083</v>
      </c>
      <c r="AC439" s="320">
        <f>IFERROR(__xludf.DUMMYFUNCTION("""COMPUTED_VALUE"""),89.81)</f>
        <v>89.81</v>
      </c>
      <c r="AD439" s="320">
        <f>IFERROR(__xludf.DUMMYFUNCTION("""COMPUTED_VALUE"""),40.0)</f>
        <v>40</v>
      </c>
      <c r="AE439" s="320">
        <f>IFERROR(__xludf.DUMMYFUNCTION("""COMPUTED_VALUE"""),76.0)</f>
        <v>76</v>
      </c>
      <c r="AF439" s="320">
        <f>IFERROR(__xludf.DUMMYFUNCTION("""COMPUTED_VALUE"""),129.0)</f>
        <v>129</v>
      </c>
      <c r="AG439" s="320">
        <f>IFERROR(__xludf.DUMMYFUNCTION("""COMPUTED_VALUE"""),177.0)</f>
        <v>177</v>
      </c>
      <c r="AH439" s="320">
        <f>IFERROR(__xludf.DUMMYFUNCTION("""COMPUTED_VALUE"""),49.14)</f>
        <v>49.14</v>
      </c>
      <c r="AI439" s="320">
        <f>IFERROR(__xludf.DUMMYFUNCTION("""COMPUTED_VALUE"""),10.65)</f>
        <v>10.65</v>
      </c>
      <c r="AJ439" s="320">
        <f>IFERROR(__xludf.DUMMYFUNCTION("""COMPUTED_VALUE"""),1.72)</f>
        <v>1.72</v>
      </c>
      <c r="AK439" s="320">
        <f>IFERROR(__xludf.DUMMYFUNCTION("""COMPUTED_VALUE"""),0.1065)</f>
        <v>0.1065</v>
      </c>
      <c r="AL439" s="320">
        <f>IFERROR(__xludf.DUMMYFUNCTION("""COMPUTED_VALUE"""),26.29)</f>
        <v>26.29</v>
      </c>
      <c r="AM439" s="320">
        <f>IFERROR(__xludf.DUMMYFUNCTION("""COMPUTED_VALUE"""),326.23)</f>
        <v>326.23</v>
      </c>
      <c r="AN439" s="320">
        <f>IFERROR(__xludf.DUMMYFUNCTION("""COMPUTED_VALUE"""),87.46)</f>
        <v>87.46</v>
      </c>
      <c r="AO439" s="320">
        <f>IFERROR(__xludf.DUMMYFUNCTION("""COMPUTED_VALUE"""),22.99)</f>
        <v>22.99</v>
      </c>
    </row>
    <row r="440" ht="15.75" customHeight="1">
      <c r="A440" s="330">
        <f>IFERROR(__xludf.DUMMYFUNCTION("""COMPUTED_VALUE"""),46123.0)</f>
        <v>46123</v>
      </c>
      <c r="B440" s="319" t="str">
        <f>IFERROR(__xludf.DUMMYFUNCTION("""COMPUTED_VALUE"""),"A. 0")</f>
        <v>A. 0</v>
      </c>
      <c r="C440" s="320">
        <f>IFERROR(__xludf.DUMMYFUNCTION("""COMPUTED_VALUE"""),19075.0)</f>
        <v>19075</v>
      </c>
      <c r="D440" s="320">
        <f>IFERROR(__xludf.DUMMYFUNCTION("""COMPUTED_VALUE"""),19.17)</f>
        <v>19.17</v>
      </c>
      <c r="E440" s="320">
        <f>IFERROR(__xludf.DUMMYFUNCTION("""COMPUTED_VALUE"""),0.0)</f>
        <v>0</v>
      </c>
      <c r="F440" s="320">
        <f>IFERROR(__xludf.DUMMYFUNCTION("""COMPUTED_VALUE"""),0.0)</f>
        <v>0</v>
      </c>
      <c r="G440" s="320">
        <f>IFERROR(__xludf.DUMMYFUNCTION("""COMPUTED_VALUE"""),0.0)</f>
        <v>0</v>
      </c>
      <c r="H440" s="106"/>
      <c r="I440" s="320">
        <f>IFERROR(__xludf.DUMMYFUNCTION("""COMPUTED_VALUE"""),5.72)</f>
        <v>5.72</v>
      </c>
      <c r="J440" s="320">
        <f>IFERROR(__xludf.DUMMYFUNCTION("""COMPUTED_VALUE"""),2.34)</f>
        <v>2.34</v>
      </c>
      <c r="K440" s="320">
        <f>IFERROR(__xludf.DUMMYFUNCTION("""COMPUTED_VALUE"""),0.03)</f>
        <v>0.03</v>
      </c>
      <c r="L440" s="320">
        <f>IFERROR(__xludf.DUMMYFUNCTION("""COMPUTED_VALUE"""),0.0128)</f>
        <v>0.0128</v>
      </c>
      <c r="M440" s="320">
        <f>IFERROR(__xludf.DUMMYFUNCTION("""COMPUTED_VALUE"""),0.9906)</f>
        <v>0.9906</v>
      </c>
      <c r="N440" s="320">
        <f>IFERROR(__xludf.DUMMYFUNCTION("""COMPUTED_VALUE"""),0.8895)</f>
        <v>0.8895</v>
      </c>
      <c r="O440" s="320">
        <f>IFERROR(__xludf.DUMMYFUNCTION("""COMPUTED_VALUE"""),78.1541)</f>
        <v>78.1541</v>
      </c>
      <c r="P440" s="320">
        <f>IFERROR(__xludf.DUMMYFUNCTION("""COMPUTED_VALUE"""),24.84)</f>
        <v>24.84</v>
      </c>
      <c r="Q440" s="320">
        <f>IFERROR(__xludf.DUMMYFUNCTION("""COMPUTED_VALUE"""),24.72)</f>
        <v>24.72</v>
      </c>
      <c r="R440" s="320">
        <f>IFERROR(__xludf.DUMMYFUNCTION("""COMPUTED_VALUE"""),0.12)</f>
        <v>0.12</v>
      </c>
      <c r="S440" s="320">
        <f>IFERROR(__xludf.DUMMYFUNCTION("""COMPUTED_VALUE"""),0.0)</f>
        <v>0</v>
      </c>
      <c r="T440" s="320">
        <f>IFERROR(__xludf.DUMMYFUNCTION("""COMPUTED_VALUE"""),24.84)</f>
        <v>24.84</v>
      </c>
      <c r="U440" s="320">
        <f>IFERROR(__xludf.DUMMYFUNCTION("""COMPUTED_VALUE"""),2.11)</f>
        <v>2.11</v>
      </c>
      <c r="V440" s="320">
        <f>IFERROR(__xludf.DUMMYFUNCTION("""COMPUTED_VALUE"""),0.9019)</f>
        <v>0.9019</v>
      </c>
      <c r="W440" s="320">
        <f>IFERROR(__xludf.DUMMYFUNCTION("""COMPUTED_VALUE"""),0.0)</f>
        <v>0</v>
      </c>
      <c r="X440" s="320">
        <f>IFERROR(__xludf.DUMMYFUNCTION("""COMPUTED_VALUE"""),327.0)</f>
        <v>327</v>
      </c>
      <c r="Y440" s="320">
        <f>IFERROR(__xludf.DUMMYFUNCTION("""COMPUTED_VALUE"""),3753.0)</f>
        <v>3753</v>
      </c>
      <c r="Z440" s="320">
        <f>IFERROR(__xludf.DUMMYFUNCTION("""COMPUTED_VALUE"""),14991.0)</f>
        <v>14991</v>
      </c>
      <c r="AA440" s="320">
        <f>IFERROR(__xludf.DUMMYFUNCTION("""COMPUTED_VALUE"""),49.1307)</f>
        <v>49.1307</v>
      </c>
      <c r="AB440" s="320">
        <f>IFERROR(__xludf.DUMMYFUNCTION("""COMPUTED_VALUE"""),0.5429)</f>
        <v>0.5429</v>
      </c>
      <c r="AC440" s="106"/>
      <c r="AD440" s="106"/>
      <c r="AE440" s="106"/>
      <c r="AF440" s="106"/>
      <c r="AG440" s="106"/>
      <c r="AH440" s="320">
        <f>IFERROR(__xludf.DUMMYFUNCTION("""COMPUTED_VALUE"""),0.0)</f>
        <v>0</v>
      </c>
      <c r="AI440" s="320">
        <f>IFERROR(__xludf.DUMMYFUNCTION("""COMPUTED_VALUE"""),0.0)</f>
        <v>0</v>
      </c>
      <c r="AJ440" s="320">
        <f>IFERROR(__xludf.DUMMYFUNCTION("""COMPUTED_VALUE"""),0.0)</f>
        <v>0</v>
      </c>
      <c r="AK440" s="320">
        <f>IFERROR(__xludf.DUMMYFUNCTION("""COMPUTED_VALUE"""),0.2932)</f>
        <v>0.2932</v>
      </c>
      <c r="AL440" s="320">
        <f>IFERROR(__xludf.DUMMYFUNCTION("""COMPUTED_VALUE"""),18.07)</f>
        <v>18.07</v>
      </c>
      <c r="AM440" s="320">
        <f>IFERROR(__xludf.DUMMYFUNCTION("""COMPUTED_VALUE"""),6.65)</f>
        <v>6.65</v>
      </c>
      <c r="AN440" s="331"/>
      <c r="AO440" s="331"/>
    </row>
    <row r="441" ht="15.75" customHeight="1">
      <c r="A441" s="330">
        <f>IFERROR(__xludf.DUMMYFUNCTION("""COMPUTED_VALUE"""),46123.0)</f>
        <v>46123</v>
      </c>
      <c r="B441" s="319" t="str">
        <f>IFERROR(__xludf.DUMMYFUNCTION("""COMPUTED_VALUE"""),"B. 1-9")</f>
        <v>B. 1-9</v>
      </c>
      <c r="C441" s="320">
        <f>IFERROR(__xludf.DUMMYFUNCTION("""COMPUTED_VALUE"""),36951.0)</f>
        <v>36951</v>
      </c>
      <c r="D441" s="320">
        <f>IFERROR(__xludf.DUMMYFUNCTION("""COMPUTED_VALUE"""),37.14)</f>
        <v>37.14</v>
      </c>
      <c r="E441" s="320">
        <f>IFERROR(__xludf.DUMMYFUNCTION("""COMPUTED_VALUE"""),0.0)</f>
        <v>0</v>
      </c>
      <c r="F441" s="320">
        <f>IFERROR(__xludf.DUMMYFUNCTION("""COMPUTED_VALUE"""),0.0)</f>
        <v>0</v>
      </c>
      <c r="G441" s="320">
        <f>IFERROR(__xludf.DUMMYFUNCTION("""COMPUTED_VALUE"""),0.0)</f>
        <v>0</v>
      </c>
      <c r="H441" s="106"/>
      <c r="I441" s="320">
        <f>IFERROR(__xludf.DUMMYFUNCTION("""COMPUTED_VALUE"""),29.32)</f>
        <v>29.32</v>
      </c>
      <c r="J441" s="320">
        <f>IFERROR(__xludf.DUMMYFUNCTION("""COMPUTED_VALUE"""),13.25)</f>
        <v>13.25</v>
      </c>
      <c r="K441" s="320">
        <f>IFERROR(__xludf.DUMMYFUNCTION("""COMPUTED_VALUE"""),5.76)</f>
        <v>5.76</v>
      </c>
      <c r="L441" s="320">
        <f>IFERROR(__xludf.DUMMYFUNCTION("""COMPUTED_VALUE"""),0.4347)</f>
        <v>0.4347</v>
      </c>
      <c r="M441" s="320">
        <f>IFERROR(__xludf.DUMMYFUNCTION("""COMPUTED_VALUE"""),0.7415)</f>
        <v>0.7415</v>
      </c>
      <c r="N441" s="320">
        <f>IFERROR(__xludf.DUMMYFUNCTION("""COMPUTED_VALUE"""),0.5502)</f>
        <v>0.5502</v>
      </c>
      <c r="O441" s="320">
        <f>IFERROR(__xludf.DUMMYFUNCTION("""COMPUTED_VALUE"""),2.3005)</f>
        <v>2.3005</v>
      </c>
      <c r="P441" s="320">
        <f>IFERROR(__xludf.DUMMYFUNCTION("""COMPUTED_VALUE"""),52.72)</f>
        <v>52.72</v>
      </c>
      <c r="Q441" s="320">
        <f>IFERROR(__xludf.DUMMYFUNCTION("""COMPUTED_VALUE"""),40.97)</f>
        <v>40.97</v>
      </c>
      <c r="R441" s="320">
        <f>IFERROR(__xludf.DUMMYFUNCTION("""COMPUTED_VALUE"""),11.76)</f>
        <v>11.76</v>
      </c>
      <c r="S441" s="320">
        <f>IFERROR(__xludf.DUMMYFUNCTION("""COMPUTED_VALUE"""),0.01)</f>
        <v>0.01</v>
      </c>
      <c r="T441" s="320">
        <f>IFERROR(__xludf.DUMMYFUNCTION("""COMPUTED_VALUE"""),52.71)</f>
        <v>52.71</v>
      </c>
      <c r="U441" s="320">
        <f>IFERROR(__xludf.DUMMYFUNCTION("""COMPUTED_VALUE"""),52.92)</f>
        <v>52.92</v>
      </c>
      <c r="V441" s="320">
        <f>IFERROR(__xludf.DUMMYFUNCTION("""COMPUTED_VALUE"""),3.9931)</f>
        <v>3.9931</v>
      </c>
      <c r="W441" s="320">
        <f>IFERROR(__xludf.DUMMYFUNCTION("""COMPUTED_VALUE"""),0.02)</f>
        <v>0.02</v>
      </c>
      <c r="X441" s="320">
        <f>IFERROR(__xludf.DUMMYFUNCTION("""COMPUTED_VALUE"""),142.0)</f>
        <v>142</v>
      </c>
      <c r="Y441" s="320">
        <f>IFERROR(__xludf.DUMMYFUNCTION("""COMPUTED_VALUE"""),879.0)</f>
        <v>879</v>
      </c>
      <c r="Z441" s="320">
        <f>IFERROR(__xludf.DUMMYFUNCTION("""COMPUTED_VALUE"""),5823.0)</f>
        <v>5823</v>
      </c>
      <c r="AA441" s="320">
        <f>IFERROR(__xludf.DUMMYFUNCTION("""COMPUTED_VALUE"""),48.8365)</f>
        <v>48.8365</v>
      </c>
      <c r="AB441" s="320">
        <f>IFERROR(__xludf.DUMMYFUNCTION("""COMPUTED_VALUE"""),0.5415)</f>
        <v>0.5415</v>
      </c>
      <c r="AC441" s="320">
        <f>IFERROR(__xludf.DUMMYFUNCTION("""COMPUTED_VALUE"""),4.12)</f>
        <v>4.12</v>
      </c>
      <c r="AD441" s="320">
        <f>IFERROR(__xludf.DUMMYFUNCTION("""COMPUTED_VALUE"""),1.0)</f>
        <v>1</v>
      </c>
      <c r="AE441" s="320">
        <f>IFERROR(__xludf.DUMMYFUNCTION("""COMPUTED_VALUE"""),3.0)</f>
        <v>3</v>
      </c>
      <c r="AF441" s="320">
        <f>IFERROR(__xludf.DUMMYFUNCTION("""COMPUTED_VALUE"""),5.0)</f>
        <v>5</v>
      </c>
      <c r="AG441" s="320">
        <f>IFERROR(__xludf.DUMMYFUNCTION("""COMPUTED_VALUE"""),9.0)</f>
        <v>9</v>
      </c>
      <c r="AH441" s="320">
        <f>IFERROR(__xludf.DUMMYFUNCTION("""COMPUTED_VALUE"""),73.69)</f>
        <v>73.69</v>
      </c>
      <c r="AI441" s="320">
        <f>IFERROR(__xludf.DUMMYFUNCTION("""COMPUTED_VALUE"""),31.88)</f>
        <v>31.88</v>
      </c>
      <c r="AJ441" s="320">
        <f>IFERROR(__xludf.DUMMYFUNCTION("""COMPUTED_VALUE"""),9.28)</f>
        <v>9.28</v>
      </c>
      <c r="AK441" s="320">
        <f>IFERROR(__xludf.DUMMYFUNCTION("""COMPUTED_VALUE"""),0.2491)</f>
        <v>0.2491</v>
      </c>
      <c r="AL441" s="320">
        <f>IFERROR(__xludf.DUMMYFUNCTION("""COMPUTED_VALUE"""),21.96)</f>
        <v>21.96</v>
      </c>
      <c r="AM441" s="320">
        <f>IFERROR(__xludf.DUMMYFUNCTION("""COMPUTED_VALUE"""),19.0)</f>
        <v>19</v>
      </c>
      <c r="AN441" s="320">
        <f>IFERROR(__xludf.DUMMYFUNCTION("""COMPUTED_VALUE"""),65.95)</f>
        <v>65.95</v>
      </c>
      <c r="AO441" s="320">
        <f>IFERROR(__xludf.DUMMYFUNCTION("""COMPUTED_VALUE"""),14.48)</f>
        <v>14.48</v>
      </c>
    </row>
    <row r="442" ht="15.75" customHeight="1">
      <c r="A442" s="330">
        <f>IFERROR(__xludf.DUMMYFUNCTION("""COMPUTED_VALUE"""),46123.0)</f>
        <v>46123</v>
      </c>
      <c r="B442" s="319" t="str">
        <f>IFERROR(__xludf.DUMMYFUNCTION("""COMPUTED_VALUE"""),"C. 10-19")</f>
        <v>C. 10-19</v>
      </c>
      <c r="C442" s="320">
        <f>IFERROR(__xludf.DUMMYFUNCTION("""COMPUTED_VALUE"""),24337.0)</f>
        <v>24337</v>
      </c>
      <c r="D442" s="320">
        <f>IFERROR(__xludf.DUMMYFUNCTION("""COMPUTED_VALUE"""),24.46)</f>
        <v>24.46</v>
      </c>
      <c r="E442" s="320">
        <f>IFERROR(__xludf.DUMMYFUNCTION("""COMPUTED_VALUE"""),0.0)</f>
        <v>0</v>
      </c>
      <c r="F442" s="320">
        <f>IFERROR(__xludf.DUMMYFUNCTION("""COMPUTED_VALUE"""),0.0)</f>
        <v>0</v>
      </c>
      <c r="G442" s="320">
        <f>IFERROR(__xludf.DUMMYFUNCTION("""COMPUTED_VALUE"""),0.0)</f>
        <v>0</v>
      </c>
      <c r="H442" s="106"/>
      <c r="I442" s="320">
        <f>IFERROR(__xludf.DUMMYFUNCTION("""COMPUTED_VALUE"""),54.98)</f>
        <v>54.98</v>
      </c>
      <c r="J442" s="320">
        <f>IFERROR(__xludf.DUMMYFUNCTION("""COMPUTED_VALUE"""),25.91)</f>
        <v>25.91</v>
      </c>
      <c r="K442" s="320">
        <f>IFERROR(__xludf.DUMMYFUNCTION("""COMPUTED_VALUE"""),14.27)</f>
        <v>14.27</v>
      </c>
      <c r="L442" s="320">
        <f>IFERROR(__xludf.DUMMYFUNCTION("""COMPUTED_VALUE"""),0.5507)</f>
        <v>0.5507</v>
      </c>
      <c r="M442" s="320">
        <f>IFERROR(__xludf.DUMMYFUNCTION("""COMPUTED_VALUE"""),0.6452)</f>
        <v>0.6452</v>
      </c>
      <c r="N442" s="320">
        <f>IFERROR(__xludf.DUMMYFUNCTION("""COMPUTED_VALUE"""),0.4538)</f>
        <v>0.4538</v>
      </c>
      <c r="O442" s="320">
        <f>IFERROR(__xludf.DUMMYFUNCTION("""COMPUTED_VALUE"""),1.8158)</f>
        <v>1.8158</v>
      </c>
      <c r="P442" s="320">
        <f>IFERROR(__xludf.DUMMYFUNCTION("""COMPUTED_VALUE"""),97.95)</f>
        <v>97.95</v>
      </c>
      <c r="Q442" s="320">
        <f>IFERROR(__xludf.DUMMYFUNCTION("""COMPUTED_VALUE"""),69.02)</f>
        <v>69.02</v>
      </c>
      <c r="R442" s="320">
        <f>IFERROR(__xludf.DUMMYFUNCTION("""COMPUTED_VALUE"""),28.93)</f>
        <v>28.93</v>
      </c>
      <c r="S442" s="320">
        <f>IFERROR(__xludf.DUMMYFUNCTION("""COMPUTED_VALUE"""),0.0)</f>
        <v>0</v>
      </c>
      <c r="T442" s="320">
        <f>IFERROR(__xludf.DUMMYFUNCTION("""COMPUTED_VALUE"""),97.95)</f>
        <v>97.95</v>
      </c>
      <c r="U442" s="320">
        <f>IFERROR(__xludf.DUMMYFUNCTION("""COMPUTED_VALUE"""),99.48)</f>
        <v>99.48</v>
      </c>
      <c r="V442" s="320">
        <f>IFERROR(__xludf.DUMMYFUNCTION("""COMPUTED_VALUE"""),3.8401)</f>
        <v>3.8401</v>
      </c>
      <c r="W442" s="320">
        <f>IFERROR(__xludf.DUMMYFUNCTION("""COMPUTED_VALUE"""),0.0)</f>
        <v>0</v>
      </c>
      <c r="X442" s="320">
        <f>IFERROR(__xludf.DUMMYFUNCTION("""COMPUTED_VALUE"""),124.0)</f>
        <v>124</v>
      </c>
      <c r="Y442" s="320">
        <f>IFERROR(__xludf.DUMMYFUNCTION("""COMPUTED_VALUE"""),683.0)</f>
        <v>683</v>
      </c>
      <c r="Z442" s="320">
        <f>IFERROR(__xludf.DUMMYFUNCTION("""COMPUTED_VALUE"""),5276.0)</f>
        <v>5276</v>
      </c>
      <c r="AA442" s="320">
        <f>IFERROR(__xludf.DUMMYFUNCTION("""COMPUTED_VALUE"""),52.3096)</f>
        <v>52.3096</v>
      </c>
      <c r="AB442" s="320">
        <f>IFERROR(__xludf.DUMMYFUNCTION("""COMPUTED_VALUE"""),0.6336)</f>
        <v>0.6336</v>
      </c>
      <c r="AC442" s="320">
        <f>IFERROR(__xludf.DUMMYFUNCTION("""COMPUTED_VALUE"""),9.72)</f>
        <v>9.72</v>
      </c>
      <c r="AD442" s="320">
        <f>IFERROR(__xludf.DUMMYFUNCTION("""COMPUTED_VALUE"""),4.0)</f>
        <v>4</v>
      </c>
      <c r="AE442" s="320">
        <f>IFERROR(__xludf.DUMMYFUNCTION("""COMPUTED_VALUE"""),8.0)</f>
        <v>8</v>
      </c>
      <c r="AF442" s="320">
        <f>IFERROR(__xludf.DUMMYFUNCTION("""COMPUTED_VALUE"""),13.0)</f>
        <v>13</v>
      </c>
      <c r="AG442" s="320">
        <f>IFERROR(__xludf.DUMMYFUNCTION("""COMPUTED_VALUE"""),20.0)</f>
        <v>20</v>
      </c>
      <c r="AH442" s="320">
        <f>IFERROR(__xludf.DUMMYFUNCTION("""COMPUTED_VALUE"""),62.19)</f>
        <v>62.19</v>
      </c>
      <c r="AI442" s="320">
        <f>IFERROR(__xludf.DUMMYFUNCTION("""COMPUTED_VALUE"""),27.0)</f>
        <v>27</v>
      </c>
      <c r="AJ442" s="320">
        <f>IFERROR(__xludf.DUMMYFUNCTION("""COMPUTED_VALUE"""),5.16)</f>
        <v>5.16</v>
      </c>
      <c r="AK442" s="320">
        <f>IFERROR(__xludf.DUMMYFUNCTION("""COMPUTED_VALUE"""),0.207)</f>
        <v>0.207</v>
      </c>
      <c r="AL442" s="320">
        <f>IFERROR(__xludf.DUMMYFUNCTION("""COMPUTED_VALUE"""),22.84)</f>
        <v>22.84</v>
      </c>
      <c r="AM442" s="320">
        <f>IFERROR(__xludf.DUMMYFUNCTION("""COMPUTED_VALUE"""),46.18)</f>
        <v>46.18</v>
      </c>
      <c r="AN442" s="320">
        <f>IFERROR(__xludf.DUMMYFUNCTION("""COMPUTED_VALUE"""),74.38)</f>
        <v>74.38</v>
      </c>
      <c r="AO442" s="320">
        <f>IFERROR(__xludf.DUMMYFUNCTION("""COMPUTED_VALUE"""),16.99)</f>
        <v>16.99</v>
      </c>
    </row>
    <row r="443" ht="15.75" customHeight="1">
      <c r="A443" s="330">
        <f>IFERROR(__xludf.DUMMYFUNCTION("""COMPUTED_VALUE"""),46123.0)</f>
        <v>46123</v>
      </c>
      <c r="B443" s="319" t="str">
        <f>IFERROR(__xludf.DUMMYFUNCTION("""COMPUTED_VALUE"""),"D. 20-39")</f>
        <v>D. 20-39</v>
      </c>
      <c r="C443" s="320">
        <f>IFERROR(__xludf.DUMMYFUNCTION("""COMPUTED_VALUE"""),13296.0)</f>
        <v>13296</v>
      </c>
      <c r="D443" s="320">
        <f>IFERROR(__xludf.DUMMYFUNCTION("""COMPUTED_VALUE"""),13.36)</f>
        <v>13.36</v>
      </c>
      <c r="E443" s="320">
        <f>IFERROR(__xludf.DUMMYFUNCTION("""COMPUTED_VALUE"""),0.0)</f>
        <v>0</v>
      </c>
      <c r="F443" s="320">
        <f>IFERROR(__xludf.DUMMYFUNCTION("""COMPUTED_VALUE"""),0.0)</f>
        <v>0</v>
      </c>
      <c r="G443" s="320">
        <f>IFERROR(__xludf.DUMMYFUNCTION("""COMPUTED_VALUE"""),0.0)</f>
        <v>0</v>
      </c>
      <c r="H443" s="106"/>
      <c r="I443" s="320">
        <f>IFERROR(__xludf.DUMMYFUNCTION("""COMPUTED_VALUE"""),82.38)</f>
        <v>82.38</v>
      </c>
      <c r="J443" s="320">
        <f>IFERROR(__xludf.DUMMYFUNCTION("""COMPUTED_VALUE"""),41.26)</f>
        <v>41.26</v>
      </c>
      <c r="K443" s="320">
        <f>IFERROR(__xludf.DUMMYFUNCTION("""COMPUTED_VALUE"""),27.52)</f>
        <v>27.52</v>
      </c>
      <c r="L443" s="320">
        <f>IFERROR(__xludf.DUMMYFUNCTION("""COMPUTED_VALUE"""),0.6669)</f>
        <v>0.6669</v>
      </c>
      <c r="M443" s="320">
        <f>IFERROR(__xludf.DUMMYFUNCTION("""COMPUTED_VALUE"""),0.5273)</f>
        <v>0.5273</v>
      </c>
      <c r="N443" s="320">
        <f>IFERROR(__xludf.DUMMYFUNCTION("""COMPUTED_VALUE"""),0.3679)</f>
        <v>0.3679</v>
      </c>
      <c r="O443" s="320">
        <f>IFERROR(__xludf.DUMMYFUNCTION("""COMPUTED_VALUE"""),1.4995)</f>
        <v>1.4995</v>
      </c>
      <c r="P443" s="320">
        <f>IFERROR(__xludf.DUMMYFUNCTION("""COMPUTED_VALUE"""),170.0)</f>
        <v>170</v>
      </c>
      <c r="Q443" s="320">
        <f>IFERROR(__xludf.DUMMYFUNCTION("""COMPUTED_VALUE"""),114.03)</f>
        <v>114.03</v>
      </c>
      <c r="R443" s="320">
        <f>IFERROR(__xludf.DUMMYFUNCTION("""COMPUTED_VALUE"""),55.97)</f>
        <v>55.97</v>
      </c>
      <c r="S443" s="320">
        <f>IFERROR(__xludf.DUMMYFUNCTION("""COMPUTED_VALUE"""),0.01)</f>
        <v>0.01</v>
      </c>
      <c r="T443" s="320">
        <f>IFERROR(__xludf.DUMMYFUNCTION("""COMPUTED_VALUE"""),169.99)</f>
        <v>169.99</v>
      </c>
      <c r="U443" s="320">
        <f>IFERROR(__xludf.DUMMYFUNCTION("""COMPUTED_VALUE"""),173.2)</f>
        <v>173.2</v>
      </c>
      <c r="V443" s="320">
        <f>IFERROR(__xludf.DUMMYFUNCTION("""COMPUTED_VALUE"""),4.1976)</f>
        <v>4.1976</v>
      </c>
      <c r="W443" s="320">
        <f>IFERROR(__xludf.DUMMYFUNCTION("""COMPUTED_VALUE"""),0.01)</f>
        <v>0.01</v>
      </c>
      <c r="X443" s="320">
        <f>IFERROR(__xludf.DUMMYFUNCTION("""COMPUTED_VALUE"""),159.0)</f>
        <v>159</v>
      </c>
      <c r="Y443" s="320">
        <f>IFERROR(__xludf.DUMMYFUNCTION("""COMPUTED_VALUE"""),1010.0)</f>
        <v>1010</v>
      </c>
      <c r="Z443" s="320">
        <f>IFERROR(__xludf.DUMMYFUNCTION("""COMPUTED_VALUE"""),6598.0)</f>
        <v>6598</v>
      </c>
      <c r="AA443" s="320">
        <f>IFERROR(__xludf.DUMMYFUNCTION("""COMPUTED_VALUE"""),55.6298)</f>
        <v>55.6298</v>
      </c>
      <c r="AB443" s="320">
        <f>IFERROR(__xludf.DUMMYFUNCTION("""COMPUTED_VALUE"""),0.7342)</f>
        <v>0.7342</v>
      </c>
      <c r="AC443" s="320">
        <f>IFERROR(__xludf.DUMMYFUNCTION("""COMPUTED_VALUE"""),18.37)</f>
        <v>18.37</v>
      </c>
      <c r="AD443" s="320">
        <f>IFERROR(__xludf.DUMMYFUNCTION("""COMPUTED_VALUE"""),7.0)</f>
        <v>7</v>
      </c>
      <c r="AE443" s="320">
        <f>IFERROR(__xludf.DUMMYFUNCTION("""COMPUTED_VALUE"""),14.0)</f>
        <v>14</v>
      </c>
      <c r="AF443" s="320">
        <f>IFERROR(__xludf.DUMMYFUNCTION("""COMPUTED_VALUE"""),25.0)</f>
        <v>25</v>
      </c>
      <c r="AG443" s="320">
        <f>IFERROR(__xludf.DUMMYFUNCTION("""COMPUTED_VALUE"""),38.0)</f>
        <v>38</v>
      </c>
      <c r="AH443" s="320">
        <f>IFERROR(__xludf.DUMMYFUNCTION("""COMPUTED_VALUE"""),60.86)</f>
        <v>60.86</v>
      </c>
      <c r="AI443" s="320">
        <f>IFERROR(__xludf.DUMMYFUNCTION("""COMPUTED_VALUE"""),24.14)</f>
        <v>24.14</v>
      </c>
      <c r="AJ443" s="320">
        <f>IFERROR(__xludf.DUMMYFUNCTION("""COMPUTED_VALUE"""),8.09)</f>
        <v>8.09</v>
      </c>
      <c r="AK443" s="320">
        <f>IFERROR(__xludf.DUMMYFUNCTION("""COMPUTED_VALUE"""),0.19)</f>
        <v>0.19</v>
      </c>
      <c r="AL443" s="320">
        <f>IFERROR(__xludf.DUMMYFUNCTION("""COMPUTED_VALUE"""),23.04)</f>
        <v>23.04</v>
      </c>
      <c r="AM443" s="320">
        <f>IFERROR(__xludf.DUMMYFUNCTION("""COMPUTED_VALUE"""),90.99)</f>
        <v>90.99</v>
      </c>
      <c r="AN443" s="320">
        <f>IFERROR(__xludf.DUMMYFUNCTION("""COMPUTED_VALUE"""),77.95)</f>
        <v>77.95</v>
      </c>
      <c r="AO443" s="320">
        <f>IFERROR(__xludf.DUMMYFUNCTION("""COMPUTED_VALUE"""),17.96)</f>
        <v>17.96</v>
      </c>
    </row>
    <row r="444" ht="15.75" customHeight="1">
      <c r="A444" s="330">
        <f>IFERROR(__xludf.DUMMYFUNCTION("""COMPUTED_VALUE"""),46123.0)</f>
        <v>46123</v>
      </c>
      <c r="B444" s="319" t="str">
        <f>IFERROR(__xludf.DUMMYFUNCTION("""COMPUTED_VALUE"""),"E. 40-99")</f>
        <v>E. 40-99</v>
      </c>
      <c r="C444" s="320">
        <f>IFERROR(__xludf.DUMMYFUNCTION("""COMPUTED_VALUE"""),5247.0)</f>
        <v>5247</v>
      </c>
      <c r="D444" s="320">
        <f>IFERROR(__xludf.DUMMYFUNCTION("""COMPUTED_VALUE"""),5.27)</f>
        <v>5.27</v>
      </c>
      <c r="E444" s="320">
        <f>IFERROR(__xludf.DUMMYFUNCTION("""COMPUTED_VALUE"""),0.0)</f>
        <v>0</v>
      </c>
      <c r="F444" s="320">
        <f>IFERROR(__xludf.DUMMYFUNCTION("""COMPUTED_VALUE"""),0.0)</f>
        <v>0</v>
      </c>
      <c r="G444" s="320">
        <f>IFERROR(__xludf.DUMMYFUNCTION("""COMPUTED_VALUE"""),0.0)</f>
        <v>0</v>
      </c>
      <c r="H444" s="106"/>
      <c r="I444" s="320">
        <f>IFERROR(__xludf.DUMMYFUNCTION("""COMPUTED_VALUE"""),129.77)</f>
        <v>129.77</v>
      </c>
      <c r="J444" s="320">
        <f>IFERROR(__xludf.DUMMYFUNCTION("""COMPUTED_VALUE"""),70.37)</f>
        <v>70.37</v>
      </c>
      <c r="K444" s="320">
        <f>IFERROR(__xludf.DUMMYFUNCTION("""COMPUTED_VALUE"""),56.22)</f>
        <v>56.22</v>
      </c>
      <c r="L444" s="320">
        <f>IFERROR(__xludf.DUMMYFUNCTION("""COMPUTED_VALUE"""),0.799)</f>
        <v>0.799</v>
      </c>
      <c r="M444" s="320">
        <f>IFERROR(__xludf.DUMMYFUNCTION("""COMPUTED_VALUE"""),0.3827)</f>
        <v>0.3827</v>
      </c>
      <c r="N444" s="320">
        <f>IFERROR(__xludf.DUMMYFUNCTION("""COMPUTED_VALUE"""),0.2779)</f>
        <v>0.2779</v>
      </c>
      <c r="O444" s="320">
        <f>IFERROR(__xludf.DUMMYFUNCTION("""COMPUTED_VALUE"""),1.2515)</f>
        <v>1.2515</v>
      </c>
      <c r="P444" s="320">
        <f>IFERROR(__xludf.DUMMYFUNCTION("""COMPUTED_VALUE"""),329.71)</f>
        <v>329.71</v>
      </c>
      <c r="Q444" s="320">
        <f>IFERROR(__xludf.DUMMYFUNCTION("""COMPUTED_VALUE"""),215.7)</f>
        <v>215.7</v>
      </c>
      <c r="R444" s="320">
        <f>IFERROR(__xludf.DUMMYFUNCTION("""COMPUTED_VALUE"""),114.01)</f>
        <v>114.01</v>
      </c>
      <c r="S444" s="320">
        <f>IFERROR(__xludf.DUMMYFUNCTION("""COMPUTED_VALUE"""),0.0)</f>
        <v>0</v>
      </c>
      <c r="T444" s="320">
        <f>IFERROR(__xludf.DUMMYFUNCTION("""COMPUTED_VALUE"""),329.71)</f>
        <v>329.71</v>
      </c>
      <c r="U444" s="320">
        <f>IFERROR(__xludf.DUMMYFUNCTION("""COMPUTED_VALUE"""),317.33)</f>
        <v>317.33</v>
      </c>
      <c r="V444" s="320">
        <f>IFERROR(__xludf.DUMMYFUNCTION("""COMPUTED_VALUE"""),4.5097)</f>
        <v>4.5097</v>
      </c>
      <c r="W444" s="320">
        <f>IFERROR(__xludf.DUMMYFUNCTION("""COMPUTED_VALUE"""),0.0)</f>
        <v>0</v>
      </c>
      <c r="X444" s="320">
        <f>IFERROR(__xludf.DUMMYFUNCTION("""COMPUTED_VALUE"""),309.0)</f>
        <v>309</v>
      </c>
      <c r="Y444" s="320">
        <f>IFERROR(__xludf.DUMMYFUNCTION("""COMPUTED_VALUE"""),2376.0)</f>
        <v>2376</v>
      </c>
      <c r="Z444" s="320">
        <f>IFERROR(__xludf.DUMMYFUNCTION("""COMPUTED_VALUE"""),9198.0)</f>
        <v>9198</v>
      </c>
      <c r="AA444" s="320">
        <f>IFERROR(__xludf.DUMMYFUNCTION("""COMPUTED_VALUE"""),59.5743)</f>
        <v>59.5743</v>
      </c>
      <c r="AB444" s="320">
        <f>IFERROR(__xludf.DUMMYFUNCTION("""COMPUTED_VALUE"""),0.83)</f>
        <v>0.83</v>
      </c>
      <c r="AC444" s="320">
        <f>IFERROR(__xludf.DUMMYFUNCTION("""COMPUTED_VALUE"""),38.48)</f>
        <v>38.48</v>
      </c>
      <c r="AD444" s="320">
        <f>IFERROR(__xludf.DUMMYFUNCTION("""COMPUTED_VALUE"""),15.0)</f>
        <v>15</v>
      </c>
      <c r="AE444" s="320">
        <f>IFERROR(__xludf.DUMMYFUNCTION("""COMPUTED_VALUE"""),30.0)</f>
        <v>30</v>
      </c>
      <c r="AF444" s="320">
        <f>IFERROR(__xludf.DUMMYFUNCTION("""COMPUTED_VALUE"""),53.0)</f>
        <v>53</v>
      </c>
      <c r="AG444" s="320">
        <f>IFERROR(__xludf.DUMMYFUNCTION("""COMPUTED_VALUE"""),81.0)</f>
        <v>81</v>
      </c>
      <c r="AH444" s="320">
        <f>IFERROR(__xludf.DUMMYFUNCTION("""COMPUTED_VALUE"""),53.19)</f>
        <v>53.19</v>
      </c>
      <c r="AI444" s="320">
        <f>IFERROR(__xludf.DUMMYFUNCTION("""COMPUTED_VALUE"""),20.41)</f>
        <v>20.41</v>
      </c>
      <c r="AJ444" s="320">
        <f>IFERROR(__xludf.DUMMYFUNCTION("""COMPUTED_VALUE"""),5.18)</f>
        <v>5.18</v>
      </c>
      <c r="AK444" s="320">
        <f>IFERROR(__xludf.DUMMYFUNCTION("""COMPUTED_VALUE"""),0.1448)</f>
        <v>0.1448</v>
      </c>
      <c r="AL444" s="320">
        <f>IFERROR(__xludf.DUMMYFUNCTION("""COMPUTED_VALUE"""),23.57)</f>
        <v>23.57</v>
      </c>
      <c r="AM444" s="320">
        <f>IFERROR(__xludf.DUMMYFUNCTION("""COMPUTED_VALUE"""),192.13)</f>
        <v>192.13</v>
      </c>
      <c r="AN444" s="320">
        <f>IFERROR(__xludf.DUMMYFUNCTION("""COMPUTED_VALUE"""),82.71)</f>
        <v>82.71</v>
      </c>
      <c r="AO444" s="320">
        <f>IFERROR(__xludf.DUMMYFUNCTION("""COMPUTED_VALUE"""),19.49)</f>
        <v>19.49</v>
      </c>
    </row>
    <row r="445" ht="15.75" customHeight="1">
      <c r="A445" s="330">
        <f>IFERROR(__xludf.DUMMYFUNCTION("""COMPUTED_VALUE"""),46123.0)</f>
        <v>46123</v>
      </c>
      <c r="B445" s="319" t="str">
        <f>IFERROR(__xludf.DUMMYFUNCTION("""COMPUTED_VALUE"""),"F. 100+")</f>
        <v>F. 100+</v>
      </c>
      <c r="C445" s="320">
        <f>IFERROR(__xludf.DUMMYFUNCTION("""COMPUTED_VALUE"""),597.0)</f>
        <v>597</v>
      </c>
      <c r="D445" s="320">
        <f>IFERROR(__xludf.DUMMYFUNCTION("""COMPUTED_VALUE"""),0.6)</f>
        <v>0.6</v>
      </c>
      <c r="E445" s="320">
        <f>IFERROR(__xludf.DUMMYFUNCTION("""COMPUTED_VALUE"""),0.0)</f>
        <v>0</v>
      </c>
      <c r="F445" s="320">
        <f>IFERROR(__xludf.DUMMYFUNCTION("""COMPUTED_VALUE"""),0.0)</f>
        <v>0</v>
      </c>
      <c r="G445" s="320">
        <f>IFERROR(__xludf.DUMMYFUNCTION("""COMPUTED_VALUE"""),0.0)</f>
        <v>0</v>
      </c>
      <c r="H445" s="106"/>
      <c r="I445" s="320">
        <f>IFERROR(__xludf.DUMMYFUNCTION("""COMPUTED_VALUE"""),236.56)</f>
        <v>236.56</v>
      </c>
      <c r="J445" s="320">
        <f>IFERROR(__xludf.DUMMYFUNCTION("""COMPUTED_VALUE"""),138.76)</f>
        <v>138.76</v>
      </c>
      <c r="K445" s="320">
        <f>IFERROR(__xludf.DUMMYFUNCTION("""COMPUTED_VALUE"""),122.94)</f>
        <v>122.94</v>
      </c>
      <c r="L445" s="320">
        <f>IFERROR(__xludf.DUMMYFUNCTION("""COMPUTED_VALUE"""),0.886)</f>
        <v>0.886</v>
      </c>
      <c r="M445" s="320">
        <f>IFERROR(__xludf.DUMMYFUNCTION("""COMPUTED_VALUE"""),0.2721)</f>
        <v>0.2721</v>
      </c>
      <c r="N445" s="320">
        <f>IFERROR(__xludf.DUMMYFUNCTION("""COMPUTED_VALUE"""),0.2102)</f>
        <v>0.2102</v>
      </c>
      <c r="O445" s="320">
        <f>IFERROR(__xludf.DUMMYFUNCTION("""COMPUTED_VALUE"""),1.1287)</f>
        <v>1.1287</v>
      </c>
      <c r="P445" s="320">
        <f>IFERROR(__xludf.DUMMYFUNCTION("""COMPUTED_VALUE"""),666.09)</f>
        <v>666.09</v>
      </c>
      <c r="Q445" s="320">
        <f>IFERROR(__xludf.DUMMYFUNCTION("""COMPUTED_VALUE"""),412.76)</f>
        <v>412.76</v>
      </c>
      <c r="R445" s="320">
        <f>IFERROR(__xludf.DUMMYFUNCTION("""COMPUTED_VALUE"""),253.32)</f>
        <v>253.32</v>
      </c>
      <c r="S445" s="320">
        <f>IFERROR(__xludf.DUMMYFUNCTION("""COMPUTED_VALUE"""),0.0)</f>
        <v>0</v>
      </c>
      <c r="T445" s="320">
        <f>IFERROR(__xludf.DUMMYFUNCTION("""COMPUTED_VALUE"""),666.09)</f>
        <v>666.09</v>
      </c>
      <c r="U445" s="320">
        <f>IFERROR(__xludf.DUMMYFUNCTION("""COMPUTED_VALUE"""),892.96)</f>
        <v>892.96</v>
      </c>
      <c r="V445" s="320">
        <f>IFERROR(__xludf.DUMMYFUNCTION("""COMPUTED_VALUE"""),6.4352)</f>
        <v>6.4352</v>
      </c>
      <c r="W445" s="320">
        <f>IFERROR(__xludf.DUMMYFUNCTION("""COMPUTED_VALUE"""),0.0)</f>
        <v>0</v>
      </c>
      <c r="X445" s="320">
        <f>IFERROR(__xludf.DUMMYFUNCTION("""COMPUTED_VALUE"""),1341.0)</f>
        <v>1341</v>
      </c>
      <c r="Y445" s="320">
        <f>IFERROR(__xludf.DUMMYFUNCTION("""COMPUTED_VALUE"""),5185.0)</f>
        <v>5185</v>
      </c>
      <c r="Z445" s="320">
        <f>IFERROR(__xludf.DUMMYFUNCTION("""COMPUTED_VALUE"""),15244.0)</f>
        <v>15244</v>
      </c>
      <c r="AA445" s="320">
        <f>IFERROR(__xludf.DUMMYFUNCTION("""COMPUTED_VALUE"""),63.021)</f>
        <v>63.021</v>
      </c>
      <c r="AB445" s="320">
        <f>IFERROR(__xludf.DUMMYFUNCTION("""COMPUTED_VALUE"""),0.9045)</f>
        <v>0.9045</v>
      </c>
      <c r="AC445" s="320">
        <f>IFERROR(__xludf.DUMMYFUNCTION("""COMPUTED_VALUE"""),85.93)</f>
        <v>85.93</v>
      </c>
      <c r="AD445" s="320">
        <f>IFERROR(__xludf.DUMMYFUNCTION("""COMPUTED_VALUE"""),36.0)</f>
        <v>36</v>
      </c>
      <c r="AE445" s="320">
        <f>IFERROR(__xludf.DUMMYFUNCTION("""COMPUTED_VALUE"""),71.0)</f>
        <v>71</v>
      </c>
      <c r="AF445" s="320">
        <f>IFERROR(__xludf.DUMMYFUNCTION("""COMPUTED_VALUE"""),121.0)</f>
        <v>121</v>
      </c>
      <c r="AG445" s="320">
        <f>IFERROR(__xludf.DUMMYFUNCTION("""COMPUTED_VALUE"""),175.0)</f>
        <v>175</v>
      </c>
      <c r="AH445" s="320">
        <f>IFERROR(__xludf.DUMMYFUNCTION("""COMPUTED_VALUE"""),45.9)</f>
        <v>45.9</v>
      </c>
      <c r="AI445" s="320">
        <f>IFERROR(__xludf.DUMMYFUNCTION("""COMPUTED_VALUE"""),10.05)</f>
        <v>10.05</v>
      </c>
      <c r="AJ445" s="320">
        <f>IFERROR(__xludf.DUMMYFUNCTION("""COMPUTED_VALUE"""),1.34)</f>
        <v>1.34</v>
      </c>
      <c r="AK445" s="320">
        <f>IFERROR(__xludf.DUMMYFUNCTION("""COMPUTED_VALUE"""),0.0905)</f>
        <v>0.0905</v>
      </c>
      <c r="AL445" s="320">
        <f>IFERROR(__xludf.DUMMYFUNCTION("""COMPUTED_VALUE"""),25.26)</f>
        <v>25.26</v>
      </c>
      <c r="AM445" s="320">
        <f>IFERROR(__xludf.DUMMYFUNCTION("""COMPUTED_VALUE"""),387.5)</f>
        <v>387.5</v>
      </c>
      <c r="AN445" s="320">
        <f>IFERROR(__xludf.DUMMYFUNCTION("""COMPUTED_VALUE"""),86.19)</f>
        <v>86.19</v>
      </c>
      <c r="AO445" s="320">
        <f>IFERROR(__xludf.DUMMYFUNCTION("""COMPUTED_VALUE"""),21.77)</f>
        <v>21.77</v>
      </c>
    </row>
    <row r="446" ht="15.75" customHeight="1">
      <c r="A446" s="330">
        <f>IFERROR(__xludf.DUMMYFUNCTION("""COMPUTED_VALUE"""),46124.0)</f>
        <v>46124</v>
      </c>
      <c r="B446" s="319" t="str">
        <f>IFERROR(__xludf.DUMMYFUNCTION("""COMPUTED_VALUE"""),"A. 0")</f>
        <v>A. 0</v>
      </c>
      <c r="C446" s="320">
        <f>IFERROR(__xludf.DUMMYFUNCTION("""COMPUTED_VALUE"""),18985.0)</f>
        <v>18985</v>
      </c>
      <c r="D446" s="320">
        <f>IFERROR(__xludf.DUMMYFUNCTION("""COMPUTED_VALUE"""),18.83)</f>
        <v>18.83</v>
      </c>
      <c r="E446" s="320">
        <f>IFERROR(__xludf.DUMMYFUNCTION("""COMPUTED_VALUE"""),0.0)</f>
        <v>0</v>
      </c>
      <c r="F446" s="320">
        <f>IFERROR(__xludf.DUMMYFUNCTION("""COMPUTED_VALUE"""),0.0)</f>
        <v>0</v>
      </c>
      <c r="G446" s="320">
        <f>IFERROR(__xludf.DUMMYFUNCTION("""COMPUTED_VALUE"""),0.0)</f>
        <v>0</v>
      </c>
      <c r="H446" s="106"/>
      <c r="I446" s="320">
        <f>IFERROR(__xludf.DUMMYFUNCTION("""COMPUTED_VALUE"""),6.0)</f>
        <v>6</v>
      </c>
      <c r="J446" s="320">
        <f>IFERROR(__xludf.DUMMYFUNCTION("""COMPUTED_VALUE"""),2.44)</f>
        <v>2.44</v>
      </c>
      <c r="K446" s="320">
        <f>IFERROR(__xludf.DUMMYFUNCTION("""COMPUTED_VALUE"""),0.03)</f>
        <v>0.03</v>
      </c>
      <c r="L446" s="320">
        <f>IFERROR(__xludf.DUMMYFUNCTION("""COMPUTED_VALUE"""),0.0114)</f>
        <v>0.0114</v>
      </c>
      <c r="M446" s="320">
        <f>IFERROR(__xludf.DUMMYFUNCTION("""COMPUTED_VALUE"""),0.9918)</f>
        <v>0.9918</v>
      </c>
      <c r="N446" s="320">
        <f>IFERROR(__xludf.DUMMYFUNCTION("""COMPUTED_VALUE"""),0.9014)</f>
        <v>0.9014</v>
      </c>
      <c r="O446" s="320">
        <f>IFERROR(__xludf.DUMMYFUNCTION("""COMPUTED_VALUE"""),87.9905)</f>
        <v>87.9905</v>
      </c>
      <c r="P446" s="320">
        <f>IFERROR(__xludf.DUMMYFUNCTION("""COMPUTED_VALUE"""),22.67)</f>
        <v>22.67</v>
      </c>
      <c r="Q446" s="320">
        <f>IFERROR(__xludf.DUMMYFUNCTION("""COMPUTED_VALUE"""),22.57)</f>
        <v>22.57</v>
      </c>
      <c r="R446" s="320">
        <f>IFERROR(__xludf.DUMMYFUNCTION("""COMPUTED_VALUE"""),0.1)</f>
        <v>0.1</v>
      </c>
      <c r="S446" s="320">
        <f>IFERROR(__xludf.DUMMYFUNCTION("""COMPUTED_VALUE"""),0.0)</f>
        <v>0</v>
      </c>
      <c r="T446" s="320">
        <f>IFERROR(__xludf.DUMMYFUNCTION("""COMPUTED_VALUE"""),22.67)</f>
        <v>22.67</v>
      </c>
      <c r="U446" s="320">
        <f>IFERROR(__xludf.DUMMYFUNCTION("""COMPUTED_VALUE"""),1.96)</f>
        <v>1.96</v>
      </c>
      <c r="V446" s="320">
        <f>IFERROR(__xludf.DUMMYFUNCTION("""COMPUTED_VALUE"""),0.8048)</f>
        <v>0.8048</v>
      </c>
      <c r="W446" s="320">
        <f>IFERROR(__xludf.DUMMYFUNCTION("""COMPUTED_VALUE"""),0.0)</f>
        <v>0</v>
      </c>
      <c r="X446" s="320">
        <f>IFERROR(__xludf.DUMMYFUNCTION("""COMPUTED_VALUE"""),326.0)</f>
        <v>326</v>
      </c>
      <c r="Y446" s="320">
        <f>IFERROR(__xludf.DUMMYFUNCTION("""COMPUTED_VALUE"""),3971.0)</f>
        <v>3971</v>
      </c>
      <c r="Z446" s="320">
        <f>IFERROR(__xludf.DUMMYFUNCTION("""COMPUTED_VALUE"""),15127.0)</f>
        <v>15127</v>
      </c>
      <c r="AA446" s="320">
        <f>IFERROR(__xludf.DUMMYFUNCTION("""COMPUTED_VALUE"""),49.3325)</f>
        <v>49.3325</v>
      </c>
      <c r="AB446" s="320">
        <f>IFERROR(__xludf.DUMMYFUNCTION("""COMPUTED_VALUE"""),0.5536)</f>
        <v>0.5536</v>
      </c>
      <c r="AC446" s="106"/>
      <c r="AD446" s="106"/>
      <c r="AE446" s="106"/>
      <c r="AF446" s="106"/>
      <c r="AG446" s="106"/>
      <c r="AH446" s="320">
        <f>IFERROR(__xludf.DUMMYFUNCTION("""COMPUTED_VALUE"""),0.0)</f>
        <v>0</v>
      </c>
      <c r="AI446" s="320">
        <f>IFERROR(__xludf.DUMMYFUNCTION("""COMPUTED_VALUE"""),0.0)</f>
        <v>0</v>
      </c>
      <c r="AJ446" s="320">
        <f>IFERROR(__xludf.DUMMYFUNCTION("""COMPUTED_VALUE"""),0.0)</f>
        <v>0</v>
      </c>
      <c r="AK446" s="320">
        <f>IFERROR(__xludf.DUMMYFUNCTION("""COMPUTED_VALUE"""),0.2884)</f>
        <v>0.2884</v>
      </c>
      <c r="AL446" s="320">
        <f>IFERROR(__xludf.DUMMYFUNCTION("""COMPUTED_VALUE"""),18.43)</f>
        <v>18.43</v>
      </c>
      <c r="AM446" s="320">
        <f>IFERROR(__xludf.DUMMYFUNCTION("""COMPUTED_VALUE"""),4.15)</f>
        <v>4.15</v>
      </c>
      <c r="AN446" s="331"/>
      <c r="AO446" s="331"/>
    </row>
    <row r="447" ht="15.75" customHeight="1">
      <c r="A447" s="330">
        <f>IFERROR(__xludf.DUMMYFUNCTION("""COMPUTED_VALUE"""),46124.0)</f>
        <v>46124</v>
      </c>
      <c r="B447" s="319" t="str">
        <f>IFERROR(__xludf.DUMMYFUNCTION("""COMPUTED_VALUE"""),"B. 1-9")</f>
        <v>B. 1-9</v>
      </c>
      <c r="C447" s="320">
        <f>IFERROR(__xludf.DUMMYFUNCTION("""COMPUTED_VALUE"""),37676.0)</f>
        <v>37676</v>
      </c>
      <c r="D447" s="320">
        <f>IFERROR(__xludf.DUMMYFUNCTION("""COMPUTED_VALUE"""),37.37)</f>
        <v>37.37</v>
      </c>
      <c r="E447" s="320">
        <f>IFERROR(__xludf.DUMMYFUNCTION("""COMPUTED_VALUE"""),0.0)</f>
        <v>0</v>
      </c>
      <c r="F447" s="320">
        <f>IFERROR(__xludf.DUMMYFUNCTION("""COMPUTED_VALUE"""),0.0)</f>
        <v>0</v>
      </c>
      <c r="G447" s="320">
        <f>IFERROR(__xludf.DUMMYFUNCTION("""COMPUTED_VALUE"""),0.0)</f>
        <v>0</v>
      </c>
      <c r="H447" s="106"/>
      <c r="I447" s="320">
        <f>IFERROR(__xludf.DUMMYFUNCTION("""COMPUTED_VALUE"""),31.28)</f>
        <v>31.28</v>
      </c>
      <c r="J447" s="320">
        <f>IFERROR(__xludf.DUMMYFUNCTION("""COMPUTED_VALUE"""),14.35)</f>
        <v>14.35</v>
      </c>
      <c r="K447" s="320">
        <f>IFERROR(__xludf.DUMMYFUNCTION("""COMPUTED_VALUE"""),5.84)</f>
        <v>5.84</v>
      </c>
      <c r="L447" s="320">
        <f>IFERROR(__xludf.DUMMYFUNCTION("""COMPUTED_VALUE"""),0.4066)</f>
        <v>0.4066</v>
      </c>
      <c r="M447" s="320">
        <f>IFERROR(__xludf.DUMMYFUNCTION("""COMPUTED_VALUE"""),0.7594)</f>
        <v>0.7594</v>
      </c>
      <c r="N447" s="320">
        <f>IFERROR(__xludf.DUMMYFUNCTION("""COMPUTED_VALUE"""),0.5599)</f>
        <v>0.5599</v>
      </c>
      <c r="O447" s="320">
        <f>IFERROR(__xludf.DUMMYFUNCTION("""COMPUTED_VALUE"""),2.4596)</f>
        <v>2.4596</v>
      </c>
      <c r="P447" s="320">
        <f>IFERROR(__xludf.DUMMYFUNCTION("""COMPUTED_VALUE"""),46.95)</f>
        <v>46.95</v>
      </c>
      <c r="Q447" s="320">
        <f>IFERROR(__xludf.DUMMYFUNCTION("""COMPUTED_VALUE"""),35.09)</f>
        <v>35.09</v>
      </c>
      <c r="R447" s="320">
        <f>IFERROR(__xludf.DUMMYFUNCTION("""COMPUTED_VALUE"""),11.86)</f>
        <v>11.86</v>
      </c>
      <c r="S447" s="320">
        <f>IFERROR(__xludf.DUMMYFUNCTION("""COMPUTED_VALUE"""),0.0)</f>
        <v>0</v>
      </c>
      <c r="T447" s="320">
        <f>IFERROR(__xludf.DUMMYFUNCTION("""COMPUTED_VALUE"""),46.94)</f>
        <v>46.94</v>
      </c>
      <c r="U447" s="320">
        <f>IFERROR(__xludf.DUMMYFUNCTION("""COMPUTED_VALUE"""),51.57)</f>
        <v>51.57</v>
      </c>
      <c r="V447" s="320">
        <f>IFERROR(__xludf.DUMMYFUNCTION("""COMPUTED_VALUE"""),3.5932)</f>
        <v>3.5932</v>
      </c>
      <c r="W447" s="320">
        <f>IFERROR(__xludf.DUMMYFUNCTION("""COMPUTED_VALUE"""),0.01)</f>
        <v>0.01</v>
      </c>
      <c r="X447" s="320">
        <f>IFERROR(__xludf.DUMMYFUNCTION("""COMPUTED_VALUE"""),132.0)</f>
        <v>132</v>
      </c>
      <c r="Y447" s="320">
        <f>IFERROR(__xludf.DUMMYFUNCTION("""COMPUTED_VALUE"""),851.0)</f>
        <v>851</v>
      </c>
      <c r="Z447" s="320">
        <f>IFERROR(__xludf.DUMMYFUNCTION("""COMPUTED_VALUE"""),5847.0)</f>
        <v>5847</v>
      </c>
      <c r="AA447" s="320">
        <f>IFERROR(__xludf.DUMMYFUNCTION("""COMPUTED_VALUE"""),48.8139)</f>
        <v>48.8139</v>
      </c>
      <c r="AB447" s="320">
        <f>IFERROR(__xludf.DUMMYFUNCTION("""COMPUTED_VALUE"""),0.5415)</f>
        <v>0.5415</v>
      </c>
      <c r="AC447" s="320">
        <f>IFERROR(__xludf.DUMMYFUNCTION("""COMPUTED_VALUE"""),4.11)</f>
        <v>4.11</v>
      </c>
      <c r="AD447" s="320">
        <f>IFERROR(__xludf.DUMMYFUNCTION("""COMPUTED_VALUE"""),1.0)</f>
        <v>1</v>
      </c>
      <c r="AE447" s="320">
        <f>IFERROR(__xludf.DUMMYFUNCTION("""COMPUTED_VALUE"""),3.0)</f>
        <v>3</v>
      </c>
      <c r="AF447" s="320">
        <f>IFERROR(__xludf.DUMMYFUNCTION("""COMPUTED_VALUE"""),5.0)</f>
        <v>5</v>
      </c>
      <c r="AG447" s="320">
        <f>IFERROR(__xludf.DUMMYFUNCTION("""COMPUTED_VALUE"""),9.0)</f>
        <v>9</v>
      </c>
      <c r="AH447" s="320">
        <f>IFERROR(__xludf.DUMMYFUNCTION("""COMPUTED_VALUE"""),73.96)</f>
        <v>73.96</v>
      </c>
      <c r="AI447" s="320">
        <f>IFERROR(__xludf.DUMMYFUNCTION("""COMPUTED_VALUE"""),31.86)</f>
        <v>31.86</v>
      </c>
      <c r="AJ447" s="320">
        <f>IFERROR(__xludf.DUMMYFUNCTION("""COMPUTED_VALUE"""),8.99)</f>
        <v>8.99</v>
      </c>
      <c r="AK447" s="320">
        <f>IFERROR(__xludf.DUMMYFUNCTION("""COMPUTED_VALUE"""),0.2668)</f>
        <v>0.2668</v>
      </c>
      <c r="AL447" s="320">
        <f>IFERROR(__xludf.DUMMYFUNCTION("""COMPUTED_VALUE"""),20.78)</f>
        <v>20.78</v>
      </c>
      <c r="AM447" s="320">
        <f>IFERROR(__xludf.DUMMYFUNCTION("""COMPUTED_VALUE"""),14.31)</f>
        <v>14.31</v>
      </c>
      <c r="AN447" s="320">
        <f>IFERROR(__xludf.DUMMYFUNCTION("""COMPUTED_VALUE"""),65.5)</f>
        <v>65.5</v>
      </c>
      <c r="AO447" s="320">
        <f>IFERROR(__xludf.DUMMYFUNCTION("""COMPUTED_VALUE"""),13.61)</f>
        <v>13.61</v>
      </c>
    </row>
    <row r="448" ht="15.75" customHeight="1">
      <c r="A448" s="330">
        <f>IFERROR(__xludf.DUMMYFUNCTION("""COMPUTED_VALUE"""),46124.0)</f>
        <v>46124</v>
      </c>
      <c r="B448" s="319" t="str">
        <f>IFERROR(__xludf.DUMMYFUNCTION("""COMPUTED_VALUE"""),"C. 10-19")</f>
        <v>C. 10-19</v>
      </c>
      <c r="C448" s="320">
        <f>IFERROR(__xludf.DUMMYFUNCTION("""COMPUTED_VALUE"""),24628.0)</f>
        <v>24628</v>
      </c>
      <c r="D448" s="320">
        <f>IFERROR(__xludf.DUMMYFUNCTION("""COMPUTED_VALUE"""),24.43)</f>
        <v>24.43</v>
      </c>
      <c r="E448" s="320">
        <f>IFERROR(__xludf.DUMMYFUNCTION("""COMPUTED_VALUE"""),0.0)</f>
        <v>0</v>
      </c>
      <c r="F448" s="320">
        <f>IFERROR(__xludf.DUMMYFUNCTION("""COMPUTED_VALUE"""),0.0)</f>
        <v>0</v>
      </c>
      <c r="G448" s="320">
        <f>IFERROR(__xludf.DUMMYFUNCTION("""COMPUTED_VALUE"""),0.0)</f>
        <v>0</v>
      </c>
      <c r="H448" s="106"/>
      <c r="I448" s="320">
        <f>IFERROR(__xludf.DUMMYFUNCTION("""COMPUTED_VALUE"""),59.53)</f>
        <v>59.53</v>
      </c>
      <c r="J448" s="320">
        <f>IFERROR(__xludf.DUMMYFUNCTION("""COMPUTED_VALUE"""),28.52)</f>
        <v>28.52</v>
      </c>
      <c r="K448" s="320">
        <f>IFERROR(__xludf.DUMMYFUNCTION("""COMPUTED_VALUE"""),14.76)</f>
        <v>14.76</v>
      </c>
      <c r="L448" s="320">
        <f>IFERROR(__xludf.DUMMYFUNCTION("""COMPUTED_VALUE"""),0.5173)</f>
        <v>0.5173</v>
      </c>
      <c r="M448" s="320">
        <f>IFERROR(__xludf.DUMMYFUNCTION("""COMPUTED_VALUE"""),0.6686)</f>
        <v>0.6686</v>
      </c>
      <c r="N448" s="320">
        <f>IFERROR(__xludf.DUMMYFUNCTION("""COMPUTED_VALUE"""),0.4655)</f>
        <v>0.4655</v>
      </c>
      <c r="O448" s="320">
        <f>IFERROR(__xludf.DUMMYFUNCTION("""COMPUTED_VALUE"""),1.9331)</f>
        <v>1.9331</v>
      </c>
      <c r="P448" s="320">
        <f>IFERROR(__xludf.DUMMYFUNCTION("""COMPUTED_VALUE"""),83.49)</f>
        <v>83.49</v>
      </c>
      <c r="Q448" s="320">
        <f>IFERROR(__xludf.DUMMYFUNCTION("""COMPUTED_VALUE"""),53.44)</f>
        <v>53.44</v>
      </c>
      <c r="R448" s="320">
        <f>IFERROR(__xludf.DUMMYFUNCTION("""COMPUTED_VALUE"""),30.05)</f>
        <v>30.05</v>
      </c>
      <c r="S448" s="320">
        <f>IFERROR(__xludf.DUMMYFUNCTION("""COMPUTED_VALUE"""),0.0)</f>
        <v>0</v>
      </c>
      <c r="T448" s="320">
        <f>IFERROR(__xludf.DUMMYFUNCTION("""COMPUTED_VALUE"""),83.49)</f>
        <v>83.49</v>
      </c>
      <c r="U448" s="320">
        <f>IFERROR(__xludf.DUMMYFUNCTION("""COMPUTED_VALUE"""),96.93)</f>
        <v>96.93</v>
      </c>
      <c r="V448" s="320">
        <f>IFERROR(__xludf.DUMMYFUNCTION("""COMPUTED_VALUE"""),3.3981)</f>
        <v>3.3981</v>
      </c>
      <c r="W448" s="320">
        <f>IFERROR(__xludf.DUMMYFUNCTION("""COMPUTED_VALUE"""),0.0)</f>
        <v>0</v>
      </c>
      <c r="X448" s="320">
        <f>IFERROR(__xludf.DUMMYFUNCTION("""COMPUTED_VALUE"""),110.0)</f>
        <v>110</v>
      </c>
      <c r="Y448" s="320">
        <f>IFERROR(__xludf.DUMMYFUNCTION("""COMPUTED_VALUE"""),621.0)</f>
        <v>621</v>
      </c>
      <c r="Z448" s="320">
        <f>IFERROR(__xludf.DUMMYFUNCTION("""COMPUTED_VALUE"""),4914.0)</f>
        <v>4914</v>
      </c>
      <c r="AA448" s="320">
        <f>IFERROR(__xludf.DUMMYFUNCTION("""COMPUTED_VALUE"""),52.2562)</f>
        <v>52.2562</v>
      </c>
      <c r="AB448" s="320">
        <f>IFERROR(__xludf.DUMMYFUNCTION("""COMPUTED_VALUE"""),0.6337)</f>
        <v>0.6337</v>
      </c>
      <c r="AC448" s="320">
        <f>IFERROR(__xludf.DUMMYFUNCTION("""COMPUTED_VALUE"""),9.78)</f>
        <v>9.78</v>
      </c>
      <c r="AD448" s="320">
        <f>IFERROR(__xludf.DUMMYFUNCTION("""COMPUTED_VALUE"""),4.0)</f>
        <v>4</v>
      </c>
      <c r="AE448" s="320">
        <f>IFERROR(__xludf.DUMMYFUNCTION("""COMPUTED_VALUE"""),8.0)</f>
        <v>8</v>
      </c>
      <c r="AF448" s="320">
        <f>IFERROR(__xludf.DUMMYFUNCTION("""COMPUTED_VALUE"""),13.0)</f>
        <v>13</v>
      </c>
      <c r="AG448" s="320">
        <f>IFERROR(__xludf.DUMMYFUNCTION("""COMPUTED_VALUE"""),20.0)</f>
        <v>20</v>
      </c>
      <c r="AH448" s="320">
        <f>IFERROR(__xludf.DUMMYFUNCTION("""COMPUTED_VALUE"""),61.98)</f>
        <v>61.98</v>
      </c>
      <c r="AI448" s="320">
        <f>IFERROR(__xludf.DUMMYFUNCTION("""COMPUTED_VALUE"""),27.2)</f>
        <v>27.2</v>
      </c>
      <c r="AJ448" s="320">
        <f>IFERROR(__xludf.DUMMYFUNCTION("""COMPUTED_VALUE"""),5.29)</f>
        <v>5.29</v>
      </c>
      <c r="AK448" s="320">
        <f>IFERROR(__xludf.DUMMYFUNCTION("""COMPUTED_VALUE"""),0.22)</f>
        <v>0.22</v>
      </c>
      <c r="AL448" s="320">
        <f>IFERROR(__xludf.DUMMYFUNCTION("""COMPUTED_VALUE"""),21.68)</f>
        <v>21.68</v>
      </c>
      <c r="AM448" s="320">
        <f>IFERROR(__xludf.DUMMYFUNCTION("""COMPUTED_VALUE"""),31.75)</f>
        <v>31.75</v>
      </c>
      <c r="AN448" s="320">
        <f>IFERROR(__xludf.DUMMYFUNCTION("""COMPUTED_VALUE"""),73.83)</f>
        <v>73.83</v>
      </c>
      <c r="AO448" s="320">
        <f>IFERROR(__xludf.DUMMYFUNCTION("""COMPUTED_VALUE"""),16.01)</f>
        <v>16.01</v>
      </c>
    </row>
    <row r="449" ht="15.75" customHeight="1">
      <c r="A449" s="330">
        <f>IFERROR(__xludf.DUMMYFUNCTION("""COMPUTED_VALUE"""),46124.0)</f>
        <v>46124</v>
      </c>
      <c r="B449" s="319" t="str">
        <f>IFERROR(__xludf.DUMMYFUNCTION("""COMPUTED_VALUE"""),"D. 20-39")</f>
        <v>D. 20-39</v>
      </c>
      <c r="C449" s="320">
        <f>IFERROR(__xludf.DUMMYFUNCTION("""COMPUTED_VALUE"""),13561.0)</f>
        <v>13561</v>
      </c>
      <c r="D449" s="320">
        <f>IFERROR(__xludf.DUMMYFUNCTION("""COMPUTED_VALUE"""),13.45)</f>
        <v>13.45</v>
      </c>
      <c r="E449" s="320">
        <f>IFERROR(__xludf.DUMMYFUNCTION("""COMPUTED_VALUE"""),0.0)</f>
        <v>0</v>
      </c>
      <c r="F449" s="320">
        <f>IFERROR(__xludf.DUMMYFUNCTION("""COMPUTED_VALUE"""),0.0)</f>
        <v>0</v>
      </c>
      <c r="G449" s="320">
        <f>IFERROR(__xludf.DUMMYFUNCTION("""COMPUTED_VALUE"""),0.0)</f>
        <v>0</v>
      </c>
      <c r="H449" s="106"/>
      <c r="I449" s="320">
        <f>IFERROR(__xludf.DUMMYFUNCTION("""COMPUTED_VALUE"""),88.31)</f>
        <v>88.31</v>
      </c>
      <c r="J449" s="320">
        <f>IFERROR(__xludf.DUMMYFUNCTION("""COMPUTED_VALUE"""),44.79)</f>
        <v>44.79</v>
      </c>
      <c r="K449" s="320">
        <f>IFERROR(__xludf.DUMMYFUNCTION("""COMPUTED_VALUE"""),28.8)</f>
        <v>28.8</v>
      </c>
      <c r="L449" s="320">
        <f>IFERROR(__xludf.DUMMYFUNCTION("""COMPUTED_VALUE"""),0.643)</f>
        <v>0.643</v>
      </c>
      <c r="M449" s="320">
        <f>IFERROR(__xludf.DUMMYFUNCTION("""COMPUTED_VALUE"""),0.5438)</f>
        <v>0.5438</v>
      </c>
      <c r="N449" s="320">
        <f>IFERROR(__xludf.DUMMYFUNCTION("""COMPUTED_VALUE"""),0.3734)</f>
        <v>0.3734</v>
      </c>
      <c r="O449" s="320">
        <f>IFERROR(__xludf.DUMMYFUNCTION("""COMPUTED_VALUE"""),1.5552)</f>
        <v>1.5552</v>
      </c>
      <c r="P449" s="320">
        <f>IFERROR(__xludf.DUMMYFUNCTION("""COMPUTED_VALUE"""),139.28)</f>
        <v>139.28</v>
      </c>
      <c r="Q449" s="320">
        <f>IFERROR(__xludf.DUMMYFUNCTION("""COMPUTED_VALUE"""),81.03)</f>
        <v>81.03</v>
      </c>
      <c r="R449" s="320">
        <f>IFERROR(__xludf.DUMMYFUNCTION("""COMPUTED_VALUE"""),58.24)</f>
        <v>58.24</v>
      </c>
      <c r="S449" s="320">
        <f>IFERROR(__xludf.DUMMYFUNCTION("""COMPUTED_VALUE"""),0.16)</f>
        <v>0.16</v>
      </c>
      <c r="T449" s="320">
        <f>IFERROR(__xludf.DUMMYFUNCTION("""COMPUTED_VALUE"""),139.11)</f>
        <v>139.11</v>
      </c>
      <c r="U449" s="320">
        <f>IFERROR(__xludf.DUMMYFUNCTION("""COMPUTED_VALUE"""),170.39)</f>
        <v>170.39</v>
      </c>
      <c r="V449" s="320">
        <f>IFERROR(__xludf.DUMMYFUNCTION("""COMPUTED_VALUE"""),3.8046)</f>
        <v>3.8046</v>
      </c>
      <c r="W449" s="320">
        <f>IFERROR(__xludf.DUMMYFUNCTION("""COMPUTED_VALUE"""),0.12)</f>
        <v>0.12</v>
      </c>
      <c r="X449" s="320">
        <f>IFERROR(__xludf.DUMMYFUNCTION("""COMPUTED_VALUE"""),131.0)</f>
        <v>131</v>
      </c>
      <c r="Y449" s="320">
        <f>IFERROR(__xludf.DUMMYFUNCTION("""COMPUTED_VALUE"""),1026.0)</f>
        <v>1026</v>
      </c>
      <c r="Z449" s="320">
        <f>IFERROR(__xludf.DUMMYFUNCTION("""COMPUTED_VALUE"""),6311.0)</f>
        <v>6311</v>
      </c>
      <c r="AA449" s="320">
        <f>IFERROR(__xludf.DUMMYFUNCTION("""COMPUTED_VALUE"""),55.6829)</f>
        <v>55.6829</v>
      </c>
      <c r="AB449" s="320">
        <f>IFERROR(__xludf.DUMMYFUNCTION("""COMPUTED_VALUE"""),0.7387)</f>
        <v>0.7387</v>
      </c>
      <c r="AC449" s="320">
        <f>IFERROR(__xludf.DUMMYFUNCTION("""COMPUTED_VALUE"""),18.65)</f>
        <v>18.65</v>
      </c>
      <c r="AD449" s="320">
        <f>IFERROR(__xludf.DUMMYFUNCTION("""COMPUTED_VALUE"""),8.0)</f>
        <v>8</v>
      </c>
      <c r="AE449" s="320">
        <f>IFERROR(__xludf.DUMMYFUNCTION("""COMPUTED_VALUE"""),14.0)</f>
        <v>14</v>
      </c>
      <c r="AF449" s="320">
        <f>IFERROR(__xludf.DUMMYFUNCTION("""COMPUTED_VALUE"""),25.0)</f>
        <v>25</v>
      </c>
      <c r="AG449" s="320">
        <f>IFERROR(__xludf.DUMMYFUNCTION("""COMPUTED_VALUE"""),39.0)</f>
        <v>39</v>
      </c>
      <c r="AH449" s="320">
        <f>IFERROR(__xludf.DUMMYFUNCTION("""COMPUTED_VALUE"""),60.57)</f>
        <v>60.57</v>
      </c>
      <c r="AI449" s="320">
        <f>IFERROR(__xludf.DUMMYFUNCTION("""COMPUTED_VALUE"""),24.67)</f>
        <v>24.67</v>
      </c>
      <c r="AJ449" s="320">
        <f>IFERROR(__xludf.DUMMYFUNCTION("""COMPUTED_VALUE"""),8.74)</f>
        <v>8.74</v>
      </c>
      <c r="AK449" s="320">
        <f>IFERROR(__xludf.DUMMYFUNCTION("""COMPUTED_VALUE"""),0.1997)</f>
        <v>0.1997</v>
      </c>
      <c r="AL449" s="320">
        <f>IFERROR(__xludf.DUMMYFUNCTION("""COMPUTED_VALUE"""),21.36)</f>
        <v>21.36</v>
      </c>
      <c r="AM449" s="320">
        <f>IFERROR(__xludf.DUMMYFUNCTION("""COMPUTED_VALUE"""),59.68)</f>
        <v>59.68</v>
      </c>
      <c r="AN449" s="320">
        <f>IFERROR(__xludf.DUMMYFUNCTION("""COMPUTED_VALUE"""),77.54)</f>
        <v>77.54</v>
      </c>
      <c r="AO449" s="320">
        <f>IFERROR(__xludf.DUMMYFUNCTION("""COMPUTED_VALUE"""),16.56)</f>
        <v>16.56</v>
      </c>
    </row>
    <row r="450" ht="15.75" customHeight="1">
      <c r="A450" s="330">
        <f>IFERROR(__xludf.DUMMYFUNCTION("""COMPUTED_VALUE"""),46124.0)</f>
        <v>46124</v>
      </c>
      <c r="B450" s="319" t="str">
        <f>IFERROR(__xludf.DUMMYFUNCTION("""COMPUTED_VALUE"""),"E. 40-99")</f>
        <v>E. 40-99</v>
      </c>
      <c r="C450" s="320">
        <f>IFERROR(__xludf.DUMMYFUNCTION("""COMPUTED_VALUE"""),5339.0)</f>
        <v>5339</v>
      </c>
      <c r="D450" s="320">
        <f>IFERROR(__xludf.DUMMYFUNCTION("""COMPUTED_VALUE"""),5.3)</f>
        <v>5.3</v>
      </c>
      <c r="E450" s="320">
        <f>IFERROR(__xludf.DUMMYFUNCTION("""COMPUTED_VALUE"""),0.0)</f>
        <v>0</v>
      </c>
      <c r="F450" s="320">
        <f>IFERROR(__xludf.DUMMYFUNCTION("""COMPUTED_VALUE"""),0.0)</f>
        <v>0</v>
      </c>
      <c r="G450" s="320">
        <f>IFERROR(__xludf.DUMMYFUNCTION("""COMPUTED_VALUE"""),0.0)</f>
        <v>0</v>
      </c>
      <c r="H450" s="106"/>
      <c r="I450" s="320">
        <f>IFERROR(__xludf.DUMMYFUNCTION("""COMPUTED_VALUE"""),132.52)</f>
        <v>132.52</v>
      </c>
      <c r="J450" s="320">
        <f>IFERROR(__xludf.DUMMYFUNCTION("""COMPUTED_VALUE"""),72.33)</f>
        <v>72.33</v>
      </c>
      <c r="K450" s="320">
        <f>IFERROR(__xludf.DUMMYFUNCTION("""COMPUTED_VALUE"""),56.19)</f>
        <v>56.19</v>
      </c>
      <c r="L450" s="320">
        <f>IFERROR(__xludf.DUMMYFUNCTION("""COMPUTED_VALUE"""),0.7769)</f>
        <v>0.7769</v>
      </c>
      <c r="M450" s="320">
        <f>IFERROR(__xludf.DUMMYFUNCTION("""COMPUTED_VALUE"""),0.4016)</f>
        <v>0.4016</v>
      </c>
      <c r="N450" s="320">
        <f>IFERROR(__xludf.DUMMYFUNCTION("""COMPUTED_VALUE"""),0.2845)</f>
        <v>0.2845</v>
      </c>
      <c r="O450" s="320">
        <f>IFERROR(__xludf.DUMMYFUNCTION("""COMPUTED_VALUE"""),1.2872)</f>
        <v>1.2872</v>
      </c>
      <c r="P450" s="320">
        <f>IFERROR(__xludf.DUMMYFUNCTION("""COMPUTED_VALUE"""),251.25)</f>
        <v>251.25</v>
      </c>
      <c r="Q450" s="320">
        <f>IFERROR(__xludf.DUMMYFUNCTION("""COMPUTED_VALUE"""),136.89)</f>
        <v>136.89</v>
      </c>
      <c r="R450" s="320">
        <f>IFERROR(__xludf.DUMMYFUNCTION("""COMPUTED_VALUE"""),114.36)</f>
        <v>114.36</v>
      </c>
      <c r="S450" s="320">
        <f>IFERROR(__xludf.DUMMYFUNCTION("""COMPUTED_VALUE"""),0.0)</f>
        <v>0</v>
      </c>
      <c r="T450" s="320">
        <f>IFERROR(__xludf.DUMMYFUNCTION("""COMPUTED_VALUE"""),251.25)</f>
        <v>251.25</v>
      </c>
      <c r="U450" s="320">
        <f>IFERROR(__xludf.DUMMYFUNCTION("""COMPUTED_VALUE"""),306.46)</f>
        <v>306.46</v>
      </c>
      <c r="V450" s="320">
        <f>IFERROR(__xludf.DUMMYFUNCTION("""COMPUTED_VALUE"""),4.2371)</f>
        <v>4.2371</v>
      </c>
      <c r="W450" s="320">
        <f>IFERROR(__xludf.DUMMYFUNCTION("""COMPUTED_VALUE"""),0.0)</f>
        <v>0</v>
      </c>
      <c r="X450" s="320">
        <f>IFERROR(__xludf.DUMMYFUNCTION("""COMPUTED_VALUE"""),260.0)</f>
        <v>260</v>
      </c>
      <c r="Y450" s="320">
        <f>IFERROR(__xludf.DUMMYFUNCTION("""COMPUTED_VALUE"""),2211.0)</f>
        <v>2211</v>
      </c>
      <c r="Z450" s="320">
        <f>IFERROR(__xludf.DUMMYFUNCTION("""COMPUTED_VALUE"""),9518.0)</f>
        <v>9518</v>
      </c>
      <c r="AA450" s="320">
        <f>IFERROR(__xludf.DUMMYFUNCTION("""COMPUTED_VALUE"""),59.5866)</f>
        <v>59.5866</v>
      </c>
      <c r="AB450" s="320">
        <f>IFERROR(__xludf.DUMMYFUNCTION("""COMPUTED_VALUE"""),0.8361)</f>
        <v>0.8361</v>
      </c>
      <c r="AC450" s="320">
        <f>IFERROR(__xludf.DUMMYFUNCTION("""COMPUTED_VALUE"""),37.61)</f>
        <v>37.61</v>
      </c>
      <c r="AD450" s="320">
        <f>IFERROR(__xludf.DUMMYFUNCTION("""COMPUTED_VALUE"""),14.0)</f>
        <v>14</v>
      </c>
      <c r="AE450" s="320">
        <f>IFERROR(__xludf.DUMMYFUNCTION("""COMPUTED_VALUE"""),29.0)</f>
        <v>29</v>
      </c>
      <c r="AF450" s="320">
        <f>IFERROR(__xludf.DUMMYFUNCTION("""COMPUTED_VALUE"""),52.0)</f>
        <v>52</v>
      </c>
      <c r="AG450" s="320">
        <f>IFERROR(__xludf.DUMMYFUNCTION("""COMPUTED_VALUE"""),81.0)</f>
        <v>81</v>
      </c>
      <c r="AH450" s="320">
        <f>IFERROR(__xludf.DUMMYFUNCTION("""COMPUTED_VALUE"""),51.75)</f>
        <v>51.75</v>
      </c>
      <c r="AI450" s="320">
        <f>IFERROR(__xludf.DUMMYFUNCTION("""COMPUTED_VALUE"""),19.76)</f>
        <v>19.76</v>
      </c>
      <c r="AJ450" s="320">
        <f>IFERROR(__xludf.DUMMYFUNCTION("""COMPUTED_VALUE"""),4.78)</f>
        <v>4.78</v>
      </c>
      <c r="AK450" s="320">
        <f>IFERROR(__xludf.DUMMYFUNCTION("""COMPUTED_VALUE"""),0.1497)</f>
        <v>0.1497</v>
      </c>
      <c r="AL450" s="320">
        <f>IFERROR(__xludf.DUMMYFUNCTION("""COMPUTED_VALUE"""),22.4)</f>
        <v>22.4</v>
      </c>
      <c r="AM450" s="320">
        <f>IFERROR(__xludf.DUMMYFUNCTION("""COMPUTED_VALUE"""),114.49)</f>
        <v>114.49</v>
      </c>
      <c r="AN450" s="320">
        <f>IFERROR(__xludf.DUMMYFUNCTION("""COMPUTED_VALUE"""),81.72)</f>
        <v>81.72</v>
      </c>
      <c r="AO450" s="320">
        <f>IFERROR(__xludf.DUMMYFUNCTION("""COMPUTED_VALUE"""),18.31)</f>
        <v>18.31</v>
      </c>
    </row>
    <row r="451" ht="15.75" customHeight="1">
      <c r="A451" s="330">
        <f>IFERROR(__xludf.DUMMYFUNCTION("""COMPUTED_VALUE"""),46124.0)</f>
        <v>46124</v>
      </c>
      <c r="B451" s="319" t="str">
        <f>IFERROR(__xludf.DUMMYFUNCTION("""COMPUTED_VALUE"""),"F. 100+")</f>
        <v>F. 100+</v>
      </c>
      <c r="C451" s="320">
        <f>IFERROR(__xludf.DUMMYFUNCTION("""COMPUTED_VALUE"""),624.0)</f>
        <v>624</v>
      </c>
      <c r="D451" s="320">
        <f>IFERROR(__xludf.DUMMYFUNCTION("""COMPUTED_VALUE"""),0.62)</f>
        <v>0.62</v>
      </c>
      <c r="E451" s="320">
        <f>IFERROR(__xludf.DUMMYFUNCTION("""COMPUTED_VALUE"""),0.0)</f>
        <v>0</v>
      </c>
      <c r="F451" s="320">
        <f>IFERROR(__xludf.DUMMYFUNCTION("""COMPUTED_VALUE"""),0.0)</f>
        <v>0</v>
      </c>
      <c r="G451" s="320">
        <f>IFERROR(__xludf.DUMMYFUNCTION("""COMPUTED_VALUE"""),0.0)</f>
        <v>0</v>
      </c>
      <c r="H451" s="106"/>
      <c r="I451" s="320">
        <f>IFERROR(__xludf.DUMMYFUNCTION("""COMPUTED_VALUE"""),251.04)</f>
        <v>251.04</v>
      </c>
      <c r="J451" s="320">
        <f>IFERROR(__xludf.DUMMYFUNCTION("""COMPUTED_VALUE"""),144.23)</f>
        <v>144.23</v>
      </c>
      <c r="K451" s="320">
        <f>IFERROR(__xludf.DUMMYFUNCTION("""COMPUTED_VALUE"""),126.27)</f>
        <v>126.27</v>
      </c>
      <c r="L451" s="320">
        <f>IFERROR(__xludf.DUMMYFUNCTION("""COMPUTED_VALUE"""),0.8754)</f>
        <v>0.8754</v>
      </c>
      <c r="M451" s="320">
        <f>IFERROR(__xludf.DUMMYFUNCTION("""COMPUTED_VALUE"""),0.2835)</f>
        <v>0.2835</v>
      </c>
      <c r="N451" s="320">
        <f>IFERROR(__xludf.DUMMYFUNCTION("""COMPUTED_VALUE"""),0.2149)</f>
        <v>0.2149</v>
      </c>
      <c r="O451" s="320">
        <f>IFERROR(__xludf.DUMMYFUNCTION("""COMPUTED_VALUE"""),1.1423)</f>
        <v>1.1423</v>
      </c>
      <c r="P451" s="320">
        <f>IFERROR(__xludf.DUMMYFUNCTION("""COMPUTED_VALUE"""),525.67)</f>
        <v>525.67</v>
      </c>
      <c r="Q451" s="320">
        <f>IFERROR(__xludf.DUMMYFUNCTION("""COMPUTED_VALUE"""),264.54)</f>
        <v>264.54</v>
      </c>
      <c r="R451" s="320">
        <f>IFERROR(__xludf.DUMMYFUNCTION("""COMPUTED_VALUE"""),261.13)</f>
        <v>261.13</v>
      </c>
      <c r="S451" s="320">
        <f>IFERROR(__xludf.DUMMYFUNCTION("""COMPUTED_VALUE"""),0.0)</f>
        <v>0</v>
      </c>
      <c r="T451" s="320">
        <f>IFERROR(__xludf.DUMMYFUNCTION("""COMPUTED_VALUE"""),525.67)</f>
        <v>525.67</v>
      </c>
      <c r="U451" s="320">
        <f>IFERROR(__xludf.DUMMYFUNCTION("""COMPUTED_VALUE"""),805.77)</f>
        <v>805.77</v>
      </c>
      <c r="V451" s="320">
        <f>IFERROR(__xludf.DUMMYFUNCTION("""COMPUTED_VALUE"""),5.5866)</f>
        <v>5.5866</v>
      </c>
      <c r="W451" s="320">
        <f>IFERROR(__xludf.DUMMYFUNCTION("""COMPUTED_VALUE"""),0.0)</f>
        <v>0</v>
      </c>
      <c r="X451" s="320">
        <f>IFERROR(__xludf.DUMMYFUNCTION("""COMPUTED_VALUE"""),878.0)</f>
        <v>878</v>
      </c>
      <c r="Y451" s="320">
        <f>IFERROR(__xludf.DUMMYFUNCTION("""COMPUTED_VALUE"""),4763.0)</f>
        <v>4763</v>
      </c>
      <c r="Z451" s="320">
        <f>IFERROR(__xludf.DUMMYFUNCTION("""COMPUTED_VALUE"""),13610.0)</f>
        <v>13610</v>
      </c>
      <c r="AA451" s="320">
        <f>IFERROR(__xludf.DUMMYFUNCTION("""COMPUTED_VALUE"""),63.5362)</f>
        <v>63.5362</v>
      </c>
      <c r="AB451" s="320">
        <f>IFERROR(__xludf.DUMMYFUNCTION("""COMPUTED_VALUE"""),0.9037)</f>
        <v>0.9037</v>
      </c>
      <c r="AC451" s="320">
        <f>IFERROR(__xludf.DUMMYFUNCTION("""COMPUTED_VALUE"""),87.93)</f>
        <v>87.93</v>
      </c>
      <c r="AD451" s="320">
        <f>IFERROR(__xludf.DUMMYFUNCTION("""COMPUTED_VALUE"""),36.0)</f>
        <v>36</v>
      </c>
      <c r="AE451" s="320">
        <f>IFERROR(__xludf.DUMMYFUNCTION("""COMPUTED_VALUE"""),69.0)</f>
        <v>69</v>
      </c>
      <c r="AF451" s="320">
        <f>IFERROR(__xludf.DUMMYFUNCTION("""COMPUTED_VALUE"""),121.0)</f>
        <v>121</v>
      </c>
      <c r="AG451" s="320">
        <f>IFERROR(__xludf.DUMMYFUNCTION("""COMPUTED_VALUE"""),185.0)</f>
        <v>185</v>
      </c>
      <c r="AH451" s="320">
        <f>IFERROR(__xludf.DUMMYFUNCTION("""COMPUTED_VALUE"""),44.07)</f>
        <v>44.07</v>
      </c>
      <c r="AI451" s="320">
        <f>IFERROR(__xludf.DUMMYFUNCTION("""COMPUTED_VALUE"""),11.22)</f>
        <v>11.22</v>
      </c>
      <c r="AJ451" s="320">
        <f>IFERROR(__xludf.DUMMYFUNCTION("""COMPUTED_VALUE"""),2.56)</f>
        <v>2.56</v>
      </c>
      <c r="AK451" s="320">
        <f>IFERROR(__xludf.DUMMYFUNCTION("""COMPUTED_VALUE"""),0.0978)</f>
        <v>0.0978</v>
      </c>
      <c r="AL451" s="320">
        <f>IFERROR(__xludf.DUMMYFUNCTION("""COMPUTED_VALUE"""),22.11)</f>
        <v>22.11</v>
      </c>
      <c r="AM451" s="320">
        <f>IFERROR(__xludf.DUMMYFUNCTION("""COMPUTED_VALUE"""),242.44)</f>
        <v>242.44</v>
      </c>
      <c r="AN451" s="320">
        <f>IFERROR(__xludf.DUMMYFUNCTION("""COMPUTED_VALUE"""),84.13)</f>
        <v>84.13</v>
      </c>
      <c r="AO451" s="320">
        <f>IFERROR(__xludf.DUMMYFUNCTION("""COMPUTED_VALUE"""),18.6)</f>
        <v>18.6</v>
      </c>
    </row>
    <row r="452" ht="15.75" customHeight="1">
      <c r="A452" s="330">
        <f>IFERROR(__xludf.DUMMYFUNCTION("""COMPUTED_VALUE"""),46125.0)</f>
        <v>46125</v>
      </c>
      <c r="B452" s="319" t="str">
        <f>IFERROR(__xludf.DUMMYFUNCTION("""COMPUTED_VALUE"""),"A. 0")</f>
        <v>A. 0</v>
      </c>
      <c r="C452" s="320">
        <f>IFERROR(__xludf.DUMMYFUNCTION("""COMPUTED_VALUE"""),19181.0)</f>
        <v>19181</v>
      </c>
      <c r="D452" s="320">
        <f>IFERROR(__xludf.DUMMYFUNCTION("""COMPUTED_VALUE"""),17.96)</f>
        <v>17.96</v>
      </c>
      <c r="E452" s="320">
        <f>IFERROR(__xludf.DUMMYFUNCTION("""COMPUTED_VALUE"""),0.0)</f>
        <v>0</v>
      </c>
      <c r="F452" s="320">
        <f>IFERROR(__xludf.DUMMYFUNCTION("""COMPUTED_VALUE"""),0.0)</f>
        <v>0</v>
      </c>
      <c r="G452" s="320">
        <f>IFERROR(__xludf.DUMMYFUNCTION("""COMPUTED_VALUE"""),0.0)</f>
        <v>0</v>
      </c>
      <c r="H452" s="106"/>
      <c r="I452" s="320">
        <f>IFERROR(__xludf.DUMMYFUNCTION("""COMPUTED_VALUE"""),5.59)</f>
        <v>5.59</v>
      </c>
      <c r="J452" s="320">
        <f>IFERROR(__xludf.DUMMYFUNCTION("""COMPUTED_VALUE"""),2.21)</f>
        <v>2.21</v>
      </c>
      <c r="K452" s="320">
        <f>IFERROR(__xludf.DUMMYFUNCTION("""COMPUTED_VALUE"""),0.07)</f>
        <v>0.07</v>
      </c>
      <c r="L452" s="320">
        <f>IFERROR(__xludf.DUMMYFUNCTION("""COMPUTED_VALUE"""),0.033)</f>
        <v>0.033</v>
      </c>
      <c r="M452" s="320">
        <f>IFERROR(__xludf.DUMMYFUNCTION("""COMPUTED_VALUE"""),0.9745)</f>
        <v>0.9745</v>
      </c>
      <c r="N452" s="320">
        <f>IFERROR(__xludf.DUMMYFUNCTION("""COMPUTED_VALUE"""),0.7582)</f>
        <v>0.7582</v>
      </c>
      <c r="O452" s="320">
        <f>IFERROR(__xludf.DUMMYFUNCTION("""COMPUTED_VALUE"""),30.3307)</f>
        <v>30.3307</v>
      </c>
      <c r="P452" s="320">
        <f>IFERROR(__xludf.DUMMYFUNCTION("""COMPUTED_VALUE"""),35.48)</f>
        <v>35.48</v>
      </c>
      <c r="Q452" s="320">
        <f>IFERROR(__xludf.DUMMYFUNCTION("""COMPUTED_VALUE"""),35.34)</f>
        <v>35.34</v>
      </c>
      <c r="R452" s="320">
        <f>IFERROR(__xludf.DUMMYFUNCTION("""COMPUTED_VALUE"""),0.14)</f>
        <v>0.14</v>
      </c>
      <c r="S452" s="320">
        <f>IFERROR(__xludf.DUMMYFUNCTION("""COMPUTED_VALUE"""),0.0)</f>
        <v>0</v>
      </c>
      <c r="T452" s="320">
        <f>IFERROR(__xludf.DUMMYFUNCTION("""COMPUTED_VALUE"""),35.48)</f>
        <v>35.48</v>
      </c>
      <c r="U452" s="320">
        <f>IFERROR(__xludf.DUMMYFUNCTION("""COMPUTED_VALUE"""),1.89)</f>
        <v>1.89</v>
      </c>
      <c r="V452" s="320">
        <f>IFERROR(__xludf.DUMMYFUNCTION("""COMPUTED_VALUE"""),0.8537)</f>
        <v>0.8537</v>
      </c>
      <c r="W452" s="320">
        <f>IFERROR(__xludf.DUMMYFUNCTION("""COMPUTED_VALUE"""),0.0)</f>
        <v>0</v>
      </c>
      <c r="X452" s="320">
        <f>IFERROR(__xludf.DUMMYFUNCTION("""COMPUTED_VALUE"""),456.0)</f>
        <v>456</v>
      </c>
      <c r="Y452" s="320">
        <f>IFERROR(__xludf.DUMMYFUNCTION("""COMPUTED_VALUE"""),4520.0)</f>
        <v>4520</v>
      </c>
      <c r="Z452" s="320">
        <f>IFERROR(__xludf.DUMMYFUNCTION("""COMPUTED_VALUE"""),16163.0)</f>
        <v>16163</v>
      </c>
      <c r="AA452" s="320">
        <f>IFERROR(__xludf.DUMMYFUNCTION("""COMPUTED_VALUE"""),49.5916)</f>
        <v>49.5916</v>
      </c>
      <c r="AB452" s="320">
        <f>IFERROR(__xludf.DUMMYFUNCTION("""COMPUTED_VALUE"""),0.5555)</f>
        <v>0.5555</v>
      </c>
      <c r="AC452" s="106"/>
      <c r="AD452" s="106"/>
      <c r="AE452" s="106"/>
      <c r="AF452" s="106"/>
      <c r="AG452" s="106"/>
      <c r="AH452" s="320">
        <f>IFERROR(__xludf.DUMMYFUNCTION("""COMPUTED_VALUE"""),0.0)</f>
        <v>0</v>
      </c>
      <c r="AI452" s="320">
        <f>IFERROR(__xludf.DUMMYFUNCTION("""COMPUTED_VALUE"""),0.0)</f>
        <v>0</v>
      </c>
      <c r="AJ452" s="320">
        <f>IFERROR(__xludf.DUMMYFUNCTION("""COMPUTED_VALUE"""),0.0)</f>
        <v>0</v>
      </c>
      <c r="AK452" s="320">
        <f>IFERROR(__xludf.DUMMYFUNCTION("""COMPUTED_VALUE"""),0.2777)</f>
        <v>0.2777</v>
      </c>
      <c r="AL452" s="320">
        <f>IFERROR(__xludf.DUMMYFUNCTION("""COMPUTED_VALUE"""),17.29)</f>
        <v>17.29</v>
      </c>
      <c r="AM452" s="320">
        <f>IFERROR(__xludf.DUMMYFUNCTION("""COMPUTED_VALUE"""),18.05)</f>
        <v>18.05</v>
      </c>
      <c r="AN452" s="331"/>
      <c r="AO452" s="331"/>
    </row>
    <row r="453" ht="15.75" customHeight="1">
      <c r="A453" s="330">
        <f>IFERROR(__xludf.DUMMYFUNCTION("""COMPUTED_VALUE"""),46125.0)</f>
        <v>46125</v>
      </c>
      <c r="B453" s="319" t="str">
        <f>IFERROR(__xludf.DUMMYFUNCTION("""COMPUTED_VALUE"""),"B. 1-9")</f>
        <v>B. 1-9</v>
      </c>
      <c r="C453" s="320">
        <f>IFERROR(__xludf.DUMMYFUNCTION("""COMPUTED_VALUE"""),38346.0)</f>
        <v>38346</v>
      </c>
      <c r="D453" s="320">
        <f>IFERROR(__xludf.DUMMYFUNCTION("""COMPUTED_VALUE"""),35.91)</f>
        <v>35.91</v>
      </c>
      <c r="E453" s="320">
        <f>IFERROR(__xludf.DUMMYFUNCTION("""COMPUTED_VALUE"""),0.0)</f>
        <v>0</v>
      </c>
      <c r="F453" s="320">
        <f>IFERROR(__xludf.DUMMYFUNCTION("""COMPUTED_VALUE"""),0.0)</f>
        <v>0</v>
      </c>
      <c r="G453" s="320">
        <f>IFERROR(__xludf.DUMMYFUNCTION("""COMPUTED_VALUE"""),0.0)</f>
        <v>0</v>
      </c>
      <c r="H453" s="106"/>
      <c r="I453" s="320">
        <f>IFERROR(__xludf.DUMMYFUNCTION("""COMPUTED_VALUE"""),31.62)</f>
        <v>31.62</v>
      </c>
      <c r="J453" s="320">
        <f>IFERROR(__xludf.DUMMYFUNCTION("""COMPUTED_VALUE"""),14.35)</f>
        <v>14.35</v>
      </c>
      <c r="K453" s="320">
        <f>IFERROR(__xludf.DUMMYFUNCTION("""COMPUTED_VALUE"""),5.87)</f>
        <v>5.87</v>
      </c>
      <c r="L453" s="320">
        <f>IFERROR(__xludf.DUMMYFUNCTION("""COMPUTED_VALUE"""),0.4095)</f>
        <v>0.4095</v>
      </c>
      <c r="M453" s="320">
        <f>IFERROR(__xludf.DUMMYFUNCTION("""COMPUTED_VALUE"""),0.7624)</f>
        <v>0.7624</v>
      </c>
      <c r="N453" s="320">
        <f>IFERROR(__xludf.DUMMYFUNCTION("""COMPUTED_VALUE"""),0.5643)</f>
        <v>0.5643</v>
      </c>
      <c r="O453" s="320">
        <f>IFERROR(__xludf.DUMMYFUNCTION("""COMPUTED_VALUE"""),2.4419)</f>
        <v>2.4419</v>
      </c>
      <c r="P453" s="320">
        <f>IFERROR(__xludf.DUMMYFUNCTION("""COMPUTED_VALUE"""),74.69)</f>
        <v>74.69</v>
      </c>
      <c r="Q453" s="320">
        <f>IFERROR(__xludf.DUMMYFUNCTION("""COMPUTED_VALUE"""),63.07)</f>
        <v>63.07</v>
      </c>
      <c r="R453" s="320">
        <f>IFERROR(__xludf.DUMMYFUNCTION("""COMPUTED_VALUE"""),11.62)</f>
        <v>11.62</v>
      </c>
      <c r="S453" s="320">
        <f>IFERROR(__xludf.DUMMYFUNCTION("""COMPUTED_VALUE"""),0.0)</f>
        <v>0</v>
      </c>
      <c r="T453" s="320">
        <f>IFERROR(__xludf.DUMMYFUNCTION("""COMPUTED_VALUE"""),74.69)</f>
        <v>74.69</v>
      </c>
      <c r="U453" s="320">
        <f>IFERROR(__xludf.DUMMYFUNCTION("""COMPUTED_VALUE"""),59.39)</f>
        <v>59.39</v>
      </c>
      <c r="V453" s="320">
        <f>IFERROR(__xludf.DUMMYFUNCTION("""COMPUTED_VALUE"""),4.1397)</f>
        <v>4.1397</v>
      </c>
      <c r="W453" s="320">
        <f>IFERROR(__xludf.DUMMYFUNCTION("""COMPUTED_VALUE"""),0.0)</f>
        <v>0</v>
      </c>
      <c r="X453" s="320">
        <f>IFERROR(__xludf.DUMMYFUNCTION("""COMPUTED_VALUE"""),156.0)</f>
        <v>156</v>
      </c>
      <c r="Y453" s="320">
        <f>IFERROR(__xludf.DUMMYFUNCTION("""COMPUTED_VALUE"""),865.0)</f>
        <v>865</v>
      </c>
      <c r="Z453" s="320">
        <f>IFERROR(__xludf.DUMMYFUNCTION("""COMPUTED_VALUE"""),5731.0)</f>
        <v>5731</v>
      </c>
      <c r="AA453" s="320">
        <f>IFERROR(__xludf.DUMMYFUNCTION("""COMPUTED_VALUE"""),48.8119)</f>
        <v>48.8119</v>
      </c>
      <c r="AB453" s="320">
        <f>IFERROR(__xludf.DUMMYFUNCTION("""COMPUTED_VALUE"""),0.5298)</f>
        <v>0.5298</v>
      </c>
      <c r="AC453" s="320">
        <f>IFERROR(__xludf.DUMMYFUNCTION("""COMPUTED_VALUE"""),4.1)</f>
        <v>4.1</v>
      </c>
      <c r="AD453" s="320">
        <f>IFERROR(__xludf.DUMMYFUNCTION("""COMPUTED_VALUE"""),1.0)</f>
        <v>1</v>
      </c>
      <c r="AE453" s="320">
        <f>IFERROR(__xludf.DUMMYFUNCTION("""COMPUTED_VALUE"""),3.0)</f>
        <v>3</v>
      </c>
      <c r="AF453" s="320">
        <f>IFERROR(__xludf.DUMMYFUNCTION("""COMPUTED_VALUE"""),5.0)</f>
        <v>5</v>
      </c>
      <c r="AG453" s="320">
        <f>IFERROR(__xludf.DUMMYFUNCTION("""COMPUTED_VALUE"""),9.0)</f>
        <v>9</v>
      </c>
      <c r="AH453" s="320">
        <f>IFERROR(__xludf.DUMMYFUNCTION("""COMPUTED_VALUE"""),74.48)</f>
        <v>74.48</v>
      </c>
      <c r="AI453" s="320">
        <f>IFERROR(__xludf.DUMMYFUNCTION("""COMPUTED_VALUE"""),31.94)</f>
        <v>31.94</v>
      </c>
      <c r="AJ453" s="320">
        <f>IFERROR(__xludf.DUMMYFUNCTION("""COMPUTED_VALUE"""),8.7)</f>
        <v>8.7</v>
      </c>
      <c r="AK453" s="320">
        <f>IFERROR(__xludf.DUMMYFUNCTION("""COMPUTED_VALUE"""),0.2363)</f>
        <v>0.2363</v>
      </c>
      <c r="AL453" s="320">
        <f>IFERROR(__xludf.DUMMYFUNCTION("""COMPUTED_VALUE"""),18.42)</f>
        <v>18.42</v>
      </c>
      <c r="AM453" s="320">
        <f>IFERROR(__xludf.DUMMYFUNCTION("""COMPUTED_VALUE"""),44.65)</f>
        <v>44.65</v>
      </c>
      <c r="AN453" s="320">
        <f>IFERROR(__xludf.DUMMYFUNCTION("""COMPUTED_VALUE"""),65.82)</f>
        <v>65.82</v>
      </c>
      <c r="AO453" s="320">
        <f>IFERROR(__xludf.DUMMYFUNCTION("""COMPUTED_VALUE"""),12.12)</f>
        <v>12.12</v>
      </c>
    </row>
    <row r="454" ht="15.75" customHeight="1">
      <c r="A454" s="330">
        <f>IFERROR(__xludf.DUMMYFUNCTION("""COMPUTED_VALUE"""),46125.0)</f>
        <v>46125</v>
      </c>
      <c r="B454" s="319" t="str">
        <f>IFERROR(__xludf.DUMMYFUNCTION("""COMPUTED_VALUE"""),"C. 10-19")</f>
        <v>C. 10-19</v>
      </c>
      <c r="C454" s="320">
        <f>IFERROR(__xludf.DUMMYFUNCTION("""COMPUTED_VALUE"""),27022.0)</f>
        <v>27022</v>
      </c>
      <c r="D454" s="320">
        <f>IFERROR(__xludf.DUMMYFUNCTION("""COMPUTED_VALUE"""),25.31)</f>
        <v>25.31</v>
      </c>
      <c r="E454" s="320">
        <f>IFERROR(__xludf.DUMMYFUNCTION("""COMPUTED_VALUE"""),0.0)</f>
        <v>0</v>
      </c>
      <c r="F454" s="320">
        <f>IFERROR(__xludf.DUMMYFUNCTION("""COMPUTED_VALUE"""),0.0)</f>
        <v>0</v>
      </c>
      <c r="G454" s="320">
        <f>IFERROR(__xludf.DUMMYFUNCTION("""COMPUTED_VALUE"""),0.0)</f>
        <v>0</v>
      </c>
      <c r="H454" s="106"/>
      <c r="I454" s="320">
        <f>IFERROR(__xludf.DUMMYFUNCTION("""COMPUTED_VALUE"""),62.05)</f>
        <v>62.05</v>
      </c>
      <c r="J454" s="320">
        <f>IFERROR(__xludf.DUMMYFUNCTION("""COMPUTED_VALUE"""),29.3)</f>
        <v>29.3</v>
      </c>
      <c r="K454" s="320">
        <f>IFERROR(__xludf.DUMMYFUNCTION("""COMPUTED_VALUE"""),15.58)</f>
        <v>15.58</v>
      </c>
      <c r="L454" s="320">
        <f>IFERROR(__xludf.DUMMYFUNCTION("""COMPUTED_VALUE"""),0.5317)</f>
        <v>0.5317</v>
      </c>
      <c r="M454" s="320">
        <f>IFERROR(__xludf.DUMMYFUNCTION("""COMPUTED_VALUE"""),0.6666)</f>
        <v>0.6666</v>
      </c>
      <c r="N454" s="320">
        <f>IFERROR(__xludf.DUMMYFUNCTION("""COMPUTED_VALUE"""),0.4691)</f>
        <v>0.4691</v>
      </c>
      <c r="O454" s="320">
        <f>IFERROR(__xludf.DUMMYFUNCTION("""COMPUTED_VALUE"""),1.8806)</f>
        <v>1.8806</v>
      </c>
      <c r="P454" s="320">
        <f>IFERROR(__xludf.DUMMYFUNCTION("""COMPUTED_VALUE"""),139.34)</f>
        <v>139.34</v>
      </c>
      <c r="Q454" s="320">
        <f>IFERROR(__xludf.DUMMYFUNCTION("""COMPUTED_VALUE"""),110.07)</f>
        <v>110.07</v>
      </c>
      <c r="R454" s="320">
        <f>IFERROR(__xludf.DUMMYFUNCTION("""COMPUTED_VALUE"""),29.27)</f>
        <v>29.27</v>
      </c>
      <c r="S454" s="320">
        <f>IFERROR(__xludf.DUMMYFUNCTION("""COMPUTED_VALUE"""),0.01)</f>
        <v>0.01</v>
      </c>
      <c r="T454" s="320">
        <f>IFERROR(__xludf.DUMMYFUNCTION("""COMPUTED_VALUE"""),139.33)</f>
        <v>139.33</v>
      </c>
      <c r="U454" s="320">
        <f>IFERROR(__xludf.DUMMYFUNCTION("""COMPUTED_VALUE"""),120.88)</f>
        <v>120.88</v>
      </c>
      <c r="V454" s="320">
        <f>IFERROR(__xludf.DUMMYFUNCTION("""COMPUTED_VALUE"""),4.1254)</f>
        <v>4.1254</v>
      </c>
      <c r="W454" s="320">
        <f>IFERROR(__xludf.DUMMYFUNCTION("""COMPUTED_VALUE"""),0.01)</f>
        <v>0.01</v>
      </c>
      <c r="X454" s="320">
        <f>IFERROR(__xludf.DUMMYFUNCTION("""COMPUTED_VALUE"""),137.0)</f>
        <v>137</v>
      </c>
      <c r="Y454" s="320">
        <f>IFERROR(__xludf.DUMMYFUNCTION("""COMPUTED_VALUE"""),704.0)</f>
        <v>704</v>
      </c>
      <c r="Z454" s="320">
        <f>IFERROR(__xludf.DUMMYFUNCTION("""COMPUTED_VALUE"""),5651.0)</f>
        <v>5651</v>
      </c>
      <c r="AA454" s="320">
        <f>IFERROR(__xludf.DUMMYFUNCTION("""COMPUTED_VALUE"""),52.023)</f>
        <v>52.023</v>
      </c>
      <c r="AB454" s="320">
        <f>IFERROR(__xludf.DUMMYFUNCTION("""COMPUTED_VALUE"""),0.5771)</f>
        <v>0.5771</v>
      </c>
      <c r="AC454" s="320">
        <f>IFERROR(__xludf.DUMMYFUNCTION("""COMPUTED_VALUE"""),10.03)</f>
        <v>10.03</v>
      </c>
      <c r="AD454" s="320">
        <f>IFERROR(__xludf.DUMMYFUNCTION("""COMPUTED_VALUE"""),4.0)</f>
        <v>4</v>
      </c>
      <c r="AE454" s="320">
        <f>IFERROR(__xludf.DUMMYFUNCTION("""COMPUTED_VALUE"""),8.0)</f>
        <v>8</v>
      </c>
      <c r="AF454" s="320">
        <f>IFERROR(__xludf.DUMMYFUNCTION("""COMPUTED_VALUE"""),14.0)</f>
        <v>14</v>
      </c>
      <c r="AG454" s="320">
        <f>IFERROR(__xludf.DUMMYFUNCTION("""COMPUTED_VALUE"""),21.0)</f>
        <v>21</v>
      </c>
      <c r="AH454" s="320">
        <f>IFERROR(__xludf.DUMMYFUNCTION("""COMPUTED_VALUE"""),63.45)</f>
        <v>63.45</v>
      </c>
      <c r="AI454" s="320">
        <f>IFERROR(__xludf.DUMMYFUNCTION("""COMPUTED_VALUE"""),29.01)</f>
        <v>29.01</v>
      </c>
      <c r="AJ454" s="320">
        <f>IFERROR(__xludf.DUMMYFUNCTION("""COMPUTED_VALUE"""),5.58)</f>
        <v>5.58</v>
      </c>
      <c r="AK454" s="320">
        <f>IFERROR(__xludf.DUMMYFUNCTION("""COMPUTED_VALUE"""),0.1777)</f>
        <v>0.1777</v>
      </c>
      <c r="AL454" s="320">
        <f>IFERROR(__xludf.DUMMYFUNCTION("""COMPUTED_VALUE"""),19.21)</f>
        <v>19.21</v>
      </c>
      <c r="AM454" s="320">
        <f>IFERROR(__xludf.DUMMYFUNCTION("""COMPUTED_VALUE"""),90.86)</f>
        <v>90.86</v>
      </c>
      <c r="AN454" s="320">
        <f>IFERROR(__xludf.DUMMYFUNCTION("""COMPUTED_VALUE"""),71.42)</f>
        <v>71.42</v>
      </c>
      <c r="AO454" s="320">
        <f>IFERROR(__xludf.DUMMYFUNCTION("""COMPUTED_VALUE"""),13.72)</f>
        <v>13.72</v>
      </c>
    </row>
    <row r="455" ht="15.75" customHeight="1">
      <c r="A455" s="330">
        <f>IFERROR(__xludf.DUMMYFUNCTION("""COMPUTED_VALUE"""),46125.0)</f>
        <v>46125</v>
      </c>
      <c r="B455" s="319" t="str">
        <f>IFERROR(__xludf.DUMMYFUNCTION("""COMPUTED_VALUE"""),"D. 20-39")</f>
        <v>D. 20-39</v>
      </c>
      <c r="C455" s="320">
        <f>IFERROR(__xludf.DUMMYFUNCTION("""COMPUTED_VALUE"""),15551.0)</f>
        <v>15551</v>
      </c>
      <c r="D455" s="320">
        <f>IFERROR(__xludf.DUMMYFUNCTION("""COMPUTED_VALUE"""),14.56)</f>
        <v>14.56</v>
      </c>
      <c r="E455" s="320">
        <f>IFERROR(__xludf.DUMMYFUNCTION("""COMPUTED_VALUE"""),0.0)</f>
        <v>0</v>
      </c>
      <c r="F455" s="320">
        <f>IFERROR(__xludf.DUMMYFUNCTION("""COMPUTED_VALUE"""),0.0)</f>
        <v>0</v>
      </c>
      <c r="G455" s="320">
        <f>IFERROR(__xludf.DUMMYFUNCTION("""COMPUTED_VALUE"""),0.0)</f>
        <v>0</v>
      </c>
      <c r="H455" s="106"/>
      <c r="I455" s="320">
        <f>IFERROR(__xludf.DUMMYFUNCTION("""COMPUTED_VALUE"""),92.89)</f>
        <v>92.89</v>
      </c>
      <c r="J455" s="320">
        <f>IFERROR(__xludf.DUMMYFUNCTION("""COMPUTED_VALUE"""),46.06)</f>
        <v>46.06</v>
      </c>
      <c r="K455" s="320">
        <f>IFERROR(__xludf.DUMMYFUNCTION("""COMPUTED_VALUE"""),30.86)</f>
        <v>30.86</v>
      </c>
      <c r="L455" s="320">
        <f>IFERROR(__xludf.DUMMYFUNCTION("""COMPUTED_VALUE"""),0.67)</f>
        <v>0.67</v>
      </c>
      <c r="M455" s="320">
        <f>IFERROR(__xludf.DUMMYFUNCTION("""COMPUTED_VALUE"""),0.5348)</f>
        <v>0.5348</v>
      </c>
      <c r="N455" s="320">
        <f>IFERROR(__xludf.DUMMYFUNCTION("""COMPUTED_VALUE"""),0.3749)</f>
        <v>0.3749</v>
      </c>
      <c r="O455" s="320">
        <f>IFERROR(__xludf.DUMMYFUNCTION("""COMPUTED_VALUE"""),1.4926)</f>
        <v>1.4926</v>
      </c>
      <c r="P455" s="320">
        <f>IFERROR(__xludf.DUMMYFUNCTION("""COMPUTED_VALUE"""),237.26)</f>
        <v>237.26</v>
      </c>
      <c r="Q455" s="320">
        <f>IFERROR(__xludf.DUMMYFUNCTION("""COMPUTED_VALUE"""),178.6)</f>
        <v>178.6</v>
      </c>
      <c r="R455" s="320">
        <f>IFERROR(__xludf.DUMMYFUNCTION("""COMPUTED_VALUE"""),58.67)</f>
        <v>58.67</v>
      </c>
      <c r="S455" s="320">
        <f>IFERROR(__xludf.DUMMYFUNCTION("""COMPUTED_VALUE"""),0.0)</f>
        <v>0</v>
      </c>
      <c r="T455" s="320">
        <f>IFERROR(__xludf.DUMMYFUNCTION("""COMPUTED_VALUE"""),237.26)</f>
        <v>237.26</v>
      </c>
      <c r="U455" s="320">
        <f>IFERROR(__xludf.DUMMYFUNCTION("""COMPUTED_VALUE"""),218.26)</f>
        <v>218.26</v>
      </c>
      <c r="V455" s="320">
        <f>IFERROR(__xludf.DUMMYFUNCTION("""COMPUTED_VALUE"""),4.7382)</f>
        <v>4.7382</v>
      </c>
      <c r="W455" s="320">
        <f>IFERROR(__xludf.DUMMYFUNCTION("""COMPUTED_VALUE"""),0.0)</f>
        <v>0</v>
      </c>
      <c r="X455" s="320">
        <f>IFERROR(__xludf.DUMMYFUNCTION("""COMPUTED_VALUE"""),177.0)</f>
        <v>177</v>
      </c>
      <c r="Y455" s="320">
        <f>IFERROR(__xludf.DUMMYFUNCTION("""COMPUTED_VALUE"""),1042.0)</f>
        <v>1042</v>
      </c>
      <c r="Z455" s="320">
        <f>IFERROR(__xludf.DUMMYFUNCTION("""COMPUTED_VALUE"""),7485.0)</f>
        <v>7485</v>
      </c>
      <c r="AA455" s="320">
        <f>IFERROR(__xludf.DUMMYFUNCTION("""COMPUTED_VALUE"""),55.3402)</f>
        <v>55.3402</v>
      </c>
      <c r="AB455" s="320">
        <f>IFERROR(__xludf.DUMMYFUNCTION("""COMPUTED_VALUE"""),0.658)</f>
        <v>0.658</v>
      </c>
      <c r="AC455" s="320">
        <f>IFERROR(__xludf.DUMMYFUNCTION("""COMPUTED_VALUE"""),19.67)</f>
        <v>19.67</v>
      </c>
      <c r="AD455" s="320">
        <f>IFERROR(__xludf.DUMMYFUNCTION("""COMPUTED_VALUE"""),9.0)</f>
        <v>9</v>
      </c>
      <c r="AE455" s="320">
        <f>IFERROR(__xludf.DUMMYFUNCTION("""COMPUTED_VALUE"""),16.0)</f>
        <v>16</v>
      </c>
      <c r="AF455" s="320">
        <f>IFERROR(__xludf.DUMMYFUNCTION("""COMPUTED_VALUE"""),27.0)</f>
        <v>27</v>
      </c>
      <c r="AG455" s="320">
        <f>IFERROR(__xludf.DUMMYFUNCTION("""COMPUTED_VALUE"""),39.0)</f>
        <v>39</v>
      </c>
      <c r="AH455" s="320">
        <f>IFERROR(__xludf.DUMMYFUNCTION("""COMPUTED_VALUE"""),65.99)</f>
        <v>65.99</v>
      </c>
      <c r="AI455" s="320">
        <f>IFERROR(__xludf.DUMMYFUNCTION("""COMPUTED_VALUE"""),28.23)</f>
        <v>28.23</v>
      </c>
      <c r="AJ455" s="320">
        <f>IFERROR(__xludf.DUMMYFUNCTION("""COMPUTED_VALUE"""),7.56)</f>
        <v>7.56</v>
      </c>
      <c r="AK455" s="320">
        <f>IFERROR(__xludf.DUMMYFUNCTION("""COMPUTED_VALUE"""),0.15)</f>
        <v>0.15</v>
      </c>
      <c r="AL455" s="320">
        <f>IFERROR(__xludf.DUMMYFUNCTION("""COMPUTED_VALUE"""),20.08)</f>
        <v>20.08</v>
      </c>
      <c r="AM455" s="320">
        <f>IFERROR(__xludf.DUMMYFUNCTION("""COMPUTED_VALUE"""),158.52)</f>
        <v>158.52</v>
      </c>
      <c r="AN455" s="320">
        <f>IFERROR(__xludf.DUMMYFUNCTION("""COMPUTED_VALUE"""),72.62)</f>
        <v>72.62</v>
      </c>
      <c r="AO455" s="320">
        <f>IFERROR(__xludf.DUMMYFUNCTION("""COMPUTED_VALUE"""),14.58)</f>
        <v>14.58</v>
      </c>
    </row>
    <row r="456" ht="15.75" customHeight="1">
      <c r="A456" s="330">
        <f>IFERROR(__xludf.DUMMYFUNCTION("""COMPUTED_VALUE"""),46125.0)</f>
        <v>46125</v>
      </c>
      <c r="B456" s="319" t="str">
        <f>IFERROR(__xludf.DUMMYFUNCTION("""COMPUTED_VALUE"""),"E. 40-99")</f>
        <v>E. 40-99</v>
      </c>
      <c r="C456" s="320">
        <f>IFERROR(__xludf.DUMMYFUNCTION("""COMPUTED_VALUE"""),6061.0)</f>
        <v>6061</v>
      </c>
      <c r="D456" s="320">
        <f>IFERROR(__xludf.DUMMYFUNCTION("""COMPUTED_VALUE"""),5.68)</f>
        <v>5.68</v>
      </c>
      <c r="E456" s="320">
        <f>IFERROR(__xludf.DUMMYFUNCTION("""COMPUTED_VALUE"""),0.0)</f>
        <v>0</v>
      </c>
      <c r="F456" s="320">
        <f>IFERROR(__xludf.DUMMYFUNCTION("""COMPUTED_VALUE"""),0.0)</f>
        <v>0</v>
      </c>
      <c r="G456" s="320">
        <f>IFERROR(__xludf.DUMMYFUNCTION("""COMPUTED_VALUE"""),0.0)</f>
        <v>0</v>
      </c>
      <c r="H456" s="106"/>
      <c r="I456" s="320">
        <f>IFERROR(__xludf.DUMMYFUNCTION("""COMPUTED_VALUE"""),146.84)</f>
        <v>146.84</v>
      </c>
      <c r="J456" s="320">
        <f>IFERROR(__xludf.DUMMYFUNCTION("""COMPUTED_VALUE"""),78.94)</f>
        <v>78.94</v>
      </c>
      <c r="K456" s="320">
        <f>IFERROR(__xludf.DUMMYFUNCTION("""COMPUTED_VALUE"""),62.6)</f>
        <v>62.6</v>
      </c>
      <c r="L456" s="320">
        <f>IFERROR(__xludf.DUMMYFUNCTION("""COMPUTED_VALUE"""),0.7929)</f>
        <v>0.7929</v>
      </c>
      <c r="M456" s="320">
        <f>IFERROR(__xludf.DUMMYFUNCTION("""COMPUTED_VALUE"""),0.3976)</f>
        <v>0.3976</v>
      </c>
      <c r="N456" s="320">
        <f>IFERROR(__xludf.DUMMYFUNCTION("""COMPUTED_VALUE"""),0.2881)</f>
        <v>0.2881</v>
      </c>
      <c r="O456" s="320">
        <f>IFERROR(__xludf.DUMMYFUNCTION("""COMPUTED_VALUE"""),1.2611)</f>
        <v>1.2611</v>
      </c>
      <c r="P456" s="320">
        <f>IFERROR(__xludf.DUMMYFUNCTION("""COMPUTED_VALUE"""),422.99)</f>
        <v>422.99</v>
      </c>
      <c r="Q456" s="320">
        <f>IFERROR(__xludf.DUMMYFUNCTION("""COMPUTED_VALUE"""),307.16)</f>
        <v>307.16</v>
      </c>
      <c r="R456" s="320">
        <f>IFERROR(__xludf.DUMMYFUNCTION("""COMPUTED_VALUE"""),115.83)</f>
        <v>115.83</v>
      </c>
      <c r="S456" s="320">
        <f>IFERROR(__xludf.DUMMYFUNCTION("""COMPUTED_VALUE"""),0.0)</f>
        <v>0</v>
      </c>
      <c r="T456" s="320">
        <f>IFERROR(__xludf.DUMMYFUNCTION("""COMPUTED_VALUE"""),422.99)</f>
        <v>422.99</v>
      </c>
      <c r="U456" s="320">
        <f>IFERROR(__xludf.DUMMYFUNCTION("""COMPUTED_VALUE"""),388.85)</f>
        <v>388.85</v>
      </c>
      <c r="V456" s="320">
        <f>IFERROR(__xludf.DUMMYFUNCTION("""COMPUTED_VALUE"""),4.9259)</f>
        <v>4.9259</v>
      </c>
      <c r="W456" s="320">
        <f>IFERROR(__xludf.DUMMYFUNCTION("""COMPUTED_VALUE"""),0.0)</f>
        <v>0</v>
      </c>
      <c r="X456" s="320">
        <f>IFERROR(__xludf.DUMMYFUNCTION("""COMPUTED_VALUE"""),346.0)</f>
        <v>346</v>
      </c>
      <c r="Y456" s="320">
        <f>IFERROR(__xludf.DUMMYFUNCTION("""COMPUTED_VALUE"""),2619.0)</f>
        <v>2619</v>
      </c>
      <c r="Z456" s="320">
        <f>IFERROR(__xludf.DUMMYFUNCTION("""COMPUTED_VALUE"""),11241.0)</f>
        <v>11241</v>
      </c>
      <c r="AA456" s="320">
        <f>IFERROR(__xludf.DUMMYFUNCTION("""COMPUTED_VALUE"""),58.8889)</f>
        <v>58.8889</v>
      </c>
      <c r="AB456" s="320">
        <f>IFERROR(__xludf.DUMMYFUNCTION("""COMPUTED_VALUE"""),0.7419)</f>
        <v>0.7419</v>
      </c>
      <c r="AC456" s="320">
        <f>IFERROR(__xludf.DUMMYFUNCTION("""COMPUTED_VALUE"""),39.03)</f>
        <v>39.03</v>
      </c>
      <c r="AD456" s="320">
        <f>IFERROR(__xludf.DUMMYFUNCTION("""COMPUTED_VALUE"""),17.0)</f>
        <v>17</v>
      </c>
      <c r="AE456" s="320">
        <f>IFERROR(__xludf.DUMMYFUNCTION("""COMPUTED_VALUE"""),32.0)</f>
        <v>32</v>
      </c>
      <c r="AF456" s="320">
        <f>IFERROR(__xludf.DUMMYFUNCTION("""COMPUTED_VALUE"""),51.0)</f>
        <v>51</v>
      </c>
      <c r="AG456" s="320">
        <f>IFERROR(__xludf.DUMMYFUNCTION("""COMPUTED_VALUE"""),79.0)</f>
        <v>79</v>
      </c>
      <c r="AH456" s="320">
        <f>IFERROR(__xludf.DUMMYFUNCTION("""COMPUTED_VALUE"""),57.4)</f>
        <v>57.4</v>
      </c>
      <c r="AI456" s="320">
        <f>IFERROR(__xludf.DUMMYFUNCTION("""COMPUTED_VALUE"""),19.24)</f>
        <v>19.24</v>
      </c>
      <c r="AJ456" s="320">
        <f>IFERROR(__xludf.DUMMYFUNCTION("""COMPUTED_VALUE"""),4.95)</f>
        <v>4.95</v>
      </c>
      <c r="AK456" s="320">
        <f>IFERROR(__xludf.DUMMYFUNCTION("""COMPUTED_VALUE"""),0.114)</f>
        <v>0.114</v>
      </c>
      <c r="AL456" s="320">
        <f>IFERROR(__xludf.DUMMYFUNCTION("""COMPUTED_VALUE"""),21.07)</f>
        <v>21.07</v>
      </c>
      <c r="AM456" s="320">
        <f>IFERROR(__xludf.DUMMYFUNCTION("""COMPUTED_VALUE"""),286.08)</f>
        <v>286.08</v>
      </c>
      <c r="AN456" s="320">
        <f>IFERROR(__xludf.DUMMYFUNCTION("""COMPUTED_VALUE"""),75.81)</f>
        <v>75.81</v>
      </c>
      <c r="AO456" s="320">
        <f>IFERROR(__xludf.DUMMYFUNCTION("""COMPUTED_VALUE"""),15.97)</f>
        <v>15.97</v>
      </c>
    </row>
    <row r="457" ht="15.75" customHeight="1">
      <c r="A457" s="330">
        <f>IFERROR(__xludf.DUMMYFUNCTION("""COMPUTED_VALUE"""),46125.0)</f>
        <v>46125</v>
      </c>
      <c r="B457" s="319" t="str">
        <f>IFERROR(__xludf.DUMMYFUNCTION("""COMPUTED_VALUE"""),"F. 100+")</f>
        <v>F. 100+</v>
      </c>
      <c r="C457" s="320">
        <f>IFERROR(__xludf.DUMMYFUNCTION("""COMPUTED_VALUE"""),615.0)</f>
        <v>615</v>
      </c>
      <c r="D457" s="320">
        <f>IFERROR(__xludf.DUMMYFUNCTION("""COMPUTED_VALUE"""),0.58)</f>
        <v>0.58</v>
      </c>
      <c r="E457" s="320">
        <f>IFERROR(__xludf.DUMMYFUNCTION("""COMPUTED_VALUE"""),0.0)</f>
        <v>0</v>
      </c>
      <c r="F457" s="320">
        <f>IFERROR(__xludf.DUMMYFUNCTION("""COMPUTED_VALUE"""),0.0)</f>
        <v>0</v>
      </c>
      <c r="G457" s="320">
        <f>IFERROR(__xludf.DUMMYFUNCTION("""COMPUTED_VALUE"""),0.0)</f>
        <v>0</v>
      </c>
      <c r="H457" s="106"/>
      <c r="I457" s="320">
        <f>IFERROR(__xludf.DUMMYFUNCTION("""COMPUTED_VALUE"""),259.98)</f>
        <v>259.98</v>
      </c>
      <c r="J457" s="320">
        <f>IFERROR(__xludf.DUMMYFUNCTION("""COMPUTED_VALUE"""),150.13)</f>
        <v>150.13</v>
      </c>
      <c r="K457" s="320">
        <f>IFERROR(__xludf.DUMMYFUNCTION("""COMPUTED_VALUE"""),131.36)</f>
        <v>131.36</v>
      </c>
      <c r="L457" s="320">
        <f>IFERROR(__xludf.DUMMYFUNCTION("""COMPUTED_VALUE"""),0.875)</f>
        <v>0.875</v>
      </c>
      <c r="M457" s="320">
        <f>IFERROR(__xludf.DUMMYFUNCTION("""COMPUTED_VALUE"""),0.2824)</f>
        <v>0.2824</v>
      </c>
      <c r="N457" s="320">
        <f>IFERROR(__xludf.DUMMYFUNCTION("""COMPUTED_VALUE"""),0.2139)</f>
        <v>0.2139</v>
      </c>
      <c r="O457" s="320">
        <f>IFERROR(__xludf.DUMMYFUNCTION("""COMPUTED_VALUE"""),1.1429)</f>
        <v>1.1429</v>
      </c>
      <c r="P457" s="320">
        <f>IFERROR(__xludf.DUMMYFUNCTION("""COMPUTED_VALUE"""),764.15)</f>
        <v>764.15</v>
      </c>
      <c r="Q457" s="320">
        <f>IFERROR(__xludf.DUMMYFUNCTION("""COMPUTED_VALUE"""),495.31)</f>
        <v>495.31</v>
      </c>
      <c r="R457" s="320">
        <f>IFERROR(__xludf.DUMMYFUNCTION("""COMPUTED_VALUE"""),268.84)</f>
        <v>268.84</v>
      </c>
      <c r="S457" s="320">
        <f>IFERROR(__xludf.DUMMYFUNCTION("""COMPUTED_VALUE"""),0.0)</f>
        <v>0</v>
      </c>
      <c r="T457" s="320">
        <f>IFERROR(__xludf.DUMMYFUNCTION("""COMPUTED_VALUE"""),764.15)</f>
        <v>764.15</v>
      </c>
      <c r="U457" s="320">
        <f>IFERROR(__xludf.DUMMYFUNCTION("""COMPUTED_VALUE"""),755.85)</f>
        <v>755.85</v>
      </c>
      <c r="V457" s="320">
        <f>IFERROR(__xludf.DUMMYFUNCTION("""COMPUTED_VALUE"""),5.0345)</f>
        <v>5.0345</v>
      </c>
      <c r="W457" s="320">
        <f>IFERROR(__xludf.DUMMYFUNCTION("""COMPUTED_VALUE"""),0.0)</f>
        <v>0</v>
      </c>
      <c r="X457" s="320">
        <f>IFERROR(__xludf.DUMMYFUNCTION("""COMPUTED_VALUE"""),952.0)</f>
        <v>952</v>
      </c>
      <c r="Y457" s="320">
        <f>IFERROR(__xludf.DUMMYFUNCTION("""COMPUTED_VALUE"""),4735.0)</f>
        <v>4735</v>
      </c>
      <c r="Z457" s="320">
        <f>IFERROR(__xludf.DUMMYFUNCTION("""COMPUTED_VALUE"""),13618.0)</f>
        <v>13618</v>
      </c>
      <c r="AA457" s="320">
        <f>IFERROR(__xludf.DUMMYFUNCTION("""COMPUTED_VALUE"""),63.6807)</f>
        <v>63.6807</v>
      </c>
      <c r="AB457" s="320">
        <f>IFERROR(__xludf.DUMMYFUNCTION("""COMPUTED_VALUE"""),0.9012)</f>
        <v>0.9012</v>
      </c>
      <c r="AC457" s="320">
        <f>IFERROR(__xludf.DUMMYFUNCTION("""COMPUTED_VALUE"""),92.35)</f>
        <v>92.35</v>
      </c>
      <c r="AD457" s="320">
        <f>IFERROR(__xludf.DUMMYFUNCTION("""COMPUTED_VALUE"""),39.0)</f>
        <v>39</v>
      </c>
      <c r="AE457" s="320">
        <f>IFERROR(__xludf.DUMMYFUNCTION("""COMPUTED_VALUE"""),80.0)</f>
        <v>80</v>
      </c>
      <c r="AF457" s="320">
        <f>IFERROR(__xludf.DUMMYFUNCTION("""COMPUTED_VALUE"""),131.0)</f>
        <v>131</v>
      </c>
      <c r="AG457" s="320">
        <f>IFERROR(__xludf.DUMMYFUNCTION("""COMPUTED_VALUE"""),180.0)</f>
        <v>180</v>
      </c>
      <c r="AH457" s="320">
        <f>IFERROR(__xludf.DUMMYFUNCTION("""COMPUTED_VALUE"""),50.24)</f>
        <v>50.24</v>
      </c>
      <c r="AI457" s="320">
        <f>IFERROR(__xludf.DUMMYFUNCTION("""COMPUTED_VALUE"""),12.2)</f>
        <v>12.2</v>
      </c>
      <c r="AJ457" s="320">
        <f>IFERROR(__xludf.DUMMYFUNCTION("""COMPUTED_VALUE"""),1.46)</f>
        <v>1.46</v>
      </c>
      <c r="AK457" s="320">
        <f>IFERROR(__xludf.DUMMYFUNCTION("""COMPUTED_VALUE"""),0.0667)</f>
        <v>0.0667</v>
      </c>
      <c r="AL457" s="320">
        <f>IFERROR(__xludf.DUMMYFUNCTION("""COMPUTED_VALUE"""),20.69)</f>
        <v>20.69</v>
      </c>
      <c r="AM457" s="320">
        <f>IFERROR(__xludf.DUMMYFUNCTION("""COMPUTED_VALUE"""),474.62)</f>
        <v>474.62</v>
      </c>
      <c r="AN457" s="320">
        <f>IFERROR(__xludf.DUMMYFUNCTION("""COMPUTED_VALUE"""),86.81)</f>
        <v>86.81</v>
      </c>
      <c r="AO457" s="320">
        <f>IFERROR(__xludf.DUMMYFUNCTION("""COMPUTED_VALUE"""),17.96)</f>
        <v>17.96</v>
      </c>
    </row>
    <row r="458" ht="15.75" customHeight="1">
      <c r="A458" s="330">
        <f>IFERROR(__xludf.DUMMYFUNCTION("""COMPUTED_VALUE"""),46126.0)</f>
        <v>46126</v>
      </c>
      <c r="B458" s="319" t="str">
        <f>IFERROR(__xludf.DUMMYFUNCTION("""COMPUTED_VALUE"""),"A. 0")</f>
        <v>A. 0</v>
      </c>
      <c r="C458" s="320">
        <f>IFERROR(__xludf.DUMMYFUNCTION("""COMPUTED_VALUE"""),19818.0)</f>
        <v>19818</v>
      </c>
      <c r="D458" s="320">
        <f>IFERROR(__xludf.DUMMYFUNCTION("""COMPUTED_VALUE"""),18.64)</f>
        <v>18.64</v>
      </c>
      <c r="E458" s="320">
        <f>IFERROR(__xludf.DUMMYFUNCTION("""COMPUTED_VALUE"""),0.0)</f>
        <v>0</v>
      </c>
      <c r="F458" s="320">
        <f>IFERROR(__xludf.DUMMYFUNCTION("""COMPUTED_VALUE"""),0.0)</f>
        <v>0</v>
      </c>
      <c r="G458" s="320">
        <f>IFERROR(__xludf.DUMMYFUNCTION("""COMPUTED_VALUE"""),0.0)</f>
        <v>0</v>
      </c>
      <c r="H458" s="106"/>
      <c r="I458" s="320">
        <f>IFERROR(__xludf.DUMMYFUNCTION("""COMPUTED_VALUE"""),6.12)</f>
        <v>6.12</v>
      </c>
      <c r="J458" s="320">
        <f>IFERROR(__xludf.DUMMYFUNCTION("""COMPUTED_VALUE"""),2.45)</f>
        <v>2.45</v>
      </c>
      <c r="K458" s="320">
        <f>IFERROR(__xludf.DUMMYFUNCTION("""COMPUTED_VALUE"""),0.05)</f>
        <v>0.05</v>
      </c>
      <c r="L458" s="320">
        <f>IFERROR(__xludf.DUMMYFUNCTION("""COMPUTED_VALUE"""),0.0188)</f>
        <v>0.0188</v>
      </c>
      <c r="M458" s="320">
        <f>IFERROR(__xludf.DUMMYFUNCTION("""COMPUTED_VALUE"""),0.9844)</f>
        <v>0.9844</v>
      </c>
      <c r="N458" s="320">
        <f>IFERROR(__xludf.DUMMYFUNCTION("""COMPUTED_VALUE"""),0.8168)</f>
        <v>0.8168</v>
      </c>
      <c r="O458" s="320">
        <f>IFERROR(__xludf.DUMMYFUNCTION("""COMPUTED_VALUE"""),53.2722)</f>
        <v>53.2722</v>
      </c>
      <c r="P458" s="320">
        <f>IFERROR(__xludf.DUMMYFUNCTION("""COMPUTED_VALUE"""),25.72)</f>
        <v>25.72</v>
      </c>
      <c r="Q458" s="320">
        <f>IFERROR(__xludf.DUMMYFUNCTION("""COMPUTED_VALUE"""),25.6)</f>
        <v>25.6</v>
      </c>
      <c r="R458" s="320">
        <f>IFERROR(__xludf.DUMMYFUNCTION("""COMPUTED_VALUE"""),0.13)</f>
        <v>0.13</v>
      </c>
      <c r="S458" s="320">
        <f>IFERROR(__xludf.DUMMYFUNCTION("""COMPUTED_VALUE"""),0.0)</f>
        <v>0</v>
      </c>
      <c r="T458" s="320">
        <f>IFERROR(__xludf.DUMMYFUNCTION("""COMPUTED_VALUE"""),25.72)</f>
        <v>25.72</v>
      </c>
      <c r="U458" s="320">
        <f>IFERROR(__xludf.DUMMYFUNCTION("""COMPUTED_VALUE"""),2.34)</f>
        <v>2.34</v>
      </c>
      <c r="V458" s="320">
        <f>IFERROR(__xludf.DUMMYFUNCTION("""COMPUTED_VALUE"""),0.9551)</f>
        <v>0.9551</v>
      </c>
      <c r="W458" s="320">
        <f>IFERROR(__xludf.DUMMYFUNCTION("""COMPUTED_VALUE"""),0.0)</f>
        <v>0</v>
      </c>
      <c r="X458" s="320">
        <f>IFERROR(__xludf.DUMMYFUNCTION("""COMPUTED_VALUE"""),386.0)</f>
        <v>386</v>
      </c>
      <c r="Y458" s="320">
        <f>IFERROR(__xludf.DUMMYFUNCTION("""COMPUTED_VALUE"""),4112.0)</f>
        <v>4112</v>
      </c>
      <c r="Z458" s="320">
        <f>IFERROR(__xludf.DUMMYFUNCTION("""COMPUTED_VALUE"""),15517.0)</f>
        <v>15517</v>
      </c>
      <c r="AA458" s="320">
        <f>IFERROR(__xludf.DUMMYFUNCTION("""COMPUTED_VALUE"""),49.159)</f>
        <v>49.159</v>
      </c>
      <c r="AB458" s="320">
        <f>IFERROR(__xludf.DUMMYFUNCTION("""COMPUTED_VALUE"""),0.5411)</f>
        <v>0.5411</v>
      </c>
      <c r="AC458" s="106"/>
      <c r="AD458" s="106"/>
      <c r="AE458" s="106"/>
      <c r="AF458" s="106"/>
      <c r="AG458" s="106"/>
      <c r="AH458" s="320">
        <f>IFERROR(__xludf.DUMMYFUNCTION("""COMPUTED_VALUE"""),0.0)</f>
        <v>0</v>
      </c>
      <c r="AI458" s="320">
        <f>IFERROR(__xludf.DUMMYFUNCTION("""COMPUTED_VALUE"""),0.0)</f>
        <v>0</v>
      </c>
      <c r="AJ458" s="320">
        <f>IFERROR(__xludf.DUMMYFUNCTION("""COMPUTED_VALUE"""),0.0)</f>
        <v>0</v>
      </c>
      <c r="AK458" s="320">
        <f>IFERROR(__xludf.DUMMYFUNCTION("""COMPUTED_VALUE"""),0.2777)</f>
        <v>0.2777</v>
      </c>
      <c r="AL458" s="320">
        <f>IFERROR(__xludf.DUMMYFUNCTION("""COMPUTED_VALUE"""),15.62)</f>
        <v>15.62</v>
      </c>
      <c r="AM458" s="320">
        <f>IFERROR(__xludf.DUMMYFUNCTION("""COMPUTED_VALUE"""),9.98)</f>
        <v>9.98</v>
      </c>
      <c r="AN458" s="331"/>
      <c r="AO458" s="331"/>
    </row>
    <row r="459" ht="15.75" customHeight="1">
      <c r="A459" s="330">
        <f>IFERROR(__xludf.DUMMYFUNCTION("""COMPUTED_VALUE"""),46126.0)</f>
        <v>46126</v>
      </c>
      <c r="B459" s="319" t="str">
        <f>IFERROR(__xludf.DUMMYFUNCTION("""COMPUTED_VALUE"""),"B. 1-9")</f>
        <v>B. 1-9</v>
      </c>
      <c r="C459" s="320">
        <f>IFERROR(__xludf.DUMMYFUNCTION("""COMPUTED_VALUE"""),38269.0)</f>
        <v>38269</v>
      </c>
      <c r="D459" s="320">
        <f>IFERROR(__xludf.DUMMYFUNCTION("""COMPUTED_VALUE"""),36.0)</f>
        <v>36</v>
      </c>
      <c r="E459" s="320">
        <f>IFERROR(__xludf.DUMMYFUNCTION("""COMPUTED_VALUE"""),0.0)</f>
        <v>0</v>
      </c>
      <c r="F459" s="320">
        <f>IFERROR(__xludf.DUMMYFUNCTION("""COMPUTED_VALUE"""),0.0)</f>
        <v>0</v>
      </c>
      <c r="G459" s="320">
        <f>IFERROR(__xludf.DUMMYFUNCTION("""COMPUTED_VALUE"""),0.0)</f>
        <v>0</v>
      </c>
      <c r="H459" s="106"/>
      <c r="I459" s="320">
        <f>IFERROR(__xludf.DUMMYFUNCTION("""COMPUTED_VALUE"""),28.41)</f>
        <v>28.41</v>
      </c>
      <c r="J459" s="320">
        <f>IFERROR(__xludf.DUMMYFUNCTION("""COMPUTED_VALUE"""),12.79)</f>
        <v>12.79</v>
      </c>
      <c r="K459" s="320">
        <f>IFERROR(__xludf.DUMMYFUNCTION("""COMPUTED_VALUE"""),5.53)</f>
        <v>5.53</v>
      </c>
      <c r="L459" s="320">
        <f>IFERROR(__xludf.DUMMYFUNCTION("""COMPUTED_VALUE"""),0.4325)</f>
        <v>0.4325</v>
      </c>
      <c r="M459" s="320">
        <f>IFERROR(__xludf.DUMMYFUNCTION("""COMPUTED_VALUE"""),0.7469)</f>
        <v>0.7469</v>
      </c>
      <c r="N459" s="320">
        <f>IFERROR(__xludf.DUMMYFUNCTION("""COMPUTED_VALUE"""),0.5569)</f>
        <v>0.5569</v>
      </c>
      <c r="O459" s="320">
        <f>IFERROR(__xludf.DUMMYFUNCTION("""COMPUTED_VALUE"""),2.3121)</f>
        <v>2.3121</v>
      </c>
      <c r="P459" s="320">
        <f>IFERROR(__xludf.DUMMYFUNCTION("""COMPUTED_VALUE"""),53.0)</f>
        <v>53</v>
      </c>
      <c r="Q459" s="320">
        <f>IFERROR(__xludf.DUMMYFUNCTION("""COMPUTED_VALUE"""),41.71)</f>
        <v>41.71</v>
      </c>
      <c r="R459" s="320">
        <f>IFERROR(__xludf.DUMMYFUNCTION("""COMPUTED_VALUE"""),11.3)</f>
        <v>11.3</v>
      </c>
      <c r="S459" s="320">
        <f>IFERROR(__xludf.DUMMYFUNCTION("""COMPUTED_VALUE"""),0.0)</f>
        <v>0</v>
      </c>
      <c r="T459" s="320">
        <f>IFERROR(__xludf.DUMMYFUNCTION("""COMPUTED_VALUE"""),53.0)</f>
        <v>53</v>
      </c>
      <c r="U459" s="320">
        <f>IFERROR(__xludf.DUMMYFUNCTION("""COMPUTED_VALUE"""),55.34)</f>
        <v>55.34</v>
      </c>
      <c r="V459" s="320">
        <f>IFERROR(__xludf.DUMMYFUNCTION("""COMPUTED_VALUE"""),4.3268)</f>
        <v>4.3268</v>
      </c>
      <c r="W459" s="320">
        <f>IFERROR(__xludf.DUMMYFUNCTION("""COMPUTED_VALUE"""),0.0)</f>
        <v>0</v>
      </c>
      <c r="X459" s="320">
        <f>IFERROR(__xludf.DUMMYFUNCTION("""COMPUTED_VALUE"""),156.0)</f>
        <v>156</v>
      </c>
      <c r="Y459" s="320">
        <f>IFERROR(__xludf.DUMMYFUNCTION("""COMPUTED_VALUE"""),889.0)</f>
        <v>889</v>
      </c>
      <c r="Z459" s="320">
        <f>IFERROR(__xludf.DUMMYFUNCTION("""COMPUTED_VALUE"""),6054.0)</f>
        <v>6054</v>
      </c>
      <c r="AA459" s="320">
        <f>IFERROR(__xludf.DUMMYFUNCTION("""COMPUTED_VALUE"""),48.8365)</f>
        <v>48.8365</v>
      </c>
      <c r="AB459" s="320">
        <f>IFERROR(__xludf.DUMMYFUNCTION("""COMPUTED_VALUE"""),0.5303)</f>
        <v>0.5303</v>
      </c>
      <c r="AC459" s="320">
        <f>IFERROR(__xludf.DUMMYFUNCTION("""COMPUTED_VALUE"""),4.07)</f>
        <v>4.07</v>
      </c>
      <c r="AD459" s="320">
        <f>IFERROR(__xludf.DUMMYFUNCTION("""COMPUTED_VALUE"""),1.0)</f>
        <v>1</v>
      </c>
      <c r="AE459" s="320">
        <f>IFERROR(__xludf.DUMMYFUNCTION("""COMPUTED_VALUE"""),3.0)</f>
        <v>3</v>
      </c>
      <c r="AF459" s="320">
        <f>IFERROR(__xludf.DUMMYFUNCTION("""COMPUTED_VALUE"""),5.0)</f>
        <v>5</v>
      </c>
      <c r="AG459" s="320">
        <f>IFERROR(__xludf.DUMMYFUNCTION("""COMPUTED_VALUE"""),9.0)</f>
        <v>9</v>
      </c>
      <c r="AH459" s="320">
        <f>IFERROR(__xludf.DUMMYFUNCTION("""COMPUTED_VALUE"""),72.87)</f>
        <v>72.87</v>
      </c>
      <c r="AI459" s="320">
        <f>IFERROR(__xludf.DUMMYFUNCTION("""COMPUTED_VALUE"""),31.39)</f>
        <v>31.39</v>
      </c>
      <c r="AJ459" s="320">
        <f>IFERROR(__xludf.DUMMYFUNCTION("""COMPUTED_VALUE"""),9.08)</f>
        <v>9.08</v>
      </c>
      <c r="AK459" s="320">
        <f>IFERROR(__xludf.DUMMYFUNCTION("""COMPUTED_VALUE"""),0.2371)</f>
        <v>0.2371</v>
      </c>
      <c r="AL459" s="320">
        <f>IFERROR(__xludf.DUMMYFUNCTION("""COMPUTED_VALUE"""),17.95)</f>
        <v>17.95</v>
      </c>
      <c r="AM459" s="320">
        <f>IFERROR(__xludf.DUMMYFUNCTION("""COMPUTED_VALUE"""),23.76)</f>
        <v>23.76</v>
      </c>
      <c r="AN459" s="320">
        <f>IFERROR(__xludf.DUMMYFUNCTION("""COMPUTED_VALUE"""),65.57)</f>
        <v>65.57</v>
      </c>
      <c r="AO459" s="320">
        <f>IFERROR(__xludf.DUMMYFUNCTION("""COMPUTED_VALUE"""),11.77)</f>
        <v>11.77</v>
      </c>
    </row>
    <row r="460" ht="15.75" customHeight="1">
      <c r="A460" s="330">
        <f>IFERROR(__xludf.DUMMYFUNCTION("""COMPUTED_VALUE"""),46126.0)</f>
        <v>46126</v>
      </c>
      <c r="B460" s="319" t="str">
        <f>IFERROR(__xludf.DUMMYFUNCTION("""COMPUTED_VALUE"""),"C. 10-19")</f>
        <v>C. 10-19</v>
      </c>
      <c r="C460" s="320">
        <f>IFERROR(__xludf.DUMMYFUNCTION("""COMPUTED_VALUE"""),26942.0)</f>
        <v>26942</v>
      </c>
      <c r="D460" s="320">
        <f>IFERROR(__xludf.DUMMYFUNCTION("""COMPUTED_VALUE"""),25.34)</f>
        <v>25.34</v>
      </c>
      <c r="E460" s="320">
        <f>IFERROR(__xludf.DUMMYFUNCTION("""COMPUTED_VALUE"""),0.0)</f>
        <v>0</v>
      </c>
      <c r="F460" s="320">
        <f>IFERROR(__xludf.DUMMYFUNCTION("""COMPUTED_VALUE"""),0.0)</f>
        <v>0</v>
      </c>
      <c r="G460" s="320">
        <f>IFERROR(__xludf.DUMMYFUNCTION("""COMPUTED_VALUE"""),0.0)</f>
        <v>0</v>
      </c>
      <c r="H460" s="106"/>
      <c r="I460" s="320">
        <f>IFERROR(__xludf.DUMMYFUNCTION("""COMPUTED_VALUE"""),54.25)</f>
        <v>54.25</v>
      </c>
      <c r="J460" s="320">
        <f>IFERROR(__xludf.DUMMYFUNCTION("""COMPUTED_VALUE"""),25.54)</f>
        <v>25.54</v>
      </c>
      <c r="K460" s="320">
        <f>IFERROR(__xludf.DUMMYFUNCTION("""COMPUTED_VALUE"""),14.19)</f>
        <v>14.19</v>
      </c>
      <c r="L460" s="320">
        <f>IFERROR(__xludf.DUMMYFUNCTION("""COMPUTED_VALUE"""),0.5554)</f>
        <v>0.5554</v>
      </c>
      <c r="M460" s="320">
        <f>IFERROR(__xludf.DUMMYFUNCTION("""COMPUTED_VALUE"""),0.649)</f>
        <v>0.649</v>
      </c>
      <c r="N460" s="320">
        <f>IFERROR(__xludf.DUMMYFUNCTION("""COMPUTED_VALUE"""),0.4595)</f>
        <v>0.4595</v>
      </c>
      <c r="O460" s="320">
        <f>IFERROR(__xludf.DUMMYFUNCTION("""COMPUTED_VALUE"""),1.8005)</f>
        <v>1.8005</v>
      </c>
      <c r="P460" s="320">
        <f>IFERROR(__xludf.DUMMYFUNCTION("""COMPUTED_VALUE"""),103.12)</f>
        <v>103.12</v>
      </c>
      <c r="Q460" s="320">
        <f>IFERROR(__xludf.DUMMYFUNCTION("""COMPUTED_VALUE"""),74.92)</f>
        <v>74.92</v>
      </c>
      <c r="R460" s="320">
        <f>IFERROR(__xludf.DUMMYFUNCTION("""COMPUTED_VALUE"""),28.2)</f>
        <v>28.2</v>
      </c>
      <c r="S460" s="320">
        <f>IFERROR(__xludf.DUMMYFUNCTION("""COMPUTED_VALUE"""),0.0)</f>
        <v>0</v>
      </c>
      <c r="T460" s="320">
        <f>IFERROR(__xludf.DUMMYFUNCTION("""COMPUTED_VALUE"""),103.12)</f>
        <v>103.12</v>
      </c>
      <c r="U460" s="320">
        <f>IFERROR(__xludf.DUMMYFUNCTION("""COMPUTED_VALUE"""),107.75)</f>
        <v>107.75</v>
      </c>
      <c r="V460" s="320">
        <f>IFERROR(__xludf.DUMMYFUNCTION("""COMPUTED_VALUE"""),4.2186)</f>
        <v>4.2186</v>
      </c>
      <c r="W460" s="320">
        <f>IFERROR(__xludf.DUMMYFUNCTION("""COMPUTED_VALUE"""),0.0)</f>
        <v>0</v>
      </c>
      <c r="X460" s="320">
        <f>IFERROR(__xludf.DUMMYFUNCTION("""COMPUTED_VALUE"""),133.0)</f>
        <v>133</v>
      </c>
      <c r="Y460" s="320">
        <f>IFERROR(__xludf.DUMMYFUNCTION("""COMPUTED_VALUE"""),761.0)</f>
        <v>761</v>
      </c>
      <c r="Z460" s="320">
        <f>IFERROR(__xludf.DUMMYFUNCTION("""COMPUTED_VALUE"""),5979.0)</f>
        <v>5979</v>
      </c>
      <c r="AA460" s="320">
        <f>IFERROR(__xludf.DUMMYFUNCTION("""COMPUTED_VALUE"""),52.1832)</f>
        <v>52.1832</v>
      </c>
      <c r="AB460" s="320">
        <f>IFERROR(__xludf.DUMMYFUNCTION("""COMPUTED_VALUE"""),0.5946)</f>
        <v>0.5946</v>
      </c>
      <c r="AC460" s="320">
        <f>IFERROR(__xludf.DUMMYFUNCTION("""COMPUTED_VALUE"""),9.5)</f>
        <v>9.5</v>
      </c>
      <c r="AD460" s="320">
        <f>IFERROR(__xludf.DUMMYFUNCTION("""COMPUTED_VALUE"""),3.0)</f>
        <v>3</v>
      </c>
      <c r="AE460" s="320">
        <f>IFERROR(__xludf.DUMMYFUNCTION("""COMPUTED_VALUE"""),8.0)</f>
        <v>8</v>
      </c>
      <c r="AF460" s="320">
        <f>IFERROR(__xludf.DUMMYFUNCTION("""COMPUTED_VALUE"""),13.0)</f>
        <v>13</v>
      </c>
      <c r="AG460" s="320">
        <f>IFERROR(__xludf.DUMMYFUNCTION("""COMPUTED_VALUE"""),20.0)</f>
        <v>20</v>
      </c>
      <c r="AH460" s="320">
        <f>IFERROR(__xludf.DUMMYFUNCTION("""COMPUTED_VALUE"""),60.8)</f>
        <v>60.8</v>
      </c>
      <c r="AI460" s="320">
        <f>IFERROR(__xludf.DUMMYFUNCTION("""COMPUTED_VALUE"""),26.84)</f>
        <v>26.84</v>
      </c>
      <c r="AJ460" s="320">
        <f>IFERROR(__xludf.DUMMYFUNCTION("""COMPUTED_VALUE"""),4.71)</f>
        <v>4.71</v>
      </c>
      <c r="AK460" s="320">
        <f>IFERROR(__xludf.DUMMYFUNCTION("""COMPUTED_VALUE"""),0.1768)</f>
        <v>0.1768</v>
      </c>
      <c r="AL460" s="320">
        <f>IFERROR(__xludf.DUMMYFUNCTION("""COMPUTED_VALUE"""),18.48)</f>
        <v>18.48</v>
      </c>
      <c r="AM460" s="320">
        <f>IFERROR(__xludf.DUMMYFUNCTION("""COMPUTED_VALUE"""),56.43)</f>
        <v>56.43</v>
      </c>
      <c r="AN460" s="320">
        <f>IFERROR(__xludf.DUMMYFUNCTION("""COMPUTED_VALUE"""),71.97)</f>
        <v>71.97</v>
      </c>
      <c r="AO460" s="320">
        <f>IFERROR(__xludf.DUMMYFUNCTION("""COMPUTED_VALUE"""),13.3)</f>
        <v>13.3</v>
      </c>
    </row>
    <row r="461" ht="15.75" customHeight="1">
      <c r="A461" s="330">
        <f>IFERROR(__xludf.DUMMYFUNCTION("""COMPUTED_VALUE"""),46126.0)</f>
        <v>46126</v>
      </c>
      <c r="B461" s="319" t="str">
        <f>IFERROR(__xludf.DUMMYFUNCTION("""COMPUTED_VALUE"""),"D. 20-39")</f>
        <v>D. 20-39</v>
      </c>
      <c r="C461" s="320">
        <f>IFERROR(__xludf.DUMMYFUNCTION("""COMPUTED_VALUE"""),15198.0)</f>
        <v>15198</v>
      </c>
      <c r="D461" s="320">
        <f>IFERROR(__xludf.DUMMYFUNCTION("""COMPUTED_VALUE"""),14.3)</f>
        <v>14.3</v>
      </c>
      <c r="E461" s="320">
        <f>IFERROR(__xludf.DUMMYFUNCTION("""COMPUTED_VALUE"""),0.0)</f>
        <v>0</v>
      </c>
      <c r="F461" s="320">
        <f>IFERROR(__xludf.DUMMYFUNCTION("""COMPUTED_VALUE"""),0.0)</f>
        <v>0</v>
      </c>
      <c r="G461" s="320">
        <f>IFERROR(__xludf.DUMMYFUNCTION("""COMPUTED_VALUE"""),0.0)</f>
        <v>0</v>
      </c>
      <c r="H461" s="106"/>
      <c r="I461" s="320">
        <f>IFERROR(__xludf.DUMMYFUNCTION("""COMPUTED_VALUE"""),83.66)</f>
        <v>83.66</v>
      </c>
      <c r="J461" s="320">
        <f>IFERROR(__xludf.DUMMYFUNCTION("""COMPUTED_VALUE"""),41.93)</f>
        <v>41.93</v>
      </c>
      <c r="K461" s="320">
        <f>IFERROR(__xludf.DUMMYFUNCTION("""COMPUTED_VALUE"""),28.49)</f>
        <v>28.49</v>
      </c>
      <c r="L461" s="320">
        <f>IFERROR(__xludf.DUMMYFUNCTION("""COMPUTED_VALUE"""),0.6796)</f>
        <v>0.6796</v>
      </c>
      <c r="M461" s="320">
        <f>IFERROR(__xludf.DUMMYFUNCTION("""COMPUTED_VALUE"""),0.5214)</f>
        <v>0.5214</v>
      </c>
      <c r="N461" s="320">
        <f>IFERROR(__xludf.DUMMYFUNCTION("""COMPUTED_VALUE"""),0.3631)</f>
        <v>0.3631</v>
      </c>
      <c r="O461" s="320">
        <f>IFERROR(__xludf.DUMMYFUNCTION("""COMPUTED_VALUE"""),1.4715)</f>
        <v>1.4715</v>
      </c>
      <c r="P461" s="320">
        <f>IFERROR(__xludf.DUMMYFUNCTION("""COMPUTED_VALUE"""),188.49)</f>
        <v>188.49</v>
      </c>
      <c r="Q461" s="320">
        <f>IFERROR(__xludf.DUMMYFUNCTION("""COMPUTED_VALUE"""),135.07)</f>
        <v>135.07</v>
      </c>
      <c r="R461" s="320">
        <f>IFERROR(__xludf.DUMMYFUNCTION("""COMPUTED_VALUE"""),53.42)</f>
        <v>53.42</v>
      </c>
      <c r="S461" s="320">
        <f>IFERROR(__xludf.DUMMYFUNCTION("""COMPUTED_VALUE"""),0.0)</f>
        <v>0</v>
      </c>
      <c r="T461" s="320">
        <f>IFERROR(__xludf.DUMMYFUNCTION("""COMPUTED_VALUE"""),188.49)</f>
        <v>188.49</v>
      </c>
      <c r="U461" s="320">
        <f>IFERROR(__xludf.DUMMYFUNCTION("""COMPUTED_VALUE"""),194.15)</f>
        <v>194.15</v>
      </c>
      <c r="V461" s="320">
        <f>IFERROR(__xludf.DUMMYFUNCTION("""COMPUTED_VALUE"""),4.6308)</f>
        <v>4.6308</v>
      </c>
      <c r="W461" s="320">
        <f>IFERROR(__xludf.DUMMYFUNCTION("""COMPUTED_VALUE"""),0.0)</f>
        <v>0</v>
      </c>
      <c r="X461" s="320">
        <f>IFERROR(__xludf.DUMMYFUNCTION("""COMPUTED_VALUE"""),171.0)</f>
        <v>171</v>
      </c>
      <c r="Y461" s="320">
        <f>IFERROR(__xludf.DUMMYFUNCTION("""COMPUTED_VALUE"""),1114.0)</f>
        <v>1114</v>
      </c>
      <c r="Z461" s="320">
        <f>IFERROR(__xludf.DUMMYFUNCTION("""COMPUTED_VALUE"""),7208.0)</f>
        <v>7208</v>
      </c>
      <c r="AA461" s="320">
        <f>IFERROR(__xludf.DUMMYFUNCTION("""COMPUTED_VALUE"""),55.4376)</f>
        <v>55.4376</v>
      </c>
      <c r="AB461" s="320">
        <f>IFERROR(__xludf.DUMMYFUNCTION("""COMPUTED_VALUE"""),0.6821)</f>
        <v>0.6821</v>
      </c>
      <c r="AC461" s="320">
        <f>IFERROR(__xludf.DUMMYFUNCTION("""COMPUTED_VALUE"""),17.49)</f>
        <v>17.49</v>
      </c>
      <c r="AD461" s="320">
        <f>IFERROR(__xludf.DUMMYFUNCTION("""COMPUTED_VALUE"""),7.0)</f>
        <v>7</v>
      </c>
      <c r="AE461" s="320">
        <f>IFERROR(__xludf.DUMMYFUNCTION("""COMPUTED_VALUE"""),14.0)</f>
        <v>14</v>
      </c>
      <c r="AF461" s="320">
        <f>IFERROR(__xludf.DUMMYFUNCTION("""COMPUTED_VALUE"""),24.0)</f>
        <v>24</v>
      </c>
      <c r="AG461" s="320">
        <f>IFERROR(__xludf.DUMMYFUNCTION("""COMPUTED_VALUE"""),36.0)</f>
        <v>36</v>
      </c>
      <c r="AH461" s="320">
        <f>IFERROR(__xludf.DUMMYFUNCTION("""COMPUTED_VALUE"""),59.28)</f>
        <v>59.28</v>
      </c>
      <c r="AI461" s="320">
        <f>IFERROR(__xludf.DUMMYFUNCTION("""COMPUTED_VALUE"""),22.7)</f>
        <v>22.7</v>
      </c>
      <c r="AJ461" s="320">
        <f>IFERROR(__xludf.DUMMYFUNCTION("""COMPUTED_VALUE"""),6.52)</f>
        <v>6.52</v>
      </c>
      <c r="AK461" s="320">
        <f>IFERROR(__xludf.DUMMYFUNCTION("""COMPUTED_VALUE"""),0.1541)</f>
        <v>0.1541</v>
      </c>
      <c r="AL461" s="320">
        <f>IFERROR(__xludf.DUMMYFUNCTION("""COMPUTED_VALUE"""),18.73)</f>
        <v>18.73</v>
      </c>
      <c r="AM461" s="320">
        <f>IFERROR(__xludf.DUMMYFUNCTION("""COMPUTED_VALUE"""),116.34)</f>
        <v>116.34</v>
      </c>
      <c r="AN461" s="320">
        <f>IFERROR(__xludf.DUMMYFUNCTION("""COMPUTED_VALUE"""),74.38)</f>
        <v>74.38</v>
      </c>
      <c r="AO461" s="320">
        <f>IFERROR(__xludf.DUMMYFUNCTION("""COMPUTED_VALUE"""),13.93)</f>
        <v>13.93</v>
      </c>
    </row>
    <row r="462" ht="15.75" customHeight="1">
      <c r="A462" s="330">
        <f>IFERROR(__xludf.DUMMYFUNCTION("""COMPUTED_VALUE"""),46126.0)</f>
        <v>46126</v>
      </c>
      <c r="B462" s="319" t="str">
        <f>IFERROR(__xludf.DUMMYFUNCTION("""COMPUTED_VALUE"""),"E. 40-99")</f>
        <v>E. 40-99</v>
      </c>
      <c r="C462" s="320">
        <f>IFERROR(__xludf.DUMMYFUNCTION("""COMPUTED_VALUE"""),5443.0)</f>
        <v>5443</v>
      </c>
      <c r="D462" s="320">
        <f>IFERROR(__xludf.DUMMYFUNCTION("""COMPUTED_VALUE"""),5.12)</f>
        <v>5.12</v>
      </c>
      <c r="E462" s="320">
        <f>IFERROR(__xludf.DUMMYFUNCTION("""COMPUTED_VALUE"""),0.0)</f>
        <v>0</v>
      </c>
      <c r="F462" s="320">
        <f>IFERROR(__xludf.DUMMYFUNCTION("""COMPUTED_VALUE"""),0.0)</f>
        <v>0</v>
      </c>
      <c r="G462" s="320">
        <f>IFERROR(__xludf.DUMMYFUNCTION("""COMPUTED_VALUE"""),0.0)</f>
        <v>0</v>
      </c>
      <c r="H462" s="106"/>
      <c r="I462" s="320">
        <f>IFERROR(__xludf.DUMMYFUNCTION("""COMPUTED_VALUE"""),127.85)</f>
        <v>127.85</v>
      </c>
      <c r="J462" s="320">
        <f>IFERROR(__xludf.DUMMYFUNCTION("""COMPUTED_VALUE"""),69.74)</f>
        <v>69.74</v>
      </c>
      <c r="K462" s="320">
        <f>IFERROR(__xludf.DUMMYFUNCTION("""COMPUTED_VALUE"""),56.0)</f>
        <v>56</v>
      </c>
      <c r="L462" s="320">
        <f>IFERROR(__xludf.DUMMYFUNCTION("""COMPUTED_VALUE"""),0.8031)</f>
        <v>0.8031</v>
      </c>
      <c r="M462" s="320">
        <f>IFERROR(__xludf.DUMMYFUNCTION("""COMPUTED_VALUE"""),0.3833)</f>
        <v>0.3833</v>
      </c>
      <c r="N462" s="320">
        <f>IFERROR(__xludf.DUMMYFUNCTION("""COMPUTED_VALUE"""),0.2795)</f>
        <v>0.2795</v>
      </c>
      <c r="O462" s="320">
        <f>IFERROR(__xludf.DUMMYFUNCTION("""COMPUTED_VALUE"""),1.2452)</f>
        <v>1.2452</v>
      </c>
      <c r="P462" s="320">
        <f>IFERROR(__xludf.DUMMYFUNCTION("""COMPUTED_VALUE"""),359.27)</f>
        <v>359.27</v>
      </c>
      <c r="Q462" s="320">
        <f>IFERROR(__xludf.DUMMYFUNCTION("""COMPUTED_VALUE"""),246.37)</f>
        <v>246.37</v>
      </c>
      <c r="R462" s="320">
        <f>IFERROR(__xludf.DUMMYFUNCTION("""COMPUTED_VALUE"""),112.89)</f>
        <v>112.89</v>
      </c>
      <c r="S462" s="320">
        <f>IFERROR(__xludf.DUMMYFUNCTION("""COMPUTED_VALUE"""),0.0)</f>
        <v>0</v>
      </c>
      <c r="T462" s="320">
        <f>IFERROR(__xludf.DUMMYFUNCTION("""COMPUTED_VALUE"""),359.27)</f>
        <v>359.27</v>
      </c>
      <c r="U462" s="320">
        <f>IFERROR(__xludf.DUMMYFUNCTION("""COMPUTED_VALUE"""),348.69)</f>
        <v>348.69</v>
      </c>
      <c r="V462" s="320">
        <f>IFERROR(__xludf.DUMMYFUNCTION("""COMPUTED_VALUE"""),4.9998)</f>
        <v>4.9998</v>
      </c>
      <c r="W462" s="320">
        <f>IFERROR(__xludf.DUMMYFUNCTION("""COMPUTED_VALUE"""),0.0)</f>
        <v>0</v>
      </c>
      <c r="X462" s="320">
        <f>IFERROR(__xludf.DUMMYFUNCTION("""COMPUTED_VALUE"""),323.0)</f>
        <v>323</v>
      </c>
      <c r="Y462" s="320">
        <f>IFERROR(__xludf.DUMMYFUNCTION("""COMPUTED_VALUE"""),2285.0)</f>
        <v>2285</v>
      </c>
      <c r="Z462" s="320">
        <f>IFERROR(__xludf.DUMMYFUNCTION("""COMPUTED_VALUE"""),9582.0)</f>
        <v>9582</v>
      </c>
      <c r="AA462" s="320">
        <f>IFERROR(__xludf.DUMMYFUNCTION("""COMPUTED_VALUE"""),59.5898)</f>
        <v>59.5898</v>
      </c>
      <c r="AB462" s="320">
        <f>IFERROR(__xludf.DUMMYFUNCTION("""COMPUTED_VALUE"""),0.8358)</f>
        <v>0.8358</v>
      </c>
      <c r="AC462" s="320">
        <f>IFERROR(__xludf.DUMMYFUNCTION("""COMPUTED_VALUE"""),39.09)</f>
        <v>39.09</v>
      </c>
      <c r="AD462" s="320">
        <f>IFERROR(__xludf.DUMMYFUNCTION("""COMPUTED_VALUE"""),16.0)</f>
        <v>16</v>
      </c>
      <c r="AE462" s="320">
        <f>IFERROR(__xludf.DUMMYFUNCTION("""COMPUTED_VALUE"""),31.0)</f>
        <v>31</v>
      </c>
      <c r="AF462" s="320">
        <f>IFERROR(__xludf.DUMMYFUNCTION("""COMPUTED_VALUE"""),55.0)</f>
        <v>55</v>
      </c>
      <c r="AG462" s="320">
        <f>IFERROR(__xludf.DUMMYFUNCTION("""COMPUTED_VALUE"""),80.0)</f>
        <v>80</v>
      </c>
      <c r="AH462" s="320">
        <f>IFERROR(__xludf.DUMMYFUNCTION("""COMPUTED_VALUE"""),55.32)</f>
        <v>55.32</v>
      </c>
      <c r="AI462" s="320">
        <f>IFERROR(__xludf.DUMMYFUNCTION("""COMPUTED_VALUE"""),20.69)</f>
        <v>20.69</v>
      </c>
      <c r="AJ462" s="320">
        <f>IFERROR(__xludf.DUMMYFUNCTION("""COMPUTED_VALUE"""),4.94)</f>
        <v>4.94</v>
      </c>
      <c r="AK462" s="320">
        <f>IFERROR(__xludf.DUMMYFUNCTION("""COMPUTED_VALUE"""),0.1231)</f>
        <v>0.1231</v>
      </c>
      <c r="AL462" s="320">
        <f>IFERROR(__xludf.DUMMYFUNCTION("""COMPUTED_VALUE"""),20.62)</f>
        <v>20.62</v>
      </c>
      <c r="AM462" s="320">
        <f>IFERROR(__xludf.DUMMYFUNCTION("""COMPUTED_VALUE"""),225.75)</f>
        <v>225.75</v>
      </c>
      <c r="AN462" s="320">
        <f>IFERROR(__xludf.DUMMYFUNCTION("""COMPUTED_VALUE"""),83.16)</f>
        <v>83.16</v>
      </c>
      <c r="AO462" s="320">
        <f>IFERROR(__xludf.DUMMYFUNCTION("""COMPUTED_VALUE"""),17.15)</f>
        <v>17.15</v>
      </c>
    </row>
    <row r="463" ht="15.75" customHeight="1">
      <c r="A463" s="330">
        <f>IFERROR(__xludf.DUMMYFUNCTION("""COMPUTED_VALUE"""),46126.0)</f>
        <v>46126</v>
      </c>
      <c r="B463" s="319" t="str">
        <f>IFERROR(__xludf.DUMMYFUNCTION("""COMPUTED_VALUE"""),"F. 100+")</f>
        <v>F. 100+</v>
      </c>
      <c r="C463" s="320">
        <f>IFERROR(__xludf.DUMMYFUNCTION("""COMPUTED_VALUE"""),644.0)</f>
        <v>644</v>
      </c>
      <c r="D463" s="320">
        <f>IFERROR(__xludf.DUMMYFUNCTION("""COMPUTED_VALUE"""),0.61)</f>
        <v>0.61</v>
      </c>
      <c r="E463" s="320">
        <f>IFERROR(__xludf.DUMMYFUNCTION("""COMPUTED_VALUE"""),0.0)</f>
        <v>0</v>
      </c>
      <c r="F463" s="320">
        <f>IFERROR(__xludf.DUMMYFUNCTION("""COMPUTED_VALUE"""),0.0)</f>
        <v>0</v>
      </c>
      <c r="G463" s="320">
        <f>IFERROR(__xludf.DUMMYFUNCTION("""COMPUTED_VALUE"""),0.0)</f>
        <v>0</v>
      </c>
      <c r="H463" s="106"/>
      <c r="I463" s="320">
        <f>IFERROR(__xludf.DUMMYFUNCTION("""COMPUTED_VALUE"""),245.01)</f>
        <v>245.01</v>
      </c>
      <c r="J463" s="320">
        <f>IFERROR(__xludf.DUMMYFUNCTION("""COMPUTED_VALUE"""),144.52)</f>
        <v>144.52</v>
      </c>
      <c r="K463" s="320">
        <f>IFERROR(__xludf.DUMMYFUNCTION("""COMPUTED_VALUE"""),128.66)</f>
        <v>128.66</v>
      </c>
      <c r="L463" s="320">
        <f>IFERROR(__xludf.DUMMYFUNCTION("""COMPUTED_VALUE"""),0.8903)</f>
        <v>0.8903</v>
      </c>
      <c r="M463" s="320">
        <f>IFERROR(__xludf.DUMMYFUNCTION("""COMPUTED_VALUE"""),0.2709)</f>
        <v>0.2709</v>
      </c>
      <c r="N463" s="320">
        <f>IFERROR(__xludf.DUMMYFUNCTION("""COMPUTED_VALUE"""),0.2105)</f>
        <v>0.2105</v>
      </c>
      <c r="O463" s="320">
        <f>IFERROR(__xludf.DUMMYFUNCTION("""COMPUTED_VALUE"""),1.1232)</f>
        <v>1.1232</v>
      </c>
      <c r="P463" s="320">
        <f>IFERROR(__xludf.DUMMYFUNCTION("""COMPUTED_VALUE"""),740.42)</f>
        <v>740.42</v>
      </c>
      <c r="Q463" s="320">
        <f>IFERROR(__xludf.DUMMYFUNCTION("""COMPUTED_VALUE"""),477.71)</f>
        <v>477.71</v>
      </c>
      <c r="R463" s="320">
        <f>IFERROR(__xludf.DUMMYFUNCTION("""COMPUTED_VALUE"""),262.71)</f>
        <v>262.71</v>
      </c>
      <c r="S463" s="320">
        <f>IFERROR(__xludf.DUMMYFUNCTION("""COMPUTED_VALUE"""),0.0)</f>
        <v>0</v>
      </c>
      <c r="T463" s="320">
        <f>IFERROR(__xludf.DUMMYFUNCTION("""COMPUTED_VALUE"""),740.42)</f>
        <v>740.42</v>
      </c>
      <c r="U463" s="320">
        <f>IFERROR(__xludf.DUMMYFUNCTION("""COMPUTED_VALUE"""),670.19)</f>
        <v>670.19</v>
      </c>
      <c r="V463" s="320">
        <f>IFERROR(__xludf.DUMMYFUNCTION("""COMPUTED_VALUE"""),4.6373)</f>
        <v>4.6373</v>
      </c>
      <c r="W463" s="320">
        <f>IFERROR(__xludf.DUMMYFUNCTION("""COMPUTED_VALUE"""),0.0)</f>
        <v>0</v>
      </c>
      <c r="X463" s="320">
        <f>IFERROR(__xludf.DUMMYFUNCTION("""COMPUTED_VALUE"""),955.0)</f>
        <v>955</v>
      </c>
      <c r="Y463" s="320">
        <f>IFERROR(__xludf.DUMMYFUNCTION("""COMPUTED_VALUE"""),4942.0)</f>
        <v>4942</v>
      </c>
      <c r="Z463" s="320">
        <f>IFERROR(__xludf.DUMMYFUNCTION("""COMPUTED_VALUE"""),14648.0)</f>
        <v>14648</v>
      </c>
      <c r="AA463" s="320">
        <f>IFERROR(__xludf.DUMMYFUNCTION("""COMPUTED_VALUE"""),63.5062)</f>
        <v>63.5062</v>
      </c>
      <c r="AB463" s="320">
        <f>IFERROR(__xludf.DUMMYFUNCTION("""COMPUTED_VALUE"""),0.9006)</f>
        <v>0.9006</v>
      </c>
      <c r="AC463" s="320">
        <f>IFERROR(__xludf.DUMMYFUNCTION("""COMPUTED_VALUE"""),93.49)</f>
        <v>93.49</v>
      </c>
      <c r="AD463" s="320">
        <f>IFERROR(__xludf.DUMMYFUNCTION("""COMPUTED_VALUE"""),42.0)</f>
        <v>42</v>
      </c>
      <c r="AE463" s="320">
        <f>IFERROR(__xludf.DUMMYFUNCTION("""COMPUTED_VALUE"""),81.0)</f>
        <v>81</v>
      </c>
      <c r="AF463" s="320">
        <f>IFERROR(__xludf.DUMMYFUNCTION("""COMPUTED_VALUE"""),128.0)</f>
        <v>128</v>
      </c>
      <c r="AG463" s="320">
        <f>IFERROR(__xludf.DUMMYFUNCTION("""COMPUTED_VALUE"""),181.0)</f>
        <v>181</v>
      </c>
      <c r="AH463" s="320">
        <f>IFERROR(__xludf.DUMMYFUNCTION("""COMPUTED_VALUE"""),51.24)</f>
        <v>51.24</v>
      </c>
      <c r="AI463" s="320">
        <f>IFERROR(__xludf.DUMMYFUNCTION("""COMPUTED_VALUE"""),11.18)</f>
        <v>11.18</v>
      </c>
      <c r="AJ463" s="320">
        <f>IFERROR(__xludf.DUMMYFUNCTION("""COMPUTED_VALUE"""),0.78)</f>
        <v>0.78</v>
      </c>
      <c r="AK463" s="320">
        <f>IFERROR(__xludf.DUMMYFUNCTION("""COMPUTED_VALUE"""),0.073)</f>
        <v>0.073</v>
      </c>
      <c r="AL463" s="320">
        <f>IFERROR(__xludf.DUMMYFUNCTION("""COMPUTED_VALUE"""),22.24)</f>
        <v>22.24</v>
      </c>
      <c r="AM463" s="320">
        <f>IFERROR(__xludf.DUMMYFUNCTION("""COMPUTED_VALUE"""),455.48)</f>
        <v>455.48</v>
      </c>
      <c r="AN463" s="320">
        <f>IFERROR(__xludf.DUMMYFUNCTION("""COMPUTED_VALUE"""),86.25)</f>
        <v>86.25</v>
      </c>
      <c r="AO463" s="320">
        <f>IFERROR(__xludf.DUMMYFUNCTION("""COMPUTED_VALUE"""),19.18)</f>
        <v>19.18</v>
      </c>
    </row>
    <row r="464" ht="15.75" customHeight="1">
      <c r="A464" s="330">
        <f>IFERROR(__xludf.DUMMYFUNCTION("""COMPUTED_VALUE"""),46127.0)</f>
        <v>46127</v>
      </c>
      <c r="B464" s="319" t="str">
        <f>IFERROR(__xludf.DUMMYFUNCTION("""COMPUTED_VALUE"""),"A. 0")</f>
        <v>A. 0</v>
      </c>
      <c r="C464" s="320">
        <f>IFERROR(__xludf.DUMMYFUNCTION("""COMPUTED_VALUE"""),20419.0)</f>
        <v>20419</v>
      </c>
      <c r="D464" s="320">
        <f>IFERROR(__xludf.DUMMYFUNCTION("""COMPUTED_VALUE"""),19.48)</f>
        <v>19.48</v>
      </c>
      <c r="E464" s="320">
        <f>IFERROR(__xludf.DUMMYFUNCTION("""COMPUTED_VALUE"""),0.0)</f>
        <v>0</v>
      </c>
      <c r="F464" s="320">
        <f>IFERROR(__xludf.DUMMYFUNCTION("""COMPUTED_VALUE"""),0.0)</f>
        <v>0</v>
      </c>
      <c r="G464" s="320">
        <f>IFERROR(__xludf.DUMMYFUNCTION("""COMPUTED_VALUE"""),0.0)</f>
        <v>0</v>
      </c>
      <c r="H464" s="106"/>
      <c r="I464" s="320">
        <f>IFERROR(__xludf.DUMMYFUNCTION("""COMPUTED_VALUE"""),6.25)</f>
        <v>6.25</v>
      </c>
      <c r="J464" s="320">
        <f>IFERROR(__xludf.DUMMYFUNCTION("""COMPUTED_VALUE"""),2.57)</f>
        <v>2.57</v>
      </c>
      <c r="K464" s="320">
        <f>IFERROR(__xludf.DUMMYFUNCTION("""COMPUTED_VALUE"""),0.03)</f>
        <v>0.03</v>
      </c>
      <c r="L464" s="320">
        <f>IFERROR(__xludf.DUMMYFUNCTION("""COMPUTED_VALUE"""),0.0133)</f>
        <v>0.0133</v>
      </c>
      <c r="M464" s="320">
        <f>IFERROR(__xludf.DUMMYFUNCTION("""COMPUTED_VALUE"""),0.9903)</f>
        <v>0.9903</v>
      </c>
      <c r="N464" s="320">
        <f>IFERROR(__xludf.DUMMYFUNCTION("""COMPUTED_VALUE"""),0.8706)</f>
        <v>0.8706</v>
      </c>
      <c r="O464" s="320">
        <f>IFERROR(__xludf.DUMMYFUNCTION("""COMPUTED_VALUE"""),75.0444)</f>
        <v>75.0444</v>
      </c>
      <c r="P464" s="320">
        <f>IFERROR(__xludf.DUMMYFUNCTION("""COMPUTED_VALUE"""),21.01)</f>
        <v>21.01</v>
      </c>
      <c r="Q464" s="320">
        <f>IFERROR(__xludf.DUMMYFUNCTION("""COMPUTED_VALUE"""),20.87)</f>
        <v>20.87</v>
      </c>
      <c r="R464" s="320">
        <f>IFERROR(__xludf.DUMMYFUNCTION("""COMPUTED_VALUE"""),0.13)</f>
        <v>0.13</v>
      </c>
      <c r="S464" s="320">
        <f>IFERROR(__xludf.DUMMYFUNCTION("""COMPUTED_VALUE"""),0.0)</f>
        <v>0</v>
      </c>
      <c r="T464" s="320">
        <f>IFERROR(__xludf.DUMMYFUNCTION("""COMPUTED_VALUE"""),21.01)</f>
        <v>21.01</v>
      </c>
      <c r="U464" s="320">
        <f>IFERROR(__xludf.DUMMYFUNCTION("""COMPUTED_VALUE"""),1.71)</f>
        <v>1.71</v>
      </c>
      <c r="V464" s="320">
        <f>IFERROR(__xludf.DUMMYFUNCTION("""COMPUTED_VALUE"""),0.6672)</f>
        <v>0.6672</v>
      </c>
      <c r="W464" s="320">
        <f>IFERROR(__xludf.DUMMYFUNCTION("""COMPUTED_VALUE"""),0.0)</f>
        <v>0</v>
      </c>
      <c r="X464" s="320">
        <f>IFERROR(__xludf.DUMMYFUNCTION("""COMPUTED_VALUE"""),358.0)</f>
        <v>358</v>
      </c>
      <c r="Y464" s="320">
        <f>IFERROR(__xludf.DUMMYFUNCTION("""COMPUTED_VALUE"""),3814.0)</f>
        <v>3814</v>
      </c>
      <c r="Z464" s="320">
        <f>IFERROR(__xludf.DUMMYFUNCTION("""COMPUTED_VALUE"""),15293.0)</f>
        <v>15293</v>
      </c>
      <c r="AA464" s="320">
        <f>IFERROR(__xludf.DUMMYFUNCTION("""COMPUTED_VALUE"""),49.2151)</f>
        <v>49.2151</v>
      </c>
      <c r="AB464" s="320">
        <f>IFERROR(__xludf.DUMMYFUNCTION("""COMPUTED_VALUE"""),0.5457)</f>
        <v>0.5457</v>
      </c>
      <c r="AC464" s="106"/>
      <c r="AD464" s="106"/>
      <c r="AE464" s="106"/>
      <c r="AF464" s="106"/>
      <c r="AG464" s="106"/>
      <c r="AH464" s="320">
        <f>IFERROR(__xludf.DUMMYFUNCTION("""COMPUTED_VALUE"""),0.0)</f>
        <v>0</v>
      </c>
      <c r="AI464" s="320">
        <f>IFERROR(__xludf.DUMMYFUNCTION("""COMPUTED_VALUE"""),0.0)</f>
        <v>0</v>
      </c>
      <c r="AJ464" s="320">
        <f>IFERROR(__xludf.DUMMYFUNCTION("""COMPUTED_VALUE"""),0.0)</f>
        <v>0</v>
      </c>
      <c r="AK464" s="320">
        <f>IFERROR(__xludf.DUMMYFUNCTION("""COMPUTED_VALUE"""),0.2864)</f>
        <v>0.2864</v>
      </c>
      <c r="AL464" s="320">
        <f>IFERROR(__xludf.DUMMYFUNCTION("""COMPUTED_VALUE"""),15.85)</f>
        <v>15.85</v>
      </c>
      <c r="AM464" s="320">
        <f>IFERROR(__xludf.DUMMYFUNCTION("""COMPUTED_VALUE"""),5.02)</f>
        <v>5.02</v>
      </c>
      <c r="AN464" s="331"/>
      <c r="AO464" s="331"/>
    </row>
    <row r="465" ht="15.75" customHeight="1">
      <c r="A465" s="330">
        <f>IFERROR(__xludf.DUMMYFUNCTION("""COMPUTED_VALUE"""),46127.0)</f>
        <v>46127</v>
      </c>
      <c r="B465" s="319" t="str">
        <f>IFERROR(__xludf.DUMMYFUNCTION("""COMPUTED_VALUE"""),"B. 1-9")</f>
        <v>B. 1-9</v>
      </c>
      <c r="C465" s="320">
        <f>IFERROR(__xludf.DUMMYFUNCTION("""COMPUTED_VALUE"""),37722.0)</f>
        <v>37722</v>
      </c>
      <c r="D465" s="320">
        <f>IFERROR(__xludf.DUMMYFUNCTION("""COMPUTED_VALUE"""),35.99)</f>
        <v>35.99</v>
      </c>
      <c r="E465" s="320">
        <f>IFERROR(__xludf.DUMMYFUNCTION("""COMPUTED_VALUE"""),0.0)</f>
        <v>0</v>
      </c>
      <c r="F465" s="320">
        <f>IFERROR(__xludf.DUMMYFUNCTION("""COMPUTED_VALUE"""),0.0)</f>
        <v>0</v>
      </c>
      <c r="G465" s="320">
        <f>IFERROR(__xludf.DUMMYFUNCTION("""COMPUTED_VALUE"""),0.0)</f>
        <v>0</v>
      </c>
      <c r="H465" s="106"/>
      <c r="I465" s="320">
        <f>IFERROR(__xludf.DUMMYFUNCTION("""COMPUTED_VALUE"""),30.35)</f>
        <v>30.35</v>
      </c>
      <c r="J465" s="320">
        <f>IFERROR(__xludf.DUMMYFUNCTION("""COMPUTED_VALUE"""),14.03)</f>
        <v>14.03</v>
      </c>
      <c r="K465" s="320">
        <f>IFERROR(__xludf.DUMMYFUNCTION("""COMPUTED_VALUE"""),5.52)</f>
        <v>5.52</v>
      </c>
      <c r="L465" s="320">
        <f>IFERROR(__xludf.DUMMYFUNCTION("""COMPUTED_VALUE"""),0.3938)</f>
        <v>0.3938</v>
      </c>
      <c r="M465" s="320">
        <f>IFERROR(__xludf.DUMMYFUNCTION("""COMPUTED_VALUE"""),0.7691)</f>
        <v>0.7691</v>
      </c>
      <c r="N465" s="320">
        <f>IFERROR(__xludf.DUMMYFUNCTION("""COMPUTED_VALUE"""),0.5621)</f>
        <v>0.5621</v>
      </c>
      <c r="O465" s="320">
        <f>IFERROR(__xludf.DUMMYFUNCTION("""COMPUTED_VALUE"""),2.5391)</f>
        <v>2.5391</v>
      </c>
      <c r="P465" s="320">
        <f>IFERROR(__xludf.DUMMYFUNCTION("""COMPUTED_VALUE"""),45.07)</f>
        <v>45.07</v>
      </c>
      <c r="Q465" s="320">
        <f>IFERROR(__xludf.DUMMYFUNCTION("""COMPUTED_VALUE"""),33.72)</f>
        <v>33.72</v>
      </c>
      <c r="R465" s="320">
        <f>IFERROR(__xludf.DUMMYFUNCTION("""COMPUTED_VALUE"""),11.35)</f>
        <v>11.35</v>
      </c>
      <c r="S465" s="320">
        <f>IFERROR(__xludf.DUMMYFUNCTION("""COMPUTED_VALUE"""),0.0)</f>
        <v>0</v>
      </c>
      <c r="T465" s="320">
        <f>IFERROR(__xludf.DUMMYFUNCTION("""COMPUTED_VALUE"""),45.07)</f>
        <v>45.07</v>
      </c>
      <c r="U465" s="320">
        <f>IFERROR(__xludf.DUMMYFUNCTION("""COMPUTED_VALUE"""),50.24)</f>
        <v>50.24</v>
      </c>
      <c r="V465" s="320">
        <f>IFERROR(__xludf.DUMMYFUNCTION("""COMPUTED_VALUE"""),3.582)</f>
        <v>3.582</v>
      </c>
      <c r="W465" s="320">
        <f>IFERROR(__xludf.DUMMYFUNCTION("""COMPUTED_VALUE"""),0.0)</f>
        <v>0</v>
      </c>
      <c r="X465" s="320">
        <f>IFERROR(__xludf.DUMMYFUNCTION("""COMPUTED_VALUE"""),142.0)</f>
        <v>142</v>
      </c>
      <c r="Y465" s="320">
        <f>IFERROR(__xludf.DUMMYFUNCTION("""COMPUTED_VALUE"""),894.0)</f>
        <v>894</v>
      </c>
      <c r="Z465" s="320">
        <f>IFERROR(__xludf.DUMMYFUNCTION("""COMPUTED_VALUE"""),5887.0)</f>
        <v>5887</v>
      </c>
      <c r="AA465" s="320">
        <f>IFERROR(__xludf.DUMMYFUNCTION("""COMPUTED_VALUE"""),48.7696)</f>
        <v>48.7696</v>
      </c>
      <c r="AB465" s="320">
        <f>IFERROR(__xludf.DUMMYFUNCTION("""COMPUTED_VALUE"""),0.5353)</f>
        <v>0.5353</v>
      </c>
      <c r="AC465" s="320">
        <f>IFERROR(__xludf.DUMMYFUNCTION("""COMPUTED_VALUE"""),3.98)</f>
        <v>3.98</v>
      </c>
      <c r="AD465" s="320">
        <f>IFERROR(__xludf.DUMMYFUNCTION("""COMPUTED_VALUE"""),1.0)</f>
        <v>1</v>
      </c>
      <c r="AE465" s="320">
        <f>IFERROR(__xludf.DUMMYFUNCTION("""COMPUTED_VALUE"""),3.0)</f>
        <v>3</v>
      </c>
      <c r="AF465" s="320">
        <f>IFERROR(__xludf.DUMMYFUNCTION("""COMPUTED_VALUE"""),5.0)</f>
        <v>5</v>
      </c>
      <c r="AG465" s="320">
        <f>IFERROR(__xludf.DUMMYFUNCTION("""COMPUTED_VALUE"""),9.0)</f>
        <v>9</v>
      </c>
      <c r="AH465" s="320">
        <f>IFERROR(__xludf.DUMMYFUNCTION("""COMPUTED_VALUE"""),73.0)</f>
        <v>73</v>
      </c>
      <c r="AI465" s="320">
        <f>IFERROR(__xludf.DUMMYFUNCTION("""COMPUTED_VALUE"""),30.53)</f>
        <v>30.53</v>
      </c>
      <c r="AJ465" s="320">
        <f>IFERROR(__xludf.DUMMYFUNCTION("""COMPUTED_VALUE"""),8.32)</f>
        <v>8.32</v>
      </c>
      <c r="AK465" s="320">
        <f>IFERROR(__xludf.DUMMYFUNCTION("""COMPUTED_VALUE"""),0.2486)</f>
        <v>0.2486</v>
      </c>
      <c r="AL465" s="320">
        <f>IFERROR(__xludf.DUMMYFUNCTION("""COMPUTED_VALUE"""),18.4)</f>
        <v>18.4</v>
      </c>
      <c r="AM465" s="320">
        <f>IFERROR(__xludf.DUMMYFUNCTION("""COMPUTED_VALUE"""),15.31)</f>
        <v>15.31</v>
      </c>
      <c r="AN465" s="320">
        <f>IFERROR(__xludf.DUMMYFUNCTION("""COMPUTED_VALUE"""),65.41)</f>
        <v>65.41</v>
      </c>
      <c r="AO465" s="320">
        <f>IFERROR(__xludf.DUMMYFUNCTION("""COMPUTED_VALUE"""),12.04)</f>
        <v>12.04</v>
      </c>
    </row>
    <row r="466" ht="15.75" customHeight="1">
      <c r="A466" s="330">
        <f>IFERROR(__xludf.DUMMYFUNCTION("""COMPUTED_VALUE"""),46127.0)</f>
        <v>46127</v>
      </c>
      <c r="B466" s="319" t="str">
        <f>IFERROR(__xludf.DUMMYFUNCTION("""COMPUTED_VALUE"""),"C. 10-19")</f>
        <v>C. 10-19</v>
      </c>
      <c r="C466" s="320">
        <f>IFERROR(__xludf.DUMMYFUNCTION("""COMPUTED_VALUE"""),26621.0)</f>
        <v>26621</v>
      </c>
      <c r="D466" s="320">
        <f>IFERROR(__xludf.DUMMYFUNCTION("""COMPUTED_VALUE"""),25.4)</f>
        <v>25.4</v>
      </c>
      <c r="E466" s="320">
        <f>IFERROR(__xludf.DUMMYFUNCTION("""COMPUTED_VALUE"""),0.0)</f>
        <v>0</v>
      </c>
      <c r="F466" s="320">
        <f>IFERROR(__xludf.DUMMYFUNCTION("""COMPUTED_VALUE"""),0.0)</f>
        <v>0</v>
      </c>
      <c r="G466" s="320">
        <f>IFERROR(__xludf.DUMMYFUNCTION("""COMPUTED_VALUE"""),0.0)</f>
        <v>0</v>
      </c>
      <c r="H466" s="106"/>
      <c r="I466" s="320">
        <f>IFERROR(__xludf.DUMMYFUNCTION("""COMPUTED_VALUE"""),60.3)</f>
        <v>60.3</v>
      </c>
      <c r="J466" s="320">
        <f>IFERROR(__xludf.DUMMYFUNCTION("""COMPUTED_VALUE"""),29.21)</f>
        <v>29.21</v>
      </c>
      <c r="K466" s="320">
        <f>IFERROR(__xludf.DUMMYFUNCTION("""COMPUTED_VALUE"""),14.6)</f>
        <v>14.6</v>
      </c>
      <c r="L466" s="320">
        <f>IFERROR(__xludf.DUMMYFUNCTION("""COMPUTED_VALUE"""),0.4999)</f>
        <v>0.4999</v>
      </c>
      <c r="M466" s="320">
        <f>IFERROR(__xludf.DUMMYFUNCTION("""COMPUTED_VALUE"""),0.6817)</f>
        <v>0.6817</v>
      </c>
      <c r="N466" s="320">
        <f>IFERROR(__xludf.DUMMYFUNCTION("""COMPUTED_VALUE"""),0.4627)</f>
        <v>0.4627</v>
      </c>
      <c r="O466" s="320">
        <f>IFERROR(__xludf.DUMMYFUNCTION("""COMPUTED_VALUE"""),2.0003)</f>
        <v>2.0003</v>
      </c>
      <c r="P466" s="320">
        <f>IFERROR(__xludf.DUMMYFUNCTION("""COMPUTED_VALUE"""),81.99)</f>
        <v>81.99</v>
      </c>
      <c r="Q466" s="320">
        <f>IFERROR(__xludf.DUMMYFUNCTION("""COMPUTED_VALUE"""),53.85)</f>
        <v>53.85</v>
      </c>
      <c r="R466" s="320">
        <f>IFERROR(__xludf.DUMMYFUNCTION("""COMPUTED_VALUE"""),28.14)</f>
        <v>28.14</v>
      </c>
      <c r="S466" s="320">
        <f>IFERROR(__xludf.DUMMYFUNCTION("""COMPUTED_VALUE"""),0.0)</f>
        <v>0</v>
      </c>
      <c r="T466" s="320">
        <f>IFERROR(__xludf.DUMMYFUNCTION("""COMPUTED_VALUE"""),81.99)</f>
        <v>81.99</v>
      </c>
      <c r="U466" s="320">
        <f>IFERROR(__xludf.DUMMYFUNCTION("""COMPUTED_VALUE"""),96.29)</f>
        <v>96.29</v>
      </c>
      <c r="V466" s="320">
        <f>IFERROR(__xludf.DUMMYFUNCTION("""COMPUTED_VALUE"""),3.2961)</f>
        <v>3.2961</v>
      </c>
      <c r="W466" s="320">
        <f>IFERROR(__xludf.DUMMYFUNCTION("""COMPUTED_VALUE"""),0.0)</f>
        <v>0</v>
      </c>
      <c r="X466" s="320">
        <f>IFERROR(__xludf.DUMMYFUNCTION("""COMPUTED_VALUE"""),118.0)</f>
        <v>118</v>
      </c>
      <c r="Y466" s="320">
        <f>IFERROR(__xludf.DUMMYFUNCTION("""COMPUTED_VALUE"""),691.0)</f>
        <v>691</v>
      </c>
      <c r="Z466" s="320">
        <f>IFERROR(__xludf.DUMMYFUNCTION("""COMPUTED_VALUE"""),5219.0)</f>
        <v>5219</v>
      </c>
      <c r="AA466" s="320">
        <f>IFERROR(__xludf.DUMMYFUNCTION("""COMPUTED_VALUE"""),51.9669)</f>
        <v>51.9669</v>
      </c>
      <c r="AB466" s="320">
        <f>IFERROR(__xludf.DUMMYFUNCTION("""COMPUTED_VALUE"""),0.5993)</f>
        <v>0.5993</v>
      </c>
      <c r="AC466" s="320">
        <f>IFERROR(__xludf.DUMMYFUNCTION("""COMPUTED_VALUE"""),8.99)</f>
        <v>8.99</v>
      </c>
      <c r="AD466" s="320">
        <f>IFERROR(__xludf.DUMMYFUNCTION("""COMPUTED_VALUE"""),3.0)</f>
        <v>3</v>
      </c>
      <c r="AE466" s="320">
        <f>IFERROR(__xludf.DUMMYFUNCTION("""COMPUTED_VALUE"""),7.0)</f>
        <v>7</v>
      </c>
      <c r="AF466" s="320">
        <f>IFERROR(__xludf.DUMMYFUNCTION("""COMPUTED_VALUE"""),12.0)</f>
        <v>12</v>
      </c>
      <c r="AG466" s="320">
        <f>IFERROR(__xludf.DUMMYFUNCTION("""COMPUTED_VALUE"""),19.0)</f>
        <v>19</v>
      </c>
      <c r="AH466" s="320">
        <f>IFERROR(__xludf.DUMMYFUNCTION("""COMPUTED_VALUE"""),58.04)</f>
        <v>58.04</v>
      </c>
      <c r="AI466" s="320">
        <f>IFERROR(__xludf.DUMMYFUNCTION("""COMPUTED_VALUE"""),23.9)</f>
        <v>23.9</v>
      </c>
      <c r="AJ466" s="320">
        <f>IFERROR(__xludf.DUMMYFUNCTION("""COMPUTED_VALUE"""),4.28)</f>
        <v>4.28</v>
      </c>
      <c r="AK466" s="320">
        <f>IFERROR(__xludf.DUMMYFUNCTION("""COMPUTED_VALUE"""),0.1841)</f>
        <v>0.1841</v>
      </c>
      <c r="AL466" s="320">
        <f>IFERROR(__xludf.DUMMYFUNCTION("""COMPUTED_VALUE"""),19.41)</f>
        <v>19.41</v>
      </c>
      <c r="AM466" s="320">
        <f>IFERROR(__xludf.DUMMYFUNCTION("""COMPUTED_VALUE"""),34.43)</f>
        <v>34.43</v>
      </c>
      <c r="AN466" s="320">
        <f>IFERROR(__xludf.DUMMYFUNCTION("""COMPUTED_VALUE"""),72.78)</f>
        <v>72.78</v>
      </c>
      <c r="AO466" s="320">
        <f>IFERROR(__xludf.DUMMYFUNCTION("""COMPUTED_VALUE"""),14.13)</f>
        <v>14.13</v>
      </c>
    </row>
    <row r="467" ht="15.75" customHeight="1">
      <c r="A467" s="330">
        <f>IFERROR(__xludf.DUMMYFUNCTION("""COMPUTED_VALUE"""),46127.0)</f>
        <v>46127</v>
      </c>
      <c r="B467" s="319" t="str">
        <f>IFERROR(__xludf.DUMMYFUNCTION("""COMPUTED_VALUE"""),"D. 20-39")</f>
        <v>D. 20-39</v>
      </c>
      <c r="C467" s="320">
        <f>IFERROR(__xludf.DUMMYFUNCTION("""COMPUTED_VALUE"""),13973.0)</f>
        <v>13973</v>
      </c>
      <c r="D467" s="320">
        <f>IFERROR(__xludf.DUMMYFUNCTION("""COMPUTED_VALUE"""),13.33)</f>
        <v>13.33</v>
      </c>
      <c r="E467" s="320">
        <f>IFERROR(__xludf.DUMMYFUNCTION("""COMPUTED_VALUE"""),0.0)</f>
        <v>0</v>
      </c>
      <c r="F467" s="320">
        <f>IFERROR(__xludf.DUMMYFUNCTION("""COMPUTED_VALUE"""),0.0)</f>
        <v>0</v>
      </c>
      <c r="G467" s="320">
        <f>IFERROR(__xludf.DUMMYFUNCTION("""COMPUTED_VALUE"""),0.0)</f>
        <v>0</v>
      </c>
      <c r="H467" s="106"/>
      <c r="I467" s="320">
        <f>IFERROR(__xludf.DUMMYFUNCTION("""COMPUTED_VALUE"""),81.48)</f>
        <v>81.48</v>
      </c>
      <c r="J467" s="320">
        <f>IFERROR(__xludf.DUMMYFUNCTION("""COMPUTED_VALUE"""),41.67)</f>
        <v>41.67</v>
      </c>
      <c r="K467" s="320">
        <f>IFERROR(__xludf.DUMMYFUNCTION("""COMPUTED_VALUE"""),26.2)</f>
        <v>26.2</v>
      </c>
      <c r="L467" s="320">
        <f>IFERROR(__xludf.DUMMYFUNCTION("""COMPUTED_VALUE"""),0.6287)</f>
        <v>0.6287</v>
      </c>
      <c r="M467" s="320">
        <f>IFERROR(__xludf.DUMMYFUNCTION("""COMPUTED_VALUE"""),0.5561)</f>
        <v>0.5561</v>
      </c>
      <c r="N467" s="320">
        <f>IFERROR(__xludf.DUMMYFUNCTION("""COMPUTED_VALUE"""),0.3757)</f>
        <v>0.3757</v>
      </c>
      <c r="O467" s="320">
        <f>IFERROR(__xludf.DUMMYFUNCTION("""COMPUTED_VALUE"""),1.5905)</f>
        <v>1.5905</v>
      </c>
      <c r="P467" s="320">
        <f>IFERROR(__xludf.DUMMYFUNCTION("""COMPUTED_VALUE"""),131.25)</f>
        <v>131.25</v>
      </c>
      <c r="Q467" s="320">
        <f>IFERROR(__xludf.DUMMYFUNCTION("""COMPUTED_VALUE"""),78.6)</f>
        <v>78.6</v>
      </c>
      <c r="R467" s="320">
        <f>IFERROR(__xludf.DUMMYFUNCTION("""COMPUTED_VALUE"""),52.65)</f>
        <v>52.65</v>
      </c>
      <c r="S467" s="320">
        <f>IFERROR(__xludf.DUMMYFUNCTION("""COMPUTED_VALUE"""),0.05)</f>
        <v>0.05</v>
      </c>
      <c r="T467" s="320">
        <f>IFERROR(__xludf.DUMMYFUNCTION("""COMPUTED_VALUE"""),131.2)</f>
        <v>131.2</v>
      </c>
      <c r="U467" s="320">
        <f>IFERROR(__xludf.DUMMYFUNCTION("""COMPUTED_VALUE"""),156.49)</f>
        <v>156.49</v>
      </c>
      <c r="V467" s="320">
        <f>IFERROR(__xludf.DUMMYFUNCTION("""COMPUTED_VALUE"""),3.7553)</f>
        <v>3.7553</v>
      </c>
      <c r="W467" s="320">
        <f>IFERROR(__xludf.DUMMYFUNCTION("""COMPUTED_VALUE"""),0.04)</f>
        <v>0.04</v>
      </c>
      <c r="X467" s="320">
        <f>IFERROR(__xludf.DUMMYFUNCTION("""COMPUTED_VALUE"""),142.0)</f>
        <v>142</v>
      </c>
      <c r="Y467" s="320">
        <f>IFERROR(__xludf.DUMMYFUNCTION("""COMPUTED_VALUE"""),1017.0)</f>
        <v>1017</v>
      </c>
      <c r="Z467" s="320">
        <f>IFERROR(__xludf.DUMMYFUNCTION("""COMPUTED_VALUE"""),6337.0)</f>
        <v>6337</v>
      </c>
      <c r="AA467" s="320">
        <f>IFERROR(__xludf.DUMMYFUNCTION("""COMPUTED_VALUE"""),55.7886)</f>
        <v>55.7886</v>
      </c>
      <c r="AB467" s="320">
        <f>IFERROR(__xludf.DUMMYFUNCTION("""COMPUTED_VALUE"""),0.7394)</f>
        <v>0.7394</v>
      </c>
      <c r="AC467" s="320">
        <f>IFERROR(__xludf.DUMMYFUNCTION("""COMPUTED_VALUE"""),17.08)</f>
        <v>17.08</v>
      </c>
      <c r="AD467" s="320">
        <f>IFERROR(__xludf.DUMMYFUNCTION("""COMPUTED_VALUE"""),7.0)</f>
        <v>7</v>
      </c>
      <c r="AE467" s="320">
        <f>IFERROR(__xludf.DUMMYFUNCTION("""COMPUTED_VALUE"""),13.0)</f>
        <v>13</v>
      </c>
      <c r="AF467" s="320">
        <f>IFERROR(__xludf.DUMMYFUNCTION("""COMPUTED_VALUE"""),24.0)</f>
        <v>24</v>
      </c>
      <c r="AG467" s="320">
        <f>IFERROR(__xludf.DUMMYFUNCTION("""COMPUTED_VALUE"""),36.0)</f>
        <v>36</v>
      </c>
      <c r="AH467" s="320">
        <f>IFERROR(__xludf.DUMMYFUNCTION("""COMPUTED_VALUE"""),58.16)</f>
        <v>58.16</v>
      </c>
      <c r="AI467" s="320">
        <f>IFERROR(__xludf.DUMMYFUNCTION("""COMPUTED_VALUE"""),21.64)</f>
        <v>21.64</v>
      </c>
      <c r="AJ467" s="320">
        <f>IFERROR(__xludf.DUMMYFUNCTION("""COMPUTED_VALUE"""),6.25)</f>
        <v>6.25</v>
      </c>
      <c r="AK467" s="320">
        <f>IFERROR(__xludf.DUMMYFUNCTION("""COMPUTED_VALUE"""),0.1657)</f>
        <v>0.1657</v>
      </c>
      <c r="AL467" s="320">
        <f>IFERROR(__xludf.DUMMYFUNCTION("""COMPUTED_VALUE"""),19.5)</f>
        <v>19.5</v>
      </c>
      <c r="AM467" s="320">
        <f>IFERROR(__xludf.DUMMYFUNCTION("""COMPUTED_VALUE"""),59.1)</f>
        <v>59.1</v>
      </c>
      <c r="AN467" s="320">
        <f>IFERROR(__xludf.DUMMYFUNCTION("""COMPUTED_VALUE"""),78.65)</f>
        <v>78.65</v>
      </c>
      <c r="AO467" s="320">
        <f>IFERROR(__xludf.DUMMYFUNCTION("""COMPUTED_VALUE"""),15.34)</f>
        <v>15.34</v>
      </c>
    </row>
    <row r="468" ht="15.75" customHeight="1">
      <c r="A468" s="330">
        <f>IFERROR(__xludf.DUMMYFUNCTION("""COMPUTED_VALUE"""),46127.0)</f>
        <v>46127</v>
      </c>
      <c r="B468" s="319" t="str">
        <f>IFERROR(__xludf.DUMMYFUNCTION("""COMPUTED_VALUE"""),"E. 40-99")</f>
        <v>E. 40-99</v>
      </c>
      <c r="C468" s="320">
        <f>IFERROR(__xludf.DUMMYFUNCTION("""COMPUTED_VALUE"""),5445.0)</f>
        <v>5445</v>
      </c>
      <c r="D468" s="320">
        <f>IFERROR(__xludf.DUMMYFUNCTION("""COMPUTED_VALUE"""),5.2)</f>
        <v>5.2</v>
      </c>
      <c r="E468" s="320">
        <f>IFERROR(__xludf.DUMMYFUNCTION("""COMPUTED_VALUE"""),0.0)</f>
        <v>0</v>
      </c>
      <c r="F468" s="320">
        <f>IFERROR(__xludf.DUMMYFUNCTION("""COMPUTED_VALUE"""),0.0)</f>
        <v>0</v>
      </c>
      <c r="G468" s="320">
        <f>IFERROR(__xludf.DUMMYFUNCTION("""COMPUTED_VALUE"""),0.0)</f>
        <v>0</v>
      </c>
      <c r="H468" s="106"/>
      <c r="I468" s="320">
        <f>IFERROR(__xludf.DUMMYFUNCTION("""COMPUTED_VALUE"""),129.33)</f>
        <v>129.33</v>
      </c>
      <c r="J468" s="320">
        <f>IFERROR(__xludf.DUMMYFUNCTION("""COMPUTED_VALUE"""),70.49)</f>
        <v>70.49</v>
      </c>
      <c r="K468" s="320">
        <f>IFERROR(__xludf.DUMMYFUNCTION("""COMPUTED_VALUE"""),53.7)</f>
        <v>53.7</v>
      </c>
      <c r="L468" s="320">
        <f>IFERROR(__xludf.DUMMYFUNCTION("""COMPUTED_VALUE"""),0.7618)</f>
        <v>0.7618</v>
      </c>
      <c r="M468" s="320">
        <f>IFERROR(__xludf.DUMMYFUNCTION("""COMPUTED_VALUE"""),0.4169)</f>
        <v>0.4169</v>
      </c>
      <c r="N468" s="320">
        <f>IFERROR(__xludf.DUMMYFUNCTION("""COMPUTED_VALUE"""),0.2891)</f>
        <v>0.2891</v>
      </c>
      <c r="O468" s="320">
        <f>IFERROR(__xludf.DUMMYFUNCTION("""COMPUTED_VALUE"""),1.3127)</f>
        <v>1.3127</v>
      </c>
      <c r="P468" s="320">
        <f>IFERROR(__xludf.DUMMYFUNCTION("""COMPUTED_VALUE"""),243.57)</f>
        <v>243.57</v>
      </c>
      <c r="Q468" s="320">
        <f>IFERROR(__xludf.DUMMYFUNCTION("""COMPUTED_VALUE"""),135.39)</f>
        <v>135.39</v>
      </c>
      <c r="R468" s="320">
        <f>IFERROR(__xludf.DUMMYFUNCTION("""COMPUTED_VALUE"""),108.18)</f>
        <v>108.18</v>
      </c>
      <c r="S468" s="320">
        <f>IFERROR(__xludf.DUMMYFUNCTION("""COMPUTED_VALUE"""),0.0)</f>
        <v>0</v>
      </c>
      <c r="T468" s="320">
        <f>IFERROR(__xludf.DUMMYFUNCTION("""COMPUTED_VALUE"""),243.57)</f>
        <v>243.57</v>
      </c>
      <c r="U468" s="320">
        <f>IFERROR(__xludf.DUMMYFUNCTION("""COMPUTED_VALUE"""),306.36)</f>
        <v>306.36</v>
      </c>
      <c r="V468" s="320">
        <f>IFERROR(__xludf.DUMMYFUNCTION("""COMPUTED_VALUE"""),4.3461)</f>
        <v>4.3461</v>
      </c>
      <c r="W468" s="320">
        <f>IFERROR(__xludf.DUMMYFUNCTION("""COMPUTED_VALUE"""),0.0)</f>
        <v>0</v>
      </c>
      <c r="X468" s="320">
        <f>IFERROR(__xludf.DUMMYFUNCTION("""COMPUTED_VALUE"""),273.0)</f>
        <v>273</v>
      </c>
      <c r="Y468" s="320">
        <f>IFERROR(__xludf.DUMMYFUNCTION("""COMPUTED_VALUE"""),2245.0)</f>
        <v>2245</v>
      </c>
      <c r="Z468" s="320">
        <f>IFERROR(__xludf.DUMMYFUNCTION("""COMPUTED_VALUE"""),9345.0)</f>
        <v>9345</v>
      </c>
      <c r="AA468" s="320">
        <f>IFERROR(__xludf.DUMMYFUNCTION("""COMPUTED_VALUE"""),59.6435)</f>
        <v>59.6435</v>
      </c>
      <c r="AB468" s="320">
        <f>IFERROR(__xludf.DUMMYFUNCTION("""COMPUTED_VALUE"""),0.838)</f>
        <v>0.838</v>
      </c>
      <c r="AC468" s="320">
        <f>IFERROR(__xludf.DUMMYFUNCTION("""COMPUTED_VALUE"""),36.43)</f>
        <v>36.43</v>
      </c>
      <c r="AD468" s="320">
        <f>IFERROR(__xludf.DUMMYFUNCTION("""COMPUTED_VALUE"""),14.0)</f>
        <v>14</v>
      </c>
      <c r="AE468" s="320">
        <f>IFERROR(__xludf.DUMMYFUNCTION("""COMPUTED_VALUE"""),27.0)</f>
        <v>27</v>
      </c>
      <c r="AF468" s="320">
        <f>IFERROR(__xludf.DUMMYFUNCTION("""COMPUTED_VALUE"""),51.0)</f>
        <v>51</v>
      </c>
      <c r="AG468" s="320">
        <f>IFERROR(__xludf.DUMMYFUNCTION("""COMPUTED_VALUE"""),78.0)</f>
        <v>78</v>
      </c>
      <c r="AH468" s="320">
        <f>IFERROR(__xludf.DUMMYFUNCTION("""COMPUTED_VALUE"""),49.49)</f>
        <v>49.49</v>
      </c>
      <c r="AI468" s="320">
        <f>IFERROR(__xludf.DUMMYFUNCTION("""COMPUTED_VALUE"""),18.79)</f>
        <v>18.79</v>
      </c>
      <c r="AJ468" s="320">
        <f>IFERROR(__xludf.DUMMYFUNCTION("""COMPUTED_VALUE"""),4.68)</f>
        <v>4.68</v>
      </c>
      <c r="AK468" s="320">
        <f>IFERROR(__xludf.DUMMYFUNCTION("""COMPUTED_VALUE"""),0.123)</f>
        <v>0.123</v>
      </c>
      <c r="AL468" s="320">
        <f>IFERROR(__xludf.DUMMYFUNCTION("""COMPUTED_VALUE"""),19.44)</f>
        <v>19.44</v>
      </c>
      <c r="AM468" s="320">
        <f>IFERROR(__xludf.DUMMYFUNCTION("""COMPUTED_VALUE"""),115.95)</f>
        <v>115.95</v>
      </c>
      <c r="AN468" s="320">
        <f>IFERROR(__xludf.DUMMYFUNCTION("""COMPUTED_VALUE"""),83.65)</f>
        <v>83.65</v>
      </c>
      <c r="AO468" s="320">
        <f>IFERROR(__xludf.DUMMYFUNCTION("""COMPUTED_VALUE"""),16.26)</f>
        <v>16.26</v>
      </c>
    </row>
    <row r="469" ht="15.75" customHeight="1">
      <c r="A469" s="330">
        <f>IFERROR(__xludf.DUMMYFUNCTION("""COMPUTED_VALUE"""),46127.0)</f>
        <v>46127</v>
      </c>
      <c r="B469" s="319" t="str">
        <f>IFERROR(__xludf.DUMMYFUNCTION("""COMPUTED_VALUE"""),"F. 100+")</f>
        <v>F. 100+</v>
      </c>
      <c r="C469" s="320">
        <f>IFERROR(__xludf.DUMMYFUNCTION("""COMPUTED_VALUE"""),621.0)</f>
        <v>621</v>
      </c>
      <c r="D469" s="320">
        <f>IFERROR(__xludf.DUMMYFUNCTION("""COMPUTED_VALUE"""),0.59)</f>
        <v>0.59</v>
      </c>
      <c r="E469" s="320">
        <f>IFERROR(__xludf.DUMMYFUNCTION("""COMPUTED_VALUE"""),0.0)</f>
        <v>0</v>
      </c>
      <c r="F469" s="320">
        <f>IFERROR(__xludf.DUMMYFUNCTION("""COMPUTED_VALUE"""),0.0)</f>
        <v>0</v>
      </c>
      <c r="G469" s="320">
        <f>IFERROR(__xludf.DUMMYFUNCTION("""COMPUTED_VALUE"""),0.0)</f>
        <v>0</v>
      </c>
      <c r="H469" s="106"/>
      <c r="I469" s="320">
        <f>IFERROR(__xludf.DUMMYFUNCTION("""COMPUTED_VALUE"""),236.78)</f>
        <v>236.78</v>
      </c>
      <c r="J469" s="320">
        <f>IFERROR(__xludf.DUMMYFUNCTION("""COMPUTED_VALUE"""),137.43)</f>
        <v>137.43</v>
      </c>
      <c r="K469" s="320">
        <f>IFERROR(__xludf.DUMMYFUNCTION("""COMPUTED_VALUE"""),119.45)</f>
        <v>119.45</v>
      </c>
      <c r="L469" s="320">
        <f>IFERROR(__xludf.DUMMYFUNCTION("""COMPUTED_VALUE"""),0.8692)</f>
        <v>0.8692</v>
      </c>
      <c r="M469" s="320">
        <f>IFERROR(__xludf.DUMMYFUNCTION("""COMPUTED_VALUE"""),0.2878)</f>
        <v>0.2878</v>
      </c>
      <c r="N469" s="320">
        <f>IFERROR(__xludf.DUMMYFUNCTION("""COMPUTED_VALUE"""),0.2153)</f>
        <v>0.2153</v>
      </c>
      <c r="O469" s="320">
        <f>IFERROR(__xludf.DUMMYFUNCTION("""COMPUTED_VALUE"""),1.1505)</f>
        <v>1.1505</v>
      </c>
      <c r="P469" s="320">
        <f>IFERROR(__xludf.DUMMYFUNCTION("""COMPUTED_VALUE"""),510.68)</f>
        <v>510.68</v>
      </c>
      <c r="Q469" s="320">
        <f>IFERROR(__xludf.DUMMYFUNCTION("""COMPUTED_VALUE"""),264.43)</f>
        <v>264.43</v>
      </c>
      <c r="R469" s="320">
        <f>IFERROR(__xludf.DUMMYFUNCTION("""COMPUTED_VALUE"""),246.26)</f>
        <v>246.26</v>
      </c>
      <c r="S469" s="320">
        <f>IFERROR(__xludf.DUMMYFUNCTION("""COMPUTED_VALUE"""),0.0)</f>
        <v>0</v>
      </c>
      <c r="T469" s="320">
        <f>IFERROR(__xludf.DUMMYFUNCTION("""COMPUTED_VALUE"""),510.68)</f>
        <v>510.68</v>
      </c>
      <c r="U469" s="320">
        <f>IFERROR(__xludf.DUMMYFUNCTION("""COMPUTED_VALUE"""),591.63)</f>
        <v>591.63</v>
      </c>
      <c r="V469" s="320">
        <f>IFERROR(__xludf.DUMMYFUNCTION("""COMPUTED_VALUE"""),4.3049)</f>
        <v>4.3049</v>
      </c>
      <c r="W469" s="320">
        <f>IFERROR(__xludf.DUMMYFUNCTION("""COMPUTED_VALUE"""),0.0)</f>
        <v>0</v>
      </c>
      <c r="X469" s="320">
        <f>IFERROR(__xludf.DUMMYFUNCTION("""COMPUTED_VALUE"""),894.0)</f>
        <v>894</v>
      </c>
      <c r="Y469" s="320">
        <f>IFERROR(__xludf.DUMMYFUNCTION("""COMPUTED_VALUE"""),4586.0)</f>
        <v>4586</v>
      </c>
      <c r="Z469" s="320">
        <f>IFERROR(__xludf.DUMMYFUNCTION("""COMPUTED_VALUE"""),13883.0)</f>
        <v>13883</v>
      </c>
      <c r="AA469" s="320">
        <f>IFERROR(__xludf.DUMMYFUNCTION("""COMPUTED_VALUE"""),63.6764)</f>
        <v>63.6764</v>
      </c>
      <c r="AB469" s="320">
        <f>IFERROR(__xludf.DUMMYFUNCTION("""COMPUTED_VALUE"""),0.9093)</f>
        <v>0.9093</v>
      </c>
      <c r="AC469" s="320">
        <f>IFERROR(__xludf.DUMMYFUNCTION("""COMPUTED_VALUE"""),83.86)</f>
        <v>83.86</v>
      </c>
      <c r="AD469" s="320">
        <f>IFERROR(__xludf.DUMMYFUNCTION("""COMPUTED_VALUE"""),34.0)</f>
        <v>34</v>
      </c>
      <c r="AE469" s="320">
        <f>IFERROR(__xludf.DUMMYFUNCTION("""COMPUTED_VALUE"""),71.0)</f>
        <v>71</v>
      </c>
      <c r="AF469" s="320">
        <f>IFERROR(__xludf.DUMMYFUNCTION("""COMPUTED_VALUE"""),117.0)</f>
        <v>117</v>
      </c>
      <c r="AG469" s="320">
        <f>IFERROR(__xludf.DUMMYFUNCTION("""COMPUTED_VALUE"""),164.0)</f>
        <v>164</v>
      </c>
      <c r="AH469" s="320">
        <f>IFERROR(__xludf.DUMMYFUNCTION("""COMPUTED_VALUE"""),45.73)</f>
        <v>45.73</v>
      </c>
      <c r="AI469" s="320">
        <f>IFERROR(__xludf.DUMMYFUNCTION("""COMPUTED_VALUE"""),7.41)</f>
        <v>7.41</v>
      </c>
      <c r="AJ469" s="320">
        <f>IFERROR(__xludf.DUMMYFUNCTION("""COMPUTED_VALUE"""),0.81)</f>
        <v>0.81</v>
      </c>
      <c r="AK469" s="320">
        <f>IFERROR(__xludf.DUMMYFUNCTION("""COMPUTED_VALUE"""),0.0837)</f>
        <v>0.0837</v>
      </c>
      <c r="AL469" s="320">
        <f>IFERROR(__xludf.DUMMYFUNCTION("""COMPUTED_VALUE"""),22.7)</f>
        <v>22.7</v>
      </c>
      <c r="AM469" s="320">
        <f>IFERROR(__xludf.DUMMYFUNCTION("""COMPUTED_VALUE"""),241.73)</f>
        <v>241.73</v>
      </c>
      <c r="AN469" s="320">
        <f>IFERROR(__xludf.DUMMYFUNCTION("""COMPUTED_VALUE"""),86.27)</f>
        <v>86.27</v>
      </c>
      <c r="AO469" s="320">
        <f>IFERROR(__xludf.DUMMYFUNCTION("""COMPUTED_VALUE"""),19.58)</f>
        <v>19.58</v>
      </c>
    </row>
    <row r="470" ht="15.75" customHeight="1">
      <c r="A470" s="330">
        <f>IFERROR(__xludf.DUMMYFUNCTION("""COMPUTED_VALUE"""),46128.0)</f>
        <v>46128</v>
      </c>
      <c r="B470" s="319" t="str">
        <f>IFERROR(__xludf.DUMMYFUNCTION("""COMPUTED_VALUE"""),"A. 0")</f>
        <v>A. 0</v>
      </c>
      <c r="C470" s="320">
        <f>IFERROR(__xludf.DUMMYFUNCTION("""COMPUTED_VALUE"""),20325.0)</f>
        <v>20325</v>
      </c>
      <c r="D470" s="320">
        <f>IFERROR(__xludf.DUMMYFUNCTION("""COMPUTED_VALUE"""),19.93)</f>
        <v>19.93</v>
      </c>
      <c r="E470" s="320">
        <f>IFERROR(__xludf.DUMMYFUNCTION("""COMPUTED_VALUE"""),0.0)</f>
        <v>0</v>
      </c>
      <c r="F470" s="320">
        <f>IFERROR(__xludf.DUMMYFUNCTION("""COMPUTED_VALUE"""),0.0)</f>
        <v>0</v>
      </c>
      <c r="G470" s="320">
        <f>IFERROR(__xludf.DUMMYFUNCTION("""COMPUTED_VALUE"""),0.0)</f>
        <v>0</v>
      </c>
      <c r="H470" s="106"/>
      <c r="I470" s="320">
        <f>IFERROR(__xludf.DUMMYFUNCTION("""COMPUTED_VALUE"""),6.28)</f>
        <v>6.28</v>
      </c>
      <c r="J470" s="320">
        <f>IFERROR(__xludf.DUMMYFUNCTION("""COMPUTED_VALUE"""),2.61)</f>
        <v>2.61</v>
      </c>
      <c r="K470" s="320">
        <f>IFERROR(__xludf.DUMMYFUNCTION("""COMPUTED_VALUE"""),0.04)</f>
        <v>0.04</v>
      </c>
      <c r="L470" s="320">
        <f>IFERROR(__xludf.DUMMYFUNCTION("""COMPUTED_VALUE"""),0.0162)</f>
        <v>0.0162</v>
      </c>
      <c r="M470" s="320">
        <f>IFERROR(__xludf.DUMMYFUNCTION("""COMPUTED_VALUE"""),0.9883)</f>
        <v>0.9883</v>
      </c>
      <c r="N470" s="320">
        <f>IFERROR(__xludf.DUMMYFUNCTION("""COMPUTED_VALUE"""),0.8562)</f>
        <v>0.8562</v>
      </c>
      <c r="O470" s="320">
        <f>IFERROR(__xludf.DUMMYFUNCTION("""COMPUTED_VALUE"""),61.5698)</f>
        <v>61.5698</v>
      </c>
      <c r="P470" s="320">
        <f>IFERROR(__xludf.DUMMYFUNCTION("""COMPUTED_VALUE"""),21.27)</f>
        <v>21.27</v>
      </c>
      <c r="Q470" s="320">
        <f>IFERROR(__xludf.DUMMYFUNCTION("""COMPUTED_VALUE"""),21.15)</f>
        <v>21.15</v>
      </c>
      <c r="R470" s="320">
        <f>IFERROR(__xludf.DUMMYFUNCTION("""COMPUTED_VALUE"""),0.12)</f>
        <v>0.12</v>
      </c>
      <c r="S470" s="320">
        <f>IFERROR(__xludf.DUMMYFUNCTION("""COMPUTED_VALUE"""),0.0)</f>
        <v>0</v>
      </c>
      <c r="T470" s="320">
        <f>IFERROR(__xludf.DUMMYFUNCTION("""COMPUTED_VALUE"""),21.27)</f>
        <v>21.27</v>
      </c>
      <c r="U470" s="320">
        <f>IFERROR(__xludf.DUMMYFUNCTION("""COMPUTED_VALUE"""),1.91)</f>
        <v>1.91</v>
      </c>
      <c r="V470" s="320">
        <f>IFERROR(__xludf.DUMMYFUNCTION("""COMPUTED_VALUE"""),0.7337)</f>
        <v>0.7337</v>
      </c>
      <c r="W470" s="320">
        <f>IFERROR(__xludf.DUMMYFUNCTION("""COMPUTED_VALUE"""),0.0)</f>
        <v>0</v>
      </c>
      <c r="X470" s="320">
        <f>IFERROR(__xludf.DUMMYFUNCTION("""COMPUTED_VALUE"""),313.0)</f>
        <v>313</v>
      </c>
      <c r="Y470" s="320">
        <f>IFERROR(__xludf.DUMMYFUNCTION("""COMPUTED_VALUE"""),3759.0)</f>
        <v>3759</v>
      </c>
      <c r="Z470" s="320">
        <f>IFERROR(__xludf.DUMMYFUNCTION("""COMPUTED_VALUE"""),15441.0)</f>
        <v>15441</v>
      </c>
      <c r="AA470" s="320">
        <f>IFERROR(__xludf.DUMMYFUNCTION("""COMPUTED_VALUE"""),48.9695)</f>
        <v>48.9695</v>
      </c>
      <c r="AB470" s="320">
        <f>IFERROR(__xludf.DUMMYFUNCTION("""COMPUTED_VALUE"""),0.541)</f>
        <v>0.541</v>
      </c>
      <c r="AC470" s="106"/>
      <c r="AD470" s="106"/>
      <c r="AE470" s="106"/>
      <c r="AF470" s="106"/>
      <c r="AG470" s="106"/>
      <c r="AH470" s="320">
        <f>IFERROR(__xludf.DUMMYFUNCTION("""COMPUTED_VALUE"""),0.0)</f>
        <v>0</v>
      </c>
      <c r="AI470" s="320">
        <f>IFERROR(__xludf.DUMMYFUNCTION("""COMPUTED_VALUE"""),0.0)</f>
        <v>0</v>
      </c>
      <c r="AJ470" s="320">
        <f>IFERROR(__xludf.DUMMYFUNCTION("""COMPUTED_VALUE"""),0.0)</f>
        <v>0</v>
      </c>
      <c r="AK470" s="320">
        <f>IFERROR(__xludf.DUMMYFUNCTION("""COMPUTED_VALUE"""),0.2865)</f>
        <v>0.2865</v>
      </c>
      <c r="AL470" s="320">
        <f>IFERROR(__xludf.DUMMYFUNCTION("""COMPUTED_VALUE"""),16.62)</f>
        <v>16.62</v>
      </c>
      <c r="AM470" s="320">
        <f>IFERROR(__xludf.DUMMYFUNCTION("""COMPUTED_VALUE"""),4.54)</f>
        <v>4.54</v>
      </c>
      <c r="AN470" s="331"/>
      <c r="AO470" s="331"/>
    </row>
    <row r="471" ht="15.75" customHeight="1">
      <c r="A471" s="330">
        <f>IFERROR(__xludf.DUMMYFUNCTION("""COMPUTED_VALUE"""),46128.0)</f>
        <v>46128</v>
      </c>
      <c r="B471" s="319" t="str">
        <f>IFERROR(__xludf.DUMMYFUNCTION("""COMPUTED_VALUE"""),"B. 1-9")</f>
        <v>B. 1-9</v>
      </c>
      <c r="C471" s="320">
        <f>IFERROR(__xludf.DUMMYFUNCTION("""COMPUTED_VALUE"""),36761.0)</f>
        <v>36761</v>
      </c>
      <c r="D471" s="320">
        <f>IFERROR(__xludf.DUMMYFUNCTION("""COMPUTED_VALUE"""),36.04)</f>
        <v>36.04</v>
      </c>
      <c r="E471" s="320">
        <f>IFERROR(__xludf.DUMMYFUNCTION("""COMPUTED_VALUE"""),0.0)</f>
        <v>0</v>
      </c>
      <c r="F471" s="320">
        <f>IFERROR(__xludf.DUMMYFUNCTION("""COMPUTED_VALUE"""),0.0)</f>
        <v>0</v>
      </c>
      <c r="G471" s="320">
        <f>IFERROR(__xludf.DUMMYFUNCTION("""COMPUTED_VALUE"""),0.0)</f>
        <v>0</v>
      </c>
      <c r="H471" s="106"/>
      <c r="I471" s="320">
        <f>IFERROR(__xludf.DUMMYFUNCTION("""COMPUTED_VALUE"""),28.89)</f>
        <v>28.89</v>
      </c>
      <c r="J471" s="320">
        <f>IFERROR(__xludf.DUMMYFUNCTION("""COMPUTED_VALUE"""),13.15)</f>
        <v>13.15</v>
      </c>
      <c r="K471" s="320">
        <f>IFERROR(__xludf.DUMMYFUNCTION("""COMPUTED_VALUE"""),5.38)</f>
        <v>5.38</v>
      </c>
      <c r="L471" s="320">
        <f>IFERROR(__xludf.DUMMYFUNCTION("""COMPUTED_VALUE"""),0.4092)</f>
        <v>0.4092</v>
      </c>
      <c r="M471" s="320">
        <f>IFERROR(__xludf.DUMMYFUNCTION("""COMPUTED_VALUE"""),0.7614)</f>
        <v>0.7614</v>
      </c>
      <c r="N471" s="320">
        <f>IFERROR(__xludf.DUMMYFUNCTION("""COMPUTED_VALUE"""),0.564)</f>
        <v>0.564</v>
      </c>
      <c r="O471" s="320">
        <f>IFERROR(__xludf.DUMMYFUNCTION("""COMPUTED_VALUE"""),2.4435)</f>
        <v>2.4435</v>
      </c>
      <c r="P471" s="320">
        <f>IFERROR(__xludf.DUMMYFUNCTION("""COMPUTED_VALUE"""),44.59)</f>
        <v>44.59</v>
      </c>
      <c r="Q471" s="320">
        <f>IFERROR(__xludf.DUMMYFUNCTION("""COMPUTED_VALUE"""),33.51)</f>
        <v>33.51</v>
      </c>
      <c r="R471" s="320">
        <f>IFERROR(__xludf.DUMMYFUNCTION("""COMPUTED_VALUE"""),11.08)</f>
        <v>11.08</v>
      </c>
      <c r="S471" s="320">
        <f>IFERROR(__xludf.DUMMYFUNCTION("""COMPUTED_VALUE"""),0.0)</f>
        <v>0</v>
      </c>
      <c r="T471" s="320">
        <f>IFERROR(__xludf.DUMMYFUNCTION("""COMPUTED_VALUE"""),44.59)</f>
        <v>44.59</v>
      </c>
      <c r="U471" s="320">
        <f>IFERROR(__xludf.DUMMYFUNCTION("""COMPUTED_VALUE"""),48.59)</f>
        <v>48.59</v>
      </c>
      <c r="V471" s="320">
        <f>IFERROR(__xludf.DUMMYFUNCTION("""COMPUTED_VALUE"""),3.696)</f>
        <v>3.696</v>
      </c>
      <c r="W471" s="320">
        <f>IFERROR(__xludf.DUMMYFUNCTION("""COMPUTED_VALUE"""),0.0)</f>
        <v>0</v>
      </c>
      <c r="X471" s="320">
        <f>IFERROR(__xludf.DUMMYFUNCTION("""COMPUTED_VALUE"""),136.0)</f>
        <v>136</v>
      </c>
      <c r="Y471" s="320">
        <f>IFERROR(__xludf.DUMMYFUNCTION("""COMPUTED_VALUE"""),897.0)</f>
        <v>897</v>
      </c>
      <c r="Z471" s="320">
        <f>IFERROR(__xludf.DUMMYFUNCTION("""COMPUTED_VALUE"""),6029.0)</f>
        <v>6029</v>
      </c>
      <c r="AA471" s="320">
        <f>IFERROR(__xludf.DUMMYFUNCTION("""COMPUTED_VALUE"""),48.7645)</f>
        <v>48.7645</v>
      </c>
      <c r="AB471" s="320">
        <f>IFERROR(__xludf.DUMMYFUNCTION("""COMPUTED_VALUE"""),0.5348)</f>
        <v>0.5348</v>
      </c>
      <c r="AC471" s="320">
        <f>IFERROR(__xludf.DUMMYFUNCTION("""COMPUTED_VALUE"""),3.89)</f>
        <v>3.89</v>
      </c>
      <c r="AD471" s="320">
        <f>IFERROR(__xludf.DUMMYFUNCTION("""COMPUTED_VALUE"""),1.0)</f>
        <v>1</v>
      </c>
      <c r="AE471" s="320">
        <f>IFERROR(__xludf.DUMMYFUNCTION("""COMPUTED_VALUE"""),3.0)</f>
        <v>3</v>
      </c>
      <c r="AF471" s="320">
        <f>IFERROR(__xludf.DUMMYFUNCTION("""COMPUTED_VALUE"""),5.0)</f>
        <v>5</v>
      </c>
      <c r="AG471" s="320">
        <f>IFERROR(__xludf.DUMMYFUNCTION("""COMPUTED_VALUE"""),9.0)</f>
        <v>9</v>
      </c>
      <c r="AH471" s="320">
        <f>IFERROR(__xludf.DUMMYFUNCTION("""COMPUTED_VALUE"""),71.76)</f>
        <v>71.76</v>
      </c>
      <c r="AI471" s="320">
        <f>IFERROR(__xludf.DUMMYFUNCTION("""COMPUTED_VALUE"""),29.41)</f>
        <v>29.41</v>
      </c>
      <c r="AJ471" s="320">
        <f>IFERROR(__xludf.DUMMYFUNCTION("""COMPUTED_VALUE"""),8.13)</f>
        <v>8.13</v>
      </c>
      <c r="AK471" s="320">
        <f>IFERROR(__xludf.DUMMYFUNCTION("""COMPUTED_VALUE"""),0.2544)</f>
        <v>0.2544</v>
      </c>
      <c r="AL471" s="320">
        <f>IFERROR(__xludf.DUMMYFUNCTION("""COMPUTED_VALUE"""),19.16)</f>
        <v>19.16</v>
      </c>
      <c r="AM471" s="320">
        <f>IFERROR(__xludf.DUMMYFUNCTION("""COMPUTED_VALUE"""),14.35)</f>
        <v>14.35</v>
      </c>
      <c r="AN471" s="320">
        <f>IFERROR(__xludf.DUMMYFUNCTION("""COMPUTED_VALUE"""),65.92)</f>
        <v>65.92</v>
      </c>
      <c r="AO471" s="320">
        <f>IFERROR(__xludf.DUMMYFUNCTION("""COMPUTED_VALUE"""),12.63)</f>
        <v>12.63</v>
      </c>
    </row>
    <row r="472" ht="15.75" customHeight="1">
      <c r="A472" s="330">
        <f>IFERROR(__xludf.DUMMYFUNCTION("""COMPUTED_VALUE"""),46128.0)</f>
        <v>46128</v>
      </c>
      <c r="B472" s="319" t="str">
        <f>IFERROR(__xludf.DUMMYFUNCTION("""COMPUTED_VALUE"""),"C. 10-19")</f>
        <v>C. 10-19</v>
      </c>
      <c r="C472" s="320">
        <f>IFERROR(__xludf.DUMMYFUNCTION("""COMPUTED_VALUE"""),25069.0)</f>
        <v>25069</v>
      </c>
      <c r="D472" s="320">
        <f>IFERROR(__xludf.DUMMYFUNCTION("""COMPUTED_VALUE"""),24.58)</f>
        <v>24.58</v>
      </c>
      <c r="E472" s="320">
        <f>IFERROR(__xludf.DUMMYFUNCTION("""COMPUTED_VALUE"""),0.0)</f>
        <v>0</v>
      </c>
      <c r="F472" s="320">
        <f>IFERROR(__xludf.DUMMYFUNCTION("""COMPUTED_VALUE"""),0.0)</f>
        <v>0</v>
      </c>
      <c r="G472" s="320">
        <f>IFERROR(__xludf.DUMMYFUNCTION("""COMPUTED_VALUE"""),0.0)</f>
        <v>0</v>
      </c>
      <c r="H472" s="106"/>
      <c r="I472" s="320">
        <f>IFERROR(__xludf.DUMMYFUNCTION("""COMPUTED_VALUE"""),53.7)</f>
        <v>53.7</v>
      </c>
      <c r="J472" s="320">
        <f>IFERROR(__xludf.DUMMYFUNCTION("""COMPUTED_VALUE"""),25.74)</f>
        <v>25.74</v>
      </c>
      <c r="K472" s="320">
        <f>IFERROR(__xludf.DUMMYFUNCTION("""COMPUTED_VALUE"""),13.47)</f>
        <v>13.47</v>
      </c>
      <c r="L472" s="320">
        <f>IFERROR(__xludf.DUMMYFUNCTION("""COMPUTED_VALUE"""),0.5232)</f>
        <v>0.5232</v>
      </c>
      <c r="M472" s="320">
        <f>IFERROR(__xludf.DUMMYFUNCTION("""COMPUTED_VALUE"""),0.6662)</f>
        <v>0.6662</v>
      </c>
      <c r="N472" s="320">
        <f>IFERROR(__xludf.DUMMYFUNCTION("""COMPUTED_VALUE"""),0.4613)</f>
        <v>0.4613</v>
      </c>
      <c r="O472" s="320">
        <f>IFERROR(__xludf.DUMMYFUNCTION("""COMPUTED_VALUE"""),1.9113)</f>
        <v>1.9113</v>
      </c>
      <c r="P472" s="320">
        <f>IFERROR(__xludf.DUMMYFUNCTION("""COMPUTED_VALUE"""),89.43)</f>
        <v>89.43</v>
      </c>
      <c r="Q472" s="320">
        <f>IFERROR(__xludf.DUMMYFUNCTION("""COMPUTED_VALUE"""),62.81)</f>
        <v>62.81</v>
      </c>
      <c r="R472" s="320">
        <f>IFERROR(__xludf.DUMMYFUNCTION("""COMPUTED_VALUE"""),26.61)</f>
        <v>26.61</v>
      </c>
      <c r="S472" s="320">
        <f>IFERROR(__xludf.DUMMYFUNCTION("""COMPUTED_VALUE"""),0.0)</f>
        <v>0</v>
      </c>
      <c r="T472" s="320">
        <f>IFERROR(__xludf.DUMMYFUNCTION("""COMPUTED_VALUE"""),89.43)</f>
        <v>89.43</v>
      </c>
      <c r="U472" s="320">
        <f>IFERROR(__xludf.DUMMYFUNCTION("""COMPUTED_VALUE"""),92.99)</f>
        <v>92.99</v>
      </c>
      <c r="V472" s="320">
        <f>IFERROR(__xludf.DUMMYFUNCTION("""COMPUTED_VALUE"""),3.6131)</f>
        <v>3.6131</v>
      </c>
      <c r="W472" s="320">
        <f>IFERROR(__xludf.DUMMYFUNCTION("""COMPUTED_VALUE"""),0.0)</f>
        <v>0</v>
      </c>
      <c r="X472" s="320">
        <f>IFERROR(__xludf.DUMMYFUNCTION("""COMPUTED_VALUE"""),123.0)</f>
        <v>123</v>
      </c>
      <c r="Y472" s="320">
        <f>IFERROR(__xludf.DUMMYFUNCTION("""COMPUTED_VALUE"""),703.0)</f>
        <v>703</v>
      </c>
      <c r="Z472" s="320">
        <f>IFERROR(__xludf.DUMMYFUNCTION("""COMPUTED_VALUE"""),5820.0)</f>
        <v>5820</v>
      </c>
      <c r="AA472" s="320">
        <f>IFERROR(__xludf.DUMMYFUNCTION("""COMPUTED_VALUE"""),52.0662)</f>
        <v>52.0662</v>
      </c>
      <c r="AB472" s="320">
        <f>IFERROR(__xludf.DUMMYFUNCTION("""COMPUTED_VALUE"""),0.6202)</f>
        <v>0.6202</v>
      </c>
      <c r="AC472" s="320">
        <f>IFERROR(__xludf.DUMMYFUNCTION("""COMPUTED_VALUE"""),8.76)</f>
        <v>8.76</v>
      </c>
      <c r="AD472" s="320">
        <f>IFERROR(__xludf.DUMMYFUNCTION("""COMPUTED_VALUE"""),3.0)</f>
        <v>3</v>
      </c>
      <c r="AE472" s="320">
        <f>IFERROR(__xludf.DUMMYFUNCTION("""COMPUTED_VALUE"""),7.0)</f>
        <v>7</v>
      </c>
      <c r="AF472" s="320">
        <f>IFERROR(__xludf.DUMMYFUNCTION("""COMPUTED_VALUE"""),12.0)</f>
        <v>12</v>
      </c>
      <c r="AG472" s="320">
        <f>IFERROR(__xludf.DUMMYFUNCTION("""COMPUTED_VALUE"""),18.0)</f>
        <v>18</v>
      </c>
      <c r="AH472" s="320">
        <f>IFERROR(__xludf.DUMMYFUNCTION("""COMPUTED_VALUE"""),57.12)</f>
        <v>57.12</v>
      </c>
      <c r="AI472" s="320">
        <f>IFERROR(__xludf.DUMMYFUNCTION("""COMPUTED_VALUE"""),23.39)</f>
        <v>23.39</v>
      </c>
      <c r="AJ472" s="320">
        <f>IFERROR(__xludf.DUMMYFUNCTION("""COMPUTED_VALUE"""),3.67)</f>
        <v>3.67</v>
      </c>
      <c r="AK472" s="320">
        <f>IFERROR(__xludf.DUMMYFUNCTION("""COMPUTED_VALUE"""),0.2005)</f>
        <v>0.2005</v>
      </c>
      <c r="AL472" s="320">
        <f>IFERROR(__xludf.DUMMYFUNCTION("""COMPUTED_VALUE"""),20.0)</f>
        <v>20</v>
      </c>
      <c r="AM472" s="320">
        <f>IFERROR(__xludf.DUMMYFUNCTION("""COMPUTED_VALUE"""),42.81)</f>
        <v>42.81</v>
      </c>
      <c r="AN472" s="320">
        <f>IFERROR(__xludf.DUMMYFUNCTION("""COMPUTED_VALUE"""),74.63)</f>
        <v>74.63</v>
      </c>
      <c r="AO472" s="320">
        <f>IFERROR(__xludf.DUMMYFUNCTION("""COMPUTED_VALUE"""),14.93)</f>
        <v>14.93</v>
      </c>
    </row>
    <row r="473" ht="15.75" customHeight="1">
      <c r="A473" s="330">
        <f>IFERROR(__xludf.DUMMYFUNCTION("""COMPUTED_VALUE"""),46128.0)</f>
        <v>46128</v>
      </c>
      <c r="B473" s="319" t="str">
        <f>IFERROR(__xludf.DUMMYFUNCTION("""COMPUTED_VALUE"""),"D. 20-39")</f>
        <v>D. 20-39</v>
      </c>
      <c r="C473" s="320">
        <f>IFERROR(__xludf.DUMMYFUNCTION("""COMPUTED_VALUE"""),13777.0)</f>
        <v>13777</v>
      </c>
      <c r="D473" s="320">
        <f>IFERROR(__xludf.DUMMYFUNCTION("""COMPUTED_VALUE"""),13.51)</f>
        <v>13.51</v>
      </c>
      <c r="E473" s="320">
        <f>IFERROR(__xludf.DUMMYFUNCTION("""COMPUTED_VALUE"""),0.0)</f>
        <v>0</v>
      </c>
      <c r="F473" s="320">
        <f>IFERROR(__xludf.DUMMYFUNCTION("""COMPUTED_VALUE"""),0.0)</f>
        <v>0</v>
      </c>
      <c r="G473" s="320">
        <f>IFERROR(__xludf.DUMMYFUNCTION("""COMPUTED_VALUE"""),0.0)</f>
        <v>0</v>
      </c>
      <c r="H473" s="106"/>
      <c r="I473" s="320">
        <f>IFERROR(__xludf.DUMMYFUNCTION("""COMPUTED_VALUE"""),77.02)</f>
        <v>77.02</v>
      </c>
      <c r="J473" s="320">
        <f>IFERROR(__xludf.DUMMYFUNCTION("""COMPUTED_VALUE"""),39.06)</f>
        <v>39.06</v>
      </c>
      <c r="K473" s="320">
        <f>IFERROR(__xludf.DUMMYFUNCTION("""COMPUTED_VALUE"""),25.39)</f>
        <v>25.39</v>
      </c>
      <c r="L473" s="320">
        <f>IFERROR(__xludf.DUMMYFUNCTION("""COMPUTED_VALUE"""),0.65)</f>
        <v>0.65</v>
      </c>
      <c r="M473" s="320">
        <f>IFERROR(__xludf.DUMMYFUNCTION("""COMPUTED_VALUE"""),0.5424)</f>
        <v>0.5424</v>
      </c>
      <c r="N473" s="320">
        <f>IFERROR(__xludf.DUMMYFUNCTION("""COMPUTED_VALUE"""),0.3733)</f>
        <v>0.3733</v>
      </c>
      <c r="O473" s="320">
        <f>IFERROR(__xludf.DUMMYFUNCTION("""COMPUTED_VALUE"""),1.5384)</f>
        <v>1.5384</v>
      </c>
      <c r="P473" s="320">
        <f>IFERROR(__xludf.DUMMYFUNCTION("""COMPUTED_VALUE"""),158.73)</f>
        <v>158.73</v>
      </c>
      <c r="Q473" s="320">
        <f>IFERROR(__xludf.DUMMYFUNCTION("""COMPUTED_VALUE"""),107.49)</f>
        <v>107.49</v>
      </c>
      <c r="R473" s="320">
        <f>IFERROR(__xludf.DUMMYFUNCTION("""COMPUTED_VALUE"""),51.24)</f>
        <v>51.24</v>
      </c>
      <c r="S473" s="320">
        <f>IFERROR(__xludf.DUMMYFUNCTION("""COMPUTED_VALUE"""),0.0)</f>
        <v>0</v>
      </c>
      <c r="T473" s="320">
        <f>IFERROR(__xludf.DUMMYFUNCTION("""COMPUTED_VALUE"""),158.73)</f>
        <v>158.73</v>
      </c>
      <c r="U473" s="320">
        <f>IFERROR(__xludf.DUMMYFUNCTION("""COMPUTED_VALUE"""),165.73)</f>
        <v>165.73</v>
      </c>
      <c r="V473" s="320">
        <f>IFERROR(__xludf.DUMMYFUNCTION("""COMPUTED_VALUE"""),4.2425)</f>
        <v>4.2425</v>
      </c>
      <c r="W473" s="320">
        <f>IFERROR(__xludf.DUMMYFUNCTION("""COMPUTED_VALUE"""),0.0)</f>
        <v>0</v>
      </c>
      <c r="X473" s="320">
        <f>IFERROR(__xludf.DUMMYFUNCTION("""COMPUTED_VALUE"""),149.0)</f>
        <v>149</v>
      </c>
      <c r="Y473" s="320">
        <f>IFERROR(__xludf.DUMMYFUNCTION("""COMPUTED_VALUE"""),984.0)</f>
        <v>984</v>
      </c>
      <c r="Z473" s="320">
        <f>IFERROR(__xludf.DUMMYFUNCTION("""COMPUTED_VALUE"""),6303.0)</f>
        <v>6303</v>
      </c>
      <c r="AA473" s="320">
        <f>IFERROR(__xludf.DUMMYFUNCTION("""COMPUTED_VALUE"""),55.6463)</f>
        <v>55.6463</v>
      </c>
      <c r="AB473" s="320">
        <f>IFERROR(__xludf.DUMMYFUNCTION("""COMPUTED_VALUE"""),0.7352)</f>
        <v>0.7352</v>
      </c>
      <c r="AC473" s="320">
        <f>IFERROR(__xludf.DUMMYFUNCTION("""COMPUTED_VALUE"""),17.09)</f>
        <v>17.09</v>
      </c>
      <c r="AD473" s="320">
        <f>IFERROR(__xludf.DUMMYFUNCTION("""COMPUTED_VALUE"""),7.0)</f>
        <v>7</v>
      </c>
      <c r="AE473" s="320">
        <f>IFERROR(__xludf.DUMMYFUNCTION("""COMPUTED_VALUE"""),13.0)</f>
        <v>13</v>
      </c>
      <c r="AF473" s="320">
        <f>IFERROR(__xludf.DUMMYFUNCTION("""COMPUTED_VALUE"""),23.0)</f>
        <v>23</v>
      </c>
      <c r="AG473" s="320">
        <f>IFERROR(__xludf.DUMMYFUNCTION("""COMPUTED_VALUE"""),35.0)</f>
        <v>35</v>
      </c>
      <c r="AH473" s="320">
        <f>IFERROR(__xludf.DUMMYFUNCTION("""COMPUTED_VALUE"""),58.6)</f>
        <v>58.6</v>
      </c>
      <c r="AI473" s="320">
        <f>IFERROR(__xludf.DUMMYFUNCTION("""COMPUTED_VALUE"""),21.48)</f>
        <v>21.48</v>
      </c>
      <c r="AJ473" s="320">
        <f>IFERROR(__xludf.DUMMYFUNCTION("""COMPUTED_VALUE"""),6.16)</f>
        <v>6.16</v>
      </c>
      <c r="AK473" s="320">
        <f>IFERROR(__xludf.DUMMYFUNCTION("""COMPUTED_VALUE"""),0.1745)</f>
        <v>0.1745</v>
      </c>
      <c r="AL473" s="320">
        <f>IFERROR(__xludf.DUMMYFUNCTION("""COMPUTED_VALUE"""),19.82)</f>
        <v>19.82</v>
      </c>
      <c r="AM473" s="320">
        <f>IFERROR(__xludf.DUMMYFUNCTION("""COMPUTED_VALUE"""),87.67)</f>
        <v>87.67</v>
      </c>
      <c r="AN473" s="320">
        <f>IFERROR(__xludf.DUMMYFUNCTION("""COMPUTED_VALUE"""),79.3)</f>
        <v>79.3</v>
      </c>
      <c r="AO473" s="320">
        <f>IFERROR(__xludf.DUMMYFUNCTION("""COMPUTED_VALUE"""),15.72)</f>
        <v>15.72</v>
      </c>
    </row>
    <row r="474" ht="15.75" customHeight="1">
      <c r="A474" s="330">
        <f>IFERROR(__xludf.DUMMYFUNCTION("""COMPUTED_VALUE"""),46128.0)</f>
        <v>46128</v>
      </c>
      <c r="B474" s="319" t="str">
        <f>IFERROR(__xludf.DUMMYFUNCTION("""COMPUTED_VALUE"""),"E. 40-99")</f>
        <v>E. 40-99</v>
      </c>
      <c r="C474" s="320">
        <f>IFERROR(__xludf.DUMMYFUNCTION("""COMPUTED_VALUE"""),5474.0)</f>
        <v>5474</v>
      </c>
      <c r="D474" s="320">
        <f>IFERROR(__xludf.DUMMYFUNCTION("""COMPUTED_VALUE"""),5.37)</f>
        <v>5.37</v>
      </c>
      <c r="E474" s="320">
        <f>IFERROR(__xludf.DUMMYFUNCTION("""COMPUTED_VALUE"""),0.0)</f>
        <v>0</v>
      </c>
      <c r="F474" s="320">
        <f>IFERROR(__xludf.DUMMYFUNCTION("""COMPUTED_VALUE"""),0.0)</f>
        <v>0</v>
      </c>
      <c r="G474" s="320">
        <f>IFERROR(__xludf.DUMMYFUNCTION("""COMPUTED_VALUE"""),0.0)</f>
        <v>0</v>
      </c>
      <c r="H474" s="106"/>
      <c r="I474" s="320">
        <f>IFERROR(__xludf.DUMMYFUNCTION("""COMPUTED_VALUE"""),124.3)</f>
        <v>124.3</v>
      </c>
      <c r="J474" s="320">
        <f>IFERROR(__xludf.DUMMYFUNCTION("""COMPUTED_VALUE"""),67.74)</f>
        <v>67.74</v>
      </c>
      <c r="K474" s="320">
        <f>IFERROR(__xludf.DUMMYFUNCTION("""COMPUTED_VALUE"""),53.03)</f>
        <v>53.03</v>
      </c>
      <c r="L474" s="320">
        <f>IFERROR(__xludf.DUMMYFUNCTION("""COMPUTED_VALUE"""),0.7828)</f>
        <v>0.7828</v>
      </c>
      <c r="M474" s="320">
        <f>IFERROR(__xludf.DUMMYFUNCTION("""COMPUTED_VALUE"""),0.4005)</f>
        <v>0.4005</v>
      </c>
      <c r="N474" s="320">
        <f>IFERROR(__xludf.DUMMYFUNCTION("""COMPUTED_VALUE"""),0.2864)</f>
        <v>0.2864</v>
      </c>
      <c r="O474" s="320">
        <f>IFERROR(__xludf.DUMMYFUNCTION("""COMPUTED_VALUE"""),1.2774)</f>
        <v>1.2774</v>
      </c>
      <c r="P474" s="320">
        <f>IFERROR(__xludf.DUMMYFUNCTION("""COMPUTED_VALUE"""),313.29)</f>
        <v>313.29</v>
      </c>
      <c r="Q474" s="320">
        <f>IFERROR(__xludf.DUMMYFUNCTION("""COMPUTED_VALUE"""),206.88)</f>
        <v>206.88</v>
      </c>
      <c r="R474" s="320">
        <f>IFERROR(__xludf.DUMMYFUNCTION("""COMPUTED_VALUE"""),106.41)</f>
        <v>106.41</v>
      </c>
      <c r="S474" s="320">
        <f>IFERROR(__xludf.DUMMYFUNCTION("""COMPUTED_VALUE"""),0.0)</f>
        <v>0</v>
      </c>
      <c r="T474" s="320">
        <f>IFERROR(__xludf.DUMMYFUNCTION("""COMPUTED_VALUE"""),313.29)</f>
        <v>313.29</v>
      </c>
      <c r="U474" s="320">
        <f>IFERROR(__xludf.DUMMYFUNCTION("""COMPUTED_VALUE"""),318.22)</f>
        <v>318.22</v>
      </c>
      <c r="V474" s="320">
        <f>IFERROR(__xludf.DUMMYFUNCTION("""COMPUTED_VALUE"""),4.6974)</f>
        <v>4.6974</v>
      </c>
      <c r="W474" s="320">
        <f>IFERROR(__xludf.DUMMYFUNCTION("""COMPUTED_VALUE"""),0.0)</f>
        <v>0</v>
      </c>
      <c r="X474" s="320">
        <f>IFERROR(__xludf.DUMMYFUNCTION("""COMPUTED_VALUE"""),300.0)</f>
        <v>300</v>
      </c>
      <c r="Y474" s="320">
        <f>IFERROR(__xludf.DUMMYFUNCTION("""COMPUTED_VALUE"""),2325.0)</f>
        <v>2325</v>
      </c>
      <c r="Z474" s="320">
        <f>IFERROR(__xludf.DUMMYFUNCTION("""COMPUTED_VALUE"""),9719.0)</f>
        <v>9719</v>
      </c>
      <c r="AA474" s="320">
        <f>IFERROR(__xludf.DUMMYFUNCTION("""COMPUTED_VALUE"""),59.4361)</f>
        <v>59.4361</v>
      </c>
      <c r="AB474" s="320">
        <f>IFERROR(__xludf.DUMMYFUNCTION("""COMPUTED_VALUE"""),0.8258)</f>
        <v>0.8258</v>
      </c>
      <c r="AC474" s="320">
        <f>IFERROR(__xludf.DUMMYFUNCTION("""COMPUTED_VALUE"""),36.01)</f>
        <v>36.01</v>
      </c>
      <c r="AD474" s="320">
        <f>IFERROR(__xludf.DUMMYFUNCTION("""COMPUTED_VALUE"""),15.0)</f>
        <v>15</v>
      </c>
      <c r="AE474" s="320">
        <f>IFERROR(__xludf.DUMMYFUNCTION("""COMPUTED_VALUE"""),28.0)</f>
        <v>28</v>
      </c>
      <c r="AF474" s="320">
        <f>IFERROR(__xludf.DUMMYFUNCTION("""COMPUTED_VALUE"""),50.0)</f>
        <v>50</v>
      </c>
      <c r="AG474" s="320">
        <f>IFERROR(__xludf.DUMMYFUNCTION("""COMPUTED_VALUE"""),75.0)</f>
        <v>75</v>
      </c>
      <c r="AH474" s="320">
        <f>IFERROR(__xludf.DUMMYFUNCTION("""COMPUTED_VALUE"""),51.04)</f>
        <v>51.04</v>
      </c>
      <c r="AI474" s="320">
        <f>IFERROR(__xludf.DUMMYFUNCTION("""COMPUTED_VALUE"""),18.01)</f>
        <v>18.01</v>
      </c>
      <c r="AJ474" s="320">
        <f>IFERROR(__xludf.DUMMYFUNCTION("""COMPUTED_VALUE"""),3.56)</f>
        <v>3.56</v>
      </c>
      <c r="AK474" s="320">
        <f>IFERROR(__xludf.DUMMYFUNCTION("""COMPUTED_VALUE"""),0.1299)</f>
        <v>0.1299</v>
      </c>
      <c r="AL474" s="320">
        <f>IFERROR(__xludf.DUMMYFUNCTION("""COMPUTED_VALUE"""),21.18)</f>
        <v>21.18</v>
      </c>
      <c r="AM474" s="320">
        <f>IFERROR(__xludf.DUMMYFUNCTION("""COMPUTED_VALUE"""),185.7)</f>
        <v>185.7</v>
      </c>
      <c r="AN474" s="320">
        <f>IFERROR(__xludf.DUMMYFUNCTION("""COMPUTED_VALUE"""),83.87)</f>
        <v>83.87</v>
      </c>
      <c r="AO474" s="320">
        <f>IFERROR(__xludf.DUMMYFUNCTION("""COMPUTED_VALUE"""),17.76)</f>
        <v>17.76</v>
      </c>
    </row>
    <row r="475" ht="15.75" customHeight="1">
      <c r="A475" s="330">
        <f>IFERROR(__xludf.DUMMYFUNCTION("""COMPUTED_VALUE"""),46128.0)</f>
        <v>46128</v>
      </c>
      <c r="B475" s="319" t="str">
        <f>IFERROR(__xludf.DUMMYFUNCTION("""COMPUTED_VALUE"""),"F. 100+")</f>
        <v>F. 100+</v>
      </c>
      <c r="C475" s="320">
        <f>IFERROR(__xludf.DUMMYFUNCTION("""COMPUTED_VALUE"""),598.0)</f>
        <v>598</v>
      </c>
      <c r="D475" s="320">
        <f>IFERROR(__xludf.DUMMYFUNCTION("""COMPUTED_VALUE"""),0.59)</f>
        <v>0.59</v>
      </c>
      <c r="E475" s="320">
        <f>IFERROR(__xludf.DUMMYFUNCTION("""COMPUTED_VALUE"""),0.0)</f>
        <v>0</v>
      </c>
      <c r="F475" s="320">
        <f>IFERROR(__xludf.DUMMYFUNCTION("""COMPUTED_VALUE"""),0.0)</f>
        <v>0</v>
      </c>
      <c r="G475" s="320">
        <f>IFERROR(__xludf.DUMMYFUNCTION("""COMPUTED_VALUE"""),0.0)</f>
        <v>0</v>
      </c>
      <c r="H475" s="106"/>
      <c r="I475" s="320">
        <f>IFERROR(__xludf.DUMMYFUNCTION("""COMPUTED_VALUE"""),237.71)</f>
        <v>237.71</v>
      </c>
      <c r="J475" s="320">
        <f>IFERROR(__xludf.DUMMYFUNCTION("""COMPUTED_VALUE"""),137.56)</f>
        <v>137.56</v>
      </c>
      <c r="K475" s="320">
        <f>IFERROR(__xludf.DUMMYFUNCTION("""COMPUTED_VALUE"""),120.32)</f>
        <v>120.32</v>
      </c>
      <c r="L475" s="320">
        <f>IFERROR(__xludf.DUMMYFUNCTION("""COMPUTED_VALUE"""),0.8746)</f>
        <v>0.8746</v>
      </c>
      <c r="M475" s="320">
        <f>IFERROR(__xludf.DUMMYFUNCTION("""COMPUTED_VALUE"""),0.2873)</f>
        <v>0.2873</v>
      </c>
      <c r="N475" s="320">
        <f>IFERROR(__xludf.DUMMYFUNCTION("""COMPUTED_VALUE"""),0.2229)</f>
        <v>0.2229</v>
      </c>
      <c r="O475" s="320">
        <f>IFERROR(__xludf.DUMMYFUNCTION("""COMPUTED_VALUE"""),1.1434)</f>
        <v>1.1434</v>
      </c>
      <c r="P475" s="320">
        <f>IFERROR(__xludf.DUMMYFUNCTION("""COMPUTED_VALUE"""),598.17)</f>
        <v>598.17</v>
      </c>
      <c r="Q475" s="320">
        <f>IFERROR(__xludf.DUMMYFUNCTION("""COMPUTED_VALUE"""),352.69)</f>
        <v>352.69</v>
      </c>
      <c r="R475" s="320">
        <f>IFERROR(__xludf.DUMMYFUNCTION("""COMPUTED_VALUE"""),245.48)</f>
        <v>245.48</v>
      </c>
      <c r="S475" s="320">
        <f>IFERROR(__xludf.DUMMYFUNCTION("""COMPUTED_VALUE"""),0.0)</f>
        <v>0</v>
      </c>
      <c r="T475" s="320">
        <f>IFERROR(__xludf.DUMMYFUNCTION("""COMPUTED_VALUE"""),598.17)</f>
        <v>598.17</v>
      </c>
      <c r="U475" s="320">
        <f>IFERROR(__xludf.DUMMYFUNCTION("""COMPUTED_VALUE"""),610.7)</f>
        <v>610.7</v>
      </c>
      <c r="V475" s="320">
        <f>IFERROR(__xludf.DUMMYFUNCTION("""COMPUTED_VALUE"""),4.4394)</f>
        <v>4.4394</v>
      </c>
      <c r="W475" s="320">
        <f>IFERROR(__xludf.DUMMYFUNCTION("""COMPUTED_VALUE"""),0.0)</f>
        <v>0</v>
      </c>
      <c r="X475" s="320">
        <f>IFERROR(__xludf.DUMMYFUNCTION("""COMPUTED_VALUE"""),823.0)</f>
        <v>823</v>
      </c>
      <c r="Y475" s="320">
        <f>IFERROR(__xludf.DUMMYFUNCTION("""COMPUTED_VALUE"""),4299.0)</f>
        <v>4299</v>
      </c>
      <c r="Z475" s="320">
        <f>IFERROR(__xludf.DUMMYFUNCTION("""COMPUTED_VALUE"""),11600.0)</f>
        <v>11600</v>
      </c>
      <c r="AA475" s="320">
        <f>IFERROR(__xludf.DUMMYFUNCTION("""COMPUTED_VALUE"""),63.4141)</f>
        <v>63.4141</v>
      </c>
      <c r="AB475" s="320">
        <f>IFERROR(__xludf.DUMMYFUNCTION("""COMPUTED_VALUE"""),0.8948)</f>
        <v>0.8948</v>
      </c>
      <c r="AC475" s="320">
        <f>IFERROR(__xludf.DUMMYFUNCTION("""COMPUTED_VALUE"""),83.35)</f>
        <v>83.35</v>
      </c>
      <c r="AD475" s="320">
        <f>IFERROR(__xludf.DUMMYFUNCTION("""COMPUTED_VALUE"""),35.0)</f>
        <v>35</v>
      </c>
      <c r="AE475" s="320">
        <f>IFERROR(__xludf.DUMMYFUNCTION("""COMPUTED_VALUE"""),72.0)</f>
        <v>72</v>
      </c>
      <c r="AF475" s="320">
        <f>IFERROR(__xludf.DUMMYFUNCTION("""COMPUTED_VALUE"""),117.0)</f>
        <v>117</v>
      </c>
      <c r="AG475" s="320">
        <f>IFERROR(__xludf.DUMMYFUNCTION("""COMPUTED_VALUE"""),166.0)</f>
        <v>166</v>
      </c>
      <c r="AH475" s="320">
        <f>IFERROR(__xludf.DUMMYFUNCTION("""COMPUTED_VALUE"""),46.32)</f>
        <v>46.32</v>
      </c>
      <c r="AI475" s="320">
        <f>IFERROR(__xludf.DUMMYFUNCTION("""COMPUTED_VALUE"""),8.86)</f>
        <v>8.86</v>
      </c>
      <c r="AJ475" s="320">
        <f>IFERROR(__xludf.DUMMYFUNCTION("""COMPUTED_VALUE"""),0.5)</f>
        <v>0.5</v>
      </c>
      <c r="AK475" s="320">
        <f>IFERROR(__xludf.DUMMYFUNCTION("""COMPUTED_VALUE"""),0.092)</f>
        <v>0.092</v>
      </c>
      <c r="AL475" s="320">
        <f>IFERROR(__xludf.DUMMYFUNCTION("""COMPUTED_VALUE"""),24.13)</f>
        <v>24.13</v>
      </c>
      <c r="AM475" s="320">
        <f>IFERROR(__xludf.DUMMYFUNCTION("""COMPUTED_VALUE"""),328.56)</f>
        <v>328.56</v>
      </c>
      <c r="AN475" s="320">
        <f>IFERROR(__xludf.DUMMYFUNCTION("""COMPUTED_VALUE"""),86.53)</f>
        <v>86.53</v>
      </c>
      <c r="AO475" s="320">
        <f>IFERROR(__xludf.DUMMYFUNCTION("""COMPUTED_VALUE"""),20.88)</f>
        <v>20.88</v>
      </c>
    </row>
    <row r="476" ht="15.75" customHeight="1">
      <c r="A476" s="330">
        <f>IFERROR(__xludf.DUMMYFUNCTION("""COMPUTED_VALUE"""),46129.0)</f>
        <v>46129</v>
      </c>
      <c r="B476" s="319" t="str">
        <f>IFERROR(__xludf.DUMMYFUNCTION("""COMPUTED_VALUE"""),"A. 0")</f>
        <v>A. 0</v>
      </c>
      <c r="C476" s="320">
        <f>IFERROR(__xludf.DUMMYFUNCTION("""COMPUTED_VALUE"""),18151.0)</f>
        <v>18151</v>
      </c>
      <c r="D476" s="320">
        <f>IFERROR(__xludf.DUMMYFUNCTION("""COMPUTED_VALUE"""),18.16)</f>
        <v>18.16</v>
      </c>
      <c r="E476" s="320">
        <f>IFERROR(__xludf.DUMMYFUNCTION("""COMPUTED_VALUE"""),0.0)</f>
        <v>0</v>
      </c>
      <c r="F476" s="320">
        <f>IFERROR(__xludf.DUMMYFUNCTION("""COMPUTED_VALUE"""),0.0)</f>
        <v>0</v>
      </c>
      <c r="G476" s="320">
        <f>IFERROR(__xludf.DUMMYFUNCTION("""COMPUTED_VALUE"""),0.0)</f>
        <v>0</v>
      </c>
      <c r="H476" s="106"/>
      <c r="I476" s="320">
        <f>IFERROR(__xludf.DUMMYFUNCTION("""COMPUTED_VALUE"""),5.89)</f>
        <v>5.89</v>
      </c>
      <c r="J476" s="320">
        <f>IFERROR(__xludf.DUMMYFUNCTION("""COMPUTED_VALUE"""),2.28)</f>
        <v>2.28</v>
      </c>
      <c r="K476" s="320">
        <f>IFERROR(__xludf.DUMMYFUNCTION("""COMPUTED_VALUE"""),0.04)</f>
        <v>0.04</v>
      </c>
      <c r="L476" s="320">
        <f>IFERROR(__xludf.DUMMYFUNCTION("""COMPUTED_VALUE"""),0.0164)</f>
        <v>0.0164</v>
      </c>
      <c r="M476" s="320">
        <f>IFERROR(__xludf.DUMMYFUNCTION("""COMPUTED_VALUE"""),0.9873)</f>
        <v>0.9873</v>
      </c>
      <c r="N476" s="320">
        <f>IFERROR(__xludf.DUMMYFUNCTION("""COMPUTED_VALUE"""),0.8431)</f>
        <v>0.8431</v>
      </c>
      <c r="O476" s="320">
        <f>IFERROR(__xludf.DUMMYFUNCTION("""COMPUTED_VALUE"""),60.95)</f>
        <v>60.95</v>
      </c>
      <c r="P476" s="320">
        <f>IFERROR(__xludf.DUMMYFUNCTION("""COMPUTED_VALUE"""),26.61)</f>
        <v>26.61</v>
      </c>
      <c r="Q476" s="320">
        <f>IFERROR(__xludf.DUMMYFUNCTION("""COMPUTED_VALUE"""),26.48)</f>
        <v>26.48</v>
      </c>
      <c r="R476" s="320">
        <f>IFERROR(__xludf.DUMMYFUNCTION("""COMPUTED_VALUE"""),0.13)</f>
        <v>0.13</v>
      </c>
      <c r="S476" s="320">
        <f>IFERROR(__xludf.DUMMYFUNCTION("""COMPUTED_VALUE"""),0.0)</f>
        <v>0</v>
      </c>
      <c r="T476" s="320">
        <f>IFERROR(__xludf.DUMMYFUNCTION("""COMPUTED_VALUE"""),26.61)</f>
        <v>26.61</v>
      </c>
      <c r="U476" s="320">
        <f>IFERROR(__xludf.DUMMYFUNCTION("""COMPUTED_VALUE"""),1.67)</f>
        <v>1.67</v>
      </c>
      <c r="V476" s="320">
        <f>IFERROR(__xludf.DUMMYFUNCTION("""COMPUTED_VALUE"""),0.7323)</f>
        <v>0.7323</v>
      </c>
      <c r="W476" s="320">
        <f>IFERROR(__xludf.DUMMYFUNCTION("""COMPUTED_VALUE"""),0.0)</f>
        <v>0</v>
      </c>
      <c r="X476" s="320">
        <f>IFERROR(__xludf.DUMMYFUNCTION("""COMPUTED_VALUE"""),413.0)</f>
        <v>413</v>
      </c>
      <c r="Y476" s="320">
        <f>IFERROR(__xludf.DUMMYFUNCTION("""COMPUTED_VALUE"""),4399.0)</f>
        <v>4399</v>
      </c>
      <c r="Z476" s="320">
        <f>IFERROR(__xludf.DUMMYFUNCTION("""COMPUTED_VALUE"""),15480.0)</f>
        <v>15480</v>
      </c>
      <c r="AA476" s="320">
        <f>IFERROR(__xludf.DUMMYFUNCTION("""COMPUTED_VALUE"""),49.0617)</f>
        <v>49.0617</v>
      </c>
      <c r="AB476" s="320">
        <f>IFERROR(__xludf.DUMMYFUNCTION("""COMPUTED_VALUE"""),0.5471)</f>
        <v>0.5471</v>
      </c>
      <c r="AC476" s="106"/>
      <c r="AD476" s="106"/>
      <c r="AE476" s="106"/>
      <c r="AF476" s="106"/>
      <c r="AG476" s="106"/>
      <c r="AH476" s="320">
        <f>IFERROR(__xludf.DUMMYFUNCTION("""COMPUTED_VALUE"""),0.0)</f>
        <v>0</v>
      </c>
      <c r="AI476" s="320">
        <f>IFERROR(__xludf.DUMMYFUNCTION("""COMPUTED_VALUE"""),0.0)</f>
        <v>0</v>
      </c>
      <c r="AJ476" s="320">
        <f>IFERROR(__xludf.DUMMYFUNCTION("""COMPUTED_VALUE"""),0.0)</f>
        <v>0</v>
      </c>
      <c r="AK476" s="320">
        <f>IFERROR(__xludf.DUMMYFUNCTION("""COMPUTED_VALUE"""),0.3041)</f>
        <v>0.3041</v>
      </c>
      <c r="AL476" s="320">
        <f>IFERROR(__xludf.DUMMYFUNCTION("""COMPUTED_VALUE"""),17.62)</f>
        <v>17.62</v>
      </c>
      <c r="AM476" s="320">
        <f>IFERROR(__xludf.DUMMYFUNCTION("""COMPUTED_VALUE"""),8.86)</f>
        <v>8.86</v>
      </c>
      <c r="AN476" s="331"/>
      <c r="AO476" s="331"/>
    </row>
    <row r="477" ht="15.75" customHeight="1">
      <c r="A477" s="330">
        <f>IFERROR(__xludf.DUMMYFUNCTION("""COMPUTED_VALUE"""),46129.0)</f>
        <v>46129</v>
      </c>
      <c r="B477" s="319" t="str">
        <f>IFERROR(__xludf.DUMMYFUNCTION("""COMPUTED_VALUE"""),"B. 1-9")</f>
        <v>B. 1-9</v>
      </c>
      <c r="C477" s="320">
        <f>IFERROR(__xludf.DUMMYFUNCTION("""COMPUTED_VALUE"""),37078.0)</f>
        <v>37078</v>
      </c>
      <c r="D477" s="320">
        <f>IFERROR(__xludf.DUMMYFUNCTION("""COMPUTED_VALUE"""),37.09)</f>
        <v>37.09</v>
      </c>
      <c r="E477" s="320">
        <f>IFERROR(__xludf.DUMMYFUNCTION("""COMPUTED_VALUE"""),0.0)</f>
        <v>0</v>
      </c>
      <c r="F477" s="320">
        <f>IFERROR(__xludf.DUMMYFUNCTION("""COMPUTED_VALUE"""),0.0)</f>
        <v>0</v>
      </c>
      <c r="G477" s="320">
        <f>IFERROR(__xludf.DUMMYFUNCTION("""COMPUTED_VALUE"""),0.0)</f>
        <v>0</v>
      </c>
      <c r="H477" s="106"/>
      <c r="I477" s="320">
        <f>IFERROR(__xludf.DUMMYFUNCTION("""COMPUTED_VALUE"""),31.08)</f>
        <v>31.08</v>
      </c>
      <c r="J477" s="320">
        <f>IFERROR(__xludf.DUMMYFUNCTION("""COMPUTED_VALUE"""),14.1)</f>
        <v>14.1</v>
      </c>
      <c r="K477" s="320">
        <f>IFERROR(__xludf.DUMMYFUNCTION("""COMPUTED_VALUE"""),5.94)</f>
        <v>5.94</v>
      </c>
      <c r="L477" s="320">
        <f>IFERROR(__xludf.DUMMYFUNCTION("""COMPUTED_VALUE"""),0.4212)</f>
        <v>0.4212</v>
      </c>
      <c r="M477" s="320">
        <f>IFERROR(__xludf.DUMMYFUNCTION("""COMPUTED_VALUE"""),0.7477)</f>
        <v>0.7477</v>
      </c>
      <c r="N477" s="320">
        <f>IFERROR(__xludf.DUMMYFUNCTION("""COMPUTED_VALUE"""),0.5472)</f>
        <v>0.5472</v>
      </c>
      <c r="O477" s="320">
        <f>IFERROR(__xludf.DUMMYFUNCTION("""COMPUTED_VALUE"""),2.374)</f>
        <v>2.374</v>
      </c>
      <c r="P477" s="320">
        <f>IFERROR(__xludf.DUMMYFUNCTION("""COMPUTED_VALUE"""),56.95)</f>
        <v>56.95</v>
      </c>
      <c r="Q477" s="320">
        <f>IFERROR(__xludf.DUMMYFUNCTION("""COMPUTED_VALUE"""),45.1)</f>
        <v>45.1</v>
      </c>
      <c r="R477" s="320">
        <f>IFERROR(__xludf.DUMMYFUNCTION("""COMPUTED_VALUE"""),11.85)</f>
        <v>11.85</v>
      </c>
      <c r="S477" s="320">
        <f>IFERROR(__xludf.DUMMYFUNCTION("""COMPUTED_VALUE"""),0.0)</f>
        <v>0</v>
      </c>
      <c r="T477" s="320">
        <f>IFERROR(__xludf.DUMMYFUNCTION("""COMPUTED_VALUE"""),56.95)</f>
        <v>56.95</v>
      </c>
      <c r="U477" s="320">
        <f>IFERROR(__xludf.DUMMYFUNCTION("""COMPUTED_VALUE"""),53.68)</f>
        <v>53.68</v>
      </c>
      <c r="V477" s="320">
        <f>IFERROR(__xludf.DUMMYFUNCTION("""COMPUTED_VALUE"""),3.806)</f>
        <v>3.806</v>
      </c>
      <c r="W477" s="320">
        <f>IFERROR(__xludf.DUMMYFUNCTION("""COMPUTED_VALUE"""),0.0)</f>
        <v>0</v>
      </c>
      <c r="X477" s="320">
        <f>IFERROR(__xludf.DUMMYFUNCTION("""COMPUTED_VALUE"""),146.0)</f>
        <v>146</v>
      </c>
      <c r="Y477" s="320">
        <f>IFERROR(__xludf.DUMMYFUNCTION("""COMPUTED_VALUE"""),915.0)</f>
        <v>915</v>
      </c>
      <c r="Z477" s="320">
        <f>IFERROR(__xludf.DUMMYFUNCTION("""COMPUTED_VALUE"""),6062.0)</f>
        <v>6062</v>
      </c>
      <c r="AA477" s="320">
        <f>IFERROR(__xludf.DUMMYFUNCTION("""COMPUTED_VALUE"""),48.687)</f>
        <v>48.687</v>
      </c>
      <c r="AB477" s="320">
        <f>IFERROR(__xludf.DUMMYFUNCTION("""COMPUTED_VALUE"""),0.5352)</f>
        <v>0.5352</v>
      </c>
      <c r="AC477" s="320">
        <f>IFERROR(__xludf.DUMMYFUNCTION("""COMPUTED_VALUE"""),4.14)</f>
        <v>4.14</v>
      </c>
      <c r="AD477" s="320">
        <f>IFERROR(__xludf.DUMMYFUNCTION("""COMPUTED_VALUE"""),1.0)</f>
        <v>1</v>
      </c>
      <c r="AE477" s="320">
        <f>IFERROR(__xludf.DUMMYFUNCTION("""COMPUTED_VALUE"""),3.0)</f>
        <v>3</v>
      </c>
      <c r="AF477" s="320">
        <f>IFERROR(__xludf.DUMMYFUNCTION("""COMPUTED_VALUE"""),6.0)</f>
        <v>6</v>
      </c>
      <c r="AG477" s="320">
        <f>IFERROR(__xludf.DUMMYFUNCTION("""COMPUTED_VALUE"""),9.0)</f>
        <v>9</v>
      </c>
      <c r="AH477" s="320">
        <f>IFERROR(__xludf.DUMMYFUNCTION("""COMPUTED_VALUE"""),74.79)</f>
        <v>74.79</v>
      </c>
      <c r="AI477" s="320">
        <f>IFERROR(__xludf.DUMMYFUNCTION("""COMPUTED_VALUE"""),32.94)</f>
        <v>32.94</v>
      </c>
      <c r="AJ477" s="320">
        <f>IFERROR(__xludf.DUMMYFUNCTION("""COMPUTED_VALUE"""),8.98)</f>
        <v>8.98</v>
      </c>
      <c r="AK477" s="320">
        <f>IFERROR(__xludf.DUMMYFUNCTION("""COMPUTED_VALUE"""),0.2682)</f>
        <v>0.2682</v>
      </c>
      <c r="AL477" s="320">
        <f>IFERROR(__xludf.DUMMYFUNCTION("""COMPUTED_VALUE"""),20.32)</f>
        <v>20.32</v>
      </c>
      <c r="AM477" s="320">
        <f>IFERROR(__xludf.DUMMYFUNCTION("""COMPUTED_VALUE"""),24.79)</f>
        <v>24.79</v>
      </c>
      <c r="AN477" s="320">
        <f>IFERROR(__xludf.DUMMYFUNCTION("""COMPUTED_VALUE"""),65.94)</f>
        <v>65.94</v>
      </c>
      <c r="AO477" s="320">
        <f>IFERROR(__xludf.DUMMYFUNCTION("""COMPUTED_VALUE"""),13.4)</f>
        <v>13.4</v>
      </c>
    </row>
    <row r="478" ht="15.75" customHeight="1">
      <c r="A478" s="330">
        <f>IFERROR(__xludf.DUMMYFUNCTION("""COMPUTED_VALUE"""),46129.0)</f>
        <v>46129</v>
      </c>
      <c r="B478" s="319" t="str">
        <f>IFERROR(__xludf.DUMMYFUNCTION("""COMPUTED_VALUE"""),"C. 10-19")</f>
        <v>C. 10-19</v>
      </c>
      <c r="C478" s="320">
        <f>IFERROR(__xludf.DUMMYFUNCTION("""COMPUTED_VALUE"""),24826.0)</f>
        <v>24826</v>
      </c>
      <c r="D478" s="320">
        <f>IFERROR(__xludf.DUMMYFUNCTION("""COMPUTED_VALUE"""),24.83)</f>
        <v>24.83</v>
      </c>
      <c r="E478" s="320">
        <f>IFERROR(__xludf.DUMMYFUNCTION("""COMPUTED_VALUE"""),0.0)</f>
        <v>0</v>
      </c>
      <c r="F478" s="320">
        <f>IFERROR(__xludf.DUMMYFUNCTION("""COMPUTED_VALUE"""),0.0)</f>
        <v>0</v>
      </c>
      <c r="G478" s="320">
        <f>IFERROR(__xludf.DUMMYFUNCTION("""COMPUTED_VALUE"""),0.0)</f>
        <v>0</v>
      </c>
      <c r="H478" s="106"/>
      <c r="I478" s="320">
        <f>IFERROR(__xludf.DUMMYFUNCTION("""COMPUTED_VALUE"""),58.32)</f>
        <v>58.32</v>
      </c>
      <c r="J478" s="320">
        <f>IFERROR(__xludf.DUMMYFUNCTION("""COMPUTED_VALUE"""),27.88)</f>
        <v>27.88</v>
      </c>
      <c r="K478" s="320">
        <f>IFERROR(__xludf.DUMMYFUNCTION("""COMPUTED_VALUE"""),14.48)</f>
        <v>14.48</v>
      </c>
      <c r="L478" s="320">
        <f>IFERROR(__xludf.DUMMYFUNCTION("""COMPUTED_VALUE"""),0.5193)</f>
        <v>0.5193</v>
      </c>
      <c r="M478" s="320">
        <f>IFERROR(__xludf.DUMMYFUNCTION("""COMPUTED_VALUE"""),0.6654)</f>
        <v>0.6654</v>
      </c>
      <c r="N478" s="320">
        <f>IFERROR(__xludf.DUMMYFUNCTION("""COMPUTED_VALUE"""),0.4605)</f>
        <v>0.4605</v>
      </c>
      <c r="O478" s="320">
        <f>IFERROR(__xludf.DUMMYFUNCTION("""COMPUTED_VALUE"""),1.9255)</f>
        <v>1.9255</v>
      </c>
      <c r="P478" s="320">
        <f>IFERROR(__xludf.DUMMYFUNCTION("""COMPUTED_VALUE"""),101.26)</f>
        <v>101.26</v>
      </c>
      <c r="Q478" s="320">
        <f>IFERROR(__xludf.DUMMYFUNCTION("""COMPUTED_VALUE"""),72.28)</f>
        <v>72.28</v>
      </c>
      <c r="R478" s="320">
        <f>IFERROR(__xludf.DUMMYFUNCTION("""COMPUTED_VALUE"""),28.99)</f>
        <v>28.99</v>
      </c>
      <c r="S478" s="320">
        <f>IFERROR(__xludf.DUMMYFUNCTION("""COMPUTED_VALUE"""),0.01)</f>
        <v>0.01</v>
      </c>
      <c r="T478" s="320">
        <f>IFERROR(__xludf.DUMMYFUNCTION("""COMPUTED_VALUE"""),101.26)</f>
        <v>101.26</v>
      </c>
      <c r="U478" s="320">
        <f>IFERROR(__xludf.DUMMYFUNCTION("""COMPUTED_VALUE"""),100.41)</f>
        <v>100.41</v>
      </c>
      <c r="V478" s="320">
        <f>IFERROR(__xludf.DUMMYFUNCTION("""COMPUTED_VALUE"""),3.6017)</f>
        <v>3.6017</v>
      </c>
      <c r="W478" s="320">
        <f>IFERROR(__xludf.DUMMYFUNCTION("""COMPUTED_VALUE"""),0.01)</f>
        <v>0.01</v>
      </c>
      <c r="X478" s="320">
        <f>IFERROR(__xludf.DUMMYFUNCTION("""COMPUTED_VALUE"""),122.0)</f>
        <v>122</v>
      </c>
      <c r="Y478" s="320">
        <f>IFERROR(__xludf.DUMMYFUNCTION("""COMPUTED_VALUE"""),649.0)</f>
        <v>649</v>
      </c>
      <c r="Z478" s="320">
        <f>IFERROR(__xludf.DUMMYFUNCTION("""COMPUTED_VALUE"""),5244.0)</f>
        <v>5244</v>
      </c>
      <c r="AA478" s="320">
        <f>IFERROR(__xludf.DUMMYFUNCTION("""COMPUTED_VALUE"""),51.9199)</f>
        <v>51.9199</v>
      </c>
      <c r="AB478" s="320">
        <f>IFERROR(__xludf.DUMMYFUNCTION("""COMPUTED_VALUE"""),0.6244)</f>
        <v>0.6244</v>
      </c>
      <c r="AC478" s="320">
        <f>IFERROR(__xludf.DUMMYFUNCTION("""COMPUTED_VALUE"""),9.52)</f>
        <v>9.52</v>
      </c>
      <c r="AD478" s="320">
        <f>IFERROR(__xludf.DUMMYFUNCTION("""COMPUTED_VALUE"""),4.0)</f>
        <v>4</v>
      </c>
      <c r="AE478" s="320">
        <f>IFERROR(__xludf.DUMMYFUNCTION("""COMPUTED_VALUE"""),8.0)</f>
        <v>8</v>
      </c>
      <c r="AF478" s="320">
        <f>IFERROR(__xludf.DUMMYFUNCTION("""COMPUTED_VALUE"""),13.0)</f>
        <v>13</v>
      </c>
      <c r="AG478" s="320">
        <f>IFERROR(__xludf.DUMMYFUNCTION("""COMPUTED_VALUE"""),20.0)</f>
        <v>20</v>
      </c>
      <c r="AH478" s="320">
        <f>IFERROR(__xludf.DUMMYFUNCTION("""COMPUTED_VALUE"""),63.05)</f>
        <v>63.05</v>
      </c>
      <c r="AI478" s="320">
        <f>IFERROR(__xludf.DUMMYFUNCTION("""COMPUTED_VALUE"""),26.37)</f>
        <v>26.37</v>
      </c>
      <c r="AJ478" s="320">
        <f>IFERROR(__xludf.DUMMYFUNCTION("""COMPUTED_VALUE"""),4.26)</f>
        <v>4.26</v>
      </c>
      <c r="AK478" s="320">
        <f>IFERROR(__xludf.DUMMYFUNCTION("""COMPUTED_VALUE"""),0.218)</f>
        <v>0.218</v>
      </c>
      <c r="AL478" s="320">
        <f>IFERROR(__xludf.DUMMYFUNCTION("""COMPUTED_VALUE"""),21.18)</f>
        <v>21.18</v>
      </c>
      <c r="AM478" s="320">
        <f>IFERROR(__xludf.DUMMYFUNCTION("""COMPUTED_VALUE"""),51.1)</f>
        <v>51.1</v>
      </c>
      <c r="AN478" s="320">
        <f>IFERROR(__xludf.DUMMYFUNCTION("""COMPUTED_VALUE"""),75.04)</f>
        <v>75.04</v>
      </c>
      <c r="AO478" s="320">
        <f>IFERROR(__xludf.DUMMYFUNCTION("""COMPUTED_VALUE"""),15.89)</f>
        <v>15.89</v>
      </c>
    </row>
    <row r="479" ht="15.75" customHeight="1">
      <c r="A479" s="330">
        <f>IFERROR(__xludf.DUMMYFUNCTION("""COMPUTED_VALUE"""),46129.0)</f>
        <v>46129</v>
      </c>
      <c r="B479" s="319" t="str">
        <f>IFERROR(__xludf.DUMMYFUNCTION("""COMPUTED_VALUE"""),"D. 20-39")</f>
        <v>D. 20-39</v>
      </c>
      <c r="C479" s="320">
        <f>IFERROR(__xludf.DUMMYFUNCTION("""COMPUTED_VALUE"""),13939.0)</f>
        <v>13939</v>
      </c>
      <c r="D479" s="320">
        <f>IFERROR(__xludf.DUMMYFUNCTION("""COMPUTED_VALUE"""),13.94)</f>
        <v>13.94</v>
      </c>
      <c r="E479" s="320">
        <f>IFERROR(__xludf.DUMMYFUNCTION("""COMPUTED_VALUE"""),0.0)</f>
        <v>0</v>
      </c>
      <c r="F479" s="320">
        <f>IFERROR(__xludf.DUMMYFUNCTION("""COMPUTED_VALUE"""),0.0)</f>
        <v>0</v>
      </c>
      <c r="G479" s="320">
        <f>IFERROR(__xludf.DUMMYFUNCTION("""COMPUTED_VALUE"""),0.0)</f>
        <v>0</v>
      </c>
      <c r="H479" s="106"/>
      <c r="I479" s="320">
        <f>IFERROR(__xludf.DUMMYFUNCTION("""COMPUTED_VALUE"""),83.77)</f>
        <v>83.77</v>
      </c>
      <c r="J479" s="320">
        <f>IFERROR(__xludf.DUMMYFUNCTION("""COMPUTED_VALUE"""),42.18)</f>
        <v>42.18</v>
      </c>
      <c r="K479" s="320">
        <f>IFERROR(__xludf.DUMMYFUNCTION("""COMPUTED_VALUE"""),27.01)</f>
        <v>27.01</v>
      </c>
      <c r="L479" s="320">
        <f>IFERROR(__xludf.DUMMYFUNCTION("""COMPUTED_VALUE"""),0.6403)</f>
        <v>0.6403</v>
      </c>
      <c r="M479" s="320">
        <f>IFERROR(__xludf.DUMMYFUNCTION("""COMPUTED_VALUE"""),0.5456)</f>
        <v>0.5456</v>
      </c>
      <c r="N479" s="320">
        <f>IFERROR(__xludf.DUMMYFUNCTION("""COMPUTED_VALUE"""),0.3737)</f>
        <v>0.3737</v>
      </c>
      <c r="O479" s="320">
        <f>IFERROR(__xludf.DUMMYFUNCTION("""COMPUTED_VALUE"""),1.5617)</f>
        <v>1.5617</v>
      </c>
      <c r="P479" s="320">
        <f>IFERROR(__xludf.DUMMYFUNCTION("""COMPUTED_VALUE"""),158.06)</f>
        <v>158.06</v>
      </c>
      <c r="Q479" s="320">
        <f>IFERROR(__xludf.DUMMYFUNCTION("""COMPUTED_VALUE"""),104.14)</f>
        <v>104.14</v>
      </c>
      <c r="R479" s="320">
        <f>IFERROR(__xludf.DUMMYFUNCTION("""COMPUTED_VALUE"""),53.93)</f>
        <v>53.93</v>
      </c>
      <c r="S479" s="320">
        <f>IFERROR(__xludf.DUMMYFUNCTION("""COMPUTED_VALUE"""),0.0)</f>
        <v>0</v>
      </c>
      <c r="T479" s="320">
        <f>IFERROR(__xludf.DUMMYFUNCTION("""COMPUTED_VALUE"""),158.06)</f>
        <v>158.06</v>
      </c>
      <c r="U479" s="320">
        <f>IFERROR(__xludf.DUMMYFUNCTION("""COMPUTED_VALUE"""),166.57)</f>
        <v>166.57</v>
      </c>
      <c r="V479" s="320">
        <f>IFERROR(__xludf.DUMMYFUNCTION("""COMPUTED_VALUE"""),3.9493)</f>
        <v>3.9493</v>
      </c>
      <c r="W479" s="320">
        <f>IFERROR(__xludf.DUMMYFUNCTION("""COMPUTED_VALUE"""),0.0)</f>
        <v>0</v>
      </c>
      <c r="X479" s="320">
        <f>IFERROR(__xludf.DUMMYFUNCTION("""COMPUTED_VALUE"""),145.0)</f>
        <v>145</v>
      </c>
      <c r="Y479" s="320">
        <f>IFERROR(__xludf.DUMMYFUNCTION("""COMPUTED_VALUE"""),947.0)</f>
        <v>947</v>
      </c>
      <c r="Z479" s="320">
        <f>IFERROR(__xludf.DUMMYFUNCTION("""COMPUTED_VALUE"""),6118.0)</f>
        <v>6118</v>
      </c>
      <c r="AA479" s="320">
        <f>IFERROR(__xludf.DUMMYFUNCTION("""COMPUTED_VALUE"""),55.5181)</f>
        <v>55.5181</v>
      </c>
      <c r="AB479" s="320">
        <f>IFERROR(__xludf.DUMMYFUNCTION("""COMPUTED_VALUE"""),0.7283)</f>
        <v>0.7283</v>
      </c>
      <c r="AC479" s="320">
        <f>IFERROR(__xludf.DUMMYFUNCTION("""COMPUTED_VALUE"""),17.57)</f>
        <v>17.57</v>
      </c>
      <c r="AD479" s="320">
        <f>IFERROR(__xludf.DUMMYFUNCTION("""COMPUTED_VALUE"""),8.0)</f>
        <v>8</v>
      </c>
      <c r="AE479" s="320">
        <f>IFERROR(__xludf.DUMMYFUNCTION("""COMPUTED_VALUE"""),14.0)</f>
        <v>14</v>
      </c>
      <c r="AF479" s="320">
        <f>IFERROR(__xludf.DUMMYFUNCTION("""COMPUTED_VALUE"""),24.0)</f>
        <v>24</v>
      </c>
      <c r="AG479" s="320">
        <f>IFERROR(__xludf.DUMMYFUNCTION("""COMPUTED_VALUE"""),36.0)</f>
        <v>36</v>
      </c>
      <c r="AH479" s="320">
        <f>IFERROR(__xludf.DUMMYFUNCTION("""COMPUTED_VALUE"""),61.3)</f>
        <v>61.3</v>
      </c>
      <c r="AI479" s="320">
        <f>IFERROR(__xludf.DUMMYFUNCTION("""COMPUTED_VALUE"""),22.25)</f>
        <v>22.25</v>
      </c>
      <c r="AJ479" s="320">
        <f>IFERROR(__xludf.DUMMYFUNCTION("""COMPUTED_VALUE"""),6.06)</f>
        <v>6.06</v>
      </c>
      <c r="AK479" s="320">
        <f>IFERROR(__xludf.DUMMYFUNCTION("""COMPUTED_VALUE"""),0.1953)</f>
        <v>0.1953</v>
      </c>
      <c r="AL479" s="320">
        <f>IFERROR(__xludf.DUMMYFUNCTION("""COMPUTED_VALUE"""),21.76)</f>
        <v>21.76</v>
      </c>
      <c r="AM479" s="320">
        <f>IFERROR(__xludf.DUMMYFUNCTION("""COMPUTED_VALUE"""),82.38)</f>
        <v>82.38</v>
      </c>
      <c r="AN479" s="320">
        <f>IFERROR(__xludf.DUMMYFUNCTION("""COMPUTED_VALUE"""),79.38)</f>
        <v>79.38</v>
      </c>
      <c r="AO479" s="320">
        <f>IFERROR(__xludf.DUMMYFUNCTION("""COMPUTED_VALUE"""),17.27)</f>
        <v>17.27</v>
      </c>
    </row>
    <row r="480" ht="15.75" customHeight="1">
      <c r="A480" s="330">
        <f>IFERROR(__xludf.DUMMYFUNCTION("""COMPUTED_VALUE"""),46129.0)</f>
        <v>46129</v>
      </c>
      <c r="B480" s="319" t="str">
        <f>IFERROR(__xludf.DUMMYFUNCTION("""COMPUTED_VALUE"""),"E. 40-99")</f>
        <v>E. 40-99</v>
      </c>
      <c r="C480" s="320">
        <f>IFERROR(__xludf.DUMMYFUNCTION("""COMPUTED_VALUE"""),5398.0)</f>
        <v>5398</v>
      </c>
      <c r="D480" s="320">
        <f>IFERROR(__xludf.DUMMYFUNCTION("""COMPUTED_VALUE"""),5.4)</f>
        <v>5.4</v>
      </c>
      <c r="E480" s="320">
        <f>IFERROR(__xludf.DUMMYFUNCTION("""COMPUTED_VALUE"""),0.0)</f>
        <v>0</v>
      </c>
      <c r="F480" s="320">
        <f>IFERROR(__xludf.DUMMYFUNCTION("""COMPUTED_VALUE"""),0.0)</f>
        <v>0</v>
      </c>
      <c r="G480" s="320">
        <f>IFERROR(__xludf.DUMMYFUNCTION("""COMPUTED_VALUE"""),0.0)</f>
        <v>0</v>
      </c>
      <c r="H480" s="106"/>
      <c r="I480" s="320">
        <f>IFERROR(__xludf.DUMMYFUNCTION("""COMPUTED_VALUE"""),132.38)</f>
        <v>132.38</v>
      </c>
      <c r="J480" s="320">
        <f>IFERROR(__xludf.DUMMYFUNCTION("""COMPUTED_VALUE"""),70.91)</f>
        <v>70.91</v>
      </c>
      <c r="K480" s="320">
        <f>IFERROR(__xludf.DUMMYFUNCTION("""COMPUTED_VALUE"""),53.92)</f>
        <v>53.92</v>
      </c>
      <c r="L480" s="320">
        <f>IFERROR(__xludf.DUMMYFUNCTION("""COMPUTED_VALUE"""),0.7604)</f>
        <v>0.7604</v>
      </c>
      <c r="M480" s="320">
        <f>IFERROR(__xludf.DUMMYFUNCTION("""COMPUTED_VALUE"""),0.4191)</f>
        <v>0.4191</v>
      </c>
      <c r="N480" s="320">
        <f>IFERROR(__xludf.DUMMYFUNCTION("""COMPUTED_VALUE"""),0.2945)</f>
        <v>0.2945</v>
      </c>
      <c r="O480" s="320">
        <f>IFERROR(__xludf.DUMMYFUNCTION("""COMPUTED_VALUE"""),1.315)</f>
        <v>1.315</v>
      </c>
      <c r="P480" s="320">
        <f>IFERROR(__xludf.DUMMYFUNCTION("""COMPUTED_VALUE"""),259.77)</f>
        <v>259.77</v>
      </c>
      <c r="Q480" s="320">
        <f>IFERROR(__xludf.DUMMYFUNCTION("""COMPUTED_VALUE"""),152.69)</f>
        <v>152.69</v>
      </c>
      <c r="R480" s="320">
        <f>IFERROR(__xludf.DUMMYFUNCTION("""COMPUTED_VALUE"""),107.09)</f>
        <v>107.09</v>
      </c>
      <c r="S480" s="320">
        <f>IFERROR(__xludf.DUMMYFUNCTION("""COMPUTED_VALUE"""),0.0)</f>
        <v>0</v>
      </c>
      <c r="T480" s="320">
        <f>IFERROR(__xludf.DUMMYFUNCTION("""COMPUTED_VALUE"""),259.77)</f>
        <v>259.77</v>
      </c>
      <c r="U480" s="320">
        <f>IFERROR(__xludf.DUMMYFUNCTION("""COMPUTED_VALUE"""),327.07)</f>
        <v>327.07</v>
      </c>
      <c r="V480" s="320">
        <f>IFERROR(__xludf.DUMMYFUNCTION("""COMPUTED_VALUE"""),4.6128)</f>
        <v>4.6128</v>
      </c>
      <c r="W480" s="320">
        <f>IFERROR(__xludf.DUMMYFUNCTION("""COMPUTED_VALUE"""),0.0)</f>
        <v>0</v>
      </c>
      <c r="X480" s="320">
        <f>IFERROR(__xludf.DUMMYFUNCTION("""COMPUTED_VALUE"""),268.0)</f>
        <v>268</v>
      </c>
      <c r="Y480" s="320">
        <f>IFERROR(__xludf.DUMMYFUNCTION("""COMPUTED_VALUE"""),2246.0)</f>
        <v>2246</v>
      </c>
      <c r="Z480" s="320">
        <f>IFERROR(__xludf.DUMMYFUNCTION("""COMPUTED_VALUE"""),9865.0)</f>
        <v>9865</v>
      </c>
      <c r="AA480" s="320">
        <f>IFERROR(__xludf.DUMMYFUNCTION("""COMPUTED_VALUE"""),59.5285)</f>
        <v>59.5285</v>
      </c>
      <c r="AB480" s="320">
        <f>IFERROR(__xludf.DUMMYFUNCTION("""COMPUTED_VALUE"""),0.83)</f>
        <v>0.83</v>
      </c>
      <c r="AC480" s="320">
        <f>IFERROR(__xludf.DUMMYFUNCTION("""COMPUTED_VALUE"""),35.52)</f>
        <v>35.52</v>
      </c>
      <c r="AD480" s="320">
        <f>IFERROR(__xludf.DUMMYFUNCTION("""COMPUTED_VALUE"""),14.0)</f>
        <v>14</v>
      </c>
      <c r="AE480" s="320">
        <f>IFERROR(__xludf.DUMMYFUNCTION("""COMPUTED_VALUE"""),28.0)</f>
        <v>28</v>
      </c>
      <c r="AF480" s="320">
        <f>IFERROR(__xludf.DUMMYFUNCTION("""COMPUTED_VALUE"""),48.0)</f>
        <v>48</v>
      </c>
      <c r="AG480" s="320">
        <f>IFERROR(__xludf.DUMMYFUNCTION("""COMPUTED_VALUE"""),74.0)</f>
        <v>74</v>
      </c>
      <c r="AH480" s="320">
        <f>IFERROR(__xludf.DUMMYFUNCTION("""COMPUTED_VALUE"""),50.07)</f>
        <v>50.07</v>
      </c>
      <c r="AI480" s="320">
        <f>IFERROR(__xludf.DUMMYFUNCTION("""COMPUTED_VALUE"""),16.88)</f>
        <v>16.88</v>
      </c>
      <c r="AJ480" s="320">
        <f>IFERROR(__xludf.DUMMYFUNCTION("""COMPUTED_VALUE"""),3.93)</f>
        <v>3.93</v>
      </c>
      <c r="AK480" s="320">
        <f>IFERROR(__xludf.DUMMYFUNCTION("""COMPUTED_VALUE"""),0.1454)</f>
        <v>0.1454</v>
      </c>
      <c r="AL480" s="320">
        <f>IFERROR(__xludf.DUMMYFUNCTION("""COMPUTED_VALUE"""),22.79)</f>
        <v>22.79</v>
      </c>
      <c r="AM480" s="320">
        <f>IFERROR(__xludf.DUMMYFUNCTION("""COMPUTED_VALUE"""),129.89)</f>
        <v>129.89</v>
      </c>
      <c r="AN480" s="320">
        <f>IFERROR(__xludf.DUMMYFUNCTION("""COMPUTED_VALUE"""),83.69)</f>
        <v>83.69</v>
      </c>
      <c r="AO480" s="320">
        <f>IFERROR(__xludf.DUMMYFUNCTION("""COMPUTED_VALUE"""),19.07)</f>
        <v>19.07</v>
      </c>
    </row>
    <row r="481" ht="15.75" customHeight="1">
      <c r="A481" s="330">
        <f>IFERROR(__xludf.DUMMYFUNCTION("""COMPUTED_VALUE"""),46129.0)</f>
        <v>46129</v>
      </c>
      <c r="B481" s="319" t="str">
        <f>IFERROR(__xludf.DUMMYFUNCTION("""COMPUTED_VALUE"""),"F. 100+")</f>
        <v>F. 100+</v>
      </c>
      <c r="C481" s="320">
        <f>IFERROR(__xludf.DUMMYFUNCTION("""COMPUTED_VALUE"""),583.0)</f>
        <v>583</v>
      </c>
      <c r="D481" s="320">
        <f>IFERROR(__xludf.DUMMYFUNCTION("""COMPUTED_VALUE"""),0.58)</f>
        <v>0.58</v>
      </c>
      <c r="E481" s="320">
        <f>IFERROR(__xludf.DUMMYFUNCTION("""COMPUTED_VALUE"""),0.0)</f>
        <v>0</v>
      </c>
      <c r="F481" s="320">
        <f>IFERROR(__xludf.DUMMYFUNCTION("""COMPUTED_VALUE"""),0.0)</f>
        <v>0</v>
      </c>
      <c r="G481" s="320">
        <f>IFERROR(__xludf.DUMMYFUNCTION("""COMPUTED_VALUE"""),0.0)</f>
        <v>0</v>
      </c>
      <c r="H481" s="106"/>
      <c r="I481" s="320">
        <f>IFERROR(__xludf.DUMMYFUNCTION("""COMPUTED_VALUE"""),244.67)</f>
        <v>244.67</v>
      </c>
      <c r="J481" s="320">
        <f>IFERROR(__xludf.DUMMYFUNCTION("""COMPUTED_VALUE"""),137.52)</f>
        <v>137.52</v>
      </c>
      <c r="K481" s="320">
        <f>IFERROR(__xludf.DUMMYFUNCTION("""COMPUTED_VALUE"""),120.76)</f>
        <v>120.76</v>
      </c>
      <c r="L481" s="320">
        <f>IFERROR(__xludf.DUMMYFUNCTION("""COMPUTED_VALUE"""),0.8781)</f>
        <v>0.8781</v>
      </c>
      <c r="M481" s="320">
        <f>IFERROR(__xludf.DUMMYFUNCTION("""COMPUTED_VALUE"""),0.282)</f>
        <v>0.282</v>
      </c>
      <c r="N481" s="320">
        <f>IFERROR(__xludf.DUMMYFUNCTION("""COMPUTED_VALUE"""),0.2159)</f>
        <v>0.2159</v>
      </c>
      <c r="O481" s="320">
        <f>IFERROR(__xludf.DUMMYFUNCTION("""COMPUTED_VALUE"""),1.1389)</f>
        <v>1.1389</v>
      </c>
      <c r="P481" s="320">
        <f>IFERROR(__xludf.DUMMYFUNCTION("""COMPUTED_VALUE"""),507.17)</f>
        <v>507.17</v>
      </c>
      <c r="Q481" s="320">
        <f>IFERROR(__xludf.DUMMYFUNCTION("""COMPUTED_VALUE"""),264.16)</f>
        <v>264.16</v>
      </c>
      <c r="R481" s="320">
        <f>IFERROR(__xludf.DUMMYFUNCTION("""COMPUTED_VALUE"""),243.01)</f>
        <v>243.01</v>
      </c>
      <c r="S481" s="320">
        <f>IFERROR(__xludf.DUMMYFUNCTION("""COMPUTED_VALUE"""),0.0)</f>
        <v>0</v>
      </c>
      <c r="T481" s="320">
        <f>IFERROR(__xludf.DUMMYFUNCTION("""COMPUTED_VALUE"""),507.17)</f>
        <v>507.17</v>
      </c>
      <c r="U481" s="320">
        <f>IFERROR(__xludf.DUMMYFUNCTION("""COMPUTED_VALUE"""),641.51)</f>
        <v>641.51</v>
      </c>
      <c r="V481" s="320">
        <f>IFERROR(__xludf.DUMMYFUNCTION("""COMPUTED_VALUE"""),4.6647)</f>
        <v>4.6647</v>
      </c>
      <c r="W481" s="320">
        <f>IFERROR(__xludf.DUMMYFUNCTION("""COMPUTED_VALUE"""),0.0)</f>
        <v>0</v>
      </c>
      <c r="X481" s="320">
        <f>IFERROR(__xludf.DUMMYFUNCTION("""COMPUTED_VALUE"""),900.0)</f>
        <v>900</v>
      </c>
      <c r="Y481" s="320">
        <f>IFERROR(__xludf.DUMMYFUNCTION("""COMPUTED_VALUE"""),4235.0)</f>
        <v>4235</v>
      </c>
      <c r="Z481" s="320">
        <f>IFERROR(__xludf.DUMMYFUNCTION("""COMPUTED_VALUE"""),13435.0)</f>
        <v>13435</v>
      </c>
      <c r="AA481" s="320">
        <f>IFERROR(__xludf.DUMMYFUNCTION("""COMPUTED_VALUE"""),64.2046)</f>
        <v>64.2046</v>
      </c>
      <c r="AB481" s="320">
        <f>IFERROR(__xludf.DUMMYFUNCTION("""COMPUTED_VALUE"""),0.9025)</f>
        <v>0.9025</v>
      </c>
      <c r="AC481" s="320">
        <f>IFERROR(__xludf.DUMMYFUNCTION("""COMPUTED_VALUE"""),83.49)</f>
        <v>83.49</v>
      </c>
      <c r="AD481" s="320">
        <f>IFERROR(__xludf.DUMMYFUNCTION("""COMPUTED_VALUE"""),38.0)</f>
        <v>38</v>
      </c>
      <c r="AE481" s="320">
        <f>IFERROR(__xludf.DUMMYFUNCTION("""COMPUTED_VALUE"""),66.0)</f>
        <v>66</v>
      </c>
      <c r="AF481" s="320">
        <f>IFERROR(__xludf.DUMMYFUNCTION("""COMPUTED_VALUE"""),122.0)</f>
        <v>122</v>
      </c>
      <c r="AG481" s="320">
        <f>IFERROR(__xludf.DUMMYFUNCTION("""COMPUTED_VALUE"""),166.0)</f>
        <v>166</v>
      </c>
      <c r="AH481" s="320">
        <f>IFERROR(__xludf.DUMMYFUNCTION("""COMPUTED_VALUE"""),43.74)</f>
        <v>43.74</v>
      </c>
      <c r="AI481" s="320">
        <f>IFERROR(__xludf.DUMMYFUNCTION("""COMPUTED_VALUE"""),7.72)</f>
        <v>7.72</v>
      </c>
      <c r="AJ481" s="320">
        <f>IFERROR(__xludf.DUMMYFUNCTION("""COMPUTED_VALUE"""),0.51)</f>
        <v>0.51</v>
      </c>
      <c r="AK481" s="320">
        <f>IFERROR(__xludf.DUMMYFUNCTION("""COMPUTED_VALUE"""),0.0926)</f>
        <v>0.0926</v>
      </c>
      <c r="AL481" s="320">
        <f>IFERROR(__xludf.DUMMYFUNCTION("""COMPUTED_VALUE"""),24.84)</f>
        <v>24.84</v>
      </c>
      <c r="AM481" s="320">
        <f>IFERROR(__xludf.DUMMYFUNCTION("""COMPUTED_VALUE"""),239.32)</f>
        <v>239.32</v>
      </c>
      <c r="AN481" s="320">
        <f>IFERROR(__xludf.DUMMYFUNCTION("""COMPUTED_VALUE"""),87.36)</f>
        <v>87.36</v>
      </c>
      <c r="AO481" s="320">
        <f>IFERROR(__xludf.DUMMYFUNCTION("""COMPUTED_VALUE"""),21.7)</f>
        <v>21.7</v>
      </c>
    </row>
    <row r="482" ht="15.75" customHeight="1">
      <c r="A482" s="330">
        <f>IFERROR(__xludf.DUMMYFUNCTION("""COMPUTED_VALUE"""),46130.0)</f>
        <v>46130</v>
      </c>
      <c r="B482" s="319" t="str">
        <f>IFERROR(__xludf.DUMMYFUNCTION("""COMPUTED_VALUE"""),"A. 0")</f>
        <v>A. 0</v>
      </c>
      <c r="C482" s="320">
        <f>IFERROR(__xludf.DUMMYFUNCTION("""COMPUTED_VALUE"""),18864.0)</f>
        <v>18864</v>
      </c>
      <c r="D482" s="320">
        <f>IFERROR(__xludf.DUMMYFUNCTION("""COMPUTED_VALUE"""),19.15)</f>
        <v>19.15</v>
      </c>
      <c r="E482" s="320">
        <f>IFERROR(__xludf.DUMMYFUNCTION("""COMPUTED_VALUE"""),0.0)</f>
        <v>0</v>
      </c>
      <c r="F482" s="320">
        <f>IFERROR(__xludf.DUMMYFUNCTION("""COMPUTED_VALUE"""),0.0)</f>
        <v>0</v>
      </c>
      <c r="G482" s="320">
        <f>IFERROR(__xludf.DUMMYFUNCTION("""COMPUTED_VALUE"""),0.0)</f>
        <v>0</v>
      </c>
      <c r="H482" s="106"/>
      <c r="I482" s="320">
        <f>IFERROR(__xludf.DUMMYFUNCTION("""COMPUTED_VALUE"""),5.88)</f>
        <v>5.88</v>
      </c>
      <c r="J482" s="320">
        <f>IFERROR(__xludf.DUMMYFUNCTION("""COMPUTED_VALUE"""),2.39)</f>
        <v>2.39</v>
      </c>
      <c r="K482" s="320">
        <f>IFERROR(__xludf.DUMMYFUNCTION("""COMPUTED_VALUE"""),0.03)</f>
        <v>0.03</v>
      </c>
      <c r="L482" s="320">
        <f>IFERROR(__xludf.DUMMYFUNCTION("""COMPUTED_VALUE"""),0.0133)</f>
        <v>0.0133</v>
      </c>
      <c r="M482" s="320">
        <f>IFERROR(__xludf.DUMMYFUNCTION("""COMPUTED_VALUE"""),0.9905)</f>
        <v>0.9905</v>
      </c>
      <c r="N482" s="320">
        <f>IFERROR(__xludf.DUMMYFUNCTION("""COMPUTED_VALUE"""),0.8828)</f>
        <v>0.8828</v>
      </c>
      <c r="O482" s="320">
        <f>IFERROR(__xludf.DUMMYFUNCTION("""COMPUTED_VALUE"""),74.9336)</f>
        <v>74.9336</v>
      </c>
      <c r="P482" s="320">
        <f>IFERROR(__xludf.DUMMYFUNCTION("""COMPUTED_VALUE"""),24.26)</f>
        <v>24.26</v>
      </c>
      <c r="Q482" s="320">
        <f>IFERROR(__xludf.DUMMYFUNCTION("""COMPUTED_VALUE"""),24.15)</f>
        <v>24.15</v>
      </c>
      <c r="R482" s="320">
        <f>IFERROR(__xludf.DUMMYFUNCTION("""COMPUTED_VALUE"""),0.12)</f>
        <v>0.12</v>
      </c>
      <c r="S482" s="320">
        <f>IFERROR(__xludf.DUMMYFUNCTION("""COMPUTED_VALUE"""),0.0)</f>
        <v>0</v>
      </c>
      <c r="T482" s="320">
        <f>IFERROR(__xludf.DUMMYFUNCTION("""COMPUTED_VALUE"""),24.26)</f>
        <v>24.26</v>
      </c>
      <c r="U482" s="320">
        <f>IFERROR(__xludf.DUMMYFUNCTION("""COMPUTED_VALUE"""),1.95)</f>
        <v>1.95</v>
      </c>
      <c r="V482" s="320">
        <f>IFERROR(__xludf.DUMMYFUNCTION("""COMPUTED_VALUE"""),0.8147)</f>
        <v>0.8147</v>
      </c>
      <c r="W482" s="320">
        <f>IFERROR(__xludf.DUMMYFUNCTION("""COMPUTED_VALUE"""),0.01)</f>
        <v>0.01</v>
      </c>
      <c r="X482" s="320">
        <f>IFERROR(__xludf.DUMMYFUNCTION("""COMPUTED_VALUE"""),303.0)</f>
        <v>303</v>
      </c>
      <c r="Y482" s="320">
        <f>IFERROR(__xludf.DUMMYFUNCTION("""COMPUTED_VALUE"""),3798.0)</f>
        <v>3798</v>
      </c>
      <c r="Z482" s="320">
        <f>IFERROR(__xludf.DUMMYFUNCTION("""COMPUTED_VALUE"""),14626.0)</f>
        <v>14626</v>
      </c>
      <c r="AA482" s="320">
        <f>IFERROR(__xludf.DUMMYFUNCTION("""COMPUTED_VALUE"""),48.8386)</f>
        <v>48.8386</v>
      </c>
      <c r="AB482" s="320">
        <f>IFERROR(__xludf.DUMMYFUNCTION("""COMPUTED_VALUE"""),0.5371)</f>
        <v>0.5371</v>
      </c>
      <c r="AC482" s="106"/>
      <c r="AD482" s="106"/>
      <c r="AE482" s="106"/>
      <c r="AF482" s="106"/>
      <c r="AG482" s="106"/>
      <c r="AH482" s="320">
        <f>IFERROR(__xludf.DUMMYFUNCTION("""COMPUTED_VALUE"""),0.0)</f>
        <v>0</v>
      </c>
      <c r="AI482" s="320">
        <f>IFERROR(__xludf.DUMMYFUNCTION("""COMPUTED_VALUE"""),0.0)</f>
        <v>0</v>
      </c>
      <c r="AJ482" s="320">
        <f>IFERROR(__xludf.DUMMYFUNCTION("""COMPUTED_VALUE"""),0.0)</f>
        <v>0</v>
      </c>
      <c r="AK482" s="320">
        <f>IFERROR(__xludf.DUMMYFUNCTION("""COMPUTED_VALUE"""),0.2863)</f>
        <v>0.2863</v>
      </c>
      <c r="AL482" s="320">
        <f>IFERROR(__xludf.DUMMYFUNCTION("""COMPUTED_VALUE"""),17.85)</f>
        <v>17.85</v>
      </c>
      <c r="AM482" s="320">
        <f>IFERROR(__xludf.DUMMYFUNCTION("""COMPUTED_VALUE"""),6.3)</f>
        <v>6.3</v>
      </c>
      <c r="AN482" s="331"/>
      <c r="AO482" s="331"/>
    </row>
    <row r="483" ht="15.75" customHeight="1">
      <c r="A483" s="330">
        <f>IFERROR(__xludf.DUMMYFUNCTION("""COMPUTED_VALUE"""),46130.0)</f>
        <v>46130</v>
      </c>
      <c r="B483" s="319" t="str">
        <f>IFERROR(__xludf.DUMMYFUNCTION("""COMPUTED_VALUE"""),"B. 1-9")</f>
        <v>B. 1-9</v>
      </c>
      <c r="C483" s="320">
        <f>IFERROR(__xludf.DUMMYFUNCTION("""COMPUTED_VALUE"""),35953.0)</f>
        <v>35953</v>
      </c>
      <c r="D483" s="320">
        <f>IFERROR(__xludf.DUMMYFUNCTION("""COMPUTED_VALUE"""),36.5)</f>
        <v>36.5</v>
      </c>
      <c r="E483" s="320">
        <f>IFERROR(__xludf.DUMMYFUNCTION("""COMPUTED_VALUE"""),0.0)</f>
        <v>0</v>
      </c>
      <c r="F483" s="320">
        <f>IFERROR(__xludf.DUMMYFUNCTION("""COMPUTED_VALUE"""),0.0)</f>
        <v>0</v>
      </c>
      <c r="G483" s="320">
        <f>IFERROR(__xludf.DUMMYFUNCTION("""COMPUTED_VALUE"""),0.0)</f>
        <v>0</v>
      </c>
      <c r="H483" s="106"/>
      <c r="I483" s="320">
        <f>IFERROR(__xludf.DUMMYFUNCTION("""COMPUTED_VALUE"""),29.49)</f>
        <v>29.49</v>
      </c>
      <c r="J483" s="320">
        <f>IFERROR(__xludf.DUMMYFUNCTION("""COMPUTED_VALUE"""),13.33)</f>
        <v>13.33</v>
      </c>
      <c r="K483" s="320">
        <f>IFERROR(__xludf.DUMMYFUNCTION("""COMPUTED_VALUE"""),5.72)</f>
        <v>5.72</v>
      </c>
      <c r="L483" s="320">
        <f>IFERROR(__xludf.DUMMYFUNCTION("""COMPUTED_VALUE"""),0.4294)</f>
        <v>0.4294</v>
      </c>
      <c r="M483" s="320">
        <f>IFERROR(__xludf.DUMMYFUNCTION("""COMPUTED_VALUE"""),0.7445)</f>
        <v>0.7445</v>
      </c>
      <c r="N483" s="320">
        <f>IFERROR(__xludf.DUMMYFUNCTION("""COMPUTED_VALUE"""),0.5509)</f>
        <v>0.5509</v>
      </c>
      <c r="O483" s="320">
        <f>IFERROR(__xludf.DUMMYFUNCTION("""COMPUTED_VALUE"""),2.3289)</f>
        <v>2.3289</v>
      </c>
      <c r="P483" s="320">
        <f>IFERROR(__xludf.DUMMYFUNCTION("""COMPUTED_VALUE"""),52.05)</f>
        <v>52.05</v>
      </c>
      <c r="Q483" s="320">
        <f>IFERROR(__xludf.DUMMYFUNCTION("""COMPUTED_VALUE"""),40.59)</f>
        <v>40.59</v>
      </c>
      <c r="R483" s="320">
        <f>IFERROR(__xludf.DUMMYFUNCTION("""COMPUTED_VALUE"""),11.46)</f>
        <v>11.46</v>
      </c>
      <c r="S483" s="320">
        <f>IFERROR(__xludf.DUMMYFUNCTION("""COMPUTED_VALUE"""),0.02)</f>
        <v>0.02</v>
      </c>
      <c r="T483" s="320">
        <f>IFERROR(__xludf.DUMMYFUNCTION("""COMPUTED_VALUE"""),52.03)</f>
        <v>52.03</v>
      </c>
      <c r="U483" s="320">
        <f>IFERROR(__xludf.DUMMYFUNCTION("""COMPUTED_VALUE"""),53.83)</f>
        <v>53.83</v>
      </c>
      <c r="V483" s="320">
        <f>IFERROR(__xludf.DUMMYFUNCTION("""COMPUTED_VALUE"""),4.0381)</f>
        <v>4.0381</v>
      </c>
      <c r="W483" s="320">
        <f>IFERROR(__xludf.DUMMYFUNCTION("""COMPUTED_VALUE"""),0.04)</f>
        <v>0.04</v>
      </c>
      <c r="X483" s="320">
        <f>IFERROR(__xludf.DUMMYFUNCTION("""COMPUTED_VALUE"""),144.0)</f>
        <v>144</v>
      </c>
      <c r="Y483" s="320">
        <f>IFERROR(__xludf.DUMMYFUNCTION("""COMPUTED_VALUE"""),922.0)</f>
        <v>922</v>
      </c>
      <c r="Z483" s="320">
        <f>IFERROR(__xludf.DUMMYFUNCTION("""COMPUTED_VALUE"""),5943.0)</f>
        <v>5943</v>
      </c>
      <c r="AA483" s="320">
        <f>IFERROR(__xludf.DUMMYFUNCTION("""COMPUTED_VALUE"""),48.8249)</f>
        <v>48.8249</v>
      </c>
      <c r="AB483" s="320">
        <f>IFERROR(__xludf.DUMMYFUNCTION("""COMPUTED_VALUE"""),0.5424)</f>
        <v>0.5424</v>
      </c>
      <c r="AC483" s="320">
        <f>IFERROR(__xludf.DUMMYFUNCTION("""COMPUTED_VALUE"""),4.04)</f>
        <v>4.04</v>
      </c>
      <c r="AD483" s="320">
        <f>IFERROR(__xludf.DUMMYFUNCTION("""COMPUTED_VALUE"""),1.0)</f>
        <v>1</v>
      </c>
      <c r="AE483" s="320">
        <f>IFERROR(__xludf.DUMMYFUNCTION("""COMPUTED_VALUE"""),3.0)</f>
        <v>3</v>
      </c>
      <c r="AF483" s="320">
        <f>IFERROR(__xludf.DUMMYFUNCTION("""COMPUTED_VALUE"""),5.0)</f>
        <v>5</v>
      </c>
      <c r="AG483" s="320">
        <f>IFERROR(__xludf.DUMMYFUNCTION("""COMPUTED_VALUE"""),9.0)</f>
        <v>9</v>
      </c>
      <c r="AH483" s="320">
        <f>IFERROR(__xludf.DUMMYFUNCTION("""COMPUTED_VALUE"""),73.3)</f>
        <v>73.3</v>
      </c>
      <c r="AI483" s="320">
        <f>IFERROR(__xludf.DUMMYFUNCTION("""COMPUTED_VALUE"""),31.27)</f>
        <v>31.27</v>
      </c>
      <c r="AJ483" s="320">
        <f>IFERROR(__xludf.DUMMYFUNCTION("""COMPUTED_VALUE"""),9.15)</f>
        <v>9.15</v>
      </c>
      <c r="AK483" s="320">
        <f>IFERROR(__xludf.DUMMYFUNCTION("""COMPUTED_VALUE"""),0.2538)</f>
        <v>0.2538</v>
      </c>
      <c r="AL483" s="320">
        <f>IFERROR(__xludf.DUMMYFUNCTION("""COMPUTED_VALUE"""),21.99)</f>
        <v>21.99</v>
      </c>
      <c r="AM483" s="320">
        <f>IFERROR(__xludf.DUMMYFUNCTION("""COMPUTED_VALUE"""),18.6)</f>
        <v>18.6</v>
      </c>
      <c r="AN483" s="320">
        <f>IFERROR(__xludf.DUMMYFUNCTION("""COMPUTED_VALUE"""),65.61)</f>
        <v>65.61</v>
      </c>
      <c r="AO483" s="320">
        <f>IFERROR(__xludf.DUMMYFUNCTION("""COMPUTED_VALUE"""),14.43)</f>
        <v>14.43</v>
      </c>
    </row>
    <row r="484" ht="15.75" customHeight="1">
      <c r="A484" s="330">
        <f>IFERROR(__xludf.DUMMYFUNCTION("""COMPUTED_VALUE"""),46130.0)</f>
        <v>46130</v>
      </c>
      <c r="B484" s="319" t="str">
        <f>IFERROR(__xludf.DUMMYFUNCTION("""COMPUTED_VALUE"""),"C. 10-19")</f>
        <v>C. 10-19</v>
      </c>
      <c r="C484" s="320">
        <f>IFERROR(__xludf.DUMMYFUNCTION("""COMPUTED_VALUE"""),24147.0)</f>
        <v>24147</v>
      </c>
      <c r="D484" s="320">
        <f>IFERROR(__xludf.DUMMYFUNCTION("""COMPUTED_VALUE"""),24.51)</f>
        <v>24.51</v>
      </c>
      <c r="E484" s="320">
        <f>IFERROR(__xludf.DUMMYFUNCTION("""COMPUTED_VALUE"""),0.0)</f>
        <v>0</v>
      </c>
      <c r="F484" s="320">
        <f>IFERROR(__xludf.DUMMYFUNCTION("""COMPUTED_VALUE"""),0.0)</f>
        <v>0</v>
      </c>
      <c r="G484" s="320">
        <f>IFERROR(__xludf.DUMMYFUNCTION("""COMPUTED_VALUE"""),0.0)</f>
        <v>0</v>
      </c>
      <c r="H484" s="106"/>
      <c r="I484" s="320">
        <f>IFERROR(__xludf.DUMMYFUNCTION("""COMPUTED_VALUE"""),54.86)</f>
        <v>54.86</v>
      </c>
      <c r="J484" s="320">
        <f>IFERROR(__xludf.DUMMYFUNCTION("""COMPUTED_VALUE"""),26.03)</f>
        <v>26.03</v>
      </c>
      <c r="K484" s="320">
        <f>IFERROR(__xludf.DUMMYFUNCTION("""COMPUTED_VALUE"""),13.85)</f>
        <v>13.85</v>
      </c>
      <c r="L484" s="320">
        <f>IFERROR(__xludf.DUMMYFUNCTION("""COMPUTED_VALUE"""),0.5323)</f>
        <v>0.5323</v>
      </c>
      <c r="M484" s="320">
        <f>IFERROR(__xludf.DUMMYFUNCTION("""COMPUTED_VALUE"""),0.6604)</f>
        <v>0.6604</v>
      </c>
      <c r="N484" s="320">
        <f>IFERROR(__xludf.DUMMYFUNCTION("""COMPUTED_VALUE"""),0.4641)</f>
        <v>0.4641</v>
      </c>
      <c r="O484" s="320">
        <f>IFERROR(__xludf.DUMMYFUNCTION("""COMPUTED_VALUE"""),1.8786)</f>
        <v>1.8786</v>
      </c>
      <c r="P484" s="320">
        <f>IFERROR(__xludf.DUMMYFUNCTION("""COMPUTED_VALUE"""),95.46)</f>
        <v>95.46</v>
      </c>
      <c r="Q484" s="320">
        <f>IFERROR(__xludf.DUMMYFUNCTION("""COMPUTED_VALUE"""),67.84)</f>
        <v>67.84</v>
      </c>
      <c r="R484" s="320">
        <f>IFERROR(__xludf.DUMMYFUNCTION("""COMPUTED_VALUE"""),27.63)</f>
        <v>27.63</v>
      </c>
      <c r="S484" s="320">
        <f>IFERROR(__xludf.DUMMYFUNCTION("""COMPUTED_VALUE"""),0.0)</f>
        <v>0</v>
      </c>
      <c r="T484" s="320">
        <f>IFERROR(__xludf.DUMMYFUNCTION("""COMPUTED_VALUE"""),95.46)</f>
        <v>95.46</v>
      </c>
      <c r="U484" s="320">
        <f>IFERROR(__xludf.DUMMYFUNCTION("""COMPUTED_VALUE"""),98.5)</f>
        <v>98.5</v>
      </c>
      <c r="V484" s="320">
        <f>IFERROR(__xludf.DUMMYFUNCTION("""COMPUTED_VALUE"""),3.7848)</f>
        <v>3.7848</v>
      </c>
      <c r="W484" s="320">
        <f>IFERROR(__xludf.DUMMYFUNCTION("""COMPUTED_VALUE"""),0.0)</f>
        <v>0</v>
      </c>
      <c r="X484" s="320">
        <f>IFERROR(__xludf.DUMMYFUNCTION("""COMPUTED_VALUE"""),119.0)</f>
        <v>119</v>
      </c>
      <c r="Y484" s="320">
        <f>IFERROR(__xludf.DUMMYFUNCTION("""COMPUTED_VALUE"""),674.0)</f>
        <v>674</v>
      </c>
      <c r="Z484" s="320">
        <f>IFERROR(__xludf.DUMMYFUNCTION("""COMPUTED_VALUE"""),5456.0)</f>
        <v>5456</v>
      </c>
      <c r="AA484" s="320">
        <f>IFERROR(__xludf.DUMMYFUNCTION("""COMPUTED_VALUE"""),52.111)</f>
        <v>52.111</v>
      </c>
      <c r="AB484" s="320">
        <f>IFERROR(__xludf.DUMMYFUNCTION("""COMPUTED_VALUE"""),0.6323)</f>
        <v>0.6323</v>
      </c>
      <c r="AC484" s="320">
        <f>IFERROR(__xludf.DUMMYFUNCTION("""COMPUTED_VALUE"""),9.35)</f>
        <v>9.35</v>
      </c>
      <c r="AD484" s="320">
        <f>IFERROR(__xludf.DUMMYFUNCTION("""COMPUTED_VALUE"""),4.0)</f>
        <v>4</v>
      </c>
      <c r="AE484" s="320">
        <f>IFERROR(__xludf.DUMMYFUNCTION("""COMPUTED_VALUE"""),8.0)</f>
        <v>8</v>
      </c>
      <c r="AF484" s="320">
        <f>IFERROR(__xludf.DUMMYFUNCTION("""COMPUTED_VALUE"""),13.0)</f>
        <v>13</v>
      </c>
      <c r="AG484" s="320">
        <f>IFERROR(__xludf.DUMMYFUNCTION("""COMPUTED_VALUE"""),19.0)</f>
        <v>19</v>
      </c>
      <c r="AH484" s="320">
        <f>IFERROR(__xludf.DUMMYFUNCTION("""COMPUTED_VALUE"""),61.37)</f>
        <v>61.37</v>
      </c>
      <c r="AI484" s="320">
        <f>IFERROR(__xludf.DUMMYFUNCTION("""COMPUTED_VALUE"""),25.28)</f>
        <v>25.28</v>
      </c>
      <c r="AJ484" s="320">
        <f>IFERROR(__xludf.DUMMYFUNCTION("""COMPUTED_VALUE"""),4.36)</f>
        <v>4.36</v>
      </c>
      <c r="AK484" s="320">
        <f>IFERROR(__xludf.DUMMYFUNCTION("""COMPUTED_VALUE"""),0.2065)</f>
        <v>0.2065</v>
      </c>
      <c r="AL484" s="320">
        <f>IFERROR(__xludf.DUMMYFUNCTION("""COMPUTED_VALUE"""),22.73)</f>
        <v>22.73</v>
      </c>
      <c r="AM484" s="320">
        <f>IFERROR(__xludf.DUMMYFUNCTION("""COMPUTED_VALUE"""),45.1)</f>
        <v>45.1</v>
      </c>
      <c r="AN484" s="320">
        <f>IFERROR(__xludf.DUMMYFUNCTION("""COMPUTED_VALUE"""),74.63)</f>
        <v>74.63</v>
      </c>
      <c r="AO484" s="320">
        <f>IFERROR(__xludf.DUMMYFUNCTION("""COMPUTED_VALUE"""),16.96)</f>
        <v>16.96</v>
      </c>
    </row>
    <row r="485" ht="15.75" customHeight="1">
      <c r="A485" s="330">
        <f>IFERROR(__xludf.DUMMYFUNCTION("""COMPUTED_VALUE"""),46130.0)</f>
        <v>46130</v>
      </c>
      <c r="B485" s="319" t="str">
        <f>IFERROR(__xludf.DUMMYFUNCTION("""COMPUTED_VALUE"""),"D. 20-39")</f>
        <v>D. 20-39</v>
      </c>
      <c r="C485" s="320">
        <f>IFERROR(__xludf.DUMMYFUNCTION("""COMPUTED_VALUE"""),13631.0)</f>
        <v>13631</v>
      </c>
      <c r="D485" s="320">
        <f>IFERROR(__xludf.DUMMYFUNCTION("""COMPUTED_VALUE"""),13.84)</f>
        <v>13.84</v>
      </c>
      <c r="E485" s="320">
        <f>IFERROR(__xludf.DUMMYFUNCTION("""COMPUTED_VALUE"""),0.0)</f>
        <v>0</v>
      </c>
      <c r="F485" s="320">
        <f>IFERROR(__xludf.DUMMYFUNCTION("""COMPUTED_VALUE"""),0.0)</f>
        <v>0</v>
      </c>
      <c r="G485" s="320">
        <f>IFERROR(__xludf.DUMMYFUNCTION("""COMPUTED_VALUE"""),0.0)</f>
        <v>0</v>
      </c>
      <c r="H485" s="106"/>
      <c r="I485" s="320">
        <f>IFERROR(__xludf.DUMMYFUNCTION("""COMPUTED_VALUE"""),80.07)</f>
        <v>80.07</v>
      </c>
      <c r="J485" s="320">
        <f>IFERROR(__xludf.DUMMYFUNCTION("""COMPUTED_VALUE"""),40.18)</f>
        <v>40.18</v>
      </c>
      <c r="K485" s="320">
        <f>IFERROR(__xludf.DUMMYFUNCTION("""COMPUTED_VALUE"""),26.61)</f>
        <v>26.61</v>
      </c>
      <c r="L485" s="320">
        <f>IFERROR(__xludf.DUMMYFUNCTION("""COMPUTED_VALUE"""),0.6621)</f>
        <v>0.6621</v>
      </c>
      <c r="M485" s="320">
        <f>IFERROR(__xludf.DUMMYFUNCTION("""COMPUTED_VALUE"""),0.5317)</f>
        <v>0.5317</v>
      </c>
      <c r="N485" s="320">
        <f>IFERROR(__xludf.DUMMYFUNCTION("""COMPUTED_VALUE"""),0.3708)</f>
        <v>0.3708</v>
      </c>
      <c r="O485" s="320">
        <f>IFERROR(__xludf.DUMMYFUNCTION("""COMPUTED_VALUE"""),1.5103)</f>
        <v>1.5103</v>
      </c>
      <c r="P485" s="320">
        <f>IFERROR(__xludf.DUMMYFUNCTION("""COMPUTED_VALUE"""),163.16)</f>
        <v>163.16</v>
      </c>
      <c r="Q485" s="320">
        <f>IFERROR(__xludf.DUMMYFUNCTION("""COMPUTED_VALUE"""),110.23)</f>
        <v>110.23</v>
      </c>
      <c r="R485" s="320">
        <f>IFERROR(__xludf.DUMMYFUNCTION("""COMPUTED_VALUE"""),52.92)</f>
        <v>52.92</v>
      </c>
      <c r="S485" s="320">
        <f>IFERROR(__xludf.DUMMYFUNCTION("""COMPUTED_VALUE"""),0.0)</f>
        <v>0</v>
      </c>
      <c r="T485" s="320">
        <f>IFERROR(__xludf.DUMMYFUNCTION("""COMPUTED_VALUE"""),163.16)</f>
        <v>163.16</v>
      </c>
      <c r="U485" s="320">
        <f>IFERROR(__xludf.DUMMYFUNCTION("""COMPUTED_VALUE"""),167.19)</f>
        <v>167.19</v>
      </c>
      <c r="V485" s="320">
        <f>IFERROR(__xludf.DUMMYFUNCTION("""COMPUTED_VALUE"""),4.1608)</f>
        <v>4.1608</v>
      </c>
      <c r="W485" s="320">
        <f>IFERROR(__xludf.DUMMYFUNCTION("""COMPUTED_VALUE"""),0.0)</f>
        <v>0</v>
      </c>
      <c r="X485" s="320">
        <f>IFERROR(__xludf.DUMMYFUNCTION("""COMPUTED_VALUE"""),151.0)</f>
        <v>151</v>
      </c>
      <c r="Y485" s="320">
        <f>IFERROR(__xludf.DUMMYFUNCTION("""COMPUTED_VALUE"""),969.0)</f>
        <v>969</v>
      </c>
      <c r="Z485" s="320">
        <f>IFERROR(__xludf.DUMMYFUNCTION("""COMPUTED_VALUE"""),6094.0)</f>
        <v>6094</v>
      </c>
      <c r="AA485" s="320">
        <f>IFERROR(__xludf.DUMMYFUNCTION("""COMPUTED_VALUE"""),55.6218)</f>
        <v>55.6218</v>
      </c>
      <c r="AB485" s="320">
        <f>IFERROR(__xludf.DUMMYFUNCTION("""COMPUTED_VALUE"""),0.7325)</f>
        <v>0.7325</v>
      </c>
      <c r="AC485" s="320">
        <f>IFERROR(__xludf.DUMMYFUNCTION("""COMPUTED_VALUE"""),17.75)</f>
        <v>17.75</v>
      </c>
      <c r="AD485" s="320">
        <f>IFERROR(__xludf.DUMMYFUNCTION("""COMPUTED_VALUE"""),7.0)</f>
        <v>7</v>
      </c>
      <c r="AE485" s="320">
        <f>IFERROR(__xludf.DUMMYFUNCTION("""COMPUTED_VALUE"""),14.0)</f>
        <v>14</v>
      </c>
      <c r="AF485" s="320">
        <f>IFERROR(__xludf.DUMMYFUNCTION("""COMPUTED_VALUE"""),24.0)</f>
        <v>24</v>
      </c>
      <c r="AG485" s="320">
        <f>IFERROR(__xludf.DUMMYFUNCTION("""COMPUTED_VALUE"""),37.0)</f>
        <v>37</v>
      </c>
      <c r="AH485" s="320">
        <f>IFERROR(__xludf.DUMMYFUNCTION("""COMPUTED_VALUE"""),60.31)</f>
        <v>60.31</v>
      </c>
      <c r="AI485" s="320">
        <f>IFERROR(__xludf.DUMMYFUNCTION("""COMPUTED_VALUE"""),22.86)</f>
        <v>22.86</v>
      </c>
      <c r="AJ485" s="320">
        <f>IFERROR(__xludf.DUMMYFUNCTION("""COMPUTED_VALUE"""),7.0)</f>
        <v>7</v>
      </c>
      <c r="AK485" s="320">
        <f>IFERROR(__xludf.DUMMYFUNCTION("""COMPUTED_VALUE"""),0.1827)</f>
        <v>0.1827</v>
      </c>
      <c r="AL485" s="320">
        <f>IFERROR(__xludf.DUMMYFUNCTION("""COMPUTED_VALUE"""),23.03)</f>
        <v>23.03</v>
      </c>
      <c r="AM485" s="320">
        <f>IFERROR(__xludf.DUMMYFUNCTION("""COMPUTED_VALUE"""),87.2)</f>
        <v>87.2</v>
      </c>
      <c r="AN485" s="320">
        <f>IFERROR(__xludf.DUMMYFUNCTION("""COMPUTED_VALUE"""),77.71)</f>
        <v>77.71</v>
      </c>
      <c r="AO485" s="320">
        <f>IFERROR(__xludf.DUMMYFUNCTION("""COMPUTED_VALUE"""),17.9)</f>
        <v>17.9</v>
      </c>
    </row>
    <row r="486" ht="15.75" customHeight="1">
      <c r="A486" s="330">
        <f>IFERROR(__xludf.DUMMYFUNCTION("""COMPUTED_VALUE"""),46130.0)</f>
        <v>46130</v>
      </c>
      <c r="B486" s="319" t="str">
        <f>IFERROR(__xludf.DUMMYFUNCTION("""COMPUTED_VALUE"""),"E. 40-99")</f>
        <v>E. 40-99</v>
      </c>
      <c r="C486" s="320">
        <f>IFERROR(__xludf.DUMMYFUNCTION("""COMPUTED_VALUE"""),5323.0)</f>
        <v>5323</v>
      </c>
      <c r="D486" s="320">
        <f>IFERROR(__xludf.DUMMYFUNCTION("""COMPUTED_VALUE"""),5.4)</f>
        <v>5.4</v>
      </c>
      <c r="E486" s="320">
        <f>IFERROR(__xludf.DUMMYFUNCTION("""COMPUTED_VALUE"""),0.0)</f>
        <v>0</v>
      </c>
      <c r="F486" s="320">
        <f>IFERROR(__xludf.DUMMYFUNCTION("""COMPUTED_VALUE"""),0.0)</f>
        <v>0</v>
      </c>
      <c r="G486" s="320">
        <f>IFERROR(__xludf.DUMMYFUNCTION("""COMPUTED_VALUE"""),0.0)</f>
        <v>0</v>
      </c>
      <c r="H486" s="106"/>
      <c r="I486" s="320">
        <f>IFERROR(__xludf.DUMMYFUNCTION("""COMPUTED_VALUE"""),128.18)</f>
        <v>128.18</v>
      </c>
      <c r="J486" s="320">
        <f>IFERROR(__xludf.DUMMYFUNCTION("""COMPUTED_VALUE"""),68.57)</f>
        <v>68.57</v>
      </c>
      <c r="K486" s="320">
        <f>IFERROR(__xludf.DUMMYFUNCTION("""COMPUTED_VALUE"""),54.05)</f>
        <v>54.05</v>
      </c>
      <c r="L486" s="320">
        <f>IFERROR(__xludf.DUMMYFUNCTION("""COMPUTED_VALUE"""),0.7882)</f>
        <v>0.7882</v>
      </c>
      <c r="M486" s="320">
        <f>IFERROR(__xludf.DUMMYFUNCTION("""COMPUTED_VALUE"""),0.3973)</f>
        <v>0.3973</v>
      </c>
      <c r="N486" s="320">
        <f>IFERROR(__xludf.DUMMYFUNCTION("""COMPUTED_VALUE"""),0.2873)</f>
        <v>0.2873</v>
      </c>
      <c r="O486" s="320">
        <f>IFERROR(__xludf.DUMMYFUNCTION("""COMPUTED_VALUE"""),1.2687)</f>
        <v>1.2687</v>
      </c>
      <c r="P486" s="320">
        <f>IFERROR(__xludf.DUMMYFUNCTION("""COMPUTED_VALUE"""),303.99)</f>
        <v>303.99</v>
      </c>
      <c r="Q486" s="320">
        <f>IFERROR(__xludf.DUMMYFUNCTION("""COMPUTED_VALUE"""),196.8)</f>
        <v>196.8</v>
      </c>
      <c r="R486" s="320">
        <f>IFERROR(__xludf.DUMMYFUNCTION("""COMPUTED_VALUE"""),107.19)</f>
        <v>107.19</v>
      </c>
      <c r="S486" s="320">
        <f>IFERROR(__xludf.DUMMYFUNCTION("""COMPUTED_VALUE"""),0.0)</f>
        <v>0</v>
      </c>
      <c r="T486" s="320">
        <f>IFERROR(__xludf.DUMMYFUNCTION("""COMPUTED_VALUE"""),303.99)</f>
        <v>303.99</v>
      </c>
      <c r="U486" s="320">
        <f>IFERROR(__xludf.DUMMYFUNCTION("""COMPUTED_VALUE"""),326.62)</f>
        <v>326.62</v>
      </c>
      <c r="V486" s="320">
        <f>IFERROR(__xludf.DUMMYFUNCTION("""COMPUTED_VALUE"""),4.7632)</f>
        <v>4.7632</v>
      </c>
      <c r="W486" s="320">
        <f>IFERROR(__xludf.DUMMYFUNCTION("""COMPUTED_VALUE"""),0.0)</f>
        <v>0</v>
      </c>
      <c r="X486" s="320">
        <f>IFERROR(__xludf.DUMMYFUNCTION("""COMPUTED_VALUE"""),277.0)</f>
        <v>277</v>
      </c>
      <c r="Y486" s="320">
        <f>IFERROR(__xludf.DUMMYFUNCTION("""COMPUTED_VALUE"""),2265.0)</f>
        <v>2265</v>
      </c>
      <c r="Z486" s="320">
        <f>IFERROR(__xludf.DUMMYFUNCTION("""COMPUTED_VALUE"""),9539.0)</f>
        <v>9539</v>
      </c>
      <c r="AA486" s="320">
        <f>IFERROR(__xludf.DUMMYFUNCTION("""COMPUTED_VALUE"""),59.4712)</f>
        <v>59.4712</v>
      </c>
      <c r="AB486" s="320">
        <f>IFERROR(__xludf.DUMMYFUNCTION("""COMPUTED_VALUE"""),0.8248)</f>
        <v>0.8248</v>
      </c>
      <c r="AC486" s="320">
        <f>IFERROR(__xludf.DUMMYFUNCTION("""COMPUTED_VALUE"""),36.79)</f>
        <v>36.79</v>
      </c>
      <c r="AD486" s="320">
        <f>IFERROR(__xludf.DUMMYFUNCTION("""COMPUTED_VALUE"""),15.0)</f>
        <v>15</v>
      </c>
      <c r="AE486" s="320">
        <f>IFERROR(__xludf.DUMMYFUNCTION("""COMPUTED_VALUE"""),28.0)</f>
        <v>28</v>
      </c>
      <c r="AF486" s="320">
        <f>IFERROR(__xludf.DUMMYFUNCTION("""COMPUTED_VALUE"""),51.0)</f>
        <v>51</v>
      </c>
      <c r="AG486" s="320">
        <f>IFERROR(__xludf.DUMMYFUNCTION("""COMPUTED_VALUE"""),76.0)</f>
        <v>76</v>
      </c>
      <c r="AH486" s="320">
        <f>IFERROR(__xludf.DUMMYFUNCTION("""COMPUTED_VALUE"""),50.93)</f>
        <v>50.93</v>
      </c>
      <c r="AI486" s="320">
        <f>IFERROR(__xludf.DUMMYFUNCTION("""COMPUTED_VALUE"""),18.6)</f>
        <v>18.6</v>
      </c>
      <c r="AJ486" s="320">
        <f>IFERROR(__xludf.DUMMYFUNCTION("""COMPUTED_VALUE"""),4.66)</f>
        <v>4.66</v>
      </c>
      <c r="AK486" s="320">
        <f>IFERROR(__xludf.DUMMYFUNCTION("""COMPUTED_VALUE"""),0.1319)</f>
        <v>0.1319</v>
      </c>
      <c r="AL486" s="320">
        <f>IFERROR(__xludf.DUMMYFUNCTION("""COMPUTED_VALUE"""),24.12)</f>
        <v>24.12</v>
      </c>
      <c r="AM486" s="320">
        <f>IFERROR(__xludf.DUMMYFUNCTION("""COMPUTED_VALUE"""),172.67)</f>
        <v>172.67</v>
      </c>
      <c r="AN486" s="320">
        <f>IFERROR(__xludf.DUMMYFUNCTION("""COMPUTED_VALUE"""),83.16)</f>
        <v>83.16</v>
      </c>
      <c r="AO486" s="320">
        <f>IFERROR(__xludf.DUMMYFUNCTION("""COMPUTED_VALUE"""),20.06)</f>
        <v>20.06</v>
      </c>
    </row>
    <row r="487" ht="15.75" customHeight="1">
      <c r="A487" s="330">
        <f>IFERROR(__xludf.DUMMYFUNCTION("""COMPUTED_VALUE"""),46130.0)</f>
        <v>46130</v>
      </c>
      <c r="B487" s="319" t="str">
        <f>IFERROR(__xludf.DUMMYFUNCTION("""COMPUTED_VALUE"""),"F. 100+")</f>
        <v>F. 100+</v>
      </c>
      <c r="C487" s="320">
        <f>IFERROR(__xludf.DUMMYFUNCTION("""COMPUTED_VALUE"""),583.0)</f>
        <v>583</v>
      </c>
      <c r="D487" s="320">
        <f>IFERROR(__xludf.DUMMYFUNCTION("""COMPUTED_VALUE"""),0.59)</f>
        <v>0.59</v>
      </c>
      <c r="E487" s="320">
        <f>IFERROR(__xludf.DUMMYFUNCTION("""COMPUTED_VALUE"""),0.0)</f>
        <v>0</v>
      </c>
      <c r="F487" s="320">
        <f>IFERROR(__xludf.DUMMYFUNCTION("""COMPUTED_VALUE"""),0.0)</f>
        <v>0</v>
      </c>
      <c r="G487" s="320">
        <f>IFERROR(__xludf.DUMMYFUNCTION("""COMPUTED_VALUE"""),0.0)</f>
        <v>0</v>
      </c>
      <c r="H487" s="106"/>
      <c r="I487" s="320">
        <f>IFERROR(__xludf.DUMMYFUNCTION("""COMPUTED_VALUE"""),244.63)</f>
        <v>244.63</v>
      </c>
      <c r="J487" s="320">
        <f>IFERROR(__xludf.DUMMYFUNCTION("""COMPUTED_VALUE"""),143.27)</f>
        <v>143.27</v>
      </c>
      <c r="K487" s="320">
        <f>IFERROR(__xludf.DUMMYFUNCTION("""COMPUTED_VALUE"""),124.49)</f>
        <v>124.49</v>
      </c>
      <c r="L487" s="320">
        <f>IFERROR(__xludf.DUMMYFUNCTION("""COMPUTED_VALUE"""),0.869)</f>
        <v>0.869</v>
      </c>
      <c r="M487" s="320">
        <f>IFERROR(__xludf.DUMMYFUNCTION("""COMPUTED_VALUE"""),0.2842)</f>
        <v>0.2842</v>
      </c>
      <c r="N487" s="320">
        <f>IFERROR(__xludf.DUMMYFUNCTION("""COMPUTED_VALUE"""),0.2128)</f>
        <v>0.2128</v>
      </c>
      <c r="O487" s="320">
        <f>IFERROR(__xludf.DUMMYFUNCTION("""COMPUTED_VALUE"""),1.1508)</f>
        <v>1.1508</v>
      </c>
      <c r="P487" s="320">
        <f>IFERROR(__xludf.DUMMYFUNCTION("""COMPUTED_VALUE"""),599.32)</f>
        <v>599.32</v>
      </c>
      <c r="Q487" s="320">
        <f>IFERROR(__xludf.DUMMYFUNCTION("""COMPUTED_VALUE"""),348.68)</f>
        <v>348.68</v>
      </c>
      <c r="R487" s="320">
        <f>IFERROR(__xludf.DUMMYFUNCTION("""COMPUTED_VALUE"""),250.63)</f>
        <v>250.63</v>
      </c>
      <c r="S487" s="320">
        <f>IFERROR(__xludf.DUMMYFUNCTION("""COMPUTED_VALUE"""),0.0)</f>
        <v>0</v>
      </c>
      <c r="T487" s="320">
        <f>IFERROR(__xludf.DUMMYFUNCTION("""COMPUTED_VALUE"""),599.32)</f>
        <v>599.32</v>
      </c>
      <c r="U487" s="320">
        <f>IFERROR(__xludf.DUMMYFUNCTION("""COMPUTED_VALUE"""),665.18)</f>
        <v>665.18</v>
      </c>
      <c r="V487" s="320">
        <f>IFERROR(__xludf.DUMMYFUNCTION("""COMPUTED_VALUE"""),4.643)</f>
        <v>4.643</v>
      </c>
      <c r="W487" s="320">
        <f>IFERROR(__xludf.DUMMYFUNCTION("""COMPUTED_VALUE"""),0.0)</f>
        <v>0</v>
      </c>
      <c r="X487" s="320">
        <f>IFERROR(__xludf.DUMMYFUNCTION("""COMPUTED_VALUE"""),826.0)</f>
        <v>826</v>
      </c>
      <c r="Y487" s="320">
        <f>IFERROR(__xludf.DUMMYFUNCTION("""COMPUTED_VALUE"""),4269.0)</f>
        <v>4269</v>
      </c>
      <c r="Z487" s="320">
        <f>IFERROR(__xludf.DUMMYFUNCTION("""COMPUTED_VALUE"""),14768.0)</f>
        <v>14768</v>
      </c>
      <c r="AA487" s="320">
        <f>IFERROR(__xludf.DUMMYFUNCTION("""COMPUTED_VALUE"""),63.7559)</f>
        <v>63.7559</v>
      </c>
      <c r="AB487" s="320">
        <f>IFERROR(__xludf.DUMMYFUNCTION("""COMPUTED_VALUE"""),0.8988)</f>
        <v>0.8988</v>
      </c>
      <c r="AC487" s="320">
        <f>IFERROR(__xludf.DUMMYFUNCTION("""COMPUTED_VALUE"""),83.73)</f>
        <v>83.73</v>
      </c>
      <c r="AD487" s="320">
        <f>IFERROR(__xludf.DUMMYFUNCTION("""COMPUTED_VALUE"""),36.0)</f>
        <v>36</v>
      </c>
      <c r="AE487" s="320">
        <f>IFERROR(__xludf.DUMMYFUNCTION("""COMPUTED_VALUE"""),66.0)</f>
        <v>66</v>
      </c>
      <c r="AF487" s="320">
        <f>IFERROR(__xludf.DUMMYFUNCTION("""COMPUTED_VALUE"""),114.0)</f>
        <v>114</v>
      </c>
      <c r="AG487" s="320">
        <f>IFERROR(__xludf.DUMMYFUNCTION("""COMPUTED_VALUE"""),176.0)</f>
        <v>176</v>
      </c>
      <c r="AH487" s="320">
        <f>IFERROR(__xludf.DUMMYFUNCTION("""COMPUTED_VALUE"""),42.02)</f>
        <v>42.02</v>
      </c>
      <c r="AI487" s="320">
        <f>IFERROR(__xludf.DUMMYFUNCTION("""COMPUTED_VALUE"""),10.29)</f>
        <v>10.29</v>
      </c>
      <c r="AJ487" s="320">
        <f>IFERROR(__xludf.DUMMYFUNCTION("""COMPUTED_VALUE"""),1.54)</f>
        <v>1.54</v>
      </c>
      <c r="AK487" s="320">
        <f>IFERROR(__xludf.DUMMYFUNCTION("""COMPUTED_VALUE"""),0.0892)</f>
        <v>0.0892</v>
      </c>
      <c r="AL487" s="320">
        <f>IFERROR(__xludf.DUMMYFUNCTION("""COMPUTED_VALUE"""),26.44)</f>
        <v>26.44</v>
      </c>
      <c r="AM487" s="320">
        <f>IFERROR(__xludf.DUMMYFUNCTION("""COMPUTED_VALUE"""),322.24)</f>
        <v>322.24</v>
      </c>
      <c r="AN487" s="320">
        <f>IFERROR(__xludf.DUMMYFUNCTION("""COMPUTED_VALUE"""),86.72)</f>
        <v>86.72</v>
      </c>
      <c r="AO487" s="320">
        <f>IFERROR(__xludf.DUMMYFUNCTION("""COMPUTED_VALUE"""),22.93)</f>
        <v>22.93</v>
      </c>
    </row>
    <row r="488" ht="15.75" customHeight="1">
      <c r="A488" s="330">
        <f>IFERROR(__xludf.DUMMYFUNCTION("""COMPUTED_VALUE"""),46131.0)</f>
        <v>46131</v>
      </c>
      <c r="B488" s="319" t="str">
        <f>IFERROR(__xludf.DUMMYFUNCTION("""COMPUTED_VALUE"""),"A. 0")</f>
        <v>A. 0</v>
      </c>
      <c r="C488" s="320">
        <f>IFERROR(__xludf.DUMMYFUNCTION("""COMPUTED_VALUE"""),19111.0)</f>
        <v>19111</v>
      </c>
      <c r="D488" s="320">
        <f>IFERROR(__xludf.DUMMYFUNCTION("""COMPUTED_VALUE"""),19.07)</f>
        <v>19.07</v>
      </c>
      <c r="E488" s="320">
        <f>IFERROR(__xludf.DUMMYFUNCTION("""COMPUTED_VALUE"""),0.0)</f>
        <v>0</v>
      </c>
      <c r="F488" s="320">
        <f>IFERROR(__xludf.DUMMYFUNCTION("""COMPUTED_VALUE"""),0.0)</f>
        <v>0</v>
      </c>
      <c r="G488" s="320">
        <f>IFERROR(__xludf.DUMMYFUNCTION("""COMPUTED_VALUE"""),0.0)</f>
        <v>0</v>
      </c>
      <c r="H488" s="106"/>
      <c r="I488" s="320">
        <f>IFERROR(__xludf.DUMMYFUNCTION("""COMPUTED_VALUE"""),6.09)</f>
        <v>6.09</v>
      </c>
      <c r="J488" s="320">
        <f>IFERROR(__xludf.DUMMYFUNCTION("""COMPUTED_VALUE"""),2.52)</f>
        <v>2.52</v>
      </c>
      <c r="K488" s="320">
        <f>IFERROR(__xludf.DUMMYFUNCTION("""COMPUTED_VALUE"""),0.03)</f>
        <v>0.03</v>
      </c>
      <c r="L488" s="320">
        <f>IFERROR(__xludf.DUMMYFUNCTION("""COMPUTED_VALUE"""),0.0119)</f>
        <v>0.0119</v>
      </c>
      <c r="M488" s="320">
        <f>IFERROR(__xludf.DUMMYFUNCTION("""COMPUTED_VALUE"""),0.9914)</f>
        <v>0.9914</v>
      </c>
      <c r="N488" s="320">
        <f>IFERROR(__xludf.DUMMYFUNCTION("""COMPUTED_VALUE"""),0.8856)</f>
        <v>0.8856</v>
      </c>
      <c r="O488" s="320">
        <f>IFERROR(__xludf.DUMMYFUNCTION("""COMPUTED_VALUE"""),83.7718)</f>
        <v>83.7718</v>
      </c>
      <c r="P488" s="320">
        <f>IFERROR(__xludf.DUMMYFUNCTION("""COMPUTED_VALUE"""),22.99)</f>
        <v>22.99</v>
      </c>
      <c r="Q488" s="320">
        <f>IFERROR(__xludf.DUMMYFUNCTION("""COMPUTED_VALUE"""),22.89)</f>
        <v>22.89</v>
      </c>
      <c r="R488" s="320">
        <f>IFERROR(__xludf.DUMMYFUNCTION("""COMPUTED_VALUE"""),0.1)</f>
        <v>0.1</v>
      </c>
      <c r="S488" s="320">
        <f>IFERROR(__xludf.DUMMYFUNCTION("""COMPUTED_VALUE"""),0.0)</f>
        <v>0</v>
      </c>
      <c r="T488" s="320">
        <f>IFERROR(__xludf.DUMMYFUNCTION("""COMPUTED_VALUE"""),22.99)</f>
        <v>22.99</v>
      </c>
      <c r="U488" s="320">
        <f>IFERROR(__xludf.DUMMYFUNCTION("""COMPUTED_VALUE"""),1.97)</f>
        <v>1.97</v>
      </c>
      <c r="V488" s="320">
        <f>IFERROR(__xludf.DUMMYFUNCTION("""COMPUTED_VALUE"""),0.783)</f>
        <v>0.783</v>
      </c>
      <c r="W488" s="320">
        <f>IFERROR(__xludf.DUMMYFUNCTION("""COMPUTED_VALUE"""),0.0)</f>
        <v>0</v>
      </c>
      <c r="X488" s="320">
        <f>IFERROR(__xludf.DUMMYFUNCTION("""COMPUTED_VALUE"""),356.0)</f>
        <v>356</v>
      </c>
      <c r="Y488" s="320">
        <f>IFERROR(__xludf.DUMMYFUNCTION("""COMPUTED_VALUE"""),4129.0)</f>
        <v>4129</v>
      </c>
      <c r="Z488" s="320">
        <f>IFERROR(__xludf.DUMMYFUNCTION("""COMPUTED_VALUE"""),15320.0)</f>
        <v>15320</v>
      </c>
      <c r="AA488" s="320">
        <f>IFERROR(__xludf.DUMMYFUNCTION("""COMPUTED_VALUE"""),49.1476)</f>
        <v>49.1476</v>
      </c>
      <c r="AB488" s="320">
        <f>IFERROR(__xludf.DUMMYFUNCTION("""COMPUTED_VALUE"""),0.5461)</f>
        <v>0.5461</v>
      </c>
      <c r="AC488" s="106"/>
      <c r="AD488" s="106"/>
      <c r="AE488" s="106"/>
      <c r="AF488" s="106"/>
      <c r="AG488" s="106"/>
      <c r="AH488" s="320">
        <f>IFERROR(__xludf.DUMMYFUNCTION("""COMPUTED_VALUE"""),0.0)</f>
        <v>0</v>
      </c>
      <c r="AI488" s="320">
        <f>IFERROR(__xludf.DUMMYFUNCTION("""COMPUTED_VALUE"""),0.0)</f>
        <v>0</v>
      </c>
      <c r="AJ488" s="320">
        <f>IFERROR(__xludf.DUMMYFUNCTION("""COMPUTED_VALUE"""),0.0)</f>
        <v>0</v>
      </c>
      <c r="AK488" s="320">
        <f>IFERROR(__xludf.DUMMYFUNCTION("""COMPUTED_VALUE"""),0.2919)</f>
        <v>0.2919</v>
      </c>
      <c r="AL488" s="320">
        <f>IFERROR(__xludf.DUMMYFUNCTION("""COMPUTED_VALUE"""),18.68)</f>
        <v>18.68</v>
      </c>
      <c r="AM488" s="320">
        <f>IFERROR(__xludf.DUMMYFUNCTION("""COMPUTED_VALUE"""),4.22)</f>
        <v>4.22</v>
      </c>
      <c r="AN488" s="331"/>
      <c r="AO488" s="331"/>
    </row>
    <row r="489" ht="15.75" customHeight="1">
      <c r="A489" s="330">
        <f>IFERROR(__xludf.DUMMYFUNCTION("""COMPUTED_VALUE"""),46131.0)</f>
        <v>46131</v>
      </c>
      <c r="B489" s="319" t="str">
        <f>IFERROR(__xludf.DUMMYFUNCTION("""COMPUTED_VALUE"""),"B. 1-9")</f>
        <v>B. 1-9</v>
      </c>
      <c r="C489" s="320">
        <f>IFERROR(__xludf.DUMMYFUNCTION("""COMPUTED_VALUE"""),36504.0)</f>
        <v>36504</v>
      </c>
      <c r="D489" s="320">
        <f>IFERROR(__xludf.DUMMYFUNCTION("""COMPUTED_VALUE"""),36.43)</f>
        <v>36.43</v>
      </c>
      <c r="E489" s="320">
        <f>IFERROR(__xludf.DUMMYFUNCTION("""COMPUTED_VALUE"""),0.0)</f>
        <v>0</v>
      </c>
      <c r="F489" s="320">
        <f>IFERROR(__xludf.DUMMYFUNCTION("""COMPUTED_VALUE"""),0.0)</f>
        <v>0</v>
      </c>
      <c r="G489" s="320">
        <f>IFERROR(__xludf.DUMMYFUNCTION("""COMPUTED_VALUE"""),0.0)</f>
        <v>0</v>
      </c>
      <c r="H489" s="106"/>
      <c r="I489" s="320">
        <f>IFERROR(__xludf.DUMMYFUNCTION("""COMPUTED_VALUE"""),31.95)</f>
        <v>31.95</v>
      </c>
      <c r="J489" s="320">
        <f>IFERROR(__xludf.DUMMYFUNCTION("""COMPUTED_VALUE"""),14.66)</f>
        <v>14.66</v>
      </c>
      <c r="K489" s="320">
        <f>IFERROR(__xludf.DUMMYFUNCTION("""COMPUTED_VALUE"""),5.83)</f>
        <v>5.83</v>
      </c>
      <c r="L489" s="320">
        <f>IFERROR(__xludf.DUMMYFUNCTION("""COMPUTED_VALUE"""),0.398)</f>
        <v>0.398</v>
      </c>
      <c r="M489" s="320">
        <f>IFERROR(__xludf.DUMMYFUNCTION("""COMPUTED_VALUE"""),0.7658)</f>
        <v>0.7658</v>
      </c>
      <c r="N489" s="320">
        <f>IFERROR(__xludf.DUMMYFUNCTION("""COMPUTED_VALUE"""),0.5622)</f>
        <v>0.5622</v>
      </c>
      <c r="O489" s="320">
        <f>IFERROR(__xludf.DUMMYFUNCTION("""COMPUTED_VALUE"""),2.5128)</f>
        <v>2.5128</v>
      </c>
      <c r="P489" s="320">
        <f>IFERROR(__xludf.DUMMYFUNCTION("""COMPUTED_VALUE"""),47.04)</f>
        <v>47.04</v>
      </c>
      <c r="Q489" s="320">
        <f>IFERROR(__xludf.DUMMYFUNCTION("""COMPUTED_VALUE"""),35.34)</f>
        <v>35.34</v>
      </c>
      <c r="R489" s="320">
        <f>IFERROR(__xludf.DUMMYFUNCTION("""COMPUTED_VALUE"""),11.7)</f>
        <v>11.7</v>
      </c>
      <c r="S489" s="320">
        <f>IFERROR(__xludf.DUMMYFUNCTION("""COMPUTED_VALUE"""),0.0)</f>
        <v>0</v>
      </c>
      <c r="T489" s="320">
        <f>IFERROR(__xludf.DUMMYFUNCTION("""COMPUTED_VALUE"""),47.04)</f>
        <v>47.04</v>
      </c>
      <c r="U489" s="320">
        <f>IFERROR(__xludf.DUMMYFUNCTION("""COMPUTED_VALUE"""),51.78)</f>
        <v>51.78</v>
      </c>
      <c r="V489" s="320">
        <f>IFERROR(__xludf.DUMMYFUNCTION("""COMPUTED_VALUE"""),3.5321)</f>
        <v>3.5321</v>
      </c>
      <c r="W489" s="320">
        <f>IFERROR(__xludf.DUMMYFUNCTION("""COMPUTED_VALUE"""),0.0)</f>
        <v>0</v>
      </c>
      <c r="X489" s="320">
        <f>IFERROR(__xludf.DUMMYFUNCTION("""COMPUTED_VALUE"""),139.0)</f>
        <v>139</v>
      </c>
      <c r="Y489" s="320">
        <f>IFERROR(__xludf.DUMMYFUNCTION("""COMPUTED_VALUE"""),941.0)</f>
        <v>941</v>
      </c>
      <c r="Z489" s="320">
        <f>IFERROR(__xludf.DUMMYFUNCTION("""COMPUTED_VALUE"""),6192.0)</f>
        <v>6192</v>
      </c>
      <c r="AA489" s="320">
        <f>IFERROR(__xludf.DUMMYFUNCTION("""COMPUTED_VALUE"""),48.7698)</f>
        <v>48.7698</v>
      </c>
      <c r="AB489" s="320">
        <f>IFERROR(__xludf.DUMMYFUNCTION("""COMPUTED_VALUE"""),0.5417)</f>
        <v>0.5417</v>
      </c>
      <c r="AC489" s="320">
        <f>IFERROR(__xludf.DUMMYFUNCTION("""COMPUTED_VALUE"""),4.05)</f>
        <v>4.05</v>
      </c>
      <c r="AD489" s="320">
        <f>IFERROR(__xludf.DUMMYFUNCTION("""COMPUTED_VALUE"""),1.0)</f>
        <v>1</v>
      </c>
      <c r="AE489" s="320">
        <f>IFERROR(__xludf.DUMMYFUNCTION("""COMPUTED_VALUE"""),3.0)</f>
        <v>3</v>
      </c>
      <c r="AF489" s="320">
        <f>IFERROR(__xludf.DUMMYFUNCTION("""COMPUTED_VALUE"""),5.0)</f>
        <v>5</v>
      </c>
      <c r="AG489" s="320">
        <f>IFERROR(__xludf.DUMMYFUNCTION("""COMPUTED_VALUE"""),9.0)</f>
        <v>9</v>
      </c>
      <c r="AH489" s="320">
        <f>IFERROR(__xludf.DUMMYFUNCTION("""COMPUTED_VALUE"""),73.82)</f>
        <v>73.82</v>
      </c>
      <c r="AI489" s="320">
        <f>IFERROR(__xludf.DUMMYFUNCTION("""COMPUTED_VALUE"""),31.22)</f>
        <v>31.22</v>
      </c>
      <c r="AJ489" s="320">
        <f>IFERROR(__xludf.DUMMYFUNCTION("""COMPUTED_VALUE"""),8.68)</f>
        <v>8.68</v>
      </c>
      <c r="AK489" s="320">
        <f>IFERROR(__xludf.DUMMYFUNCTION("""COMPUTED_VALUE"""),0.2647)</f>
        <v>0.2647</v>
      </c>
      <c r="AL489" s="320">
        <f>IFERROR(__xludf.DUMMYFUNCTION("""COMPUTED_VALUE"""),21.09)</f>
        <v>21.09</v>
      </c>
      <c r="AM489" s="320">
        <f>IFERROR(__xludf.DUMMYFUNCTION("""COMPUTED_VALUE"""),14.25)</f>
        <v>14.25</v>
      </c>
      <c r="AN489" s="320">
        <f>IFERROR(__xludf.DUMMYFUNCTION("""COMPUTED_VALUE"""),65.21)</f>
        <v>65.21</v>
      </c>
      <c r="AO489" s="320">
        <f>IFERROR(__xludf.DUMMYFUNCTION("""COMPUTED_VALUE"""),13.75)</f>
        <v>13.75</v>
      </c>
    </row>
    <row r="490" ht="15.75" customHeight="1">
      <c r="A490" s="330">
        <f>IFERROR(__xludf.DUMMYFUNCTION("""COMPUTED_VALUE"""),46131.0)</f>
        <v>46131</v>
      </c>
      <c r="B490" s="319" t="str">
        <f>IFERROR(__xludf.DUMMYFUNCTION("""COMPUTED_VALUE"""),"C. 10-19")</f>
        <v>C. 10-19</v>
      </c>
      <c r="C490" s="320">
        <f>IFERROR(__xludf.DUMMYFUNCTION("""COMPUTED_VALUE"""),24561.0)</f>
        <v>24561</v>
      </c>
      <c r="D490" s="320">
        <f>IFERROR(__xludf.DUMMYFUNCTION("""COMPUTED_VALUE"""),24.51)</f>
        <v>24.51</v>
      </c>
      <c r="E490" s="320">
        <f>IFERROR(__xludf.DUMMYFUNCTION("""COMPUTED_VALUE"""),0.0)</f>
        <v>0</v>
      </c>
      <c r="F490" s="320">
        <f>IFERROR(__xludf.DUMMYFUNCTION("""COMPUTED_VALUE"""),0.0)</f>
        <v>0</v>
      </c>
      <c r="G490" s="320">
        <f>IFERROR(__xludf.DUMMYFUNCTION("""COMPUTED_VALUE"""),0.0)</f>
        <v>0</v>
      </c>
      <c r="H490" s="106"/>
      <c r="I490" s="320">
        <f>IFERROR(__xludf.DUMMYFUNCTION("""COMPUTED_VALUE"""),60.44)</f>
        <v>60.44</v>
      </c>
      <c r="J490" s="320">
        <f>IFERROR(__xludf.DUMMYFUNCTION("""COMPUTED_VALUE"""),28.91)</f>
        <v>28.91</v>
      </c>
      <c r="K490" s="320">
        <f>IFERROR(__xludf.DUMMYFUNCTION("""COMPUTED_VALUE"""),14.4)</f>
        <v>14.4</v>
      </c>
      <c r="L490" s="320">
        <f>IFERROR(__xludf.DUMMYFUNCTION("""COMPUTED_VALUE"""),0.498)</f>
        <v>0.498</v>
      </c>
      <c r="M490" s="320">
        <f>IFERROR(__xludf.DUMMYFUNCTION("""COMPUTED_VALUE"""),0.6836)</f>
        <v>0.6836</v>
      </c>
      <c r="N490" s="320">
        <f>IFERROR(__xludf.DUMMYFUNCTION("""COMPUTED_VALUE"""),0.475)</f>
        <v>0.475</v>
      </c>
      <c r="O490" s="320">
        <f>IFERROR(__xludf.DUMMYFUNCTION("""COMPUTED_VALUE"""),2.008)</f>
        <v>2.008</v>
      </c>
      <c r="P490" s="320">
        <f>IFERROR(__xludf.DUMMYFUNCTION("""COMPUTED_VALUE"""),81.21)</f>
        <v>81.21</v>
      </c>
      <c r="Q490" s="320">
        <f>IFERROR(__xludf.DUMMYFUNCTION("""COMPUTED_VALUE"""),52.3)</f>
        <v>52.3</v>
      </c>
      <c r="R490" s="320">
        <f>IFERROR(__xludf.DUMMYFUNCTION("""COMPUTED_VALUE"""),28.9)</f>
        <v>28.9</v>
      </c>
      <c r="S490" s="320">
        <f>IFERROR(__xludf.DUMMYFUNCTION("""COMPUTED_VALUE"""),0.0)</f>
        <v>0</v>
      </c>
      <c r="T490" s="320">
        <f>IFERROR(__xludf.DUMMYFUNCTION("""COMPUTED_VALUE"""),81.21)</f>
        <v>81.21</v>
      </c>
      <c r="U490" s="320">
        <f>IFERROR(__xludf.DUMMYFUNCTION("""COMPUTED_VALUE"""),95.43)</f>
        <v>95.43</v>
      </c>
      <c r="V490" s="320">
        <f>IFERROR(__xludf.DUMMYFUNCTION("""COMPUTED_VALUE"""),3.3013)</f>
        <v>3.3013</v>
      </c>
      <c r="W490" s="320">
        <f>IFERROR(__xludf.DUMMYFUNCTION("""COMPUTED_VALUE"""),0.0)</f>
        <v>0</v>
      </c>
      <c r="X490" s="320">
        <f>IFERROR(__xludf.DUMMYFUNCTION("""COMPUTED_VALUE"""),111.0)</f>
        <v>111</v>
      </c>
      <c r="Y490" s="320">
        <f>IFERROR(__xludf.DUMMYFUNCTION("""COMPUTED_VALUE"""),623.0)</f>
        <v>623</v>
      </c>
      <c r="Z490" s="320">
        <f>IFERROR(__xludf.DUMMYFUNCTION("""COMPUTED_VALUE"""),4725.0)</f>
        <v>4725</v>
      </c>
      <c r="AA490" s="320">
        <f>IFERROR(__xludf.DUMMYFUNCTION("""COMPUTED_VALUE"""),52.1442)</f>
        <v>52.1442</v>
      </c>
      <c r="AB490" s="320">
        <f>IFERROR(__xludf.DUMMYFUNCTION("""COMPUTED_VALUE"""),0.6312)</f>
        <v>0.6312</v>
      </c>
      <c r="AC490" s="320">
        <f>IFERROR(__xludf.DUMMYFUNCTION("""COMPUTED_VALUE"""),9.4)</f>
        <v>9.4</v>
      </c>
      <c r="AD490" s="320">
        <f>IFERROR(__xludf.DUMMYFUNCTION("""COMPUTED_VALUE"""),4.0)</f>
        <v>4</v>
      </c>
      <c r="AE490" s="320">
        <f>IFERROR(__xludf.DUMMYFUNCTION("""COMPUTED_VALUE"""),7.0)</f>
        <v>7</v>
      </c>
      <c r="AF490" s="320">
        <f>IFERROR(__xludf.DUMMYFUNCTION("""COMPUTED_VALUE"""),13.0)</f>
        <v>13</v>
      </c>
      <c r="AG490" s="320">
        <f>IFERROR(__xludf.DUMMYFUNCTION("""COMPUTED_VALUE"""),20.0)</f>
        <v>20</v>
      </c>
      <c r="AH490" s="320">
        <f>IFERROR(__xludf.DUMMYFUNCTION("""COMPUTED_VALUE"""),60.98)</f>
        <v>60.98</v>
      </c>
      <c r="AI490" s="320">
        <f>IFERROR(__xludf.DUMMYFUNCTION("""COMPUTED_VALUE"""),25.69)</f>
        <v>25.69</v>
      </c>
      <c r="AJ490" s="320">
        <f>IFERROR(__xludf.DUMMYFUNCTION("""COMPUTED_VALUE"""),4.65)</f>
        <v>4.65</v>
      </c>
      <c r="AK490" s="320">
        <f>IFERROR(__xludf.DUMMYFUNCTION("""COMPUTED_VALUE"""),0.2136)</f>
        <v>0.2136</v>
      </c>
      <c r="AL490" s="320">
        <f>IFERROR(__xludf.DUMMYFUNCTION("""COMPUTED_VALUE"""),21.45)</f>
        <v>21.45</v>
      </c>
      <c r="AM490" s="320">
        <f>IFERROR(__xludf.DUMMYFUNCTION("""COMPUTED_VALUE"""),30.85)</f>
        <v>30.85</v>
      </c>
      <c r="AN490" s="320">
        <f>IFERROR(__xludf.DUMMYFUNCTION("""COMPUTED_VALUE"""),74.34)</f>
        <v>74.34</v>
      </c>
      <c r="AO490" s="320">
        <f>IFERROR(__xludf.DUMMYFUNCTION("""COMPUTED_VALUE"""),15.95)</f>
        <v>15.95</v>
      </c>
    </row>
    <row r="491" ht="15.75" customHeight="1">
      <c r="A491" s="330">
        <f>IFERROR(__xludf.DUMMYFUNCTION("""COMPUTED_VALUE"""),46131.0)</f>
        <v>46131</v>
      </c>
      <c r="B491" s="319" t="str">
        <f>IFERROR(__xludf.DUMMYFUNCTION("""COMPUTED_VALUE"""),"D. 20-39")</f>
        <v>D. 20-39</v>
      </c>
      <c r="C491" s="320">
        <f>IFERROR(__xludf.DUMMYFUNCTION("""COMPUTED_VALUE"""),13941.0)</f>
        <v>13941</v>
      </c>
      <c r="D491" s="320">
        <f>IFERROR(__xludf.DUMMYFUNCTION("""COMPUTED_VALUE"""),13.91)</f>
        <v>13.91</v>
      </c>
      <c r="E491" s="320">
        <f>IFERROR(__xludf.DUMMYFUNCTION("""COMPUTED_VALUE"""),0.0)</f>
        <v>0</v>
      </c>
      <c r="F491" s="320">
        <f>IFERROR(__xludf.DUMMYFUNCTION("""COMPUTED_VALUE"""),0.0)</f>
        <v>0</v>
      </c>
      <c r="G491" s="320">
        <f>IFERROR(__xludf.DUMMYFUNCTION("""COMPUTED_VALUE"""),0.0)</f>
        <v>0</v>
      </c>
      <c r="H491" s="106"/>
      <c r="I491" s="320">
        <f>IFERROR(__xludf.DUMMYFUNCTION("""COMPUTED_VALUE"""),87.08)</f>
        <v>87.08</v>
      </c>
      <c r="J491" s="320">
        <f>IFERROR(__xludf.DUMMYFUNCTION("""COMPUTED_VALUE"""),44.32)</f>
        <v>44.32</v>
      </c>
      <c r="K491" s="320">
        <f>IFERROR(__xludf.DUMMYFUNCTION("""COMPUTED_VALUE"""),28.02)</f>
        <v>28.02</v>
      </c>
      <c r="L491" s="320">
        <f>IFERROR(__xludf.DUMMYFUNCTION("""COMPUTED_VALUE"""),0.6322)</f>
        <v>0.6322</v>
      </c>
      <c r="M491" s="320">
        <f>IFERROR(__xludf.DUMMYFUNCTION("""COMPUTED_VALUE"""),0.5526)</f>
        <v>0.5526</v>
      </c>
      <c r="N491" s="320">
        <f>IFERROR(__xludf.DUMMYFUNCTION("""COMPUTED_VALUE"""),0.3782)</f>
        <v>0.3782</v>
      </c>
      <c r="O491" s="320">
        <f>IFERROR(__xludf.DUMMYFUNCTION("""COMPUTED_VALUE"""),1.5819)</f>
        <v>1.5819</v>
      </c>
      <c r="P491" s="320">
        <f>IFERROR(__xludf.DUMMYFUNCTION("""COMPUTED_VALUE"""),132.41)</f>
        <v>132.41</v>
      </c>
      <c r="Q491" s="320">
        <f>IFERROR(__xludf.DUMMYFUNCTION("""COMPUTED_VALUE"""),76.69)</f>
        <v>76.69</v>
      </c>
      <c r="R491" s="320">
        <f>IFERROR(__xludf.DUMMYFUNCTION("""COMPUTED_VALUE"""),55.71)</f>
        <v>55.71</v>
      </c>
      <c r="S491" s="320">
        <f>IFERROR(__xludf.DUMMYFUNCTION("""COMPUTED_VALUE"""),0.0)</f>
        <v>0</v>
      </c>
      <c r="T491" s="320">
        <f>IFERROR(__xludf.DUMMYFUNCTION("""COMPUTED_VALUE"""),132.41)</f>
        <v>132.41</v>
      </c>
      <c r="U491" s="320">
        <f>IFERROR(__xludf.DUMMYFUNCTION("""COMPUTED_VALUE"""),165.97)</f>
        <v>165.97</v>
      </c>
      <c r="V491" s="320">
        <f>IFERROR(__xludf.DUMMYFUNCTION("""COMPUTED_VALUE"""),3.7449)</f>
        <v>3.7449</v>
      </c>
      <c r="W491" s="320">
        <f>IFERROR(__xludf.DUMMYFUNCTION("""COMPUTED_VALUE"""),0.0)</f>
        <v>0</v>
      </c>
      <c r="X491" s="320">
        <f>IFERROR(__xludf.DUMMYFUNCTION("""COMPUTED_VALUE"""),128.0)</f>
        <v>128</v>
      </c>
      <c r="Y491" s="320">
        <f>IFERROR(__xludf.DUMMYFUNCTION("""COMPUTED_VALUE"""),943.0)</f>
        <v>943</v>
      </c>
      <c r="Z491" s="320">
        <f>IFERROR(__xludf.DUMMYFUNCTION("""COMPUTED_VALUE"""),5987.0)</f>
        <v>5987</v>
      </c>
      <c r="AA491" s="320">
        <f>IFERROR(__xludf.DUMMYFUNCTION("""COMPUTED_VALUE"""),55.7069)</f>
        <v>55.7069</v>
      </c>
      <c r="AB491" s="320">
        <f>IFERROR(__xludf.DUMMYFUNCTION("""COMPUTED_VALUE"""),0.735)</f>
        <v>0.735</v>
      </c>
      <c r="AC491" s="320">
        <f>IFERROR(__xludf.DUMMYFUNCTION("""COMPUTED_VALUE"""),17.97)</f>
        <v>17.97</v>
      </c>
      <c r="AD491" s="320">
        <f>IFERROR(__xludf.DUMMYFUNCTION("""COMPUTED_VALUE"""),7.0)</f>
        <v>7</v>
      </c>
      <c r="AE491" s="320">
        <f>IFERROR(__xludf.DUMMYFUNCTION("""COMPUTED_VALUE"""),14.0)</f>
        <v>14</v>
      </c>
      <c r="AF491" s="320">
        <f>IFERROR(__xludf.DUMMYFUNCTION("""COMPUTED_VALUE"""),24.0)</f>
        <v>24</v>
      </c>
      <c r="AG491" s="320">
        <f>IFERROR(__xludf.DUMMYFUNCTION("""COMPUTED_VALUE"""),38.0)</f>
        <v>38</v>
      </c>
      <c r="AH491" s="320">
        <f>IFERROR(__xludf.DUMMYFUNCTION("""COMPUTED_VALUE"""),59.85)</f>
        <v>59.85</v>
      </c>
      <c r="AI491" s="320">
        <f>IFERROR(__xludf.DUMMYFUNCTION("""COMPUTED_VALUE"""),23.13)</f>
        <v>23.13</v>
      </c>
      <c r="AJ491" s="320">
        <f>IFERROR(__xludf.DUMMYFUNCTION("""COMPUTED_VALUE"""),7.62)</f>
        <v>7.62</v>
      </c>
      <c r="AK491" s="320">
        <f>IFERROR(__xludf.DUMMYFUNCTION("""COMPUTED_VALUE"""),0.1994)</f>
        <v>0.1994</v>
      </c>
      <c r="AL491" s="320">
        <f>IFERROR(__xludf.DUMMYFUNCTION("""COMPUTED_VALUE"""),21.84)</f>
        <v>21.84</v>
      </c>
      <c r="AM491" s="320">
        <f>IFERROR(__xludf.DUMMYFUNCTION("""COMPUTED_VALUE"""),54.86)</f>
        <v>54.86</v>
      </c>
      <c r="AN491" s="320">
        <f>IFERROR(__xludf.DUMMYFUNCTION("""COMPUTED_VALUE"""),77.12)</f>
        <v>77.12</v>
      </c>
      <c r="AO491" s="320">
        <f>IFERROR(__xludf.DUMMYFUNCTION("""COMPUTED_VALUE"""),16.84)</f>
        <v>16.84</v>
      </c>
    </row>
    <row r="492" ht="15.0" customHeight="1">
      <c r="A492" s="328">
        <f>IFERROR(__xludf.DUMMYFUNCTION("""COMPUTED_VALUE"""),46131.0)</f>
        <v>46131</v>
      </c>
      <c r="B492" s="319" t="str">
        <f>IFERROR(__xludf.DUMMYFUNCTION("""COMPUTED_VALUE"""),"E. 40-99")</f>
        <v>E. 40-99</v>
      </c>
      <c r="C492" s="320">
        <f>IFERROR(__xludf.DUMMYFUNCTION("""COMPUTED_VALUE"""),5493.0)</f>
        <v>5493</v>
      </c>
      <c r="D492" s="320">
        <f>IFERROR(__xludf.DUMMYFUNCTION("""COMPUTED_VALUE"""),5.48)</f>
        <v>5.48</v>
      </c>
      <c r="E492" s="320">
        <f>IFERROR(__xludf.DUMMYFUNCTION("""COMPUTED_VALUE"""),0.0)</f>
        <v>0</v>
      </c>
      <c r="F492" s="320">
        <f>IFERROR(__xludf.DUMMYFUNCTION("""COMPUTED_VALUE"""),0.0)</f>
        <v>0</v>
      </c>
      <c r="G492" s="320">
        <f>IFERROR(__xludf.DUMMYFUNCTION("""COMPUTED_VALUE"""),0.0)</f>
        <v>0</v>
      </c>
      <c r="H492" s="106"/>
      <c r="I492" s="320">
        <f>IFERROR(__xludf.DUMMYFUNCTION("""COMPUTED_VALUE"""),135.49)</f>
        <v>135.49</v>
      </c>
      <c r="J492" s="320">
        <f>IFERROR(__xludf.DUMMYFUNCTION("""COMPUTED_VALUE"""),73.28)</f>
        <v>73.28</v>
      </c>
      <c r="K492" s="320">
        <f>IFERROR(__xludf.DUMMYFUNCTION("""COMPUTED_VALUE"""),56.04)</f>
        <v>56.04</v>
      </c>
      <c r="L492" s="320">
        <f>IFERROR(__xludf.DUMMYFUNCTION("""COMPUTED_VALUE"""),0.7646)</f>
        <v>0.7646</v>
      </c>
      <c r="M492" s="320">
        <f>IFERROR(__xludf.DUMMYFUNCTION("""COMPUTED_VALUE"""),0.4146)</f>
        <v>0.4146</v>
      </c>
      <c r="N492" s="320">
        <f>IFERROR(__xludf.DUMMYFUNCTION("""COMPUTED_VALUE"""),0.292)</f>
        <v>0.292</v>
      </c>
      <c r="O492" s="320">
        <f>IFERROR(__xludf.DUMMYFUNCTION("""COMPUTED_VALUE"""),1.3078)</f>
        <v>1.3078</v>
      </c>
      <c r="P492" s="320">
        <f>IFERROR(__xludf.DUMMYFUNCTION("""COMPUTED_VALUE"""),224.7)</f>
        <v>224.7</v>
      </c>
      <c r="Q492" s="320">
        <f>IFERROR(__xludf.DUMMYFUNCTION("""COMPUTED_VALUE"""),113.44)</f>
        <v>113.44</v>
      </c>
      <c r="R492" s="320">
        <f>IFERROR(__xludf.DUMMYFUNCTION("""COMPUTED_VALUE"""),111.25)</f>
        <v>111.25</v>
      </c>
      <c r="S492" s="320">
        <f>IFERROR(__xludf.DUMMYFUNCTION("""COMPUTED_VALUE"""),0.0)</f>
        <v>0</v>
      </c>
      <c r="T492" s="320">
        <f>IFERROR(__xludf.DUMMYFUNCTION("""COMPUTED_VALUE"""),224.7)</f>
        <v>224.7</v>
      </c>
      <c r="U492" s="320">
        <f>IFERROR(__xludf.DUMMYFUNCTION("""COMPUTED_VALUE"""),323.15)</f>
        <v>323.15</v>
      </c>
      <c r="V492" s="320">
        <f>IFERROR(__xludf.DUMMYFUNCTION("""COMPUTED_VALUE"""),4.4095)</f>
        <v>4.4095</v>
      </c>
      <c r="W492" s="320">
        <f>IFERROR(__xludf.DUMMYFUNCTION("""COMPUTED_VALUE"""),0.0)</f>
        <v>0</v>
      </c>
      <c r="X492" s="320">
        <f>IFERROR(__xludf.DUMMYFUNCTION("""COMPUTED_VALUE"""),221.0)</f>
        <v>221</v>
      </c>
      <c r="Y492" s="320">
        <f>IFERROR(__xludf.DUMMYFUNCTION("""COMPUTED_VALUE"""),2112.0)</f>
        <v>2112</v>
      </c>
      <c r="Z492" s="320">
        <f>IFERROR(__xludf.DUMMYFUNCTION("""COMPUTED_VALUE"""),9801.0)</f>
        <v>9801</v>
      </c>
      <c r="AA492" s="320">
        <f>IFERROR(__xludf.DUMMYFUNCTION("""COMPUTED_VALUE"""),59.575)</f>
        <v>59.575</v>
      </c>
      <c r="AB492" s="320">
        <f>IFERROR(__xludf.DUMMYFUNCTION("""COMPUTED_VALUE"""),0.8301)</f>
        <v>0.8301</v>
      </c>
      <c r="AC492" s="320">
        <f>IFERROR(__xludf.DUMMYFUNCTION("""COMPUTED_VALUE"""),36.64)</f>
        <v>36.64</v>
      </c>
      <c r="AD492" s="320">
        <f>IFERROR(__xludf.DUMMYFUNCTION("""COMPUTED_VALUE"""),14.0)</f>
        <v>14</v>
      </c>
      <c r="AE492" s="320">
        <f>IFERROR(__xludf.DUMMYFUNCTION("""COMPUTED_VALUE"""),28.0)</f>
        <v>28</v>
      </c>
      <c r="AF492" s="320">
        <f>IFERROR(__xludf.DUMMYFUNCTION("""COMPUTED_VALUE"""),50.0)</f>
        <v>50</v>
      </c>
      <c r="AG492" s="320">
        <f>IFERROR(__xludf.DUMMYFUNCTION("""COMPUTED_VALUE"""),78.0)</f>
        <v>78</v>
      </c>
      <c r="AH492" s="320">
        <f>IFERROR(__xludf.DUMMYFUNCTION("""COMPUTED_VALUE"""),50.25)</f>
        <v>50.25</v>
      </c>
      <c r="AI492" s="320">
        <f>IFERROR(__xludf.DUMMYFUNCTION("""COMPUTED_VALUE"""),18.68)</f>
        <v>18.68</v>
      </c>
      <c r="AJ492" s="320">
        <f>IFERROR(__xludf.DUMMYFUNCTION("""COMPUTED_VALUE"""),4.7)</f>
        <v>4.7</v>
      </c>
      <c r="AK492" s="320">
        <f>IFERROR(__xludf.DUMMYFUNCTION("""COMPUTED_VALUE"""),0.1418)</f>
        <v>0.1418</v>
      </c>
      <c r="AL492" s="320">
        <f>IFERROR(__xludf.DUMMYFUNCTION("""COMPUTED_VALUE"""),21.88)</f>
        <v>21.88</v>
      </c>
      <c r="AM492" s="320">
        <f>IFERROR(__xludf.DUMMYFUNCTION("""COMPUTED_VALUE"""),91.56)</f>
        <v>91.56</v>
      </c>
      <c r="AN492" s="320">
        <f>IFERROR(__xludf.DUMMYFUNCTION("""COMPUTED_VALUE"""),81.96)</f>
        <v>81.96</v>
      </c>
      <c r="AO492" s="320">
        <f>IFERROR(__xludf.DUMMYFUNCTION("""COMPUTED_VALUE"""),17.93)</f>
        <v>17.93</v>
      </c>
    </row>
    <row r="493" ht="15.0" customHeight="1">
      <c r="A493" s="328">
        <f>IFERROR(__xludf.DUMMYFUNCTION("""COMPUTED_VALUE"""),46131.0)</f>
        <v>46131</v>
      </c>
      <c r="B493" s="319" t="str">
        <f>IFERROR(__xludf.DUMMYFUNCTION("""COMPUTED_VALUE"""),"F. 100+")</f>
        <v>F. 100+</v>
      </c>
      <c r="C493" s="320">
        <f>IFERROR(__xludf.DUMMYFUNCTION("""COMPUTED_VALUE"""),582.0)</f>
        <v>582</v>
      </c>
      <c r="D493" s="320">
        <f>IFERROR(__xludf.DUMMYFUNCTION("""COMPUTED_VALUE"""),0.58)</f>
        <v>0.58</v>
      </c>
      <c r="E493" s="320">
        <f>IFERROR(__xludf.DUMMYFUNCTION("""COMPUTED_VALUE"""),0.0)</f>
        <v>0</v>
      </c>
      <c r="F493" s="320">
        <f>IFERROR(__xludf.DUMMYFUNCTION("""COMPUTED_VALUE"""),0.0)</f>
        <v>0</v>
      </c>
      <c r="G493" s="320">
        <f>IFERROR(__xludf.DUMMYFUNCTION("""COMPUTED_VALUE"""),0.0)</f>
        <v>0</v>
      </c>
      <c r="H493" s="106"/>
      <c r="I493" s="320">
        <f>IFERROR(__xludf.DUMMYFUNCTION("""COMPUTED_VALUE"""),252.59)</f>
        <v>252.59</v>
      </c>
      <c r="J493" s="320">
        <f>IFERROR(__xludf.DUMMYFUNCTION("""COMPUTED_VALUE"""),147.05)</f>
        <v>147.05</v>
      </c>
      <c r="K493" s="320">
        <f>IFERROR(__xludf.DUMMYFUNCTION("""COMPUTED_VALUE"""),124.4)</f>
        <v>124.4</v>
      </c>
      <c r="L493" s="320">
        <f>IFERROR(__xludf.DUMMYFUNCTION("""COMPUTED_VALUE"""),0.846)</f>
        <v>0.846</v>
      </c>
      <c r="M493" s="320">
        <f>IFERROR(__xludf.DUMMYFUNCTION("""COMPUTED_VALUE"""),0.3022)</f>
        <v>0.3022</v>
      </c>
      <c r="N493" s="320">
        <f>IFERROR(__xludf.DUMMYFUNCTION("""COMPUTED_VALUE"""),0.22)</f>
        <v>0.22</v>
      </c>
      <c r="O493" s="320">
        <f>IFERROR(__xludf.DUMMYFUNCTION("""COMPUTED_VALUE"""),1.182)</f>
        <v>1.182</v>
      </c>
      <c r="P493" s="320">
        <f>IFERROR(__xludf.DUMMYFUNCTION("""COMPUTED_VALUE"""),420.32)</f>
        <v>420.32</v>
      </c>
      <c r="Q493" s="320">
        <f>IFERROR(__xludf.DUMMYFUNCTION("""COMPUTED_VALUE"""),170.12)</f>
        <v>170.12</v>
      </c>
      <c r="R493" s="320">
        <f>IFERROR(__xludf.DUMMYFUNCTION("""COMPUTED_VALUE"""),250.2)</f>
        <v>250.2</v>
      </c>
      <c r="S493" s="320">
        <f>IFERROR(__xludf.DUMMYFUNCTION("""COMPUTED_VALUE"""),0.0)</f>
        <v>0</v>
      </c>
      <c r="T493" s="320">
        <f>IFERROR(__xludf.DUMMYFUNCTION("""COMPUTED_VALUE"""),420.32)</f>
        <v>420.32</v>
      </c>
      <c r="U493" s="320">
        <f>IFERROR(__xludf.DUMMYFUNCTION("""COMPUTED_VALUE"""),590.21)</f>
        <v>590.21</v>
      </c>
      <c r="V493" s="320">
        <f>IFERROR(__xludf.DUMMYFUNCTION("""COMPUTED_VALUE"""),4.0137)</f>
        <v>4.0137</v>
      </c>
      <c r="W493" s="320">
        <f>IFERROR(__xludf.DUMMYFUNCTION("""COMPUTED_VALUE"""),0.0)</f>
        <v>0</v>
      </c>
      <c r="X493" s="320">
        <f>IFERROR(__xludf.DUMMYFUNCTION("""COMPUTED_VALUE"""),585.0)</f>
        <v>585</v>
      </c>
      <c r="Y493" s="320">
        <f>IFERROR(__xludf.DUMMYFUNCTION("""COMPUTED_VALUE"""),3410.0)</f>
        <v>3410</v>
      </c>
      <c r="Z493" s="320">
        <f>IFERROR(__xludf.DUMMYFUNCTION("""COMPUTED_VALUE"""),11950.0)</f>
        <v>11950</v>
      </c>
      <c r="AA493" s="320">
        <f>IFERROR(__xludf.DUMMYFUNCTION("""COMPUTED_VALUE"""),63.8265)</f>
        <v>63.8265</v>
      </c>
      <c r="AB493" s="320">
        <f>IFERROR(__xludf.DUMMYFUNCTION("""COMPUTED_VALUE"""),0.8995)</f>
        <v>0.8995</v>
      </c>
      <c r="AC493" s="320">
        <f>IFERROR(__xludf.DUMMYFUNCTION("""COMPUTED_VALUE"""),78.75)</f>
        <v>78.75</v>
      </c>
      <c r="AD493" s="320">
        <f>IFERROR(__xludf.DUMMYFUNCTION("""COMPUTED_VALUE"""),31.0)</f>
        <v>31</v>
      </c>
      <c r="AE493" s="320">
        <f>IFERROR(__xludf.DUMMYFUNCTION("""COMPUTED_VALUE"""),64.0)</f>
        <v>64</v>
      </c>
      <c r="AF493" s="320">
        <f>IFERROR(__xludf.DUMMYFUNCTION("""COMPUTED_VALUE"""),113.0)</f>
        <v>113</v>
      </c>
      <c r="AG493" s="320">
        <f>IFERROR(__xludf.DUMMYFUNCTION("""COMPUTED_VALUE"""),167.0)</f>
        <v>167</v>
      </c>
      <c r="AH493" s="320">
        <f>IFERROR(__xludf.DUMMYFUNCTION("""COMPUTED_VALUE"""),41.41)</f>
        <v>41.41</v>
      </c>
      <c r="AI493" s="320">
        <f>IFERROR(__xludf.DUMMYFUNCTION("""COMPUTED_VALUE"""),7.9)</f>
        <v>7.9</v>
      </c>
      <c r="AJ493" s="320">
        <f>IFERROR(__xludf.DUMMYFUNCTION("""COMPUTED_VALUE"""),0.69)</f>
        <v>0.69</v>
      </c>
      <c r="AK493" s="320">
        <f>IFERROR(__xludf.DUMMYFUNCTION("""COMPUTED_VALUE"""),0.0825)</f>
        <v>0.0825</v>
      </c>
      <c r="AL493" s="320">
        <f>IFERROR(__xludf.DUMMYFUNCTION("""COMPUTED_VALUE"""),23.8)</f>
        <v>23.8</v>
      </c>
      <c r="AM493" s="320">
        <f>IFERROR(__xludf.DUMMYFUNCTION("""COMPUTED_VALUE"""),146.32)</f>
        <v>146.32</v>
      </c>
      <c r="AN493" s="320">
        <f>IFERROR(__xludf.DUMMYFUNCTION("""COMPUTED_VALUE"""),84.86)</f>
        <v>84.86</v>
      </c>
      <c r="AO493" s="320">
        <f>IFERROR(__xludf.DUMMYFUNCTION("""COMPUTED_VALUE"""),20.2)</f>
        <v>20.2</v>
      </c>
    </row>
    <row r="494" ht="15.0" customHeight="1">
      <c r="A494" s="328">
        <f>IFERROR(__xludf.DUMMYFUNCTION("""COMPUTED_VALUE"""),46132.0)</f>
        <v>46132</v>
      </c>
      <c r="B494" s="319" t="str">
        <f>IFERROR(__xludf.DUMMYFUNCTION("""COMPUTED_VALUE"""),"A. 0")</f>
        <v>A. 0</v>
      </c>
      <c r="C494" s="320">
        <f>IFERROR(__xludf.DUMMYFUNCTION("""COMPUTED_VALUE"""),18810.0)</f>
        <v>18810</v>
      </c>
      <c r="D494" s="320">
        <f>IFERROR(__xludf.DUMMYFUNCTION("""COMPUTED_VALUE"""),17.79)</f>
        <v>17.79</v>
      </c>
      <c r="E494" s="320">
        <f>IFERROR(__xludf.DUMMYFUNCTION("""COMPUTED_VALUE"""),0.0)</f>
        <v>0</v>
      </c>
      <c r="F494" s="320">
        <f>IFERROR(__xludf.DUMMYFUNCTION("""COMPUTED_VALUE"""),0.0)</f>
        <v>0</v>
      </c>
      <c r="G494" s="320">
        <f>IFERROR(__xludf.DUMMYFUNCTION("""COMPUTED_VALUE"""),0.0)</f>
        <v>0</v>
      </c>
      <c r="H494" s="106"/>
      <c r="I494" s="320">
        <f>IFERROR(__xludf.DUMMYFUNCTION("""COMPUTED_VALUE"""),5.5)</f>
        <v>5.5</v>
      </c>
      <c r="J494" s="320">
        <f>IFERROR(__xludf.DUMMYFUNCTION("""COMPUTED_VALUE"""),2.21)</f>
        <v>2.21</v>
      </c>
      <c r="K494" s="320">
        <f>IFERROR(__xludf.DUMMYFUNCTION("""COMPUTED_VALUE"""),0.09)</f>
        <v>0.09</v>
      </c>
      <c r="L494" s="320">
        <f>IFERROR(__xludf.DUMMYFUNCTION("""COMPUTED_VALUE"""),0.0388)</f>
        <v>0.0388</v>
      </c>
      <c r="M494" s="320">
        <f>IFERROR(__xludf.DUMMYFUNCTION("""COMPUTED_VALUE"""),0.9702)</f>
        <v>0.9702</v>
      </c>
      <c r="N494" s="320">
        <f>IFERROR(__xludf.DUMMYFUNCTION("""COMPUTED_VALUE"""),0.7251)</f>
        <v>0.7251</v>
      </c>
      <c r="O494" s="320">
        <f>IFERROR(__xludf.DUMMYFUNCTION("""COMPUTED_VALUE"""),25.7986)</f>
        <v>25.7986</v>
      </c>
      <c r="P494" s="320">
        <f>IFERROR(__xludf.DUMMYFUNCTION("""COMPUTED_VALUE"""),32.89)</f>
        <v>32.89</v>
      </c>
      <c r="Q494" s="320">
        <f>IFERROR(__xludf.DUMMYFUNCTION("""COMPUTED_VALUE"""),32.76)</f>
        <v>32.76</v>
      </c>
      <c r="R494" s="320">
        <f>IFERROR(__xludf.DUMMYFUNCTION("""COMPUTED_VALUE"""),0.13)</f>
        <v>0.13</v>
      </c>
      <c r="S494" s="320">
        <f>IFERROR(__xludf.DUMMYFUNCTION("""COMPUTED_VALUE"""),0.0)</f>
        <v>0</v>
      </c>
      <c r="T494" s="320">
        <f>IFERROR(__xludf.DUMMYFUNCTION("""COMPUTED_VALUE"""),32.89)</f>
        <v>32.89</v>
      </c>
      <c r="U494" s="320">
        <f>IFERROR(__xludf.DUMMYFUNCTION("""COMPUTED_VALUE"""),2.07)</f>
        <v>2.07</v>
      </c>
      <c r="V494" s="320">
        <f>IFERROR(__xludf.DUMMYFUNCTION("""COMPUTED_VALUE"""),0.9354)</f>
        <v>0.9354</v>
      </c>
      <c r="W494" s="320">
        <f>IFERROR(__xludf.DUMMYFUNCTION("""COMPUTED_VALUE"""),0.0)</f>
        <v>0</v>
      </c>
      <c r="X494" s="320">
        <f>IFERROR(__xludf.DUMMYFUNCTION("""COMPUTED_VALUE"""),433.0)</f>
        <v>433</v>
      </c>
      <c r="Y494" s="320">
        <f>IFERROR(__xludf.DUMMYFUNCTION("""COMPUTED_VALUE"""),4694.0)</f>
        <v>4694</v>
      </c>
      <c r="Z494" s="320">
        <f>IFERROR(__xludf.DUMMYFUNCTION("""COMPUTED_VALUE"""),16344.0)</f>
        <v>16344</v>
      </c>
      <c r="AA494" s="320">
        <f>IFERROR(__xludf.DUMMYFUNCTION("""COMPUTED_VALUE"""),49.5888)</f>
        <v>49.5888</v>
      </c>
      <c r="AB494" s="320">
        <f>IFERROR(__xludf.DUMMYFUNCTION("""COMPUTED_VALUE"""),0.5557)</f>
        <v>0.5557</v>
      </c>
      <c r="AC494" s="106"/>
      <c r="AD494" s="106"/>
      <c r="AE494" s="106"/>
      <c r="AF494" s="106"/>
      <c r="AG494" s="106"/>
      <c r="AH494" s="320">
        <f>IFERROR(__xludf.DUMMYFUNCTION("""COMPUTED_VALUE"""),0.0)</f>
        <v>0</v>
      </c>
      <c r="AI494" s="320">
        <f>IFERROR(__xludf.DUMMYFUNCTION("""COMPUTED_VALUE"""),0.0)</f>
        <v>0</v>
      </c>
      <c r="AJ494" s="320">
        <f>IFERROR(__xludf.DUMMYFUNCTION("""COMPUTED_VALUE"""),0.0)</f>
        <v>0</v>
      </c>
      <c r="AK494" s="320">
        <f>IFERROR(__xludf.DUMMYFUNCTION("""COMPUTED_VALUE"""),0.2726)</f>
        <v>0.2726</v>
      </c>
      <c r="AL494" s="320">
        <f>IFERROR(__xludf.DUMMYFUNCTION("""COMPUTED_VALUE"""),16.95)</f>
        <v>16.95</v>
      </c>
      <c r="AM494" s="320">
        <f>IFERROR(__xludf.DUMMYFUNCTION("""COMPUTED_VALUE"""),15.8)</f>
        <v>15.8</v>
      </c>
      <c r="AN494" s="331"/>
      <c r="AO494" s="331"/>
    </row>
    <row r="495" ht="15.0" customHeight="1">
      <c r="A495" s="328">
        <f>IFERROR(__xludf.DUMMYFUNCTION("""COMPUTED_VALUE"""),46132.0)</f>
        <v>46132</v>
      </c>
      <c r="B495" s="319" t="str">
        <f>IFERROR(__xludf.DUMMYFUNCTION("""COMPUTED_VALUE"""),"B. 1-9")</f>
        <v>B. 1-9</v>
      </c>
      <c r="C495" s="320">
        <f>IFERROR(__xludf.DUMMYFUNCTION("""COMPUTED_VALUE"""),37581.0)</f>
        <v>37581</v>
      </c>
      <c r="D495" s="320">
        <f>IFERROR(__xludf.DUMMYFUNCTION("""COMPUTED_VALUE"""),35.54)</f>
        <v>35.54</v>
      </c>
      <c r="E495" s="320">
        <f>IFERROR(__xludf.DUMMYFUNCTION("""COMPUTED_VALUE"""),0.0)</f>
        <v>0</v>
      </c>
      <c r="F495" s="320">
        <f>IFERROR(__xludf.DUMMYFUNCTION("""COMPUTED_VALUE"""),0.0)</f>
        <v>0</v>
      </c>
      <c r="G495" s="320">
        <f>IFERROR(__xludf.DUMMYFUNCTION("""COMPUTED_VALUE"""),0.0)</f>
        <v>0</v>
      </c>
      <c r="H495" s="106"/>
      <c r="I495" s="320">
        <f>IFERROR(__xludf.DUMMYFUNCTION("""COMPUTED_VALUE"""),32.13)</f>
        <v>32.13</v>
      </c>
      <c r="J495" s="320">
        <f>IFERROR(__xludf.DUMMYFUNCTION("""COMPUTED_VALUE"""),14.63)</f>
        <v>14.63</v>
      </c>
      <c r="K495" s="320">
        <f>IFERROR(__xludf.DUMMYFUNCTION("""COMPUTED_VALUE"""),5.96)</f>
        <v>5.96</v>
      </c>
      <c r="L495" s="320">
        <f>IFERROR(__xludf.DUMMYFUNCTION("""COMPUTED_VALUE"""),0.4072)</f>
        <v>0.4072</v>
      </c>
      <c r="M495" s="320">
        <f>IFERROR(__xludf.DUMMYFUNCTION("""COMPUTED_VALUE"""),0.7653)</f>
        <v>0.7653</v>
      </c>
      <c r="N495" s="320">
        <f>IFERROR(__xludf.DUMMYFUNCTION("""COMPUTED_VALUE"""),0.5713)</f>
        <v>0.5713</v>
      </c>
      <c r="O495" s="320">
        <f>IFERROR(__xludf.DUMMYFUNCTION("""COMPUTED_VALUE"""),2.4555)</f>
        <v>2.4555</v>
      </c>
      <c r="P495" s="320">
        <f>IFERROR(__xludf.DUMMYFUNCTION("""COMPUTED_VALUE"""),71.12)</f>
        <v>71.12</v>
      </c>
      <c r="Q495" s="320">
        <f>IFERROR(__xludf.DUMMYFUNCTION("""COMPUTED_VALUE"""),59.71)</f>
        <v>59.71</v>
      </c>
      <c r="R495" s="320">
        <f>IFERROR(__xludf.DUMMYFUNCTION("""COMPUTED_VALUE"""),11.41)</f>
        <v>11.41</v>
      </c>
      <c r="S495" s="320">
        <f>IFERROR(__xludf.DUMMYFUNCTION("""COMPUTED_VALUE"""),0.0)</f>
        <v>0</v>
      </c>
      <c r="T495" s="320">
        <f>IFERROR(__xludf.DUMMYFUNCTION("""COMPUTED_VALUE"""),71.12)</f>
        <v>71.12</v>
      </c>
      <c r="U495" s="320">
        <f>IFERROR(__xludf.DUMMYFUNCTION("""COMPUTED_VALUE"""),58.78)</f>
        <v>58.78</v>
      </c>
      <c r="V495" s="320">
        <f>IFERROR(__xludf.DUMMYFUNCTION("""COMPUTED_VALUE"""),4.0182)</f>
        <v>4.0182</v>
      </c>
      <c r="W495" s="320">
        <f>IFERROR(__xludf.DUMMYFUNCTION("""COMPUTED_VALUE"""),0.0)</f>
        <v>0</v>
      </c>
      <c r="X495" s="320">
        <f>IFERROR(__xludf.DUMMYFUNCTION("""COMPUTED_VALUE"""),153.0)</f>
        <v>153</v>
      </c>
      <c r="Y495" s="320">
        <f>IFERROR(__xludf.DUMMYFUNCTION("""COMPUTED_VALUE"""),898.0)</f>
        <v>898</v>
      </c>
      <c r="Z495" s="320">
        <f>IFERROR(__xludf.DUMMYFUNCTION("""COMPUTED_VALUE"""),6268.0)</f>
        <v>6268</v>
      </c>
      <c r="AA495" s="320">
        <f>IFERROR(__xludf.DUMMYFUNCTION("""COMPUTED_VALUE"""),48.7716)</f>
        <v>48.7716</v>
      </c>
      <c r="AB495" s="320">
        <f>IFERROR(__xludf.DUMMYFUNCTION("""COMPUTED_VALUE"""),0.5255)</f>
        <v>0.5255</v>
      </c>
      <c r="AC495" s="320">
        <f>IFERROR(__xludf.DUMMYFUNCTION("""COMPUTED_VALUE"""),4.05)</f>
        <v>4.05</v>
      </c>
      <c r="AD495" s="320">
        <f>IFERROR(__xludf.DUMMYFUNCTION("""COMPUTED_VALUE"""),1.0)</f>
        <v>1</v>
      </c>
      <c r="AE495" s="320">
        <f>IFERROR(__xludf.DUMMYFUNCTION("""COMPUTED_VALUE"""),3.0)</f>
        <v>3</v>
      </c>
      <c r="AF495" s="320">
        <f>IFERROR(__xludf.DUMMYFUNCTION("""COMPUTED_VALUE"""),5.0)</f>
        <v>5</v>
      </c>
      <c r="AG495" s="320">
        <f>IFERROR(__xludf.DUMMYFUNCTION("""COMPUTED_VALUE"""),9.0)</f>
        <v>9</v>
      </c>
      <c r="AH495" s="320">
        <f>IFERROR(__xludf.DUMMYFUNCTION("""COMPUTED_VALUE"""),73.96)</f>
        <v>73.96</v>
      </c>
      <c r="AI495" s="320">
        <f>IFERROR(__xludf.DUMMYFUNCTION("""COMPUTED_VALUE"""),31.23)</f>
        <v>31.23</v>
      </c>
      <c r="AJ495" s="320">
        <f>IFERROR(__xludf.DUMMYFUNCTION("""COMPUTED_VALUE"""),8.51)</f>
        <v>8.51</v>
      </c>
      <c r="AK495" s="320">
        <f>IFERROR(__xludf.DUMMYFUNCTION("""COMPUTED_VALUE"""),0.2355)</f>
        <v>0.2355</v>
      </c>
      <c r="AL495" s="320">
        <f>IFERROR(__xludf.DUMMYFUNCTION("""COMPUTED_VALUE"""),18.35)</f>
        <v>18.35</v>
      </c>
      <c r="AM495" s="320">
        <f>IFERROR(__xludf.DUMMYFUNCTION("""COMPUTED_VALUE"""),41.36)</f>
        <v>41.36</v>
      </c>
      <c r="AN495" s="320">
        <f>IFERROR(__xludf.DUMMYFUNCTION("""COMPUTED_VALUE"""),65.86)</f>
        <v>65.86</v>
      </c>
      <c r="AO495" s="320">
        <f>IFERROR(__xludf.DUMMYFUNCTION("""COMPUTED_VALUE"""),12.09)</f>
        <v>12.09</v>
      </c>
    </row>
    <row r="496" ht="15.0" customHeight="1">
      <c r="A496" s="328">
        <f>IFERROR(__xludf.DUMMYFUNCTION("""COMPUTED_VALUE"""),46132.0)</f>
        <v>46132</v>
      </c>
      <c r="B496" s="319" t="str">
        <f>IFERROR(__xludf.DUMMYFUNCTION("""COMPUTED_VALUE"""),"C. 10-19")</f>
        <v>C. 10-19</v>
      </c>
      <c r="C496" s="320">
        <f>IFERROR(__xludf.DUMMYFUNCTION("""COMPUTED_VALUE"""),27079.0)</f>
        <v>27079</v>
      </c>
      <c r="D496" s="320">
        <f>IFERROR(__xludf.DUMMYFUNCTION("""COMPUTED_VALUE"""),25.61)</f>
        <v>25.61</v>
      </c>
      <c r="E496" s="320">
        <f>IFERROR(__xludf.DUMMYFUNCTION("""COMPUTED_VALUE"""),0.0)</f>
        <v>0</v>
      </c>
      <c r="F496" s="320">
        <f>IFERROR(__xludf.DUMMYFUNCTION("""COMPUTED_VALUE"""),0.0)</f>
        <v>0</v>
      </c>
      <c r="G496" s="320">
        <f>IFERROR(__xludf.DUMMYFUNCTION("""COMPUTED_VALUE"""),0.0)</f>
        <v>0</v>
      </c>
      <c r="H496" s="106"/>
      <c r="I496" s="320">
        <f>IFERROR(__xludf.DUMMYFUNCTION("""COMPUTED_VALUE"""),62.51)</f>
        <v>62.51</v>
      </c>
      <c r="J496" s="320">
        <f>IFERROR(__xludf.DUMMYFUNCTION("""COMPUTED_VALUE"""),29.43)</f>
        <v>29.43</v>
      </c>
      <c r="K496" s="320">
        <f>IFERROR(__xludf.DUMMYFUNCTION("""COMPUTED_VALUE"""),15.38)</f>
        <v>15.38</v>
      </c>
      <c r="L496" s="320">
        <f>IFERROR(__xludf.DUMMYFUNCTION("""COMPUTED_VALUE"""),0.5227)</f>
        <v>0.5227</v>
      </c>
      <c r="M496" s="320">
        <f>IFERROR(__xludf.DUMMYFUNCTION("""COMPUTED_VALUE"""),0.6748)</f>
        <v>0.6748</v>
      </c>
      <c r="N496" s="320">
        <f>IFERROR(__xludf.DUMMYFUNCTION("""COMPUTED_VALUE"""),0.4809)</f>
        <v>0.4809</v>
      </c>
      <c r="O496" s="320">
        <f>IFERROR(__xludf.DUMMYFUNCTION("""COMPUTED_VALUE"""),1.9131)</f>
        <v>1.9131</v>
      </c>
      <c r="P496" s="320">
        <f>IFERROR(__xludf.DUMMYFUNCTION("""COMPUTED_VALUE"""),127.71)</f>
        <v>127.71</v>
      </c>
      <c r="Q496" s="320">
        <f>IFERROR(__xludf.DUMMYFUNCTION("""COMPUTED_VALUE"""),99.59)</f>
        <v>99.59</v>
      </c>
      <c r="R496" s="320">
        <f>IFERROR(__xludf.DUMMYFUNCTION("""COMPUTED_VALUE"""),28.12)</f>
        <v>28.12</v>
      </c>
      <c r="S496" s="320">
        <f>IFERROR(__xludf.DUMMYFUNCTION("""COMPUTED_VALUE"""),0.0)</f>
        <v>0</v>
      </c>
      <c r="T496" s="320">
        <f>IFERROR(__xludf.DUMMYFUNCTION("""COMPUTED_VALUE"""),127.71)</f>
        <v>127.71</v>
      </c>
      <c r="U496" s="320">
        <f>IFERROR(__xludf.DUMMYFUNCTION("""COMPUTED_VALUE"""),114.06)</f>
        <v>114.06</v>
      </c>
      <c r="V496" s="320">
        <f>IFERROR(__xludf.DUMMYFUNCTION("""COMPUTED_VALUE"""),3.8754)</f>
        <v>3.8754</v>
      </c>
      <c r="W496" s="320">
        <f>IFERROR(__xludf.DUMMYFUNCTION("""COMPUTED_VALUE"""),0.0)</f>
        <v>0</v>
      </c>
      <c r="X496" s="320">
        <f>IFERROR(__xludf.DUMMYFUNCTION("""COMPUTED_VALUE"""),133.0)</f>
        <v>133</v>
      </c>
      <c r="Y496" s="320">
        <f>IFERROR(__xludf.DUMMYFUNCTION("""COMPUTED_VALUE"""),695.0)</f>
        <v>695</v>
      </c>
      <c r="Z496" s="320">
        <f>IFERROR(__xludf.DUMMYFUNCTION("""COMPUTED_VALUE"""),5620.0)</f>
        <v>5620</v>
      </c>
      <c r="AA496" s="320">
        <f>IFERROR(__xludf.DUMMYFUNCTION("""COMPUTED_VALUE"""),51.9957)</f>
        <v>51.9957</v>
      </c>
      <c r="AB496" s="320">
        <f>IFERROR(__xludf.DUMMYFUNCTION("""COMPUTED_VALUE"""),0.5791)</f>
        <v>0.5791</v>
      </c>
      <c r="AC496" s="320">
        <f>IFERROR(__xludf.DUMMYFUNCTION("""COMPUTED_VALUE"""),9.74)</f>
        <v>9.74</v>
      </c>
      <c r="AD496" s="320">
        <f>IFERROR(__xludf.DUMMYFUNCTION("""COMPUTED_VALUE"""),4.0)</f>
        <v>4</v>
      </c>
      <c r="AE496" s="320">
        <f>IFERROR(__xludf.DUMMYFUNCTION("""COMPUTED_VALUE"""),8.0)</f>
        <v>8</v>
      </c>
      <c r="AF496" s="320">
        <f>IFERROR(__xludf.DUMMYFUNCTION("""COMPUTED_VALUE"""),13.0)</f>
        <v>13</v>
      </c>
      <c r="AG496" s="320">
        <f>IFERROR(__xludf.DUMMYFUNCTION("""COMPUTED_VALUE"""),21.0)</f>
        <v>21</v>
      </c>
      <c r="AH496" s="320">
        <f>IFERROR(__xludf.DUMMYFUNCTION("""COMPUTED_VALUE"""),61.51)</f>
        <v>61.51</v>
      </c>
      <c r="AI496" s="320">
        <f>IFERROR(__xludf.DUMMYFUNCTION("""COMPUTED_VALUE"""),27.45)</f>
        <v>27.45</v>
      </c>
      <c r="AJ496" s="320">
        <f>IFERROR(__xludf.DUMMYFUNCTION("""COMPUTED_VALUE"""),5.47)</f>
        <v>5.47</v>
      </c>
      <c r="AK496" s="320">
        <f>IFERROR(__xludf.DUMMYFUNCTION("""COMPUTED_VALUE"""),0.1769)</f>
        <v>0.1769</v>
      </c>
      <c r="AL496" s="320">
        <f>IFERROR(__xludf.DUMMYFUNCTION("""COMPUTED_VALUE"""),19.24)</f>
        <v>19.24</v>
      </c>
      <c r="AM496" s="320">
        <f>IFERROR(__xludf.DUMMYFUNCTION("""COMPUTED_VALUE"""),80.35)</f>
        <v>80.35</v>
      </c>
      <c r="AN496" s="320">
        <f>IFERROR(__xludf.DUMMYFUNCTION("""COMPUTED_VALUE"""),72.51)</f>
        <v>72.51</v>
      </c>
      <c r="AO496" s="320">
        <f>IFERROR(__xludf.DUMMYFUNCTION("""COMPUTED_VALUE"""),13.95)</f>
        <v>13.95</v>
      </c>
    </row>
    <row r="497" ht="15.0" customHeight="1">
      <c r="A497" s="328">
        <f>IFERROR(__xludf.DUMMYFUNCTION("""COMPUTED_VALUE"""),46132.0)</f>
        <v>46132</v>
      </c>
      <c r="B497" s="319" t="str">
        <f>IFERROR(__xludf.DUMMYFUNCTION("""COMPUTED_VALUE"""),"D. 20-39")</f>
        <v>D. 20-39</v>
      </c>
      <c r="C497" s="320">
        <f>IFERROR(__xludf.DUMMYFUNCTION("""COMPUTED_VALUE"""),15570.0)</f>
        <v>15570</v>
      </c>
      <c r="D497" s="320">
        <f>IFERROR(__xludf.DUMMYFUNCTION("""COMPUTED_VALUE"""),14.73)</f>
        <v>14.73</v>
      </c>
      <c r="E497" s="320">
        <f>IFERROR(__xludf.DUMMYFUNCTION("""COMPUTED_VALUE"""),0.0)</f>
        <v>0</v>
      </c>
      <c r="F497" s="320">
        <f>IFERROR(__xludf.DUMMYFUNCTION("""COMPUTED_VALUE"""),0.0)</f>
        <v>0</v>
      </c>
      <c r="G497" s="320">
        <f>IFERROR(__xludf.DUMMYFUNCTION("""COMPUTED_VALUE"""),0.0)</f>
        <v>0</v>
      </c>
      <c r="H497" s="106"/>
      <c r="I497" s="320">
        <f>IFERROR(__xludf.DUMMYFUNCTION("""COMPUTED_VALUE"""),92.64)</f>
        <v>92.64</v>
      </c>
      <c r="J497" s="320">
        <f>IFERROR(__xludf.DUMMYFUNCTION("""COMPUTED_VALUE"""),46.18)</f>
        <v>46.18</v>
      </c>
      <c r="K497" s="320">
        <f>IFERROR(__xludf.DUMMYFUNCTION("""COMPUTED_VALUE"""),30.72)</f>
        <v>30.72</v>
      </c>
      <c r="L497" s="320">
        <f>IFERROR(__xludf.DUMMYFUNCTION("""COMPUTED_VALUE"""),0.6652)</f>
        <v>0.6652</v>
      </c>
      <c r="M497" s="320">
        <f>IFERROR(__xludf.DUMMYFUNCTION("""COMPUTED_VALUE"""),0.5369)</f>
        <v>0.5369</v>
      </c>
      <c r="N497" s="320">
        <f>IFERROR(__xludf.DUMMYFUNCTION("""COMPUTED_VALUE"""),0.3779)</f>
        <v>0.3779</v>
      </c>
      <c r="O497" s="320">
        <f>IFERROR(__xludf.DUMMYFUNCTION("""COMPUTED_VALUE"""),1.5033)</f>
        <v>1.5033</v>
      </c>
      <c r="P497" s="320">
        <f>IFERROR(__xludf.DUMMYFUNCTION("""COMPUTED_VALUE"""),215.71)</f>
        <v>215.71</v>
      </c>
      <c r="Q497" s="320">
        <f>IFERROR(__xludf.DUMMYFUNCTION("""COMPUTED_VALUE"""),159.65)</f>
        <v>159.65</v>
      </c>
      <c r="R497" s="320">
        <f>IFERROR(__xludf.DUMMYFUNCTION("""COMPUTED_VALUE"""),56.06)</f>
        <v>56.06</v>
      </c>
      <c r="S497" s="320">
        <f>IFERROR(__xludf.DUMMYFUNCTION("""COMPUTED_VALUE"""),0.06)</f>
        <v>0.06</v>
      </c>
      <c r="T497" s="320">
        <f>IFERROR(__xludf.DUMMYFUNCTION("""COMPUTED_VALUE"""),215.65)</f>
        <v>215.65</v>
      </c>
      <c r="U497" s="320">
        <f>IFERROR(__xludf.DUMMYFUNCTION("""COMPUTED_VALUE"""),202.32)</f>
        <v>202.32</v>
      </c>
      <c r="V497" s="320">
        <f>IFERROR(__xludf.DUMMYFUNCTION("""COMPUTED_VALUE"""),4.3814)</f>
        <v>4.3814</v>
      </c>
      <c r="W497" s="320">
        <f>IFERROR(__xludf.DUMMYFUNCTION("""COMPUTED_VALUE"""),0.03)</f>
        <v>0.03</v>
      </c>
      <c r="X497" s="320">
        <f>IFERROR(__xludf.DUMMYFUNCTION("""COMPUTED_VALUE"""),160.0)</f>
        <v>160</v>
      </c>
      <c r="Y497" s="320">
        <f>IFERROR(__xludf.DUMMYFUNCTION("""COMPUTED_VALUE"""),1053.0)</f>
        <v>1053</v>
      </c>
      <c r="Z497" s="320">
        <f>IFERROR(__xludf.DUMMYFUNCTION("""COMPUTED_VALUE"""),7434.0)</f>
        <v>7434</v>
      </c>
      <c r="AA497" s="320">
        <f>IFERROR(__xludf.DUMMYFUNCTION("""COMPUTED_VALUE"""),55.2912)</f>
        <v>55.2912</v>
      </c>
      <c r="AB497" s="320">
        <f>IFERROR(__xludf.DUMMYFUNCTION("""COMPUTED_VALUE"""),0.6572)</f>
        <v>0.6572</v>
      </c>
      <c r="AC497" s="320">
        <f>IFERROR(__xludf.DUMMYFUNCTION("""COMPUTED_VALUE"""),19.3)</f>
        <v>19.3</v>
      </c>
      <c r="AD497" s="320">
        <f>IFERROR(__xludf.DUMMYFUNCTION("""COMPUTED_VALUE"""),9.0)</f>
        <v>9</v>
      </c>
      <c r="AE497" s="320">
        <f>IFERROR(__xludf.DUMMYFUNCTION("""COMPUTED_VALUE"""),16.0)</f>
        <v>16</v>
      </c>
      <c r="AF497" s="320">
        <f>IFERROR(__xludf.DUMMYFUNCTION("""COMPUTED_VALUE"""),27.0)</f>
        <v>27</v>
      </c>
      <c r="AG497" s="320">
        <f>IFERROR(__xludf.DUMMYFUNCTION("""COMPUTED_VALUE"""),39.0)</f>
        <v>39</v>
      </c>
      <c r="AH497" s="320">
        <f>IFERROR(__xludf.DUMMYFUNCTION("""COMPUTED_VALUE"""),64.81)</f>
        <v>64.81</v>
      </c>
      <c r="AI497" s="320">
        <f>IFERROR(__xludf.DUMMYFUNCTION("""COMPUTED_VALUE"""),27.63)</f>
        <v>27.63</v>
      </c>
      <c r="AJ497" s="320">
        <f>IFERROR(__xludf.DUMMYFUNCTION("""COMPUTED_VALUE"""),6.98)</f>
        <v>6.98</v>
      </c>
      <c r="AK497" s="320">
        <f>IFERROR(__xludf.DUMMYFUNCTION("""COMPUTED_VALUE"""),0.1504)</f>
        <v>0.1504</v>
      </c>
      <c r="AL497" s="320">
        <f>IFERROR(__xludf.DUMMYFUNCTION("""COMPUTED_VALUE"""),20.07)</f>
        <v>20.07</v>
      </c>
      <c r="AM497" s="320">
        <f>IFERROR(__xludf.DUMMYFUNCTION("""COMPUTED_VALUE"""),139.58)</f>
        <v>139.58</v>
      </c>
      <c r="AN497" s="320">
        <f>IFERROR(__xludf.DUMMYFUNCTION("""COMPUTED_VALUE"""),73.44)</f>
        <v>73.44</v>
      </c>
      <c r="AO497" s="320">
        <f>IFERROR(__xludf.DUMMYFUNCTION("""COMPUTED_VALUE"""),14.74)</f>
        <v>14.74</v>
      </c>
    </row>
    <row r="498" ht="15.0" customHeight="1">
      <c r="A498" s="328">
        <f>IFERROR(__xludf.DUMMYFUNCTION("""COMPUTED_VALUE"""),46132.0)</f>
        <v>46132</v>
      </c>
      <c r="B498" s="319" t="str">
        <f>IFERROR(__xludf.DUMMYFUNCTION("""COMPUTED_VALUE"""),"E. 40-99")</f>
        <v>E. 40-99</v>
      </c>
      <c r="C498" s="320">
        <f>IFERROR(__xludf.DUMMYFUNCTION("""COMPUTED_VALUE"""),6098.0)</f>
        <v>6098</v>
      </c>
      <c r="D498" s="320">
        <f>IFERROR(__xludf.DUMMYFUNCTION("""COMPUTED_VALUE"""),5.77)</f>
        <v>5.77</v>
      </c>
      <c r="E498" s="320">
        <f>IFERROR(__xludf.DUMMYFUNCTION("""COMPUTED_VALUE"""),0.0)</f>
        <v>0</v>
      </c>
      <c r="F498" s="320">
        <f>IFERROR(__xludf.DUMMYFUNCTION("""COMPUTED_VALUE"""),0.0)</f>
        <v>0</v>
      </c>
      <c r="G498" s="320">
        <f>IFERROR(__xludf.DUMMYFUNCTION("""COMPUTED_VALUE"""),0.0)</f>
        <v>0</v>
      </c>
      <c r="H498" s="106"/>
      <c r="I498" s="320">
        <f>IFERROR(__xludf.DUMMYFUNCTION("""COMPUTED_VALUE"""),144.74)</f>
        <v>144.74</v>
      </c>
      <c r="J498" s="320">
        <f>IFERROR(__xludf.DUMMYFUNCTION("""COMPUTED_VALUE"""),76.82)</f>
        <v>76.82</v>
      </c>
      <c r="K498" s="320">
        <f>IFERROR(__xludf.DUMMYFUNCTION("""COMPUTED_VALUE"""),60.73)</f>
        <v>60.73</v>
      </c>
      <c r="L498" s="320">
        <f>IFERROR(__xludf.DUMMYFUNCTION("""COMPUTED_VALUE"""),0.7905)</f>
        <v>0.7905</v>
      </c>
      <c r="M498" s="320">
        <f>IFERROR(__xludf.DUMMYFUNCTION("""COMPUTED_VALUE"""),0.4027)</f>
        <v>0.4027</v>
      </c>
      <c r="N498" s="320">
        <f>IFERROR(__xludf.DUMMYFUNCTION("""COMPUTED_VALUE"""),0.2955)</f>
        <v>0.2955</v>
      </c>
      <c r="O498" s="320">
        <f>IFERROR(__xludf.DUMMYFUNCTION("""COMPUTED_VALUE"""),1.265)</f>
        <v>1.265</v>
      </c>
      <c r="P498" s="320">
        <f>IFERROR(__xludf.DUMMYFUNCTION("""COMPUTED_VALUE"""),367.15)</f>
        <v>367.15</v>
      </c>
      <c r="Q498" s="320">
        <f>IFERROR(__xludf.DUMMYFUNCTION("""COMPUTED_VALUE"""),257.19)</f>
        <v>257.19</v>
      </c>
      <c r="R498" s="320">
        <f>IFERROR(__xludf.DUMMYFUNCTION("""COMPUTED_VALUE"""),109.95)</f>
        <v>109.95</v>
      </c>
      <c r="S498" s="320">
        <f>IFERROR(__xludf.DUMMYFUNCTION("""COMPUTED_VALUE"""),0.0)</f>
        <v>0</v>
      </c>
      <c r="T498" s="320">
        <f>IFERROR(__xludf.DUMMYFUNCTION("""COMPUTED_VALUE"""),367.15)</f>
        <v>367.15</v>
      </c>
      <c r="U498" s="320">
        <f>IFERROR(__xludf.DUMMYFUNCTION("""COMPUTED_VALUE"""),374.2)</f>
        <v>374.2</v>
      </c>
      <c r="V498" s="320">
        <f>IFERROR(__xludf.DUMMYFUNCTION("""COMPUTED_VALUE"""),4.8709)</f>
        <v>4.8709</v>
      </c>
      <c r="W498" s="320">
        <f>IFERROR(__xludf.DUMMYFUNCTION("""COMPUTED_VALUE"""),0.0)</f>
        <v>0</v>
      </c>
      <c r="X498" s="320">
        <f>IFERROR(__xludf.DUMMYFUNCTION("""COMPUTED_VALUE"""),307.0)</f>
        <v>307</v>
      </c>
      <c r="Y498" s="320">
        <f>IFERROR(__xludf.DUMMYFUNCTION("""COMPUTED_VALUE"""),2665.0)</f>
        <v>2665</v>
      </c>
      <c r="Z498" s="320">
        <f>IFERROR(__xludf.DUMMYFUNCTION("""COMPUTED_VALUE"""),11545.0)</f>
        <v>11545</v>
      </c>
      <c r="AA498" s="320">
        <f>IFERROR(__xludf.DUMMYFUNCTION("""COMPUTED_VALUE"""),59.047)</f>
        <v>59.047</v>
      </c>
      <c r="AB498" s="320">
        <f>IFERROR(__xludf.DUMMYFUNCTION("""COMPUTED_VALUE"""),0.7413)</f>
        <v>0.7413</v>
      </c>
      <c r="AC498" s="320">
        <f>IFERROR(__xludf.DUMMYFUNCTION("""COMPUTED_VALUE"""),38.41)</f>
        <v>38.41</v>
      </c>
      <c r="AD498" s="320">
        <f>IFERROR(__xludf.DUMMYFUNCTION("""COMPUTED_VALUE"""),17.0)</f>
        <v>17</v>
      </c>
      <c r="AE498" s="320">
        <f>IFERROR(__xludf.DUMMYFUNCTION("""COMPUTED_VALUE"""),32.0)</f>
        <v>32</v>
      </c>
      <c r="AF498" s="320">
        <f>IFERROR(__xludf.DUMMYFUNCTION("""COMPUTED_VALUE"""),51.0)</f>
        <v>51</v>
      </c>
      <c r="AG498" s="320">
        <f>IFERROR(__xludf.DUMMYFUNCTION("""COMPUTED_VALUE"""),78.0)</f>
        <v>78</v>
      </c>
      <c r="AH498" s="320">
        <f>IFERROR(__xludf.DUMMYFUNCTION("""COMPUTED_VALUE"""),56.89)</f>
        <v>56.89</v>
      </c>
      <c r="AI498" s="320">
        <f>IFERROR(__xludf.DUMMYFUNCTION("""COMPUTED_VALUE"""),19.73)</f>
        <v>19.73</v>
      </c>
      <c r="AJ498" s="320">
        <f>IFERROR(__xludf.DUMMYFUNCTION("""COMPUTED_VALUE"""),4.44)</f>
        <v>4.44</v>
      </c>
      <c r="AK498" s="320">
        <f>IFERROR(__xludf.DUMMYFUNCTION("""COMPUTED_VALUE"""),0.1113)</f>
        <v>0.1113</v>
      </c>
      <c r="AL498" s="320">
        <f>IFERROR(__xludf.DUMMYFUNCTION("""COMPUTED_VALUE"""),20.58)</f>
        <v>20.58</v>
      </c>
      <c r="AM498" s="320">
        <f>IFERROR(__xludf.DUMMYFUNCTION("""COMPUTED_VALUE"""),236.62)</f>
        <v>236.62</v>
      </c>
      <c r="AN498" s="320">
        <f>IFERROR(__xludf.DUMMYFUNCTION("""COMPUTED_VALUE"""),76.18)</f>
        <v>76.18</v>
      </c>
      <c r="AO498" s="320">
        <f>IFERROR(__xludf.DUMMYFUNCTION("""COMPUTED_VALUE"""),15.68)</f>
        <v>15.68</v>
      </c>
    </row>
    <row r="499" ht="15.0" customHeight="1">
      <c r="A499" s="328">
        <f>IFERROR(__xludf.DUMMYFUNCTION("""COMPUTED_VALUE"""),46132.0)</f>
        <v>46132</v>
      </c>
      <c r="B499" s="319" t="str">
        <f>IFERROR(__xludf.DUMMYFUNCTION("""COMPUTED_VALUE"""),"F. 100+")</f>
        <v>F. 100+</v>
      </c>
      <c r="C499" s="320">
        <f>IFERROR(__xludf.DUMMYFUNCTION("""COMPUTED_VALUE"""),595.0)</f>
        <v>595</v>
      </c>
      <c r="D499" s="320">
        <f>IFERROR(__xludf.DUMMYFUNCTION("""COMPUTED_VALUE"""),0.56)</f>
        <v>0.56</v>
      </c>
      <c r="E499" s="320">
        <f>IFERROR(__xludf.DUMMYFUNCTION("""COMPUTED_VALUE"""),0.0)</f>
        <v>0</v>
      </c>
      <c r="F499" s="320">
        <f>IFERROR(__xludf.DUMMYFUNCTION("""COMPUTED_VALUE"""),0.0)</f>
        <v>0</v>
      </c>
      <c r="G499" s="320">
        <f>IFERROR(__xludf.DUMMYFUNCTION("""COMPUTED_VALUE"""),0.0)</f>
        <v>0</v>
      </c>
      <c r="H499" s="106"/>
      <c r="I499" s="320">
        <f>IFERROR(__xludf.DUMMYFUNCTION("""COMPUTED_VALUE"""),266.7)</f>
        <v>266.7</v>
      </c>
      <c r="J499" s="320">
        <f>IFERROR(__xludf.DUMMYFUNCTION("""COMPUTED_VALUE"""),154.98)</f>
        <v>154.98</v>
      </c>
      <c r="K499" s="320">
        <f>IFERROR(__xludf.DUMMYFUNCTION("""COMPUTED_VALUE"""),135.68)</f>
        <v>135.68</v>
      </c>
      <c r="L499" s="320">
        <f>IFERROR(__xludf.DUMMYFUNCTION("""COMPUTED_VALUE"""),0.8755)</f>
        <v>0.8755</v>
      </c>
      <c r="M499" s="320">
        <f>IFERROR(__xludf.DUMMYFUNCTION("""COMPUTED_VALUE"""),0.2803)</f>
        <v>0.2803</v>
      </c>
      <c r="N499" s="320">
        <f>IFERROR(__xludf.DUMMYFUNCTION("""COMPUTED_VALUE"""),0.2126)</f>
        <v>0.2126</v>
      </c>
      <c r="O499" s="320">
        <f>IFERROR(__xludf.DUMMYFUNCTION("""COMPUTED_VALUE"""),1.1423)</f>
        <v>1.1423</v>
      </c>
      <c r="P499" s="320">
        <f>IFERROR(__xludf.DUMMYFUNCTION("""COMPUTED_VALUE"""),681.47)</f>
        <v>681.47</v>
      </c>
      <c r="Q499" s="320">
        <f>IFERROR(__xludf.DUMMYFUNCTION("""COMPUTED_VALUE"""),408.08)</f>
        <v>408.08</v>
      </c>
      <c r="R499" s="320">
        <f>IFERROR(__xludf.DUMMYFUNCTION("""COMPUTED_VALUE"""),273.39)</f>
        <v>273.39</v>
      </c>
      <c r="S499" s="320">
        <f>IFERROR(__xludf.DUMMYFUNCTION("""COMPUTED_VALUE"""),0.0)</f>
        <v>0</v>
      </c>
      <c r="T499" s="320">
        <f>IFERROR(__xludf.DUMMYFUNCTION("""COMPUTED_VALUE"""),681.47)</f>
        <v>681.47</v>
      </c>
      <c r="U499" s="320">
        <f>IFERROR(__xludf.DUMMYFUNCTION("""COMPUTED_VALUE"""),684.79)</f>
        <v>684.79</v>
      </c>
      <c r="V499" s="320">
        <f>IFERROR(__xludf.DUMMYFUNCTION("""COMPUTED_VALUE"""),4.4185)</f>
        <v>4.4185</v>
      </c>
      <c r="W499" s="320">
        <f>IFERROR(__xludf.DUMMYFUNCTION("""COMPUTED_VALUE"""),0.0)</f>
        <v>0</v>
      </c>
      <c r="X499" s="320">
        <f>IFERROR(__xludf.DUMMYFUNCTION("""COMPUTED_VALUE"""),636.0)</f>
        <v>636</v>
      </c>
      <c r="Y499" s="320">
        <f>IFERROR(__xludf.DUMMYFUNCTION("""COMPUTED_VALUE"""),4050.0)</f>
        <v>4050</v>
      </c>
      <c r="Z499" s="320">
        <f>IFERROR(__xludf.DUMMYFUNCTION("""COMPUTED_VALUE"""),12014.0)</f>
        <v>12014</v>
      </c>
      <c r="AA499" s="320">
        <f>IFERROR(__xludf.DUMMYFUNCTION("""COMPUTED_VALUE"""),63.4227)</f>
        <v>63.4227</v>
      </c>
      <c r="AB499" s="320">
        <f>IFERROR(__xludf.DUMMYFUNCTION("""COMPUTED_VALUE"""),0.8799)</f>
        <v>0.8799</v>
      </c>
      <c r="AC499" s="320">
        <f>IFERROR(__xludf.DUMMYFUNCTION("""COMPUTED_VALUE"""),92.93)</f>
        <v>92.93</v>
      </c>
      <c r="AD499" s="320">
        <f>IFERROR(__xludf.DUMMYFUNCTION("""COMPUTED_VALUE"""),35.0)</f>
        <v>35</v>
      </c>
      <c r="AE499" s="320">
        <f>IFERROR(__xludf.DUMMYFUNCTION("""COMPUTED_VALUE"""),82.0)</f>
        <v>82</v>
      </c>
      <c r="AF499" s="320">
        <f>IFERROR(__xludf.DUMMYFUNCTION("""COMPUTED_VALUE"""),130.0)</f>
        <v>130</v>
      </c>
      <c r="AG499" s="320">
        <f>IFERROR(__xludf.DUMMYFUNCTION("""COMPUTED_VALUE"""),190.0)</f>
        <v>190</v>
      </c>
      <c r="AH499" s="320">
        <f>IFERROR(__xludf.DUMMYFUNCTION("""COMPUTED_VALUE"""),50.92)</f>
        <v>50.92</v>
      </c>
      <c r="AI499" s="320">
        <f>IFERROR(__xludf.DUMMYFUNCTION("""COMPUTED_VALUE"""),13.45)</f>
        <v>13.45</v>
      </c>
      <c r="AJ499" s="320">
        <f>IFERROR(__xludf.DUMMYFUNCTION("""COMPUTED_VALUE"""),0.84)</f>
        <v>0.84</v>
      </c>
      <c r="AK499" s="320">
        <f>IFERROR(__xludf.DUMMYFUNCTION("""COMPUTED_VALUE"""),0.0555)</f>
        <v>0.0555</v>
      </c>
      <c r="AL499" s="320">
        <f>IFERROR(__xludf.DUMMYFUNCTION("""COMPUTED_VALUE"""),22.23)</f>
        <v>22.23</v>
      </c>
      <c r="AM499" s="320">
        <f>IFERROR(__xludf.DUMMYFUNCTION("""COMPUTED_VALUE"""),385.85)</f>
        <v>385.85</v>
      </c>
      <c r="AN499" s="320">
        <f>IFERROR(__xludf.DUMMYFUNCTION("""COMPUTED_VALUE"""),86.17)</f>
        <v>86.17</v>
      </c>
      <c r="AO499" s="320">
        <f>IFERROR(__xludf.DUMMYFUNCTION("""COMPUTED_VALUE"""),19.16)</f>
        <v>19.16</v>
      </c>
    </row>
    <row r="500" ht="15.0" customHeight="1">
      <c r="A500" s="328">
        <f>IFERROR(__xludf.DUMMYFUNCTION("""COMPUTED_VALUE"""),46133.0)</f>
        <v>46133</v>
      </c>
      <c r="B500" s="319" t="str">
        <f>IFERROR(__xludf.DUMMYFUNCTION("""COMPUTED_VALUE"""),"A. 0")</f>
        <v>A. 0</v>
      </c>
      <c r="C500" s="320">
        <f>IFERROR(__xludf.DUMMYFUNCTION("""COMPUTED_VALUE"""),19511.0)</f>
        <v>19511</v>
      </c>
      <c r="D500" s="320">
        <f>IFERROR(__xludf.DUMMYFUNCTION("""COMPUTED_VALUE"""),18.5)</f>
        <v>18.5</v>
      </c>
      <c r="E500" s="320">
        <f>IFERROR(__xludf.DUMMYFUNCTION("""COMPUTED_VALUE"""),0.0)</f>
        <v>0</v>
      </c>
      <c r="F500" s="320">
        <f>IFERROR(__xludf.DUMMYFUNCTION("""COMPUTED_VALUE"""),0.0)</f>
        <v>0</v>
      </c>
      <c r="G500" s="320">
        <f>IFERROR(__xludf.DUMMYFUNCTION("""COMPUTED_VALUE"""),0.0)</f>
        <v>0</v>
      </c>
      <c r="H500" s="106"/>
      <c r="I500" s="320">
        <f>IFERROR(__xludf.DUMMYFUNCTION("""COMPUTED_VALUE"""),6.03)</f>
        <v>6.03</v>
      </c>
      <c r="J500" s="320">
        <f>IFERROR(__xludf.DUMMYFUNCTION("""COMPUTED_VALUE"""),2.44)</f>
        <v>2.44</v>
      </c>
      <c r="K500" s="320">
        <f>IFERROR(__xludf.DUMMYFUNCTION("""COMPUTED_VALUE"""),0.06)</f>
        <v>0.06</v>
      </c>
      <c r="L500" s="320">
        <f>IFERROR(__xludf.DUMMYFUNCTION("""COMPUTED_VALUE"""),0.0229)</f>
        <v>0.0229</v>
      </c>
      <c r="M500" s="320">
        <f>IFERROR(__xludf.DUMMYFUNCTION("""COMPUTED_VALUE"""),0.9824)</f>
        <v>0.9824</v>
      </c>
      <c r="N500" s="320">
        <f>IFERROR(__xludf.DUMMYFUNCTION("""COMPUTED_VALUE"""),0.7989)</f>
        <v>0.7989</v>
      </c>
      <c r="O500" s="320">
        <f>IFERROR(__xludf.DUMMYFUNCTION("""COMPUTED_VALUE"""),43.7601)</f>
        <v>43.7601</v>
      </c>
      <c r="P500" s="320">
        <f>IFERROR(__xludf.DUMMYFUNCTION("""COMPUTED_VALUE"""),24.83)</f>
        <v>24.83</v>
      </c>
      <c r="Q500" s="320">
        <f>IFERROR(__xludf.DUMMYFUNCTION("""COMPUTED_VALUE"""),24.73)</f>
        <v>24.73</v>
      </c>
      <c r="R500" s="320">
        <f>IFERROR(__xludf.DUMMYFUNCTION("""COMPUTED_VALUE"""),0.1)</f>
        <v>0.1</v>
      </c>
      <c r="S500" s="320">
        <f>IFERROR(__xludf.DUMMYFUNCTION("""COMPUTED_VALUE"""),0.0)</f>
        <v>0</v>
      </c>
      <c r="T500" s="320">
        <f>IFERROR(__xludf.DUMMYFUNCTION("""COMPUTED_VALUE"""),24.83)</f>
        <v>24.83</v>
      </c>
      <c r="U500" s="320">
        <f>IFERROR(__xludf.DUMMYFUNCTION("""COMPUTED_VALUE"""),2.07)</f>
        <v>2.07</v>
      </c>
      <c r="V500" s="320">
        <f>IFERROR(__xludf.DUMMYFUNCTION("""COMPUTED_VALUE"""),0.8496)</f>
        <v>0.8496</v>
      </c>
      <c r="W500" s="320">
        <f>IFERROR(__xludf.DUMMYFUNCTION("""COMPUTED_VALUE"""),0.01)</f>
        <v>0.01</v>
      </c>
      <c r="X500" s="320">
        <f>IFERROR(__xludf.DUMMYFUNCTION("""COMPUTED_VALUE"""),362.0)</f>
        <v>362</v>
      </c>
      <c r="Y500" s="320">
        <f>IFERROR(__xludf.DUMMYFUNCTION("""COMPUTED_VALUE"""),4264.0)</f>
        <v>4264</v>
      </c>
      <c r="Z500" s="320">
        <f>IFERROR(__xludf.DUMMYFUNCTION("""COMPUTED_VALUE"""),15946.0)</f>
        <v>15946</v>
      </c>
      <c r="AA500" s="320">
        <f>IFERROR(__xludf.DUMMYFUNCTION("""COMPUTED_VALUE"""),49.0281)</f>
        <v>49.0281</v>
      </c>
      <c r="AB500" s="320">
        <f>IFERROR(__xludf.DUMMYFUNCTION("""COMPUTED_VALUE"""),0.5413)</f>
        <v>0.5413</v>
      </c>
      <c r="AC500" s="106"/>
      <c r="AD500" s="106"/>
      <c r="AE500" s="106"/>
      <c r="AF500" s="106"/>
      <c r="AG500" s="106"/>
      <c r="AH500" s="320">
        <f>IFERROR(__xludf.DUMMYFUNCTION("""COMPUTED_VALUE"""),0.0)</f>
        <v>0</v>
      </c>
      <c r="AI500" s="320">
        <f>IFERROR(__xludf.DUMMYFUNCTION("""COMPUTED_VALUE"""),0.0)</f>
        <v>0</v>
      </c>
      <c r="AJ500" s="320">
        <f>IFERROR(__xludf.DUMMYFUNCTION("""COMPUTED_VALUE"""),0.0)</f>
        <v>0</v>
      </c>
      <c r="AK500" s="320">
        <f>IFERROR(__xludf.DUMMYFUNCTION("""COMPUTED_VALUE"""),0.2662)</f>
        <v>0.2662</v>
      </c>
      <c r="AL500" s="320">
        <f>IFERROR(__xludf.DUMMYFUNCTION("""COMPUTED_VALUE"""),15.72)</f>
        <v>15.72</v>
      </c>
      <c r="AM500" s="320">
        <f>IFERROR(__xludf.DUMMYFUNCTION("""COMPUTED_VALUE"""),9.01)</f>
        <v>9.01</v>
      </c>
      <c r="AN500" s="331"/>
      <c r="AO500" s="331"/>
    </row>
    <row r="501" ht="15.0" customHeight="1">
      <c r="A501" s="328">
        <f>IFERROR(__xludf.DUMMYFUNCTION("""COMPUTED_VALUE"""),46133.0)</f>
        <v>46133</v>
      </c>
      <c r="B501" s="319" t="str">
        <f>IFERROR(__xludf.DUMMYFUNCTION("""COMPUTED_VALUE"""),"B. 1-9")</f>
        <v>B. 1-9</v>
      </c>
      <c r="C501" s="320">
        <f>IFERROR(__xludf.DUMMYFUNCTION("""COMPUTED_VALUE"""),37367.0)</f>
        <v>37367</v>
      </c>
      <c r="D501" s="320">
        <f>IFERROR(__xludf.DUMMYFUNCTION("""COMPUTED_VALUE"""),35.43)</f>
        <v>35.43</v>
      </c>
      <c r="E501" s="320">
        <f>IFERROR(__xludf.DUMMYFUNCTION("""COMPUTED_VALUE"""),0.0)</f>
        <v>0</v>
      </c>
      <c r="F501" s="320">
        <f>IFERROR(__xludf.DUMMYFUNCTION("""COMPUTED_VALUE"""),0.0)</f>
        <v>0</v>
      </c>
      <c r="G501" s="320">
        <f>IFERROR(__xludf.DUMMYFUNCTION("""COMPUTED_VALUE"""),0.0)</f>
        <v>0</v>
      </c>
      <c r="H501" s="106"/>
      <c r="I501" s="320">
        <f>IFERROR(__xludf.DUMMYFUNCTION("""COMPUTED_VALUE"""),28.15)</f>
        <v>28.15</v>
      </c>
      <c r="J501" s="320">
        <f>IFERROR(__xludf.DUMMYFUNCTION("""COMPUTED_VALUE"""),12.67)</f>
        <v>12.67</v>
      </c>
      <c r="K501" s="320">
        <f>IFERROR(__xludf.DUMMYFUNCTION("""COMPUTED_VALUE"""),5.49)</f>
        <v>5.49</v>
      </c>
      <c r="L501" s="320">
        <f>IFERROR(__xludf.DUMMYFUNCTION("""COMPUTED_VALUE"""),0.433)</f>
        <v>0.433</v>
      </c>
      <c r="M501" s="320">
        <f>IFERROR(__xludf.DUMMYFUNCTION("""COMPUTED_VALUE"""),0.7469)</f>
        <v>0.7469</v>
      </c>
      <c r="N501" s="320">
        <f>IFERROR(__xludf.DUMMYFUNCTION("""COMPUTED_VALUE"""),0.562)</f>
        <v>0.562</v>
      </c>
      <c r="O501" s="320">
        <f>IFERROR(__xludf.DUMMYFUNCTION("""COMPUTED_VALUE"""),2.3096)</f>
        <v>2.3096</v>
      </c>
      <c r="P501" s="320">
        <f>IFERROR(__xludf.DUMMYFUNCTION("""COMPUTED_VALUE"""),51.08)</f>
        <v>51.08</v>
      </c>
      <c r="Q501" s="320">
        <f>IFERROR(__xludf.DUMMYFUNCTION("""COMPUTED_VALUE"""),40.24)</f>
        <v>40.24</v>
      </c>
      <c r="R501" s="320">
        <f>IFERROR(__xludf.DUMMYFUNCTION("""COMPUTED_VALUE"""),10.83)</f>
        <v>10.83</v>
      </c>
      <c r="S501" s="320">
        <f>IFERROR(__xludf.DUMMYFUNCTION("""COMPUTED_VALUE"""),0.0)</f>
        <v>0</v>
      </c>
      <c r="T501" s="320">
        <f>IFERROR(__xludf.DUMMYFUNCTION("""COMPUTED_VALUE"""),51.08)</f>
        <v>51.08</v>
      </c>
      <c r="U501" s="320">
        <f>IFERROR(__xludf.DUMMYFUNCTION("""COMPUTED_VALUE"""),52.54)</f>
        <v>52.54</v>
      </c>
      <c r="V501" s="320">
        <f>IFERROR(__xludf.DUMMYFUNCTION("""COMPUTED_VALUE"""),4.1472)</f>
        <v>4.1472</v>
      </c>
      <c r="W501" s="320">
        <f>IFERROR(__xludf.DUMMYFUNCTION("""COMPUTED_VALUE"""),0.0)</f>
        <v>0</v>
      </c>
      <c r="X501" s="320">
        <f>IFERROR(__xludf.DUMMYFUNCTION("""COMPUTED_VALUE"""),145.0)</f>
        <v>145</v>
      </c>
      <c r="Y501" s="320">
        <f>IFERROR(__xludf.DUMMYFUNCTION("""COMPUTED_VALUE"""),881.0)</f>
        <v>881</v>
      </c>
      <c r="Z501" s="320">
        <f>IFERROR(__xludf.DUMMYFUNCTION("""COMPUTED_VALUE"""),6101.0)</f>
        <v>6101</v>
      </c>
      <c r="AA501" s="320">
        <f>IFERROR(__xludf.DUMMYFUNCTION("""COMPUTED_VALUE"""),48.9097)</f>
        <v>48.9097</v>
      </c>
      <c r="AB501" s="320">
        <f>IFERROR(__xludf.DUMMYFUNCTION("""COMPUTED_VALUE"""),0.5308)</f>
        <v>0.5308</v>
      </c>
      <c r="AC501" s="320">
        <f>IFERROR(__xludf.DUMMYFUNCTION("""COMPUTED_VALUE"""),4.01)</f>
        <v>4.01</v>
      </c>
      <c r="AD501" s="320">
        <f>IFERROR(__xludf.DUMMYFUNCTION("""COMPUTED_VALUE"""),1.0)</f>
        <v>1</v>
      </c>
      <c r="AE501" s="320">
        <f>IFERROR(__xludf.DUMMYFUNCTION("""COMPUTED_VALUE"""),3.0)</f>
        <v>3</v>
      </c>
      <c r="AF501" s="320">
        <f>IFERROR(__xludf.DUMMYFUNCTION("""COMPUTED_VALUE"""),5.0)</f>
        <v>5</v>
      </c>
      <c r="AG501" s="320">
        <f>IFERROR(__xludf.DUMMYFUNCTION("""COMPUTED_VALUE"""),9.0)</f>
        <v>9</v>
      </c>
      <c r="AH501" s="320">
        <f>IFERROR(__xludf.DUMMYFUNCTION("""COMPUTED_VALUE"""),72.97)</f>
        <v>72.97</v>
      </c>
      <c r="AI501" s="320">
        <f>IFERROR(__xludf.DUMMYFUNCTION("""COMPUTED_VALUE"""),30.26)</f>
        <v>30.26</v>
      </c>
      <c r="AJ501" s="320">
        <f>IFERROR(__xludf.DUMMYFUNCTION("""COMPUTED_VALUE"""),8.95)</f>
        <v>8.95</v>
      </c>
      <c r="AK501" s="320">
        <f>IFERROR(__xludf.DUMMYFUNCTION("""COMPUTED_VALUE"""),0.2365)</f>
        <v>0.2365</v>
      </c>
      <c r="AL501" s="320">
        <f>IFERROR(__xludf.DUMMYFUNCTION("""COMPUTED_VALUE"""),17.92)</f>
        <v>17.92</v>
      </c>
      <c r="AM501" s="320">
        <f>IFERROR(__xludf.DUMMYFUNCTION("""COMPUTED_VALUE"""),22.33)</f>
        <v>22.33</v>
      </c>
      <c r="AN501" s="320">
        <f>IFERROR(__xludf.DUMMYFUNCTION("""COMPUTED_VALUE"""),65.61)</f>
        <v>65.61</v>
      </c>
      <c r="AO501" s="320">
        <f>IFERROR(__xludf.DUMMYFUNCTION("""COMPUTED_VALUE"""),11.76)</f>
        <v>11.76</v>
      </c>
    </row>
    <row r="502" ht="15.0" customHeight="1">
      <c r="A502" s="328">
        <f>IFERROR(__xludf.DUMMYFUNCTION("""COMPUTED_VALUE"""),46133.0)</f>
        <v>46133</v>
      </c>
      <c r="B502" s="319" t="str">
        <f>IFERROR(__xludf.DUMMYFUNCTION("""COMPUTED_VALUE"""),"C. 10-19")</f>
        <v>C. 10-19</v>
      </c>
      <c r="C502" s="320">
        <f>IFERROR(__xludf.DUMMYFUNCTION("""COMPUTED_VALUE"""),27142.0)</f>
        <v>27142</v>
      </c>
      <c r="D502" s="320">
        <f>IFERROR(__xludf.DUMMYFUNCTION("""COMPUTED_VALUE"""),25.73)</f>
        <v>25.73</v>
      </c>
      <c r="E502" s="320">
        <f>IFERROR(__xludf.DUMMYFUNCTION("""COMPUTED_VALUE"""),0.0)</f>
        <v>0</v>
      </c>
      <c r="F502" s="320">
        <f>IFERROR(__xludf.DUMMYFUNCTION("""COMPUTED_VALUE"""),0.0)</f>
        <v>0</v>
      </c>
      <c r="G502" s="320">
        <f>IFERROR(__xludf.DUMMYFUNCTION("""COMPUTED_VALUE"""),0.0)</f>
        <v>0</v>
      </c>
      <c r="H502" s="106"/>
      <c r="I502" s="320">
        <f>IFERROR(__xludf.DUMMYFUNCTION("""COMPUTED_VALUE"""),55.74)</f>
        <v>55.74</v>
      </c>
      <c r="J502" s="320">
        <f>IFERROR(__xludf.DUMMYFUNCTION("""COMPUTED_VALUE"""),26.06)</f>
        <v>26.06</v>
      </c>
      <c r="K502" s="320">
        <f>IFERROR(__xludf.DUMMYFUNCTION("""COMPUTED_VALUE"""),14.49)</f>
        <v>14.49</v>
      </c>
      <c r="L502" s="320">
        <f>IFERROR(__xludf.DUMMYFUNCTION("""COMPUTED_VALUE"""),0.5563)</f>
        <v>0.5563</v>
      </c>
      <c r="M502" s="320">
        <f>IFERROR(__xludf.DUMMYFUNCTION("""COMPUTED_VALUE"""),0.647)</f>
        <v>0.647</v>
      </c>
      <c r="N502" s="320">
        <f>IFERROR(__xludf.DUMMYFUNCTION("""COMPUTED_VALUE"""),0.4603)</f>
        <v>0.4603</v>
      </c>
      <c r="O502" s="320">
        <f>IFERROR(__xludf.DUMMYFUNCTION("""COMPUTED_VALUE"""),1.7977)</f>
        <v>1.7977</v>
      </c>
      <c r="P502" s="320">
        <f>IFERROR(__xludf.DUMMYFUNCTION("""COMPUTED_VALUE"""),99.16)</f>
        <v>99.16</v>
      </c>
      <c r="Q502" s="320">
        <f>IFERROR(__xludf.DUMMYFUNCTION("""COMPUTED_VALUE"""),71.81)</f>
        <v>71.81</v>
      </c>
      <c r="R502" s="320">
        <f>IFERROR(__xludf.DUMMYFUNCTION("""COMPUTED_VALUE"""),27.35)</f>
        <v>27.35</v>
      </c>
      <c r="S502" s="320">
        <f>IFERROR(__xludf.DUMMYFUNCTION("""COMPUTED_VALUE"""),0.0)</f>
        <v>0</v>
      </c>
      <c r="T502" s="320">
        <f>IFERROR(__xludf.DUMMYFUNCTION("""COMPUTED_VALUE"""),99.16)</f>
        <v>99.16</v>
      </c>
      <c r="U502" s="320">
        <f>IFERROR(__xludf.DUMMYFUNCTION("""COMPUTED_VALUE"""),103.55)</f>
        <v>103.55</v>
      </c>
      <c r="V502" s="320">
        <f>IFERROR(__xludf.DUMMYFUNCTION("""COMPUTED_VALUE"""),3.9739)</f>
        <v>3.9739</v>
      </c>
      <c r="W502" s="320">
        <f>IFERROR(__xludf.DUMMYFUNCTION("""COMPUTED_VALUE"""),0.0)</f>
        <v>0</v>
      </c>
      <c r="X502" s="320">
        <f>IFERROR(__xludf.DUMMYFUNCTION("""COMPUTED_VALUE"""),134.0)</f>
        <v>134</v>
      </c>
      <c r="Y502" s="320">
        <f>IFERROR(__xludf.DUMMYFUNCTION("""COMPUTED_VALUE"""),738.0)</f>
        <v>738</v>
      </c>
      <c r="Z502" s="320">
        <f>IFERROR(__xludf.DUMMYFUNCTION("""COMPUTED_VALUE"""),5813.0)</f>
        <v>5813</v>
      </c>
      <c r="AA502" s="320">
        <f>IFERROR(__xludf.DUMMYFUNCTION("""COMPUTED_VALUE"""),52.2292)</f>
        <v>52.2292</v>
      </c>
      <c r="AB502" s="320">
        <f>IFERROR(__xludf.DUMMYFUNCTION("""COMPUTED_VALUE"""),0.589)</f>
        <v>0.589</v>
      </c>
      <c r="AC502" s="320">
        <f>IFERROR(__xludf.DUMMYFUNCTION("""COMPUTED_VALUE"""),9.46)</f>
        <v>9.46</v>
      </c>
      <c r="AD502" s="320">
        <f>IFERROR(__xludf.DUMMYFUNCTION("""COMPUTED_VALUE"""),4.0)</f>
        <v>4</v>
      </c>
      <c r="AE502" s="320">
        <f>IFERROR(__xludf.DUMMYFUNCTION("""COMPUTED_VALUE"""),8.0)</f>
        <v>8</v>
      </c>
      <c r="AF502" s="320">
        <f>IFERROR(__xludf.DUMMYFUNCTION("""COMPUTED_VALUE"""),13.0)</f>
        <v>13</v>
      </c>
      <c r="AG502" s="320">
        <f>IFERROR(__xludf.DUMMYFUNCTION("""COMPUTED_VALUE"""),20.0)</f>
        <v>20</v>
      </c>
      <c r="AH502" s="320">
        <f>IFERROR(__xludf.DUMMYFUNCTION("""COMPUTED_VALUE"""),60.34)</f>
        <v>60.34</v>
      </c>
      <c r="AI502" s="320">
        <f>IFERROR(__xludf.DUMMYFUNCTION("""COMPUTED_VALUE"""),26.61)</f>
        <v>26.61</v>
      </c>
      <c r="AJ502" s="320">
        <f>IFERROR(__xludf.DUMMYFUNCTION("""COMPUTED_VALUE"""),4.66)</f>
        <v>4.66</v>
      </c>
      <c r="AK502" s="320">
        <f>IFERROR(__xludf.DUMMYFUNCTION("""COMPUTED_VALUE"""),0.1747)</f>
        <v>0.1747</v>
      </c>
      <c r="AL502" s="320">
        <f>IFERROR(__xludf.DUMMYFUNCTION("""COMPUTED_VALUE"""),18.45)</f>
        <v>18.45</v>
      </c>
      <c r="AM502" s="320">
        <f>IFERROR(__xludf.DUMMYFUNCTION("""COMPUTED_VALUE"""),53.36)</f>
        <v>53.36</v>
      </c>
      <c r="AN502" s="320">
        <f>IFERROR(__xludf.DUMMYFUNCTION("""COMPUTED_VALUE"""),72.95)</f>
        <v>72.95</v>
      </c>
      <c r="AO502" s="320">
        <f>IFERROR(__xludf.DUMMYFUNCTION("""COMPUTED_VALUE"""),13.46)</f>
        <v>13.46</v>
      </c>
    </row>
    <row r="503" ht="15.0" customHeight="1">
      <c r="A503" s="328">
        <f>IFERROR(__xludf.DUMMYFUNCTION("""COMPUTED_VALUE"""),46133.0)</f>
        <v>46133</v>
      </c>
      <c r="B503" s="319" t="str">
        <f>IFERROR(__xludf.DUMMYFUNCTION("""COMPUTED_VALUE"""),"D. 20-39")</f>
        <v>D. 20-39</v>
      </c>
      <c r="C503" s="320">
        <f>IFERROR(__xludf.DUMMYFUNCTION("""COMPUTED_VALUE"""),15278.0)</f>
        <v>15278</v>
      </c>
      <c r="D503" s="320">
        <f>IFERROR(__xludf.DUMMYFUNCTION("""COMPUTED_VALUE"""),14.49)</f>
        <v>14.49</v>
      </c>
      <c r="E503" s="320">
        <f>IFERROR(__xludf.DUMMYFUNCTION("""COMPUTED_VALUE"""),0.0)</f>
        <v>0</v>
      </c>
      <c r="F503" s="320">
        <f>IFERROR(__xludf.DUMMYFUNCTION("""COMPUTED_VALUE"""),0.0)</f>
        <v>0</v>
      </c>
      <c r="G503" s="320">
        <f>IFERROR(__xludf.DUMMYFUNCTION("""COMPUTED_VALUE"""),0.0)</f>
        <v>0</v>
      </c>
      <c r="H503" s="106"/>
      <c r="I503" s="320">
        <f>IFERROR(__xludf.DUMMYFUNCTION("""COMPUTED_VALUE"""),81.23)</f>
        <v>81.23</v>
      </c>
      <c r="J503" s="320">
        <f>IFERROR(__xludf.DUMMYFUNCTION("""COMPUTED_VALUE"""),40.61)</f>
        <v>40.61</v>
      </c>
      <c r="K503" s="320">
        <f>IFERROR(__xludf.DUMMYFUNCTION("""COMPUTED_VALUE"""),28.01)</f>
        <v>28.01</v>
      </c>
      <c r="L503" s="320">
        <f>IFERROR(__xludf.DUMMYFUNCTION("""COMPUTED_VALUE"""),0.6896)</f>
        <v>0.6896</v>
      </c>
      <c r="M503" s="320">
        <f>IFERROR(__xludf.DUMMYFUNCTION("""COMPUTED_VALUE"""),0.5136)</f>
        <v>0.5136</v>
      </c>
      <c r="N503" s="320">
        <f>IFERROR(__xludf.DUMMYFUNCTION("""COMPUTED_VALUE"""),0.3643)</f>
        <v>0.3643</v>
      </c>
      <c r="O503" s="320">
        <f>IFERROR(__xludf.DUMMYFUNCTION("""COMPUTED_VALUE"""),1.45)</f>
        <v>1.45</v>
      </c>
      <c r="P503" s="320">
        <f>IFERROR(__xludf.DUMMYFUNCTION("""COMPUTED_VALUE"""),177.44)</f>
        <v>177.44</v>
      </c>
      <c r="Q503" s="320">
        <f>IFERROR(__xludf.DUMMYFUNCTION("""COMPUTED_VALUE"""),126.02)</f>
        <v>126.02</v>
      </c>
      <c r="R503" s="320">
        <f>IFERROR(__xludf.DUMMYFUNCTION("""COMPUTED_VALUE"""),51.42)</f>
        <v>51.42</v>
      </c>
      <c r="S503" s="320">
        <f>IFERROR(__xludf.DUMMYFUNCTION("""COMPUTED_VALUE"""),0.0)</f>
        <v>0</v>
      </c>
      <c r="T503" s="320">
        <f>IFERROR(__xludf.DUMMYFUNCTION("""COMPUTED_VALUE"""),177.43)</f>
        <v>177.43</v>
      </c>
      <c r="U503" s="320">
        <f>IFERROR(__xludf.DUMMYFUNCTION("""COMPUTED_VALUE"""),180.62)</f>
        <v>180.62</v>
      </c>
      <c r="V503" s="320">
        <f>IFERROR(__xludf.DUMMYFUNCTION("""COMPUTED_VALUE"""),4.4471)</f>
        <v>4.4471</v>
      </c>
      <c r="W503" s="320">
        <f>IFERROR(__xludf.DUMMYFUNCTION("""COMPUTED_VALUE"""),0.0)</f>
        <v>0</v>
      </c>
      <c r="X503" s="320">
        <f>IFERROR(__xludf.DUMMYFUNCTION("""COMPUTED_VALUE"""),166.0)</f>
        <v>166</v>
      </c>
      <c r="Y503" s="320">
        <f>IFERROR(__xludf.DUMMYFUNCTION("""COMPUTED_VALUE"""),1067.0)</f>
        <v>1067</v>
      </c>
      <c r="Z503" s="320">
        <f>IFERROR(__xludf.DUMMYFUNCTION("""COMPUTED_VALUE"""),7306.0)</f>
        <v>7306</v>
      </c>
      <c r="AA503" s="320">
        <f>IFERROR(__xludf.DUMMYFUNCTION("""COMPUTED_VALUE"""),55.5752)</f>
        <v>55.5752</v>
      </c>
      <c r="AB503" s="320">
        <f>IFERROR(__xludf.DUMMYFUNCTION("""COMPUTED_VALUE"""),0.6812)</f>
        <v>0.6812</v>
      </c>
      <c r="AC503" s="320">
        <f>IFERROR(__xludf.DUMMYFUNCTION("""COMPUTED_VALUE"""),17.61)</f>
        <v>17.61</v>
      </c>
      <c r="AD503" s="320">
        <f>IFERROR(__xludf.DUMMYFUNCTION("""COMPUTED_VALUE"""),7.0)</f>
        <v>7</v>
      </c>
      <c r="AE503" s="320">
        <f>IFERROR(__xludf.DUMMYFUNCTION("""COMPUTED_VALUE"""),14.0)</f>
        <v>14</v>
      </c>
      <c r="AF503" s="320">
        <f>IFERROR(__xludf.DUMMYFUNCTION("""COMPUTED_VALUE"""),25.0)</f>
        <v>25</v>
      </c>
      <c r="AG503" s="320">
        <f>IFERROR(__xludf.DUMMYFUNCTION("""COMPUTED_VALUE"""),36.0)</f>
        <v>36</v>
      </c>
      <c r="AH503" s="320">
        <f>IFERROR(__xludf.DUMMYFUNCTION("""COMPUTED_VALUE"""),59.9)</f>
        <v>59.9</v>
      </c>
      <c r="AI503" s="320">
        <f>IFERROR(__xludf.DUMMYFUNCTION("""COMPUTED_VALUE"""),23.43)</f>
        <v>23.43</v>
      </c>
      <c r="AJ503" s="320">
        <f>IFERROR(__xludf.DUMMYFUNCTION("""COMPUTED_VALUE"""),6.49)</f>
        <v>6.49</v>
      </c>
      <c r="AK503" s="320">
        <f>IFERROR(__xludf.DUMMYFUNCTION("""COMPUTED_VALUE"""),0.1564)</f>
        <v>0.1564</v>
      </c>
      <c r="AL503" s="320">
        <f>IFERROR(__xludf.DUMMYFUNCTION("""COMPUTED_VALUE"""),19.26)</f>
        <v>19.26</v>
      </c>
      <c r="AM503" s="320">
        <f>IFERROR(__xludf.DUMMYFUNCTION("""COMPUTED_VALUE"""),106.75)</f>
        <v>106.75</v>
      </c>
      <c r="AN503" s="320">
        <f>IFERROR(__xludf.DUMMYFUNCTION("""COMPUTED_VALUE"""),74.02)</f>
        <v>74.02</v>
      </c>
      <c r="AO503" s="320">
        <f>IFERROR(__xludf.DUMMYFUNCTION("""COMPUTED_VALUE"""),14.26)</f>
        <v>14.26</v>
      </c>
    </row>
    <row r="504" ht="15.0" customHeight="1">
      <c r="A504" s="328">
        <f>IFERROR(__xludf.DUMMYFUNCTION("""COMPUTED_VALUE"""),46133.0)</f>
        <v>46133</v>
      </c>
      <c r="B504" s="319" t="str">
        <f>IFERROR(__xludf.DUMMYFUNCTION("""COMPUTED_VALUE"""),"E. 40-99")</f>
        <v>E. 40-99</v>
      </c>
      <c r="C504" s="320">
        <f>IFERROR(__xludf.DUMMYFUNCTION("""COMPUTED_VALUE"""),5573.0)</f>
        <v>5573</v>
      </c>
      <c r="D504" s="320">
        <f>IFERROR(__xludf.DUMMYFUNCTION("""COMPUTED_VALUE"""),5.28)</f>
        <v>5.28</v>
      </c>
      <c r="E504" s="320">
        <f>IFERROR(__xludf.DUMMYFUNCTION("""COMPUTED_VALUE"""),0.0)</f>
        <v>0</v>
      </c>
      <c r="F504" s="320">
        <f>IFERROR(__xludf.DUMMYFUNCTION("""COMPUTED_VALUE"""),0.0)</f>
        <v>0</v>
      </c>
      <c r="G504" s="320">
        <f>IFERROR(__xludf.DUMMYFUNCTION("""COMPUTED_VALUE"""),0.0)</f>
        <v>0</v>
      </c>
      <c r="H504" s="106"/>
      <c r="I504" s="320">
        <f>IFERROR(__xludf.DUMMYFUNCTION("""COMPUTED_VALUE"""),129.01)</f>
        <v>129.01</v>
      </c>
      <c r="J504" s="320">
        <f>IFERROR(__xludf.DUMMYFUNCTION("""COMPUTED_VALUE"""),70.3)</f>
        <v>70.3</v>
      </c>
      <c r="K504" s="320">
        <f>IFERROR(__xludf.DUMMYFUNCTION("""COMPUTED_VALUE"""),56.17)</f>
        <v>56.17</v>
      </c>
      <c r="L504" s="320">
        <f>IFERROR(__xludf.DUMMYFUNCTION("""COMPUTED_VALUE"""),0.799)</f>
        <v>0.799</v>
      </c>
      <c r="M504" s="320">
        <f>IFERROR(__xludf.DUMMYFUNCTION("""COMPUTED_VALUE"""),0.3857)</f>
        <v>0.3857</v>
      </c>
      <c r="N504" s="320">
        <f>IFERROR(__xludf.DUMMYFUNCTION("""COMPUTED_VALUE"""),0.2814)</f>
        <v>0.2814</v>
      </c>
      <c r="O504" s="320">
        <f>IFERROR(__xludf.DUMMYFUNCTION("""COMPUTED_VALUE"""),1.2516)</f>
        <v>1.2516</v>
      </c>
      <c r="P504" s="320">
        <f>IFERROR(__xludf.DUMMYFUNCTION("""COMPUTED_VALUE"""),327.08)</f>
        <v>327.08</v>
      </c>
      <c r="Q504" s="320">
        <f>IFERROR(__xludf.DUMMYFUNCTION("""COMPUTED_VALUE"""),216.7)</f>
        <v>216.7</v>
      </c>
      <c r="R504" s="320">
        <f>IFERROR(__xludf.DUMMYFUNCTION("""COMPUTED_VALUE"""),110.38)</f>
        <v>110.38</v>
      </c>
      <c r="S504" s="320">
        <f>IFERROR(__xludf.DUMMYFUNCTION("""COMPUTED_VALUE"""),0.0)</f>
        <v>0</v>
      </c>
      <c r="T504" s="320">
        <f>IFERROR(__xludf.DUMMYFUNCTION("""COMPUTED_VALUE"""),327.08)</f>
        <v>327.08</v>
      </c>
      <c r="U504" s="320">
        <f>IFERROR(__xludf.DUMMYFUNCTION("""COMPUTED_VALUE"""),337.58)</f>
        <v>337.58</v>
      </c>
      <c r="V504" s="320">
        <f>IFERROR(__xludf.DUMMYFUNCTION("""COMPUTED_VALUE"""),4.8018)</f>
        <v>4.8018</v>
      </c>
      <c r="W504" s="320">
        <f>IFERROR(__xludf.DUMMYFUNCTION("""COMPUTED_VALUE"""),0.0)</f>
        <v>0</v>
      </c>
      <c r="X504" s="320">
        <f>IFERROR(__xludf.DUMMYFUNCTION("""COMPUTED_VALUE"""),293.0)</f>
        <v>293</v>
      </c>
      <c r="Y504" s="320">
        <f>IFERROR(__xludf.DUMMYFUNCTION("""COMPUTED_VALUE"""),2264.0)</f>
        <v>2264</v>
      </c>
      <c r="Z504" s="320">
        <f>IFERROR(__xludf.DUMMYFUNCTION("""COMPUTED_VALUE"""),9720.0)</f>
        <v>9720</v>
      </c>
      <c r="AA504" s="320">
        <f>IFERROR(__xludf.DUMMYFUNCTION("""COMPUTED_VALUE"""),59.7978)</f>
        <v>59.7978</v>
      </c>
      <c r="AB504" s="320">
        <f>IFERROR(__xludf.DUMMYFUNCTION("""COMPUTED_VALUE"""),0.8253)</f>
        <v>0.8253</v>
      </c>
      <c r="AC504" s="320">
        <f>IFERROR(__xludf.DUMMYFUNCTION("""COMPUTED_VALUE"""),38.56)</f>
        <v>38.56</v>
      </c>
      <c r="AD504" s="320">
        <f>IFERROR(__xludf.DUMMYFUNCTION("""COMPUTED_VALUE"""),16.0)</f>
        <v>16</v>
      </c>
      <c r="AE504" s="320">
        <f>IFERROR(__xludf.DUMMYFUNCTION("""COMPUTED_VALUE"""),31.0)</f>
        <v>31</v>
      </c>
      <c r="AF504" s="320">
        <f>IFERROR(__xludf.DUMMYFUNCTION("""COMPUTED_VALUE"""),53.0)</f>
        <v>53</v>
      </c>
      <c r="AG504" s="320">
        <f>IFERROR(__xludf.DUMMYFUNCTION("""COMPUTED_VALUE"""),79.0)</f>
        <v>79</v>
      </c>
      <c r="AH504" s="320">
        <f>IFERROR(__xludf.DUMMYFUNCTION("""COMPUTED_VALUE"""),54.87)</f>
        <v>54.87</v>
      </c>
      <c r="AI504" s="320">
        <f>IFERROR(__xludf.DUMMYFUNCTION("""COMPUTED_VALUE"""),19.92)</f>
        <v>19.92</v>
      </c>
      <c r="AJ504" s="320">
        <f>IFERROR(__xludf.DUMMYFUNCTION("""COMPUTED_VALUE"""),5.06)</f>
        <v>5.06</v>
      </c>
      <c r="AK504" s="320">
        <f>IFERROR(__xludf.DUMMYFUNCTION("""COMPUTED_VALUE"""),0.1136)</f>
        <v>0.1136</v>
      </c>
      <c r="AL504" s="320">
        <f>IFERROR(__xludf.DUMMYFUNCTION("""COMPUTED_VALUE"""),20.11)</f>
        <v>20.11</v>
      </c>
      <c r="AM504" s="320">
        <f>IFERROR(__xludf.DUMMYFUNCTION("""COMPUTED_VALUE"""),196.6)</f>
        <v>196.6</v>
      </c>
      <c r="AN504" s="320">
        <f>IFERROR(__xludf.DUMMYFUNCTION("""COMPUTED_VALUE"""),82.91)</f>
        <v>82.91</v>
      </c>
      <c r="AO504" s="320">
        <f>IFERROR(__xludf.DUMMYFUNCTION("""COMPUTED_VALUE"""),16.67)</f>
        <v>16.67</v>
      </c>
    </row>
    <row r="505" ht="15.0" customHeight="1">
      <c r="A505" s="328">
        <f>IFERROR(__xludf.DUMMYFUNCTION("""COMPUTED_VALUE"""),46133.0)</f>
        <v>46133</v>
      </c>
      <c r="B505" s="319" t="str">
        <f>IFERROR(__xludf.DUMMYFUNCTION("""COMPUTED_VALUE"""),"F. 100+")</f>
        <v>F. 100+</v>
      </c>
      <c r="C505" s="320">
        <f>IFERROR(__xludf.DUMMYFUNCTION("""COMPUTED_VALUE"""),602.0)</f>
        <v>602</v>
      </c>
      <c r="D505" s="320">
        <f>IFERROR(__xludf.DUMMYFUNCTION("""COMPUTED_VALUE"""),0.57)</f>
        <v>0.57</v>
      </c>
      <c r="E505" s="320">
        <f>IFERROR(__xludf.DUMMYFUNCTION("""COMPUTED_VALUE"""),0.0)</f>
        <v>0</v>
      </c>
      <c r="F505" s="320">
        <f>IFERROR(__xludf.DUMMYFUNCTION("""COMPUTED_VALUE"""),0.0)</f>
        <v>0</v>
      </c>
      <c r="G505" s="320">
        <f>IFERROR(__xludf.DUMMYFUNCTION("""COMPUTED_VALUE"""),0.0)</f>
        <v>0</v>
      </c>
      <c r="H505" s="106"/>
      <c r="I505" s="320">
        <f>IFERROR(__xludf.DUMMYFUNCTION("""COMPUTED_VALUE"""),252.51)</f>
        <v>252.51</v>
      </c>
      <c r="J505" s="320">
        <f>IFERROR(__xludf.DUMMYFUNCTION("""COMPUTED_VALUE"""),148.15)</f>
        <v>148.15</v>
      </c>
      <c r="K505" s="320">
        <f>IFERROR(__xludf.DUMMYFUNCTION("""COMPUTED_VALUE"""),130.02)</f>
        <v>130.02</v>
      </c>
      <c r="L505" s="320">
        <f>IFERROR(__xludf.DUMMYFUNCTION("""COMPUTED_VALUE"""),0.8776)</f>
        <v>0.8776</v>
      </c>
      <c r="M505" s="320">
        <f>IFERROR(__xludf.DUMMYFUNCTION("""COMPUTED_VALUE"""),0.2769)</f>
        <v>0.2769</v>
      </c>
      <c r="N505" s="320">
        <f>IFERROR(__xludf.DUMMYFUNCTION("""COMPUTED_VALUE"""),0.2115)</f>
        <v>0.2115</v>
      </c>
      <c r="O505" s="320">
        <f>IFERROR(__xludf.DUMMYFUNCTION("""COMPUTED_VALUE"""),1.1394)</f>
        <v>1.1394</v>
      </c>
      <c r="P505" s="320">
        <f>IFERROR(__xludf.DUMMYFUNCTION("""COMPUTED_VALUE"""),639.77)</f>
        <v>639.77</v>
      </c>
      <c r="Q505" s="320">
        <f>IFERROR(__xludf.DUMMYFUNCTION("""COMPUTED_VALUE"""),380.5)</f>
        <v>380.5</v>
      </c>
      <c r="R505" s="320">
        <f>IFERROR(__xludf.DUMMYFUNCTION("""COMPUTED_VALUE"""),259.27)</f>
        <v>259.27</v>
      </c>
      <c r="S505" s="320">
        <f>IFERROR(__xludf.DUMMYFUNCTION("""COMPUTED_VALUE"""),0.0)</f>
        <v>0</v>
      </c>
      <c r="T505" s="320">
        <f>IFERROR(__xludf.DUMMYFUNCTION("""COMPUTED_VALUE"""),639.77)</f>
        <v>639.77</v>
      </c>
      <c r="U505" s="320">
        <f>IFERROR(__xludf.DUMMYFUNCTION("""COMPUTED_VALUE"""),652.24)</f>
        <v>652.24</v>
      </c>
      <c r="V505" s="320">
        <f>IFERROR(__xludf.DUMMYFUNCTION("""COMPUTED_VALUE"""),4.4026)</f>
        <v>4.4026</v>
      </c>
      <c r="W505" s="320">
        <f>IFERROR(__xludf.DUMMYFUNCTION("""COMPUTED_VALUE"""),0.0)</f>
        <v>0</v>
      </c>
      <c r="X505" s="320">
        <f>IFERROR(__xludf.DUMMYFUNCTION("""COMPUTED_VALUE"""),711.0)</f>
        <v>711</v>
      </c>
      <c r="Y505" s="320">
        <f>IFERROR(__xludf.DUMMYFUNCTION("""COMPUTED_VALUE"""),4029.0)</f>
        <v>4029</v>
      </c>
      <c r="Z505" s="320">
        <f>IFERROR(__xludf.DUMMYFUNCTION("""COMPUTED_VALUE"""),11916.0)</f>
        <v>11916</v>
      </c>
      <c r="AA505" s="320">
        <f>IFERROR(__xludf.DUMMYFUNCTION("""COMPUTED_VALUE"""),63.449)</f>
        <v>63.449</v>
      </c>
      <c r="AB505" s="320">
        <f>IFERROR(__xludf.DUMMYFUNCTION("""COMPUTED_VALUE"""),0.8964)</f>
        <v>0.8964</v>
      </c>
      <c r="AC505" s="320">
        <f>IFERROR(__xludf.DUMMYFUNCTION("""COMPUTED_VALUE"""),88.21)</f>
        <v>88.21</v>
      </c>
      <c r="AD505" s="320">
        <f>IFERROR(__xludf.DUMMYFUNCTION("""COMPUTED_VALUE"""),37.0)</f>
        <v>37</v>
      </c>
      <c r="AE505" s="320">
        <f>IFERROR(__xludf.DUMMYFUNCTION("""COMPUTED_VALUE"""),76.0)</f>
        <v>76</v>
      </c>
      <c r="AF505" s="320">
        <f>IFERROR(__xludf.DUMMYFUNCTION("""COMPUTED_VALUE"""),121.0)</f>
        <v>121</v>
      </c>
      <c r="AG505" s="320">
        <f>IFERROR(__xludf.DUMMYFUNCTION("""COMPUTED_VALUE"""),165.0)</f>
        <v>165</v>
      </c>
      <c r="AH505" s="320">
        <f>IFERROR(__xludf.DUMMYFUNCTION("""COMPUTED_VALUE"""),48.67)</f>
        <v>48.67</v>
      </c>
      <c r="AI505" s="320">
        <f>IFERROR(__xludf.DUMMYFUNCTION("""COMPUTED_VALUE"""),8.14)</f>
        <v>8.14</v>
      </c>
      <c r="AJ505" s="320">
        <f>IFERROR(__xludf.DUMMYFUNCTION("""COMPUTED_VALUE"""),1.66)</f>
        <v>1.66</v>
      </c>
      <c r="AK505" s="320">
        <f>IFERROR(__xludf.DUMMYFUNCTION("""COMPUTED_VALUE"""),0.0797)</f>
        <v>0.0797</v>
      </c>
      <c r="AL505" s="320">
        <f>IFERROR(__xludf.DUMMYFUNCTION("""COMPUTED_VALUE"""),22.48)</f>
        <v>22.48</v>
      </c>
      <c r="AM505" s="320">
        <f>IFERROR(__xludf.DUMMYFUNCTION("""COMPUTED_VALUE"""),358.02)</f>
        <v>358.02</v>
      </c>
      <c r="AN505" s="320">
        <f>IFERROR(__xludf.DUMMYFUNCTION("""COMPUTED_VALUE"""),85.64)</f>
        <v>85.64</v>
      </c>
      <c r="AO505" s="320">
        <f>IFERROR(__xludf.DUMMYFUNCTION("""COMPUTED_VALUE"""),19.25)</f>
        <v>19.25</v>
      </c>
    </row>
    <row r="506" ht="15.0" customHeight="1">
      <c r="A506" s="328">
        <f>IFERROR(__xludf.DUMMYFUNCTION("""COMPUTED_VALUE"""),46134.0)</f>
        <v>46134</v>
      </c>
      <c r="B506" s="319" t="str">
        <f>IFERROR(__xludf.DUMMYFUNCTION("""COMPUTED_VALUE"""),"A. 0")</f>
        <v>A. 0</v>
      </c>
      <c r="C506" s="320">
        <f>IFERROR(__xludf.DUMMYFUNCTION("""COMPUTED_VALUE"""),19854.0)</f>
        <v>19854</v>
      </c>
      <c r="D506" s="320">
        <f>IFERROR(__xludf.DUMMYFUNCTION("""COMPUTED_VALUE"""),19.17)</f>
        <v>19.17</v>
      </c>
      <c r="E506" s="320">
        <f>IFERROR(__xludf.DUMMYFUNCTION("""COMPUTED_VALUE"""),0.0)</f>
        <v>0</v>
      </c>
      <c r="F506" s="320">
        <f>IFERROR(__xludf.DUMMYFUNCTION("""COMPUTED_VALUE"""),0.0)</f>
        <v>0</v>
      </c>
      <c r="G506" s="320">
        <f>IFERROR(__xludf.DUMMYFUNCTION("""COMPUTED_VALUE"""),0.0)</f>
        <v>0</v>
      </c>
      <c r="H506" s="106"/>
      <c r="I506" s="320">
        <f>IFERROR(__xludf.DUMMYFUNCTION("""COMPUTED_VALUE"""),6.04)</f>
        <v>6.04</v>
      </c>
      <c r="J506" s="320">
        <f>IFERROR(__xludf.DUMMYFUNCTION("""COMPUTED_VALUE"""),2.41)</f>
        <v>2.41</v>
      </c>
      <c r="K506" s="320">
        <f>IFERROR(__xludf.DUMMYFUNCTION("""COMPUTED_VALUE"""),0.03)</f>
        <v>0.03</v>
      </c>
      <c r="L506" s="320">
        <f>IFERROR(__xludf.DUMMYFUNCTION("""COMPUTED_VALUE"""),0.0113)</f>
        <v>0.0113</v>
      </c>
      <c r="M506" s="320">
        <f>IFERROR(__xludf.DUMMYFUNCTION("""COMPUTED_VALUE"""),0.9917)</f>
        <v>0.9917</v>
      </c>
      <c r="N506" s="320">
        <f>IFERROR(__xludf.DUMMYFUNCTION("""COMPUTED_VALUE"""),0.8946)</f>
        <v>0.8946</v>
      </c>
      <c r="O506" s="320">
        <f>IFERROR(__xludf.DUMMYFUNCTION("""COMPUTED_VALUE"""),88.2707)</f>
        <v>88.2707</v>
      </c>
      <c r="P506" s="320">
        <f>IFERROR(__xludf.DUMMYFUNCTION("""COMPUTED_VALUE"""),20.84)</f>
        <v>20.84</v>
      </c>
      <c r="Q506" s="320">
        <f>IFERROR(__xludf.DUMMYFUNCTION("""COMPUTED_VALUE"""),20.72)</f>
        <v>20.72</v>
      </c>
      <c r="R506" s="320">
        <f>IFERROR(__xludf.DUMMYFUNCTION("""COMPUTED_VALUE"""),0.12)</f>
        <v>0.12</v>
      </c>
      <c r="S506" s="320">
        <f>IFERROR(__xludf.DUMMYFUNCTION("""COMPUTED_VALUE"""),0.0)</f>
        <v>0</v>
      </c>
      <c r="T506" s="320">
        <f>IFERROR(__xludf.DUMMYFUNCTION("""COMPUTED_VALUE"""),20.84)</f>
        <v>20.84</v>
      </c>
      <c r="U506" s="320">
        <f>IFERROR(__xludf.DUMMYFUNCTION("""COMPUTED_VALUE"""),1.57)</f>
        <v>1.57</v>
      </c>
      <c r="V506" s="320">
        <f>IFERROR(__xludf.DUMMYFUNCTION("""COMPUTED_VALUE"""),0.6499)</f>
        <v>0.6499</v>
      </c>
      <c r="W506" s="320">
        <f>IFERROR(__xludf.DUMMYFUNCTION("""COMPUTED_VALUE"""),0.0)</f>
        <v>0</v>
      </c>
      <c r="X506" s="320">
        <f>IFERROR(__xludf.DUMMYFUNCTION("""COMPUTED_VALUE"""),363.0)</f>
        <v>363</v>
      </c>
      <c r="Y506" s="320">
        <f>IFERROR(__xludf.DUMMYFUNCTION("""COMPUTED_VALUE"""),4071.0)</f>
        <v>4071</v>
      </c>
      <c r="Z506" s="320">
        <f>IFERROR(__xludf.DUMMYFUNCTION("""COMPUTED_VALUE"""),15417.0)</f>
        <v>15417</v>
      </c>
      <c r="AA506" s="320">
        <f>IFERROR(__xludf.DUMMYFUNCTION("""COMPUTED_VALUE"""),49.1794)</f>
        <v>49.1794</v>
      </c>
      <c r="AB506" s="320">
        <f>IFERROR(__xludf.DUMMYFUNCTION("""COMPUTED_VALUE"""),0.5496)</f>
        <v>0.5496</v>
      </c>
      <c r="AC506" s="106"/>
      <c r="AD506" s="106"/>
      <c r="AE506" s="106"/>
      <c r="AF506" s="106"/>
      <c r="AG506" s="106"/>
      <c r="AH506" s="320">
        <f>IFERROR(__xludf.DUMMYFUNCTION("""COMPUTED_VALUE"""),0.0)</f>
        <v>0</v>
      </c>
      <c r="AI506" s="320">
        <f>IFERROR(__xludf.DUMMYFUNCTION("""COMPUTED_VALUE"""),0.0)</f>
        <v>0</v>
      </c>
      <c r="AJ506" s="320">
        <f>IFERROR(__xludf.DUMMYFUNCTION("""COMPUTED_VALUE"""),0.0)</f>
        <v>0</v>
      </c>
      <c r="AK506" s="320">
        <f>IFERROR(__xludf.DUMMYFUNCTION("""COMPUTED_VALUE"""),0.2766)</f>
        <v>0.2766</v>
      </c>
      <c r="AL506" s="320">
        <f>IFERROR(__xludf.DUMMYFUNCTION("""COMPUTED_VALUE"""),15.78)</f>
        <v>15.78</v>
      </c>
      <c r="AM506" s="320">
        <f>IFERROR(__xludf.DUMMYFUNCTION("""COMPUTED_VALUE"""),4.94)</f>
        <v>4.94</v>
      </c>
      <c r="AN506" s="331"/>
      <c r="AO506" s="331"/>
    </row>
    <row r="507" ht="15.0" customHeight="1">
      <c r="A507" s="328">
        <f>IFERROR(__xludf.DUMMYFUNCTION("""COMPUTED_VALUE"""),46134.0)</f>
        <v>46134</v>
      </c>
      <c r="B507" s="319" t="str">
        <f>IFERROR(__xludf.DUMMYFUNCTION("""COMPUTED_VALUE"""),"B. 1-9")</f>
        <v>B. 1-9</v>
      </c>
      <c r="C507" s="320">
        <f>IFERROR(__xludf.DUMMYFUNCTION("""COMPUTED_VALUE"""),36869.0)</f>
        <v>36869</v>
      </c>
      <c r="D507" s="320">
        <f>IFERROR(__xludf.DUMMYFUNCTION("""COMPUTED_VALUE"""),35.59)</f>
        <v>35.59</v>
      </c>
      <c r="E507" s="320">
        <f>IFERROR(__xludf.DUMMYFUNCTION("""COMPUTED_VALUE"""),0.0)</f>
        <v>0</v>
      </c>
      <c r="F507" s="320">
        <f>IFERROR(__xludf.DUMMYFUNCTION("""COMPUTED_VALUE"""),0.0)</f>
        <v>0</v>
      </c>
      <c r="G507" s="320">
        <f>IFERROR(__xludf.DUMMYFUNCTION("""COMPUTED_VALUE"""),0.0)</f>
        <v>0</v>
      </c>
      <c r="H507" s="106"/>
      <c r="I507" s="320">
        <f>IFERROR(__xludf.DUMMYFUNCTION("""COMPUTED_VALUE"""),30.22)</f>
        <v>30.22</v>
      </c>
      <c r="J507" s="320">
        <f>IFERROR(__xludf.DUMMYFUNCTION("""COMPUTED_VALUE"""),13.8)</f>
        <v>13.8</v>
      </c>
      <c r="K507" s="320">
        <f>IFERROR(__xludf.DUMMYFUNCTION("""COMPUTED_VALUE"""),5.58)</f>
        <v>5.58</v>
      </c>
      <c r="L507" s="320">
        <f>IFERROR(__xludf.DUMMYFUNCTION("""COMPUTED_VALUE"""),0.4041)</f>
        <v>0.4041</v>
      </c>
      <c r="M507" s="320">
        <f>IFERROR(__xludf.DUMMYFUNCTION("""COMPUTED_VALUE"""),0.7644)</f>
        <v>0.7644</v>
      </c>
      <c r="N507" s="320">
        <f>IFERROR(__xludf.DUMMYFUNCTION("""COMPUTED_VALUE"""),0.568)</f>
        <v>0.568</v>
      </c>
      <c r="O507" s="320">
        <f>IFERROR(__xludf.DUMMYFUNCTION("""COMPUTED_VALUE"""),2.4747)</f>
        <v>2.4747</v>
      </c>
      <c r="P507" s="320">
        <f>IFERROR(__xludf.DUMMYFUNCTION("""COMPUTED_VALUE"""),44.16)</f>
        <v>44.16</v>
      </c>
      <c r="Q507" s="320">
        <f>IFERROR(__xludf.DUMMYFUNCTION("""COMPUTED_VALUE"""),33.01)</f>
        <v>33.01</v>
      </c>
      <c r="R507" s="320">
        <f>IFERROR(__xludf.DUMMYFUNCTION("""COMPUTED_VALUE"""),11.15)</f>
        <v>11.15</v>
      </c>
      <c r="S507" s="320">
        <f>IFERROR(__xludf.DUMMYFUNCTION("""COMPUTED_VALUE"""),0.0)</f>
        <v>0</v>
      </c>
      <c r="T507" s="320">
        <f>IFERROR(__xludf.DUMMYFUNCTION("""COMPUTED_VALUE"""),44.16)</f>
        <v>44.16</v>
      </c>
      <c r="U507" s="320">
        <f>IFERROR(__xludf.DUMMYFUNCTION("""COMPUTED_VALUE"""),49.8)</f>
        <v>49.8</v>
      </c>
      <c r="V507" s="320">
        <f>IFERROR(__xludf.DUMMYFUNCTION("""COMPUTED_VALUE"""),3.6082)</f>
        <v>3.6082</v>
      </c>
      <c r="W507" s="320">
        <f>IFERROR(__xludf.DUMMYFUNCTION("""COMPUTED_VALUE"""),0.0)</f>
        <v>0</v>
      </c>
      <c r="X507" s="320">
        <f>IFERROR(__xludf.DUMMYFUNCTION("""COMPUTED_VALUE"""),138.0)</f>
        <v>138</v>
      </c>
      <c r="Y507" s="320">
        <f>IFERROR(__xludf.DUMMYFUNCTION("""COMPUTED_VALUE"""),862.0)</f>
        <v>862</v>
      </c>
      <c r="Z507" s="320">
        <f>IFERROR(__xludf.DUMMYFUNCTION("""COMPUTED_VALUE"""),5890.0)</f>
        <v>5890</v>
      </c>
      <c r="AA507" s="320">
        <f>IFERROR(__xludf.DUMMYFUNCTION("""COMPUTED_VALUE"""),48.8888)</f>
        <v>48.8888</v>
      </c>
      <c r="AB507" s="320">
        <f>IFERROR(__xludf.DUMMYFUNCTION("""COMPUTED_VALUE"""),0.5315)</f>
        <v>0.5315</v>
      </c>
      <c r="AC507" s="320">
        <f>IFERROR(__xludf.DUMMYFUNCTION("""COMPUTED_VALUE"""),3.98)</f>
        <v>3.98</v>
      </c>
      <c r="AD507" s="320">
        <f>IFERROR(__xludf.DUMMYFUNCTION("""COMPUTED_VALUE"""),1.0)</f>
        <v>1</v>
      </c>
      <c r="AE507" s="320">
        <f>IFERROR(__xludf.DUMMYFUNCTION("""COMPUTED_VALUE"""),3.0)</f>
        <v>3</v>
      </c>
      <c r="AF507" s="320">
        <f>IFERROR(__xludf.DUMMYFUNCTION("""COMPUTED_VALUE"""),5.0)</f>
        <v>5</v>
      </c>
      <c r="AG507" s="320">
        <f>IFERROR(__xludf.DUMMYFUNCTION("""COMPUTED_VALUE"""),9.0)</f>
        <v>9</v>
      </c>
      <c r="AH507" s="320">
        <f>IFERROR(__xludf.DUMMYFUNCTION("""COMPUTED_VALUE"""),72.69)</f>
        <v>72.69</v>
      </c>
      <c r="AI507" s="320">
        <f>IFERROR(__xludf.DUMMYFUNCTION("""COMPUTED_VALUE"""),30.49)</f>
        <v>30.49</v>
      </c>
      <c r="AJ507" s="320">
        <f>IFERROR(__xludf.DUMMYFUNCTION("""COMPUTED_VALUE"""),8.36)</f>
        <v>8.36</v>
      </c>
      <c r="AK507" s="320">
        <f>IFERROR(__xludf.DUMMYFUNCTION("""COMPUTED_VALUE"""),0.2378)</f>
        <v>0.2378</v>
      </c>
      <c r="AL507" s="320">
        <f>IFERROR(__xludf.DUMMYFUNCTION("""COMPUTED_VALUE"""),18.37)</f>
        <v>18.37</v>
      </c>
      <c r="AM507" s="320">
        <f>IFERROR(__xludf.DUMMYFUNCTION("""COMPUTED_VALUE"""),14.63)</f>
        <v>14.63</v>
      </c>
      <c r="AN507" s="320">
        <f>IFERROR(__xludf.DUMMYFUNCTION("""COMPUTED_VALUE"""),66.0)</f>
        <v>66</v>
      </c>
      <c r="AO507" s="320">
        <f>IFERROR(__xludf.DUMMYFUNCTION("""COMPUTED_VALUE"""),12.12)</f>
        <v>12.12</v>
      </c>
    </row>
    <row r="508" ht="15.0" customHeight="1">
      <c r="A508" s="328">
        <f>IFERROR(__xludf.DUMMYFUNCTION("""COMPUTED_VALUE"""),46134.0)</f>
        <v>46134</v>
      </c>
      <c r="B508" s="319" t="str">
        <f>IFERROR(__xludf.DUMMYFUNCTION("""COMPUTED_VALUE"""),"C. 10-19")</f>
        <v>C. 10-19</v>
      </c>
      <c r="C508" s="320">
        <f>IFERROR(__xludf.DUMMYFUNCTION("""COMPUTED_VALUE"""),26696.0)</f>
        <v>26696</v>
      </c>
      <c r="D508" s="320">
        <f>IFERROR(__xludf.DUMMYFUNCTION("""COMPUTED_VALUE"""),25.77)</f>
        <v>25.77</v>
      </c>
      <c r="E508" s="320">
        <f>IFERROR(__xludf.DUMMYFUNCTION("""COMPUTED_VALUE"""),0.0)</f>
        <v>0</v>
      </c>
      <c r="F508" s="320">
        <f>IFERROR(__xludf.DUMMYFUNCTION("""COMPUTED_VALUE"""),0.0)</f>
        <v>0</v>
      </c>
      <c r="G508" s="320">
        <f>IFERROR(__xludf.DUMMYFUNCTION("""COMPUTED_VALUE"""),0.0)</f>
        <v>0</v>
      </c>
      <c r="H508" s="106"/>
      <c r="I508" s="320">
        <f>IFERROR(__xludf.DUMMYFUNCTION("""COMPUTED_VALUE"""),58.14)</f>
        <v>58.14</v>
      </c>
      <c r="J508" s="320">
        <f>IFERROR(__xludf.DUMMYFUNCTION("""COMPUTED_VALUE"""),27.69)</f>
        <v>27.69</v>
      </c>
      <c r="K508" s="320">
        <f>IFERROR(__xludf.DUMMYFUNCTION("""COMPUTED_VALUE"""),14.37)</f>
        <v>14.37</v>
      </c>
      <c r="L508" s="320">
        <f>IFERROR(__xludf.DUMMYFUNCTION("""COMPUTED_VALUE"""),0.5192)</f>
        <v>0.5192</v>
      </c>
      <c r="M508" s="320">
        <f>IFERROR(__xludf.DUMMYFUNCTION("""COMPUTED_VALUE"""),0.6697)</f>
        <v>0.6697</v>
      </c>
      <c r="N508" s="320">
        <f>IFERROR(__xludf.DUMMYFUNCTION("""COMPUTED_VALUE"""),0.4663)</f>
        <v>0.4663</v>
      </c>
      <c r="O508" s="320">
        <f>IFERROR(__xludf.DUMMYFUNCTION("""COMPUTED_VALUE"""),1.9262)</f>
        <v>1.9262</v>
      </c>
      <c r="P508" s="320">
        <f>IFERROR(__xludf.DUMMYFUNCTION("""COMPUTED_VALUE"""),77.71)</f>
        <v>77.71</v>
      </c>
      <c r="Q508" s="320">
        <f>IFERROR(__xludf.DUMMYFUNCTION("""COMPUTED_VALUE"""),50.98)</f>
        <v>50.98</v>
      </c>
      <c r="R508" s="320">
        <f>IFERROR(__xludf.DUMMYFUNCTION("""COMPUTED_VALUE"""),26.73)</f>
        <v>26.73</v>
      </c>
      <c r="S508" s="320">
        <f>IFERROR(__xludf.DUMMYFUNCTION("""COMPUTED_VALUE"""),0.08)</f>
        <v>0.08</v>
      </c>
      <c r="T508" s="320">
        <f>IFERROR(__xludf.DUMMYFUNCTION("""COMPUTED_VALUE"""),77.62)</f>
        <v>77.62</v>
      </c>
      <c r="U508" s="320">
        <f>IFERROR(__xludf.DUMMYFUNCTION("""COMPUTED_VALUE"""),96.05)</f>
        <v>96.05</v>
      </c>
      <c r="V508" s="320">
        <f>IFERROR(__xludf.DUMMYFUNCTION("""COMPUTED_VALUE"""),3.4691)</f>
        <v>3.4691</v>
      </c>
      <c r="W508" s="320">
        <f>IFERROR(__xludf.DUMMYFUNCTION("""COMPUTED_VALUE"""),0.11)</f>
        <v>0.11</v>
      </c>
      <c r="X508" s="320">
        <f>IFERROR(__xludf.DUMMYFUNCTION("""COMPUTED_VALUE"""),116.0)</f>
        <v>116</v>
      </c>
      <c r="Y508" s="320">
        <f>IFERROR(__xludf.DUMMYFUNCTION("""COMPUTED_VALUE"""),684.0)</f>
        <v>684</v>
      </c>
      <c r="Z508" s="320">
        <f>IFERROR(__xludf.DUMMYFUNCTION("""COMPUTED_VALUE"""),5546.0)</f>
        <v>5546</v>
      </c>
      <c r="AA508" s="320">
        <f>IFERROR(__xludf.DUMMYFUNCTION("""COMPUTED_VALUE"""),52.2665)</f>
        <v>52.2665</v>
      </c>
      <c r="AB508" s="320">
        <f>IFERROR(__xludf.DUMMYFUNCTION("""COMPUTED_VALUE"""),0.6014)</f>
        <v>0.6014</v>
      </c>
      <c r="AC508" s="320">
        <f>IFERROR(__xludf.DUMMYFUNCTION("""COMPUTED_VALUE"""),8.97)</f>
        <v>8.97</v>
      </c>
      <c r="AD508" s="320">
        <f>IFERROR(__xludf.DUMMYFUNCTION("""COMPUTED_VALUE"""),3.0)</f>
        <v>3</v>
      </c>
      <c r="AE508" s="320">
        <f>IFERROR(__xludf.DUMMYFUNCTION("""COMPUTED_VALUE"""),7.0)</f>
        <v>7</v>
      </c>
      <c r="AF508" s="320">
        <f>IFERROR(__xludf.DUMMYFUNCTION("""COMPUTED_VALUE"""),12.0)</f>
        <v>12</v>
      </c>
      <c r="AG508" s="320">
        <f>IFERROR(__xludf.DUMMYFUNCTION("""COMPUTED_VALUE"""),19.0)</f>
        <v>19</v>
      </c>
      <c r="AH508" s="320">
        <f>IFERROR(__xludf.DUMMYFUNCTION("""COMPUTED_VALUE"""),57.74)</f>
        <v>57.74</v>
      </c>
      <c r="AI508" s="320">
        <f>IFERROR(__xludf.DUMMYFUNCTION("""COMPUTED_VALUE"""),23.95)</f>
        <v>23.95</v>
      </c>
      <c r="AJ508" s="320">
        <f>IFERROR(__xludf.DUMMYFUNCTION("""COMPUTED_VALUE"""),4.21)</f>
        <v>4.21</v>
      </c>
      <c r="AK508" s="320">
        <f>IFERROR(__xludf.DUMMYFUNCTION("""COMPUTED_VALUE"""),0.1829)</f>
        <v>0.1829</v>
      </c>
      <c r="AL508" s="320">
        <f>IFERROR(__xludf.DUMMYFUNCTION("""COMPUTED_VALUE"""),18.78)</f>
        <v>18.78</v>
      </c>
      <c r="AM508" s="320">
        <f>IFERROR(__xludf.DUMMYFUNCTION("""COMPUTED_VALUE"""),32.2)</f>
        <v>32.2</v>
      </c>
      <c r="AN508" s="320">
        <f>IFERROR(__xludf.DUMMYFUNCTION("""COMPUTED_VALUE"""),73.7)</f>
        <v>73.7</v>
      </c>
      <c r="AO508" s="320">
        <f>IFERROR(__xludf.DUMMYFUNCTION("""COMPUTED_VALUE"""),13.84)</f>
        <v>13.84</v>
      </c>
    </row>
    <row r="509" ht="15.0" customHeight="1">
      <c r="A509" s="328">
        <f>IFERROR(__xludf.DUMMYFUNCTION("""COMPUTED_VALUE"""),46134.0)</f>
        <v>46134</v>
      </c>
      <c r="B509" s="319" t="str">
        <f>IFERROR(__xludf.DUMMYFUNCTION("""COMPUTED_VALUE"""),"D. 20-39")</f>
        <v>D. 20-39</v>
      </c>
      <c r="C509" s="320">
        <f>IFERROR(__xludf.DUMMYFUNCTION("""COMPUTED_VALUE"""),13941.0)</f>
        <v>13941</v>
      </c>
      <c r="D509" s="320">
        <f>IFERROR(__xludf.DUMMYFUNCTION("""COMPUTED_VALUE"""),13.46)</f>
        <v>13.46</v>
      </c>
      <c r="E509" s="320">
        <f>IFERROR(__xludf.DUMMYFUNCTION("""COMPUTED_VALUE"""),0.0)</f>
        <v>0</v>
      </c>
      <c r="F509" s="320">
        <f>IFERROR(__xludf.DUMMYFUNCTION("""COMPUTED_VALUE"""),0.0)</f>
        <v>0</v>
      </c>
      <c r="G509" s="320">
        <f>IFERROR(__xludf.DUMMYFUNCTION("""COMPUTED_VALUE"""),0.0)</f>
        <v>0</v>
      </c>
      <c r="H509" s="106"/>
      <c r="I509" s="320">
        <f>IFERROR(__xludf.DUMMYFUNCTION("""COMPUTED_VALUE"""),79.81)</f>
        <v>79.81</v>
      </c>
      <c r="J509" s="320">
        <f>IFERROR(__xludf.DUMMYFUNCTION("""COMPUTED_VALUE"""),40.65)</f>
        <v>40.65</v>
      </c>
      <c r="K509" s="320">
        <f>IFERROR(__xludf.DUMMYFUNCTION("""COMPUTED_VALUE"""),26.18)</f>
        <v>26.18</v>
      </c>
      <c r="L509" s="320">
        <f>IFERROR(__xludf.DUMMYFUNCTION("""COMPUTED_VALUE"""),0.6441)</f>
        <v>0.6441</v>
      </c>
      <c r="M509" s="320">
        <f>IFERROR(__xludf.DUMMYFUNCTION("""COMPUTED_VALUE"""),0.5419)</f>
        <v>0.5419</v>
      </c>
      <c r="N509" s="320">
        <f>IFERROR(__xludf.DUMMYFUNCTION("""COMPUTED_VALUE"""),0.3713)</f>
        <v>0.3713</v>
      </c>
      <c r="O509" s="320">
        <f>IFERROR(__xludf.DUMMYFUNCTION("""COMPUTED_VALUE"""),1.5526)</f>
        <v>1.5526</v>
      </c>
      <c r="P509" s="320">
        <f>IFERROR(__xludf.DUMMYFUNCTION("""COMPUTED_VALUE"""),121.94)</f>
        <v>121.94</v>
      </c>
      <c r="Q509" s="320">
        <f>IFERROR(__xludf.DUMMYFUNCTION("""COMPUTED_VALUE"""),71.04)</f>
        <v>71.04</v>
      </c>
      <c r="R509" s="320">
        <f>IFERROR(__xludf.DUMMYFUNCTION("""COMPUTED_VALUE"""),50.91)</f>
        <v>50.91</v>
      </c>
      <c r="S509" s="320">
        <f>IFERROR(__xludf.DUMMYFUNCTION("""COMPUTED_VALUE"""),0.08)</f>
        <v>0.08</v>
      </c>
      <c r="T509" s="320">
        <f>IFERROR(__xludf.DUMMYFUNCTION("""COMPUTED_VALUE"""),121.86)</f>
        <v>121.86</v>
      </c>
      <c r="U509" s="320">
        <f>IFERROR(__xludf.DUMMYFUNCTION("""COMPUTED_VALUE"""),150.06)</f>
        <v>150.06</v>
      </c>
      <c r="V509" s="320">
        <f>IFERROR(__xludf.DUMMYFUNCTION("""COMPUTED_VALUE"""),3.6917)</f>
        <v>3.6917</v>
      </c>
      <c r="W509" s="320">
        <f>IFERROR(__xludf.DUMMYFUNCTION("""COMPUTED_VALUE"""),0.07)</f>
        <v>0.07</v>
      </c>
      <c r="X509" s="320">
        <f>IFERROR(__xludf.DUMMYFUNCTION("""COMPUTED_VALUE"""),134.0)</f>
        <v>134</v>
      </c>
      <c r="Y509" s="320">
        <f>IFERROR(__xludf.DUMMYFUNCTION("""COMPUTED_VALUE"""),951.0)</f>
        <v>951</v>
      </c>
      <c r="Z509" s="320">
        <f>IFERROR(__xludf.DUMMYFUNCTION("""COMPUTED_VALUE"""),6361.0)</f>
        <v>6361</v>
      </c>
      <c r="AA509" s="320">
        <f>IFERROR(__xludf.DUMMYFUNCTION("""COMPUTED_VALUE"""),55.9071)</f>
        <v>55.9071</v>
      </c>
      <c r="AB509" s="320">
        <f>IFERROR(__xludf.DUMMYFUNCTION("""COMPUTED_VALUE"""),0.7367)</f>
        <v>0.7367</v>
      </c>
      <c r="AC509" s="320">
        <f>IFERROR(__xludf.DUMMYFUNCTION("""COMPUTED_VALUE"""),17.23)</f>
        <v>17.23</v>
      </c>
      <c r="AD509" s="320">
        <f>IFERROR(__xludf.DUMMYFUNCTION("""COMPUTED_VALUE"""),7.0)</f>
        <v>7</v>
      </c>
      <c r="AE509" s="320">
        <f>IFERROR(__xludf.DUMMYFUNCTION("""COMPUTED_VALUE"""),13.0)</f>
        <v>13</v>
      </c>
      <c r="AF509" s="320">
        <f>IFERROR(__xludf.DUMMYFUNCTION("""COMPUTED_VALUE"""),24.0)</f>
        <v>24</v>
      </c>
      <c r="AG509" s="320">
        <f>IFERROR(__xludf.DUMMYFUNCTION("""COMPUTED_VALUE"""),36.0)</f>
        <v>36</v>
      </c>
      <c r="AH509" s="320">
        <f>IFERROR(__xludf.DUMMYFUNCTION("""COMPUTED_VALUE"""),58.47)</f>
        <v>58.47</v>
      </c>
      <c r="AI509" s="320">
        <f>IFERROR(__xludf.DUMMYFUNCTION("""COMPUTED_VALUE"""),22.61)</f>
        <v>22.61</v>
      </c>
      <c r="AJ509" s="320">
        <f>IFERROR(__xludf.DUMMYFUNCTION("""COMPUTED_VALUE"""),6.13)</f>
        <v>6.13</v>
      </c>
      <c r="AK509" s="320">
        <f>IFERROR(__xludf.DUMMYFUNCTION("""COMPUTED_VALUE"""),0.1713)</f>
        <v>0.1713</v>
      </c>
      <c r="AL509" s="320">
        <f>IFERROR(__xludf.DUMMYFUNCTION("""COMPUTED_VALUE"""),19.46)</f>
        <v>19.46</v>
      </c>
      <c r="AM509" s="320">
        <f>IFERROR(__xludf.DUMMYFUNCTION("""COMPUTED_VALUE"""),51.58)</f>
        <v>51.58</v>
      </c>
      <c r="AN509" s="320">
        <f>IFERROR(__xludf.DUMMYFUNCTION("""COMPUTED_VALUE"""),78.06)</f>
        <v>78.06</v>
      </c>
      <c r="AO509" s="320">
        <f>IFERROR(__xludf.DUMMYFUNCTION("""COMPUTED_VALUE"""),15.19)</f>
        <v>15.19</v>
      </c>
    </row>
    <row r="510" ht="15.0" customHeight="1">
      <c r="A510" s="328">
        <f>IFERROR(__xludf.DUMMYFUNCTION("""COMPUTED_VALUE"""),46134.0)</f>
        <v>46134</v>
      </c>
      <c r="B510" s="319" t="str">
        <f>IFERROR(__xludf.DUMMYFUNCTION("""COMPUTED_VALUE"""),"E. 40-99")</f>
        <v>E. 40-99</v>
      </c>
      <c r="C510" s="320">
        <f>IFERROR(__xludf.DUMMYFUNCTION("""COMPUTED_VALUE"""),5628.0)</f>
        <v>5628</v>
      </c>
      <c r="D510" s="320">
        <f>IFERROR(__xludf.DUMMYFUNCTION("""COMPUTED_VALUE"""),5.43)</f>
        <v>5.43</v>
      </c>
      <c r="E510" s="320">
        <f>IFERROR(__xludf.DUMMYFUNCTION("""COMPUTED_VALUE"""),0.0)</f>
        <v>0</v>
      </c>
      <c r="F510" s="320">
        <f>IFERROR(__xludf.DUMMYFUNCTION("""COMPUTED_VALUE"""),0.0)</f>
        <v>0</v>
      </c>
      <c r="G510" s="320">
        <f>IFERROR(__xludf.DUMMYFUNCTION("""COMPUTED_VALUE"""),0.0)</f>
        <v>0</v>
      </c>
      <c r="H510" s="106"/>
      <c r="I510" s="320">
        <f>IFERROR(__xludf.DUMMYFUNCTION("""COMPUTED_VALUE"""),130.52)</f>
        <v>130.52</v>
      </c>
      <c r="J510" s="320">
        <f>IFERROR(__xludf.DUMMYFUNCTION("""COMPUTED_VALUE"""),70.78)</f>
        <v>70.78</v>
      </c>
      <c r="K510" s="320">
        <f>IFERROR(__xludf.DUMMYFUNCTION("""COMPUTED_VALUE"""),54.99)</f>
        <v>54.99</v>
      </c>
      <c r="L510" s="320">
        <f>IFERROR(__xludf.DUMMYFUNCTION("""COMPUTED_VALUE"""),0.7769)</f>
        <v>0.7769</v>
      </c>
      <c r="M510" s="320">
        <f>IFERROR(__xludf.DUMMYFUNCTION("""COMPUTED_VALUE"""),0.4033)</f>
        <v>0.4033</v>
      </c>
      <c r="N510" s="320">
        <f>IFERROR(__xludf.DUMMYFUNCTION("""COMPUTED_VALUE"""),0.2872)</f>
        <v>0.2872</v>
      </c>
      <c r="O510" s="320">
        <f>IFERROR(__xludf.DUMMYFUNCTION("""COMPUTED_VALUE"""),1.2871)</f>
        <v>1.2871</v>
      </c>
      <c r="P510" s="320">
        <f>IFERROR(__xludf.DUMMYFUNCTION("""COMPUTED_VALUE"""),213.36)</f>
        <v>213.36</v>
      </c>
      <c r="Q510" s="320">
        <f>IFERROR(__xludf.DUMMYFUNCTION("""COMPUTED_VALUE"""),106.13)</f>
        <v>106.13</v>
      </c>
      <c r="R510" s="320">
        <f>IFERROR(__xludf.DUMMYFUNCTION("""COMPUTED_VALUE"""),107.23)</f>
        <v>107.23</v>
      </c>
      <c r="S510" s="320">
        <f>IFERROR(__xludf.DUMMYFUNCTION("""COMPUTED_VALUE"""),0.0)</f>
        <v>0</v>
      </c>
      <c r="T510" s="320">
        <f>IFERROR(__xludf.DUMMYFUNCTION("""COMPUTED_VALUE"""),213.36)</f>
        <v>213.36</v>
      </c>
      <c r="U510" s="320">
        <f>IFERROR(__xludf.DUMMYFUNCTION("""COMPUTED_VALUE"""),303.7)</f>
        <v>303.7</v>
      </c>
      <c r="V510" s="320">
        <f>IFERROR(__xludf.DUMMYFUNCTION("""COMPUTED_VALUE"""),4.2908)</f>
        <v>4.2908</v>
      </c>
      <c r="W510" s="320">
        <f>IFERROR(__xludf.DUMMYFUNCTION("""COMPUTED_VALUE"""),0.0)</f>
        <v>0</v>
      </c>
      <c r="X510" s="320">
        <f>IFERROR(__xludf.DUMMYFUNCTION("""COMPUTED_VALUE"""),209.0)</f>
        <v>209</v>
      </c>
      <c r="Y510" s="320">
        <f>IFERROR(__xludf.DUMMYFUNCTION("""COMPUTED_VALUE"""),2185.0)</f>
        <v>2185</v>
      </c>
      <c r="Z510" s="320">
        <f>IFERROR(__xludf.DUMMYFUNCTION("""COMPUTED_VALUE"""),9422.0)</f>
        <v>9422</v>
      </c>
      <c r="AA510" s="320">
        <f>IFERROR(__xludf.DUMMYFUNCTION("""COMPUTED_VALUE"""),59.892)</f>
        <v>59.892</v>
      </c>
      <c r="AB510" s="320">
        <f>IFERROR(__xludf.DUMMYFUNCTION("""COMPUTED_VALUE"""),0.8379)</f>
        <v>0.8379</v>
      </c>
      <c r="AC510" s="320">
        <f>IFERROR(__xludf.DUMMYFUNCTION("""COMPUTED_VALUE"""),36.95)</f>
        <v>36.95</v>
      </c>
      <c r="AD510" s="320">
        <f>IFERROR(__xludf.DUMMYFUNCTION("""COMPUTED_VALUE"""),14.0)</f>
        <v>14</v>
      </c>
      <c r="AE510" s="320">
        <f>IFERROR(__xludf.DUMMYFUNCTION("""COMPUTED_VALUE"""),29.0)</f>
        <v>29</v>
      </c>
      <c r="AF510" s="320">
        <f>IFERROR(__xludf.DUMMYFUNCTION("""COMPUTED_VALUE"""),51.0)</f>
        <v>51</v>
      </c>
      <c r="AG510" s="320">
        <f>IFERROR(__xludf.DUMMYFUNCTION("""COMPUTED_VALUE"""),79.0)</f>
        <v>79</v>
      </c>
      <c r="AH510" s="320">
        <f>IFERROR(__xludf.DUMMYFUNCTION("""COMPUTED_VALUE"""),50.98)</f>
        <v>50.98</v>
      </c>
      <c r="AI510" s="320">
        <f>IFERROR(__xludf.DUMMYFUNCTION("""COMPUTED_VALUE"""),18.83)</f>
        <v>18.83</v>
      </c>
      <c r="AJ510" s="320">
        <f>IFERROR(__xludf.DUMMYFUNCTION("""COMPUTED_VALUE"""),4.82)</f>
        <v>4.82</v>
      </c>
      <c r="AK510" s="320">
        <f>IFERROR(__xludf.DUMMYFUNCTION("""COMPUTED_VALUE"""),0.1228)</f>
        <v>0.1228</v>
      </c>
      <c r="AL510" s="320">
        <f>IFERROR(__xludf.DUMMYFUNCTION("""COMPUTED_VALUE"""),20.36)</f>
        <v>20.36</v>
      </c>
      <c r="AM510" s="320">
        <f>IFERROR(__xludf.DUMMYFUNCTION("""COMPUTED_VALUE"""),85.77)</f>
        <v>85.77</v>
      </c>
      <c r="AN510" s="320">
        <f>IFERROR(__xludf.DUMMYFUNCTION("""COMPUTED_VALUE"""),82.91)</f>
        <v>82.91</v>
      </c>
      <c r="AO510" s="320">
        <f>IFERROR(__xludf.DUMMYFUNCTION("""COMPUTED_VALUE"""),16.88)</f>
        <v>16.88</v>
      </c>
    </row>
    <row r="511" ht="15.0" customHeight="1">
      <c r="A511" s="328">
        <f>IFERROR(__xludf.DUMMYFUNCTION("""COMPUTED_VALUE"""),46134.0)</f>
        <v>46134</v>
      </c>
      <c r="B511" s="319" t="str">
        <f>IFERROR(__xludf.DUMMYFUNCTION("""COMPUTED_VALUE"""),"F. 100+")</f>
        <v>F. 100+</v>
      </c>
      <c r="C511" s="320">
        <f>IFERROR(__xludf.DUMMYFUNCTION("""COMPUTED_VALUE"""),598.0)</f>
        <v>598</v>
      </c>
      <c r="D511" s="320">
        <f>IFERROR(__xludf.DUMMYFUNCTION("""COMPUTED_VALUE"""),0.58)</f>
        <v>0.58</v>
      </c>
      <c r="E511" s="320">
        <f>IFERROR(__xludf.DUMMYFUNCTION("""COMPUTED_VALUE"""),0.0)</f>
        <v>0</v>
      </c>
      <c r="F511" s="320">
        <f>IFERROR(__xludf.DUMMYFUNCTION("""COMPUTED_VALUE"""),0.0)</f>
        <v>0</v>
      </c>
      <c r="G511" s="320">
        <f>IFERROR(__xludf.DUMMYFUNCTION("""COMPUTED_VALUE"""),0.0)</f>
        <v>0</v>
      </c>
      <c r="H511" s="106"/>
      <c r="I511" s="320">
        <f>IFERROR(__xludf.DUMMYFUNCTION("""COMPUTED_VALUE"""),251.43)</f>
        <v>251.43</v>
      </c>
      <c r="J511" s="320">
        <f>IFERROR(__xludf.DUMMYFUNCTION("""COMPUTED_VALUE"""),142.99)</f>
        <v>142.99</v>
      </c>
      <c r="K511" s="320">
        <f>IFERROR(__xludf.DUMMYFUNCTION("""COMPUTED_VALUE"""),123.62)</f>
        <v>123.62</v>
      </c>
      <c r="L511" s="320">
        <f>IFERROR(__xludf.DUMMYFUNCTION("""COMPUTED_VALUE"""),0.8645)</f>
        <v>0.8645</v>
      </c>
      <c r="M511" s="320">
        <f>IFERROR(__xludf.DUMMYFUNCTION("""COMPUTED_VALUE"""),0.2926)</f>
        <v>0.2926</v>
      </c>
      <c r="N511" s="320">
        <f>IFERROR(__xludf.DUMMYFUNCTION("""COMPUTED_VALUE"""),0.2202)</f>
        <v>0.2202</v>
      </c>
      <c r="O511" s="320">
        <f>IFERROR(__xludf.DUMMYFUNCTION("""COMPUTED_VALUE"""),1.1567)</f>
        <v>1.1567</v>
      </c>
      <c r="P511" s="320">
        <f>IFERROR(__xludf.DUMMYFUNCTION("""COMPUTED_VALUE"""),421.15)</f>
        <v>421.15</v>
      </c>
      <c r="Q511" s="320">
        <f>IFERROR(__xludf.DUMMYFUNCTION("""COMPUTED_VALUE"""),175.9)</f>
        <v>175.9</v>
      </c>
      <c r="R511" s="320">
        <f>IFERROR(__xludf.DUMMYFUNCTION("""COMPUTED_VALUE"""),245.25)</f>
        <v>245.25</v>
      </c>
      <c r="S511" s="320">
        <f>IFERROR(__xludf.DUMMYFUNCTION("""COMPUTED_VALUE"""),0.0)</f>
        <v>0</v>
      </c>
      <c r="T511" s="320">
        <f>IFERROR(__xludf.DUMMYFUNCTION("""COMPUTED_VALUE"""),421.15)</f>
        <v>421.15</v>
      </c>
      <c r="U511" s="320">
        <f>IFERROR(__xludf.DUMMYFUNCTION("""COMPUTED_VALUE"""),577.42)</f>
        <v>577.42</v>
      </c>
      <c r="V511" s="320">
        <f>IFERROR(__xludf.DUMMYFUNCTION("""COMPUTED_VALUE"""),4.0382)</f>
        <v>4.0382</v>
      </c>
      <c r="W511" s="320">
        <f>IFERROR(__xludf.DUMMYFUNCTION("""COMPUTED_VALUE"""),0.0)</f>
        <v>0</v>
      </c>
      <c r="X511" s="320">
        <f>IFERROR(__xludf.DUMMYFUNCTION("""COMPUTED_VALUE"""),639.0)</f>
        <v>639</v>
      </c>
      <c r="Y511" s="320">
        <f>IFERROR(__xludf.DUMMYFUNCTION("""COMPUTED_VALUE"""),3926.0)</f>
        <v>3926</v>
      </c>
      <c r="Z511" s="320">
        <f>IFERROR(__xludf.DUMMYFUNCTION("""COMPUTED_VALUE"""),11521.0)</f>
        <v>11521</v>
      </c>
      <c r="AA511" s="320">
        <f>IFERROR(__xludf.DUMMYFUNCTION("""COMPUTED_VALUE"""),63.7881)</f>
        <v>63.7881</v>
      </c>
      <c r="AB511" s="320">
        <f>IFERROR(__xludf.DUMMYFUNCTION("""COMPUTED_VALUE"""),0.9023)</f>
        <v>0.9023</v>
      </c>
      <c r="AC511" s="320">
        <f>IFERROR(__xludf.DUMMYFUNCTION("""COMPUTED_VALUE"""),82.51)</f>
        <v>82.51</v>
      </c>
      <c r="AD511" s="320">
        <f>IFERROR(__xludf.DUMMYFUNCTION("""COMPUTED_VALUE"""),34.0)</f>
        <v>34</v>
      </c>
      <c r="AE511" s="320">
        <f>IFERROR(__xludf.DUMMYFUNCTION("""COMPUTED_VALUE"""),66.0)</f>
        <v>66</v>
      </c>
      <c r="AF511" s="320">
        <f>IFERROR(__xludf.DUMMYFUNCTION("""COMPUTED_VALUE"""),115.0)</f>
        <v>115</v>
      </c>
      <c r="AG511" s="320">
        <f>IFERROR(__xludf.DUMMYFUNCTION("""COMPUTED_VALUE"""),171.0)</f>
        <v>171</v>
      </c>
      <c r="AH511" s="320">
        <f>IFERROR(__xludf.DUMMYFUNCTION("""COMPUTED_VALUE"""),41.81)</f>
        <v>41.81</v>
      </c>
      <c r="AI511" s="320">
        <f>IFERROR(__xludf.DUMMYFUNCTION("""COMPUTED_VALUE"""),9.87)</f>
        <v>9.87</v>
      </c>
      <c r="AJ511" s="320">
        <f>IFERROR(__xludf.DUMMYFUNCTION("""COMPUTED_VALUE"""),1.0)</f>
        <v>1</v>
      </c>
      <c r="AK511" s="320">
        <f>IFERROR(__xludf.DUMMYFUNCTION("""COMPUTED_VALUE"""),0.0753)</f>
        <v>0.0753</v>
      </c>
      <c r="AL511" s="320">
        <f>IFERROR(__xludf.DUMMYFUNCTION("""COMPUTED_VALUE"""),24.43)</f>
        <v>24.43</v>
      </c>
      <c r="AM511" s="320">
        <f>IFERROR(__xludf.DUMMYFUNCTION("""COMPUTED_VALUE"""),151.47)</f>
        <v>151.47</v>
      </c>
      <c r="AN511" s="320">
        <f>IFERROR(__xludf.DUMMYFUNCTION("""COMPUTED_VALUE"""),86.19)</f>
        <v>86.19</v>
      </c>
      <c r="AO511" s="320">
        <f>IFERROR(__xludf.DUMMYFUNCTION("""COMPUTED_VALUE"""),21.06)</f>
        <v>21.06</v>
      </c>
    </row>
    <row r="512" ht="15.0" customHeight="1">
      <c r="A512" s="328">
        <f>IFERROR(__xludf.DUMMYFUNCTION("""COMPUTED_VALUE"""),46135.0)</f>
        <v>46135</v>
      </c>
      <c r="B512" s="319" t="str">
        <f>IFERROR(__xludf.DUMMYFUNCTION("""COMPUTED_VALUE"""),"A. 0")</f>
        <v>A. 0</v>
      </c>
      <c r="C512" s="320">
        <f>IFERROR(__xludf.DUMMYFUNCTION("""COMPUTED_VALUE"""),20472.0)</f>
        <v>20472</v>
      </c>
      <c r="D512" s="320">
        <f>IFERROR(__xludf.DUMMYFUNCTION("""COMPUTED_VALUE"""),20.1)</f>
        <v>20.1</v>
      </c>
      <c r="E512" s="320">
        <f>IFERROR(__xludf.DUMMYFUNCTION("""COMPUTED_VALUE"""),0.0)</f>
        <v>0</v>
      </c>
      <c r="F512" s="320">
        <f>IFERROR(__xludf.DUMMYFUNCTION("""COMPUTED_VALUE"""),0.0)</f>
        <v>0</v>
      </c>
      <c r="G512" s="320">
        <f>IFERROR(__xludf.DUMMYFUNCTION("""COMPUTED_VALUE"""),0.0)</f>
        <v>0</v>
      </c>
      <c r="H512" s="106"/>
      <c r="I512" s="320">
        <f>IFERROR(__xludf.DUMMYFUNCTION("""COMPUTED_VALUE"""),6.2)</f>
        <v>6.2</v>
      </c>
      <c r="J512" s="320">
        <f>IFERROR(__xludf.DUMMYFUNCTION("""COMPUTED_VALUE"""),2.55)</f>
        <v>2.55</v>
      </c>
      <c r="K512" s="320">
        <f>IFERROR(__xludf.DUMMYFUNCTION("""COMPUTED_VALUE"""),0.05)</f>
        <v>0.05</v>
      </c>
      <c r="L512" s="320">
        <f>IFERROR(__xludf.DUMMYFUNCTION("""COMPUTED_VALUE"""),0.0193)</f>
        <v>0.0193</v>
      </c>
      <c r="M512" s="320">
        <f>IFERROR(__xludf.DUMMYFUNCTION("""COMPUTED_VALUE"""),0.9859)</f>
        <v>0.9859</v>
      </c>
      <c r="N512" s="320">
        <f>IFERROR(__xludf.DUMMYFUNCTION("""COMPUTED_VALUE"""),0.8251)</f>
        <v>0.8251</v>
      </c>
      <c r="O512" s="320">
        <f>IFERROR(__xludf.DUMMYFUNCTION("""COMPUTED_VALUE"""),51.744)</f>
        <v>51.744</v>
      </c>
      <c r="P512" s="320">
        <f>IFERROR(__xludf.DUMMYFUNCTION("""COMPUTED_VALUE"""),22.36)</f>
        <v>22.36</v>
      </c>
      <c r="Q512" s="320">
        <f>IFERROR(__xludf.DUMMYFUNCTION("""COMPUTED_VALUE"""),22.27)</f>
        <v>22.27</v>
      </c>
      <c r="R512" s="320">
        <f>IFERROR(__xludf.DUMMYFUNCTION("""COMPUTED_VALUE"""),0.09)</f>
        <v>0.09</v>
      </c>
      <c r="S512" s="320">
        <f>IFERROR(__xludf.DUMMYFUNCTION("""COMPUTED_VALUE"""),0.0)</f>
        <v>0</v>
      </c>
      <c r="T512" s="320">
        <f>IFERROR(__xludf.DUMMYFUNCTION("""COMPUTED_VALUE"""),22.36)</f>
        <v>22.36</v>
      </c>
      <c r="U512" s="320">
        <f>IFERROR(__xludf.DUMMYFUNCTION("""COMPUTED_VALUE"""),2.11)</f>
        <v>2.11</v>
      </c>
      <c r="V512" s="320">
        <f>IFERROR(__xludf.DUMMYFUNCTION("""COMPUTED_VALUE"""),0.8273)</f>
        <v>0.8273</v>
      </c>
      <c r="W512" s="320">
        <f>IFERROR(__xludf.DUMMYFUNCTION("""COMPUTED_VALUE"""),0.0)</f>
        <v>0</v>
      </c>
      <c r="X512" s="320">
        <f>IFERROR(__xludf.DUMMYFUNCTION("""COMPUTED_VALUE"""),301.0)</f>
        <v>301</v>
      </c>
      <c r="Y512" s="320">
        <f>IFERROR(__xludf.DUMMYFUNCTION("""COMPUTED_VALUE"""),3708.0)</f>
        <v>3708</v>
      </c>
      <c r="Z512" s="320">
        <f>IFERROR(__xludf.DUMMYFUNCTION("""COMPUTED_VALUE"""),14923.0)</f>
        <v>14923</v>
      </c>
      <c r="AA512" s="320">
        <f>IFERROR(__xludf.DUMMYFUNCTION("""COMPUTED_VALUE"""),48.967)</f>
        <v>48.967</v>
      </c>
      <c r="AB512" s="320">
        <f>IFERROR(__xludf.DUMMYFUNCTION("""COMPUTED_VALUE"""),0.5393)</f>
        <v>0.5393</v>
      </c>
      <c r="AC512" s="106"/>
      <c r="AD512" s="106"/>
      <c r="AE512" s="106"/>
      <c r="AF512" s="106"/>
      <c r="AG512" s="106"/>
      <c r="AH512" s="320">
        <f>IFERROR(__xludf.DUMMYFUNCTION("""COMPUTED_VALUE"""),0.0)</f>
        <v>0</v>
      </c>
      <c r="AI512" s="320">
        <f>IFERROR(__xludf.DUMMYFUNCTION("""COMPUTED_VALUE"""),0.0)</f>
        <v>0</v>
      </c>
      <c r="AJ512" s="320">
        <f>IFERROR(__xludf.DUMMYFUNCTION("""COMPUTED_VALUE"""),0.0)</f>
        <v>0</v>
      </c>
      <c r="AK512" s="320">
        <f>IFERROR(__xludf.DUMMYFUNCTION("""COMPUTED_VALUE"""),0.2884)</f>
        <v>0.2884</v>
      </c>
      <c r="AL512" s="320">
        <f>IFERROR(__xludf.DUMMYFUNCTION("""COMPUTED_VALUE"""),16.48)</f>
        <v>16.48</v>
      </c>
      <c r="AM512" s="320">
        <f>IFERROR(__xludf.DUMMYFUNCTION("""COMPUTED_VALUE"""),5.78)</f>
        <v>5.78</v>
      </c>
      <c r="AN512" s="331"/>
      <c r="AO512" s="331"/>
    </row>
    <row r="513" ht="15.0" customHeight="1">
      <c r="A513" s="328">
        <f>IFERROR(__xludf.DUMMYFUNCTION("""COMPUTED_VALUE"""),46135.0)</f>
        <v>46135</v>
      </c>
      <c r="B513" s="319" t="str">
        <f>IFERROR(__xludf.DUMMYFUNCTION("""COMPUTED_VALUE"""),"B. 1-9")</f>
        <v>B. 1-9</v>
      </c>
      <c r="C513" s="320">
        <f>IFERROR(__xludf.DUMMYFUNCTION("""COMPUTED_VALUE"""),36417.0)</f>
        <v>36417</v>
      </c>
      <c r="D513" s="320">
        <f>IFERROR(__xludf.DUMMYFUNCTION("""COMPUTED_VALUE"""),35.75)</f>
        <v>35.75</v>
      </c>
      <c r="E513" s="320">
        <f>IFERROR(__xludf.DUMMYFUNCTION("""COMPUTED_VALUE"""),0.0)</f>
        <v>0</v>
      </c>
      <c r="F513" s="320">
        <f>IFERROR(__xludf.DUMMYFUNCTION("""COMPUTED_VALUE"""),0.0)</f>
        <v>0</v>
      </c>
      <c r="G513" s="320">
        <f>IFERROR(__xludf.DUMMYFUNCTION("""COMPUTED_VALUE"""),0.0)</f>
        <v>0</v>
      </c>
      <c r="H513" s="106"/>
      <c r="I513" s="320">
        <f>IFERROR(__xludf.DUMMYFUNCTION("""COMPUTED_VALUE"""),27.62)</f>
        <v>27.62</v>
      </c>
      <c r="J513" s="320">
        <f>IFERROR(__xludf.DUMMYFUNCTION("""COMPUTED_VALUE"""),12.47)</f>
        <v>12.47</v>
      </c>
      <c r="K513" s="320">
        <f>IFERROR(__xludf.DUMMYFUNCTION("""COMPUTED_VALUE"""),5.41)</f>
        <v>5.41</v>
      </c>
      <c r="L513" s="320">
        <f>IFERROR(__xludf.DUMMYFUNCTION("""COMPUTED_VALUE"""),0.4335)</f>
        <v>0.4335</v>
      </c>
      <c r="M513" s="320">
        <f>IFERROR(__xludf.DUMMYFUNCTION("""COMPUTED_VALUE"""),0.7442)</f>
        <v>0.7442</v>
      </c>
      <c r="N513" s="320">
        <f>IFERROR(__xludf.DUMMYFUNCTION("""COMPUTED_VALUE"""),0.556)</f>
        <v>0.556</v>
      </c>
      <c r="O513" s="320">
        <f>IFERROR(__xludf.DUMMYFUNCTION("""COMPUTED_VALUE"""),2.3069)</f>
        <v>2.3069</v>
      </c>
      <c r="P513" s="320">
        <f>IFERROR(__xludf.DUMMYFUNCTION("""COMPUTED_VALUE"""),46.17)</f>
        <v>46.17</v>
      </c>
      <c r="Q513" s="320">
        <f>IFERROR(__xludf.DUMMYFUNCTION("""COMPUTED_VALUE"""),35.48)</f>
        <v>35.48</v>
      </c>
      <c r="R513" s="320">
        <f>IFERROR(__xludf.DUMMYFUNCTION("""COMPUTED_VALUE"""),10.69)</f>
        <v>10.69</v>
      </c>
      <c r="S513" s="320">
        <f>IFERROR(__xludf.DUMMYFUNCTION("""COMPUTED_VALUE"""),0.03)</f>
        <v>0.03</v>
      </c>
      <c r="T513" s="320">
        <f>IFERROR(__xludf.DUMMYFUNCTION("""COMPUTED_VALUE"""),46.14)</f>
        <v>46.14</v>
      </c>
      <c r="U513" s="320">
        <f>IFERROR(__xludf.DUMMYFUNCTION("""COMPUTED_VALUE"""),48.37)</f>
        <v>48.37</v>
      </c>
      <c r="V513" s="320">
        <f>IFERROR(__xludf.DUMMYFUNCTION("""COMPUTED_VALUE"""),3.8781)</f>
        <v>3.8781</v>
      </c>
      <c r="W513" s="320">
        <f>IFERROR(__xludf.DUMMYFUNCTION("""COMPUTED_VALUE"""),0.07)</f>
        <v>0.07</v>
      </c>
      <c r="X513" s="320">
        <f>IFERROR(__xludf.DUMMYFUNCTION("""COMPUTED_VALUE"""),139.0)</f>
        <v>139</v>
      </c>
      <c r="Y513" s="320">
        <f>IFERROR(__xludf.DUMMYFUNCTION("""COMPUTED_VALUE"""),885.0)</f>
        <v>885</v>
      </c>
      <c r="Z513" s="320">
        <f>IFERROR(__xludf.DUMMYFUNCTION("""COMPUTED_VALUE"""),6007.0)</f>
        <v>6007</v>
      </c>
      <c r="AA513" s="320">
        <f>IFERROR(__xludf.DUMMYFUNCTION("""COMPUTED_VALUE"""),48.9174)</f>
        <v>48.9174</v>
      </c>
      <c r="AB513" s="320">
        <f>IFERROR(__xludf.DUMMYFUNCTION("""COMPUTED_VALUE"""),0.5338)</f>
        <v>0.5338</v>
      </c>
      <c r="AC513" s="320">
        <f>IFERROR(__xludf.DUMMYFUNCTION("""COMPUTED_VALUE"""),3.94)</f>
        <v>3.94</v>
      </c>
      <c r="AD513" s="320">
        <f>IFERROR(__xludf.DUMMYFUNCTION("""COMPUTED_VALUE"""),1.0)</f>
        <v>1</v>
      </c>
      <c r="AE513" s="320">
        <f>IFERROR(__xludf.DUMMYFUNCTION("""COMPUTED_VALUE"""),3.0)</f>
        <v>3</v>
      </c>
      <c r="AF513" s="320">
        <f>IFERROR(__xludf.DUMMYFUNCTION("""COMPUTED_VALUE"""),5.0)</f>
        <v>5</v>
      </c>
      <c r="AG513" s="320">
        <f>IFERROR(__xludf.DUMMYFUNCTION("""COMPUTED_VALUE"""),9.0)</f>
        <v>9</v>
      </c>
      <c r="AH513" s="320">
        <f>IFERROR(__xludf.DUMMYFUNCTION("""COMPUTED_VALUE"""),71.62)</f>
        <v>71.62</v>
      </c>
      <c r="AI513" s="320">
        <f>IFERROR(__xludf.DUMMYFUNCTION("""COMPUTED_VALUE"""),29.75)</f>
        <v>29.75</v>
      </c>
      <c r="AJ513" s="320">
        <f>IFERROR(__xludf.DUMMYFUNCTION("""COMPUTED_VALUE"""),8.66)</f>
        <v>8.66</v>
      </c>
      <c r="AK513" s="320">
        <f>IFERROR(__xludf.DUMMYFUNCTION("""COMPUTED_VALUE"""),0.2568)</f>
        <v>0.2568</v>
      </c>
      <c r="AL513" s="320">
        <f>IFERROR(__xludf.DUMMYFUNCTION("""COMPUTED_VALUE"""),19.11)</f>
        <v>19.11</v>
      </c>
      <c r="AM513" s="320">
        <f>IFERROR(__xludf.DUMMYFUNCTION("""COMPUTED_VALUE"""),16.37)</f>
        <v>16.37</v>
      </c>
      <c r="AN513" s="320">
        <f>IFERROR(__xludf.DUMMYFUNCTION("""COMPUTED_VALUE"""),66.08)</f>
        <v>66.08</v>
      </c>
      <c r="AO513" s="320">
        <f>IFERROR(__xludf.DUMMYFUNCTION("""COMPUTED_VALUE"""),12.63)</f>
        <v>12.63</v>
      </c>
    </row>
    <row r="514" ht="15.0" customHeight="1">
      <c r="A514" s="328">
        <f>IFERROR(__xludf.DUMMYFUNCTION("""COMPUTED_VALUE"""),46135.0)</f>
        <v>46135</v>
      </c>
      <c r="B514" s="319" t="str">
        <f>IFERROR(__xludf.DUMMYFUNCTION("""COMPUTED_VALUE"""),"C. 10-19")</f>
        <v>C. 10-19</v>
      </c>
      <c r="C514" s="320">
        <f>IFERROR(__xludf.DUMMYFUNCTION("""COMPUTED_VALUE"""),24894.0)</f>
        <v>24894</v>
      </c>
      <c r="D514" s="320">
        <f>IFERROR(__xludf.DUMMYFUNCTION("""COMPUTED_VALUE"""),24.44)</f>
        <v>24.44</v>
      </c>
      <c r="E514" s="320">
        <f>IFERROR(__xludf.DUMMYFUNCTION("""COMPUTED_VALUE"""),0.0)</f>
        <v>0</v>
      </c>
      <c r="F514" s="320">
        <f>IFERROR(__xludf.DUMMYFUNCTION("""COMPUTED_VALUE"""),0.0)</f>
        <v>0</v>
      </c>
      <c r="G514" s="320">
        <f>IFERROR(__xludf.DUMMYFUNCTION("""COMPUTED_VALUE"""),0.0)</f>
        <v>0</v>
      </c>
      <c r="H514" s="106"/>
      <c r="I514" s="320">
        <f>IFERROR(__xludf.DUMMYFUNCTION("""COMPUTED_VALUE"""),51.55)</f>
        <v>51.55</v>
      </c>
      <c r="J514" s="320">
        <f>IFERROR(__xludf.DUMMYFUNCTION("""COMPUTED_VALUE"""),24.33)</f>
        <v>24.33</v>
      </c>
      <c r="K514" s="320">
        <f>IFERROR(__xludf.DUMMYFUNCTION("""COMPUTED_VALUE"""),13.63)</f>
        <v>13.63</v>
      </c>
      <c r="L514" s="320">
        <f>IFERROR(__xludf.DUMMYFUNCTION("""COMPUTED_VALUE"""),0.5603)</f>
        <v>0.5603</v>
      </c>
      <c r="M514" s="320">
        <f>IFERROR(__xludf.DUMMYFUNCTION("""COMPUTED_VALUE"""),0.6369)</f>
        <v>0.6369</v>
      </c>
      <c r="N514" s="320">
        <f>IFERROR(__xludf.DUMMYFUNCTION("""COMPUTED_VALUE"""),0.4481)</f>
        <v>0.4481</v>
      </c>
      <c r="O514" s="320">
        <f>IFERROR(__xludf.DUMMYFUNCTION("""COMPUTED_VALUE"""),1.7847)</f>
        <v>1.7847</v>
      </c>
      <c r="P514" s="320">
        <f>IFERROR(__xludf.DUMMYFUNCTION("""COMPUTED_VALUE"""),93.98)</f>
        <v>93.98</v>
      </c>
      <c r="Q514" s="320">
        <f>IFERROR(__xludf.DUMMYFUNCTION("""COMPUTED_VALUE"""),67.96)</f>
        <v>67.96</v>
      </c>
      <c r="R514" s="320">
        <f>IFERROR(__xludf.DUMMYFUNCTION("""COMPUTED_VALUE"""),26.02)</f>
        <v>26.02</v>
      </c>
      <c r="S514" s="320">
        <f>IFERROR(__xludf.DUMMYFUNCTION("""COMPUTED_VALUE"""),0.04)</f>
        <v>0.04</v>
      </c>
      <c r="T514" s="320">
        <f>IFERROR(__xludf.DUMMYFUNCTION("""COMPUTED_VALUE"""),93.94)</f>
        <v>93.94</v>
      </c>
      <c r="U514" s="320">
        <f>IFERROR(__xludf.DUMMYFUNCTION("""COMPUTED_VALUE"""),92.11)</f>
        <v>92.11</v>
      </c>
      <c r="V514" s="320">
        <f>IFERROR(__xludf.DUMMYFUNCTION("""COMPUTED_VALUE"""),3.7863)</f>
        <v>3.7863</v>
      </c>
      <c r="W514" s="320">
        <f>IFERROR(__xludf.DUMMYFUNCTION("""COMPUTED_VALUE"""),0.04)</f>
        <v>0.04</v>
      </c>
      <c r="X514" s="320">
        <f>IFERROR(__xludf.DUMMYFUNCTION("""COMPUTED_VALUE"""),126.0)</f>
        <v>126</v>
      </c>
      <c r="Y514" s="320">
        <f>IFERROR(__xludf.DUMMYFUNCTION("""COMPUTED_VALUE"""),710.0)</f>
        <v>710</v>
      </c>
      <c r="Z514" s="320">
        <f>IFERROR(__xludf.DUMMYFUNCTION("""COMPUTED_VALUE"""),5345.0)</f>
        <v>5345</v>
      </c>
      <c r="AA514" s="320">
        <f>IFERROR(__xludf.DUMMYFUNCTION("""COMPUTED_VALUE"""),52.3679)</f>
        <v>52.3679</v>
      </c>
      <c r="AB514" s="320">
        <f>IFERROR(__xludf.DUMMYFUNCTION("""COMPUTED_VALUE"""),0.6233)</f>
        <v>0.6233</v>
      </c>
      <c r="AC514" s="320">
        <f>IFERROR(__xludf.DUMMYFUNCTION("""COMPUTED_VALUE"""),9.18)</f>
        <v>9.18</v>
      </c>
      <c r="AD514" s="320">
        <f>IFERROR(__xludf.DUMMYFUNCTION("""COMPUTED_VALUE"""),3.0)</f>
        <v>3</v>
      </c>
      <c r="AE514" s="320">
        <f>IFERROR(__xludf.DUMMYFUNCTION("""COMPUTED_VALUE"""),7.0)</f>
        <v>7</v>
      </c>
      <c r="AF514" s="320">
        <f>IFERROR(__xludf.DUMMYFUNCTION("""COMPUTED_VALUE"""),12.0)</f>
        <v>12</v>
      </c>
      <c r="AG514" s="320">
        <f>IFERROR(__xludf.DUMMYFUNCTION("""COMPUTED_VALUE"""),20.0)</f>
        <v>20</v>
      </c>
      <c r="AH514" s="320">
        <f>IFERROR(__xludf.DUMMYFUNCTION("""COMPUTED_VALUE"""),57.74)</f>
        <v>57.74</v>
      </c>
      <c r="AI514" s="320">
        <f>IFERROR(__xludf.DUMMYFUNCTION("""COMPUTED_VALUE"""),25.0)</f>
        <v>25</v>
      </c>
      <c r="AJ514" s="320">
        <f>IFERROR(__xludf.DUMMYFUNCTION("""COMPUTED_VALUE"""),4.69)</f>
        <v>4.69</v>
      </c>
      <c r="AK514" s="320">
        <f>IFERROR(__xludf.DUMMYFUNCTION("""COMPUTED_VALUE"""),0.1984)</f>
        <v>0.1984</v>
      </c>
      <c r="AL514" s="320">
        <f>IFERROR(__xludf.DUMMYFUNCTION("""COMPUTED_VALUE"""),19.86)</f>
        <v>19.86</v>
      </c>
      <c r="AM514" s="320">
        <f>IFERROR(__xludf.DUMMYFUNCTION("""COMPUTED_VALUE"""),48.1)</f>
        <v>48.1</v>
      </c>
      <c r="AN514" s="320">
        <f>IFERROR(__xludf.DUMMYFUNCTION("""COMPUTED_VALUE"""),75.37)</f>
        <v>75.37</v>
      </c>
      <c r="AO514" s="320">
        <f>IFERROR(__xludf.DUMMYFUNCTION("""COMPUTED_VALUE"""),14.97)</f>
        <v>14.97</v>
      </c>
    </row>
    <row r="515" ht="15.0" customHeight="1">
      <c r="A515" s="328">
        <f>IFERROR(__xludf.DUMMYFUNCTION("""COMPUTED_VALUE"""),46135.0)</f>
        <v>46135</v>
      </c>
      <c r="B515" s="319" t="str">
        <f>IFERROR(__xludf.DUMMYFUNCTION("""COMPUTED_VALUE"""),"D. 20-39")</f>
        <v>D. 20-39</v>
      </c>
      <c r="C515" s="320">
        <f>IFERROR(__xludf.DUMMYFUNCTION("""COMPUTED_VALUE"""),13850.0)</f>
        <v>13850</v>
      </c>
      <c r="D515" s="320">
        <f>IFERROR(__xludf.DUMMYFUNCTION("""COMPUTED_VALUE"""),13.6)</f>
        <v>13.6</v>
      </c>
      <c r="E515" s="320">
        <f>IFERROR(__xludf.DUMMYFUNCTION("""COMPUTED_VALUE"""),0.0)</f>
        <v>0</v>
      </c>
      <c r="F515" s="320">
        <f>IFERROR(__xludf.DUMMYFUNCTION("""COMPUTED_VALUE"""),0.0)</f>
        <v>0</v>
      </c>
      <c r="G515" s="320">
        <f>IFERROR(__xludf.DUMMYFUNCTION("""COMPUTED_VALUE"""),0.0)</f>
        <v>0</v>
      </c>
      <c r="H515" s="106"/>
      <c r="I515" s="320">
        <f>IFERROR(__xludf.DUMMYFUNCTION("""COMPUTED_VALUE"""),74.75)</f>
        <v>74.75</v>
      </c>
      <c r="J515" s="320">
        <f>IFERROR(__xludf.DUMMYFUNCTION("""COMPUTED_VALUE"""),37.87)</f>
        <v>37.87</v>
      </c>
      <c r="K515" s="320">
        <f>IFERROR(__xludf.DUMMYFUNCTION("""COMPUTED_VALUE"""),25.97)</f>
        <v>25.97</v>
      </c>
      <c r="L515" s="320">
        <f>IFERROR(__xludf.DUMMYFUNCTION("""COMPUTED_VALUE"""),0.6859)</f>
        <v>0.6859</v>
      </c>
      <c r="M515" s="320">
        <f>IFERROR(__xludf.DUMMYFUNCTION("""COMPUTED_VALUE"""),0.5083)</f>
        <v>0.5083</v>
      </c>
      <c r="N515" s="320">
        <f>IFERROR(__xludf.DUMMYFUNCTION("""COMPUTED_VALUE"""),0.3558)</f>
        <v>0.3558</v>
      </c>
      <c r="O515" s="320">
        <f>IFERROR(__xludf.DUMMYFUNCTION("""COMPUTED_VALUE"""),1.4579)</f>
        <v>1.4579</v>
      </c>
      <c r="P515" s="320">
        <f>IFERROR(__xludf.DUMMYFUNCTION("""COMPUTED_VALUE"""),178.84)</f>
        <v>178.84</v>
      </c>
      <c r="Q515" s="320">
        <f>IFERROR(__xludf.DUMMYFUNCTION("""COMPUTED_VALUE"""),128.34)</f>
        <v>128.34</v>
      </c>
      <c r="R515" s="320">
        <f>IFERROR(__xludf.DUMMYFUNCTION("""COMPUTED_VALUE"""),50.5)</f>
        <v>50.5</v>
      </c>
      <c r="S515" s="320">
        <f>IFERROR(__xludf.DUMMYFUNCTION("""COMPUTED_VALUE"""),0.0)</f>
        <v>0</v>
      </c>
      <c r="T515" s="320">
        <f>IFERROR(__xludf.DUMMYFUNCTION("""COMPUTED_VALUE"""),178.84)</f>
        <v>178.84</v>
      </c>
      <c r="U515" s="320">
        <f>IFERROR(__xludf.DUMMYFUNCTION("""COMPUTED_VALUE"""),160.57)</f>
        <v>160.57</v>
      </c>
      <c r="V515" s="320">
        <f>IFERROR(__xludf.DUMMYFUNCTION("""COMPUTED_VALUE"""),4.2403)</f>
        <v>4.2403</v>
      </c>
      <c r="W515" s="320">
        <f>IFERROR(__xludf.DUMMYFUNCTION("""COMPUTED_VALUE"""),0.0)</f>
        <v>0</v>
      </c>
      <c r="X515" s="320">
        <f>IFERROR(__xludf.DUMMYFUNCTION("""COMPUTED_VALUE"""),155.0)</f>
        <v>155</v>
      </c>
      <c r="Y515" s="320">
        <f>IFERROR(__xludf.DUMMYFUNCTION("""COMPUTED_VALUE"""),986.0)</f>
        <v>986</v>
      </c>
      <c r="Z515" s="320">
        <f>IFERROR(__xludf.DUMMYFUNCTION("""COMPUTED_VALUE"""),6125.0)</f>
        <v>6125</v>
      </c>
      <c r="AA515" s="320">
        <f>IFERROR(__xludf.DUMMYFUNCTION("""COMPUTED_VALUE"""),55.828)</f>
        <v>55.828</v>
      </c>
      <c r="AB515" s="320">
        <f>IFERROR(__xludf.DUMMYFUNCTION("""COMPUTED_VALUE"""),0.7366)</f>
        <v>0.7366</v>
      </c>
      <c r="AC515" s="320">
        <f>IFERROR(__xludf.DUMMYFUNCTION("""COMPUTED_VALUE"""),17.94)</f>
        <v>17.94</v>
      </c>
      <c r="AD515" s="320">
        <f>IFERROR(__xludf.DUMMYFUNCTION("""COMPUTED_VALUE"""),7.0)</f>
        <v>7</v>
      </c>
      <c r="AE515" s="320">
        <f>IFERROR(__xludf.DUMMYFUNCTION("""COMPUTED_VALUE"""),14.0)</f>
        <v>14</v>
      </c>
      <c r="AF515" s="320">
        <f>IFERROR(__xludf.DUMMYFUNCTION("""COMPUTED_VALUE"""),25.0)</f>
        <v>25</v>
      </c>
      <c r="AG515" s="320">
        <f>IFERROR(__xludf.DUMMYFUNCTION("""COMPUTED_VALUE"""),38.0)</f>
        <v>38</v>
      </c>
      <c r="AH515" s="320">
        <f>IFERROR(__xludf.DUMMYFUNCTION("""COMPUTED_VALUE"""),60.38)</f>
        <v>60.38</v>
      </c>
      <c r="AI515" s="320">
        <f>IFERROR(__xludf.DUMMYFUNCTION("""COMPUTED_VALUE"""),23.7)</f>
        <v>23.7</v>
      </c>
      <c r="AJ515" s="320">
        <f>IFERROR(__xludf.DUMMYFUNCTION("""COMPUTED_VALUE"""),7.57)</f>
        <v>7.57</v>
      </c>
      <c r="AK515" s="320">
        <f>IFERROR(__xludf.DUMMYFUNCTION("""COMPUTED_VALUE"""),0.1841)</f>
        <v>0.1841</v>
      </c>
      <c r="AL515" s="320">
        <f>IFERROR(__xludf.DUMMYFUNCTION("""COMPUTED_VALUE"""),19.8)</f>
        <v>19.8</v>
      </c>
      <c r="AM515" s="320">
        <f>IFERROR(__xludf.DUMMYFUNCTION("""COMPUTED_VALUE"""),108.54)</f>
        <v>108.54</v>
      </c>
      <c r="AN515" s="320">
        <f>IFERROR(__xludf.DUMMYFUNCTION("""COMPUTED_VALUE"""),78.35)</f>
        <v>78.35</v>
      </c>
      <c r="AO515" s="320">
        <f>IFERROR(__xludf.DUMMYFUNCTION("""COMPUTED_VALUE"""),15.51)</f>
        <v>15.51</v>
      </c>
    </row>
    <row r="516" ht="15.0" customHeight="1">
      <c r="A516" s="328">
        <f>IFERROR(__xludf.DUMMYFUNCTION("""COMPUTED_VALUE"""),46135.0)</f>
        <v>46135</v>
      </c>
      <c r="B516" s="319" t="str">
        <f>IFERROR(__xludf.DUMMYFUNCTION("""COMPUTED_VALUE"""),"E. 40-99")</f>
        <v>E. 40-99</v>
      </c>
      <c r="C516" s="320">
        <f>IFERROR(__xludf.DUMMYFUNCTION("""COMPUTED_VALUE"""),5627.0)</f>
        <v>5627</v>
      </c>
      <c r="D516" s="320">
        <f>IFERROR(__xludf.DUMMYFUNCTION("""COMPUTED_VALUE"""),5.52)</f>
        <v>5.52</v>
      </c>
      <c r="E516" s="320">
        <f>IFERROR(__xludf.DUMMYFUNCTION("""COMPUTED_VALUE"""),0.0)</f>
        <v>0</v>
      </c>
      <c r="F516" s="320">
        <f>IFERROR(__xludf.DUMMYFUNCTION("""COMPUTED_VALUE"""),0.0)</f>
        <v>0</v>
      </c>
      <c r="G516" s="320">
        <f>IFERROR(__xludf.DUMMYFUNCTION("""COMPUTED_VALUE"""),0.0)</f>
        <v>0</v>
      </c>
      <c r="H516" s="106"/>
      <c r="I516" s="320">
        <f>IFERROR(__xludf.DUMMYFUNCTION("""COMPUTED_VALUE"""),126.74)</f>
        <v>126.74</v>
      </c>
      <c r="J516" s="320">
        <f>IFERROR(__xludf.DUMMYFUNCTION("""COMPUTED_VALUE"""),68.96)</f>
        <v>68.96</v>
      </c>
      <c r="K516" s="320">
        <f>IFERROR(__xludf.DUMMYFUNCTION("""COMPUTED_VALUE"""),55.84)</f>
        <v>55.84</v>
      </c>
      <c r="L516" s="320">
        <f>IFERROR(__xludf.DUMMYFUNCTION("""COMPUTED_VALUE"""),0.8097)</f>
        <v>0.8097</v>
      </c>
      <c r="M516" s="320">
        <f>IFERROR(__xludf.DUMMYFUNCTION("""COMPUTED_VALUE"""),0.3721)</f>
        <v>0.3721</v>
      </c>
      <c r="N516" s="320">
        <f>IFERROR(__xludf.DUMMYFUNCTION("""COMPUTED_VALUE"""),0.2718)</f>
        <v>0.2718</v>
      </c>
      <c r="O516" s="320">
        <f>IFERROR(__xludf.DUMMYFUNCTION("""COMPUTED_VALUE"""),1.235)</f>
        <v>1.235</v>
      </c>
      <c r="P516" s="320">
        <f>IFERROR(__xludf.DUMMYFUNCTION("""COMPUTED_VALUE"""),401.55)</f>
        <v>401.55</v>
      </c>
      <c r="Q516" s="320">
        <f>IFERROR(__xludf.DUMMYFUNCTION("""COMPUTED_VALUE"""),294.16)</f>
        <v>294.16</v>
      </c>
      <c r="R516" s="320">
        <f>IFERROR(__xludf.DUMMYFUNCTION("""COMPUTED_VALUE"""),107.39)</f>
        <v>107.39</v>
      </c>
      <c r="S516" s="320">
        <f>IFERROR(__xludf.DUMMYFUNCTION("""COMPUTED_VALUE"""),0.0)</f>
        <v>0</v>
      </c>
      <c r="T516" s="320">
        <f>IFERROR(__xludf.DUMMYFUNCTION("""COMPUTED_VALUE"""),401.55)</f>
        <v>401.55</v>
      </c>
      <c r="U516" s="320">
        <f>IFERROR(__xludf.DUMMYFUNCTION("""COMPUTED_VALUE"""),329.65)</f>
        <v>329.65</v>
      </c>
      <c r="V516" s="320">
        <f>IFERROR(__xludf.DUMMYFUNCTION("""COMPUTED_VALUE"""),4.7805)</f>
        <v>4.7805</v>
      </c>
      <c r="W516" s="320">
        <f>IFERROR(__xludf.DUMMYFUNCTION("""COMPUTED_VALUE"""),0.0)</f>
        <v>0</v>
      </c>
      <c r="X516" s="320">
        <f>IFERROR(__xludf.DUMMYFUNCTION("""COMPUTED_VALUE"""),327.0)</f>
        <v>327</v>
      </c>
      <c r="Y516" s="320">
        <f>IFERROR(__xludf.DUMMYFUNCTION("""COMPUTED_VALUE"""),2310.0)</f>
        <v>2310</v>
      </c>
      <c r="Z516" s="320">
        <f>IFERROR(__xludf.DUMMYFUNCTION("""COMPUTED_VALUE"""),9856.0)</f>
        <v>9856</v>
      </c>
      <c r="AA516" s="320">
        <f>IFERROR(__xludf.DUMMYFUNCTION("""COMPUTED_VALUE"""),59.7638)</f>
        <v>59.7638</v>
      </c>
      <c r="AB516" s="320">
        <f>IFERROR(__xludf.DUMMYFUNCTION("""COMPUTED_VALUE"""),0.8251)</f>
        <v>0.8251</v>
      </c>
      <c r="AC516" s="320">
        <f>IFERROR(__xludf.DUMMYFUNCTION("""COMPUTED_VALUE"""),39.57)</f>
        <v>39.57</v>
      </c>
      <c r="AD516" s="320">
        <f>IFERROR(__xludf.DUMMYFUNCTION("""COMPUTED_VALUE"""),16.0)</f>
        <v>16</v>
      </c>
      <c r="AE516" s="320">
        <f>IFERROR(__xludf.DUMMYFUNCTION("""COMPUTED_VALUE"""),32.0)</f>
        <v>32</v>
      </c>
      <c r="AF516" s="320">
        <f>IFERROR(__xludf.DUMMYFUNCTION("""COMPUTED_VALUE"""),55.0)</f>
        <v>55</v>
      </c>
      <c r="AG516" s="320">
        <f>IFERROR(__xludf.DUMMYFUNCTION("""COMPUTED_VALUE"""),80.0)</f>
        <v>80</v>
      </c>
      <c r="AH516" s="320">
        <f>IFERROR(__xludf.DUMMYFUNCTION("""COMPUTED_VALUE"""),56.55)</f>
        <v>56.55</v>
      </c>
      <c r="AI516" s="320">
        <f>IFERROR(__xludf.DUMMYFUNCTION("""COMPUTED_VALUE"""),21.41)</f>
        <v>21.41</v>
      </c>
      <c r="AJ516" s="320">
        <f>IFERROR(__xludf.DUMMYFUNCTION("""COMPUTED_VALUE"""),4.83)</f>
        <v>4.83</v>
      </c>
      <c r="AK516" s="320">
        <f>IFERROR(__xludf.DUMMYFUNCTION("""COMPUTED_VALUE"""),0.1388)</f>
        <v>0.1388</v>
      </c>
      <c r="AL516" s="320">
        <f>IFERROR(__xludf.DUMMYFUNCTION("""COMPUTED_VALUE"""),20.52)</f>
        <v>20.52</v>
      </c>
      <c r="AM516" s="320">
        <f>IFERROR(__xludf.DUMMYFUNCTION("""COMPUTED_VALUE"""),273.63)</f>
        <v>273.63</v>
      </c>
      <c r="AN516" s="320">
        <f>IFERROR(__xludf.DUMMYFUNCTION("""COMPUTED_VALUE"""),82.64)</f>
        <v>82.64</v>
      </c>
      <c r="AO516" s="320">
        <f>IFERROR(__xludf.DUMMYFUNCTION("""COMPUTED_VALUE"""),16.96)</f>
        <v>16.96</v>
      </c>
    </row>
    <row r="517" ht="15.0" customHeight="1">
      <c r="A517" s="328">
        <f>IFERROR(__xludf.DUMMYFUNCTION("""COMPUTED_VALUE"""),46135.0)</f>
        <v>46135</v>
      </c>
      <c r="B517" s="319" t="str">
        <f>IFERROR(__xludf.DUMMYFUNCTION("""COMPUTED_VALUE"""),"F. 100+")</f>
        <v>F. 100+</v>
      </c>
      <c r="C517" s="320">
        <f>IFERROR(__xludf.DUMMYFUNCTION("""COMPUTED_VALUE"""),598.0)</f>
        <v>598</v>
      </c>
      <c r="D517" s="320">
        <f>IFERROR(__xludf.DUMMYFUNCTION("""COMPUTED_VALUE"""),0.59)</f>
        <v>0.59</v>
      </c>
      <c r="E517" s="320">
        <f>IFERROR(__xludf.DUMMYFUNCTION("""COMPUTED_VALUE"""),0.0)</f>
        <v>0</v>
      </c>
      <c r="F517" s="320">
        <f>IFERROR(__xludf.DUMMYFUNCTION("""COMPUTED_VALUE"""),0.0)</f>
        <v>0</v>
      </c>
      <c r="G517" s="320">
        <f>IFERROR(__xludf.DUMMYFUNCTION("""COMPUTED_VALUE"""),0.0)</f>
        <v>0</v>
      </c>
      <c r="H517" s="106"/>
      <c r="I517" s="320">
        <f>IFERROR(__xludf.DUMMYFUNCTION("""COMPUTED_VALUE"""),243.37)</f>
        <v>243.37</v>
      </c>
      <c r="J517" s="320">
        <f>IFERROR(__xludf.DUMMYFUNCTION("""COMPUTED_VALUE"""),141.66)</f>
        <v>141.66</v>
      </c>
      <c r="K517" s="320">
        <f>IFERROR(__xludf.DUMMYFUNCTION("""COMPUTED_VALUE"""),126.59)</f>
        <v>126.59</v>
      </c>
      <c r="L517" s="320">
        <f>IFERROR(__xludf.DUMMYFUNCTION("""COMPUTED_VALUE"""),0.8936)</f>
        <v>0.8936</v>
      </c>
      <c r="M517" s="320">
        <f>IFERROR(__xludf.DUMMYFUNCTION("""COMPUTED_VALUE"""),0.2689)</f>
        <v>0.2689</v>
      </c>
      <c r="N517" s="320">
        <f>IFERROR(__xludf.DUMMYFUNCTION("""COMPUTED_VALUE"""),0.2109)</f>
        <v>0.2109</v>
      </c>
      <c r="O517" s="320">
        <f>IFERROR(__xludf.DUMMYFUNCTION("""COMPUTED_VALUE"""),1.1191)</f>
        <v>1.1191</v>
      </c>
      <c r="P517" s="320">
        <f>IFERROR(__xludf.DUMMYFUNCTION("""COMPUTED_VALUE"""),788.74)</f>
        <v>788.74</v>
      </c>
      <c r="Q517" s="320">
        <f>IFERROR(__xludf.DUMMYFUNCTION("""COMPUTED_VALUE"""),540.93)</f>
        <v>540.93</v>
      </c>
      <c r="R517" s="320">
        <f>IFERROR(__xludf.DUMMYFUNCTION("""COMPUTED_VALUE"""),247.81)</f>
        <v>247.81</v>
      </c>
      <c r="S517" s="320">
        <f>IFERROR(__xludf.DUMMYFUNCTION("""COMPUTED_VALUE"""),0.0)</f>
        <v>0</v>
      </c>
      <c r="T517" s="320">
        <f>IFERROR(__xludf.DUMMYFUNCTION("""COMPUTED_VALUE"""),788.74)</f>
        <v>788.74</v>
      </c>
      <c r="U517" s="320">
        <f>IFERROR(__xludf.DUMMYFUNCTION("""COMPUTED_VALUE"""),642.14)</f>
        <v>642.14</v>
      </c>
      <c r="V517" s="320">
        <f>IFERROR(__xludf.DUMMYFUNCTION("""COMPUTED_VALUE"""),4.5329)</f>
        <v>4.5329</v>
      </c>
      <c r="W517" s="320">
        <f>IFERROR(__xludf.DUMMYFUNCTION("""COMPUTED_VALUE"""),0.0)</f>
        <v>0</v>
      </c>
      <c r="X517" s="320">
        <f>IFERROR(__xludf.DUMMYFUNCTION("""COMPUTED_VALUE"""),897.0)</f>
        <v>897</v>
      </c>
      <c r="Y517" s="320">
        <f>IFERROR(__xludf.DUMMYFUNCTION("""COMPUTED_VALUE"""),4409.0)</f>
        <v>4409</v>
      </c>
      <c r="Z517" s="320">
        <f>IFERROR(__xludf.DUMMYFUNCTION("""COMPUTED_VALUE"""),13613.0)</f>
        <v>13613</v>
      </c>
      <c r="AA517" s="320">
        <f>IFERROR(__xludf.DUMMYFUNCTION("""COMPUTED_VALUE"""),63.6273)</f>
        <v>63.6273</v>
      </c>
      <c r="AB517" s="320">
        <f>IFERROR(__xludf.DUMMYFUNCTION("""COMPUTED_VALUE"""),0.8983)</f>
        <v>0.8983</v>
      </c>
      <c r="AC517" s="320">
        <f>IFERROR(__xludf.DUMMYFUNCTION("""COMPUTED_VALUE"""),87.85)</f>
        <v>87.85</v>
      </c>
      <c r="AD517" s="320">
        <f>IFERROR(__xludf.DUMMYFUNCTION("""COMPUTED_VALUE"""),39.0)</f>
        <v>39</v>
      </c>
      <c r="AE517" s="320">
        <f>IFERROR(__xludf.DUMMYFUNCTION("""COMPUTED_VALUE"""),74.0)</f>
        <v>74</v>
      </c>
      <c r="AF517" s="320">
        <f>IFERROR(__xludf.DUMMYFUNCTION("""COMPUTED_VALUE"""),125.0)</f>
        <v>125</v>
      </c>
      <c r="AG517" s="320">
        <f>IFERROR(__xludf.DUMMYFUNCTION("""COMPUTED_VALUE"""),166.0)</f>
        <v>166</v>
      </c>
      <c r="AH517" s="320">
        <f>IFERROR(__xludf.DUMMYFUNCTION("""COMPUTED_VALUE"""),45.82)</f>
        <v>45.82</v>
      </c>
      <c r="AI517" s="320">
        <f>IFERROR(__xludf.DUMMYFUNCTION("""COMPUTED_VALUE"""),8.86)</f>
        <v>8.86</v>
      </c>
      <c r="AJ517" s="320">
        <f>IFERROR(__xludf.DUMMYFUNCTION("""COMPUTED_VALUE"""),1.17)</f>
        <v>1.17</v>
      </c>
      <c r="AK517" s="320">
        <f>IFERROR(__xludf.DUMMYFUNCTION("""COMPUTED_VALUE"""),0.0819)</f>
        <v>0.0819</v>
      </c>
      <c r="AL517" s="320">
        <f>IFERROR(__xludf.DUMMYFUNCTION("""COMPUTED_VALUE"""),23.23)</f>
        <v>23.23</v>
      </c>
      <c r="AM517" s="320">
        <f>IFERROR(__xludf.DUMMYFUNCTION("""COMPUTED_VALUE"""),517.71)</f>
        <v>517.71</v>
      </c>
      <c r="AN517" s="320">
        <f>IFERROR(__xludf.DUMMYFUNCTION("""COMPUTED_VALUE"""),86.38)</f>
        <v>86.38</v>
      </c>
      <c r="AO517" s="320">
        <f>IFERROR(__xludf.DUMMYFUNCTION("""COMPUTED_VALUE"""),20.07)</f>
        <v>20.07</v>
      </c>
    </row>
    <row r="518" ht="15.0" customHeight="1">
      <c r="A518" s="328">
        <f>IFERROR(__xludf.DUMMYFUNCTION("""COMPUTED_VALUE"""),46136.0)</f>
        <v>46136</v>
      </c>
      <c r="B518" s="319" t="str">
        <f>IFERROR(__xludf.DUMMYFUNCTION("""COMPUTED_VALUE"""),"A. 0")</f>
        <v>A. 0</v>
      </c>
      <c r="C518" s="320">
        <f>IFERROR(__xludf.DUMMYFUNCTION("""COMPUTED_VALUE"""),18575.0)</f>
        <v>18575</v>
      </c>
      <c r="D518" s="320">
        <f>IFERROR(__xludf.DUMMYFUNCTION("""COMPUTED_VALUE"""),18.7)</f>
        <v>18.7</v>
      </c>
      <c r="E518" s="320">
        <f>IFERROR(__xludf.DUMMYFUNCTION("""COMPUTED_VALUE"""),0.0)</f>
        <v>0</v>
      </c>
      <c r="F518" s="320">
        <f>IFERROR(__xludf.DUMMYFUNCTION("""COMPUTED_VALUE"""),0.0)</f>
        <v>0</v>
      </c>
      <c r="G518" s="320">
        <f>IFERROR(__xludf.DUMMYFUNCTION("""COMPUTED_VALUE"""),0.0)</f>
        <v>0</v>
      </c>
      <c r="H518" s="106"/>
      <c r="I518" s="320">
        <f>IFERROR(__xludf.DUMMYFUNCTION("""COMPUTED_VALUE"""),5.73)</f>
        <v>5.73</v>
      </c>
      <c r="J518" s="320">
        <f>IFERROR(__xludf.DUMMYFUNCTION("""COMPUTED_VALUE"""),2.27)</f>
        <v>2.27</v>
      </c>
      <c r="K518" s="320">
        <f>IFERROR(__xludf.DUMMYFUNCTION("""COMPUTED_VALUE"""),0.03)</f>
        <v>0.03</v>
      </c>
      <c r="L518" s="320">
        <f>IFERROR(__xludf.DUMMYFUNCTION("""COMPUTED_VALUE"""),0.0136)</f>
        <v>0.0136</v>
      </c>
      <c r="M518" s="320">
        <f>IFERROR(__xludf.DUMMYFUNCTION("""COMPUTED_VALUE"""),0.9908)</f>
        <v>0.9908</v>
      </c>
      <c r="N518" s="320">
        <f>IFERROR(__xludf.DUMMYFUNCTION("""COMPUTED_VALUE"""),0.8895)</f>
        <v>0.8895</v>
      </c>
      <c r="O518" s="320">
        <f>IFERROR(__xludf.DUMMYFUNCTION("""COMPUTED_VALUE"""),73.4939)</f>
        <v>73.4939</v>
      </c>
      <c r="P518" s="320">
        <f>IFERROR(__xludf.DUMMYFUNCTION("""COMPUTED_VALUE"""),27.08)</f>
        <v>27.08</v>
      </c>
      <c r="Q518" s="320">
        <f>IFERROR(__xludf.DUMMYFUNCTION("""COMPUTED_VALUE"""),26.98)</f>
        <v>26.98</v>
      </c>
      <c r="R518" s="320">
        <f>IFERROR(__xludf.DUMMYFUNCTION("""COMPUTED_VALUE"""),0.11)</f>
        <v>0.11</v>
      </c>
      <c r="S518" s="320">
        <f>IFERROR(__xludf.DUMMYFUNCTION("""COMPUTED_VALUE"""),0.0)</f>
        <v>0</v>
      </c>
      <c r="T518" s="320">
        <f>IFERROR(__xludf.DUMMYFUNCTION("""COMPUTED_VALUE"""),27.08)</f>
        <v>27.08</v>
      </c>
      <c r="U518" s="320">
        <f>IFERROR(__xludf.DUMMYFUNCTION("""COMPUTED_VALUE"""),1.82)</f>
        <v>1.82</v>
      </c>
      <c r="V518" s="320">
        <f>IFERROR(__xludf.DUMMYFUNCTION("""COMPUTED_VALUE"""),0.8038)</f>
        <v>0.8038</v>
      </c>
      <c r="W518" s="320">
        <f>IFERROR(__xludf.DUMMYFUNCTION("""COMPUTED_VALUE"""),0.0)</f>
        <v>0</v>
      </c>
      <c r="X518" s="320">
        <f>IFERROR(__xludf.DUMMYFUNCTION("""COMPUTED_VALUE"""),376.0)</f>
        <v>376</v>
      </c>
      <c r="Y518" s="320">
        <f>IFERROR(__xludf.DUMMYFUNCTION("""COMPUTED_VALUE"""),4258.0)</f>
        <v>4258</v>
      </c>
      <c r="Z518" s="320">
        <f>IFERROR(__xludf.DUMMYFUNCTION("""COMPUTED_VALUE"""),15491.0)</f>
        <v>15491</v>
      </c>
      <c r="AA518" s="320">
        <f>IFERROR(__xludf.DUMMYFUNCTION("""COMPUTED_VALUE"""),49.2293)</f>
        <v>49.2293</v>
      </c>
      <c r="AB518" s="320">
        <f>IFERROR(__xludf.DUMMYFUNCTION("""COMPUTED_VALUE"""),0.5442)</f>
        <v>0.5442</v>
      </c>
      <c r="AC518" s="106"/>
      <c r="AD518" s="106"/>
      <c r="AE518" s="106"/>
      <c r="AF518" s="106"/>
      <c r="AG518" s="106"/>
      <c r="AH518" s="320">
        <f>IFERROR(__xludf.DUMMYFUNCTION("""COMPUTED_VALUE"""),0.0)</f>
        <v>0</v>
      </c>
      <c r="AI518" s="320">
        <f>IFERROR(__xludf.DUMMYFUNCTION("""COMPUTED_VALUE"""),0.0)</f>
        <v>0</v>
      </c>
      <c r="AJ518" s="320">
        <f>IFERROR(__xludf.DUMMYFUNCTION("""COMPUTED_VALUE"""),0.0)</f>
        <v>0</v>
      </c>
      <c r="AK518" s="320">
        <f>IFERROR(__xludf.DUMMYFUNCTION("""COMPUTED_VALUE"""),0.3086)</f>
        <v>0.3086</v>
      </c>
      <c r="AL518" s="320">
        <f>IFERROR(__xludf.DUMMYFUNCTION("""COMPUTED_VALUE"""),17.93)</f>
        <v>17.93</v>
      </c>
      <c r="AM518" s="320">
        <f>IFERROR(__xludf.DUMMYFUNCTION("""COMPUTED_VALUE"""),9.04)</f>
        <v>9.04</v>
      </c>
      <c r="AN518" s="331"/>
      <c r="AO518" s="331"/>
    </row>
    <row r="519" ht="15.0" customHeight="1">
      <c r="A519" s="328">
        <f>IFERROR(__xludf.DUMMYFUNCTION("""COMPUTED_VALUE"""),46136.0)</f>
        <v>46136</v>
      </c>
      <c r="B519" s="319" t="str">
        <f>IFERROR(__xludf.DUMMYFUNCTION("""COMPUTED_VALUE"""),"B. 1-9")</f>
        <v>B. 1-9</v>
      </c>
      <c r="C519" s="320">
        <f>IFERROR(__xludf.DUMMYFUNCTION("""COMPUTED_VALUE"""),36440.0)</f>
        <v>36440</v>
      </c>
      <c r="D519" s="320">
        <f>IFERROR(__xludf.DUMMYFUNCTION("""COMPUTED_VALUE"""),36.68)</f>
        <v>36.68</v>
      </c>
      <c r="E519" s="320">
        <f>IFERROR(__xludf.DUMMYFUNCTION("""COMPUTED_VALUE"""),0.0)</f>
        <v>0</v>
      </c>
      <c r="F519" s="320">
        <f>IFERROR(__xludf.DUMMYFUNCTION("""COMPUTED_VALUE"""),0.0)</f>
        <v>0</v>
      </c>
      <c r="G519" s="320">
        <f>IFERROR(__xludf.DUMMYFUNCTION("""COMPUTED_VALUE"""),0.0)</f>
        <v>0</v>
      </c>
      <c r="H519" s="106"/>
      <c r="I519" s="320">
        <f>IFERROR(__xludf.DUMMYFUNCTION("""COMPUTED_VALUE"""),30.72)</f>
        <v>30.72</v>
      </c>
      <c r="J519" s="320">
        <f>IFERROR(__xludf.DUMMYFUNCTION("""COMPUTED_VALUE"""),13.98)</f>
        <v>13.98</v>
      </c>
      <c r="K519" s="320">
        <f>IFERROR(__xludf.DUMMYFUNCTION("""COMPUTED_VALUE"""),5.79)</f>
        <v>5.79</v>
      </c>
      <c r="L519" s="320">
        <f>IFERROR(__xludf.DUMMYFUNCTION("""COMPUTED_VALUE"""),0.4142)</f>
        <v>0.4142</v>
      </c>
      <c r="M519" s="320">
        <f>IFERROR(__xludf.DUMMYFUNCTION("""COMPUTED_VALUE"""),0.7557)</f>
        <v>0.7557</v>
      </c>
      <c r="N519" s="320">
        <f>IFERROR(__xludf.DUMMYFUNCTION("""COMPUTED_VALUE"""),0.5566)</f>
        <v>0.5566</v>
      </c>
      <c r="O519" s="320">
        <f>IFERROR(__xludf.DUMMYFUNCTION("""COMPUTED_VALUE"""),2.4145)</f>
        <v>2.4145</v>
      </c>
      <c r="P519" s="320">
        <f>IFERROR(__xludf.DUMMYFUNCTION("""COMPUTED_VALUE"""),57.45)</f>
        <v>57.45</v>
      </c>
      <c r="Q519" s="320">
        <f>IFERROR(__xludf.DUMMYFUNCTION("""COMPUTED_VALUE"""),46.17)</f>
        <v>46.17</v>
      </c>
      <c r="R519" s="320">
        <f>IFERROR(__xludf.DUMMYFUNCTION("""COMPUTED_VALUE"""),11.28)</f>
        <v>11.28</v>
      </c>
      <c r="S519" s="320">
        <f>IFERROR(__xludf.DUMMYFUNCTION("""COMPUTED_VALUE"""),0.01)</f>
        <v>0.01</v>
      </c>
      <c r="T519" s="320">
        <f>IFERROR(__xludf.DUMMYFUNCTION("""COMPUTED_VALUE"""),57.44)</f>
        <v>57.44</v>
      </c>
      <c r="U519" s="320">
        <f>IFERROR(__xludf.DUMMYFUNCTION("""COMPUTED_VALUE"""),52.72)</f>
        <v>52.72</v>
      </c>
      <c r="V519" s="320">
        <f>IFERROR(__xludf.DUMMYFUNCTION("""COMPUTED_VALUE"""),3.7702)</f>
        <v>3.7702</v>
      </c>
      <c r="W519" s="320">
        <f>IFERROR(__xludf.DUMMYFUNCTION("""COMPUTED_VALUE"""),0.02)</f>
        <v>0.02</v>
      </c>
      <c r="X519" s="320">
        <f>IFERROR(__xludf.DUMMYFUNCTION("""COMPUTED_VALUE"""),147.0)</f>
        <v>147</v>
      </c>
      <c r="Y519" s="320">
        <f>IFERROR(__xludf.DUMMYFUNCTION("""COMPUTED_VALUE"""),878.0)</f>
        <v>878</v>
      </c>
      <c r="Z519" s="320">
        <f>IFERROR(__xludf.DUMMYFUNCTION("""COMPUTED_VALUE"""),5872.0)</f>
        <v>5872</v>
      </c>
      <c r="AA519" s="320">
        <f>IFERROR(__xludf.DUMMYFUNCTION("""COMPUTED_VALUE"""),48.8244)</f>
        <v>48.8244</v>
      </c>
      <c r="AB519" s="320">
        <f>IFERROR(__xludf.DUMMYFUNCTION("""COMPUTED_VALUE"""),0.532)</f>
        <v>0.532</v>
      </c>
      <c r="AC519" s="320">
        <f>IFERROR(__xludf.DUMMYFUNCTION("""COMPUTED_VALUE"""),4.06)</f>
        <v>4.06</v>
      </c>
      <c r="AD519" s="320">
        <f>IFERROR(__xludf.DUMMYFUNCTION("""COMPUTED_VALUE"""),1.0)</f>
        <v>1</v>
      </c>
      <c r="AE519" s="320">
        <f>IFERROR(__xludf.DUMMYFUNCTION("""COMPUTED_VALUE"""),3.0)</f>
        <v>3</v>
      </c>
      <c r="AF519" s="320">
        <f>IFERROR(__xludf.DUMMYFUNCTION("""COMPUTED_VALUE"""),5.0)</f>
        <v>5</v>
      </c>
      <c r="AG519" s="320">
        <f>IFERROR(__xludf.DUMMYFUNCTION("""COMPUTED_VALUE"""),9.0)</f>
        <v>9</v>
      </c>
      <c r="AH519" s="320">
        <f>IFERROR(__xludf.DUMMYFUNCTION("""COMPUTED_VALUE"""),73.67)</f>
        <v>73.67</v>
      </c>
      <c r="AI519" s="320">
        <f>IFERROR(__xludf.DUMMYFUNCTION("""COMPUTED_VALUE"""),31.75)</f>
        <v>31.75</v>
      </c>
      <c r="AJ519" s="320">
        <f>IFERROR(__xludf.DUMMYFUNCTION("""COMPUTED_VALUE"""),8.86)</f>
        <v>8.86</v>
      </c>
      <c r="AK519" s="320">
        <f>IFERROR(__xludf.DUMMYFUNCTION("""COMPUTED_VALUE"""),0.2676)</f>
        <v>0.2676</v>
      </c>
      <c r="AL519" s="320">
        <f>IFERROR(__xludf.DUMMYFUNCTION("""COMPUTED_VALUE"""),20.23)</f>
        <v>20.23</v>
      </c>
      <c r="AM519" s="320">
        <f>IFERROR(__xludf.DUMMYFUNCTION("""COMPUTED_VALUE"""),25.94)</f>
        <v>25.94</v>
      </c>
      <c r="AN519" s="320">
        <f>IFERROR(__xludf.DUMMYFUNCTION("""COMPUTED_VALUE"""),66.32)</f>
        <v>66.32</v>
      </c>
      <c r="AO519" s="320">
        <f>IFERROR(__xludf.DUMMYFUNCTION("""COMPUTED_VALUE"""),13.42)</f>
        <v>13.42</v>
      </c>
    </row>
    <row r="520" ht="15.0" customHeight="1">
      <c r="A520" s="328">
        <f>IFERROR(__xludf.DUMMYFUNCTION("""COMPUTED_VALUE"""),46136.0)</f>
        <v>46136</v>
      </c>
      <c r="B520" s="319" t="str">
        <f>IFERROR(__xludf.DUMMYFUNCTION("""COMPUTED_VALUE"""),"C. 10-19")</f>
        <v>C. 10-19</v>
      </c>
      <c r="C520" s="320">
        <f>IFERROR(__xludf.DUMMYFUNCTION("""COMPUTED_VALUE"""),24363.0)</f>
        <v>24363</v>
      </c>
      <c r="D520" s="320">
        <f>IFERROR(__xludf.DUMMYFUNCTION("""COMPUTED_VALUE"""),24.52)</f>
        <v>24.52</v>
      </c>
      <c r="E520" s="320">
        <f>IFERROR(__xludf.DUMMYFUNCTION("""COMPUTED_VALUE"""),0.0)</f>
        <v>0</v>
      </c>
      <c r="F520" s="320">
        <f>IFERROR(__xludf.DUMMYFUNCTION("""COMPUTED_VALUE"""),0.0)</f>
        <v>0</v>
      </c>
      <c r="G520" s="320">
        <f>IFERROR(__xludf.DUMMYFUNCTION("""COMPUTED_VALUE"""),0.0)</f>
        <v>0</v>
      </c>
      <c r="H520" s="106"/>
      <c r="I520" s="320">
        <f>IFERROR(__xludf.DUMMYFUNCTION("""COMPUTED_VALUE"""),56.87)</f>
        <v>56.87</v>
      </c>
      <c r="J520" s="320">
        <f>IFERROR(__xludf.DUMMYFUNCTION("""COMPUTED_VALUE"""),26.97)</f>
        <v>26.97</v>
      </c>
      <c r="K520" s="320">
        <f>IFERROR(__xludf.DUMMYFUNCTION("""COMPUTED_VALUE"""),14.11)</f>
        <v>14.11</v>
      </c>
      <c r="L520" s="320">
        <f>IFERROR(__xludf.DUMMYFUNCTION("""COMPUTED_VALUE"""),0.5233)</f>
        <v>0.5233</v>
      </c>
      <c r="M520" s="320">
        <f>IFERROR(__xludf.DUMMYFUNCTION("""COMPUTED_VALUE"""),0.6629)</f>
        <v>0.6629</v>
      </c>
      <c r="N520" s="320">
        <f>IFERROR(__xludf.DUMMYFUNCTION("""COMPUTED_VALUE"""),0.4595)</f>
        <v>0.4595</v>
      </c>
      <c r="O520" s="320">
        <f>IFERROR(__xludf.DUMMYFUNCTION("""COMPUTED_VALUE"""),1.9111)</f>
        <v>1.9111</v>
      </c>
      <c r="P520" s="320">
        <f>IFERROR(__xludf.DUMMYFUNCTION("""COMPUTED_VALUE"""),100.64)</f>
        <v>100.64</v>
      </c>
      <c r="Q520" s="320">
        <f>IFERROR(__xludf.DUMMYFUNCTION("""COMPUTED_VALUE"""),72.94)</f>
        <v>72.94</v>
      </c>
      <c r="R520" s="320">
        <f>IFERROR(__xludf.DUMMYFUNCTION("""COMPUTED_VALUE"""),27.7)</f>
        <v>27.7</v>
      </c>
      <c r="S520" s="320">
        <f>IFERROR(__xludf.DUMMYFUNCTION("""COMPUTED_VALUE"""),0.0)</f>
        <v>0</v>
      </c>
      <c r="T520" s="320">
        <f>IFERROR(__xludf.DUMMYFUNCTION("""COMPUTED_VALUE"""),100.64)</f>
        <v>100.64</v>
      </c>
      <c r="U520" s="320">
        <f>IFERROR(__xludf.DUMMYFUNCTION("""COMPUTED_VALUE"""),96.82)</f>
        <v>96.82</v>
      </c>
      <c r="V520" s="320">
        <f>IFERROR(__xludf.DUMMYFUNCTION("""COMPUTED_VALUE"""),3.5899)</f>
        <v>3.5899</v>
      </c>
      <c r="W520" s="320">
        <f>IFERROR(__xludf.DUMMYFUNCTION("""COMPUTED_VALUE"""),0.0)</f>
        <v>0</v>
      </c>
      <c r="X520" s="320">
        <f>IFERROR(__xludf.DUMMYFUNCTION("""COMPUTED_VALUE"""),123.0)</f>
        <v>123</v>
      </c>
      <c r="Y520" s="320">
        <f>IFERROR(__xludf.DUMMYFUNCTION("""COMPUTED_VALUE"""),673.0)</f>
        <v>673</v>
      </c>
      <c r="Z520" s="320">
        <f>IFERROR(__xludf.DUMMYFUNCTION("""COMPUTED_VALUE"""),5211.0)</f>
        <v>5211</v>
      </c>
      <c r="AA520" s="320">
        <f>IFERROR(__xludf.DUMMYFUNCTION("""COMPUTED_VALUE"""),52.2951)</f>
        <v>52.2951</v>
      </c>
      <c r="AB520" s="320">
        <f>IFERROR(__xludf.DUMMYFUNCTION("""COMPUTED_VALUE"""),0.6303)</f>
        <v>0.6303</v>
      </c>
      <c r="AC520" s="320">
        <f>IFERROR(__xludf.DUMMYFUNCTION("""COMPUTED_VALUE"""),9.5)</f>
        <v>9.5</v>
      </c>
      <c r="AD520" s="320">
        <f>IFERROR(__xludf.DUMMYFUNCTION("""COMPUTED_VALUE"""),4.0)</f>
        <v>4</v>
      </c>
      <c r="AE520" s="320">
        <f>IFERROR(__xludf.DUMMYFUNCTION("""COMPUTED_VALUE"""),8.0)</f>
        <v>8</v>
      </c>
      <c r="AF520" s="320">
        <f>IFERROR(__xludf.DUMMYFUNCTION("""COMPUTED_VALUE"""),13.0)</f>
        <v>13</v>
      </c>
      <c r="AG520" s="320">
        <f>IFERROR(__xludf.DUMMYFUNCTION("""COMPUTED_VALUE"""),20.0)</f>
        <v>20</v>
      </c>
      <c r="AH520" s="320">
        <f>IFERROR(__xludf.DUMMYFUNCTION("""COMPUTED_VALUE"""),61.49)</f>
        <v>61.49</v>
      </c>
      <c r="AI520" s="320">
        <f>IFERROR(__xludf.DUMMYFUNCTION("""COMPUTED_VALUE"""),26.12)</f>
        <v>26.12</v>
      </c>
      <c r="AJ520" s="320">
        <f>IFERROR(__xludf.DUMMYFUNCTION("""COMPUTED_VALUE"""),4.71)</f>
        <v>4.71</v>
      </c>
      <c r="AK520" s="320">
        <f>IFERROR(__xludf.DUMMYFUNCTION("""COMPUTED_VALUE"""),0.2149)</f>
        <v>0.2149</v>
      </c>
      <c r="AL520" s="320">
        <f>IFERROR(__xludf.DUMMYFUNCTION("""COMPUTED_VALUE"""),21.1)</f>
        <v>21.1</v>
      </c>
      <c r="AM520" s="320">
        <f>IFERROR(__xludf.DUMMYFUNCTION("""COMPUTED_VALUE"""),51.84)</f>
        <v>51.84</v>
      </c>
      <c r="AN520" s="320">
        <f>IFERROR(__xludf.DUMMYFUNCTION("""COMPUTED_VALUE"""),75.73)</f>
        <v>75.73</v>
      </c>
      <c r="AO520" s="320">
        <f>IFERROR(__xludf.DUMMYFUNCTION("""COMPUTED_VALUE"""),15.98)</f>
        <v>15.98</v>
      </c>
    </row>
    <row r="521" ht="15.0" customHeight="1">
      <c r="A521" s="328">
        <f>IFERROR(__xludf.DUMMYFUNCTION("""COMPUTED_VALUE"""),46136.0)</f>
        <v>46136</v>
      </c>
      <c r="B521" s="319" t="str">
        <f>IFERROR(__xludf.DUMMYFUNCTION("""COMPUTED_VALUE"""),"D. 20-39")</f>
        <v>D. 20-39</v>
      </c>
      <c r="C521" s="320">
        <f>IFERROR(__xludf.DUMMYFUNCTION("""COMPUTED_VALUE"""),13767.0)</f>
        <v>13767</v>
      </c>
      <c r="D521" s="320">
        <f>IFERROR(__xludf.DUMMYFUNCTION("""COMPUTED_VALUE"""),13.86)</f>
        <v>13.86</v>
      </c>
      <c r="E521" s="320">
        <f>IFERROR(__xludf.DUMMYFUNCTION("""COMPUTED_VALUE"""),0.0)</f>
        <v>0</v>
      </c>
      <c r="F521" s="320">
        <f>IFERROR(__xludf.DUMMYFUNCTION("""COMPUTED_VALUE"""),0.0)</f>
        <v>0</v>
      </c>
      <c r="G521" s="320">
        <f>IFERROR(__xludf.DUMMYFUNCTION("""COMPUTED_VALUE"""),0.0)</f>
        <v>0</v>
      </c>
      <c r="H521" s="106"/>
      <c r="I521" s="320">
        <f>IFERROR(__xludf.DUMMYFUNCTION("""COMPUTED_VALUE"""),81.81)</f>
        <v>81.81</v>
      </c>
      <c r="J521" s="320">
        <f>IFERROR(__xludf.DUMMYFUNCTION("""COMPUTED_VALUE"""),41.2)</f>
        <v>41.2</v>
      </c>
      <c r="K521" s="320">
        <f>IFERROR(__xludf.DUMMYFUNCTION("""COMPUTED_VALUE"""),26.85)</f>
        <v>26.85</v>
      </c>
      <c r="L521" s="320">
        <f>IFERROR(__xludf.DUMMYFUNCTION("""COMPUTED_VALUE"""),0.6519)</f>
        <v>0.6519</v>
      </c>
      <c r="M521" s="320">
        <f>IFERROR(__xludf.DUMMYFUNCTION("""COMPUTED_VALUE"""),0.5338)</f>
        <v>0.5338</v>
      </c>
      <c r="N521" s="320">
        <f>IFERROR(__xludf.DUMMYFUNCTION("""COMPUTED_VALUE"""),0.3654)</f>
        <v>0.3654</v>
      </c>
      <c r="O521" s="320">
        <f>IFERROR(__xludf.DUMMYFUNCTION("""COMPUTED_VALUE"""),1.534)</f>
        <v>1.534</v>
      </c>
      <c r="P521" s="320">
        <f>IFERROR(__xludf.DUMMYFUNCTION("""COMPUTED_VALUE"""),159.97)</f>
        <v>159.97</v>
      </c>
      <c r="Q521" s="320">
        <f>IFERROR(__xludf.DUMMYFUNCTION("""COMPUTED_VALUE"""),107.77)</f>
        <v>107.77</v>
      </c>
      <c r="R521" s="320">
        <f>IFERROR(__xludf.DUMMYFUNCTION("""COMPUTED_VALUE"""),52.2)</f>
        <v>52.2</v>
      </c>
      <c r="S521" s="320">
        <f>IFERROR(__xludf.DUMMYFUNCTION("""COMPUTED_VALUE"""),0.0)</f>
        <v>0</v>
      </c>
      <c r="T521" s="320">
        <f>IFERROR(__xludf.DUMMYFUNCTION("""COMPUTED_VALUE"""),159.97)</f>
        <v>159.97</v>
      </c>
      <c r="U521" s="320">
        <f>IFERROR(__xludf.DUMMYFUNCTION("""COMPUTED_VALUE"""),161.45)</f>
        <v>161.45</v>
      </c>
      <c r="V521" s="320">
        <f>IFERROR(__xludf.DUMMYFUNCTION("""COMPUTED_VALUE"""),3.9191)</f>
        <v>3.9191</v>
      </c>
      <c r="W521" s="320">
        <f>IFERROR(__xludf.DUMMYFUNCTION("""COMPUTED_VALUE"""),0.0)</f>
        <v>0</v>
      </c>
      <c r="X521" s="320">
        <f>IFERROR(__xludf.DUMMYFUNCTION("""COMPUTED_VALUE"""),144.0)</f>
        <v>144</v>
      </c>
      <c r="Y521" s="320">
        <f>IFERROR(__xludf.DUMMYFUNCTION("""COMPUTED_VALUE"""),913.0)</f>
        <v>913</v>
      </c>
      <c r="Z521" s="320">
        <f>IFERROR(__xludf.DUMMYFUNCTION("""COMPUTED_VALUE"""),5990.0)</f>
        <v>5990</v>
      </c>
      <c r="AA521" s="320">
        <f>IFERROR(__xludf.DUMMYFUNCTION("""COMPUTED_VALUE"""),55.8572)</f>
        <v>55.8572</v>
      </c>
      <c r="AB521" s="320">
        <f>IFERROR(__xludf.DUMMYFUNCTION("""COMPUTED_VALUE"""),0.7388)</f>
        <v>0.7388</v>
      </c>
      <c r="AC521" s="320">
        <f>IFERROR(__xludf.DUMMYFUNCTION("""COMPUTED_VALUE"""),17.96)</f>
        <v>17.96</v>
      </c>
      <c r="AD521" s="320">
        <f>IFERROR(__xludf.DUMMYFUNCTION("""COMPUTED_VALUE"""),8.0)</f>
        <v>8</v>
      </c>
      <c r="AE521" s="320">
        <f>IFERROR(__xludf.DUMMYFUNCTION("""COMPUTED_VALUE"""),14.0)</f>
        <v>14</v>
      </c>
      <c r="AF521" s="320">
        <f>IFERROR(__xludf.DUMMYFUNCTION("""COMPUTED_VALUE"""),24.0)</f>
        <v>24</v>
      </c>
      <c r="AG521" s="320">
        <f>IFERROR(__xludf.DUMMYFUNCTION("""COMPUTED_VALUE"""),37.0)</f>
        <v>37</v>
      </c>
      <c r="AH521" s="320">
        <f>IFERROR(__xludf.DUMMYFUNCTION("""COMPUTED_VALUE"""),60.86)</f>
        <v>60.86</v>
      </c>
      <c r="AI521" s="320">
        <f>IFERROR(__xludf.DUMMYFUNCTION("""COMPUTED_VALUE"""),23.25)</f>
        <v>23.25</v>
      </c>
      <c r="AJ521" s="320">
        <f>IFERROR(__xludf.DUMMYFUNCTION("""COMPUTED_VALUE"""),7.07)</f>
        <v>7.07</v>
      </c>
      <c r="AK521" s="320">
        <f>IFERROR(__xludf.DUMMYFUNCTION("""COMPUTED_VALUE"""),0.2022)</f>
        <v>0.2022</v>
      </c>
      <c r="AL521" s="320">
        <f>IFERROR(__xludf.DUMMYFUNCTION("""COMPUTED_VALUE"""),20.76)</f>
        <v>20.76</v>
      </c>
      <c r="AM521" s="320">
        <f>IFERROR(__xludf.DUMMYFUNCTION("""COMPUTED_VALUE"""),87.01)</f>
        <v>87.01</v>
      </c>
      <c r="AN521" s="320">
        <f>IFERROR(__xludf.DUMMYFUNCTION("""COMPUTED_VALUE"""),78.3)</f>
        <v>78.3</v>
      </c>
      <c r="AO521" s="320">
        <f>IFERROR(__xludf.DUMMYFUNCTION("""COMPUTED_VALUE"""),16.26)</f>
        <v>16.26</v>
      </c>
    </row>
    <row r="522" ht="15.0" customHeight="1">
      <c r="A522" s="328">
        <f>IFERROR(__xludf.DUMMYFUNCTION("""COMPUTED_VALUE"""),46136.0)</f>
        <v>46136</v>
      </c>
      <c r="B522" s="319" t="str">
        <f>IFERROR(__xludf.DUMMYFUNCTION("""COMPUTED_VALUE"""),"E. 40-99")</f>
        <v>E. 40-99</v>
      </c>
      <c r="C522" s="320">
        <f>IFERROR(__xludf.DUMMYFUNCTION("""COMPUTED_VALUE"""),5614.0)</f>
        <v>5614</v>
      </c>
      <c r="D522" s="320">
        <f>IFERROR(__xludf.DUMMYFUNCTION("""COMPUTED_VALUE"""),5.65)</f>
        <v>5.65</v>
      </c>
      <c r="E522" s="320">
        <f>IFERROR(__xludf.DUMMYFUNCTION("""COMPUTED_VALUE"""),0.0)</f>
        <v>0</v>
      </c>
      <c r="F522" s="320">
        <f>IFERROR(__xludf.DUMMYFUNCTION("""COMPUTED_VALUE"""),0.0)</f>
        <v>0</v>
      </c>
      <c r="G522" s="320">
        <f>IFERROR(__xludf.DUMMYFUNCTION("""COMPUTED_VALUE"""),0.0)</f>
        <v>0</v>
      </c>
      <c r="H522" s="106"/>
      <c r="I522" s="320">
        <f>IFERROR(__xludf.DUMMYFUNCTION("""COMPUTED_VALUE"""),131.69)</f>
        <v>131.69</v>
      </c>
      <c r="J522" s="320">
        <f>IFERROR(__xludf.DUMMYFUNCTION("""COMPUTED_VALUE"""),70.47)</f>
        <v>70.47</v>
      </c>
      <c r="K522" s="320">
        <f>IFERROR(__xludf.DUMMYFUNCTION("""COMPUTED_VALUE"""),55.1)</f>
        <v>55.1</v>
      </c>
      <c r="L522" s="320">
        <f>IFERROR(__xludf.DUMMYFUNCTION("""COMPUTED_VALUE"""),0.7818)</f>
        <v>0.7818</v>
      </c>
      <c r="M522" s="320">
        <f>IFERROR(__xludf.DUMMYFUNCTION("""COMPUTED_VALUE"""),0.3961)</f>
        <v>0.3961</v>
      </c>
      <c r="N522" s="320">
        <f>IFERROR(__xludf.DUMMYFUNCTION("""COMPUTED_VALUE"""),0.2807)</f>
        <v>0.2807</v>
      </c>
      <c r="O522" s="320">
        <f>IFERROR(__xludf.DUMMYFUNCTION("""COMPUTED_VALUE"""),1.279)</f>
        <v>1.279</v>
      </c>
      <c r="P522" s="320">
        <f>IFERROR(__xludf.DUMMYFUNCTION("""COMPUTED_VALUE"""),282.52)</f>
        <v>282.52</v>
      </c>
      <c r="Q522" s="320">
        <f>IFERROR(__xludf.DUMMYFUNCTION("""COMPUTED_VALUE"""),174.94)</f>
        <v>174.94</v>
      </c>
      <c r="R522" s="320">
        <f>IFERROR(__xludf.DUMMYFUNCTION("""COMPUTED_VALUE"""),107.58)</f>
        <v>107.58</v>
      </c>
      <c r="S522" s="320">
        <f>IFERROR(__xludf.DUMMYFUNCTION("""COMPUTED_VALUE"""),0.01)</f>
        <v>0.01</v>
      </c>
      <c r="T522" s="320">
        <f>IFERROR(__xludf.DUMMYFUNCTION("""COMPUTED_VALUE"""),282.51)</f>
        <v>282.51</v>
      </c>
      <c r="U522" s="320">
        <f>IFERROR(__xludf.DUMMYFUNCTION("""COMPUTED_VALUE"""),317.62)</f>
        <v>317.62</v>
      </c>
      <c r="V522" s="320">
        <f>IFERROR(__xludf.DUMMYFUNCTION("""COMPUTED_VALUE"""),4.5071)</f>
        <v>4.5071</v>
      </c>
      <c r="W522" s="320">
        <f>IFERROR(__xludf.DUMMYFUNCTION("""COMPUTED_VALUE"""),0.0)</f>
        <v>0</v>
      </c>
      <c r="X522" s="320">
        <f>IFERROR(__xludf.DUMMYFUNCTION("""COMPUTED_VALUE"""),303.0)</f>
        <v>303</v>
      </c>
      <c r="Y522" s="320">
        <f>IFERROR(__xludf.DUMMYFUNCTION("""COMPUTED_VALUE"""),2232.0)</f>
        <v>2232</v>
      </c>
      <c r="Z522" s="320">
        <f>IFERROR(__xludf.DUMMYFUNCTION("""COMPUTED_VALUE"""),9253.0)</f>
        <v>9253</v>
      </c>
      <c r="AA522" s="320">
        <f>IFERROR(__xludf.DUMMYFUNCTION("""COMPUTED_VALUE"""),59.7999)</f>
        <v>59.7999</v>
      </c>
      <c r="AB522" s="320">
        <f>IFERROR(__xludf.DUMMYFUNCTION("""COMPUTED_VALUE"""),0.8334)</f>
        <v>0.8334</v>
      </c>
      <c r="AC522" s="320">
        <f>IFERROR(__xludf.DUMMYFUNCTION("""COMPUTED_VALUE"""),37.54)</f>
        <v>37.54</v>
      </c>
      <c r="AD522" s="320">
        <f>IFERROR(__xludf.DUMMYFUNCTION("""COMPUTED_VALUE"""),15.0)</f>
        <v>15</v>
      </c>
      <c r="AE522" s="320">
        <f>IFERROR(__xludf.DUMMYFUNCTION("""COMPUTED_VALUE"""),30.0)</f>
        <v>30</v>
      </c>
      <c r="AF522" s="320">
        <f>IFERROR(__xludf.DUMMYFUNCTION("""COMPUTED_VALUE"""),51.0)</f>
        <v>51</v>
      </c>
      <c r="AG522" s="320">
        <f>IFERROR(__xludf.DUMMYFUNCTION("""COMPUTED_VALUE"""),78.0)</f>
        <v>78</v>
      </c>
      <c r="AH522" s="320">
        <f>IFERROR(__xludf.DUMMYFUNCTION("""COMPUTED_VALUE"""),53.69)</f>
        <v>53.69</v>
      </c>
      <c r="AI522" s="320">
        <f>IFERROR(__xludf.DUMMYFUNCTION("""COMPUTED_VALUE"""),19.02)</f>
        <v>19.02</v>
      </c>
      <c r="AJ522" s="320">
        <f>IFERROR(__xludf.DUMMYFUNCTION("""COMPUTED_VALUE"""),4.56)</f>
        <v>4.56</v>
      </c>
      <c r="AK522" s="320">
        <f>IFERROR(__xludf.DUMMYFUNCTION("""COMPUTED_VALUE"""),0.1521)</f>
        <v>0.1521</v>
      </c>
      <c r="AL522" s="320">
        <f>IFERROR(__xludf.DUMMYFUNCTION("""COMPUTED_VALUE"""),22.88)</f>
        <v>22.88</v>
      </c>
      <c r="AM522" s="320">
        <f>IFERROR(__xludf.DUMMYFUNCTION("""COMPUTED_VALUE"""),152.06)</f>
        <v>152.06</v>
      </c>
      <c r="AN522" s="320">
        <f>IFERROR(__xludf.DUMMYFUNCTION("""COMPUTED_VALUE"""),82.41)</f>
        <v>82.41</v>
      </c>
      <c r="AO522" s="320">
        <f>IFERROR(__xludf.DUMMYFUNCTION("""COMPUTED_VALUE"""),18.86)</f>
        <v>18.86</v>
      </c>
    </row>
    <row r="523" ht="15.0" customHeight="1">
      <c r="A523" s="328">
        <f>IFERROR(__xludf.DUMMYFUNCTION("""COMPUTED_VALUE"""),46136.0)</f>
        <v>46136</v>
      </c>
      <c r="B523" s="319" t="str">
        <f>IFERROR(__xludf.DUMMYFUNCTION("""COMPUTED_VALUE"""),"F. 100+")</f>
        <v>F. 100+</v>
      </c>
      <c r="C523" s="320">
        <f>IFERROR(__xludf.DUMMYFUNCTION("""COMPUTED_VALUE"""),591.0)</f>
        <v>591</v>
      </c>
      <c r="D523" s="320">
        <f>IFERROR(__xludf.DUMMYFUNCTION("""COMPUTED_VALUE"""),0.59)</f>
        <v>0.59</v>
      </c>
      <c r="E523" s="320">
        <f>IFERROR(__xludf.DUMMYFUNCTION("""COMPUTED_VALUE"""),0.0)</f>
        <v>0</v>
      </c>
      <c r="F523" s="320">
        <f>IFERROR(__xludf.DUMMYFUNCTION("""COMPUTED_VALUE"""),0.0)</f>
        <v>0</v>
      </c>
      <c r="G523" s="320">
        <f>IFERROR(__xludf.DUMMYFUNCTION("""COMPUTED_VALUE"""),0.0)</f>
        <v>0</v>
      </c>
      <c r="H523" s="106"/>
      <c r="I523" s="320">
        <f>IFERROR(__xludf.DUMMYFUNCTION("""COMPUTED_VALUE"""),253.57)</f>
        <v>253.57</v>
      </c>
      <c r="J523" s="320">
        <f>IFERROR(__xludf.DUMMYFUNCTION("""COMPUTED_VALUE"""),144.75)</f>
        <v>144.75</v>
      </c>
      <c r="K523" s="320">
        <f>IFERROR(__xludf.DUMMYFUNCTION("""COMPUTED_VALUE"""),127.73)</f>
        <v>127.73</v>
      </c>
      <c r="L523" s="320">
        <f>IFERROR(__xludf.DUMMYFUNCTION("""COMPUTED_VALUE"""),0.8824)</f>
        <v>0.8824</v>
      </c>
      <c r="M523" s="320">
        <f>IFERROR(__xludf.DUMMYFUNCTION("""COMPUTED_VALUE"""),0.2744)</f>
        <v>0.2744</v>
      </c>
      <c r="N523" s="320">
        <f>IFERROR(__xludf.DUMMYFUNCTION("""COMPUTED_VALUE"""),0.2108)</f>
        <v>0.2108</v>
      </c>
      <c r="O523" s="320">
        <f>IFERROR(__xludf.DUMMYFUNCTION("""COMPUTED_VALUE"""),1.1332)</f>
        <v>1.1332</v>
      </c>
      <c r="P523" s="320">
        <f>IFERROR(__xludf.DUMMYFUNCTION("""COMPUTED_VALUE"""),584.34)</f>
        <v>584.34</v>
      </c>
      <c r="Q523" s="320">
        <f>IFERROR(__xludf.DUMMYFUNCTION("""COMPUTED_VALUE"""),335.39)</f>
        <v>335.39</v>
      </c>
      <c r="R523" s="320">
        <f>IFERROR(__xludf.DUMMYFUNCTION("""COMPUTED_VALUE"""),248.95)</f>
        <v>248.95</v>
      </c>
      <c r="S523" s="320">
        <f>IFERROR(__xludf.DUMMYFUNCTION("""COMPUTED_VALUE"""),0.0)</f>
        <v>0</v>
      </c>
      <c r="T523" s="320">
        <f>IFERROR(__xludf.DUMMYFUNCTION("""COMPUTED_VALUE"""),584.34)</f>
        <v>584.34</v>
      </c>
      <c r="U523" s="320">
        <f>IFERROR(__xludf.DUMMYFUNCTION("""COMPUTED_VALUE"""),614.81)</f>
        <v>614.81</v>
      </c>
      <c r="V523" s="320">
        <f>IFERROR(__xludf.DUMMYFUNCTION("""COMPUTED_VALUE"""),4.2474)</f>
        <v>4.2474</v>
      </c>
      <c r="W523" s="320">
        <f>IFERROR(__xludf.DUMMYFUNCTION("""COMPUTED_VALUE"""),0.0)</f>
        <v>0</v>
      </c>
      <c r="X523" s="320">
        <f>IFERROR(__xludf.DUMMYFUNCTION("""COMPUTED_VALUE"""),889.0)</f>
        <v>889</v>
      </c>
      <c r="Y523" s="320">
        <f>IFERROR(__xludf.DUMMYFUNCTION("""COMPUTED_VALUE"""),3920.0)</f>
        <v>3920</v>
      </c>
      <c r="Z523" s="320">
        <f>IFERROR(__xludf.DUMMYFUNCTION("""COMPUTED_VALUE"""),13884.0)</f>
        <v>13884</v>
      </c>
      <c r="AA523" s="320">
        <f>IFERROR(__xludf.DUMMYFUNCTION("""COMPUTED_VALUE"""),63.7213)</f>
        <v>63.7213</v>
      </c>
      <c r="AB523" s="320">
        <f>IFERROR(__xludf.DUMMYFUNCTION("""COMPUTED_VALUE"""),0.9091)</f>
        <v>0.9091</v>
      </c>
      <c r="AC523" s="320">
        <f>IFERROR(__xludf.DUMMYFUNCTION("""COMPUTED_VALUE"""),87.28)</f>
        <v>87.28</v>
      </c>
      <c r="AD523" s="320">
        <f>IFERROR(__xludf.DUMMYFUNCTION("""COMPUTED_VALUE"""),37.0)</f>
        <v>37</v>
      </c>
      <c r="AE523" s="320">
        <f>IFERROR(__xludf.DUMMYFUNCTION("""COMPUTED_VALUE"""),74.0)</f>
        <v>74</v>
      </c>
      <c r="AF523" s="320">
        <f>IFERROR(__xludf.DUMMYFUNCTION("""COMPUTED_VALUE"""),123.0)</f>
        <v>123</v>
      </c>
      <c r="AG523" s="320">
        <f>IFERROR(__xludf.DUMMYFUNCTION("""COMPUTED_VALUE"""),175.0)</f>
        <v>175</v>
      </c>
      <c r="AH523" s="320">
        <f>IFERROR(__xludf.DUMMYFUNCTION("""COMPUTED_VALUE"""),45.52)</f>
        <v>45.52</v>
      </c>
      <c r="AI523" s="320">
        <f>IFERROR(__xludf.DUMMYFUNCTION("""COMPUTED_VALUE"""),10.15)</f>
        <v>10.15</v>
      </c>
      <c r="AJ523" s="320">
        <f>IFERROR(__xludf.DUMMYFUNCTION("""COMPUTED_VALUE"""),0.85)</f>
        <v>0.85</v>
      </c>
      <c r="AK523" s="320">
        <f>IFERROR(__xludf.DUMMYFUNCTION("""COMPUTED_VALUE"""),0.0846)</f>
        <v>0.0846</v>
      </c>
      <c r="AL523" s="320">
        <f>IFERROR(__xludf.DUMMYFUNCTION("""COMPUTED_VALUE"""),20.94)</f>
        <v>20.94</v>
      </c>
      <c r="AM523" s="320">
        <f>IFERROR(__xludf.DUMMYFUNCTION("""COMPUTED_VALUE"""),314.45)</f>
        <v>314.45</v>
      </c>
      <c r="AN523" s="320">
        <f>IFERROR(__xludf.DUMMYFUNCTION("""COMPUTED_VALUE"""),87.0)</f>
        <v>87</v>
      </c>
      <c r="AO523" s="320">
        <f>IFERROR(__xludf.DUMMYFUNCTION("""COMPUTED_VALUE"""),18.22)</f>
        <v>18.22</v>
      </c>
    </row>
    <row r="524" ht="15.0" customHeight="1">
      <c r="A524" s="328">
        <f>IFERROR(__xludf.DUMMYFUNCTION("""COMPUTED_VALUE"""),46137.0)</f>
        <v>46137</v>
      </c>
      <c r="B524" s="319" t="str">
        <f>IFERROR(__xludf.DUMMYFUNCTION("""COMPUTED_VALUE"""),"A. 0")</f>
        <v>A. 0</v>
      </c>
      <c r="C524" s="320">
        <f>IFERROR(__xludf.DUMMYFUNCTION("""COMPUTED_VALUE"""),19021.0)</f>
        <v>19021</v>
      </c>
      <c r="D524" s="320">
        <f>IFERROR(__xludf.DUMMYFUNCTION("""COMPUTED_VALUE"""),19.45)</f>
        <v>19.45</v>
      </c>
      <c r="E524" s="320">
        <f>IFERROR(__xludf.DUMMYFUNCTION("""COMPUTED_VALUE"""),0.0)</f>
        <v>0</v>
      </c>
      <c r="F524" s="320">
        <f>IFERROR(__xludf.DUMMYFUNCTION("""COMPUTED_VALUE"""),0.0)</f>
        <v>0</v>
      </c>
      <c r="G524" s="320">
        <f>IFERROR(__xludf.DUMMYFUNCTION("""COMPUTED_VALUE"""),0.0)</f>
        <v>0</v>
      </c>
      <c r="H524" s="106"/>
      <c r="I524" s="320">
        <f>IFERROR(__xludf.DUMMYFUNCTION("""COMPUTED_VALUE"""),5.95)</f>
        <v>5.95</v>
      </c>
      <c r="J524" s="320">
        <f>IFERROR(__xludf.DUMMYFUNCTION("""COMPUTED_VALUE"""),2.44)</f>
        <v>2.44</v>
      </c>
      <c r="K524" s="320">
        <f>IFERROR(__xludf.DUMMYFUNCTION("""COMPUTED_VALUE"""),0.04)</f>
        <v>0.04</v>
      </c>
      <c r="L524" s="320">
        <f>IFERROR(__xludf.DUMMYFUNCTION("""COMPUTED_VALUE"""),0.0155)</f>
        <v>0.0155</v>
      </c>
      <c r="M524" s="320">
        <f>IFERROR(__xludf.DUMMYFUNCTION("""COMPUTED_VALUE"""),0.9885)</f>
        <v>0.9885</v>
      </c>
      <c r="N524" s="320">
        <f>IFERROR(__xludf.DUMMYFUNCTION("""COMPUTED_VALUE"""),0.8574)</f>
        <v>0.8574</v>
      </c>
      <c r="O524" s="320">
        <f>IFERROR(__xludf.DUMMYFUNCTION("""COMPUTED_VALUE"""),64.3154)</f>
        <v>64.3154</v>
      </c>
      <c r="P524" s="320">
        <f>IFERROR(__xludf.DUMMYFUNCTION("""COMPUTED_VALUE"""),25.32)</f>
        <v>25.32</v>
      </c>
      <c r="Q524" s="320">
        <f>IFERROR(__xludf.DUMMYFUNCTION("""COMPUTED_VALUE"""),25.16)</f>
        <v>25.16</v>
      </c>
      <c r="R524" s="320">
        <f>IFERROR(__xludf.DUMMYFUNCTION("""COMPUTED_VALUE"""),0.15)</f>
        <v>0.15</v>
      </c>
      <c r="S524" s="320">
        <f>IFERROR(__xludf.DUMMYFUNCTION("""COMPUTED_VALUE"""),0.0)</f>
        <v>0</v>
      </c>
      <c r="T524" s="320">
        <f>IFERROR(__xludf.DUMMYFUNCTION("""COMPUTED_VALUE"""),25.32)</f>
        <v>25.32</v>
      </c>
      <c r="U524" s="320">
        <f>IFERROR(__xludf.DUMMYFUNCTION("""COMPUTED_VALUE"""),2.19)</f>
        <v>2.19</v>
      </c>
      <c r="V524" s="320">
        <f>IFERROR(__xludf.DUMMYFUNCTION("""COMPUTED_VALUE"""),0.8946)</f>
        <v>0.8946</v>
      </c>
      <c r="W524" s="320">
        <f>IFERROR(__xludf.DUMMYFUNCTION("""COMPUTED_VALUE"""),0.0)</f>
        <v>0</v>
      </c>
      <c r="X524" s="320">
        <f>IFERROR(__xludf.DUMMYFUNCTION("""COMPUTED_VALUE"""),311.0)</f>
        <v>311</v>
      </c>
      <c r="Y524" s="320">
        <f>IFERROR(__xludf.DUMMYFUNCTION("""COMPUTED_VALUE"""),3948.0)</f>
        <v>3948</v>
      </c>
      <c r="Z524" s="320">
        <f>IFERROR(__xludf.DUMMYFUNCTION("""COMPUTED_VALUE"""),14946.0)</f>
        <v>14946</v>
      </c>
      <c r="AA524" s="320">
        <f>IFERROR(__xludf.DUMMYFUNCTION("""COMPUTED_VALUE"""),48.9148)</f>
        <v>48.9148</v>
      </c>
      <c r="AB524" s="320">
        <f>IFERROR(__xludf.DUMMYFUNCTION("""COMPUTED_VALUE"""),0.537)</f>
        <v>0.537</v>
      </c>
      <c r="AC524" s="106"/>
      <c r="AD524" s="106"/>
      <c r="AE524" s="106"/>
      <c r="AF524" s="106"/>
      <c r="AG524" s="106"/>
      <c r="AH524" s="320">
        <f>IFERROR(__xludf.DUMMYFUNCTION("""COMPUTED_VALUE"""),0.0)</f>
        <v>0</v>
      </c>
      <c r="AI524" s="320">
        <f>IFERROR(__xludf.DUMMYFUNCTION("""COMPUTED_VALUE"""),0.0)</f>
        <v>0</v>
      </c>
      <c r="AJ524" s="320">
        <f>IFERROR(__xludf.DUMMYFUNCTION("""COMPUTED_VALUE"""),0.0)</f>
        <v>0</v>
      </c>
      <c r="AK524" s="320">
        <f>IFERROR(__xludf.DUMMYFUNCTION("""COMPUTED_VALUE"""),0.2899)</f>
        <v>0.2899</v>
      </c>
      <c r="AL524" s="320">
        <f>IFERROR(__xludf.DUMMYFUNCTION("""COMPUTED_VALUE"""),18.86)</f>
        <v>18.86</v>
      </c>
      <c r="AM524" s="320">
        <f>IFERROR(__xludf.DUMMYFUNCTION("""COMPUTED_VALUE"""),6.3)</f>
        <v>6.3</v>
      </c>
      <c r="AN524" s="331"/>
      <c r="AO524" s="331"/>
    </row>
    <row r="525" ht="15.0" customHeight="1">
      <c r="A525" s="328">
        <f>IFERROR(__xludf.DUMMYFUNCTION("""COMPUTED_VALUE"""),46137.0)</f>
        <v>46137</v>
      </c>
      <c r="B525" s="319" t="str">
        <f>IFERROR(__xludf.DUMMYFUNCTION("""COMPUTED_VALUE"""),"B. 1-9")</f>
        <v>B. 1-9</v>
      </c>
      <c r="C525" s="320">
        <f>IFERROR(__xludf.DUMMYFUNCTION("""COMPUTED_VALUE"""),35297.0)</f>
        <v>35297</v>
      </c>
      <c r="D525" s="320">
        <f>IFERROR(__xludf.DUMMYFUNCTION("""COMPUTED_VALUE"""),36.1)</f>
        <v>36.1</v>
      </c>
      <c r="E525" s="320">
        <f>IFERROR(__xludf.DUMMYFUNCTION("""COMPUTED_VALUE"""),0.0)</f>
        <v>0</v>
      </c>
      <c r="F525" s="320">
        <f>IFERROR(__xludf.DUMMYFUNCTION("""COMPUTED_VALUE"""),0.0)</f>
        <v>0</v>
      </c>
      <c r="G525" s="320">
        <f>IFERROR(__xludf.DUMMYFUNCTION("""COMPUTED_VALUE"""),0.0)</f>
        <v>0</v>
      </c>
      <c r="H525" s="106"/>
      <c r="I525" s="320">
        <f>IFERROR(__xludf.DUMMYFUNCTION("""COMPUTED_VALUE"""),29.23)</f>
        <v>29.23</v>
      </c>
      <c r="J525" s="320">
        <f>IFERROR(__xludf.DUMMYFUNCTION("""COMPUTED_VALUE"""),13.33)</f>
        <v>13.33</v>
      </c>
      <c r="K525" s="320">
        <f>IFERROR(__xludf.DUMMYFUNCTION("""COMPUTED_VALUE"""),5.78)</f>
        <v>5.78</v>
      </c>
      <c r="L525" s="320">
        <f>IFERROR(__xludf.DUMMYFUNCTION("""COMPUTED_VALUE"""),0.4335)</f>
        <v>0.4335</v>
      </c>
      <c r="M525" s="320">
        <f>IFERROR(__xludf.DUMMYFUNCTION("""COMPUTED_VALUE"""),0.7411)</f>
        <v>0.7411</v>
      </c>
      <c r="N525" s="320">
        <f>IFERROR(__xludf.DUMMYFUNCTION("""COMPUTED_VALUE"""),0.5453)</f>
        <v>0.5453</v>
      </c>
      <c r="O525" s="320">
        <f>IFERROR(__xludf.DUMMYFUNCTION("""COMPUTED_VALUE"""),2.3067)</f>
        <v>2.3067</v>
      </c>
      <c r="P525" s="320">
        <f>IFERROR(__xludf.DUMMYFUNCTION("""COMPUTED_VALUE"""),52.4)</f>
        <v>52.4</v>
      </c>
      <c r="Q525" s="320">
        <f>IFERROR(__xludf.DUMMYFUNCTION("""COMPUTED_VALUE"""),41.09)</f>
        <v>41.09</v>
      </c>
      <c r="R525" s="320">
        <f>IFERROR(__xludf.DUMMYFUNCTION("""COMPUTED_VALUE"""),11.31)</f>
        <v>11.31</v>
      </c>
      <c r="S525" s="320">
        <f>IFERROR(__xludf.DUMMYFUNCTION("""COMPUTED_VALUE"""),0.0)</f>
        <v>0</v>
      </c>
      <c r="T525" s="320">
        <f>IFERROR(__xludf.DUMMYFUNCTION("""COMPUTED_VALUE"""),52.4)</f>
        <v>52.4</v>
      </c>
      <c r="U525" s="320">
        <f>IFERROR(__xludf.DUMMYFUNCTION("""COMPUTED_VALUE"""),53.78)</f>
        <v>53.78</v>
      </c>
      <c r="V525" s="320">
        <f>IFERROR(__xludf.DUMMYFUNCTION("""COMPUTED_VALUE"""),4.0352)</f>
        <v>4.0352</v>
      </c>
      <c r="W525" s="320">
        <f>IFERROR(__xludf.DUMMYFUNCTION("""COMPUTED_VALUE"""),0.0)</f>
        <v>0</v>
      </c>
      <c r="X525" s="320">
        <f>IFERROR(__xludf.DUMMYFUNCTION("""COMPUTED_VALUE"""),145.0)</f>
        <v>145</v>
      </c>
      <c r="Y525" s="320">
        <f>IFERROR(__xludf.DUMMYFUNCTION("""COMPUTED_VALUE"""),853.0)</f>
        <v>853</v>
      </c>
      <c r="Z525" s="320">
        <f>IFERROR(__xludf.DUMMYFUNCTION("""COMPUTED_VALUE"""),5768.0)</f>
        <v>5768</v>
      </c>
      <c r="AA525" s="320">
        <f>IFERROR(__xludf.DUMMYFUNCTION("""COMPUTED_VALUE"""),48.8548)</f>
        <v>48.8548</v>
      </c>
      <c r="AB525" s="320">
        <f>IFERROR(__xludf.DUMMYFUNCTION("""COMPUTED_VALUE"""),0.5359)</f>
        <v>0.5359</v>
      </c>
      <c r="AC525" s="320">
        <f>IFERROR(__xludf.DUMMYFUNCTION("""COMPUTED_VALUE"""),4.12)</f>
        <v>4.12</v>
      </c>
      <c r="AD525" s="320">
        <f>IFERROR(__xludf.DUMMYFUNCTION("""COMPUTED_VALUE"""),1.0)</f>
        <v>1</v>
      </c>
      <c r="AE525" s="320">
        <f>IFERROR(__xludf.DUMMYFUNCTION("""COMPUTED_VALUE"""),3.0)</f>
        <v>3</v>
      </c>
      <c r="AF525" s="320">
        <f>IFERROR(__xludf.DUMMYFUNCTION("""COMPUTED_VALUE"""),5.0)</f>
        <v>5</v>
      </c>
      <c r="AG525" s="320">
        <f>IFERROR(__xludf.DUMMYFUNCTION("""COMPUTED_VALUE"""),9.0)</f>
        <v>9</v>
      </c>
      <c r="AH525" s="320">
        <f>IFERROR(__xludf.DUMMYFUNCTION("""COMPUTED_VALUE"""),72.72)</f>
        <v>72.72</v>
      </c>
      <c r="AI525" s="320">
        <f>IFERROR(__xludf.DUMMYFUNCTION("""COMPUTED_VALUE"""),31.63)</f>
        <v>31.63</v>
      </c>
      <c r="AJ525" s="320">
        <f>IFERROR(__xludf.DUMMYFUNCTION("""COMPUTED_VALUE"""),9.64)</f>
        <v>9.64</v>
      </c>
      <c r="AK525" s="320">
        <f>IFERROR(__xludf.DUMMYFUNCTION("""COMPUTED_VALUE"""),0.2546)</f>
        <v>0.2546</v>
      </c>
      <c r="AL525" s="320">
        <f>IFERROR(__xludf.DUMMYFUNCTION("""COMPUTED_VALUE"""),21.87)</f>
        <v>21.87</v>
      </c>
      <c r="AM525" s="320">
        <f>IFERROR(__xludf.DUMMYFUNCTION("""COMPUTED_VALUE"""),19.22)</f>
        <v>19.22</v>
      </c>
      <c r="AN525" s="320">
        <f>IFERROR(__xludf.DUMMYFUNCTION("""COMPUTED_VALUE"""),65.8)</f>
        <v>65.8</v>
      </c>
      <c r="AO525" s="320">
        <f>IFERROR(__xludf.DUMMYFUNCTION("""COMPUTED_VALUE"""),14.39)</f>
        <v>14.39</v>
      </c>
    </row>
    <row r="526" ht="15.0" customHeight="1">
      <c r="A526" s="328">
        <f>IFERROR(__xludf.DUMMYFUNCTION("""COMPUTED_VALUE"""),46137.0)</f>
        <v>46137</v>
      </c>
      <c r="B526" s="319" t="str">
        <f>IFERROR(__xludf.DUMMYFUNCTION("""COMPUTED_VALUE"""),"C. 10-19")</f>
        <v>C. 10-19</v>
      </c>
      <c r="C526" s="320">
        <f>IFERROR(__xludf.DUMMYFUNCTION("""COMPUTED_VALUE"""),23733.0)</f>
        <v>23733</v>
      </c>
      <c r="D526" s="320">
        <f>IFERROR(__xludf.DUMMYFUNCTION("""COMPUTED_VALUE"""),24.27)</f>
        <v>24.27</v>
      </c>
      <c r="E526" s="320">
        <f>IFERROR(__xludf.DUMMYFUNCTION("""COMPUTED_VALUE"""),0.0)</f>
        <v>0</v>
      </c>
      <c r="F526" s="320">
        <f>IFERROR(__xludf.DUMMYFUNCTION("""COMPUTED_VALUE"""),0.0)</f>
        <v>0</v>
      </c>
      <c r="G526" s="320">
        <f>IFERROR(__xludf.DUMMYFUNCTION("""COMPUTED_VALUE"""),0.0)</f>
        <v>0</v>
      </c>
      <c r="H526" s="106"/>
      <c r="I526" s="320">
        <f>IFERROR(__xludf.DUMMYFUNCTION("""COMPUTED_VALUE"""),54.26)</f>
        <v>54.26</v>
      </c>
      <c r="J526" s="320">
        <f>IFERROR(__xludf.DUMMYFUNCTION("""COMPUTED_VALUE"""),25.54)</f>
        <v>25.54</v>
      </c>
      <c r="K526" s="320">
        <f>IFERROR(__xludf.DUMMYFUNCTION("""COMPUTED_VALUE"""),14.06)</f>
        <v>14.06</v>
      </c>
      <c r="L526" s="320">
        <f>IFERROR(__xludf.DUMMYFUNCTION("""COMPUTED_VALUE"""),0.5506)</f>
        <v>0.5506</v>
      </c>
      <c r="M526" s="320">
        <f>IFERROR(__xludf.DUMMYFUNCTION("""COMPUTED_VALUE"""),0.6444)</f>
        <v>0.6444</v>
      </c>
      <c r="N526" s="320">
        <f>IFERROR(__xludf.DUMMYFUNCTION("""COMPUTED_VALUE"""),0.4518)</f>
        <v>0.4518</v>
      </c>
      <c r="O526" s="320">
        <f>IFERROR(__xludf.DUMMYFUNCTION("""COMPUTED_VALUE"""),1.8163)</f>
        <v>1.8163</v>
      </c>
      <c r="P526" s="320">
        <f>IFERROR(__xludf.DUMMYFUNCTION("""COMPUTED_VALUE"""),98.77)</f>
        <v>98.77</v>
      </c>
      <c r="Q526" s="320">
        <f>IFERROR(__xludf.DUMMYFUNCTION("""COMPUTED_VALUE"""),71.18)</f>
        <v>71.18</v>
      </c>
      <c r="R526" s="320">
        <f>IFERROR(__xludf.DUMMYFUNCTION("""COMPUTED_VALUE"""),27.59)</f>
        <v>27.59</v>
      </c>
      <c r="S526" s="320">
        <f>IFERROR(__xludf.DUMMYFUNCTION("""COMPUTED_VALUE"""),0.08)</f>
        <v>0.08</v>
      </c>
      <c r="T526" s="320">
        <f>IFERROR(__xludf.DUMMYFUNCTION("""COMPUTED_VALUE"""),98.69)</f>
        <v>98.69</v>
      </c>
      <c r="U526" s="320">
        <f>IFERROR(__xludf.DUMMYFUNCTION("""COMPUTED_VALUE"""),98.62)</f>
        <v>98.62</v>
      </c>
      <c r="V526" s="320">
        <f>IFERROR(__xludf.DUMMYFUNCTION("""COMPUTED_VALUE"""),3.8619)</f>
        <v>3.8619</v>
      </c>
      <c r="W526" s="320">
        <f>IFERROR(__xludf.DUMMYFUNCTION("""COMPUTED_VALUE"""),0.08)</f>
        <v>0.08</v>
      </c>
      <c r="X526" s="320">
        <f>IFERROR(__xludf.DUMMYFUNCTION("""COMPUTED_VALUE"""),127.0)</f>
        <v>127</v>
      </c>
      <c r="Y526" s="320">
        <f>IFERROR(__xludf.DUMMYFUNCTION("""COMPUTED_VALUE"""),735.0)</f>
        <v>735</v>
      </c>
      <c r="Z526" s="320">
        <f>IFERROR(__xludf.DUMMYFUNCTION("""COMPUTED_VALUE"""),5188.0)</f>
        <v>5188</v>
      </c>
      <c r="AA526" s="320">
        <f>IFERROR(__xludf.DUMMYFUNCTION("""COMPUTED_VALUE"""),52.3588)</f>
        <v>52.3588</v>
      </c>
      <c r="AB526" s="320">
        <f>IFERROR(__xludf.DUMMYFUNCTION("""COMPUTED_VALUE"""),0.6358)</f>
        <v>0.6358</v>
      </c>
      <c r="AC526" s="320">
        <f>IFERROR(__xludf.DUMMYFUNCTION("""COMPUTED_VALUE"""),9.66)</f>
        <v>9.66</v>
      </c>
      <c r="AD526" s="320">
        <f>IFERROR(__xludf.DUMMYFUNCTION("""COMPUTED_VALUE"""),4.0)</f>
        <v>4</v>
      </c>
      <c r="AE526" s="320">
        <f>IFERROR(__xludf.DUMMYFUNCTION("""COMPUTED_VALUE"""),8.0)</f>
        <v>8</v>
      </c>
      <c r="AF526" s="320">
        <f>IFERROR(__xludf.DUMMYFUNCTION("""COMPUTED_VALUE"""),13.0)</f>
        <v>13</v>
      </c>
      <c r="AG526" s="320">
        <f>IFERROR(__xludf.DUMMYFUNCTION("""COMPUTED_VALUE"""),20.0)</f>
        <v>20</v>
      </c>
      <c r="AH526" s="320">
        <f>IFERROR(__xludf.DUMMYFUNCTION("""COMPUTED_VALUE"""),61.23)</f>
        <v>61.23</v>
      </c>
      <c r="AI526" s="320">
        <f>IFERROR(__xludf.DUMMYFUNCTION("""COMPUTED_VALUE"""),26.98)</f>
        <v>26.98</v>
      </c>
      <c r="AJ526" s="320">
        <f>IFERROR(__xludf.DUMMYFUNCTION("""COMPUTED_VALUE"""),5.41)</f>
        <v>5.41</v>
      </c>
      <c r="AK526" s="320">
        <f>IFERROR(__xludf.DUMMYFUNCTION("""COMPUTED_VALUE"""),0.2006)</f>
        <v>0.2006</v>
      </c>
      <c r="AL526" s="320">
        <f>IFERROR(__xludf.DUMMYFUNCTION("""COMPUTED_VALUE"""),23.47)</f>
        <v>23.47</v>
      </c>
      <c r="AM526" s="320">
        <f>IFERROR(__xludf.DUMMYFUNCTION("""COMPUTED_VALUE"""),47.7)</f>
        <v>47.7</v>
      </c>
      <c r="AN526" s="320">
        <f>IFERROR(__xludf.DUMMYFUNCTION("""COMPUTED_VALUE"""),75.26)</f>
        <v>75.26</v>
      </c>
      <c r="AO526" s="320">
        <f>IFERROR(__xludf.DUMMYFUNCTION("""COMPUTED_VALUE"""),17.66)</f>
        <v>17.66</v>
      </c>
    </row>
    <row r="527" ht="15.0" customHeight="1">
      <c r="A527" s="328">
        <f>IFERROR(__xludf.DUMMYFUNCTION("""COMPUTED_VALUE"""),46137.0)</f>
        <v>46137</v>
      </c>
      <c r="B527" s="319" t="str">
        <f>IFERROR(__xludf.DUMMYFUNCTION("""COMPUTED_VALUE"""),"D. 20-39")</f>
        <v>D. 20-39</v>
      </c>
      <c r="C527" s="320">
        <f>IFERROR(__xludf.DUMMYFUNCTION("""COMPUTED_VALUE"""),13549.0)</f>
        <v>13549</v>
      </c>
      <c r="D527" s="320">
        <f>IFERROR(__xludf.DUMMYFUNCTION("""COMPUTED_VALUE"""),13.86)</f>
        <v>13.86</v>
      </c>
      <c r="E527" s="320">
        <f>IFERROR(__xludf.DUMMYFUNCTION("""COMPUTED_VALUE"""),0.0)</f>
        <v>0</v>
      </c>
      <c r="F527" s="320">
        <f>IFERROR(__xludf.DUMMYFUNCTION("""COMPUTED_VALUE"""),0.0)</f>
        <v>0</v>
      </c>
      <c r="G527" s="320">
        <f>IFERROR(__xludf.DUMMYFUNCTION("""COMPUTED_VALUE"""),0.0)</f>
        <v>0</v>
      </c>
      <c r="H527" s="106"/>
      <c r="I527" s="320">
        <f>IFERROR(__xludf.DUMMYFUNCTION("""COMPUTED_VALUE"""),78.59)</f>
        <v>78.59</v>
      </c>
      <c r="J527" s="320">
        <f>IFERROR(__xludf.DUMMYFUNCTION("""COMPUTED_VALUE"""),39.59)</f>
        <v>39.59</v>
      </c>
      <c r="K527" s="320">
        <f>IFERROR(__xludf.DUMMYFUNCTION("""COMPUTED_VALUE"""),26.94)</f>
        <v>26.94</v>
      </c>
      <c r="L527" s="320">
        <f>IFERROR(__xludf.DUMMYFUNCTION("""COMPUTED_VALUE"""),0.6804)</f>
        <v>0.6804</v>
      </c>
      <c r="M527" s="320">
        <f>IFERROR(__xludf.DUMMYFUNCTION("""COMPUTED_VALUE"""),0.5131)</f>
        <v>0.5131</v>
      </c>
      <c r="N527" s="320">
        <f>IFERROR(__xludf.DUMMYFUNCTION("""COMPUTED_VALUE"""),0.3587)</f>
        <v>0.3587</v>
      </c>
      <c r="O527" s="320">
        <f>IFERROR(__xludf.DUMMYFUNCTION("""COMPUTED_VALUE"""),1.4698)</f>
        <v>1.4698</v>
      </c>
      <c r="P527" s="320">
        <f>IFERROR(__xludf.DUMMYFUNCTION("""COMPUTED_VALUE"""),167.14)</f>
        <v>167.14</v>
      </c>
      <c r="Q527" s="320">
        <f>IFERROR(__xludf.DUMMYFUNCTION("""COMPUTED_VALUE"""),114.54)</f>
        <v>114.54</v>
      </c>
      <c r="R527" s="320">
        <f>IFERROR(__xludf.DUMMYFUNCTION("""COMPUTED_VALUE"""),52.6)</f>
        <v>52.6</v>
      </c>
      <c r="S527" s="320">
        <f>IFERROR(__xludf.DUMMYFUNCTION("""COMPUTED_VALUE"""),0.0)</f>
        <v>0</v>
      </c>
      <c r="T527" s="320">
        <f>IFERROR(__xludf.DUMMYFUNCTION("""COMPUTED_VALUE"""),167.14)</f>
        <v>167.14</v>
      </c>
      <c r="U527" s="320">
        <f>IFERROR(__xludf.DUMMYFUNCTION("""COMPUTED_VALUE"""),165.38)</f>
        <v>165.38</v>
      </c>
      <c r="V527" s="320">
        <f>IFERROR(__xludf.DUMMYFUNCTION("""COMPUTED_VALUE"""),4.1773)</f>
        <v>4.1773</v>
      </c>
      <c r="W527" s="320">
        <f>IFERROR(__xludf.DUMMYFUNCTION("""COMPUTED_VALUE"""),0.0)</f>
        <v>0</v>
      </c>
      <c r="X527" s="320">
        <f>IFERROR(__xludf.DUMMYFUNCTION("""COMPUTED_VALUE"""),157.0)</f>
        <v>157</v>
      </c>
      <c r="Y527" s="320">
        <f>IFERROR(__xludf.DUMMYFUNCTION("""COMPUTED_VALUE"""),972.0)</f>
        <v>972</v>
      </c>
      <c r="Z527" s="320">
        <f>IFERROR(__xludf.DUMMYFUNCTION("""COMPUTED_VALUE"""),6298.0)</f>
        <v>6298</v>
      </c>
      <c r="AA527" s="320">
        <f>IFERROR(__xludf.DUMMYFUNCTION("""COMPUTED_VALUE"""),55.8247)</f>
        <v>55.8247</v>
      </c>
      <c r="AB527" s="320">
        <f>IFERROR(__xludf.DUMMYFUNCTION("""COMPUTED_VALUE"""),0.7404)</f>
        <v>0.7404</v>
      </c>
      <c r="AC527" s="320">
        <f>IFERROR(__xludf.DUMMYFUNCTION("""COMPUTED_VALUE"""),18.44)</f>
        <v>18.44</v>
      </c>
      <c r="AD527" s="320">
        <f>IFERROR(__xludf.DUMMYFUNCTION("""COMPUTED_VALUE"""),7.0)</f>
        <v>7</v>
      </c>
      <c r="AE527" s="320">
        <f>IFERROR(__xludf.DUMMYFUNCTION("""COMPUTED_VALUE"""),14.0)</f>
        <v>14</v>
      </c>
      <c r="AF527" s="320">
        <f>IFERROR(__xludf.DUMMYFUNCTION("""COMPUTED_VALUE"""),25.0)</f>
        <v>25</v>
      </c>
      <c r="AG527" s="320">
        <f>IFERROR(__xludf.DUMMYFUNCTION("""COMPUTED_VALUE"""),38.0)</f>
        <v>38</v>
      </c>
      <c r="AH527" s="320">
        <f>IFERROR(__xludf.DUMMYFUNCTION("""COMPUTED_VALUE"""),61.09)</f>
        <v>61.09</v>
      </c>
      <c r="AI527" s="320">
        <f>IFERROR(__xludf.DUMMYFUNCTION("""COMPUTED_VALUE"""),24.64)</f>
        <v>24.64</v>
      </c>
      <c r="AJ527" s="320">
        <f>IFERROR(__xludf.DUMMYFUNCTION("""COMPUTED_VALUE"""),7.8)</f>
        <v>7.8</v>
      </c>
      <c r="AK527" s="320">
        <f>IFERROR(__xludf.DUMMYFUNCTION("""COMPUTED_VALUE"""),0.1903)</f>
        <v>0.1903</v>
      </c>
      <c r="AL527" s="320">
        <f>IFERROR(__xludf.DUMMYFUNCTION("""COMPUTED_VALUE"""),23.46)</f>
        <v>23.46</v>
      </c>
      <c r="AM527" s="320">
        <f>IFERROR(__xludf.DUMMYFUNCTION("""COMPUTED_VALUE"""),91.08)</f>
        <v>91.08</v>
      </c>
      <c r="AN527" s="320">
        <f>IFERROR(__xludf.DUMMYFUNCTION("""COMPUTED_VALUE"""),77.52)</f>
        <v>77.52</v>
      </c>
      <c r="AO527" s="320">
        <f>IFERROR(__xludf.DUMMYFUNCTION("""COMPUTED_VALUE"""),18.19)</f>
        <v>18.19</v>
      </c>
    </row>
    <row r="528" ht="15.0" customHeight="1">
      <c r="A528" s="328">
        <f>IFERROR(__xludf.DUMMYFUNCTION("""COMPUTED_VALUE"""),46137.0)</f>
        <v>46137</v>
      </c>
      <c r="B528" s="319" t="str">
        <f>IFERROR(__xludf.DUMMYFUNCTION("""COMPUTED_VALUE"""),"E. 40-99")</f>
        <v>E. 40-99</v>
      </c>
      <c r="C528" s="320">
        <f>IFERROR(__xludf.DUMMYFUNCTION("""COMPUTED_VALUE"""),5584.0)</f>
        <v>5584</v>
      </c>
      <c r="D528" s="320">
        <f>IFERROR(__xludf.DUMMYFUNCTION("""COMPUTED_VALUE"""),5.71)</f>
        <v>5.71</v>
      </c>
      <c r="E528" s="320">
        <f>IFERROR(__xludf.DUMMYFUNCTION("""COMPUTED_VALUE"""),0.0)</f>
        <v>0</v>
      </c>
      <c r="F528" s="320">
        <f>IFERROR(__xludf.DUMMYFUNCTION("""COMPUTED_VALUE"""),0.0)</f>
        <v>0</v>
      </c>
      <c r="G528" s="320">
        <f>IFERROR(__xludf.DUMMYFUNCTION("""COMPUTED_VALUE"""),0.0)</f>
        <v>0</v>
      </c>
      <c r="H528" s="106"/>
      <c r="I528" s="320">
        <f>IFERROR(__xludf.DUMMYFUNCTION("""COMPUTED_VALUE"""),126.06)</f>
        <v>126.06</v>
      </c>
      <c r="J528" s="320">
        <f>IFERROR(__xludf.DUMMYFUNCTION("""COMPUTED_VALUE"""),68.08)</f>
        <v>68.08</v>
      </c>
      <c r="K528" s="320">
        <f>IFERROR(__xludf.DUMMYFUNCTION("""COMPUTED_VALUE"""),54.53)</f>
        <v>54.53</v>
      </c>
      <c r="L528" s="320">
        <f>IFERROR(__xludf.DUMMYFUNCTION("""COMPUTED_VALUE"""),0.801)</f>
        <v>0.801</v>
      </c>
      <c r="M528" s="320">
        <f>IFERROR(__xludf.DUMMYFUNCTION("""COMPUTED_VALUE"""),0.3812)</f>
        <v>0.3812</v>
      </c>
      <c r="N528" s="320">
        <f>IFERROR(__xludf.DUMMYFUNCTION("""COMPUTED_VALUE"""),0.2765)</f>
        <v>0.2765</v>
      </c>
      <c r="O528" s="320">
        <f>IFERROR(__xludf.DUMMYFUNCTION("""COMPUTED_VALUE"""),1.2484)</f>
        <v>1.2484</v>
      </c>
      <c r="P528" s="320">
        <f>IFERROR(__xludf.DUMMYFUNCTION("""COMPUTED_VALUE"""),320.32)</f>
        <v>320.32</v>
      </c>
      <c r="Q528" s="320">
        <f>IFERROR(__xludf.DUMMYFUNCTION("""COMPUTED_VALUE"""),214.85)</f>
        <v>214.85</v>
      </c>
      <c r="R528" s="320">
        <f>IFERROR(__xludf.DUMMYFUNCTION("""COMPUTED_VALUE"""),105.46)</f>
        <v>105.46</v>
      </c>
      <c r="S528" s="320">
        <f>IFERROR(__xludf.DUMMYFUNCTION("""COMPUTED_VALUE"""),0.0)</f>
        <v>0</v>
      </c>
      <c r="T528" s="320">
        <f>IFERROR(__xludf.DUMMYFUNCTION("""COMPUTED_VALUE"""),320.31)</f>
        <v>320.31</v>
      </c>
      <c r="U528" s="320">
        <f>IFERROR(__xludf.DUMMYFUNCTION("""COMPUTED_VALUE"""),314.08)</f>
        <v>314.08</v>
      </c>
      <c r="V528" s="320">
        <f>IFERROR(__xludf.DUMMYFUNCTION("""COMPUTED_VALUE"""),4.6136)</f>
        <v>4.6136</v>
      </c>
      <c r="W528" s="320">
        <f>IFERROR(__xludf.DUMMYFUNCTION("""COMPUTED_VALUE"""),0.0)</f>
        <v>0</v>
      </c>
      <c r="X528" s="320">
        <f>IFERROR(__xludf.DUMMYFUNCTION("""COMPUTED_VALUE"""),335.0)</f>
        <v>335</v>
      </c>
      <c r="Y528" s="320">
        <f>IFERROR(__xludf.DUMMYFUNCTION("""COMPUTED_VALUE"""),2235.0)</f>
        <v>2235</v>
      </c>
      <c r="Z528" s="320">
        <f>IFERROR(__xludf.DUMMYFUNCTION("""COMPUTED_VALUE"""),9596.0)</f>
        <v>9596</v>
      </c>
      <c r="AA528" s="320">
        <f>IFERROR(__xludf.DUMMYFUNCTION("""COMPUTED_VALUE"""),59.8477)</f>
        <v>59.8477</v>
      </c>
      <c r="AB528" s="320">
        <f>IFERROR(__xludf.DUMMYFUNCTION("""COMPUTED_VALUE"""),0.8379)</f>
        <v>0.8379</v>
      </c>
      <c r="AC528" s="320">
        <f>IFERROR(__xludf.DUMMYFUNCTION("""COMPUTED_VALUE"""),38.06)</f>
        <v>38.06</v>
      </c>
      <c r="AD528" s="320">
        <f>IFERROR(__xludf.DUMMYFUNCTION("""COMPUTED_VALUE"""),15.0)</f>
        <v>15</v>
      </c>
      <c r="AE528" s="320">
        <f>IFERROR(__xludf.DUMMYFUNCTION("""COMPUTED_VALUE"""),30.0)</f>
        <v>30</v>
      </c>
      <c r="AF528" s="320">
        <f>IFERROR(__xludf.DUMMYFUNCTION("""COMPUTED_VALUE"""),52.0)</f>
        <v>52</v>
      </c>
      <c r="AG528" s="320">
        <f>IFERROR(__xludf.DUMMYFUNCTION("""COMPUTED_VALUE"""),79.0)</f>
        <v>79</v>
      </c>
      <c r="AH528" s="320">
        <f>IFERROR(__xludf.DUMMYFUNCTION("""COMPUTED_VALUE"""),53.4)</f>
        <v>53.4</v>
      </c>
      <c r="AI528" s="320">
        <f>IFERROR(__xludf.DUMMYFUNCTION("""COMPUTED_VALUE"""),19.81)</f>
        <v>19.81</v>
      </c>
      <c r="AJ528" s="320">
        <f>IFERROR(__xludf.DUMMYFUNCTION("""COMPUTED_VALUE"""),4.87)</f>
        <v>4.87</v>
      </c>
      <c r="AK528" s="320">
        <f>IFERROR(__xludf.DUMMYFUNCTION("""COMPUTED_VALUE"""),0.1452)</f>
        <v>0.1452</v>
      </c>
      <c r="AL528" s="320">
        <f>IFERROR(__xludf.DUMMYFUNCTION("""COMPUTED_VALUE"""),22.95)</f>
        <v>22.95</v>
      </c>
      <c r="AM528" s="320">
        <f>IFERROR(__xludf.DUMMYFUNCTION("""COMPUTED_VALUE"""),191.91)</f>
        <v>191.91</v>
      </c>
      <c r="AN528" s="320">
        <f>IFERROR(__xludf.DUMMYFUNCTION("""COMPUTED_VALUE"""),81.48)</f>
        <v>81.48</v>
      </c>
      <c r="AO528" s="320">
        <f>IFERROR(__xludf.DUMMYFUNCTION("""COMPUTED_VALUE"""),18.7)</f>
        <v>18.7</v>
      </c>
    </row>
    <row r="529" ht="15.0" customHeight="1">
      <c r="A529" s="328">
        <f>IFERROR(__xludf.DUMMYFUNCTION("""COMPUTED_VALUE"""),46137.0)</f>
        <v>46137</v>
      </c>
      <c r="B529" s="319" t="str">
        <f>IFERROR(__xludf.DUMMYFUNCTION("""COMPUTED_VALUE"""),"F. 100+")</f>
        <v>F. 100+</v>
      </c>
      <c r="C529" s="320">
        <f>IFERROR(__xludf.DUMMYFUNCTION("""COMPUTED_VALUE"""),596.0)</f>
        <v>596</v>
      </c>
      <c r="D529" s="320">
        <f>IFERROR(__xludf.DUMMYFUNCTION("""COMPUTED_VALUE"""),0.61)</f>
        <v>0.61</v>
      </c>
      <c r="E529" s="320">
        <f>IFERROR(__xludf.DUMMYFUNCTION("""COMPUTED_VALUE"""),0.0)</f>
        <v>0</v>
      </c>
      <c r="F529" s="320">
        <f>IFERROR(__xludf.DUMMYFUNCTION("""COMPUTED_VALUE"""),0.0)</f>
        <v>0</v>
      </c>
      <c r="G529" s="320">
        <f>IFERROR(__xludf.DUMMYFUNCTION("""COMPUTED_VALUE"""),0.0)</f>
        <v>0</v>
      </c>
      <c r="H529" s="106"/>
      <c r="I529" s="320">
        <f>IFERROR(__xludf.DUMMYFUNCTION("""COMPUTED_VALUE"""),242.45)</f>
        <v>242.45</v>
      </c>
      <c r="J529" s="320">
        <f>IFERROR(__xludf.DUMMYFUNCTION("""COMPUTED_VALUE"""),142.23)</f>
        <v>142.23</v>
      </c>
      <c r="K529" s="320">
        <f>IFERROR(__xludf.DUMMYFUNCTION("""COMPUTED_VALUE"""),126.13)</f>
        <v>126.13</v>
      </c>
      <c r="L529" s="320">
        <f>IFERROR(__xludf.DUMMYFUNCTION("""COMPUTED_VALUE"""),0.8868)</f>
        <v>0.8868</v>
      </c>
      <c r="M529" s="320">
        <f>IFERROR(__xludf.DUMMYFUNCTION("""COMPUTED_VALUE"""),0.2672)</f>
        <v>0.2672</v>
      </c>
      <c r="N529" s="320">
        <f>IFERROR(__xludf.DUMMYFUNCTION("""COMPUTED_VALUE"""),0.2059)</f>
        <v>0.2059</v>
      </c>
      <c r="O529" s="320">
        <f>IFERROR(__xludf.DUMMYFUNCTION("""COMPUTED_VALUE"""),1.1276)</f>
        <v>1.1276</v>
      </c>
      <c r="P529" s="320">
        <f>IFERROR(__xludf.DUMMYFUNCTION("""COMPUTED_VALUE"""),664.88)</f>
        <v>664.88</v>
      </c>
      <c r="Q529" s="320">
        <f>IFERROR(__xludf.DUMMYFUNCTION("""COMPUTED_VALUE"""),418.73)</f>
        <v>418.73</v>
      </c>
      <c r="R529" s="320">
        <f>IFERROR(__xludf.DUMMYFUNCTION("""COMPUTED_VALUE"""),246.15)</f>
        <v>246.15</v>
      </c>
      <c r="S529" s="320">
        <f>IFERROR(__xludf.DUMMYFUNCTION("""COMPUTED_VALUE"""),0.0)</f>
        <v>0</v>
      </c>
      <c r="T529" s="320">
        <f>IFERROR(__xludf.DUMMYFUNCTION("""COMPUTED_VALUE"""),664.88)</f>
        <v>664.88</v>
      </c>
      <c r="U529" s="320">
        <f>IFERROR(__xludf.DUMMYFUNCTION("""COMPUTED_VALUE"""),813.84)</f>
        <v>813.84</v>
      </c>
      <c r="V529" s="320">
        <f>IFERROR(__xludf.DUMMYFUNCTION("""COMPUTED_VALUE"""),5.7222)</f>
        <v>5.7222</v>
      </c>
      <c r="W529" s="320">
        <f>IFERROR(__xludf.DUMMYFUNCTION("""COMPUTED_VALUE"""),0.0)</f>
        <v>0</v>
      </c>
      <c r="X529" s="320">
        <f>IFERROR(__xludf.DUMMYFUNCTION("""COMPUTED_VALUE"""),893.0)</f>
        <v>893</v>
      </c>
      <c r="Y529" s="320">
        <f>IFERROR(__xludf.DUMMYFUNCTION("""COMPUTED_VALUE"""),4107.0)</f>
        <v>4107</v>
      </c>
      <c r="Z529" s="320">
        <f>IFERROR(__xludf.DUMMYFUNCTION("""COMPUTED_VALUE"""),12480.0)</f>
        <v>12480</v>
      </c>
      <c r="AA529" s="320">
        <f>IFERROR(__xludf.DUMMYFUNCTION("""COMPUTED_VALUE"""),63.136)</f>
        <v>63.136</v>
      </c>
      <c r="AB529" s="320">
        <f>IFERROR(__xludf.DUMMYFUNCTION("""COMPUTED_VALUE"""),0.8989)</f>
        <v>0.8989</v>
      </c>
      <c r="AC529" s="320">
        <f>IFERROR(__xludf.DUMMYFUNCTION("""COMPUTED_VALUE"""),87.74)</f>
        <v>87.74</v>
      </c>
      <c r="AD529" s="320">
        <f>IFERROR(__xludf.DUMMYFUNCTION("""COMPUTED_VALUE"""),36.0)</f>
        <v>36</v>
      </c>
      <c r="AE529" s="320">
        <f>IFERROR(__xludf.DUMMYFUNCTION("""COMPUTED_VALUE"""),70.0)</f>
        <v>70</v>
      </c>
      <c r="AF529" s="320">
        <f>IFERROR(__xludf.DUMMYFUNCTION("""COMPUTED_VALUE"""),124.0)</f>
        <v>124</v>
      </c>
      <c r="AG529" s="320">
        <f>IFERROR(__xludf.DUMMYFUNCTION("""COMPUTED_VALUE"""),183.0)</f>
        <v>183</v>
      </c>
      <c r="AH529" s="320">
        <f>IFERROR(__xludf.DUMMYFUNCTION("""COMPUTED_VALUE"""),46.14)</f>
        <v>46.14</v>
      </c>
      <c r="AI529" s="320">
        <f>IFERROR(__xludf.DUMMYFUNCTION("""COMPUTED_VALUE"""),11.41)</f>
        <v>11.41</v>
      </c>
      <c r="AJ529" s="320">
        <f>IFERROR(__xludf.DUMMYFUNCTION("""COMPUTED_VALUE"""),1.68)</f>
        <v>1.68</v>
      </c>
      <c r="AK529" s="320">
        <f>IFERROR(__xludf.DUMMYFUNCTION("""COMPUTED_VALUE"""),0.0839)</f>
        <v>0.0839</v>
      </c>
      <c r="AL529" s="320">
        <f>IFERROR(__xludf.DUMMYFUNCTION("""COMPUTED_VALUE"""),25.19)</f>
        <v>25.19</v>
      </c>
      <c r="AM529" s="320">
        <f>IFERROR(__xludf.DUMMYFUNCTION("""COMPUTED_VALUE"""),393.54)</f>
        <v>393.54</v>
      </c>
      <c r="AN529" s="320">
        <f>IFERROR(__xludf.DUMMYFUNCTION("""COMPUTED_VALUE"""),83.94)</f>
        <v>83.94</v>
      </c>
      <c r="AO529" s="320">
        <f>IFERROR(__xludf.DUMMYFUNCTION("""COMPUTED_VALUE"""),21.14)</f>
        <v>21.14</v>
      </c>
    </row>
    <row r="530" ht="15.0" customHeight="1">
      <c r="A530" s="328">
        <f>IFERROR(__xludf.DUMMYFUNCTION("""COMPUTED_VALUE"""),46138.0)</f>
        <v>46138</v>
      </c>
      <c r="B530" s="319" t="str">
        <f>IFERROR(__xludf.DUMMYFUNCTION("""COMPUTED_VALUE"""),"A. 0")</f>
        <v>A. 0</v>
      </c>
      <c r="C530" s="320">
        <f>IFERROR(__xludf.DUMMYFUNCTION("""COMPUTED_VALUE"""),18868.0)</f>
        <v>18868</v>
      </c>
      <c r="D530" s="320">
        <f>IFERROR(__xludf.DUMMYFUNCTION("""COMPUTED_VALUE"""),19.01)</f>
        <v>19.01</v>
      </c>
      <c r="E530" s="320">
        <f>IFERROR(__xludf.DUMMYFUNCTION("""COMPUTED_VALUE"""),0.0)</f>
        <v>0</v>
      </c>
      <c r="F530" s="320">
        <f>IFERROR(__xludf.DUMMYFUNCTION("""COMPUTED_VALUE"""),0.0)</f>
        <v>0</v>
      </c>
      <c r="G530" s="320">
        <f>IFERROR(__xludf.DUMMYFUNCTION("""COMPUTED_VALUE"""),0.0)</f>
        <v>0</v>
      </c>
      <c r="H530" s="106"/>
      <c r="I530" s="320">
        <f>IFERROR(__xludf.DUMMYFUNCTION("""COMPUTED_VALUE"""),6.16)</f>
        <v>6.16</v>
      </c>
      <c r="J530" s="320">
        <f>IFERROR(__xludf.DUMMYFUNCTION("""COMPUTED_VALUE"""),2.53)</f>
        <v>2.53</v>
      </c>
      <c r="K530" s="320">
        <f>IFERROR(__xludf.DUMMYFUNCTION("""COMPUTED_VALUE"""),0.04)</f>
        <v>0.04</v>
      </c>
      <c r="L530" s="320">
        <f>IFERROR(__xludf.DUMMYFUNCTION("""COMPUTED_VALUE"""),0.0146)</f>
        <v>0.0146</v>
      </c>
      <c r="M530" s="320">
        <f>IFERROR(__xludf.DUMMYFUNCTION("""COMPUTED_VALUE"""),0.99)</f>
        <v>0.99</v>
      </c>
      <c r="N530" s="320">
        <f>IFERROR(__xludf.DUMMYFUNCTION("""COMPUTED_VALUE"""),0.8813)</f>
        <v>0.8813</v>
      </c>
      <c r="O530" s="320">
        <f>IFERROR(__xludf.DUMMYFUNCTION("""COMPUTED_VALUE"""),68.3076)</f>
        <v>68.3076</v>
      </c>
      <c r="P530" s="320">
        <f>IFERROR(__xludf.DUMMYFUNCTION("""COMPUTED_VALUE"""),23.61)</f>
        <v>23.61</v>
      </c>
      <c r="Q530" s="320">
        <f>IFERROR(__xludf.DUMMYFUNCTION("""COMPUTED_VALUE"""),23.5)</f>
        <v>23.5</v>
      </c>
      <c r="R530" s="320">
        <f>IFERROR(__xludf.DUMMYFUNCTION("""COMPUTED_VALUE"""),0.11)</f>
        <v>0.11</v>
      </c>
      <c r="S530" s="320">
        <f>IFERROR(__xludf.DUMMYFUNCTION("""COMPUTED_VALUE"""),0.0)</f>
        <v>0</v>
      </c>
      <c r="T530" s="320">
        <f>IFERROR(__xludf.DUMMYFUNCTION("""COMPUTED_VALUE"""),23.61)</f>
        <v>23.61</v>
      </c>
      <c r="U530" s="320">
        <f>IFERROR(__xludf.DUMMYFUNCTION("""COMPUTED_VALUE"""),2.03)</f>
        <v>2.03</v>
      </c>
      <c r="V530" s="320">
        <f>IFERROR(__xludf.DUMMYFUNCTION("""COMPUTED_VALUE"""),0.8032)</f>
        <v>0.8032</v>
      </c>
      <c r="W530" s="320">
        <f>IFERROR(__xludf.DUMMYFUNCTION("""COMPUTED_VALUE"""),0.0)</f>
        <v>0</v>
      </c>
      <c r="X530" s="320">
        <f>IFERROR(__xludf.DUMMYFUNCTION("""COMPUTED_VALUE"""),323.0)</f>
        <v>323</v>
      </c>
      <c r="Y530" s="320">
        <f>IFERROR(__xludf.DUMMYFUNCTION("""COMPUTED_VALUE"""),3842.0)</f>
        <v>3842</v>
      </c>
      <c r="Z530" s="320">
        <f>IFERROR(__xludf.DUMMYFUNCTION("""COMPUTED_VALUE"""),15193.0)</f>
        <v>15193</v>
      </c>
      <c r="AA530" s="320">
        <f>IFERROR(__xludf.DUMMYFUNCTION("""COMPUTED_VALUE"""),49.1071)</f>
        <v>49.1071</v>
      </c>
      <c r="AB530" s="320">
        <f>IFERROR(__xludf.DUMMYFUNCTION("""COMPUTED_VALUE"""),0.5469)</f>
        <v>0.5469</v>
      </c>
      <c r="AC530" s="106"/>
      <c r="AD530" s="106"/>
      <c r="AE530" s="106"/>
      <c r="AF530" s="106"/>
      <c r="AG530" s="106"/>
      <c r="AH530" s="320">
        <f>IFERROR(__xludf.DUMMYFUNCTION("""COMPUTED_VALUE"""),0.0)</f>
        <v>0</v>
      </c>
      <c r="AI530" s="320">
        <f>IFERROR(__xludf.DUMMYFUNCTION("""COMPUTED_VALUE"""),0.0)</f>
        <v>0</v>
      </c>
      <c r="AJ530" s="320">
        <f>IFERROR(__xludf.DUMMYFUNCTION("""COMPUTED_VALUE"""),0.0)</f>
        <v>0</v>
      </c>
      <c r="AK530" s="320">
        <f>IFERROR(__xludf.DUMMYFUNCTION("""COMPUTED_VALUE"""),0.2838)</f>
        <v>0.2838</v>
      </c>
      <c r="AL530" s="320">
        <f>IFERROR(__xludf.DUMMYFUNCTION("""COMPUTED_VALUE"""),19.26)</f>
        <v>19.26</v>
      </c>
      <c r="AM530" s="320">
        <f>IFERROR(__xludf.DUMMYFUNCTION("""COMPUTED_VALUE"""),4.25)</f>
        <v>4.25</v>
      </c>
      <c r="AN530" s="331"/>
      <c r="AO530" s="331"/>
    </row>
    <row r="531" ht="15.0" customHeight="1">
      <c r="A531" s="328">
        <f>IFERROR(__xludf.DUMMYFUNCTION("""COMPUTED_VALUE"""),46138.0)</f>
        <v>46138</v>
      </c>
      <c r="B531" s="319" t="str">
        <f>IFERROR(__xludf.DUMMYFUNCTION("""COMPUTED_VALUE"""),"B. 1-9")</f>
        <v>B. 1-9</v>
      </c>
      <c r="C531" s="320">
        <f>IFERROR(__xludf.DUMMYFUNCTION("""COMPUTED_VALUE"""),35515.0)</f>
        <v>35515</v>
      </c>
      <c r="D531" s="320">
        <f>IFERROR(__xludf.DUMMYFUNCTION("""COMPUTED_VALUE"""),35.79)</f>
        <v>35.79</v>
      </c>
      <c r="E531" s="320">
        <f>IFERROR(__xludf.DUMMYFUNCTION("""COMPUTED_VALUE"""),0.0)</f>
        <v>0</v>
      </c>
      <c r="F531" s="320">
        <f>IFERROR(__xludf.DUMMYFUNCTION("""COMPUTED_VALUE"""),0.0)</f>
        <v>0</v>
      </c>
      <c r="G531" s="320">
        <f>IFERROR(__xludf.DUMMYFUNCTION("""COMPUTED_VALUE"""),0.0)</f>
        <v>0</v>
      </c>
      <c r="H531" s="106"/>
      <c r="I531" s="320">
        <f>IFERROR(__xludf.DUMMYFUNCTION("""COMPUTED_VALUE"""),32.27)</f>
        <v>32.27</v>
      </c>
      <c r="J531" s="320">
        <f>IFERROR(__xludf.DUMMYFUNCTION("""COMPUTED_VALUE"""),14.94)</f>
        <v>14.94</v>
      </c>
      <c r="K531" s="320">
        <f>IFERROR(__xludf.DUMMYFUNCTION("""COMPUTED_VALUE"""),5.88)</f>
        <v>5.88</v>
      </c>
      <c r="L531" s="320">
        <f>IFERROR(__xludf.DUMMYFUNCTION("""COMPUTED_VALUE"""),0.3938)</f>
        <v>0.3938</v>
      </c>
      <c r="M531" s="320">
        <f>IFERROR(__xludf.DUMMYFUNCTION("""COMPUTED_VALUE"""),0.7679)</f>
        <v>0.7679</v>
      </c>
      <c r="N531" s="320">
        <f>IFERROR(__xludf.DUMMYFUNCTION("""COMPUTED_VALUE"""),0.565)</f>
        <v>0.565</v>
      </c>
      <c r="O531" s="320">
        <f>IFERROR(__xludf.DUMMYFUNCTION("""COMPUTED_VALUE"""),2.5396)</f>
        <v>2.5396</v>
      </c>
      <c r="P531" s="320">
        <f>IFERROR(__xludf.DUMMYFUNCTION("""COMPUTED_VALUE"""),47.21)</f>
        <v>47.21</v>
      </c>
      <c r="Q531" s="320">
        <f>IFERROR(__xludf.DUMMYFUNCTION("""COMPUTED_VALUE"""),35.59)</f>
        <v>35.59</v>
      </c>
      <c r="R531" s="320">
        <f>IFERROR(__xludf.DUMMYFUNCTION("""COMPUTED_VALUE"""),11.62)</f>
        <v>11.62</v>
      </c>
      <c r="S531" s="320">
        <f>IFERROR(__xludf.DUMMYFUNCTION("""COMPUTED_VALUE"""),0.02)</f>
        <v>0.02</v>
      </c>
      <c r="T531" s="320">
        <f>IFERROR(__xludf.DUMMYFUNCTION("""COMPUTED_VALUE"""),47.2)</f>
        <v>47.2</v>
      </c>
      <c r="U531" s="320">
        <f>IFERROR(__xludf.DUMMYFUNCTION("""COMPUTED_VALUE"""),51.41)</f>
        <v>51.41</v>
      </c>
      <c r="V531" s="320">
        <f>IFERROR(__xludf.DUMMYFUNCTION("""COMPUTED_VALUE"""),3.4405)</f>
        <v>3.4405</v>
      </c>
      <c r="W531" s="320">
        <f>IFERROR(__xludf.DUMMYFUNCTION("""COMPUTED_VALUE"""),0.03)</f>
        <v>0.03</v>
      </c>
      <c r="X531" s="320">
        <f>IFERROR(__xludf.DUMMYFUNCTION("""COMPUTED_VALUE"""),135.0)</f>
        <v>135</v>
      </c>
      <c r="Y531" s="320">
        <f>IFERROR(__xludf.DUMMYFUNCTION("""COMPUTED_VALUE"""),929.0)</f>
        <v>929</v>
      </c>
      <c r="Z531" s="320">
        <f>IFERROR(__xludf.DUMMYFUNCTION("""COMPUTED_VALUE"""),6226.0)</f>
        <v>6226</v>
      </c>
      <c r="AA531" s="320">
        <f>IFERROR(__xludf.DUMMYFUNCTION("""COMPUTED_VALUE"""),48.6779)</f>
        <v>48.6779</v>
      </c>
      <c r="AB531" s="320">
        <f>IFERROR(__xludf.DUMMYFUNCTION("""COMPUTED_VALUE"""),0.5333)</f>
        <v>0.5333</v>
      </c>
      <c r="AC531" s="320">
        <f>IFERROR(__xludf.DUMMYFUNCTION("""COMPUTED_VALUE"""),4.06)</f>
        <v>4.06</v>
      </c>
      <c r="AD531" s="320">
        <f>IFERROR(__xludf.DUMMYFUNCTION("""COMPUTED_VALUE"""),1.0)</f>
        <v>1</v>
      </c>
      <c r="AE531" s="320">
        <f>IFERROR(__xludf.DUMMYFUNCTION("""COMPUTED_VALUE"""),3.0)</f>
        <v>3</v>
      </c>
      <c r="AF531" s="320">
        <f>IFERROR(__xludf.DUMMYFUNCTION("""COMPUTED_VALUE"""),5.0)</f>
        <v>5</v>
      </c>
      <c r="AG531" s="320">
        <f>IFERROR(__xludf.DUMMYFUNCTION("""COMPUTED_VALUE"""),9.0)</f>
        <v>9</v>
      </c>
      <c r="AH531" s="320">
        <f>IFERROR(__xludf.DUMMYFUNCTION("""COMPUTED_VALUE"""),73.82)</f>
        <v>73.82</v>
      </c>
      <c r="AI531" s="320">
        <f>IFERROR(__xludf.DUMMYFUNCTION("""COMPUTED_VALUE"""),31.4)</f>
        <v>31.4</v>
      </c>
      <c r="AJ531" s="320">
        <f>IFERROR(__xludf.DUMMYFUNCTION("""COMPUTED_VALUE"""),8.69)</f>
        <v>8.69</v>
      </c>
      <c r="AK531" s="320">
        <f>IFERROR(__xludf.DUMMYFUNCTION("""COMPUTED_VALUE"""),0.2583)</f>
        <v>0.2583</v>
      </c>
      <c r="AL531" s="320">
        <f>IFERROR(__xludf.DUMMYFUNCTION("""COMPUTED_VALUE"""),21.04)</f>
        <v>21.04</v>
      </c>
      <c r="AM531" s="320">
        <f>IFERROR(__xludf.DUMMYFUNCTION("""COMPUTED_VALUE"""),14.54)</f>
        <v>14.54</v>
      </c>
      <c r="AN531" s="320">
        <f>IFERROR(__xludf.DUMMYFUNCTION("""COMPUTED_VALUE"""),65.62)</f>
        <v>65.62</v>
      </c>
      <c r="AO531" s="320">
        <f>IFERROR(__xludf.DUMMYFUNCTION("""COMPUTED_VALUE"""),13.81)</f>
        <v>13.81</v>
      </c>
    </row>
    <row r="532" ht="15.0" customHeight="1">
      <c r="A532" s="328">
        <f>IFERROR(__xludf.DUMMYFUNCTION("""COMPUTED_VALUE"""),46138.0)</f>
        <v>46138</v>
      </c>
      <c r="B532" s="319" t="str">
        <f>IFERROR(__xludf.DUMMYFUNCTION("""COMPUTED_VALUE"""),"C. 10-19")</f>
        <v>C. 10-19</v>
      </c>
      <c r="C532" s="320">
        <f>IFERROR(__xludf.DUMMYFUNCTION("""COMPUTED_VALUE"""),24384.0)</f>
        <v>24384</v>
      </c>
      <c r="D532" s="320">
        <f>IFERROR(__xludf.DUMMYFUNCTION("""COMPUTED_VALUE"""),24.57)</f>
        <v>24.57</v>
      </c>
      <c r="E532" s="320">
        <f>IFERROR(__xludf.DUMMYFUNCTION("""COMPUTED_VALUE"""),0.0)</f>
        <v>0</v>
      </c>
      <c r="F532" s="320">
        <f>IFERROR(__xludf.DUMMYFUNCTION("""COMPUTED_VALUE"""),0.0)</f>
        <v>0</v>
      </c>
      <c r="G532" s="320">
        <f>IFERROR(__xludf.DUMMYFUNCTION("""COMPUTED_VALUE"""),0.0)</f>
        <v>0</v>
      </c>
      <c r="H532" s="106"/>
      <c r="I532" s="320">
        <f>IFERROR(__xludf.DUMMYFUNCTION("""COMPUTED_VALUE"""),59.21)</f>
        <v>59.21</v>
      </c>
      <c r="J532" s="320">
        <f>IFERROR(__xludf.DUMMYFUNCTION("""COMPUTED_VALUE"""),28.44)</f>
        <v>28.44</v>
      </c>
      <c r="K532" s="320">
        <f>IFERROR(__xludf.DUMMYFUNCTION("""COMPUTED_VALUE"""),14.5)</f>
        <v>14.5</v>
      </c>
      <c r="L532" s="320">
        <f>IFERROR(__xludf.DUMMYFUNCTION("""COMPUTED_VALUE"""),0.5098)</f>
        <v>0.5098</v>
      </c>
      <c r="M532" s="320">
        <f>IFERROR(__xludf.DUMMYFUNCTION("""COMPUTED_VALUE"""),0.6737)</f>
        <v>0.6737</v>
      </c>
      <c r="N532" s="320">
        <f>IFERROR(__xludf.DUMMYFUNCTION("""COMPUTED_VALUE"""),0.4675)</f>
        <v>0.4675</v>
      </c>
      <c r="O532" s="320">
        <f>IFERROR(__xludf.DUMMYFUNCTION("""COMPUTED_VALUE"""),1.9616)</f>
        <v>1.9616</v>
      </c>
      <c r="P532" s="320">
        <f>IFERROR(__xludf.DUMMYFUNCTION("""COMPUTED_VALUE"""),82.8)</f>
        <v>82.8</v>
      </c>
      <c r="Q532" s="320">
        <f>IFERROR(__xludf.DUMMYFUNCTION("""COMPUTED_VALUE"""),54.2)</f>
        <v>54.2</v>
      </c>
      <c r="R532" s="320">
        <f>IFERROR(__xludf.DUMMYFUNCTION("""COMPUTED_VALUE"""),28.61)</f>
        <v>28.61</v>
      </c>
      <c r="S532" s="320">
        <f>IFERROR(__xludf.DUMMYFUNCTION("""COMPUTED_VALUE"""),0.0)</f>
        <v>0</v>
      </c>
      <c r="T532" s="320">
        <f>IFERROR(__xludf.DUMMYFUNCTION("""COMPUTED_VALUE"""),82.8)</f>
        <v>82.8</v>
      </c>
      <c r="U532" s="320">
        <f>IFERROR(__xludf.DUMMYFUNCTION("""COMPUTED_VALUE"""),95.0)</f>
        <v>95</v>
      </c>
      <c r="V532" s="320">
        <f>IFERROR(__xludf.DUMMYFUNCTION("""COMPUTED_VALUE"""),3.3402)</f>
        <v>3.3402</v>
      </c>
      <c r="W532" s="320">
        <f>IFERROR(__xludf.DUMMYFUNCTION("""COMPUTED_VALUE"""),0.0)</f>
        <v>0</v>
      </c>
      <c r="X532" s="320">
        <f>IFERROR(__xludf.DUMMYFUNCTION("""COMPUTED_VALUE"""),115.0)</f>
        <v>115</v>
      </c>
      <c r="Y532" s="320">
        <f>IFERROR(__xludf.DUMMYFUNCTION("""COMPUTED_VALUE"""),646.0)</f>
        <v>646</v>
      </c>
      <c r="Z532" s="320">
        <f>IFERROR(__xludf.DUMMYFUNCTION("""COMPUTED_VALUE"""),4733.0)</f>
        <v>4733</v>
      </c>
      <c r="AA532" s="320">
        <f>IFERROR(__xludf.DUMMYFUNCTION("""COMPUTED_VALUE"""),52.3363)</f>
        <v>52.3363</v>
      </c>
      <c r="AB532" s="320">
        <f>IFERROR(__xludf.DUMMYFUNCTION("""COMPUTED_VALUE"""),0.6354)</f>
        <v>0.6354</v>
      </c>
      <c r="AC532" s="320">
        <f>IFERROR(__xludf.DUMMYFUNCTION("""COMPUTED_VALUE"""),9.6)</f>
        <v>9.6</v>
      </c>
      <c r="AD532" s="320">
        <f>IFERROR(__xludf.DUMMYFUNCTION("""COMPUTED_VALUE"""),4.0)</f>
        <v>4</v>
      </c>
      <c r="AE532" s="320">
        <f>IFERROR(__xludf.DUMMYFUNCTION("""COMPUTED_VALUE"""),7.0)</f>
        <v>7</v>
      </c>
      <c r="AF532" s="320">
        <f>IFERROR(__xludf.DUMMYFUNCTION("""COMPUTED_VALUE"""),13.0)</f>
        <v>13</v>
      </c>
      <c r="AG532" s="320">
        <f>IFERROR(__xludf.DUMMYFUNCTION("""COMPUTED_VALUE"""),20.0)</f>
        <v>20</v>
      </c>
      <c r="AH532" s="320">
        <f>IFERROR(__xludf.DUMMYFUNCTION("""COMPUTED_VALUE"""),60.75)</f>
        <v>60.75</v>
      </c>
      <c r="AI532" s="320">
        <f>IFERROR(__xludf.DUMMYFUNCTION("""COMPUTED_VALUE"""),26.55)</f>
        <v>26.55</v>
      </c>
      <c r="AJ532" s="320">
        <f>IFERROR(__xludf.DUMMYFUNCTION("""COMPUTED_VALUE"""),5.15)</f>
        <v>5.15</v>
      </c>
      <c r="AK532" s="320">
        <f>IFERROR(__xludf.DUMMYFUNCTION("""COMPUTED_VALUE"""),0.215)</f>
        <v>0.215</v>
      </c>
      <c r="AL532" s="320">
        <f>IFERROR(__xludf.DUMMYFUNCTION("""COMPUTED_VALUE"""),21.73)</f>
        <v>21.73</v>
      </c>
      <c r="AM532" s="320">
        <f>IFERROR(__xludf.DUMMYFUNCTION("""COMPUTED_VALUE"""),32.47)</f>
        <v>32.47</v>
      </c>
      <c r="AN532" s="320">
        <f>IFERROR(__xludf.DUMMYFUNCTION("""COMPUTED_VALUE"""),74.63)</f>
        <v>74.63</v>
      </c>
      <c r="AO532" s="320">
        <f>IFERROR(__xludf.DUMMYFUNCTION("""COMPUTED_VALUE"""),16.22)</f>
        <v>16.22</v>
      </c>
    </row>
    <row r="533" ht="15.0" customHeight="1">
      <c r="A533" s="328">
        <f>IFERROR(__xludf.DUMMYFUNCTION("""COMPUTED_VALUE"""),46138.0)</f>
        <v>46138</v>
      </c>
      <c r="B533" s="319" t="str">
        <f>IFERROR(__xludf.DUMMYFUNCTION("""COMPUTED_VALUE"""),"D. 20-39")</f>
        <v>D. 20-39</v>
      </c>
      <c r="C533" s="320">
        <f>IFERROR(__xludf.DUMMYFUNCTION("""COMPUTED_VALUE"""),14086.0)</f>
        <v>14086</v>
      </c>
      <c r="D533" s="320">
        <f>IFERROR(__xludf.DUMMYFUNCTION("""COMPUTED_VALUE"""),14.19)</f>
        <v>14.19</v>
      </c>
      <c r="E533" s="320">
        <f>IFERROR(__xludf.DUMMYFUNCTION("""COMPUTED_VALUE"""),0.0)</f>
        <v>0</v>
      </c>
      <c r="F533" s="320">
        <f>IFERROR(__xludf.DUMMYFUNCTION("""COMPUTED_VALUE"""),0.0)</f>
        <v>0</v>
      </c>
      <c r="G533" s="320">
        <f>IFERROR(__xludf.DUMMYFUNCTION("""COMPUTED_VALUE"""),0.0)</f>
        <v>0</v>
      </c>
      <c r="H533" s="106"/>
      <c r="I533" s="320">
        <f>IFERROR(__xludf.DUMMYFUNCTION("""COMPUTED_VALUE"""),83.89)</f>
        <v>83.89</v>
      </c>
      <c r="J533" s="320">
        <f>IFERROR(__xludf.DUMMYFUNCTION("""COMPUTED_VALUE"""),42.71)</f>
        <v>42.71</v>
      </c>
      <c r="K533" s="320">
        <f>IFERROR(__xludf.DUMMYFUNCTION("""COMPUTED_VALUE"""),27.81)</f>
        <v>27.81</v>
      </c>
      <c r="L533" s="320">
        <f>IFERROR(__xludf.DUMMYFUNCTION("""COMPUTED_VALUE"""),0.6511)</f>
        <v>0.6511</v>
      </c>
      <c r="M533" s="320">
        <f>IFERROR(__xludf.DUMMYFUNCTION("""COMPUTED_VALUE"""),0.5321)</f>
        <v>0.5321</v>
      </c>
      <c r="N533" s="320">
        <f>IFERROR(__xludf.DUMMYFUNCTION("""COMPUTED_VALUE"""),0.3621)</f>
        <v>0.3621</v>
      </c>
      <c r="O533" s="320">
        <f>IFERROR(__xludf.DUMMYFUNCTION("""COMPUTED_VALUE"""),1.5358)</f>
        <v>1.5358</v>
      </c>
      <c r="P533" s="320">
        <f>IFERROR(__xludf.DUMMYFUNCTION("""COMPUTED_VALUE"""),135.91)</f>
        <v>135.91</v>
      </c>
      <c r="Q533" s="320">
        <f>IFERROR(__xludf.DUMMYFUNCTION("""COMPUTED_VALUE"""),81.78)</f>
        <v>81.78</v>
      </c>
      <c r="R533" s="320">
        <f>IFERROR(__xludf.DUMMYFUNCTION("""COMPUTED_VALUE"""),54.14)</f>
        <v>54.14</v>
      </c>
      <c r="S533" s="320">
        <f>IFERROR(__xludf.DUMMYFUNCTION("""COMPUTED_VALUE"""),0.0)</f>
        <v>0</v>
      </c>
      <c r="T533" s="320">
        <f>IFERROR(__xludf.DUMMYFUNCTION("""COMPUTED_VALUE"""),135.91)</f>
        <v>135.91</v>
      </c>
      <c r="U533" s="320">
        <f>IFERROR(__xludf.DUMMYFUNCTION("""COMPUTED_VALUE"""),158.98)</f>
        <v>158.98</v>
      </c>
      <c r="V533" s="320">
        <f>IFERROR(__xludf.DUMMYFUNCTION("""COMPUTED_VALUE"""),3.7225)</f>
        <v>3.7225</v>
      </c>
      <c r="W533" s="320">
        <f>IFERROR(__xludf.DUMMYFUNCTION("""COMPUTED_VALUE"""),0.0)</f>
        <v>0</v>
      </c>
      <c r="X533" s="320">
        <f>IFERROR(__xludf.DUMMYFUNCTION("""COMPUTED_VALUE"""),141.0)</f>
        <v>141</v>
      </c>
      <c r="Y533" s="320">
        <f>IFERROR(__xludf.DUMMYFUNCTION("""COMPUTED_VALUE"""),955.0)</f>
        <v>955</v>
      </c>
      <c r="Z533" s="320">
        <f>IFERROR(__xludf.DUMMYFUNCTION("""COMPUTED_VALUE"""),6118.0)</f>
        <v>6118</v>
      </c>
      <c r="AA533" s="320">
        <f>IFERROR(__xludf.DUMMYFUNCTION("""COMPUTED_VALUE"""),55.8949)</f>
        <v>55.8949</v>
      </c>
      <c r="AB533" s="320">
        <f>IFERROR(__xludf.DUMMYFUNCTION("""COMPUTED_VALUE"""),0.7469)</f>
        <v>0.7469</v>
      </c>
      <c r="AC533" s="320">
        <f>IFERROR(__xludf.DUMMYFUNCTION("""COMPUTED_VALUE"""),18.46)</f>
        <v>18.46</v>
      </c>
      <c r="AD533" s="320">
        <f>IFERROR(__xludf.DUMMYFUNCTION("""COMPUTED_VALUE"""),8.0)</f>
        <v>8</v>
      </c>
      <c r="AE533" s="320">
        <f>IFERROR(__xludf.DUMMYFUNCTION("""COMPUTED_VALUE"""),14.0)</f>
        <v>14</v>
      </c>
      <c r="AF533" s="320">
        <f>IFERROR(__xludf.DUMMYFUNCTION("""COMPUTED_VALUE"""),25.0)</f>
        <v>25</v>
      </c>
      <c r="AG533" s="320">
        <f>IFERROR(__xludf.DUMMYFUNCTION("""COMPUTED_VALUE"""),38.0)</f>
        <v>38</v>
      </c>
      <c r="AH533" s="320">
        <f>IFERROR(__xludf.DUMMYFUNCTION("""COMPUTED_VALUE"""),60.95)</f>
        <v>60.95</v>
      </c>
      <c r="AI533" s="320">
        <f>IFERROR(__xludf.DUMMYFUNCTION("""COMPUTED_VALUE"""),24.43)</f>
        <v>24.43</v>
      </c>
      <c r="AJ533" s="320">
        <f>IFERROR(__xludf.DUMMYFUNCTION("""COMPUTED_VALUE"""),8.04)</f>
        <v>8.04</v>
      </c>
      <c r="AK533" s="320">
        <f>IFERROR(__xludf.DUMMYFUNCTION("""COMPUTED_VALUE"""),0.204)</f>
        <v>0.204</v>
      </c>
      <c r="AL533" s="320">
        <f>IFERROR(__xludf.DUMMYFUNCTION("""COMPUTED_VALUE"""),21.35)</f>
        <v>21.35</v>
      </c>
      <c r="AM533" s="320">
        <f>IFERROR(__xludf.DUMMYFUNCTION("""COMPUTED_VALUE"""),60.42)</f>
        <v>60.42</v>
      </c>
      <c r="AN533" s="320">
        <f>IFERROR(__xludf.DUMMYFUNCTION("""COMPUTED_VALUE"""),76.1)</f>
        <v>76.1</v>
      </c>
      <c r="AO533" s="320">
        <f>IFERROR(__xludf.DUMMYFUNCTION("""COMPUTED_VALUE"""),16.25)</f>
        <v>16.25</v>
      </c>
    </row>
    <row r="534" ht="15.0" customHeight="1">
      <c r="A534" s="328">
        <f>IFERROR(__xludf.DUMMYFUNCTION("""COMPUTED_VALUE"""),46138.0)</f>
        <v>46138</v>
      </c>
      <c r="B534" s="319" t="str">
        <f>IFERROR(__xludf.DUMMYFUNCTION("""COMPUTED_VALUE"""),"E. 40-99")</f>
        <v>E. 40-99</v>
      </c>
      <c r="C534" s="320">
        <f>IFERROR(__xludf.DUMMYFUNCTION("""COMPUTED_VALUE"""),5746.0)</f>
        <v>5746</v>
      </c>
      <c r="D534" s="320">
        <f>IFERROR(__xludf.DUMMYFUNCTION("""COMPUTED_VALUE"""),5.79)</f>
        <v>5.79</v>
      </c>
      <c r="E534" s="320">
        <f>IFERROR(__xludf.DUMMYFUNCTION("""COMPUTED_VALUE"""),0.0)</f>
        <v>0</v>
      </c>
      <c r="F534" s="320">
        <f>IFERROR(__xludf.DUMMYFUNCTION("""COMPUTED_VALUE"""),0.0)</f>
        <v>0</v>
      </c>
      <c r="G534" s="320">
        <f>IFERROR(__xludf.DUMMYFUNCTION("""COMPUTED_VALUE"""),0.0)</f>
        <v>0</v>
      </c>
      <c r="H534" s="106"/>
      <c r="I534" s="320">
        <f>IFERROR(__xludf.DUMMYFUNCTION("""COMPUTED_VALUE"""),132.28)</f>
        <v>132.28</v>
      </c>
      <c r="J534" s="320">
        <f>IFERROR(__xludf.DUMMYFUNCTION("""COMPUTED_VALUE"""),72.47)</f>
        <v>72.47</v>
      </c>
      <c r="K534" s="320">
        <f>IFERROR(__xludf.DUMMYFUNCTION("""COMPUTED_VALUE"""),56.69)</f>
        <v>56.69</v>
      </c>
      <c r="L534" s="320">
        <f>IFERROR(__xludf.DUMMYFUNCTION("""COMPUTED_VALUE"""),0.7822)</f>
        <v>0.7822</v>
      </c>
      <c r="M534" s="320">
        <f>IFERROR(__xludf.DUMMYFUNCTION("""COMPUTED_VALUE"""),0.3931)</f>
        <v>0.3931</v>
      </c>
      <c r="N534" s="320">
        <f>IFERROR(__xludf.DUMMYFUNCTION("""COMPUTED_VALUE"""),0.2771)</f>
        <v>0.2771</v>
      </c>
      <c r="O534" s="320">
        <f>IFERROR(__xludf.DUMMYFUNCTION("""COMPUTED_VALUE"""),1.2784)</f>
        <v>1.2784</v>
      </c>
      <c r="P534" s="320">
        <f>IFERROR(__xludf.DUMMYFUNCTION("""COMPUTED_VALUE"""),251.73)</f>
        <v>251.73</v>
      </c>
      <c r="Q534" s="320">
        <f>IFERROR(__xludf.DUMMYFUNCTION("""COMPUTED_VALUE"""),141.85)</f>
        <v>141.85</v>
      </c>
      <c r="R534" s="320">
        <f>IFERROR(__xludf.DUMMYFUNCTION("""COMPUTED_VALUE"""),109.87)</f>
        <v>109.87</v>
      </c>
      <c r="S534" s="320">
        <f>IFERROR(__xludf.DUMMYFUNCTION("""COMPUTED_VALUE"""),0.0)</f>
        <v>0</v>
      </c>
      <c r="T534" s="320">
        <f>IFERROR(__xludf.DUMMYFUNCTION("""COMPUTED_VALUE"""),251.73)</f>
        <v>251.73</v>
      </c>
      <c r="U534" s="320">
        <f>IFERROR(__xludf.DUMMYFUNCTION("""COMPUTED_VALUE"""),314.91)</f>
        <v>314.91</v>
      </c>
      <c r="V534" s="320">
        <f>IFERROR(__xludf.DUMMYFUNCTION("""COMPUTED_VALUE"""),4.3453)</f>
        <v>4.3453</v>
      </c>
      <c r="W534" s="320">
        <f>IFERROR(__xludf.DUMMYFUNCTION("""COMPUTED_VALUE"""),0.0)</f>
        <v>0</v>
      </c>
      <c r="X534" s="320">
        <f>IFERROR(__xludf.DUMMYFUNCTION("""COMPUTED_VALUE"""),285.0)</f>
        <v>285</v>
      </c>
      <c r="Y534" s="320">
        <f>IFERROR(__xludf.DUMMYFUNCTION("""COMPUTED_VALUE"""),2355.0)</f>
        <v>2355</v>
      </c>
      <c r="Z534" s="320">
        <f>IFERROR(__xludf.DUMMYFUNCTION("""COMPUTED_VALUE"""),9731.0)</f>
        <v>9731</v>
      </c>
      <c r="AA534" s="320">
        <f>IFERROR(__xludf.DUMMYFUNCTION("""COMPUTED_VALUE"""),59.634)</f>
        <v>59.634</v>
      </c>
      <c r="AB534" s="320">
        <f>IFERROR(__xludf.DUMMYFUNCTION("""COMPUTED_VALUE"""),0.8391)</f>
        <v>0.8391</v>
      </c>
      <c r="AC534" s="320">
        <f>IFERROR(__xludf.DUMMYFUNCTION("""COMPUTED_VALUE"""),38.85)</f>
        <v>38.85</v>
      </c>
      <c r="AD534" s="320">
        <f>IFERROR(__xludf.DUMMYFUNCTION("""COMPUTED_VALUE"""),15.0)</f>
        <v>15</v>
      </c>
      <c r="AE534" s="320">
        <f>IFERROR(__xludf.DUMMYFUNCTION("""COMPUTED_VALUE"""),30.0)</f>
        <v>30</v>
      </c>
      <c r="AF534" s="320">
        <f>IFERROR(__xludf.DUMMYFUNCTION("""COMPUTED_VALUE"""),54.0)</f>
        <v>54</v>
      </c>
      <c r="AG534" s="320">
        <f>IFERROR(__xludf.DUMMYFUNCTION("""COMPUTED_VALUE"""),82.0)</f>
        <v>82</v>
      </c>
      <c r="AH534" s="320">
        <f>IFERROR(__xludf.DUMMYFUNCTION("""COMPUTED_VALUE"""),53.15)</f>
        <v>53.15</v>
      </c>
      <c r="AI534" s="320">
        <f>IFERROR(__xludf.DUMMYFUNCTION("""COMPUTED_VALUE"""),21.21)</f>
        <v>21.21</v>
      </c>
      <c r="AJ534" s="320">
        <f>IFERROR(__xludf.DUMMYFUNCTION("""COMPUTED_VALUE"""),5.24)</f>
        <v>5.24</v>
      </c>
      <c r="AK534" s="320">
        <f>IFERROR(__xludf.DUMMYFUNCTION("""COMPUTED_VALUE"""),0.1746)</f>
        <v>0.1746</v>
      </c>
      <c r="AL534" s="320">
        <f>IFERROR(__xludf.DUMMYFUNCTION("""COMPUTED_VALUE"""),22.42)</f>
        <v>22.42</v>
      </c>
      <c r="AM534" s="320">
        <f>IFERROR(__xludf.DUMMYFUNCTION("""COMPUTED_VALUE"""),119.43)</f>
        <v>119.43</v>
      </c>
      <c r="AN534" s="320">
        <f>IFERROR(__xludf.DUMMYFUNCTION("""COMPUTED_VALUE"""),80.05)</f>
        <v>80.05</v>
      </c>
      <c r="AO534" s="320">
        <f>IFERROR(__xludf.DUMMYFUNCTION("""COMPUTED_VALUE"""),17.95)</f>
        <v>17.95</v>
      </c>
    </row>
    <row r="535" ht="15.0" customHeight="1">
      <c r="A535" s="328">
        <f>IFERROR(__xludf.DUMMYFUNCTION("""COMPUTED_VALUE"""),46138.0)</f>
        <v>46138</v>
      </c>
      <c r="B535" s="319" t="str">
        <f>IFERROR(__xludf.DUMMYFUNCTION("""COMPUTED_VALUE"""),"F. 100+")</f>
        <v>F. 100+</v>
      </c>
      <c r="C535" s="320">
        <f>IFERROR(__xludf.DUMMYFUNCTION("""COMPUTED_VALUE"""),639.0)</f>
        <v>639</v>
      </c>
      <c r="D535" s="320">
        <f>IFERROR(__xludf.DUMMYFUNCTION("""COMPUTED_VALUE"""),0.64)</f>
        <v>0.64</v>
      </c>
      <c r="E535" s="320">
        <f>IFERROR(__xludf.DUMMYFUNCTION("""COMPUTED_VALUE"""),0.0)</f>
        <v>0</v>
      </c>
      <c r="F535" s="320">
        <f>IFERROR(__xludf.DUMMYFUNCTION("""COMPUTED_VALUE"""),0.0)</f>
        <v>0</v>
      </c>
      <c r="G535" s="320">
        <f>IFERROR(__xludf.DUMMYFUNCTION("""COMPUTED_VALUE"""),0.0)</f>
        <v>0</v>
      </c>
      <c r="H535" s="106"/>
      <c r="I535" s="320">
        <f>IFERROR(__xludf.DUMMYFUNCTION("""COMPUTED_VALUE"""),247.11)</f>
        <v>247.11</v>
      </c>
      <c r="J535" s="320">
        <f>IFERROR(__xludf.DUMMYFUNCTION("""COMPUTED_VALUE"""),144.87)</f>
        <v>144.87</v>
      </c>
      <c r="K535" s="320">
        <f>IFERROR(__xludf.DUMMYFUNCTION("""COMPUTED_VALUE"""),127.39)</f>
        <v>127.39</v>
      </c>
      <c r="L535" s="320">
        <f>IFERROR(__xludf.DUMMYFUNCTION("""COMPUTED_VALUE"""),0.8794)</f>
        <v>0.8794</v>
      </c>
      <c r="M535" s="320">
        <f>IFERROR(__xludf.DUMMYFUNCTION("""COMPUTED_VALUE"""),0.2754)</f>
        <v>0.2754</v>
      </c>
      <c r="N535" s="320">
        <f>IFERROR(__xludf.DUMMYFUNCTION("""COMPUTED_VALUE"""),0.2088)</f>
        <v>0.2088</v>
      </c>
      <c r="O535" s="320">
        <f>IFERROR(__xludf.DUMMYFUNCTION("""COMPUTED_VALUE"""),1.1372)</f>
        <v>1.1372</v>
      </c>
      <c r="P535" s="320">
        <f>IFERROR(__xludf.DUMMYFUNCTION("""COMPUTED_VALUE"""),507.47)</f>
        <v>507.47</v>
      </c>
      <c r="Q535" s="320">
        <f>IFERROR(__xludf.DUMMYFUNCTION("""COMPUTED_VALUE"""),258.84)</f>
        <v>258.84</v>
      </c>
      <c r="R535" s="320">
        <f>IFERROR(__xludf.DUMMYFUNCTION("""COMPUTED_VALUE"""),248.63)</f>
        <v>248.63</v>
      </c>
      <c r="S535" s="320">
        <f>IFERROR(__xludf.DUMMYFUNCTION("""COMPUTED_VALUE"""),0.0)</f>
        <v>0</v>
      </c>
      <c r="T535" s="320">
        <f>IFERROR(__xludf.DUMMYFUNCTION("""COMPUTED_VALUE"""),507.47)</f>
        <v>507.47</v>
      </c>
      <c r="U535" s="320">
        <f>IFERROR(__xludf.DUMMYFUNCTION("""COMPUTED_VALUE"""),725.59)</f>
        <v>725.59</v>
      </c>
      <c r="V535" s="320">
        <f>IFERROR(__xludf.DUMMYFUNCTION("""COMPUTED_VALUE"""),5.0087)</f>
        <v>5.0087</v>
      </c>
      <c r="W535" s="320">
        <f>IFERROR(__xludf.DUMMYFUNCTION("""COMPUTED_VALUE"""),0.0)</f>
        <v>0</v>
      </c>
      <c r="X535" s="320">
        <f>IFERROR(__xludf.DUMMYFUNCTION("""COMPUTED_VALUE"""),795.0)</f>
        <v>795</v>
      </c>
      <c r="Y535" s="320">
        <f>IFERROR(__xludf.DUMMYFUNCTION("""COMPUTED_VALUE"""),3382.0)</f>
        <v>3382</v>
      </c>
      <c r="Z535" s="320">
        <f>IFERROR(__xludf.DUMMYFUNCTION("""COMPUTED_VALUE"""),11278.0)</f>
        <v>11278</v>
      </c>
      <c r="AA535" s="320">
        <f>IFERROR(__xludf.DUMMYFUNCTION("""COMPUTED_VALUE"""),63.0006)</f>
        <v>63.0006</v>
      </c>
      <c r="AB535" s="320">
        <f>IFERROR(__xludf.DUMMYFUNCTION("""COMPUTED_VALUE"""),0.9107)</f>
        <v>0.9107</v>
      </c>
      <c r="AC535" s="320">
        <f>IFERROR(__xludf.DUMMYFUNCTION("""COMPUTED_VALUE"""),89.3)</f>
        <v>89.3</v>
      </c>
      <c r="AD535" s="320">
        <f>IFERROR(__xludf.DUMMYFUNCTION("""COMPUTED_VALUE"""),36.0)</f>
        <v>36</v>
      </c>
      <c r="AE535" s="320">
        <f>IFERROR(__xludf.DUMMYFUNCTION("""COMPUTED_VALUE"""),78.0)</f>
        <v>78</v>
      </c>
      <c r="AF535" s="320">
        <f>IFERROR(__xludf.DUMMYFUNCTION("""COMPUTED_VALUE"""),126.0)</f>
        <v>126</v>
      </c>
      <c r="AG535" s="320">
        <f>IFERROR(__xludf.DUMMYFUNCTION("""COMPUTED_VALUE"""),177.0)</f>
        <v>177</v>
      </c>
      <c r="AH535" s="320">
        <f>IFERROR(__xludf.DUMMYFUNCTION("""COMPUTED_VALUE"""),49.3)</f>
        <v>49.3</v>
      </c>
      <c r="AI535" s="320">
        <f>IFERROR(__xludf.DUMMYFUNCTION("""COMPUTED_VALUE"""),10.33)</f>
        <v>10.33</v>
      </c>
      <c r="AJ535" s="320">
        <f>IFERROR(__xludf.DUMMYFUNCTION("""COMPUTED_VALUE"""),0.94)</f>
        <v>0.94</v>
      </c>
      <c r="AK535" s="320">
        <f>IFERROR(__xludf.DUMMYFUNCTION("""COMPUTED_VALUE"""),0.1487)</f>
        <v>0.1487</v>
      </c>
      <c r="AL535" s="320">
        <f>IFERROR(__xludf.DUMMYFUNCTION("""COMPUTED_VALUE"""),23.76)</f>
        <v>23.76</v>
      </c>
      <c r="AM535" s="320">
        <f>IFERROR(__xludf.DUMMYFUNCTION("""COMPUTED_VALUE"""),235.08)</f>
        <v>235.08</v>
      </c>
      <c r="AN535" s="320">
        <f>IFERROR(__xludf.DUMMYFUNCTION("""COMPUTED_VALUE"""),79.23)</f>
        <v>79.23</v>
      </c>
      <c r="AO535" s="320">
        <f>IFERROR(__xludf.DUMMYFUNCTION("""COMPUTED_VALUE"""),18.83)</f>
        <v>18.83</v>
      </c>
    </row>
    <row r="536" ht="15.0" customHeight="1">
      <c r="A536" s="328">
        <f>IFERROR(__xludf.DUMMYFUNCTION("""COMPUTED_VALUE"""),46139.0)</f>
        <v>46139</v>
      </c>
      <c r="B536" s="319" t="str">
        <f>IFERROR(__xludf.DUMMYFUNCTION("""COMPUTED_VALUE"""),"A. 0")</f>
        <v>A. 0</v>
      </c>
      <c r="C536" s="320">
        <f>IFERROR(__xludf.DUMMYFUNCTION("""COMPUTED_VALUE"""),19086.0)</f>
        <v>19086</v>
      </c>
      <c r="D536" s="320">
        <f>IFERROR(__xludf.DUMMYFUNCTION("""COMPUTED_VALUE"""),18.1)</f>
        <v>18.1</v>
      </c>
      <c r="E536" s="320">
        <f>IFERROR(__xludf.DUMMYFUNCTION("""COMPUTED_VALUE"""),0.0)</f>
        <v>0</v>
      </c>
      <c r="F536" s="320">
        <f>IFERROR(__xludf.DUMMYFUNCTION("""COMPUTED_VALUE"""),0.0)</f>
        <v>0</v>
      </c>
      <c r="G536" s="320">
        <f>IFERROR(__xludf.DUMMYFUNCTION("""COMPUTED_VALUE"""),0.0)</f>
        <v>0</v>
      </c>
      <c r="H536" s="106"/>
      <c r="I536" s="320">
        <f>IFERROR(__xludf.DUMMYFUNCTION("""COMPUTED_VALUE"""),5.94)</f>
        <v>5.94</v>
      </c>
      <c r="J536" s="320">
        <f>IFERROR(__xludf.DUMMYFUNCTION("""COMPUTED_VALUE"""),2.29)</f>
        <v>2.29</v>
      </c>
      <c r="K536" s="320">
        <f>IFERROR(__xludf.DUMMYFUNCTION("""COMPUTED_VALUE"""),0.08)</f>
        <v>0.08</v>
      </c>
      <c r="L536" s="320">
        <f>IFERROR(__xludf.DUMMYFUNCTION("""COMPUTED_VALUE"""),0.0346)</f>
        <v>0.0346</v>
      </c>
      <c r="M536" s="320">
        <f>IFERROR(__xludf.DUMMYFUNCTION("""COMPUTED_VALUE"""),0.9733)</f>
        <v>0.9733</v>
      </c>
      <c r="N536" s="320">
        <f>IFERROR(__xludf.DUMMYFUNCTION("""COMPUTED_VALUE"""),0.7523)</f>
        <v>0.7523</v>
      </c>
      <c r="O536" s="320">
        <f>IFERROR(__xludf.DUMMYFUNCTION("""COMPUTED_VALUE"""),28.9306)</f>
        <v>28.9306</v>
      </c>
      <c r="P536" s="320">
        <f>IFERROR(__xludf.DUMMYFUNCTION("""COMPUTED_VALUE"""),33.54)</f>
        <v>33.54</v>
      </c>
      <c r="Q536" s="320">
        <f>IFERROR(__xludf.DUMMYFUNCTION("""COMPUTED_VALUE"""),33.42)</f>
        <v>33.42</v>
      </c>
      <c r="R536" s="320">
        <f>IFERROR(__xludf.DUMMYFUNCTION("""COMPUTED_VALUE"""),0.12)</f>
        <v>0.12</v>
      </c>
      <c r="S536" s="320">
        <f>IFERROR(__xludf.DUMMYFUNCTION("""COMPUTED_VALUE"""),0.0)</f>
        <v>0</v>
      </c>
      <c r="T536" s="320">
        <f>IFERROR(__xludf.DUMMYFUNCTION("""COMPUTED_VALUE"""),33.54)</f>
        <v>33.54</v>
      </c>
      <c r="U536" s="320">
        <f>IFERROR(__xludf.DUMMYFUNCTION("""COMPUTED_VALUE"""),2.13)</f>
        <v>2.13</v>
      </c>
      <c r="V536" s="320">
        <f>IFERROR(__xludf.DUMMYFUNCTION("""COMPUTED_VALUE"""),0.9304)</f>
        <v>0.9304</v>
      </c>
      <c r="W536" s="320">
        <f>IFERROR(__xludf.DUMMYFUNCTION("""COMPUTED_VALUE"""),0.0)</f>
        <v>0</v>
      </c>
      <c r="X536" s="320">
        <f>IFERROR(__xludf.DUMMYFUNCTION("""COMPUTED_VALUE"""),422.0)</f>
        <v>422</v>
      </c>
      <c r="Y536" s="320">
        <f>IFERROR(__xludf.DUMMYFUNCTION("""COMPUTED_VALUE"""),4528.0)</f>
        <v>4528</v>
      </c>
      <c r="Z536" s="320">
        <f>IFERROR(__xludf.DUMMYFUNCTION("""COMPUTED_VALUE"""),16245.0)</f>
        <v>16245</v>
      </c>
      <c r="AA536" s="320">
        <f>IFERROR(__xludf.DUMMYFUNCTION("""COMPUTED_VALUE"""),49.3852)</f>
        <v>49.3852</v>
      </c>
      <c r="AB536" s="320">
        <f>IFERROR(__xludf.DUMMYFUNCTION("""COMPUTED_VALUE"""),0.5506)</f>
        <v>0.5506</v>
      </c>
      <c r="AC536" s="106"/>
      <c r="AD536" s="106"/>
      <c r="AE536" s="106"/>
      <c r="AF536" s="106"/>
      <c r="AG536" s="106"/>
      <c r="AH536" s="320">
        <f>IFERROR(__xludf.DUMMYFUNCTION("""COMPUTED_VALUE"""),0.0)</f>
        <v>0</v>
      </c>
      <c r="AI536" s="320">
        <f>IFERROR(__xludf.DUMMYFUNCTION("""COMPUTED_VALUE"""),0.0)</f>
        <v>0</v>
      </c>
      <c r="AJ536" s="320">
        <f>IFERROR(__xludf.DUMMYFUNCTION("""COMPUTED_VALUE"""),0.0)</f>
        <v>0</v>
      </c>
      <c r="AK536" s="320">
        <f>IFERROR(__xludf.DUMMYFUNCTION("""COMPUTED_VALUE"""),0.2813)</f>
        <v>0.2813</v>
      </c>
      <c r="AL536" s="320">
        <f>IFERROR(__xludf.DUMMYFUNCTION("""COMPUTED_VALUE"""),17.4)</f>
        <v>17.4</v>
      </c>
      <c r="AM536" s="320">
        <f>IFERROR(__xludf.DUMMYFUNCTION("""COMPUTED_VALUE"""),16.01)</f>
        <v>16.01</v>
      </c>
      <c r="AN536" s="331"/>
      <c r="AO536" s="331"/>
    </row>
    <row r="537" ht="15.0" customHeight="1">
      <c r="A537" s="328">
        <f>IFERROR(__xludf.DUMMYFUNCTION("""COMPUTED_VALUE"""),46139.0)</f>
        <v>46139</v>
      </c>
      <c r="B537" s="319" t="str">
        <f>IFERROR(__xludf.DUMMYFUNCTION("""COMPUTED_VALUE"""),"B. 1-9")</f>
        <v>B. 1-9</v>
      </c>
      <c r="C537" s="320">
        <f>IFERROR(__xludf.DUMMYFUNCTION("""COMPUTED_VALUE"""),37001.0)</f>
        <v>37001</v>
      </c>
      <c r="D537" s="320">
        <f>IFERROR(__xludf.DUMMYFUNCTION("""COMPUTED_VALUE"""),35.09)</f>
        <v>35.09</v>
      </c>
      <c r="E537" s="320">
        <f>IFERROR(__xludf.DUMMYFUNCTION("""COMPUTED_VALUE"""),0.0)</f>
        <v>0</v>
      </c>
      <c r="F537" s="320">
        <f>IFERROR(__xludf.DUMMYFUNCTION("""COMPUTED_VALUE"""),0.0)</f>
        <v>0</v>
      </c>
      <c r="G537" s="320">
        <f>IFERROR(__xludf.DUMMYFUNCTION("""COMPUTED_VALUE"""),0.0)</f>
        <v>0</v>
      </c>
      <c r="H537" s="106"/>
      <c r="I537" s="320">
        <f>IFERROR(__xludf.DUMMYFUNCTION("""COMPUTED_VALUE"""),32.7)</f>
        <v>32.7</v>
      </c>
      <c r="J537" s="320">
        <f>IFERROR(__xludf.DUMMYFUNCTION("""COMPUTED_VALUE"""),14.82)</f>
        <v>14.82</v>
      </c>
      <c r="K537" s="320">
        <f>IFERROR(__xludf.DUMMYFUNCTION("""COMPUTED_VALUE"""),5.84)</f>
        <v>5.84</v>
      </c>
      <c r="L537" s="320">
        <f>IFERROR(__xludf.DUMMYFUNCTION("""COMPUTED_VALUE"""),0.3939)</f>
        <v>0.3939</v>
      </c>
      <c r="M537" s="320">
        <f>IFERROR(__xludf.DUMMYFUNCTION("""COMPUTED_VALUE"""),0.7741)</f>
        <v>0.7741</v>
      </c>
      <c r="N537" s="320">
        <f>IFERROR(__xludf.DUMMYFUNCTION("""COMPUTED_VALUE"""),0.574)</f>
        <v>0.574</v>
      </c>
      <c r="O537" s="320">
        <f>IFERROR(__xludf.DUMMYFUNCTION("""COMPUTED_VALUE"""),2.5388)</f>
        <v>2.5388</v>
      </c>
      <c r="P537" s="320">
        <f>IFERROR(__xludf.DUMMYFUNCTION("""COMPUTED_VALUE"""),70.73)</f>
        <v>70.73</v>
      </c>
      <c r="Q537" s="320">
        <f>IFERROR(__xludf.DUMMYFUNCTION("""COMPUTED_VALUE"""),60.18)</f>
        <v>60.18</v>
      </c>
      <c r="R537" s="320">
        <f>IFERROR(__xludf.DUMMYFUNCTION("""COMPUTED_VALUE"""),10.56)</f>
        <v>10.56</v>
      </c>
      <c r="S537" s="320">
        <f>IFERROR(__xludf.DUMMYFUNCTION("""COMPUTED_VALUE"""),0.01)</f>
        <v>0.01</v>
      </c>
      <c r="T537" s="320">
        <f>IFERROR(__xludf.DUMMYFUNCTION("""COMPUTED_VALUE"""),70.73)</f>
        <v>70.73</v>
      </c>
      <c r="U537" s="320">
        <f>IFERROR(__xludf.DUMMYFUNCTION("""COMPUTED_VALUE"""),58.24)</f>
        <v>58.24</v>
      </c>
      <c r="V537" s="320">
        <f>IFERROR(__xludf.DUMMYFUNCTION("""COMPUTED_VALUE"""),3.929)</f>
        <v>3.929</v>
      </c>
      <c r="W537" s="320">
        <f>IFERROR(__xludf.DUMMYFUNCTION("""COMPUTED_VALUE"""),0.01)</f>
        <v>0.01</v>
      </c>
      <c r="X537" s="320">
        <f>IFERROR(__xludf.DUMMYFUNCTION("""COMPUTED_VALUE"""),147.0)</f>
        <v>147</v>
      </c>
      <c r="Y537" s="320">
        <f>IFERROR(__xludf.DUMMYFUNCTION("""COMPUTED_VALUE"""),854.0)</f>
        <v>854</v>
      </c>
      <c r="Z537" s="320">
        <f>IFERROR(__xludf.DUMMYFUNCTION("""COMPUTED_VALUE"""),5901.0)</f>
        <v>5901</v>
      </c>
      <c r="AA537" s="320">
        <f>IFERROR(__xludf.DUMMYFUNCTION("""COMPUTED_VALUE"""),48.6504)</f>
        <v>48.6504</v>
      </c>
      <c r="AB537" s="320">
        <f>IFERROR(__xludf.DUMMYFUNCTION("""COMPUTED_VALUE"""),0.5209)</f>
        <v>0.5209</v>
      </c>
      <c r="AC537" s="320">
        <f>IFERROR(__xludf.DUMMYFUNCTION("""COMPUTED_VALUE"""),4.01)</f>
        <v>4.01</v>
      </c>
      <c r="AD537" s="320">
        <f>IFERROR(__xludf.DUMMYFUNCTION("""COMPUTED_VALUE"""),1.0)</f>
        <v>1</v>
      </c>
      <c r="AE537" s="320">
        <f>IFERROR(__xludf.DUMMYFUNCTION("""COMPUTED_VALUE"""),3.0)</f>
        <v>3</v>
      </c>
      <c r="AF537" s="320">
        <f>IFERROR(__xludf.DUMMYFUNCTION("""COMPUTED_VALUE"""),5.0)</f>
        <v>5</v>
      </c>
      <c r="AG537" s="320">
        <f>IFERROR(__xludf.DUMMYFUNCTION("""COMPUTED_VALUE"""),9.0)</f>
        <v>9</v>
      </c>
      <c r="AH537" s="320">
        <f>IFERROR(__xludf.DUMMYFUNCTION("""COMPUTED_VALUE"""),73.8)</f>
        <v>73.8</v>
      </c>
      <c r="AI537" s="320">
        <f>IFERROR(__xludf.DUMMYFUNCTION("""COMPUTED_VALUE"""),30.81)</f>
        <v>30.81</v>
      </c>
      <c r="AJ537" s="320">
        <f>IFERROR(__xludf.DUMMYFUNCTION("""COMPUTED_VALUE"""),8.45)</f>
        <v>8.45</v>
      </c>
      <c r="AK537" s="320">
        <f>IFERROR(__xludf.DUMMYFUNCTION("""COMPUTED_VALUE"""),0.2316)</f>
        <v>0.2316</v>
      </c>
      <c r="AL537" s="320">
        <f>IFERROR(__xludf.DUMMYFUNCTION("""COMPUTED_VALUE"""),18.49)</f>
        <v>18.49</v>
      </c>
      <c r="AM537" s="320">
        <f>IFERROR(__xludf.DUMMYFUNCTION("""COMPUTED_VALUE"""),41.69)</f>
        <v>41.69</v>
      </c>
      <c r="AN537" s="320">
        <f>IFERROR(__xludf.DUMMYFUNCTION("""COMPUTED_VALUE"""),65.86)</f>
        <v>65.86</v>
      </c>
      <c r="AO537" s="320">
        <f>IFERROR(__xludf.DUMMYFUNCTION("""COMPUTED_VALUE"""),12.18)</f>
        <v>12.18</v>
      </c>
    </row>
    <row r="538" ht="15.0" customHeight="1">
      <c r="A538" s="328">
        <f>IFERROR(__xludf.DUMMYFUNCTION("""COMPUTED_VALUE"""),46139.0)</f>
        <v>46139</v>
      </c>
      <c r="B538" s="319" t="str">
        <f>IFERROR(__xludf.DUMMYFUNCTION("""COMPUTED_VALUE"""),"C. 10-19")</f>
        <v>C. 10-19</v>
      </c>
      <c r="C538" s="320">
        <f>IFERROR(__xludf.DUMMYFUNCTION("""COMPUTED_VALUE"""),26588.0)</f>
        <v>26588</v>
      </c>
      <c r="D538" s="320">
        <f>IFERROR(__xludf.DUMMYFUNCTION("""COMPUTED_VALUE"""),25.21)</f>
        <v>25.21</v>
      </c>
      <c r="E538" s="320">
        <f>IFERROR(__xludf.DUMMYFUNCTION("""COMPUTED_VALUE"""),0.0)</f>
        <v>0</v>
      </c>
      <c r="F538" s="320">
        <f>IFERROR(__xludf.DUMMYFUNCTION("""COMPUTED_VALUE"""),0.0)</f>
        <v>0</v>
      </c>
      <c r="G538" s="320">
        <f>IFERROR(__xludf.DUMMYFUNCTION("""COMPUTED_VALUE"""),0.0)</f>
        <v>0</v>
      </c>
      <c r="H538" s="106"/>
      <c r="I538" s="320">
        <f>IFERROR(__xludf.DUMMYFUNCTION("""COMPUTED_VALUE"""),61.17)</f>
        <v>61.17</v>
      </c>
      <c r="J538" s="320">
        <f>IFERROR(__xludf.DUMMYFUNCTION("""COMPUTED_VALUE"""),28.65)</f>
        <v>28.65</v>
      </c>
      <c r="K538" s="320">
        <f>IFERROR(__xludf.DUMMYFUNCTION("""COMPUTED_VALUE"""),15.24)</f>
        <v>15.24</v>
      </c>
      <c r="L538" s="320">
        <f>IFERROR(__xludf.DUMMYFUNCTION("""COMPUTED_VALUE"""),0.532)</f>
        <v>0.532</v>
      </c>
      <c r="M538" s="320">
        <f>IFERROR(__xludf.DUMMYFUNCTION("""COMPUTED_VALUE"""),0.6642)</f>
        <v>0.6642</v>
      </c>
      <c r="N538" s="320">
        <f>IFERROR(__xludf.DUMMYFUNCTION("""COMPUTED_VALUE"""),0.4649)</f>
        <v>0.4649</v>
      </c>
      <c r="O538" s="320">
        <f>IFERROR(__xludf.DUMMYFUNCTION("""COMPUTED_VALUE"""),1.8797)</f>
        <v>1.8797</v>
      </c>
      <c r="P538" s="320">
        <f>IFERROR(__xludf.DUMMYFUNCTION("""COMPUTED_VALUE"""),128.49)</f>
        <v>128.49</v>
      </c>
      <c r="Q538" s="320">
        <f>IFERROR(__xludf.DUMMYFUNCTION("""COMPUTED_VALUE"""),101.88)</f>
        <v>101.88</v>
      </c>
      <c r="R538" s="320">
        <f>IFERROR(__xludf.DUMMYFUNCTION("""COMPUTED_VALUE"""),26.61)</f>
        <v>26.61</v>
      </c>
      <c r="S538" s="320">
        <f>IFERROR(__xludf.DUMMYFUNCTION("""COMPUTED_VALUE"""),0.15)</f>
        <v>0.15</v>
      </c>
      <c r="T538" s="320">
        <f>IFERROR(__xludf.DUMMYFUNCTION("""COMPUTED_VALUE"""),128.34)</f>
        <v>128.34</v>
      </c>
      <c r="U538" s="320">
        <f>IFERROR(__xludf.DUMMYFUNCTION("""COMPUTED_VALUE"""),112.64)</f>
        <v>112.64</v>
      </c>
      <c r="V538" s="320">
        <f>IFERROR(__xludf.DUMMYFUNCTION("""COMPUTED_VALUE"""),3.932)</f>
        <v>3.932</v>
      </c>
      <c r="W538" s="320">
        <f>IFERROR(__xludf.DUMMYFUNCTION("""COMPUTED_VALUE"""),0.12)</f>
        <v>0.12</v>
      </c>
      <c r="X538" s="320">
        <f>IFERROR(__xludf.DUMMYFUNCTION("""COMPUTED_VALUE"""),138.0)</f>
        <v>138</v>
      </c>
      <c r="Y538" s="320">
        <f>IFERROR(__xludf.DUMMYFUNCTION("""COMPUTED_VALUE"""),728.0)</f>
        <v>728</v>
      </c>
      <c r="Z538" s="320">
        <f>IFERROR(__xludf.DUMMYFUNCTION("""COMPUTED_VALUE"""),5674.0)</f>
        <v>5674</v>
      </c>
      <c r="AA538" s="320">
        <f>IFERROR(__xludf.DUMMYFUNCTION("""COMPUTED_VALUE"""),52.1727)</f>
        <v>52.1727</v>
      </c>
      <c r="AB538" s="320">
        <f>IFERROR(__xludf.DUMMYFUNCTION("""COMPUTED_VALUE"""),0.5889)</f>
        <v>0.5889</v>
      </c>
      <c r="AC538" s="320">
        <f>IFERROR(__xludf.DUMMYFUNCTION("""COMPUTED_VALUE"""),9.99)</f>
        <v>9.99</v>
      </c>
      <c r="AD538" s="320">
        <f>IFERROR(__xludf.DUMMYFUNCTION("""COMPUTED_VALUE"""),4.0)</f>
        <v>4</v>
      </c>
      <c r="AE538" s="320">
        <f>IFERROR(__xludf.DUMMYFUNCTION("""COMPUTED_VALUE"""),8.0)</f>
        <v>8</v>
      </c>
      <c r="AF538" s="320">
        <f>IFERROR(__xludf.DUMMYFUNCTION("""COMPUTED_VALUE"""),14.0)</f>
        <v>14</v>
      </c>
      <c r="AG538" s="320">
        <f>IFERROR(__xludf.DUMMYFUNCTION("""COMPUTED_VALUE"""),21.0)</f>
        <v>21</v>
      </c>
      <c r="AH538" s="320">
        <f>IFERROR(__xludf.DUMMYFUNCTION("""COMPUTED_VALUE"""),61.75)</f>
        <v>61.75</v>
      </c>
      <c r="AI538" s="320">
        <f>IFERROR(__xludf.DUMMYFUNCTION("""COMPUTED_VALUE"""),28.52)</f>
        <v>28.52</v>
      </c>
      <c r="AJ538" s="320">
        <f>IFERROR(__xludf.DUMMYFUNCTION("""COMPUTED_VALUE"""),5.98)</f>
        <v>5.98</v>
      </c>
      <c r="AK538" s="320">
        <f>IFERROR(__xludf.DUMMYFUNCTION("""COMPUTED_VALUE"""),0.1717)</f>
        <v>0.1717</v>
      </c>
      <c r="AL538" s="320">
        <f>IFERROR(__xludf.DUMMYFUNCTION("""COMPUTED_VALUE"""),19.11)</f>
        <v>19.11</v>
      </c>
      <c r="AM538" s="320">
        <f>IFERROR(__xludf.DUMMYFUNCTION("""COMPUTED_VALUE"""),82.77)</f>
        <v>82.77</v>
      </c>
      <c r="AN538" s="320">
        <f>IFERROR(__xludf.DUMMYFUNCTION("""COMPUTED_VALUE"""),73.14)</f>
        <v>73.14</v>
      </c>
      <c r="AO538" s="320">
        <f>IFERROR(__xludf.DUMMYFUNCTION("""COMPUTED_VALUE"""),13.98)</f>
        <v>13.98</v>
      </c>
    </row>
    <row r="539" ht="15.0" customHeight="1">
      <c r="A539" s="328">
        <f>IFERROR(__xludf.DUMMYFUNCTION("""COMPUTED_VALUE"""),46139.0)</f>
        <v>46139</v>
      </c>
      <c r="B539" s="319" t="str">
        <f>IFERROR(__xludf.DUMMYFUNCTION("""COMPUTED_VALUE"""),"D. 20-39")</f>
        <v>D. 20-39</v>
      </c>
      <c r="C539" s="320">
        <f>IFERROR(__xludf.DUMMYFUNCTION("""COMPUTED_VALUE"""),15732.0)</f>
        <v>15732</v>
      </c>
      <c r="D539" s="320">
        <f>IFERROR(__xludf.DUMMYFUNCTION("""COMPUTED_VALUE"""),14.92)</f>
        <v>14.92</v>
      </c>
      <c r="E539" s="320">
        <f>IFERROR(__xludf.DUMMYFUNCTION("""COMPUTED_VALUE"""),0.0)</f>
        <v>0</v>
      </c>
      <c r="F539" s="320">
        <f>IFERROR(__xludf.DUMMYFUNCTION("""COMPUTED_VALUE"""),0.0)</f>
        <v>0</v>
      </c>
      <c r="G539" s="320">
        <f>IFERROR(__xludf.DUMMYFUNCTION("""COMPUTED_VALUE"""),0.0)</f>
        <v>0</v>
      </c>
      <c r="H539" s="106"/>
      <c r="I539" s="320">
        <f>IFERROR(__xludf.DUMMYFUNCTION("""COMPUTED_VALUE"""),91.25)</f>
        <v>91.25</v>
      </c>
      <c r="J539" s="320">
        <f>IFERROR(__xludf.DUMMYFUNCTION("""COMPUTED_VALUE"""),45.25)</f>
        <v>45.25</v>
      </c>
      <c r="K539" s="320">
        <f>IFERROR(__xludf.DUMMYFUNCTION("""COMPUTED_VALUE"""),30.73)</f>
        <v>30.73</v>
      </c>
      <c r="L539" s="320">
        <f>IFERROR(__xludf.DUMMYFUNCTION("""COMPUTED_VALUE"""),0.679)</f>
        <v>0.679</v>
      </c>
      <c r="M539" s="320">
        <f>IFERROR(__xludf.DUMMYFUNCTION("""COMPUTED_VALUE"""),0.5222)</f>
        <v>0.5222</v>
      </c>
      <c r="N539" s="320">
        <f>IFERROR(__xludf.DUMMYFUNCTION("""COMPUTED_VALUE"""),0.3662)</f>
        <v>0.3662</v>
      </c>
      <c r="O539" s="320">
        <f>IFERROR(__xludf.DUMMYFUNCTION("""COMPUTED_VALUE"""),1.4728)</f>
        <v>1.4728</v>
      </c>
      <c r="P539" s="320">
        <f>IFERROR(__xludf.DUMMYFUNCTION("""COMPUTED_VALUE"""),223.93)</f>
        <v>223.93</v>
      </c>
      <c r="Q539" s="320">
        <f>IFERROR(__xludf.DUMMYFUNCTION("""COMPUTED_VALUE"""),171.26)</f>
        <v>171.26</v>
      </c>
      <c r="R539" s="320">
        <f>IFERROR(__xludf.DUMMYFUNCTION("""COMPUTED_VALUE"""),52.68)</f>
        <v>52.68</v>
      </c>
      <c r="S539" s="320">
        <f>IFERROR(__xludf.DUMMYFUNCTION("""COMPUTED_VALUE"""),0.0)</f>
        <v>0</v>
      </c>
      <c r="T539" s="320">
        <f>IFERROR(__xludf.DUMMYFUNCTION("""COMPUTED_VALUE"""),223.93)</f>
        <v>223.93</v>
      </c>
      <c r="U539" s="320">
        <f>IFERROR(__xludf.DUMMYFUNCTION("""COMPUTED_VALUE"""),203.29)</f>
        <v>203.29</v>
      </c>
      <c r="V539" s="320">
        <f>IFERROR(__xludf.DUMMYFUNCTION("""COMPUTED_VALUE"""),4.4922)</f>
        <v>4.4922</v>
      </c>
      <c r="W539" s="320">
        <f>IFERROR(__xludf.DUMMYFUNCTION("""COMPUTED_VALUE"""),0.0)</f>
        <v>0</v>
      </c>
      <c r="X539" s="320">
        <f>IFERROR(__xludf.DUMMYFUNCTION("""COMPUTED_VALUE"""),180.0)</f>
        <v>180</v>
      </c>
      <c r="Y539" s="320">
        <f>IFERROR(__xludf.DUMMYFUNCTION("""COMPUTED_VALUE"""),1098.0)</f>
        <v>1098</v>
      </c>
      <c r="Z539" s="320">
        <f>IFERROR(__xludf.DUMMYFUNCTION("""COMPUTED_VALUE"""),7257.0)</f>
        <v>7257</v>
      </c>
      <c r="AA539" s="320">
        <f>IFERROR(__xludf.DUMMYFUNCTION("""COMPUTED_VALUE"""),55.3563)</f>
        <v>55.3563</v>
      </c>
      <c r="AB539" s="320">
        <f>IFERROR(__xludf.DUMMYFUNCTION("""COMPUTED_VALUE"""),0.6593)</f>
        <v>0.6593</v>
      </c>
      <c r="AC539" s="320">
        <f>IFERROR(__xludf.DUMMYFUNCTION("""COMPUTED_VALUE"""),19.63)</f>
        <v>19.63</v>
      </c>
      <c r="AD539" s="320">
        <f>IFERROR(__xludf.DUMMYFUNCTION("""COMPUTED_VALUE"""),8.0)</f>
        <v>8</v>
      </c>
      <c r="AE539" s="320">
        <f>IFERROR(__xludf.DUMMYFUNCTION("""COMPUTED_VALUE"""),16.0)</f>
        <v>16</v>
      </c>
      <c r="AF539" s="320">
        <f>IFERROR(__xludf.DUMMYFUNCTION("""COMPUTED_VALUE"""),28.0)</f>
        <v>28</v>
      </c>
      <c r="AG539" s="320">
        <f>IFERROR(__xludf.DUMMYFUNCTION("""COMPUTED_VALUE"""),40.0)</f>
        <v>40</v>
      </c>
      <c r="AH539" s="320">
        <f>IFERROR(__xludf.DUMMYFUNCTION("""COMPUTED_VALUE"""),65.49)</f>
        <v>65.49</v>
      </c>
      <c r="AI539" s="320">
        <f>IFERROR(__xludf.DUMMYFUNCTION("""COMPUTED_VALUE"""),28.84)</f>
        <v>28.84</v>
      </c>
      <c r="AJ539" s="320">
        <f>IFERROR(__xludf.DUMMYFUNCTION("""COMPUTED_VALUE"""),7.05)</f>
        <v>7.05</v>
      </c>
      <c r="AK539" s="320">
        <f>IFERROR(__xludf.DUMMYFUNCTION("""COMPUTED_VALUE"""),0.1629)</f>
        <v>0.1629</v>
      </c>
      <c r="AL539" s="320">
        <f>IFERROR(__xludf.DUMMYFUNCTION("""COMPUTED_VALUE"""),19.76)</f>
        <v>19.76</v>
      </c>
      <c r="AM539" s="320">
        <f>IFERROR(__xludf.DUMMYFUNCTION("""COMPUTED_VALUE"""),151.5)</f>
        <v>151.5</v>
      </c>
      <c r="AN539" s="320">
        <f>IFERROR(__xludf.DUMMYFUNCTION("""COMPUTED_VALUE"""),71.78)</f>
        <v>71.78</v>
      </c>
      <c r="AO539" s="320">
        <f>IFERROR(__xludf.DUMMYFUNCTION("""COMPUTED_VALUE"""),14.18)</f>
        <v>14.18</v>
      </c>
    </row>
    <row r="540" ht="15.0" customHeight="1">
      <c r="A540" s="328">
        <f>IFERROR(__xludf.DUMMYFUNCTION("""COMPUTED_VALUE"""),46139.0)</f>
        <v>46139</v>
      </c>
      <c r="B540" s="319" t="str">
        <f>IFERROR(__xludf.DUMMYFUNCTION("""COMPUTED_VALUE"""),"E. 40-99")</f>
        <v>E. 40-99</v>
      </c>
      <c r="C540" s="320">
        <f>IFERROR(__xludf.DUMMYFUNCTION("""COMPUTED_VALUE"""),6430.0)</f>
        <v>6430</v>
      </c>
      <c r="D540" s="320">
        <f>IFERROR(__xludf.DUMMYFUNCTION("""COMPUTED_VALUE"""),6.1)</f>
        <v>6.1</v>
      </c>
      <c r="E540" s="320">
        <f>IFERROR(__xludf.DUMMYFUNCTION("""COMPUTED_VALUE"""),0.0)</f>
        <v>0</v>
      </c>
      <c r="F540" s="320">
        <f>IFERROR(__xludf.DUMMYFUNCTION("""COMPUTED_VALUE"""),0.0)</f>
        <v>0</v>
      </c>
      <c r="G540" s="320">
        <f>IFERROR(__xludf.DUMMYFUNCTION("""COMPUTED_VALUE"""),0.0)</f>
        <v>0</v>
      </c>
      <c r="H540" s="106"/>
      <c r="I540" s="320">
        <f>IFERROR(__xludf.DUMMYFUNCTION("""COMPUTED_VALUE"""),145.25)</f>
        <v>145.25</v>
      </c>
      <c r="J540" s="320">
        <f>IFERROR(__xludf.DUMMYFUNCTION("""COMPUTED_VALUE"""),77.18)</f>
        <v>77.18</v>
      </c>
      <c r="K540" s="320">
        <f>IFERROR(__xludf.DUMMYFUNCTION("""COMPUTED_VALUE"""),62.01)</f>
        <v>62.01</v>
      </c>
      <c r="L540" s="320">
        <f>IFERROR(__xludf.DUMMYFUNCTION("""COMPUTED_VALUE"""),0.8034)</f>
        <v>0.8034</v>
      </c>
      <c r="M540" s="320">
        <f>IFERROR(__xludf.DUMMYFUNCTION("""COMPUTED_VALUE"""),0.3867)</f>
        <v>0.3867</v>
      </c>
      <c r="N540" s="320">
        <f>IFERROR(__xludf.DUMMYFUNCTION("""COMPUTED_VALUE"""),0.2835)</f>
        <v>0.2835</v>
      </c>
      <c r="O540" s="320">
        <f>IFERROR(__xludf.DUMMYFUNCTION("""COMPUTED_VALUE"""),1.2446)</f>
        <v>1.2446</v>
      </c>
      <c r="P540" s="320">
        <f>IFERROR(__xludf.DUMMYFUNCTION("""COMPUTED_VALUE"""),400.72)</f>
        <v>400.72</v>
      </c>
      <c r="Q540" s="320">
        <f>IFERROR(__xludf.DUMMYFUNCTION("""COMPUTED_VALUE"""),295.93)</f>
        <v>295.93</v>
      </c>
      <c r="R540" s="320">
        <f>IFERROR(__xludf.DUMMYFUNCTION("""COMPUTED_VALUE"""),104.78)</f>
        <v>104.78</v>
      </c>
      <c r="S540" s="320">
        <f>IFERROR(__xludf.DUMMYFUNCTION("""COMPUTED_VALUE"""),0.0)</f>
        <v>0</v>
      </c>
      <c r="T540" s="320">
        <f>IFERROR(__xludf.DUMMYFUNCTION("""COMPUTED_VALUE"""),400.72)</f>
        <v>400.72</v>
      </c>
      <c r="U540" s="320">
        <f>IFERROR(__xludf.DUMMYFUNCTION("""COMPUTED_VALUE"""),368.46)</f>
        <v>368.46</v>
      </c>
      <c r="V540" s="320">
        <f>IFERROR(__xludf.DUMMYFUNCTION("""COMPUTED_VALUE"""),4.7743)</f>
        <v>4.7743</v>
      </c>
      <c r="W540" s="320">
        <f>IFERROR(__xludf.DUMMYFUNCTION("""COMPUTED_VALUE"""),0.0)</f>
        <v>0</v>
      </c>
      <c r="X540" s="320">
        <f>IFERROR(__xludf.DUMMYFUNCTION("""COMPUTED_VALUE"""),379.0)</f>
        <v>379</v>
      </c>
      <c r="Y540" s="320">
        <f>IFERROR(__xludf.DUMMYFUNCTION("""COMPUTED_VALUE"""),2611.0)</f>
        <v>2611</v>
      </c>
      <c r="Z540" s="320">
        <f>IFERROR(__xludf.DUMMYFUNCTION("""COMPUTED_VALUE"""),11891.0)</f>
        <v>11891</v>
      </c>
      <c r="AA540" s="320">
        <f>IFERROR(__xludf.DUMMYFUNCTION("""COMPUTED_VALUE"""),59.014)</f>
        <v>59.014</v>
      </c>
      <c r="AB540" s="320">
        <f>IFERROR(__xludf.DUMMYFUNCTION("""COMPUTED_VALUE"""),0.7375)</f>
        <v>0.7375</v>
      </c>
      <c r="AC540" s="320">
        <f>IFERROR(__xludf.DUMMYFUNCTION("""COMPUTED_VALUE"""),39.49)</f>
        <v>39.49</v>
      </c>
      <c r="AD540" s="320">
        <f>IFERROR(__xludf.DUMMYFUNCTION("""COMPUTED_VALUE"""),18.0)</f>
        <v>18</v>
      </c>
      <c r="AE540" s="320">
        <f>IFERROR(__xludf.DUMMYFUNCTION("""COMPUTED_VALUE"""),33.0)</f>
        <v>33</v>
      </c>
      <c r="AF540" s="320">
        <f>IFERROR(__xludf.DUMMYFUNCTION("""COMPUTED_VALUE"""),51.0)</f>
        <v>51</v>
      </c>
      <c r="AG540" s="320">
        <f>IFERROR(__xludf.DUMMYFUNCTION("""COMPUTED_VALUE"""),80.0)</f>
        <v>80</v>
      </c>
      <c r="AH540" s="320">
        <f>IFERROR(__xludf.DUMMYFUNCTION("""COMPUTED_VALUE"""),59.28)</f>
        <v>59.28</v>
      </c>
      <c r="AI540" s="320">
        <f>IFERROR(__xludf.DUMMYFUNCTION("""COMPUTED_VALUE"""),20.03)</f>
        <v>20.03</v>
      </c>
      <c r="AJ540" s="320">
        <f>IFERROR(__xludf.DUMMYFUNCTION("""COMPUTED_VALUE"""),4.85)</f>
        <v>4.85</v>
      </c>
      <c r="AK540" s="320">
        <f>IFERROR(__xludf.DUMMYFUNCTION("""COMPUTED_VALUE"""),0.1143)</f>
        <v>0.1143</v>
      </c>
      <c r="AL540" s="320">
        <f>IFERROR(__xludf.DUMMYFUNCTION("""COMPUTED_VALUE"""),21.01)</f>
        <v>21.01</v>
      </c>
      <c r="AM540" s="320">
        <f>IFERROR(__xludf.DUMMYFUNCTION("""COMPUTED_VALUE"""),274.93)</f>
        <v>274.93</v>
      </c>
      <c r="AN540" s="320">
        <f>IFERROR(__xludf.DUMMYFUNCTION("""COMPUTED_VALUE"""),74.29)</f>
        <v>74.29</v>
      </c>
      <c r="AO540" s="320">
        <f>IFERROR(__xludf.DUMMYFUNCTION("""COMPUTED_VALUE"""),15.61)</f>
        <v>15.61</v>
      </c>
    </row>
    <row r="541" ht="15.0" customHeight="1">
      <c r="A541" s="328">
        <f>IFERROR(__xludf.DUMMYFUNCTION("""COMPUTED_VALUE"""),46139.0)</f>
        <v>46139</v>
      </c>
      <c r="B541" s="319" t="str">
        <f>IFERROR(__xludf.DUMMYFUNCTION("""COMPUTED_VALUE"""),"F. 100+")</f>
        <v>F. 100+</v>
      </c>
      <c r="C541" s="320">
        <f>IFERROR(__xludf.DUMMYFUNCTION("""COMPUTED_VALUE"""),618.0)</f>
        <v>618</v>
      </c>
      <c r="D541" s="320">
        <f>IFERROR(__xludf.DUMMYFUNCTION("""COMPUTED_VALUE"""),0.59)</f>
        <v>0.59</v>
      </c>
      <c r="E541" s="320">
        <f>IFERROR(__xludf.DUMMYFUNCTION("""COMPUTED_VALUE"""),0.0)</f>
        <v>0</v>
      </c>
      <c r="F541" s="320">
        <f>IFERROR(__xludf.DUMMYFUNCTION("""COMPUTED_VALUE"""),0.0)</f>
        <v>0</v>
      </c>
      <c r="G541" s="320">
        <f>IFERROR(__xludf.DUMMYFUNCTION("""COMPUTED_VALUE"""),0.0)</f>
        <v>0</v>
      </c>
      <c r="H541" s="106"/>
      <c r="I541" s="320">
        <f>IFERROR(__xludf.DUMMYFUNCTION("""COMPUTED_VALUE"""),267.3)</f>
        <v>267.3</v>
      </c>
      <c r="J541" s="320">
        <f>IFERROR(__xludf.DUMMYFUNCTION("""COMPUTED_VALUE"""),154.55)</f>
        <v>154.55</v>
      </c>
      <c r="K541" s="320">
        <f>IFERROR(__xludf.DUMMYFUNCTION("""COMPUTED_VALUE"""),138.25)</f>
        <v>138.25</v>
      </c>
      <c r="L541" s="320">
        <f>IFERROR(__xludf.DUMMYFUNCTION("""COMPUTED_VALUE"""),0.8945)</f>
        <v>0.8945</v>
      </c>
      <c r="M541" s="320">
        <f>IFERROR(__xludf.DUMMYFUNCTION("""COMPUTED_VALUE"""),0.2661)</f>
        <v>0.2661</v>
      </c>
      <c r="N541" s="320">
        <f>IFERROR(__xludf.DUMMYFUNCTION("""COMPUTED_VALUE"""),0.2075)</f>
        <v>0.2075</v>
      </c>
      <c r="O541" s="320">
        <f>IFERROR(__xludf.DUMMYFUNCTION("""COMPUTED_VALUE"""),1.1179)</f>
        <v>1.1179</v>
      </c>
      <c r="P541" s="320">
        <f>IFERROR(__xludf.DUMMYFUNCTION("""COMPUTED_VALUE"""),786.1)</f>
        <v>786.1</v>
      </c>
      <c r="Q541" s="320">
        <f>IFERROR(__xludf.DUMMYFUNCTION("""COMPUTED_VALUE"""),527.74)</f>
        <v>527.74</v>
      </c>
      <c r="R541" s="320">
        <f>IFERROR(__xludf.DUMMYFUNCTION("""COMPUTED_VALUE"""),258.36)</f>
        <v>258.36</v>
      </c>
      <c r="S541" s="320">
        <f>IFERROR(__xludf.DUMMYFUNCTION("""COMPUTED_VALUE"""),0.0)</f>
        <v>0</v>
      </c>
      <c r="T541" s="320">
        <f>IFERROR(__xludf.DUMMYFUNCTION("""COMPUTED_VALUE"""),786.1)</f>
        <v>786.1</v>
      </c>
      <c r="U541" s="320">
        <f>IFERROR(__xludf.DUMMYFUNCTION("""COMPUTED_VALUE"""),819.42)</f>
        <v>819.42</v>
      </c>
      <c r="V541" s="320">
        <f>IFERROR(__xludf.DUMMYFUNCTION("""COMPUTED_VALUE"""),5.3018)</f>
        <v>5.3018</v>
      </c>
      <c r="W541" s="320">
        <f>IFERROR(__xludf.DUMMYFUNCTION("""COMPUTED_VALUE"""),0.0)</f>
        <v>0</v>
      </c>
      <c r="X541" s="320">
        <f>IFERROR(__xludf.DUMMYFUNCTION("""COMPUTED_VALUE"""),934.0)</f>
        <v>934</v>
      </c>
      <c r="Y541" s="320">
        <f>IFERROR(__xludf.DUMMYFUNCTION("""COMPUTED_VALUE"""),4492.0)</f>
        <v>4492</v>
      </c>
      <c r="Z541" s="320">
        <f>IFERROR(__xludf.DUMMYFUNCTION("""COMPUTED_VALUE"""),14830.0)</f>
        <v>14830</v>
      </c>
      <c r="AA541" s="320">
        <f>IFERROR(__xludf.DUMMYFUNCTION("""COMPUTED_VALUE"""),62.9888)</f>
        <v>62.9888</v>
      </c>
      <c r="AB541" s="320">
        <f>IFERROR(__xludf.DUMMYFUNCTION("""COMPUTED_VALUE"""),0.8948)</f>
        <v>0.8948</v>
      </c>
      <c r="AC541" s="320">
        <f>IFERROR(__xludf.DUMMYFUNCTION("""COMPUTED_VALUE"""),101.27)</f>
        <v>101.27</v>
      </c>
      <c r="AD541" s="320">
        <f>IFERROR(__xludf.DUMMYFUNCTION("""COMPUTED_VALUE"""),41.0)</f>
        <v>41</v>
      </c>
      <c r="AE541" s="320">
        <f>IFERROR(__xludf.DUMMYFUNCTION("""COMPUTED_VALUE"""),85.0)</f>
        <v>85</v>
      </c>
      <c r="AF541" s="320">
        <f>IFERROR(__xludf.DUMMYFUNCTION("""COMPUTED_VALUE"""),139.0)</f>
        <v>139</v>
      </c>
      <c r="AG541" s="320">
        <f>IFERROR(__xludf.DUMMYFUNCTION("""COMPUTED_VALUE"""),202.0)</f>
        <v>202</v>
      </c>
      <c r="AH541" s="320">
        <f>IFERROR(__xludf.DUMMYFUNCTION("""COMPUTED_VALUE"""),53.72)</f>
        <v>53.72</v>
      </c>
      <c r="AI541" s="320">
        <f>IFERROR(__xludf.DUMMYFUNCTION("""COMPUTED_VALUE"""),15.7)</f>
        <v>15.7</v>
      </c>
      <c r="AJ541" s="320">
        <f>IFERROR(__xludf.DUMMYFUNCTION("""COMPUTED_VALUE"""),2.27)</f>
        <v>2.27</v>
      </c>
      <c r="AK541" s="320">
        <f>IFERROR(__xludf.DUMMYFUNCTION("""COMPUTED_VALUE"""),0.0858)</f>
        <v>0.0858</v>
      </c>
      <c r="AL541" s="320">
        <f>IFERROR(__xludf.DUMMYFUNCTION("""COMPUTED_VALUE"""),20.2)</f>
        <v>20.2</v>
      </c>
      <c r="AM541" s="320">
        <f>IFERROR(__xludf.DUMMYFUNCTION("""COMPUTED_VALUE"""),507.54)</f>
        <v>507.54</v>
      </c>
      <c r="AN541" s="320">
        <f>IFERROR(__xludf.DUMMYFUNCTION("""COMPUTED_VALUE"""),84.14)</f>
        <v>84.14</v>
      </c>
      <c r="AO541" s="320">
        <f>IFERROR(__xludf.DUMMYFUNCTION("""COMPUTED_VALUE"""),17.0)</f>
        <v>17</v>
      </c>
    </row>
    <row r="542" ht="15.0" customHeight="1">
      <c r="A542" s="328">
        <f>IFERROR(__xludf.DUMMYFUNCTION("""COMPUTED_VALUE"""),46140.0)</f>
        <v>46140</v>
      </c>
      <c r="B542" s="319" t="str">
        <f>IFERROR(__xludf.DUMMYFUNCTION("""COMPUTED_VALUE"""),"A. 0")</f>
        <v>A. 0</v>
      </c>
      <c r="C542" s="320">
        <f>IFERROR(__xludf.DUMMYFUNCTION("""COMPUTED_VALUE"""),18256.0)</f>
        <v>18256</v>
      </c>
      <c r="D542" s="320">
        <f>IFERROR(__xludf.DUMMYFUNCTION("""COMPUTED_VALUE"""),17.42)</f>
        <v>17.42</v>
      </c>
      <c r="E542" s="320">
        <f>IFERROR(__xludf.DUMMYFUNCTION("""COMPUTED_VALUE"""),0.0)</f>
        <v>0</v>
      </c>
      <c r="F542" s="320">
        <f>IFERROR(__xludf.DUMMYFUNCTION("""COMPUTED_VALUE"""),0.0)</f>
        <v>0</v>
      </c>
      <c r="G542" s="320">
        <f>IFERROR(__xludf.DUMMYFUNCTION("""COMPUTED_VALUE"""),0.0)</f>
        <v>0</v>
      </c>
      <c r="H542" s="106"/>
      <c r="I542" s="320">
        <f>IFERROR(__xludf.DUMMYFUNCTION("""COMPUTED_VALUE"""),6.35)</f>
        <v>6.35</v>
      </c>
      <c r="J542" s="320">
        <f>IFERROR(__xludf.DUMMYFUNCTION("""COMPUTED_VALUE"""),2.47)</f>
        <v>2.47</v>
      </c>
      <c r="K542" s="320">
        <f>IFERROR(__xludf.DUMMYFUNCTION("""COMPUTED_VALUE"""),0.1)</f>
        <v>0.1</v>
      </c>
      <c r="L542" s="320">
        <f>IFERROR(__xludf.DUMMYFUNCTION("""COMPUTED_VALUE"""),0.0401)</f>
        <v>0.0401</v>
      </c>
      <c r="M542" s="320">
        <f>IFERROR(__xludf.DUMMYFUNCTION("""COMPUTED_VALUE"""),0.9681)</f>
        <v>0.9681</v>
      </c>
      <c r="N542" s="320">
        <f>IFERROR(__xludf.DUMMYFUNCTION("""COMPUTED_VALUE"""),0.693)</f>
        <v>0.693</v>
      </c>
      <c r="O542" s="320">
        <f>IFERROR(__xludf.DUMMYFUNCTION("""COMPUTED_VALUE"""),24.9227)</f>
        <v>24.9227</v>
      </c>
      <c r="P542" s="320">
        <f>IFERROR(__xludf.DUMMYFUNCTION("""COMPUTED_VALUE"""),32.65)</f>
        <v>32.65</v>
      </c>
      <c r="Q542" s="320">
        <f>IFERROR(__xludf.DUMMYFUNCTION("""COMPUTED_VALUE"""),32.53)</f>
        <v>32.53</v>
      </c>
      <c r="R542" s="320">
        <f>IFERROR(__xludf.DUMMYFUNCTION("""COMPUTED_VALUE"""),0.12)</f>
        <v>0.12</v>
      </c>
      <c r="S542" s="320">
        <f>IFERROR(__xludf.DUMMYFUNCTION("""COMPUTED_VALUE"""),0.0)</f>
        <v>0</v>
      </c>
      <c r="T542" s="320">
        <f>IFERROR(__xludf.DUMMYFUNCTION("""COMPUTED_VALUE"""),32.65)</f>
        <v>32.65</v>
      </c>
      <c r="U542" s="320">
        <f>IFERROR(__xludf.DUMMYFUNCTION("""COMPUTED_VALUE"""),2.2)</f>
        <v>2.2</v>
      </c>
      <c r="V542" s="320">
        <f>IFERROR(__xludf.DUMMYFUNCTION("""COMPUTED_VALUE"""),0.89)</f>
        <v>0.89</v>
      </c>
      <c r="W542" s="320">
        <f>IFERROR(__xludf.DUMMYFUNCTION("""COMPUTED_VALUE"""),0.0)</f>
        <v>0</v>
      </c>
      <c r="X542" s="320">
        <f>IFERROR(__xludf.DUMMYFUNCTION("""COMPUTED_VALUE"""),346.0)</f>
        <v>346</v>
      </c>
      <c r="Y542" s="320">
        <f>IFERROR(__xludf.DUMMYFUNCTION("""COMPUTED_VALUE"""),3975.0)</f>
        <v>3975</v>
      </c>
      <c r="Z542" s="320">
        <f>IFERROR(__xludf.DUMMYFUNCTION("""COMPUTED_VALUE"""),15485.0)</f>
        <v>15485</v>
      </c>
      <c r="AA542" s="320">
        <f>IFERROR(__xludf.DUMMYFUNCTION("""COMPUTED_VALUE"""),48.8563)</f>
        <v>48.8563</v>
      </c>
      <c r="AB542" s="320">
        <f>IFERROR(__xludf.DUMMYFUNCTION("""COMPUTED_VALUE"""),0.5363)</f>
        <v>0.5363</v>
      </c>
      <c r="AC542" s="106"/>
      <c r="AD542" s="106"/>
      <c r="AE542" s="106"/>
      <c r="AF542" s="106"/>
      <c r="AG542" s="106"/>
      <c r="AH542" s="320">
        <f>IFERROR(__xludf.DUMMYFUNCTION("""COMPUTED_VALUE"""),0.0)</f>
        <v>0</v>
      </c>
      <c r="AI542" s="320">
        <f>IFERROR(__xludf.DUMMYFUNCTION("""COMPUTED_VALUE"""),0.0)</f>
        <v>0</v>
      </c>
      <c r="AJ542" s="320">
        <f>IFERROR(__xludf.DUMMYFUNCTION("""COMPUTED_VALUE"""),0.0)</f>
        <v>0</v>
      </c>
      <c r="AK542" s="320">
        <f>IFERROR(__xludf.DUMMYFUNCTION("""COMPUTED_VALUE"""),0.2799)</f>
        <v>0.2799</v>
      </c>
      <c r="AL542" s="320">
        <f>IFERROR(__xludf.DUMMYFUNCTION("""COMPUTED_VALUE"""),16.76)</f>
        <v>16.76</v>
      </c>
      <c r="AM542" s="320">
        <f>IFERROR(__xludf.DUMMYFUNCTION("""COMPUTED_VALUE"""),15.77)</f>
        <v>15.77</v>
      </c>
      <c r="AN542" s="331"/>
      <c r="AO542" s="331"/>
    </row>
    <row r="543" ht="15.0" customHeight="1">
      <c r="A543" s="328">
        <f>IFERROR(__xludf.DUMMYFUNCTION("""COMPUTED_VALUE"""),46140.0)</f>
        <v>46140</v>
      </c>
      <c r="B543" s="319" t="str">
        <f>IFERROR(__xludf.DUMMYFUNCTION("""COMPUTED_VALUE"""),"B. 1-9")</f>
        <v>B. 1-9</v>
      </c>
      <c r="C543" s="320">
        <f>IFERROR(__xludf.DUMMYFUNCTION("""COMPUTED_VALUE"""),36260.0)</f>
        <v>36260</v>
      </c>
      <c r="D543" s="320">
        <f>IFERROR(__xludf.DUMMYFUNCTION("""COMPUTED_VALUE"""),34.6)</f>
        <v>34.6</v>
      </c>
      <c r="E543" s="320">
        <f>IFERROR(__xludf.DUMMYFUNCTION("""COMPUTED_VALUE"""),0.0)</f>
        <v>0</v>
      </c>
      <c r="F543" s="320">
        <f>IFERROR(__xludf.DUMMYFUNCTION("""COMPUTED_VALUE"""),0.0)</f>
        <v>0</v>
      </c>
      <c r="G543" s="320">
        <f>IFERROR(__xludf.DUMMYFUNCTION("""COMPUTED_VALUE"""),0.0)</f>
        <v>0</v>
      </c>
      <c r="H543" s="106"/>
      <c r="I543" s="320">
        <f>IFERROR(__xludf.DUMMYFUNCTION("""COMPUTED_VALUE"""),31.11)</f>
        <v>31.11</v>
      </c>
      <c r="J543" s="320">
        <f>IFERROR(__xludf.DUMMYFUNCTION("""COMPUTED_VALUE"""),14.16)</f>
        <v>14.16</v>
      </c>
      <c r="K543" s="320">
        <f>IFERROR(__xludf.DUMMYFUNCTION("""COMPUTED_VALUE"""),6.08)</f>
        <v>6.08</v>
      </c>
      <c r="L543" s="320">
        <f>IFERROR(__xludf.DUMMYFUNCTION("""COMPUTED_VALUE"""),0.4293)</f>
        <v>0.4293</v>
      </c>
      <c r="M543" s="320">
        <f>IFERROR(__xludf.DUMMYFUNCTION("""COMPUTED_VALUE"""),0.7401)</f>
        <v>0.7401</v>
      </c>
      <c r="N543" s="320">
        <f>IFERROR(__xludf.DUMMYFUNCTION("""COMPUTED_VALUE"""),0.5345)</f>
        <v>0.5345</v>
      </c>
      <c r="O543" s="320">
        <f>IFERROR(__xludf.DUMMYFUNCTION("""COMPUTED_VALUE"""),2.3292)</f>
        <v>2.3292</v>
      </c>
      <c r="P543" s="320">
        <f>IFERROR(__xludf.DUMMYFUNCTION("""COMPUTED_VALUE"""),72.37)</f>
        <v>72.37</v>
      </c>
      <c r="Q543" s="320">
        <f>IFERROR(__xludf.DUMMYFUNCTION("""COMPUTED_VALUE"""),61.66)</f>
        <v>61.66</v>
      </c>
      <c r="R543" s="320">
        <f>IFERROR(__xludf.DUMMYFUNCTION("""COMPUTED_VALUE"""),10.71)</f>
        <v>10.71</v>
      </c>
      <c r="S543" s="320">
        <f>IFERROR(__xludf.DUMMYFUNCTION("""COMPUTED_VALUE"""),0.0)</f>
        <v>0</v>
      </c>
      <c r="T543" s="320">
        <f>IFERROR(__xludf.DUMMYFUNCTION("""COMPUTED_VALUE"""),72.36)</f>
        <v>72.36</v>
      </c>
      <c r="U543" s="320">
        <f>IFERROR(__xludf.DUMMYFUNCTION("""COMPUTED_VALUE"""),57.21)</f>
        <v>57.21</v>
      </c>
      <c r="V543" s="320">
        <f>IFERROR(__xludf.DUMMYFUNCTION("""COMPUTED_VALUE"""),4.0389)</f>
        <v>4.0389</v>
      </c>
      <c r="W543" s="320">
        <f>IFERROR(__xludf.DUMMYFUNCTION("""COMPUTED_VALUE"""),0.0)</f>
        <v>0</v>
      </c>
      <c r="X543" s="320">
        <f>IFERROR(__xludf.DUMMYFUNCTION("""COMPUTED_VALUE"""),160.0)</f>
        <v>160</v>
      </c>
      <c r="Y543" s="320">
        <f>IFERROR(__xludf.DUMMYFUNCTION("""COMPUTED_VALUE"""),910.0)</f>
        <v>910</v>
      </c>
      <c r="Z543" s="320">
        <f>IFERROR(__xludf.DUMMYFUNCTION("""COMPUTED_VALUE"""),6344.0)</f>
        <v>6344</v>
      </c>
      <c r="AA543" s="320">
        <f>IFERROR(__xludf.DUMMYFUNCTION("""COMPUTED_VALUE"""),48.5887)</f>
        <v>48.5887</v>
      </c>
      <c r="AB543" s="320">
        <f>IFERROR(__xludf.DUMMYFUNCTION("""COMPUTED_VALUE"""),0.5264)</f>
        <v>0.5264</v>
      </c>
      <c r="AC543" s="320">
        <f>IFERROR(__xludf.DUMMYFUNCTION("""COMPUTED_VALUE"""),4.43)</f>
        <v>4.43</v>
      </c>
      <c r="AD543" s="320">
        <f>IFERROR(__xludf.DUMMYFUNCTION("""COMPUTED_VALUE"""),2.0)</f>
        <v>2</v>
      </c>
      <c r="AE543" s="320">
        <f>IFERROR(__xludf.DUMMYFUNCTION("""COMPUTED_VALUE"""),3.0)</f>
        <v>3</v>
      </c>
      <c r="AF543" s="320">
        <f>IFERROR(__xludf.DUMMYFUNCTION("""COMPUTED_VALUE"""),6.0)</f>
        <v>6</v>
      </c>
      <c r="AG543" s="320">
        <f>IFERROR(__xludf.DUMMYFUNCTION("""COMPUTED_VALUE"""),10.0)</f>
        <v>10</v>
      </c>
      <c r="AH543" s="320">
        <f>IFERROR(__xludf.DUMMYFUNCTION("""COMPUTED_VALUE"""),75.62)</f>
        <v>75.62</v>
      </c>
      <c r="AI543" s="320">
        <f>IFERROR(__xludf.DUMMYFUNCTION("""COMPUTED_VALUE"""),34.49)</f>
        <v>34.49</v>
      </c>
      <c r="AJ543" s="320">
        <f>IFERROR(__xludf.DUMMYFUNCTION("""COMPUTED_VALUE"""),11.12)</f>
        <v>11.12</v>
      </c>
      <c r="AK543" s="320">
        <f>IFERROR(__xludf.DUMMYFUNCTION("""COMPUTED_VALUE"""),0.2379)</f>
        <v>0.2379</v>
      </c>
      <c r="AL543" s="320">
        <f>IFERROR(__xludf.DUMMYFUNCTION("""COMPUTED_VALUE"""),19.29)</f>
        <v>19.29</v>
      </c>
      <c r="AM543" s="320">
        <f>IFERROR(__xludf.DUMMYFUNCTION("""COMPUTED_VALUE"""),42.37)</f>
        <v>42.37</v>
      </c>
      <c r="AN543" s="320">
        <f>IFERROR(__xludf.DUMMYFUNCTION("""COMPUTED_VALUE"""),65.5)</f>
        <v>65.5</v>
      </c>
      <c r="AO543" s="320">
        <f>IFERROR(__xludf.DUMMYFUNCTION("""COMPUTED_VALUE"""),12.63)</f>
        <v>12.63</v>
      </c>
    </row>
    <row r="544" ht="15.0" customHeight="1">
      <c r="A544" s="328">
        <f>IFERROR(__xludf.DUMMYFUNCTION("""COMPUTED_VALUE"""),46140.0)</f>
        <v>46140</v>
      </c>
      <c r="B544" s="319" t="str">
        <f>IFERROR(__xludf.DUMMYFUNCTION("""COMPUTED_VALUE"""),"C. 10-19")</f>
        <v>C. 10-19</v>
      </c>
      <c r="C544" s="320">
        <f>IFERROR(__xludf.DUMMYFUNCTION("""COMPUTED_VALUE"""),27676.0)</f>
        <v>27676</v>
      </c>
      <c r="D544" s="320">
        <f>IFERROR(__xludf.DUMMYFUNCTION("""COMPUTED_VALUE"""),26.41)</f>
        <v>26.41</v>
      </c>
      <c r="E544" s="320">
        <f>IFERROR(__xludf.DUMMYFUNCTION("""COMPUTED_VALUE"""),0.0)</f>
        <v>0</v>
      </c>
      <c r="F544" s="320">
        <f>IFERROR(__xludf.DUMMYFUNCTION("""COMPUTED_VALUE"""),0.0)</f>
        <v>0</v>
      </c>
      <c r="G544" s="320">
        <f>IFERROR(__xludf.DUMMYFUNCTION("""COMPUTED_VALUE"""),0.0)</f>
        <v>0</v>
      </c>
      <c r="H544" s="106"/>
      <c r="I544" s="320">
        <f>IFERROR(__xludf.DUMMYFUNCTION("""COMPUTED_VALUE"""),60.2)</f>
        <v>60.2</v>
      </c>
      <c r="J544" s="320">
        <f>IFERROR(__xludf.DUMMYFUNCTION("""COMPUTED_VALUE"""),28.45)</f>
        <v>28.45</v>
      </c>
      <c r="K544" s="320">
        <f>IFERROR(__xludf.DUMMYFUNCTION("""COMPUTED_VALUE"""),16.14)</f>
        <v>16.14</v>
      </c>
      <c r="L544" s="320">
        <f>IFERROR(__xludf.DUMMYFUNCTION("""COMPUTED_VALUE"""),0.5673)</f>
        <v>0.5673</v>
      </c>
      <c r="M544" s="320">
        <f>IFERROR(__xludf.DUMMYFUNCTION("""COMPUTED_VALUE"""),0.6283)</f>
        <v>0.6283</v>
      </c>
      <c r="N544" s="320">
        <f>IFERROR(__xludf.DUMMYFUNCTION("""COMPUTED_VALUE"""),0.4317)</f>
        <v>0.4317</v>
      </c>
      <c r="O544" s="320">
        <f>IFERROR(__xludf.DUMMYFUNCTION("""COMPUTED_VALUE"""),1.7627)</f>
        <v>1.7627</v>
      </c>
      <c r="P544" s="320">
        <f>IFERROR(__xludf.DUMMYFUNCTION("""COMPUTED_VALUE"""),139.46)</f>
        <v>139.46</v>
      </c>
      <c r="Q544" s="320">
        <f>IFERROR(__xludf.DUMMYFUNCTION("""COMPUTED_VALUE"""),111.96)</f>
        <v>111.96</v>
      </c>
      <c r="R544" s="320">
        <f>IFERROR(__xludf.DUMMYFUNCTION("""COMPUTED_VALUE"""),27.5)</f>
        <v>27.5</v>
      </c>
      <c r="S544" s="320">
        <f>IFERROR(__xludf.DUMMYFUNCTION("""COMPUTED_VALUE"""),0.0)</f>
        <v>0</v>
      </c>
      <c r="T544" s="320">
        <f>IFERROR(__xludf.DUMMYFUNCTION("""COMPUTED_VALUE"""),139.46)</f>
        <v>139.46</v>
      </c>
      <c r="U544" s="320">
        <f>IFERROR(__xludf.DUMMYFUNCTION("""COMPUTED_VALUE"""),113.65)</f>
        <v>113.65</v>
      </c>
      <c r="V544" s="320">
        <f>IFERROR(__xludf.DUMMYFUNCTION("""COMPUTED_VALUE"""),3.995)</f>
        <v>3.995</v>
      </c>
      <c r="W544" s="320">
        <f>IFERROR(__xludf.DUMMYFUNCTION("""COMPUTED_VALUE"""),0.0)</f>
        <v>0</v>
      </c>
      <c r="X544" s="320">
        <f>IFERROR(__xludf.DUMMYFUNCTION("""COMPUTED_VALUE"""),153.0)</f>
        <v>153</v>
      </c>
      <c r="Y544" s="320">
        <f>IFERROR(__xludf.DUMMYFUNCTION("""COMPUTED_VALUE"""),790.0)</f>
        <v>790</v>
      </c>
      <c r="Z544" s="320">
        <f>IFERROR(__xludf.DUMMYFUNCTION("""COMPUTED_VALUE"""),6094.0)</f>
        <v>6094</v>
      </c>
      <c r="AA544" s="320">
        <f>IFERROR(__xludf.DUMMYFUNCTION("""COMPUTED_VALUE"""),52.0275)</f>
        <v>52.0275</v>
      </c>
      <c r="AB544" s="320">
        <f>IFERROR(__xludf.DUMMYFUNCTION("""COMPUTED_VALUE"""),0.5956)</f>
        <v>0.5956</v>
      </c>
      <c r="AC544" s="320">
        <f>IFERROR(__xludf.DUMMYFUNCTION("""COMPUTED_VALUE"""),10.81)</f>
        <v>10.81</v>
      </c>
      <c r="AD544" s="320">
        <f>IFERROR(__xludf.DUMMYFUNCTION("""COMPUTED_VALUE"""),4.0)</f>
        <v>4</v>
      </c>
      <c r="AE544" s="320">
        <f>IFERROR(__xludf.DUMMYFUNCTION("""COMPUTED_VALUE"""),9.0)</f>
        <v>9</v>
      </c>
      <c r="AF544" s="320">
        <f>IFERROR(__xludf.DUMMYFUNCTION("""COMPUTED_VALUE"""),15.0)</f>
        <v>15</v>
      </c>
      <c r="AG544" s="320">
        <f>IFERROR(__xludf.DUMMYFUNCTION("""COMPUTED_VALUE"""),22.0)</f>
        <v>22</v>
      </c>
      <c r="AH544" s="320">
        <f>IFERROR(__xludf.DUMMYFUNCTION("""COMPUTED_VALUE"""),66.97)</f>
        <v>66.97</v>
      </c>
      <c r="AI544" s="320">
        <f>IFERROR(__xludf.DUMMYFUNCTION("""COMPUTED_VALUE"""),32.68)</f>
        <v>32.68</v>
      </c>
      <c r="AJ544" s="320">
        <f>IFERROR(__xludf.DUMMYFUNCTION("""COMPUTED_VALUE"""),6.69)</f>
        <v>6.69</v>
      </c>
      <c r="AK544" s="320">
        <f>IFERROR(__xludf.DUMMYFUNCTION("""COMPUTED_VALUE"""),0.1784)</f>
        <v>0.1784</v>
      </c>
      <c r="AL544" s="320">
        <f>IFERROR(__xludf.DUMMYFUNCTION("""COMPUTED_VALUE"""),21.72)</f>
        <v>21.72</v>
      </c>
      <c r="AM544" s="320">
        <f>IFERROR(__xludf.DUMMYFUNCTION("""COMPUTED_VALUE"""),90.24)</f>
        <v>90.24</v>
      </c>
      <c r="AN544" s="320">
        <f>IFERROR(__xludf.DUMMYFUNCTION("""COMPUTED_VALUE"""),72.46)</f>
        <v>72.46</v>
      </c>
      <c r="AO544" s="320">
        <f>IFERROR(__xludf.DUMMYFUNCTION("""COMPUTED_VALUE"""),15.74)</f>
        <v>15.74</v>
      </c>
    </row>
    <row r="545" ht="15.0" customHeight="1">
      <c r="A545" s="328">
        <f>IFERROR(__xludf.DUMMYFUNCTION("""COMPUTED_VALUE"""),46140.0)</f>
        <v>46140</v>
      </c>
      <c r="B545" s="319" t="str">
        <f>IFERROR(__xludf.DUMMYFUNCTION("""COMPUTED_VALUE"""),"D. 20-39")</f>
        <v>D. 20-39</v>
      </c>
      <c r="C545" s="320">
        <f>IFERROR(__xludf.DUMMYFUNCTION("""COMPUTED_VALUE"""),15912.0)</f>
        <v>15912</v>
      </c>
      <c r="D545" s="320">
        <f>IFERROR(__xludf.DUMMYFUNCTION("""COMPUTED_VALUE"""),15.18)</f>
        <v>15.18</v>
      </c>
      <c r="E545" s="320">
        <f>IFERROR(__xludf.DUMMYFUNCTION("""COMPUTED_VALUE"""),0.0)</f>
        <v>0</v>
      </c>
      <c r="F545" s="320">
        <f>IFERROR(__xludf.DUMMYFUNCTION("""COMPUTED_VALUE"""),0.0)</f>
        <v>0</v>
      </c>
      <c r="G545" s="320">
        <f>IFERROR(__xludf.DUMMYFUNCTION("""COMPUTED_VALUE"""),0.0)</f>
        <v>0</v>
      </c>
      <c r="H545" s="106"/>
      <c r="I545" s="320">
        <f>IFERROR(__xludf.DUMMYFUNCTION("""COMPUTED_VALUE"""),89.47)</f>
        <v>89.47</v>
      </c>
      <c r="J545" s="320">
        <f>IFERROR(__xludf.DUMMYFUNCTION("""COMPUTED_VALUE"""),45.52)</f>
        <v>45.52</v>
      </c>
      <c r="K545" s="320">
        <f>IFERROR(__xludf.DUMMYFUNCTION("""COMPUTED_VALUE"""),31.63)</f>
        <v>31.63</v>
      </c>
      <c r="L545" s="320">
        <f>IFERROR(__xludf.DUMMYFUNCTION("""COMPUTED_VALUE"""),0.695)</f>
        <v>0.695</v>
      </c>
      <c r="M545" s="320">
        <f>IFERROR(__xludf.DUMMYFUNCTION("""COMPUTED_VALUE"""),0.4985)</f>
        <v>0.4985</v>
      </c>
      <c r="N545" s="320">
        <f>IFERROR(__xludf.DUMMYFUNCTION("""COMPUTED_VALUE"""),0.3432)</f>
        <v>0.3432</v>
      </c>
      <c r="O545" s="320">
        <f>IFERROR(__xludf.DUMMYFUNCTION("""COMPUTED_VALUE"""),1.4388)</f>
        <v>1.4388</v>
      </c>
      <c r="P545" s="320">
        <f>IFERROR(__xludf.DUMMYFUNCTION("""COMPUTED_VALUE"""),254.65)</f>
        <v>254.65</v>
      </c>
      <c r="Q545" s="320">
        <f>IFERROR(__xludf.DUMMYFUNCTION("""COMPUTED_VALUE"""),203.92)</f>
        <v>203.92</v>
      </c>
      <c r="R545" s="320">
        <f>IFERROR(__xludf.DUMMYFUNCTION("""COMPUTED_VALUE"""),50.73)</f>
        <v>50.73</v>
      </c>
      <c r="S545" s="320">
        <f>IFERROR(__xludf.DUMMYFUNCTION("""COMPUTED_VALUE"""),0.0)</f>
        <v>0</v>
      </c>
      <c r="T545" s="320">
        <f>IFERROR(__xludf.DUMMYFUNCTION("""COMPUTED_VALUE"""),254.65)</f>
        <v>254.65</v>
      </c>
      <c r="U545" s="320">
        <f>IFERROR(__xludf.DUMMYFUNCTION("""COMPUTED_VALUE"""),203.05)</f>
        <v>203.05</v>
      </c>
      <c r="V545" s="320">
        <f>IFERROR(__xludf.DUMMYFUNCTION("""COMPUTED_VALUE"""),4.4611)</f>
        <v>4.4611</v>
      </c>
      <c r="W545" s="320">
        <f>IFERROR(__xludf.DUMMYFUNCTION("""COMPUTED_VALUE"""),0.0)</f>
        <v>0</v>
      </c>
      <c r="X545" s="320">
        <f>IFERROR(__xludf.DUMMYFUNCTION("""COMPUTED_VALUE"""),211.0)</f>
        <v>211</v>
      </c>
      <c r="Y545" s="320">
        <f>IFERROR(__xludf.DUMMYFUNCTION("""COMPUTED_VALUE"""),1195.0)</f>
        <v>1195</v>
      </c>
      <c r="Z545" s="320">
        <f>IFERROR(__xludf.DUMMYFUNCTION("""COMPUTED_VALUE"""),7159.0)</f>
        <v>7159</v>
      </c>
      <c r="AA545" s="320">
        <f>IFERROR(__xludf.DUMMYFUNCTION("""COMPUTED_VALUE"""),55.2914)</f>
        <v>55.2914</v>
      </c>
      <c r="AB545" s="320">
        <f>IFERROR(__xludf.DUMMYFUNCTION("""COMPUTED_VALUE"""),0.6833)</f>
        <v>0.6833</v>
      </c>
      <c r="AC545" s="320">
        <f>IFERROR(__xludf.DUMMYFUNCTION("""COMPUTED_VALUE"""),19.73)</f>
        <v>19.73</v>
      </c>
      <c r="AD545" s="320">
        <f>IFERROR(__xludf.DUMMYFUNCTION("""COMPUTED_VALUE"""),8.0)</f>
        <v>8</v>
      </c>
      <c r="AE545" s="320">
        <f>IFERROR(__xludf.DUMMYFUNCTION("""COMPUTED_VALUE"""),16.0)</f>
        <v>16</v>
      </c>
      <c r="AF545" s="320">
        <f>IFERROR(__xludf.DUMMYFUNCTION("""COMPUTED_VALUE"""),27.0)</f>
        <v>27</v>
      </c>
      <c r="AG545" s="320">
        <f>IFERROR(__xludf.DUMMYFUNCTION("""COMPUTED_VALUE"""),40.0)</f>
        <v>40</v>
      </c>
      <c r="AH545" s="320">
        <f>IFERROR(__xludf.DUMMYFUNCTION("""COMPUTED_VALUE"""),65.73)</f>
        <v>65.73</v>
      </c>
      <c r="AI545" s="320">
        <f>IFERROR(__xludf.DUMMYFUNCTION("""COMPUTED_VALUE"""),27.95)</f>
        <v>27.95</v>
      </c>
      <c r="AJ545" s="320">
        <f>IFERROR(__xludf.DUMMYFUNCTION("""COMPUTED_VALUE"""),8.95)</f>
        <v>8.95</v>
      </c>
      <c r="AK545" s="320">
        <f>IFERROR(__xludf.DUMMYFUNCTION("""COMPUTED_VALUE"""),0.1699)</f>
        <v>0.1699</v>
      </c>
      <c r="AL545" s="320">
        <f>IFERROR(__xludf.DUMMYFUNCTION("""COMPUTED_VALUE"""),24.91)</f>
        <v>24.91</v>
      </c>
      <c r="AM545" s="320">
        <f>IFERROR(__xludf.DUMMYFUNCTION("""COMPUTED_VALUE"""),179.01)</f>
        <v>179.01</v>
      </c>
      <c r="AN545" s="320">
        <f>IFERROR(__xludf.DUMMYFUNCTION("""COMPUTED_VALUE"""),72.63)</f>
        <v>72.63</v>
      </c>
      <c r="AO545" s="320">
        <f>IFERROR(__xludf.DUMMYFUNCTION("""COMPUTED_VALUE"""),18.09)</f>
        <v>18.09</v>
      </c>
    </row>
    <row r="546" ht="15.0" customHeight="1">
      <c r="A546" s="328">
        <f>IFERROR(__xludf.DUMMYFUNCTION("""COMPUTED_VALUE"""),46140.0)</f>
        <v>46140</v>
      </c>
      <c r="B546" s="319" t="str">
        <f>IFERROR(__xludf.DUMMYFUNCTION("""COMPUTED_VALUE"""),"E. 40-99")</f>
        <v>E. 40-99</v>
      </c>
      <c r="C546" s="320">
        <f>IFERROR(__xludf.DUMMYFUNCTION("""COMPUTED_VALUE"""),6030.0)</f>
        <v>6030</v>
      </c>
      <c r="D546" s="320">
        <f>IFERROR(__xludf.DUMMYFUNCTION("""COMPUTED_VALUE"""),5.75)</f>
        <v>5.75</v>
      </c>
      <c r="E546" s="320">
        <f>IFERROR(__xludf.DUMMYFUNCTION("""COMPUTED_VALUE"""),0.0)</f>
        <v>0</v>
      </c>
      <c r="F546" s="320">
        <f>IFERROR(__xludf.DUMMYFUNCTION("""COMPUTED_VALUE"""),0.0)</f>
        <v>0</v>
      </c>
      <c r="G546" s="320">
        <f>IFERROR(__xludf.DUMMYFUNCTION("""COMPUTED_VALUE"""),0.0)</f>
        <v>0</v>
      </c>
      <c r="H546" s="106"/>
      <c r="I546" s="320">
        <f>IFERROR(__xludf.DUMMYFUNCTION("""COMPUTED_VALUE"""),135.49)</f>
        <v>135.49</v>
      </c>
      <c r="J546" s="320">
        <f>IFERROR(__xludf.DUMMYFUNCTION("""COMPUTED_VALUE"""),74.27)</f>
        <v>74.27</v>
      </c>
      <c r="K546" s="320">
        <f>IFERROR(__xludf.DUMMYFUNCTION("""COMPUTED_VALUE"""),59.98)</f>
        <v>59.98</v>
      </c>
      <c r="L546" s="320">
        <f>IFERROR(__xludf.DUMMYFUNCTION("""COMPUTED_VALUE"""),0.8076)</f>
        <v>0.8076</v>
      </c>
      <c r="M546" s="320">
        <f>IFERROR(__xludf.DUMMYFUNCTION("""COMPUTED_VALUE"""),0.3724)</f>
        <v>0.3724</v>
      </c>
      <c r="N546" s="320">
        <f>IFERROR(__xludf.DUMMYFUNCTION("""COMPUTED_VALUE"""),0.2694)</f>
        <v>0.2694</v>
      </c>
      <c r="O546" s="320">
        <f>IFERROR(__xludf.DUMMYFUNCTION("""COMPUTED_VALUE"""),1.2383)</f>
        <v>1.2383</v>
      </c>
      <c r="P546" s="320">
        <f>IFERROR(__xludf.DUMMYFUNCTION("""COMPUTED_VALUE"""),516.36)</f>
        <v>516.36</v>
      </c>
      <c r="Q546" s="320">
        <f>IFERROR(__xludf.DUMMYFUNCTION("""COMPUTED_VALUE"""),410.61)</f>
        <v>410.61</v>
      </c>
      <c r="R546" s="320">
        <f>IFERROR(__xludf.DUMMYFUNCTION("""COMPUTED_VALUE"""),105.75)</f>
        <v>105.75</v>
      </c>
      <c r="S546" s="320">
        <f>IFERROR(__xludf.DUMMYFUNCTION("""COMPUTED_VALUE"""),0.0)</f>
        <v>0</v>
      </c>
      <c r="T546" s="320">
        <f>IFERROR(__xludf.DUMMYFUNCTION("""COMPUTED_VALUE"""),516.36)</f>
        <v>516.36</v>
      </c>
      <c r="U546" s="320">
        <f>IFERROR(__xludf.DUMMYFUNCTION("""COMPUTED_VALUE"""),381.29)</f>
        <v>381.29</v>
      </c>
      <c r="V546" s="320">
        <f>IFERROR(__xludf.DUMMYFUNCTION("""COMPUTED_VALUE"""),5.134)</f>
        <v>5.134</v>
      </c>
      <c r="W546" s="320">
        <f>IFERROR(__xludf.DUMMYFUNCTION("""COMPUTED_VALUE"""),0.0)</f>
        <v>0</v>
      </c>
      <c r="X546" s="320">
        <f>IFERROR(__xludf.DUMMYFUNCTION("""COMPUTED_VALUE"""),446.0)</f>
        <v>446</v>
      </c>
      <c r="Y546" s="320">
        <f>IFERROR(__xludf.DUMMYFUNCTION("""COMPUTED_VALUE"""),2225.0)</f>
        <v>2225</v>
      </c>
      <c r="Z546" s="320">
        <f>IFERROR(__xludf.DUMMYFUNCTION("""COMPUTED_VALUE"""),9248.0)</f>
        <v>9248</v>
      </c>
      <c r="AA546" s="320">
        <f>IFERROR(__xludf.DUMMYFUNCTION("""COMPUTED_VALUE"""),59.4396)</f>
        <v>59.4396</v>
      </c>
      <c r="AB546" s="320">
        <f>IFERROR(__xludf.DUMMYFUNCTION("""COMPUTED_VALUE"""),0.8253)</f>
        <v>0.8253</v>
      </c>
      <c r="AC546" s="320">
        <f>IFERROR(__xludf.DUMMYFUNCTION("""COMPUTED_VALUE"""),42.2)</f>
        <v>42.2</v>
      </c>
      <c r="AD546" s="320">
        <f>IFERROR(__xludf.DUMMYFUNCTION("""COMPUTED_VALUE"""),19.0)</f>
        <v>19</v>
      </c>
      <c r="AE546" s="320">
        <f>IFERROR(__xludf.DUMMYFUNCTION("""COMPUTED_VALUE"""),35.0)</f>
        <v>35</v>
      </c>
      <c r="AF546" s="320">
        <f>IFERROR(__xludf.DUMMYFUNCTION("""COMPUTED_VALUE"""),57.0)</f>
        <v>57</v>
      </c>
      <c r="AG546" s="320">
        <f>IFERROR(__xludf.DUMMYFUNCTION("""COMPUTED_VALUE"""),85.0)</f>
        <v>85</v>
      </c>
      <c r="AH546" s="320">
        <f>IFERROR(__xludf.DUMMYFUNCTION("""COMPUTED_VALUE"""),60.8)</f>
        <v>60.8</v>
      </c>
      <c r="AI546" s="320">
        <f>IFERROR(__xludf.DUMMYFUNCTION("""COMPUTED_VALUE"""),23.23)</f>
        <v>23.23</v>
      </c>
      <c r="AJ546" s="320">
        <f>IFERROR(__xludf.DUMMYFUNCTION("""COMPUTED_VALUE"""),6.05)</f>
        <v>6.05</v>
      </c>
      <c r="AK546" s="320">
        <f>IFERROR(__xludf.DUMMYFUNCTION("""COMPUTED_VALUE"""),0.1307)</f>
        <v>0.1307</v>
      </c>
      <c r="AL546" s="320">
        <f>IFERROR(__xludf.DUMMYFUNCTION("""COMPUTED_VALUE"""),27.66)</f>
        <v>27.66</v>
      </c>
      <c r="AM546" s="320">
        <f>IFERROR(__xludf.DUMMYFUNCTION("""COMPUTED_VALUE"""),382.95)</f>
        <v>382.95</v>
      </c>
      <c r="AN546" s="320">
        <f>IFERROR(__xludf.DUMMYFUNCTION("""COMPUTED_VALUE"""),81.83)</f>
        <v>81.83</v>
      </c>
      <c r="AO546" s="320">
        <f>IFERROR(__xludf.DUMMYFUNCTION("""COMPUTED_VALUE"""),22.63)</f>
        <v>22.63</v>
      </c>
    </row>
    <row r="547" ht="15.0" customHeight="1">
      <c r="A547" s="328">
        <f>IFERROR(__xludf.DUMMYFUNCTION("""COMPUTED_VALUE"""),46140.0)</f>
        <v>46140</v>
      </c>
      <c r="B547" s="319" t="str">
        <f>IFERROR(__xludf.DUMMYFUNCTION("""COMPUTED_VALUE"""),"F. 100+")</f>
        <v>F. 100+</v>
      </c>
      <c r="C547" s="320">
        <f>IFERROR(__xludf.DUMMYFUNCTION("""COMPUTED_VALUE"""),671.0)</f>
        <v>671</v>
      </c>
      <c r="D547" s="320">
        <f>IFERROR(__xludf.DUMMYFUNCTION("""COMPUTED_VALUE"""),0.64)</f>
        <v>0.64</v>
      </c>
      <c r="E547" s="320">
        <f>IFERROR(__xludf.DUMMYFUNCTION("""COMPUTED_VALUE"""),0.0)</f>
        <v>0</v>
      </c>
      <c r="F547" s="320">
        <f>IFERROR(__xludf.DUMMYFUNCTION("""COMPUTED_VALUE"""),0.0)</f>
        <v>0</v>
      </c>
      <c r="G547" s="320">
        <f>IFERROR(__xludf.DUMMYFUNCTION("""COMPUTED_VALUE"""),0.0)</f>
        <v>0</v>
      </c>
      <c r="H547" s="106"/>
      <c r="I547" s="320">
        <f>IFERROR(__xludf.DUMMYFUNCTION("""COMPUTED_VALUE"""),251.97)</f>
        <v>251.97</v>
      </c>
      <c r="J547" s="320">
        <f>IFERROR(__xludf.DUMMYFUNCTION("""COMPUTED_VALUE"""),148.84)</f>
        <v>148.84</v>
      </c>
      <c r="K547" s="320">
        <f>IFERROR(__xludf.DUMMYFUNCTION("""COMPUTED_VALUE"""),134.79)</f>
        <v>134.79</v>
      </c>
      <c r="L547" s="320">
        <f>IFERROR(__xludf.DUMMYFUNCTION("""COMPUTED_VALUE"""),0.9056)</f>
        <v>0.9056</v>
      </c>
      <c r="M547" s="320">
        <f>IFERROR(__xludf.DUMMYFUNCTION("""COMPUTED_VALUE"""),0.2501)</f>
        <v>0.2501</v>
      </c>
      <c r="N547" s="320">
        <f>IFERROR(__xludf.DUMMYFUNCTION("""COMPUTED_VALUE"""),0.1974)</f>
        <v>0.1974</v>
      </c>
      <c r="O547" s="320">
        <f>IFERROR(__xludf.DUMMYFUNCTION("""COMPUTED_VALUE"""),1.1042)</f>
        <v>1.1042</v>
      </c>
      <c r="P547" s="320">
        <f>IFERROR(__xludf.DUMMYFUNCTION("""COMPUTED_VALUE"""),1065.71)</f>
        <v>1065.71</v>
      </c>
      <c r="Q547" s="320">
        <f>IFERROR(__xludf.DUMMYFUNCTION("""COMPUTED_VALUE"""),828.92)</f>
        <v>828.92</v>
      </c>
      <c r="R547" s="320">
        <f>IFERROR(__xludf.DUMMYFUNCTION("""COMPUTED_VALUE"""),236.8)</f>
        <v>236.8</v>
      </c>
      <c r="S547" s="320">
        <f>IFERROR(__xludf.DUMMYFUNCTION("""COMPUTED_VALUE"""),0.0)</f>
        <v>0</v>
      </c>
      <c r="T547" s="320">
        <f>IFERROR(__xludf.DUMMYFUNCTION("""COMPUTED_VALUE"""),1065.71)</f>
        <v>1065.71</v>
      </c>
      <c r="U547" s="320">
        <f>IFERROR(__xludf.DUMMYFUNCTION("""COMPUTED_VALUE"""),877.2)</f>
        <v>877.2</v>
      </c>
      <c r="V547" s="320">
        <f>IFERROR(__xludf.DUMMYFUNCTION("""COMPUTED_VALUE"""),5.8937)</f>
        <v>5.8937</v>
      </c>
      <c r="W547" s="320">
        <f>IFERROR(__xludf.DUMMYFUNCTION("""COMPUTED_VALUE"""),0.0)</f>
        <v>0</v>
      </c>
      <c r="X547" s="320">
        <f>IFERROR(__xludf.DUMMYFUNCTION("""COMPUTED_VALUE"""),1284.0)</f>
        <v>1284</v>
      </c>
      <c r="Y547" s="320">
        <f>IFERROR(__xludf.DUMMYFUNCTION("""COMPUTED_VALUE"""),4979.0)</f>
        <v>4979</v>
      </c>
      <c r="Z547" s="320">
        <f>IFERROR(__xludf.DUMMYFUNCTION("""COMPUTED_VALUE"""),15281.0)</f>
        <v>15281</v>
      </c>
      <c r="AA547" s="320">
        <f>IFERROR(__xludf.DUMMYFUNCTION("""COMPUTED_VALUE"""),63.2824)</f>
        <v>63.2824</v>
      </c>
      <c r="AB547" s="320">
        <f>IFERROR(__xludf.DUMMYFUNCTION("""COMPUTED_VALUE"""),0.9065)</f>
        <v>0.9065</v>
      </c>
      <c r="AC547" s="320">
        <f>IFERROR(__xludf.DUMMYFUNCTION("""COMPUTED_VALUE"""),99.26)</f>
        <v>99.26</v>
      </c>
      <c r="AD547" s="320">
        <f>IFERROR(__xludf.DUMMYFUNCTION("""COMPUTED_VALUE"""),46.0)</f>
        <v>46</v>
      </c>
      <c r="AE547" s="320">
        <f>IFERROR(__xludf.DUMMYFUNCTION("""COMPUTED_VALUE"""),86.0)</f>
        <v>86</v>
      </c>
      <c r="AF547" s="320">
        <f>IFERROR(__xludf.DUMMYFUNCTION("""COMPUTED_VALUE"""),136.0)</f>
        <v>136</v>
      </c>
      <c r="AG547" s="320">
        <f>IFERROR(__xludf.DUMMYFUNCTION("""COMPUTED_VALUE"""),192.0)</f>
        <v>192</v>
      </c>
      <c r="AH547" s="320">
        <f>IFERROR(__xludf.DUMMYFUNCTION("""COMPUTED_VALUE"""),53.35)</f>
        <v>53.35</v>
      </c>
      <c r="AI547" s="320">
        <f>IFERROR(__xludf.DUMMYFUNCTION("""COMPUTED_VALUE"""),13.11)</f>
        <v>13.11</v>
      </c>
      <c r="AJ547" s="320">
        <f>IFERROR(__xludf.DUMMYFUNCTION("""COMPUTED_VALUE"""),1.94)</f>
        <v>1.94</v>
      </c>
      <c r="AK547" s="320">
        <f>IFERROR(__xludf.DUMMYFUNCTION("""COMPUTED_VALUE"""),0.1073)</f>
        <v>0.1073</v>
      </c>
      <c r="AL547" s="320">
        <f>IFERROR(__xludf.DUMMYFUNCTION("""COMPUTED_VALUE"""),24.97)</f>
        <v>24.97</v>
      </c>
      <c r="AM547" s="320">
        <f>IFERROR(__xludf.DUMMYFUNCTION("""COMPUTED_VALUE"""),803.94)</f>
        <v>803.94</v>
      </c>
      <c r="AN547" s="320">
        <f>IFERROR(__xludf.DUMMYFUNCTION("""COMPUTED_VALUE"""),83.5)</f>
        <v>83.5</v>
      </c>
      <c r="AO547" s="320">
        <f>IFERROR(__xludf.DUMMYFUNCTION("""COMPUTED_VALUE"""),20.85)</f>
        <v>20.85</v>
      </c>
    </row>
    <row r="548" ht="15.0" customHeight="1">
      <c r="A548" s="328">
        <f>IFERROR(__xludf.DUMMYFUNCTION("""COMPUTED_VALUE"""),46141.0)</f>
        <v>46141</v>
      </c>
      <c r="B548" s="319" t="str">
        <f>IFERROR(__xludf.DUMMYFUNCTION("""COMPUTED_VALUE"""),"A. 0")</f>
        <v>A. 0</v>
      </c>
      <c r="C548" s="320">
        <f>IFERROR(__xludf.DUMMYFUNCTION("""COMPUTED_VALUE"""),18453.0)</f>
        <v>18453</v>
      </c>
      <c r="D548" s="320">
        <f>IFERROR(__xludf.DUMMYFUNCTION("""COMPUTED_VALUE"""),18.08)</f>
        <v>18.08</v>
      </c>
      <c r="E548" s="320">
        <f>IFERROR(__xludf.DUMMYFUNCTION("""COMPUTED_VALUE"""),0.0)</f>
        <v>0</v>
      </c>
      <c r="F548" s="320">
        <f>IFERROR(__xludf.DUMMYFUNCTION("""COMPUTED_VALUE"""),0.0)</f>
        <v>0</v>
      </c>
      <c r="G548" s="320">
        <f>IFERROR(__xludf.DUMMYFUNCTION("""COMPUTED_VALUE"""),0.0)</f>
        <v>0</v>
      </c>
      <c r="H548" s="106"/>
      <c r="I548" s="320">
        <f>IFERROR(__xludf.DUMMYFUNCTION("""COMPUTED_VALUE"""),6.41)</f>
        <v>6.41</v>
      </c>
      <c r="J548" s="320">
        <f>IFERROR(__xludf.DUMMYFUNCTION("""COMPUTED_VALUE"""),2.52)</f>
        <v>2.52</v>
      </c>
      <c r="K548" s="320">
        <f>IFERROR(__xludf.DUMMYFUNCTION("""COMPUTED_VALUE"""),0.04)</f>
        <v>0.04</v>
      </c>
      <c r="L548" s="320">
        <f>IFERROR(__xludf.DUMMYFUNCTION("""COMPUTED_VALUE"""),0.0148)</f>
        <v>0.0148</v>
      </c>
      <c r="M548" s="320">
        <f>IFERROR(__xludf.DUMMYFUNCTION("""COMPUTED_VALUE"""),0.9889)</f>
        <v>0.9889</v>
      </c>
      <c r="N548" s="320">
        <f>IFERROR(__xludf.DUMMYFUNCTION("""COMPUTED_VALUE"""),0.8647)</f>
        <v>0.8647</v>
      </c>
      <c r="O548" s="320">
        <f>IFERROR(__xludf.DUMMYFUNCTION("""COMPUTED_VALUE"""),67.7817)</f>
        <v>67.7817</v>
      </c>
      <c r="P548" s="320">
        <f>IFERROR(__xludf.DUMMYFUNCTION("""COMPUTED_VALUE"""),23.71)</f>
        <v>23.71</v>
      </c>
      <c r="Q548" s="320">
        <f>IFERROR(__xludf.DUMMYFUNCTION("""COMPUTED_VALUE"""),23.59)</f>
        <v>23.59</v>
      </c>
      <c r="R548" s="320">
        <f>IFERROR(__xludf.DUMMYFUNCTION("""COMPUTED_VALUE"""),0.12)</f>
        <v>0.12</v>
      </c>
      <c r="S548" s="320">
        <f>IFERROR(__xludf.DUMMYFUNCTION("""COMPUTED_VALUE"""),0.0)</f>
        <v>0</v>
      </c>
      <c r="T548" s="320">
        <f>IFERROR(__xludf.DUMMYFUNCTION("""COMPUTED_VALUE"""),23.7)</f>
        <v>23.7</v>
      </c>
      <c r="U548" s="320">
        <f>IFERROR(__xludf.DUMMYFUNCTION("""COMPUTED_VALUE"""),1.82)</f>
        <v>1.82</v>
      </c>
      <c r="V548" s="320">
        <f>IFERROR(__xludf.DUMMYFUNCTION("""COMPUTED_VALUE"""),0.7226)</f>
        <v>0.7226</v>
      </c>
      <c r="W548" s="320">
        <f>IFERROR(__xludf.DUMMYFUNCTION("""COMPUTED_VALUE"""),0.01)</f>
        <v>0.01</v>
      </c>
      <c r="X548" s="320">
        <f>IFERROR(__xludf.DUMMYFUNCTION("""COMPUTED_VALUE"""),376.0)</f>
        <v>376</v>
      </c>
      <c r="Y548" s="320">
        <f>IFERROR(__xludf.DUMMYFUNCTION("""COMPUTED_VALUE"""),4269.0)</f>
        <v>4269</v>
      </c>
      <c r="Z548" s="320">
        <f>IFERROR(__xludf.DUMMYFUNCTION("""COMPUTED_VALUE"""),16314.0)</f>
        <v>16314</v>
      </c>
      <c r="AA548" s="320">
        <f>IFERROR(__xludf.DUMMYFUNCTION("""COMPUTED_VALUE"""),49.0981)</f>
        <v>49.0981</v>
      </c>
      <c r="AB548" s="320">
        <f>IFERROR(__xludf.DUMMYFUNCTION("""COMPUTED_VALUE"""),0.5432)</f>
        <v>0.5432</v>
      </c>
      <c r="AC548" s="106"/>
      <c r="AD548" s="106"/>
      <c r="AE548" s="106"/>
      <c r="AF548" s="106"/>
      <c r="AG548" s="106"/>
      <c r="AH548" s="320">
        <f>IFERROR(__xludf.DUMMYFUNCTION("""COMPUTED_VALUE"""),0.0)</f>
        <v>0</v>
      </c>
      <c r="AI548" s="320">
        <f>IFERROR(__xludf.DUMMYFUNCTION("""COMPUTED_VALUE"""),0.0)</f>
        <v>0</v>
      </c>
      <c r="AJ548" s="320">
        <f>IFERROR(__xludf.DUMMYFUNCTION("""COMPUTED_VALUE"""),0.0)</f>
        <v>0</v>
      </c>
      <c r="AK548" s="320">
        <f>IFERROR(__xludf.DUMMYFUNCTION("""COMPUTED_VALUE"""),0.2863)</f>
        <v>0.2863</v>
      </c>
      <c r="AL548" s="320">
        <f>IFERROR(__xludf.DUMMYFUNCTION("""COMPUTED_VALUE"""),15.43)</f>
        <v>15.43</v>
      </c>
      <c r="AM548" s="320">
        <f>IFERROR(__xludf.DUMMYFUNCTION("""COMPUTED_VALUE"""),8.16)</f>
        <v>8.16</v>
      </c>
      <c r="AN548" s="331"/>
      <c r="AO548" s="331"/>
    </row>
    <row r="549" ht="15.0" customHeight="1">
      <c r="A549" s="328">
        <f>IFERROR(__xludf.DUMMYFUNCTION("""COMPUTED_VALUE"""),46141.0)</f>
        <v>46141</v>
      </c>
      <c r="B549" s="319" t="str">
        <f>IFERROR(__xludf.DUMMYFUNCTION("""COMPUTED_VALUE"""),"B. 1-9")</f>
        <v>B. 1-9</v>
      </c>
      <c r="C549" s="320">
        <f>IFERROR(__xludf.DUMMYFUNCTION("""COMPUTED_VALUE"""),35098.0)</f>
        <v>35098</v>
      </c>
      <c r="D549" s="320">
        <f>IFERROR(__xludf.DUMMYFUNCTION("""COMPUTED_VALUE"""),34.39)</f>
        <v>34.39</v>
      </c>
      <c r="E549" s="320">
        <f>IFERROR(__xludf.DUMMYFUNCTION("""COMPUTED_VALUE"""),0.0)</f>
        <v>0</v>
      </c>
      <c r="F549" s="320">
        <f>IFERROR(__xludf.DUMMYFUNCTION("""COMPUTED_VALUE"""),0.0)</f>
        <v>0</v>
      </c>
      <c r="G549" s="320">
        <f>IFERROR(__xludf.DUMMYFUNCTION("""COMPUTED_VALUE"""),0.0)</f>
        <v>0</v>
      </c>
      <c r="H549" s="106"/>
      <c r="I549" s="320">
        <f>IFERROR(__xludf.DUMMYFUNCTION("""COMPUTED_VALUE"""),31.22)</f>
        <v>31.22</v>
      </c>
      <c r="J549" s="320">
        <f>IFERROR(__xludf.DUMMYFUNCTION("""COMPUTED_VALUE"""),14.41)</f>
        <v>14.41</v>
      </c>
      <c r="K549" s="320">
        <f>IFERROR(__xludf.DUMMYFUNCTION("""COMPUTED_VALUE"""),5.84)</f>
        <v>5.84</v>
      </c>
      <c r="L549" s="320">
        <f>IFERROR(__xludf.DUMMYFUNCTION("""COMPUTED_VALUE"""),0.405)</f>
        <v>0.405</v>
      </c>
      <c r="M549" s="320">
        <f>IFERROR(__xludf.DUMMYFUNCTION("""COMPUTED_VALUE"""),0.757)</f>
        <v>0.757</v>
      </c>
      <c r="N549" s="320">
        <f>IFERROR(__xludf.DUMMYFUNCTION("""COMPUTED_VALUE"""),0.5436)</f>
        <v>0.5436</v>
      </c>
      <c r="O549" s="320">
        <f>IFERROR(__xludf.DUMMYFUNCTION("""COMPUTED_VALUE"""),2.469)</f>
        <v>2.469</v>
      </c>
      <c r="P549" s="320">
        <f>IFERROR(__xludf.DUMMYFUNCTION("""COMPUTED_VALUE"""),54.44)</f>
        <v>54.44</v>
      </c>
      <c r="Q549" s="320">
        <f>IFERROR(__xludf.DUMMYFUNCTION("""COMPUTED_VALUE"""),44.11)</f>
        <v>44.11</v>
      </c>
      <c r="R549" s="320">
        <f>IFERROR(__xludf.DUMMYFUNCTION("""COMPUTED_VALUE"""),10.33)</f>
        <v>10.33</v>
      </c>
      <c r="S549" s="320">
        <f>IFERROR(__xludf.DUMMYFUNCTION("""COMPUTED_VALUE"""),0.0)</f>
        <v>0</v>
      </c>
      <c r="T549" s="320">
        <f>IFERROR(__xludf.DUMMYFUNCTION("""COMPUTED_VALUE"""),54.44)</f>
        <v>54.44</v>
      </c>
      <c r="U549" s="320">
        <f>IFERROR(__xludf.DUMMYFUNCTION("""COMPUTED_VALUE"""),53.5)</f>
        <v>53.5</v>
      </c>
      <c r="V549" s="320">
        <f>IFERROR(__xludf.DUMMYFUNCTION("""COMPUTED_VALUE"""),3.712)</f>
        <v>3.712</v>
      </c>
      <c r="W549" s="320">
        <f>IFERROR(__xludf.DUMMYFUNCTION("""COMPUTED_VALUE"""),0.0)</f>
        <v>0</v>
      </c>
      <c r="X549" s="320">
        <f>IFERROR(__xludf.DUMMYFUNCTION("""COMPUTED_VALUE"""),151.0)</f>
        <v>151</v>
      </c>
      <c r="Y549" s="320">
        <f>IFERROR(__xludf.DUMMYFUNCTION("""COMPUTED_VALUE"""),977.0)</f>
        <v>977</v>
      </c>
      <c r="Z549" s="320">
        <f>IFERROR(__xludf.DUMMYFUNCTION("""COMPUTED_VALUE"""),6322.0)</f>
        <v>6322</v>
      </c>
      <c r="AA549" s="320">
        <f>IFERROR(__xludf.DUMMYFUNCTION("""COMPUTED_VALUE"""),48.5362)</f>
        <v>48.5362</v>
      </c>
      <c r="AB549" s="320">
        <f>IFERROR(__xludf.DUMMYFUNCTION("""COMPUTED_VALUE"""),0.5302)</f>
        <v>0.5302</v>
      </c>
      <c r="AC549" s="320">
        <f>IFERROR(__xludf.DUMMYFUNCTION("""COMPUTED_VALUE"""),4.22)</f>
        <v>4.22</v>
      </c>
      <c r="AD549" s="320">
        <f>IFERROR(__xludf.DUMMYFUNCTION("""COMPUTED_VALUE"""),1.0)</f>
        <v>1</v>
      </c>
      <c r="AE549" s="320">
        <f>IFERROR(__xludf.DUMMYFUNCTION("""COMPUTED_VALUE"""),3.0)</f>
        <v>3</v>
      </c>
      <c r="AF549" s="320">
        <f>IFERROR(__xludf.DUMMYFUNCTION("""COMPUTED_VALUE"""),6.0)</f>
        <v>6</v>
      </c>
      <c r="AG549" s="320">
        <f>IFERROR(__xludf.DUMMYFUNCTION("""COMPUTED_VALUE"""),9.0)</f>
        <v>9</v>
      </c>
      <c r="AH549" s="320">
        <f>IFERROR(__xludf.DUMMYFUNCTION("""COMPUTED_VALUE"""),74.2)</f>
        <v>74.2</v>
      </c>
      <c r="AI549" s="320">
        <f>IFERROR(__xludf.DUMMYFUNCTION("""COMPUTED_VALUE"""),32.57)</f>
        <v>32.57</v>
      </c>
      <c r="AJ549" s="320">
        <f>IFERROR(__xludf.DUMMYFUNCTION("""COMPUTED_VALUE"""),9.93)</f>
        <v>9.93</v>
      </c>
      <c r="AK549" s="320">
        <f>IFERROR(__xludf.DUMMYFUNCTION("""COMPUTED_VALUE"""),0.2463)</f>
        <v>0.2463</v>
      </c>
      <c r="AL549" s="320">
        <f>IFERROR(__xludf.DUMMYFUNCTION("""COMPUTED_VALUE"""),18.38)</f>
        <v>18.38</v>
      </c>
      <c r="AM549" s="320">
        <f>IFERROR(__xludf.DUMMYFUNCTION("""COMPUTED_VALUE"""),25.73)</f>
        <v>25.73</v>
      </c>
      <c r="AN549" s="320">
        <f>IFERROR(__xludf.DUMMYFUNCTION("""COMPUTED_VALUE"""),65.68)</f>
        <v>65.68</v>
      </c>
      <c r="AO549" s="320">
        <f>IFERROR(__xludf.DUMMYFUNCTION("""COMPUTED_VALUE"""),12.07)</f>
        <v>12.07</v>
      </c>
    </row>
    <row r="550" ht="15.0" customHeight="1">
      <c r="A550" s="328">
        <f>IFERROR(__xludf.DUMMYFUNCTION("""COMPUTED_VALUE"""),46141.0)</f>
        <v>46141</v>
      </c>
      <c r="B550" s="319" t="str">
        <f>IFERROR(__xludf.DUMMYFUNCTION("""COMPUTED_VALUE"""),"C. 10-19")</f>
        <v>C. 10-19</v>
      </c>
      <c r="C550" s="320">
        <f>IFERROR(__xludf.DUMMYFUNCTION("""COMPUTED_VALUE"""),27050.0)</f>
        <v>27050</v>
      </c>
      <c r="D550" s="320">
        <f>IFERROR(__xludf.DUMMYFUNCTION("""COMPUTED_VALUE"""),26.5)</f>
        <v>26.5</v>
      </c>
      <c r="E550" s="320">
        <f>IFERROR(__xludf.DUMMYFUNCTION("""COMPUTED_VALUE"""),0.0)</f>
        <v>0</v>
      </c>
      <c r="F550" s="320">
        <f>IFERROR(__xludf.DUMMYFUNCTION("""COMPUTED_VALUE"""),0.0)</f>
        <v>0</v>
      </c>
      <c r="G550" s="320">
        <f>IFERROR(__xludf.DUMMYFUNCTION("""COMPUTED_VALUE"""),0.0)</f>
        <v>0</v>
      </c>
      <c r="H550" s="106"/>
      <c r="I550" s="320">
        <f>IFERROR(__xludf.DUMMYFUNCTION("""COMPUTED_VALUE"""),59.65)</f>
        <v>59.65</v>
      </c>
      <c r="J550" s="320">
        <f>IFERROR(__xludf.DUMMYFUNCTION("""COMPUTED_VALUE"""),28.52)</f>
        <v>28.52</v>
      </c>
      <c r="K550" s="320">
        <f>IFERROR(__xludf.DUMMYFUNCTION("""COMPUTED_VALUE"""),14.97)</f>
        <v>14.97</v>
      </c>
      <c r="L550" s="320">
        <f>IFERROR(__xludf.DUMMYFUNCTION("""COMPUTED_VALUE"""),0.5249)</f>
        <v>0.5249</v>
      </c>
      <c r="M550" s="320">
        <f>IFERROR(__xludf.DUMMYFUNCTION("""COMPUTED_VALUE"""),0.6596)</f>
        <v>0.6596</v>
      </c>
      <c r="N550" s="320">
        <f>IFERROR(__xludf.DUMMYFUNCTION("""COMPUTED_VALUE"""),0.4493)</f>
        <v>0.4493</v>
      </c>
      <c r="O550" s="320">
        <f>IFERROR(__xludf.DUMMYFUNCTION("""COMPUTED_VALUE"""),1.9053)</f>
        <v>1.9053</v>
      </c>
      <c r="P550" s="320">
        <f>IFERROR(__xludf.DUMMYFUNCTION("""COMPUTED_VALUE"""),93.79)</f>
        <v>93.79</v>
      </c>
      <c r="Q550" s="320">
        <f>IFERROR(__xludf.DUMMYFUNCTION("""COMPUTED_VALUE"""),68.64)</f>
        <v>68.64</v>
      </c>
      <c r="R550" s="320">
        <f>IFERROR(__xludf.DUMMYFUNCTION("""COMPUTED_VALUE"""),25.15)</f>
        <v>25.15</v>
      </c>
      <c r="S550" s="320">
        <f>IFERROR(__xludf.DUMMYFUNCTION("""COMPUTED_VALUE"""),0.0)</f>
        <v>0</v>
      </c>
      <c r="T550" s="320">
        <f>IFERROR(__xludf.DUMMYFUNCTION("""COMPUTED_VALUE"""),93.79)</f>
        <v>93.79</v>
      </c>
      <c r="U550" s="320">
        <f>IFERROR(__xludf.DUMMYFUNCTION("""COMPUTED_VALUE"""),99.4)</f>
        <v>99.4</v>
      </c>
      <c r="V550" s="320">
        <f>IFERROR(__xludf.DUMMYFUNCTION("""COMPUTED_VALUE"""),3.4848)</f>
        <v>3.4848</v>
      </c>
      <c r="W550" s="320">
        <f>IFERROR(__xludf.DUMMYFUNCTION("""COMPUTED_VALUE"""),0.0)</f>
        <v>0</v>
      </c>
      <c r="X550" s="320">
        <f>IFERROR(__xludf.DUMMYFUNCTION("""COMPUTED_VALUE"""),133.0)</f>
        <v>133</v>
      </c>
      <c r="Y550" s="320">
        <f>IFERROR(__xludf.DUMMYFUNCTION("""COMPUTED_VALUE"""),738.0)</f>
        <v>738</v>
      </c>
      <c r="Z550" s="320">
        <f>IFERROR(__xludf.DUMMYFUNCTION("""COMPUTED_VALUE"""),5482.0)</f>
        <v>5482</v>
      </c>
      <c r="AA550" s="320">
        <f>IFERROR(__xludf.DUMMYFUNCTION("""COMPUTED_VALUE"""),52.0262)</f>
        <v>52.0262</v>
      </c>
      <c r="AB550" s="320">
        <f>IFERROR(__xludf.DUMMYFUNCTION("""COMPUTED_VALUE"""),0.6109)</f>
        <v>0.6109</v>
      </c>
      <c r="AC550" s="320">
        <f>IFERROR(__xludf.DUMMYFUNCTION("""COMPUTED_VALUE"""),9.66)</f>
        <v>9.66</v>
      </c>
      <c r="AD550" s="320">
        <f>IFERROR(__xludf.DUMMYFUNCTION("""COMPUTED_VALUE"""),4.0)</f>
        <v>4</v>
      </c>
      <c r="AE550" s="320">
        <f>IFERROR(__xludf.DUMMYFUNCTION("""COMPUTED_VALUE"""),8.0)</f>
        <v>8</v>
      </c>
      <c r="AF550" s="320">
        <f>IFERROR(__xludf.DUMMYFUNCTION("""COMPUTED_VALUE"""),13.0)</f>
        <v>13</v>
      </c>
      <c r="AG550" s="320">
        <f>IFERROR(__xludf.DUMMYFUNCTION("""COMPUTED_VALUE"""),20.0)</f>
        <v>20</v>
      </c>
      <c r="AH550" s="320">
        <f>IFERROR(__xludf.DUMMYFUNCTION("""COMPUTED_VALUE"""),61.06)</f>
        <v>61.06</v>
      </c>
      <c r="AI550" s="320">
        <f>IFERROR(__xludf.DUMMYFUNCTION("""COMPUTED_VALUE"""),27.53)</f>
        <v>27.53</v>
      </c>
      <c r="AJ550" s="320">
        <f>IFERROR(__xludf.DUMMYFUNCTION("""COMPUTED_VALUE"""),5.11)</f>
        <v>5.11</v>
      </c>
      <c r="AK550" s="320">
        <f>IFERROR(__xludf.DUMMYFUNCTION("""COMPUTED_VALUE"""),0.1909)</f>
        <v>0.1909</v>
      </c>
      <c r="AL550" s="320">
        <f>IFERROR(__xludf.DUMMYFUNCTION("""COMPUTED_VALUE"""),19.46)</f>
        <v>19.46</v>
      </c>
      <c r="AM550" s="320">
        <f>IFERROR(__xludf.DUMMYFUNCTION("""COMPUTED_VALUE"""),49.18)</f>
        <v>49.18</v>
      </c>
      <c r="AN550" s="320">
        <f>IFERROR(__xludf.DUMMYFUNCTION("""COMPUTED_VALUE"""),73.4)</f>
        <v>73.4</v>
      </c>
      <c r="AO550" s="320">
        <f>IFERROR(__xludf.DUMMYFUNCTION("""COMPUTED_VALUE"""),14.28)</f>
        <v>14.28</v>
      </c>
    </row>
    <row r="551" ht="15.0" customHeight="1">
      <c r="A551" s="328">
        <f>IFERROR(__xludf.DUMMYFUNCTION("""COMPUTED_VALUE"""),46141.0)</f>
        <v>46141</v>
      </c>
      <c r="B551" s="319" t="str">
        <f>IFERROR(__xludf.DUMMYFUNCTION("""COMPUTED_VALUE"""),"D. 20-39")</f>
        <v>D. 20-39</v>
      </c>
      <c r="C551" s="320">
        <f>IFERROR(__xludf.DUMMYFUNCTION("""COMPUTED_VALUE"""),14790.0)</f>
        <v>14790</v>
      </c>
      <c r="D551" s="320">
        <f>IFERROR(__xludf.DUMMYFUNCTION("""COMPUTED_VALUE"""),14.49)</f>
        <v>14.49</v>
      </c>
      <c r="E551" s="320">
        <f>IFERROR(__xludf.DUMMYFUNCTION("""COMPUTED_VALUE"""),0.0)</f>
        <v>0</v>
      </c>
      <c r="F551" s="320">
        <f>IFERROR(__xludf.DUMMYFUNCTION("""COMPUTED_VALUE"""),0.0)</f>
        <v>0</v>
      </c>
      <c r="G551" s="320">
        <f>IFERROR(__xludf.DUMMYFUNCTION("""COMPUTED_VALUE"""),0.0)</f>
        <v>0</v>
      </c>
      <c r="H551" s="106"/>
      <c r="I551" s="320">
        <f>IFERROR(__xludf.DUMMYFUNCTION("""COMPUTED_VALUE"""),81.66)</f>
        <v>81.66</v>
      </c>
      <c r="J551" s="320">
        <f>IFERROR(__xludf.DUMMYFUNCTION("""COMPUTED_VALUE"""),41.78)</f>
        <v>41.78</v>
      </c>
      <c r="K551" s="320">
        <f>IFERROR(__xludf.DUMMYFUNCTION("""COMPUTED_VALUE"""),27.46)</f>
        <v>27.46</v>
      </c>
      <c r="L551" s="320">
        <f>IFERROR(__xludf.DUMMYFUNCTION("""COMPUTED_VALUE"""),0.6574)</f>
        <v>0.6574</v>
      </c>
      <c r="M551" s="320">
        <f>IFERROR(__xludf.DUMMYFUNCTION("""COMPUTED_VALUE"""),0.5277)</f>
        <v>0.5277</v>
      </c>
      <c r="N551" s="320">
        <f>IFERROR(__xludf.DUMMYFUNCTION("""COMPUTED_VALUE"""),0.3574)</f>
        <v>0.3574</v>
      </c>
      <c r="O551" s="320">
        <f>IFERROR(__xludf.DUMMYFUNCTION("""COMPUTED_VALUE"""),1.5211)</f>
        <v>1.5211</v>
      </c>
      <c r="P551" s="320">
        <f>IFERROR(__xludf.DUMMYFUNCTION("""COMPUTED_VALUE"""),150.4)</f>
        <v>150.4</v>
      </c>
      <c r="Q551" s="320">
        <f>IFERROR(__xludf.DUMMYFUNCTION("""COMPUTED_VALUE"""),102.49)</f>
        <v>102.49</v>
      </c>
      <c r="R551" s="320">
        <f>IFERROR(__xludf.DUMMYFUNCTION("""COMPUTED_VALUE"""),47.91)</f>
        <v>47.91</v>
      </c>
      <c r="S551" s="320">
        <f>IFERROR(__xludf.DUMMYFUNCTION("""COMPUTED_VALUE"""),0.0)</f>
        <v>0</v>
      </c>
      <c r="T551" s="320">
        <f>IFERROR(__xludf.DUMMYFUNCTION("""COMPUTED_VALUE"""),150.4)</f>
        <v>150.4</v>
      </c>
      <c r="U551" s="320">
        <f>IFERROR(__xludf.DUMMYFUNCTION("""COMPUTED_VALUE"""),166.17)</f>
        <v>166.17</v>
      </c>
      <c r="V551" s="320">
        <f>IFERROR(__xludf.DUMMYFUNCTION("""COMPUTED_VALUE"""),3.9777)</f>
        <v>3.9777</v>
      </c>
      <c r="W551" s="320">
        <f>IFERROR(__xludf.DUMMYFUNCTION("""COMPUTED_VALUE"""),0.0)</f>
        <v>0</v>
      </c>
      <c r="X551" s="320">
        <f>IFERROR(__xludf.DUMMYFUNCTION("""COMPUTED_VALUE"""),158.0)</f>
        <v>158</v>
      </c>
      <c r="Y551" s="320">
        <f>IFERROR(__xludf.DUMMYFUNCTION("""COMPUTED_VALUE"""),1011.0)</f>
        <v>1011</v>
      </c>
      <c r="Z551" s="320">
        <f>IFERROR(__xludf.DUMMYFUNCTION("""COMPUTED_VALUE"""),6659.0)</f>
        <v>6659</v>
      </c>
      <c r="AA551" s="320">
        <f>IFERROR(__xludf.DUMMYFUNCTION("""COMPUTED_VALUE"""),55.8089)</f>
        <v>55.8089</v>
      </c>
      <c r="AB551" s="320">
        <f>IFERROR(__xludf.DUMMYFUNCTION("""COMPUTED_VALUE"""),0.7471)</f>
        <v>0.7471</v>
      </c>
      <c r="AC551" s="320">
        <f>IFERROR(__xludf.DUMMYFUNCTION("""COMPUTED_VALUE"""),18.55)</f>
        <v>18.55</v>
      </c>
      <c r="AD551" s="320">
        <f>IFERROR(__xludf.DUMMYFUNCTION("""COMPUTED_VALUE"""),8.0)</f>
        <v>8</v>
      </c>
      <c r="AE551" s="320">
        <f>IFERROR(__xludf.DUMMYFUNCTION("""COMPUTED_VALUE"""),14.0)</f>
        <v>14</v>
      </c>
      <c r="AF551" s="320">
        <f>IFERROR(__xludf.DUMMYFUNCTION("""COMPUTED_VALUE"""),26.0)</f>
        <v>26</v>
      </c>
      <c r="AG551" s="320">
        <f>IFERROR(__xludf.DUMMYFUNCTION("""COMPUTED_VALUE"""),39.0)</f>
        <v>39</v>
      </c>
      <c r="AH551" s="320">
        <f>IFERROR(__xludf.DUMMYFUNCTION("""COMPUTED_VALUE"""),61.95)</f>
        <v>61.95</v>
      </c>
      <c r="AI551" s="320">
        <f>IFERROR(__xludf.DUMMYFUNCTION("""COMPUTED_VALUE"""),25.28)</f>
        <v>25.28</v>
      </c>
      <c r="AJ551" s="320">
        <f>IFERROR(__xludf.DUMMYFUNCTION("""COMPUTED_VALUE"""),7.96)</f>
        <v>7.96</v>
      </c>
      <c r="AK551" s="320">
        <f>IFERROR(__xludf.DUMMYFUNCTION("""COMPUTED_VALUE"""),0.1814)</f>
        <v>0.1814</v>
      </c>
      <c r="AL551" s="320">
        <f>IFERROR(__xludf.DUMMYFUNCTION("""COMPUTED_VALUE"""),19.86)</f>
        <v>19.86</v>
      </c>
      <c r="AM551" s="320">
        <f>IFERROR(__xludf.DUMMYFUNCTION("""COMPUTED_VALUE"""),82.63)</f>
        <v>82.63</v>
      </c>
      <c r="AN551" s="320">
        <f>IFERROR(__xludf.DUMMYFUNCTION("""COMPUTED_VALUE"""),77.19)</f>
        <v>77.19</v>
      </c>
      <c r="AO551" s="320">
        <f>IFERROR(__xludf.DUMMYFUNCTION("""COMPUTED_VALUE"""),15.33)</f>
        <v>15.33</v>
      </c>
    </row>
    <row r="552" ht="15.0" customHeight="1">
      <c r="A552" s="328">
        <f>IFERROR(__xludf.DUMMYFUNCTION("""COMPUTED_VALUE"""),46141.0)</f>
        <v>46141</v>
      </c>
      <c r="B552" s="319" t="str">
        <f>IFERROR(__xludf.DUMMYFUNCTION("""COMPUTED_VALUE"""),"E. 40-99")</f>
        <v>E. 40-99</v>
      </c>
      <c r="C552" s="320">
        <f>IFERROR(__xludf.DUMMYFUNCTION("""COMPUTED_VALUE"""),6002.0)</f>
        <v>6002</v>
      </c>
      <c r="D552" s="320">
        <f>IFERROR(__xludf.DUMMYFUNCTION("""COMPUTED_VALUE"""),5.88)</f>
        <v>5.88</v>
      </c>
      <c r="E552" s="320">
        <f>IFERROR(__xludf.DUMMYFUNCTION("""COMPUTED_VALUE"""),0.0)</f>
        <v>0</v>
      </c>
      <c r="F552" s="320">
        <f>IFERROR(__xludf.DUMMYFUNCTION("""COMPUTED_VALUE"""),0.0)</f>
        <v>0</v>
      </c>
      <c r="G552" s="320">
        <f>IFERROR(__xludf.DUMMYFUNCTION("""COMPUTED_VALUE"""),0.0)</f>
        <v>0</v>
      </c>
      <c r="H552" s="106"/>
      <c r="I552" s="320">
        <f>IFERROR(__xludf.DUMMYFUNCTION("""COMPUTED_VALUE"""),131.42)</f>
        <v>131.42</v>
      </c>
      <c r="J552" s="320">
        <f>IFERROR(__xludf.DUMMYFUNCTION("""COMPUTED_VALUE"""),71.23)</f>
        <v>71.23</v>
      </c>
      <c r="K552" s="320">
        <f>IFERROR(__xludf.DUMMYFUNCTION("""COMPUTED_VALUE"""),55.93)</f>
        <v>55.93</v>
      </c>
      <c r="L552" s="320">
        <f>IFERROR(__xludf.DUMMYFUNCTION("""COMPUTED_VALUE"""),0.7852)</f>
        <v>0.7852</v>
      </c>
      <c r="M552" s="320">
        <f>IFERROR(__xludf.DUMMYFUNCTION("""COMPUTED_VALUE"""),0.3939)</f>
        <v>0.3939</v>
      </c>
      <c r="N552" s="320">
        <f>IFERROR(__xludf.DUMMYFUNCTION("""COMPUTED_VALUE"""),0.2791)</f>
        <v>0.2791</v>
      </c>
      <c r="O552" s="320">
        <f>IFERROR(__xludf.DUMMYFUNCTION("""COMPUTED_VALUE"""),1.2736)</f>
        <v>1.2736</v>
      </c>
      <c r="P552" s="320">
        <f>IFERROR(__xludf.DUMMYFUNCTION("""COMPUTED_VALUE"""),274.62)</f>
        <v>274.62</v>
      </c>
      <c r="Q552" s="320">
        <f>IFERROR(__xludf.DUMMYFUNCTION("""COMPUTED_VALUE"""),176.42)</f>
        <v>176.42</v>
      </c>
      <c r="R552" s="320">
        <f>IFERROR(__xludf.DUMMYFUNCTION("""COMPUTED_VALUE"""),98.2)</f>
        <v>98.2</v>
      </c>
      <c r="S552" s="320">
        <f>IFERROR(__xludf.DUMMYFUNCTION("""COMPUTED_VALUE"""),0.0)</f>
        <v>0</v>
      </c>
      <c r="T552" s="320">
        <f>IFERROR(__xludf.DUMMYFUNCTION("""COMPUTED_VALUE"""),274.62)</f>
        <v>274.62</v>
      </c>
      <c r="U552" s="320">
        <f>IFERROR(__xludf.DUMMYFUNCTION("""COMPUTED_VALUE"""),325.22)</f>
        <v>325.22</v>
      </c>
      <c r="V552" s="320">
        <f>IFERROR(__xludf.DUMMYFUNCTION("""COMPUTED_VALUE"""),4.566)</f>
        <v>4.566</v>
      </c>
      <c r="W552" s="320">
        <f>IFERROR(__xludf.DUMMYFUNCTION("""COMPUTED_VALUE"""),0.0)</f>
        <v>0</v>
      </c>
      <c r="X552" s="320">
        <f>IFERROR(__xludf.DUMMYFUNCTION("""COMPUTED_VALUE"""),337.0)</f>
        <v>337</v>
      </c>
      <c r="Y552" s="320">
        <f>IFERROR(__xludf.DUMMYFUNCTION("""COMPUTED_VALUE"""),2093.0)</f>
        <v>2093</v>
      </c>
      <c r="Z552" s="320">
        <f>IFERROR(__xludf.DUMMYFUNCTION("""COMPUTED_VALUE"""),9028.0)</f>
        <v>9028</v>
      </c>
      <c r="AA552" s="320">
        <f>IFERROR(__xludf.DUMMYFUNCTION("""COMPUTED_VALUE"""),59.7122)</f>
        <v>59.7122</v>
      </c>
      <c r="AB552" s="320">
        <f>IFERROR(__xludf.DUMMYFUNCTION("""COMPUTED_VALUE"""),0.849)</f>
        <v>0.849</v>
      </c>
      <c r="AC552" s="320">
        <f>IFERROR(__xludf.DUMMYFUNCTION("""COMPUTED_VALUE"""),38.7)</f>
        <v>38.7</v>
      </c>
      <c r="AD552" s="320">
        <f>IFERROR(__xludf.DUMMYFUNCTION("""COMPUTED_VALUE"""),15.0)</f>
        <v>15</v>
      </c>
      <c r="AE552" s="320">
        <f>IFERROR(__xludf.DUMMYFUNCTION("""COMPUTED_VALUE"""),31.0)</f>
        <v>31</v>
      </c>
      <c r="AF552" s="320">
        <f>IFERROR(__xludf.DUMMYFUNCTION("""COMPUTED_VALUE"""),54.0)</f>
        <v>54</v>
      </c>
      <c r="AG552" s="320">
        <f>IFERROR(__xludf.DUMMYFUNCTION("""COMPUTED_VALUE"""),82.0)</f>
        <v>82</v>
      </c>
      <c r="AH552" s="320">
        <f>IFERROR(__xludf.DUMMYFUNCTION("""COMPUTED_VALUE"""),54.03)</f>
        <v>54.03</v>
      </c>
      <c r="AI552" s="320">
        <f>IFERROR(__xludf.DUMMYFUNCTION("""COMPUTED_VALUE"""),21.28)</f>
        <v>21.28</v>
      </c>
      <c r="AJ552" s="320">
        <f>IFERROR(__xludf.DUMMYFUNCTION("""COMPUTED_VALUE"""),5.01)</f>
        <v>5.01</v>
      </c>
      <c r="AK552" s="320">
        <f>IFERROR(__xludf.DUMMYFUNCTION("""COMPUTED_VALUE"""),0.1346)</f>
        <v>0.1346</v>
      </c>
      <c r="AL552" s="320">
        <f>IFERROR(__xludf.DUMMYFUNCTION("""COMPUTED_VALUE"""),20.67)</f>
        <v>20.67</v>
      </c>
      <c r="AM552" s="320">
        <f>IFERROR(__xludf.DUMMYFUNCTION("""COMPUTED_VALUE"""),155.75)</f>
        <v>155.75</v>
      </c>
      <c r="AN552" s="320">
        <f>IFERROR(__xludf.DUMMYFUNCTION("""COMPUTED_VALUE"""),82.6)</f>
        <v>82.6</v>
      </c>
      <c r="AO552" s="320">
        <f>IFERROR(__xludf.DUMMYFUNCTION("""COMPUTED_VALUE"""),17.07)</f>
        <v>17.07</v>
      </c>
    </row>
    <row r="553" ht="15.0" customHeight="1">
      <c r="A553" s="328">
        <f>IFERROR(__xludf.DUMMYFUNCTION("""COMPUTED_VALUE"""),46141.0)</f>
        <v>46141</v>
      </c>
      <c r="B553" s="319" t="str">
        <f>IFERROR(__xludf.DUMMYFUNCTION("""COMPUTED_VALUE"""),"F. 100+")</f>
        <v>F. 100+</v>
      </c>
      <c r="C553" s="320">
        <f>IFERROR(__xludf.DUMMYFUNCTION("""COMPUTED_VALUE"""),679.0)</f>
        <v>679</v>
      </c>
      <c r="D553" s="320">
        <f>IFERROR(__xludf.DUMMYFUNCTION("""COMPUTED_VALUE"""),0.67)</f>
        <v>0.67</v>
      </c>
      <c r="E553" s="320">
        <f>IFERROR(__xludf.DUMMYFUNCTION("""COMPUTED_VALUE"""),0.0)</f>
        <v>0</v>
      </c>
      <c r="F553" s="320">
        <f>IFERROR(__xludf.DUMMYFUNCTION("""COMPUTED_VALUE"""),0.0)</f>
        <v>0</v>
      </c>
      <c r="G553" s="320">
        <f>IFERROR(__xludf.DUMMYFUNCTION("""COMPUTED_VALUE"""),0.0)</f>
        <v>0</v>
      </c>
      <c r="H553" s="106"/>
      <c r="I553" s="320">
        <f>IFERROR(__xludf.DUMMYFUNCTION("""COMPUTED_VALUE"""),237.7)</f>
        <v>237.7</v>
      </c>
      <c r="J553" s="320">
        <f>IFERROR(__xludf.DUMMYFUNCTION("""COMPUTED_VALUE"""),139.59)</f>
        <v>139.59</v>
      </c>
      <c r="K553" s="320">
        <f>IFERROR(__xludf.DUMMYFUNCTION("""COMPUTED_VALUE"""),122.98)</f>
        <v>122.98</v>
      </c>
      <c r="L553" s="320">
        <f>IFERROR(__xludf.DUMMYFUNCTION("""COMPUTED_VALUE"""),0.881)</f>
        <v>0.881</v>
      </c>
      <c r="M553" s="320">
        <f>IFERROR(__xludf.DUMMYFUNCTION("""COMPUTED_VALUE"""),0.2772)</f>
        <v>0.2772</v>
      </c>
      <c r="N553" s="320">
        <f>IFERROR(__xludf.DUMMYFUNCTION("""COMPUTED_VALUE"""),0.2137)</f>
        <v>0.2137</v>
      </c>
      <c r="O553" s="320">
        <f>IFERROR(__xludf.DUMMYFUNCTION("""COMPUTED_VALUE"""),1.1351)</f>
        <v>1.1351</v>
      </c>
      <c r="P553" s="320">
        <f>IFERROR(__xludf.DUMMYFUNCTION("""COMPUTED_VALUE"""),540.33)</f>
        <v>540.33</v>
      </c>
      <c r="Q553" s="320">
        <f>IFERROR(__xludf.DUMMYFUNCTION("""COMPUTED_VALUE"""),324.3)</f>
        <v>324.3</v>
      </c>
      <c r="R553" s="320">
        <f>IFERROR(__xludf.DUMMYFUNCTION("""COMPUTED_VALUE"""),216.03)</f>
        <v>216.03</v>
      </c>
      <c r="S553" s="320">
        <f>IFERROR(__xludf.DUMMYFUNCTION("""COMPUTED_VALUE"""),0.0)</f>
        <v>0</v>
      </c>
      <c r="T553" s="320">
        <f>IFERROR(__xludf.DUMMYFUNCTION("""COMPUTED_VALUE"""),540.33)</f>
        <v>540.33</v>
      </c>
      <c r="U553" s="320">
        <f>IFERROR(__xludf.DUMMYFUNCTION("""COMPUTED_VALUE"""),796.98)</f>
        <v>796.98</v>
      </c>
      <c r="V553" s="320">
        <f>IFERROR(__xludf.DUMMYFUNCTION("""COMPUTED_VALUE"""),5.7094)</f>
        <v>5.7094</v>
      </c>
      <c r="W553" s="320">
        <f>IFERROR(__xludf.DUMMYFUNCTION("""COMPUTED_VALUE"""),0.0)</f>
        <v>0</v>
      </c>
      <c r="X553" s="320">
        <f>IFERROR(__xludf.DUMMYFUNCTION("""COMPUTED_VALUE"""),994.0)</f>
        <v>994</v>
      </c>
      <c r="Y553" s="320">
        <f>IFERROR(__xludf.DUMMYFUNCTION("""COMPUTED_VALUE"""),3875.0)</f>
        <v>3875</v>
      </c>
      <c r="Z553" s="320">
        <f>IFERROR(__xludf.DUMMYFUNCTION("""COMPUTED_VALUE"""),12479.0)</f>
        <v>12479</v>
      </c>
      <c r="AA553" s="320">
        <f>IFERROR(__xludf.DUMMYFUNCTION("""COMPUTED_VALUE"""),62.8607)</f>
        <v>62.8607</v>
      </c>
      <c r="AB553" s="320">
        <f>IFERROR(__xludf.DUMMYFUNCTION("""COMPUTED_VALUE"""),0.9191)</f>
        <v>0.9191</v>
      </c>
      <c r="AC553" s="320">
        <f>IFERROR(__xludf.DUMMYFUNCTION("""COMPUTED_VALUE"""),86.5)</f>
        <v>86.5</v>
      </c>
      <c r="AD553" s="320">
        <f>IFERROR(__xludf.DUMMYFUNCTION("""COMPUTED_VALUE"""),33.0)</f>
        <v>33</v>
      </c>
      <c r="AE553" s="320">
        <f>IFERROR(__xludf.DUMMYFUNCTION("""COMPUTED_VALUE"""),73.0)</f>
        <v>73</v>
      </c>
      <c r="AF553" s="320">
        <f>IFERROR(__xludf.DUMMYFUNCTION("""COMPUTED_VALUE"""),122.0)</f>
        <v>122</v>
      </c>
      <c r="AG553" s="320">
        <f>IFERROR(__xludf.DUMMYFUNCTION("""COMPUTED_VALUE"""),176.0)</f>
        <v>176</v>
      </c>
      <c r="AH553" s="320">
        <f>IFERROR(__xludf.DUMMYFUNCTION("""COMPUTED_VALUE"""),47.28)</f>
        <v>47.28</v>
      </c>
      <c r="AI553" s="320">
        <f>IFERROR(__xludf.DUMMYFUNCTION("""COMPUTED_VALUE"""),9.72)</f>
        <v>9.72</v>
      </c>
      <c r="AJ553" s="320">
        <f>IFERROR(__xludf.DUMMYFUNCTION("""COMPUTED_VALUE"""),1.33)</f>
        <v>1.33</v>
      </c>
      <c r="AK553" s="320">
        <f>IFERROR(__xludf.DUMMYFUNCTION("""COMPUTED_VALUE"""),0.1016)</f>
        <v>0.1016</v>
      </c>
      <c r="AL553" s="320">
        <f>IFERROR(__xludf.DUMMYFUNCTION("""COMPUTED_VALUE"""),24.0)</f>
        <v>24</v>
      </c>
      <c r="AM553" s="320">
        <f>IFERROR(__xludf.DUMMYFUNCTION("""COMPUTED_VALUE"""),300.3)</f>
        <v>300.3</v>
      </c>
      <c r="AN553" s="320">
        <f>IFERROR(__xludf.DUMMYFUNCTION("""COMPUTED_VALUE"""),83.19)</f>
        <v>83.19</v>
      </c>
      <c r="AO553" s="320">
        <f>IFERROR(__xludf.DUMMYFUNCTION("""COMPUTED_VALUE"""),19.97)</f>
        <v>19.97</v>
      </c>
    </row>
    <row r="554" ht="15.0" customHeight="1">
      <c r="A554" s="328">
        <f>IFERROR(__xludf.DUMMYFUNCTION("""COMPUTED_VALUE"""),46142.0)</f>
        <v>46142</v>
      </c>
      <c r="B554" s="319" t="str">
        <f>IFERROR(__xludf.DUMMYFUNCTION("""COMPUTED_VALUE"""),"A. 0")</f>
        <v>A. 0</v>
      </c>
      <c r="C554" s="320">
        <f>IFERROR(__xludf.DUMMYFUNCTION("""COMPUTED_VALUE"""),19509.0)</f>
        <v>19509</v>
      </c>
      <c r="D554" s="320">
        <f>IFERROR(__xludf.DUMMYFUNCTION("""COMPUTED_VALUE"""),19.57)</f>
        <v>19.57</v>
      </c>
      <c r="E554" s="320">
        <f>IFERROR(__xludf.DUMMYFUNCTION("""COMPUTED_VALUE"""),0.0)</f>
        <v>0</v>
      </c>
      <c r="F554" s="320">
        <f>IFERROR(__xludf.DUMMYFUNCTION("""COMPUTED_VALUE"""),0.0)</f>
        <v>0</v>
      </c>
      <c r="G554" s="320">
        <f>IFERROR(__xludf.DUMMYFUNCTION("""COMPUTED_VALUE"""),0.0)</f>
        <v>0</v>
      </c>
      <c r="H554" s="106"/>
      <c r="I554" s="320">
        <f>IFERROR(__xludf.DUMMYFUNCTION("""COMPUTED_VALUE"""),6.42)</f>
        <v>6.42</v>
      </c>
      <c r="J554" s="320">
        <f>IFERROR(__xludf.DUMMYFUNCTION("""COMPUTED_VALUE"""),2.58)</f>
        <v>2.58</v>
      </c>
      <c r="K554" s="320">
        <f>IFERROR(__xludf.DUMMYFUNCTION("""COMPUTED_VALUE"""),0.03)</f>
        <v>0.03</v>
      </c>
      <c r="L554" s="320">
        <f>IFERROR(__xludf.DUMMYFUNCTION("""COMPUTED_VALUE"""),0.0106)</f>
        <v>0.0106</v>
      </c>
      <c r="M554" s="320">
        <f>IFERROR(__xludf.DUMMYFUNCTION("""COMPUTED_VALUE"""),0.9922)</f>
        <v>0.9922</v>
      </c>
      <c r="N554" s="320">
        <f>IFERROR(__xludf.DUMMYFUNCTION("""COMPUTED_VALUE"""),0.8884)</f>
        <v>0.8884</v>
      </c>
      <c r="O554" s="320">
        <f>IFERROR(__xludf.DUMMYFUNCTION("""COMPUTED_VALUE"""),94.6297)</f>
        <v>94.6297</v>
      </c>
      <c r="P554" s="320">
        <f>IFERROR(__xludf.DUMMYFUNCTION("""COMPUTED_VALUE"""),22.05)</f>
        <v>22.05</v>
      </c>
      <c r="Q554" s="320">
        <f>IFERROR(__xludf.DUMMYFUNCTION("""COMPUTED_VALUE"""),21.96)</f>
        <v>21.96</v>
      </c>
      <c r="R554" s="320">
        <f>IFERROR(__xludf.DUMMYFUNCTION("""COMPUTED_VALUE"""),0.09)</f>
        <v>0.09</v>
      </c>
      <c r="S554" s="320">
        <f>IFERROR(__xludf.DUMMYFUNCTION("""COMPUTED_VALUE"""),0.0)</f>
        <v>0</v>
      </c>
      <c r="T554" s="320">
        <f>IFERROR(__xludf.DUMMYFUNCTION("""COMPUTED_VALUE"""),22.05)</f>
        <v>22.05</v>
      </c>
      <c r="U554" s="320">
        <f>IFERROR(__xludf.DUMMYFUNCTION("""COMPUTED_VALUE"""),1.94)</f>
        <v>1.94</v>
      </c>
      <c r="V554" s="320">
        <f>IFERROR(__xludf.DUMMYFUNCTION("""COMPUTED_VALUE"""),0.7508)</f>
        <v>0.7508</v>
      </c>
      <c r="W554" s="320">
        <f>IFERROR(__xludf.DUMMYFUNCTION("""COMPUTED_VALUE"""),0.0)</f>
        <v>0</v>
      </c>
      <c r="X554" s="320">
        <f>IFERROR(__xludf.DUMMYFUNCTION("""COMPUTED_VALUE"""),336.0)</f>
        <v>336</v>
      </c>
      <c r="Y554" s="320">
        <f>IFERROR(__xludf.DUMMYFUNCTION("""COMPUTED_VALUE"""),3835.0)</f>
        <v>3835</v>
      </c>
      <c r="Z554" s="320">
        <f>IFERROR(__xludf.DUMMYFUNCTION("""COMPUTED_VALUE"""),15328.0)</f>
        <v>15328</v>
      </c>
      <c r="AA554" s="320">
        <f>IFERROR(__xludf.DUMMYFUNCTION("""COMPUTED_VALUE"""),48.8259)</f>
        <v>48.8259</v>
      </c>
      <c r="AB554" s="320">
        <f>IFERROR(__xludf.DUMMYFUNCTION("""COMPUTED_VALUE"""),0.5385)</f>
        <v>0.5385</v>
      </c>
      <c r="AC554" s="106"/>
      <c r="AD554" s="106"/>
      <c r="AE554" s="106"/>
      <c r="AF554" s="106"/>
      <c r="AG554" s="106"/>
      <c r="AH554" s="320">
        <f>IFERROR(__xludf.DUMMYFUNCTION("""COMPUTED_VALUE"""),0.0)</f>
        <v>0</v>
      </c>
      <c r="AI554" s="320">
        <f>IFERROR(__xludf.DUMMYFUNCTION("""COMPUTED_VALUE"""),0.0)</f>
        <v>0</v>
      </c>
      <c r="AJ554" s="320">
        <f>IFERROR(__xludf.DUMMYFUNCTION("""COMPUTED_VALUE"""),0.0)</f>
        <v>0</v>
      </c>
      <c r="AK554" s="320">
        <f>IFERROR(__xludf.DUMMYFUNCTION("""COMPUTED_VALUE"""),0.287)</f>
        <v>0.287</v>
      </c>
      <c r="AL554" s="320">
        <f>IFERROR(__xludf.DUMMYFUNCTION("""COMPUTED_VALUE"""),16.09)</f>
        <v>16.09</v>
      </c>
      <c r="AM554" s="320">
        <f>IFERROR(__xludf.DUMMYFUNCTION("""COMPUTED_VALUE"""),5.88)</f>
        <v>5.88</v>
      </c>
      <c r="AN554" s="331"/>
      <c r="AO554" s="331"/>
    </row>
    <row r="555" ht="15.0" customHeight="1">
      <c r="A555" s="328">
        <f>IFERROR(__xludf.DUMMYFUNCTION("""COMPUTED_VALUE"""),46142.0)</f>
        <v>46142</v>
      </c>
      <c r="B555" s="319" t="str">
        <f>IFERROR(__xludf.DUMMYFUNCTION("""COMPUTED_VALUE"""),"B. 1-9")</f>
        <v>B. 1-9</v>
      </c>
      <c r="C555" s="320">
        <f>IFERROR(__xludf.DUMMYFUNCTION("""COMPUTED_VALUE"""),34143.0)</f>
        <v>34143</v>
      </c>
      <c r="D555" s="320">
        <f>IFERROR(__xludf.DUMMYFUNCTION("""COMPUTED_VALUE"""),34.25)</f>
        <v>34.25</v>
      </c>
      <c r="E555" s="320">
        <f>IFERROR(__xludf.DUMMYFUNCTION("""COMPUTED_VALUE"""),0.0)</f>
        <v>0</v>
      </c>
      <c r="F555" s="320">
        <f>IFERROR(__xludf.DUMMYFUNCTION("""COMPUTED_VALUE"""),0.0)</f>
        <v>0</v>
      </c>
      <c r="G555" s="320">
        <f>IFERROR(__xludf.DUMMYFUNCTION("""COMPUTED_VALUE"""),0.0)</f>
        <v>0</v>
      </c>
      <c r="H555" s="106"/>
      <c r="I555" s="320">
        <f>IFERROR(__xludf.DUMMYFUNCTION("""COMPUTED_VALUE"""),28.14)</f>
        <v>28.14</v>
      </c>
      <c r="J555" s="320">
        <f>IFERROR(__xludf.DUMMYFUNCTION("""COMPUTED_VALUE"""),12.82)</f>
        <v>12.82</v>
      </c>
      <c r="K555" s="320">
        <f>IFERROR(__xludf.DUMMYFUNCTION("""COMPUTED_VALUE"""),5.45)</f>
        <v>5.45</v>
      </c>
      <c r="L555" s="320">
        <f>IFERROR(__xludf.DUMMYFUNCTION("""COMPUTED_VALUE"""),0.4247)</f>
        <v>0.4247</v>
      </c>
      <c r="M555" s="320">
        <f>IFERROR(__xludf.DUMMYFUNCTION("""COMPUTED_VALUE"""),0.7454)</f>
        <v>0.7454</v>
      </c>
      <c r="N555" s="320">
        <f>IFERROR(__xludf.DUMMYFUNCTION("""COMPUTED_VALUE"""),0.5441)</f>
        <v>0.5441</v>
      </c>
      <c r="O555" s="320">
        <f>IFERROR(__xludf.DUMMYFUNCTION("""COMPUTED_VALUE"""),2.3545)</f>
        <v>2.3545</v>
      </c>
      <c r="P555" s="320">
        <f>IFERROR(__xludf.DUMMYFUNCTION("""COMPUTED_VALUE"""),47.98)</f>
        <v>47.98</v>
      </c>
      <c r="Q555" s="320">
        <f>IFERROR(__xludf.DUMMYFUNCTION("""COMPUTED_VALUE"""),38.46)</f>
        <v>38.46</v>
      </c>
      <c r="R555" s="320">
        <f>IFERROR(__xludf.DUMMYFUNCTION("""COMPUTED_VALUE"""),9.52)</f>
        <v>9.52</v>
      </c>
      <c r="S555" s="320">
        <f>IFERROR(__xludf.DUMMYFUNCTION("""COMPUTED_VALUE"""),0.0)</f>
        <v>0</v>
      </c>
      <c r="T555" s="320">
        <f>IFERROR(__xludf.DUMMYFUNCTION("""COMPUTED_VALUE"""),47.98)</f>
        <v>47.98</v>
      </c>
      <c r="U555" s="320">
        <f>IFERROR(__xludf.DUMMYFUNCTION("""COMPUTED_VALUE"""),50.15)</f>
        <v>50.15</v>
      </c>
      <c r="V555" s="320">
        <f>IFERROR(__xludf.DUMMYFUNCTION("""COMPUTED_VALUE"""),3.9102)</f>
        <v>3.9102</v>
      </c>
      <c r="W555" s="320">
        <f>IFERROR(__xludf.DUMMYFUNCTION("""COMPUTED_VALUE"""),0.0)</f>
        <v>0</v>
      </c>
      <c r="X555" s="320">
        <f>IFERROR(__xludf.DUMMYFUNCTION("""COMPUTED_VALUE"""),150.0)</f>
        <v>150</v>
      </c>
      <c r="Y555" s="320">
        <f>IFERROR(__xludf.DUMMYFUNCTION("""COMPUTED_VALUE"""),954.0)</f>
        <v>954</v>
      </c>
      <c r="Z555" s="320">
        <f>IFERROR(__xludf.DUMMYFUNCTION("""COMPUTED_VALUE"""),6235.0)</f>
        <v>6235</v>
      </c>
      <c r="AA555" s="320">
        <f>IFERROR(__xludf.DUMMYFUNCTION("""COMPUTED_VALUE"""),48.7268)</f>
        <v>48.7268</v>
      </c>
      <c r="AB555" s="320">
        <f>IFERROR(__xludf.DUMMYFUNCTION("""COMPUTED_VALUE"""),0.5355)</f>
        <v>0.5355</v>
      </c>
      <c r="AC555" s="320">
        <f>IFERROR(__xludf.DUMMYFUNCTION("""COMPUTED_VALUE"""),4.0)</f>
        <v>4</v>
      </c>
      <c r="AD555" s="320">
        <f>IFERROR(__xludf.DUMMYFUNCTION("""COMPUTED_VALUE"""),1.0)</f>
        <v>1</v>
      </c>
      <c r="AE555" s="320">
        <f>IFERROR(__xludf.DUMMYFUNCTION("""COMPUTED_VALUE"""),3.0)</f>
        <v>3</v>
      </c>
      <c r="AF555" s="320">
        <f>IFERROR(__xludf.DUMMYFUNCTION("""COMPUTED_VALUE"""),5.0)</f>
        <v>5</v>
      </c>
      <c r="AG555" s="320">
        <f>IFERROR(__xludf.DUMMYFUNCTION("""COMPUTED_VALUE"""),9.0)</f>
        <v>9</v>
      </c>
      <c r="AH555" s="320">
        <f>IFERROR(__xludf.DUMMYFUNCTION("""COMPUTED_VALUE"""),72.02)</f>
        <v>72.02</v>
      </c>
      <c r="AI555" s="320">
        <f>IFERROR(__xludf.DUMMYFUNCTION("""COMPUTED_VALUE"""),30.67)</f>
        <v>30.67</v>
      </c>
      <c r="AJ555" s="320">
        <f>IFERROR(__xludf.DUMMYFUNCTION("""COMPUTED_VALUE"""),8.8)</f>
        <v>8.8</v>
      </c>
      <c r="AK555" s="320">
        <f>IFERROR(__xludf.DUMMYFUNCTION("""COMPUTED_VALUE"""),0.2698)</f>
        <v>0.2698</v>
      </c>
      <c r="AL555" s="320">
        <f>IFERROR(__xludf.DUMMYFUNCTION("""COMPUTED_VALUE"""),19.09)</f>
        <v>19.09</v>
      </c>
      <c r="AM555" s="320">
        <f>IFERROR(__xludf.DUMMYFUNCTION("""COMPUTED_VALUE"""),19.37)</f>
        <v>19.37</v>
      </c>
      <c r="AN555" s="320">
        <f>IFERROR(__xludf.DUMMYFUNCTION("""COMPUTED_VALUE"""),65.83)</f>
        <v>65.83</v>
      </c>
      <c r="AO555" s="320">
        <f>IFERROR(__xludf.DUMMYFUNCTION("""COMPUTED_VALUE"""),12.57)</f>
        <v>12.57</v>
      </c>
    </row>
    <row r="556" ht="15.0" customHeight="1">
      <c r="A556" s="328">
        <f>IFERROR(__xludf.DUMMYFUNCTION("""COMPUTED_VALUE"""),46142.0)</f>
        <v>46142</v>
      </c>
      <c r="B556" s="319" t="str">
        <f>IFERROR(__xludf.DUMMYFUNCTION("""COMPUTED_VALUE"""),"C. 10-19")</f>
        <v>C. 10-19</v>
      </c>
      <c r="C556" s="320">
        <f>IFERROR(__xludf.DUMMYFUNCTION("""COMPUTED_VALUE"""),25323.0)</f>
        <v>25323</v>
      </c>
      <c r="D556" s="320">
        <f>IFERROR(__xludf.DUMMYFUNCTION("""COMPUTED_VALUE"""),25.4)</f>
        <v>25.4</v>
      </c>
      <c r="E556" s="320">
        <f>IFERROR(__xludf.DUMMYFUNCTION("""COMPUTED_VALUE"""),0.0)</f>
        <v>0</v>
      </c>
      <c r="F556" s="320">
        <f>IFERROR(__xludf.DUMMYFUNCTION("""COMPUTED_VALUE"""),0.0)</f>
        <v>0</v>
      </c>
      <c r="G556" s="320">
        <f>IFERROR(__xludf.DUMMYFUNCTION("""COMPUTED_VALUE"""),0.0)</f>
        <v>0</v>
      </c>
      <c r="H556" s="106"/>
      <c r="I556" s="320">
        <f>IFERROR(__xludf.DUMMYFUNCTION("""COMPUTED_VALUE"""),52.17)</f>
        <v>52.17</v>
      </c>
      <c r="J556" s="320">
        <f>IFERROR(__xludf.DUMMYFUNCTION("""COMPUTED_VALUE"""),24.79)</f>
        <v>24.79</v>
      </c>
      <c r="K556" s="320">
        <f>IFERROR(__xludf.DUMMYFUNCTION("""COMPUTED_VALUE"""),13.38)</f>
        <v>13.38</v>
      </c>
      <c r="L556" s="320">
        <f>IFERROR(__xludf.DUMMYFUNCTION("""COMPUTED_VALUE"""),0.5395)</f>
        <v>0.5395</v>
      </c>
      <c r="M556" s="320">
        <f>IFERROR(__xludf.DUMMYFUNCTION("""COMPUTED_VALUE"""),0.6507)</f>
        <v>0.6507</v>
      </c>
      <c r="N556" s="320">
        <f>IFERROR(__xludf.DUMMYFUNCTION("""COMPUTED_VALUE"""),0.4512)</f>
        <v>0.4512</v>
      </c>
      <c r="O556" s="320">
        <f>IFERROR(__xludf.DUMMYFUNCTION("""COMPUTED_VALUE"""),1.8535)</f>
        <v>1.8535</v>
      </c>
      <c r="P556" s="320">
        <f>IFERROR(__xludf.DUMMYFUNCTION("""COMPUTED_VALUE"""),90.53)</f>
        <v>90.53</v>
      </c>
      <c r="Q556" s="320">
        <f>IFERROR(__xludf.DUMMYFUNCTION("""COMPUTED_VALUE"""),67.42)</f>
        <v>67.42</v>
      </c>
      <c r="R556" s="320">
        <f>IFERROR(__xludf.DUMMYFUNCTION("""COMPUTED_VALUE"""),23.11)</f>
        <v>23.11</v>
      </c>
      <c r="S556" s="320">
        <f>IFERROR(__xludf.DUMMYFUNCTION("""COMPUTED_VALUE"""),0.0)</f>
        <v>0</v>
      </c>
      <c r="T556" s="320">
        <f>IFERROR(__xludf.DUMMYFUNCTION("""COMPUTED_VALUE"""),90.53)</f>
        <v>90.53</v>
      </c>
      <c r="U556" s="320">
        <f>IFERROR(__xludf.DUMMYFUNCTION("""COMPUTED_VALUE"""),93.0)</f>
        <v>93</v>
      </c>
      <c r="V556" s="320">
        <f>IFERROR(__xludf.DUMMYFUNCTION("""COMPUTED_VALUE"""),3.7511)</f>
        <v>3.7511</v>
      </c>
      <c r="W556" s="320">
        <f>IFERROR(__xludf.DUMMYFUNCTION("""COMPUTED_VALUE"""),0.0)</f>
        <v>0</v>
      </c>
      <c r="X556" s="320">
        <f>IFERROR(__xludf.DUMMYFUNCTION("""COMPUTED_VALUE"""),129.0)</f>
        <v>129</v>
      </c>
      <c r="Y556" s="320">
        <f>IFERROR(__xludf.DUMMYFUNCTION("""COMPUTED_VALUE"""),736.0)</f>
        <v>736</v>
      </c>
      <c r="Z556" s="320">
        <f>IFERROR(__xludf.DUMMYFUNCTION("""COMPUTED_VALUE"""),5357.0)</f>
        <v>5357</v>
      </c>
      <c r="AA556" s="320">
        <f>IFERROR(__xludf.DUMMYFUNCTION("""COMPUTED_VALUE"""),52.3003)</f>
        <v>52.3003</v>
      </c>
      <c r="AB556" s="320">
        <f>IFERROR(__xludf.DUMMYFUNCTION("""COMPUTED_VALUE"""),0.634)</f>
        <v>0.634</v>
      </c>
      <c r="AC556" s="320">
        <f>IFERROR(__xludf.DUMMYFUNCTION("""COMPUTED_VALUE"""),9.07)</f>
        <v>9.07</v>
      </c>
      <c r="AD556" s="320">
        <f>IFERROR(__xludf.DUMMYFUNCTION("""COMPUTED_VALUE"""),3.0)</f>
        <v>3</v>
      </c>
      <c r="AE556" s="320">
        <f>IFERROR(__xludf.DUMMYFUNCTION("""COMPUTED_VALUE"""),7.0)</f>
        <v>7</v>
      </c>
      <c r="AF556" s="320">
        <f>IFERROR(__xludf.DUMMYFUNCTION("""COMPUTED_VALUE"""),13.0)</f>
        <v>13</v>
      </c>
      <c r="AG556" s="320">
        <f>IFERROR(__xludf.DUMMYFUNCTION("""COMPUTED_VALUE"""),20.0)</f>
        <v>20</v>
      </c>
      <c r="AH556" s="320">
        <f>IFERROR(__xludf.DUMMYFUNCTION("""COMPUTED_VALUE"""),58.06)</f>
        <v>58.06</v>
      </c>
      <c r="AI556" s="320">
        <f>IFERROR(__xludf.DUMMYFUNCTION("""COMPUTED_VALUE"""),24.62)</f>
        <v>24.62</v>
      </c>
      <c r="AJ556" s="320">
        <f>IFERROR(__xludf.DUMMYFUNCTION("""COMPUTED_VALUE"""),4.46)</f>
        <v>4.46</v>
      </c>
      <c r="AK556" s="320">
        <f>IFERROR(__xludf.DUMMYFUNCTION("""COMPUTED_VALUE"""),0.215)</f>
        <v>0.215</v>
      </c>
      <c r="AL556" s="320">
        <f>IFERROR(__xludf.DUMMYFUNCTION("""COMPUTED_VALUE"""),19.98)</f>
        <v>19.98</v>
      </c>
      <c r="AM556" s="320">
        <f>IFERROR(__xludf.DUMMYFUNCTION("""COMPUTED_VALUE"""),47.44)</f>
        <v>47.44</v>
      </c>
      <c r="AN556" s="320">
        <f>IFERROR(__xludf.DUMMYFUNCTION("""COMPUTED_VALUE"""),74.87)</f>
        <v>74.87</v>
      </c>
      <c r="AO556" s="320">
        <f>IFERROR(__xludf.DUMMYFUNCTION("""COMPUTED_VALUE"""),14.96)</f>
        <v>14.96</v>
      </c>
    </row>
    <row r="557" ht="15.0" customHeight="1">
      <c r="A557" s="328">
        <f>IFERROR(__xludf.DUMMYFUNCTION("""COMPUTED_VALUE"""),46142.0)</f>
        <v>46142</v>
      </c>
      <c r="B557" s="319" t="str">
        <f>IFERROR(__xludf.DUMMYFUNCTION("""COMPUTED_VALUE"""),"D. 20-39")</f>
        <v>D. 20-39</v>
      </c>
      <c r="C557" s="320">
        <f>IFERROR(__xludf.DUMMYFUNCTION("""COMPUTED_VALUE"""),14152.0)</f>
        <v>14152</v>
      </c>
      <c r="D557" s="320">
        <f>IFERROR(__xludf.DUMMYFUNCTION("""COMPUTED_VALUE"""),14.19)</f>
        <v>14.19</v>
      </c>
      <c r="E557" s="320">
        <f>IFERROR(__xludf.DUMMYFUNCTION("""COMPUTED_VALUE"""),0.0)</f>
        <v>0</v>
      </c>
      <c r="F557" s="320">
        <f>IFERROR(__xludf.DUMMYFUNCTION("""COMPUTED_VALUE"""),0.0)</f>
        <v>0</v>
      </c>
      <c r="G557" s="320">
        <f>IFERROR(__xludf.DUMMYFUNCTION("""COMPUTED_VALUE"""),0.0)</f>
        <v>0</v>
      </c>
      <c r="H557" s="106"/>
      <c r="I557" s="320">
        <f>IFERROR(__xludf.DUMMYFUNCTION("""COMPUTED_VALUE"""),75.31)</f>
        <v>75.31</v>
      </c>
      <c r="J557" s="320">
        <f>IFERROR(__xludf.DUMMYFUNCTION("""COMPUTED_VALUE"""),38.34)</f>
        <v>38.34</v>
      </c>
      <c r="K557" s="320">
        <f>IFERROR(__xludf.DUMMYFUNCTION("""COMPUTED_VALUE"""),25.41)</f>
        <v>25.41</v>
      </c>
      <c r="L557" s="320">
        <f>IFERROR(__xludf.DUMMYFUNCTION("""COMPUTED_VALUE"""),0.6628)</f>
        <v>0.6628</v>
      </c>
      <c r="M557" s="320">
        <f>IFERROR(__xludf.DUMMYFUNCTION("""COMPUTED_VALUE"""),0.5281)</f>
        <v>0.5281</v>
      </c>
      <c r="N557" s="320">
        <f>IFERROR(__xludf.DUMMYFUNCTION("""COMPUTED_VALUE"""),0.3641)</f>
        <v>0.3641</v>
      </c>
      <c r="O557" s="320">
        <f>IFERROR(__xludf.DUMMYFUNCTION("""COMPUTED_VALUE"""),1.5087)</f>
        <v>1.5087</v>
      </c>
      <c r="P557" s="320">
        <f>IFERROR(__xludf.DUMMYFUNCTION("""COMPUTED_VALUE"""),161.38)</f>
        <v>161.38</v>
      </c>
      <c r="Q557" s="320">
        <f>IFERROR(__xludf.DUMMYFUNCTION("""COMPUTED_VALUE"""),116.69)</f>
        <v>116.69</v>
      </c>
      <c r="R557" s="320">
        <f>IFERROR(__xludf.DUMMYFUNCTION("""COMPUTED_VALUE"""),44.69)</f>
        <v>44.69</v>
      </c>
      <c r="S557" s="320">
        <f>IFERROR(__xludf.DUMMYFUNCTION("""COMPUTED_VALUE"""),0.0)</f>
        <v>0</v>
      </c>
      <c r="T557" s="320">
        <f>IFERROR(__xludf.DUMMYFUNCTION("""COMPUTED_VALUE"""),161.38)</f>
        <v>161.38</v>
      </c>
      <c r="U557" s="320">
        <f>IFERROR(__xludf.DUMMYFUNCTION("""COMPUTED_VALUE"""),164.51)</f>
        <v>164.51</v>
      </c>
      <c r="V557" s="320">
        <f>IFERROR(__xludf.DUMMYFUNCTION("""COMPUTED_VALUE"""),4.291)</f>
        <v>4.291</v>
      </c>
      <c r="W557" s="320">
        <f>IFERROR(__xludf.DUMMYFUNCTION("""COMPUTED_VALUE"""),0.0)</f>
        <v>0</v>
      </c>
      <c r="X557" s="320">
        <f>IFERROR(__xludf.DUMMYFUNCTION("""COMPUTED_VALUE"""),162.0)</f>
        <v>162</v>
      </c>
      <c r="Y557" s="320">
        <f>IFERROR(__xludf.DUMMYFUNCTION("""COMPUTED_VALUE"""),998.0)</f>
        <v>998</v>
      </c>
      <c r="Z557" s="320">
        <f>IFERROR(__xludf.DUMMYFUNCTION("""COMPUTED_VALUE"""),6339.0)</f>
        <v>6339</v>
      </c>
      <c r="AA557" s="320">
        <f>IFERROR(__xludf.DUMMYFUNCTION("""COMPUTED_VALUE"""),55.7355)</f>
        <v>55.7355</v>
      </c>
      <c r="AB557" s="320">
        <f>IFERROR(__xludf.DUMMYFUNCTION("""COMPUTED_VALUE"""),0.7501)</f>
        <v>0.7501</v>
      </c>
      <c r="AC557" s="320">
        <f>IFERROR(__xludf.DUMMYFUNCTION("""COMPUTED_VALUE"""),17.34)</f>
        <v>17.34</v>
      </c>
      <c r="AD557" s="320">
        <f>IFERROR(__xludf.DUMMYFUNCTION("""COMPUTED_VALUE"""),7.0)</f>
        <v>7</v>
      </c>
      <c r="AE557" s="320">
        <f>IFERROR(__xludf.DUMMYFUNCTION("""COMPUTED_VALUE"""),13.0)</f>
        <v>13</v>
      </c>
      <c r="AF557" s="320">
        <f>IFERROR(__xludf.DUMMYFUNCTION("""COMPUTED_VALUE"""),24.0)</f>
        <v>24</v>
      </c>
      <c r="AG557" s="320">
        <f>IFERROR(__xludf.DUMMYFUNCTION("""COMPUTED_VALUE"""),36.0)</f>
        <v>36</v>
      </c>
      <c r="AH557" s="320">
        <f>IFERROR(__xludf.DUMMYFUNCTION("""COMPUTED_VALUE"""),59.47)</f>
        <v>59.47</v>
      </c>
      <c r="AI557" s="320">
        <f>IFERROR(__xludf.DUMMYFUNCTION("""COMPUTED_VALUE"""),22.62)</f>
        <v>22.62</v>
      </c>
      <c r="AJ557" s="320">
        <f>IFERROR(__xludf.DUMMYFUNCTION("""COMPUTED_VALUE"""),6.37)</f>
        <v>6.37</v>
      </c>
      <c r="AK557" s="320">
        <f>IFERROR(__xludf.DUMMYFUNCTION("""COMPUTED_VALUE"""),0.2024)</f>
        <v>0.2024</v>
      </c>
      <c r="AL557" s="320">
        <f>IFERROR(__xludf.DUMMYFUNCTION("""COMPUTED_VALUE"""),19.98)</f>
        <v>19.98</v>
      </c>
      <c r="AM557" s="320">
        <f>IFERROR(__xludf.DUMMYFUNCTION("""COMPUTED_VALUE"""),96.71)</f>
        <v>96.71</v>
      </c>
      <c r="AN557" s="320">
        <f>IFERROR(__xludf.DUMMYFUNCTION("""COMPUTED_VALUE"""),78.23)</f>
        <v>78.23</v>
      </c>
      <c r="AO557" s="320">
        <f>IFERROR(__xludf.DUMMYFUNCTION("""COMPUTED_VALUE"""),15.63)</f>
        <v>15.63</v>
      </c>
    </row>
    <row r="558" ht="15.0" customHeight="1">
      <c r="A558" s="328">
        <f>IFERROR(__xludf.DUMMYFUNCTION("""COMPUTED_VALUE"""),46142.0)</f>
        <v>46142</v>
      </c>
      <c r="B558" s="319" t="str">
        <f>IFERROR(__xludf.DUMMYFUNCTION("""COMPUTED_VALUE"""),"E. 40-99")</f>
        <v>E. 40-99</v>
      </c>
      <c r="C558" s="320">
        <f>IFERROR(__xludf.DUMMYFUNCTION("""COMPUTED_VALUE"""),5923.0)</f>
        <v>5923</v>
      </c>
      <c r="D558" s="320">
        <f>IFERROR(__xludf.DUMMYFUNCTION("""COMPUTED_VALUE"""),5.94)</f>
        <v>5.94</v>
      </c>
      <c r="E558" s="320">
        <f>IFERROR(__xludf.DUMMYFUNCTION("""COMPUTED_VALUE"""),0.0)</f>
        <v>0</v>
      </c>
      <c r="F558" s="320">
        <f>IFERROR(__xludf.DUMMYFUNCTION("""COMPUTED_VALUE"""),0.0)</f>
        <v>0</v>
      </c>
      <c r="G558" s="320">
        <f>IFERROR(__xludf.DUMMYFUNCTION("""COMPUTED_VALUE"""),0.0)</f>
        <v>0</v>
      </c>
      <c r="H558" s="106"/>
      <c r="I558" s="320">
        <f>IFERROR(__xludf.DUMMYFUNCTION("""COMPUTED_VALUE"""),124.5)</f>
        <v>124.5</v>
      </c>
      <c r="J558" s="320">
        <f>IFERROR(__xludf.DUMMYFUNCTION("""COMPUTED_VALUE"""),67.47)</f>
        <v>67.47</v>
      </c>
      <c r="K558" s="320">
        <f>IFERROR(__xludf.DUMMYFUNCTION("""COMPUTED_VALUE"""),53.63)</f>
        <v>53.63</v>
      </c>
      <c r="L558" s="320">
        <f>IFERROR(__xludf.DUMMYFUNCTION("""COMPUTED_VALUE"""),0.7949)</f>
        <v>0.7949</v>
      </c>
      <c r="M558" s="320">
        <f>IFERROR(__xludf.DUMMYFUNCTION("""COMPUTED_VALUE"""),0.3871)</f>
        <v>0.3871</v>
      </c>
      <c r="N558" s="320">
        <f>IFERROR(__xludf.DUMMYFUNCTION("""COMPUTED_VALUE"""),0.2797)</f>
        <v>0.2797</v>
      </c>
      <c r="O558" s="320">
        <f>IFERROR(__xludf.DUMMYFUNCTION("""COMPUTED_VALUE"""),1.258)</f>
        <v>1.258</v>
      </c>
      <c r="P558" s="320">
        <f>IFERROR(__xludf.DUMMYFUNCTION("""COMPUTED_VALUE"""),323.89)</f>
        <v>323.89</v>
      </c>
      <c r="Q558" s="320">
        <f>IFERROR(__xludf.DUMMYFUNCTION("""COMPUTED_VALUE"""),228.86)</f>
        <v>228.86</v>
      </c>
      <c r="R558" s="320">
        <f>IFERROR(__xludf.DUMMYFUNCTION("""COMPUTED_VALUE"""),95.03)</f>
        <v>95.03</v>
      </c>
      <c r="S558" s="320">
        <f>IFERROR(__xludf.DUMMYFUNCTION("""COMPUTED_VALUE"""),0.01)</f>
        <v>0.01</v>
      </c>
      <c r="T558" s="320">
        <f>IFERROR(__xludf.DUMMYFUNCTION("""COMPUTED_VALUE"""),323.87)</f>
        <v>323.87</v>
      </c>
      <c r="U558" s="320">
        <f>IFERROR(__xludf.DUMMYFUNCTION("""COMPUTED_VALUE"""),329.71)</f>
        <v>329.71</v>
      </c>
      <c r="V558" s="320">
        <f>IFERROR(__xludf.DUMMYFUNCTION("""COMPUTED_VALUE"""),4.8868)</f>
        <v>4.8868</v>
      </c>
      <c r="W558" s="320">
        <f>IFERROR(__xludf.DUMMYFUNCTION("""COMPUTED_VALUE"""),0.0)</f>
        <v>0</v>
      </c>
      <c r="X558" s="320">
        <f>IFERROR(__xludf.DUMMYFUNCTION("""COMPUTED_VALUE"""),357.0)</f>
        <v>357</v>
      </c>
      <c r="Y558" s="320">
        <f>IFERROR(__xludf.DUMMYFUNCTION("""COMPUTED_VALUE"""),2076.0)</f>
        <v>2076</v>
      </c>
      <c r="Z558" s="320">
        <f>IFERROR(__xludf.DUMMYFUNCTION("""COMPUTED_VALUE"""),8639.0)</f>
        <v>8639</v>
      </c>
      <c r="AA558" s="320">
        <f>IFERROR(__xludf.DUMMYFUNCTION("""COMPUTED_VALUE"""),59.7753)</f>
        <v>59.7753</v>
      </c>
      <c r="AB558" s="320">
        <f>IFERROR(__xludf.DUMMYFUNCTION("""COMPUTED_VALUE"""),0.8425)</f>
        <v>0.8425</v>
      </c>
      <c r="AC558" s="320">
        <f>IFERROR(__xludf.DUMMYFUNCTION("""COMPUTED_VALUE"""),37.46)</f>
        <v>37.46</v>
      </c>
      <c r="AD558" s="320">
        <f>IFERROR(__xludf.DUMMYFUNCTION("""COMPUTED_VALUE"""),15.0)</f>
        <v>15</v>
      </c>
      <c r="AE558" s="320">
        <f>IFERROR(__xludf.DUMMYFUNCTION("""COMPUTED_VALUE"""),29.0)</f>
        <v>29</v>
      </c>
      <c r="AF558" s="320">
        <f>IFERROR(__xludf.DUMMYFUNCTION("""COMPUTED_VALUE"""),52.0)</f>
        <v>52</v>
      </c>
      <c r="AG558" s="320">
        <f>IFERROR(__xludf.DUMMYFUNCTION("""COMPUTED_VALUE"""),78.0)</f>
        <v>78</v>
      </c>
      <c r="AH558" s="320">
        <f>IFERROR(__xludf.DUMMYFUNCTION("""COMPUTED_VALUE"""),52.91)</f>
        <v>52.91</v>
      </c>
      <c r="AI558" s="320">
        <f>IFERROR(__xludf.DUMMYFUNCTION("""COMPUTED_VALUE"""),19.72)</f>
        <v>19.72</v>
      </c>
      <c r="AJ558" s="320">
        <f>IFERROR(__xludf.DUMMYFUNCTION("""COMPUTED_VALUE"""),4.1)</f>
        <v>4.1</v>
      </c>
      <c r="AK558" s="320">
        <f>IFERROR(__xludf.DUMMYFUNCTION("""COMPUTED_VALUE"""),0.1516)</f>
        <v>0.1516</v>
      </c>
      <c r="AL558" s="320">
        <f>IFERROR(__xludf.DUMMYFUNCTION("""COMPUTED_VALUE"""),21.01)</f>
        <v>21.01</v>
      </c>
      <c r="AM558" s="320">
        <f>IFERROR(__xludf.DUMMYFUNCTION("""COMPUTED_VALUE"""),207.85)</f>
        <v>207.85</v>
      </c>
      <c r="AN558" s="320">
        <f>IFERROR(__xludf.DUMMYFUNCTION("""COMPUTED_VALUE"""),83.63)</f>
        <v>83.63</v>
      </c>
      <c r="AO558" s="320">
        <f>IFERROR(__xludf.DUMMYFUNCTION("""COMPUTED_VALUE"""),17.57)</f>
        <v>17.57</v>
      </c>
    </row>
    <row r="559" ht="15.0" customHeight="1">
      <c r="A559" s="328">
        <f>IFERROR(__xludf.DUMMYFUNCTION("""COMPUTED_VALUE"""),46142.0)</f>
        <v>46142</v>
      </c>
      <c r="B559" s="319" t="str">
        <f>IFERROR(__xludf.DUMMYFUNCTION("""COMPUTED_VALUE"""),"F. 100+")</f>
        <v>F. 100+</v>
      </c>
      <c r="C559" s="320">
        <f>IFERROR(__xludf.DUMMYFUNCTION("""COMPUTED_VALUE"""),651.0)</f>
        <v>651</v>
      </c>
      <c r="D559" s="320">
        <f>IFERROR(__xludf.DUMMYFUNCTION("""COMPUTED_VALUE"""),0.65)</f>
        <v>0.65</v>
      </c>
      <c r="E559" s="320">
        <f>IFERROR(__xludf.DUMMYFUNCTION("""COMPUTED_VALUE"""),0.0)</f>
        <v>0</v>
      </c>
      <c r="F559" s="320">
        <f>IFERROR(__xludf.DUMMYFUNCTION("""COMPUTED_VALUE"""),0.0)</f>
        <v>0</v>
      </c>
      <c r="G559" s="320">
        <f>IFERROR(__xludf.DUMMYFUNCTION("""COMPUTED_VALUE"""),0.0)</f>
        <v>0</v>
      </c>
      <c r="H559" s="106"/>
      <c r="I559" s="320">
        <f>IFERROR(__xludf.DUMMYFUNCTION("""COMPUTED_VALUE"""),236.17)</f>
        <v>236.17</v>
      </c>
      <c r="J559" s="320">
        <f>IFERROR(__xludf.DUMMYFUNCTION("""COMPUTED_VALUE"""),140.53)</f>
        <v>140.53</v>
      </c>
      <c r="K559" s="320">
        <f>IFERROR(__xludf.DUMMYFUNCTION("""COMPUTED_VALUE"""),122.79)</f>
        <v>122.79</v>
      </c>
      <c r="L559" s="320">
        <f>IFERROR(__xludf.DUMMYFUNCTION("""COMPUTED_VALUE"""),0.8738)</f>
        <v>0.8738</v>
      </c>
      <c r="M559" s="320">
        <f>IFERROR(__xludf.DUMMYFUNCTION("""COMPUTED_VALUE"""),0.2825)</f>
        <v>0.2825</v>
      </c>
      <c r="N559" s="320">
        <f>IFERROR(__xludf.DUMMYFUNCTION("""COMPUTED_VALUE"""),0.212)</f>
        <v>0.212</v>
      </c>
      <c r="O559" s="320">
        <f>IFERROR(__xludf.DUMMYFUNCTION("""COMPUTED_VALUE"""),1.1444)</f>
        <v>1.1444</v>
      </c>
      <c r="P559" s="320">
        <f>IFERROR(__xludf.DUMMYFUNCTION("""COMPUTED_VALUE"""),592.58)</f>
        <v>592.58</v>
      </c>
      <c r="Q559" s="320">
        <f>IFERROR(__xludf.DUMMYFUNCTION("""COMPUTED_VALUE"""),378.56)</f>
        <v>378.56</v>
      </c>
      <c r="R559" s="320">
        <f>IFERROR(__xludf.DUMMYFUNCTION("""COMPUTED_VALUE"""),214.02)</f>
        <v>214.02</v>
      </c>
      <c r="S559" s="320">
        <f>IFERROR(__xludf.DUMMYFUNCTION("""COMPUTED_VALUE"""),0.0)</f>
        <v>0</v>
      </c>
      <c r="T559" s="320">
        <f>IFERROR(__xludf.DUMMYFUNCTION("""COMPUTED_VALUE"""),592.58)</f>
        <v>592.58</v>
      </c>
      <c r="U559" s="320">
        <f>IFERROR(__xludf.DUMMYFUNCTION("""COMPUTED_VALUE"""),750.31)</f>
        <v>750.31</v>
      </c>
      <c r="V559" s="320">
        <f>IFERROR(__xludf.DUMMYFUNCTION("""COMPUTED_VALUE"""),5.3392)</f>
        <v>5.3392</v>
      </c>
      <c r="W559" s="320">
        <f>IFERROR(__xludf.DUMMYFUNCTION("""COMPUTED_VALUE"""),0.0)</f>
        <v>0</v>
      </c>
      <c r="X559" s="320">
        <f>IFERROR(__xludf.DUMMYFUNCTION("""COMPUTED_VALUE"""),896.0)</f>
        <v>896</v>
      </c>
      <c r="Y559" s="320">
        <f>IFERROR(__xludf.DUMMYFUNCTION("""COMPUTED_VALUE"""),4230.0)</f>
        <v>4230</v>
      </c>
      <c r="Z559" s="320">
        <f>IFERROR(__xludf.DUMMYFUNCTION("""COMPUTED_VALUE"""),12801.0)</f>
        <v>12801</v>
      </c>
      <c r="AA559" s="320">
        <f>IFERROR(__xludf.DUMMYFUNCTION("""COMPUTED_VALUE"""),63.0622)</f>
        <v>63.0622</v>
      </c>
      <c r="AB559" s="320">
        <f>IFERROR(__xludf.DUMMYFUNCTION("""COMPUTED_VALUE"""),0.9011)</f>
        <v>0.9011</v>
      </c>
      <c r="AC559" s="320">
        <f>IFERROR(__xludf.DUMMYFUNCTION("""COMPUTED_VALUE"""),88.06)</f>
        <v>88.06</v>
      </c>
      <c r="AD559" s="320">
        <f>IFERROR(__xludf.DUMMYFUNCTION("""COMPUTED_VALUE"""),34.0)</f>
        <v>34</v>
      </c>
      <c r="AE559" s="320">
        <f>IFERROR(__xludf.DUMMYFUNCTION("""COMPUTED_VALUE"""),72.0)</f>
        <v>72</v>
      </c>
      <c r="AF559" s="320">
        <f>IFERROR(__xludf.DUMMYFUNCTION("""COMPUTED_VALUE"""),120.0)</f>
        <v>120</v>
      </c>
      <c r="AG559" s="320">
        <f>IFERROR(__xludf.DUMMYFUNCTION("""COMPUTED_VALUE"""),172.0)</f>
        <v>172</v>
      </c>
      <c r="AH559" s="320">
        <f>IFERROR(__xludf.DUMMYFUNCTION("""COMPUTED_VALUE"""),47.0)</f>
        <v>47</v>
      </c>
      <c r="AI559" s="320">
        <f>IFERROR(__xludf.DUMMYFUNCTION("""COMPUTED_VALUE"""),9.52)</f>
        <v>9.52</v>
      </c>
      <c r="AJ559" s="320">
        <f>IFERROR(__xludf.DUMMYFUNCTION("""COMPUTED_VALUE"""),2.0)</f>
        <v>2</v>
      </c>
      <c r="AK559" s="320">
        <f>IFERROR(__xludf.DUMMYFUNCTION("""COMPUTED_VALUE"""),0.1029)</f>
        <v>0.1029</v>
      </c>
      <c r="AL559" s="320">
        <f>IFERROR(__xludf.DUMMYFUNCTION("""COMPUTED_VALUE"""),25.74)</f>
        <v>25.74</v>
      </c>
      <c r="AM559" s="320">
        <f>IFERROR(__xludf.DUMMYFUNCTION("""COMPUTED_VALUE"""),352.82)</f>
        <v>352.82</v>
      </c>
      <c r="AN559" s="320">
        <f>IFERROR(__xludf.DUMMYFUNCTION("""COMPUTED_VALUE"""),84.57)</f>
        <v>84.57</v>
      </c>
      <c r="AO559" s="320">
        <f>IFERROR(__xludf.DUMMYFUNCTION("""COMPUTED_VALUE"""),21.77)</f>
        <v>21.77</v>
      </c>
    </row>
    <row r="560" ht="15.0" customHeight="1">
      <c r="A560" s="328">
        <f>IFERROR(__xludf.DUMMYFUNCTION("""COMPUTED_VALUE"""),46143.0)</f>
        <v>46143</v>
      </c>
      <c r="B560" s="319" t="str">
        <f>IFERROR(__xludf.DUMMYFUNCTION("""COMPUTED_VALUE"""),"A. 0")</f>
        <v>A. 0</v>
      </c>
      <c r="C560" s="320">
        <f>IFERROR(__xludf.DUMMYFUNCTION("""COMPUTED_VALUE"""),17454.0)</f>
        <v>17454</v>
      </c>
      <c r="D560" s="320">
        <f>IFERROR(__xludf.DUMMYFUNCTION("""COMPUTED_VALUE"""),17.94)</f>
        <v>17.94</v>
      </c>
      <c r="E560" s="320">
        <f>IFERROR(__xludf.DUMMYFUNCTION("""COMPUTED_VALUE"""),0.0)</f>
        <v>0</v>
      </c>
      <c r="F560" s="320">
        <f>IFERROR(__xludf.DUMMYFUNCTION("""COMPUTED_VALUE"""),0.0)</f>
        <v>0</v>
      </c>
      <c r="G560" s="320">
        <f>IFERROR(__xludf.DUMMYFUNCTION("""COMPUTED_VALUE"""),0.0)</f>
        <v>0</v>
      </c>
      <c r="H560" s="106"/>
      <c r="I560" s="320">
        <f>IFERROR(__xludf.DUMMYFUNCTION("""COMPUTED_VALUE"""),5.64)</f>
        <v>5.64</v>
      </c>
      <c r="J560" s="320">
        <f>IFERROR(__xludf.DUMMYFUNCTION("""COMPUTED_VALUE"""),2.19)</f>
        <v>2.19</v>
      </c>
      <c r="K560" s="320">
        <f>IFERROR(__xludf.DUMMYFUNCTION("""COMPUTED_VALUE"""),0.04)</f>
        <v>0.04</v>
      </c>
      <c r="L560" s="320">
        <f>IFERROR(__xludf.DUMMYFUNCTION("""COMPUTED_VALUE"""),0.0188)</f>
        <v>0.0188</v>
      </c>
      <c r="M560" s="320">
        <f>IFERROR(__xludf.DUMMYFUNCTION("""COMPUTED_VALUE"""),0.9856)</f>
        <v>0.9856</v>
      </c>
      <c r="N560" s="320">
        <f>IFERROR(__xludf.DUMMYFUNCTION("""COMPUTED_VALUE"""),0.834)</f>
        <v>0.834</v>
      </c>
      <c r="O560" s="320">
        <f>IFERROR(__xludf.DUMMYFUNCTION("""COMPUTED_VALUE"""),53.0974)</f>
        <v>53.0974</v>
      </c>
      <c r="P560" s="320">
        <f>IFERROR(__xludf.DUMMYFUNCTION("""COMPUTED_VALUE"""),27.37)</f>
        <v>27.37</v>
      </c>
      <c r="Q560" s="320">
        <f>IFERROR(__xludf.DUMMYFUNCTION("""COMPUTED_VALUE"""),27.27)</f>
        <v>27.27</v>
      </c>
      <c r="R560" s="320">
        <f>IFERROR(__xludf.DUMMYFUNCTION("""COMPUTED_VALUE"""),0.1)</f>
        <v>0.1</v>
      </c>
      <c r="S560" s="320">
        <f>IFERROR(__xludf.DUMMYFUNCTION("""COMPUTED_VALUE"""),0.0)</f>
        <v>0</v>
      </c>
      <c r="T560" s="320">
        <f>IFERROR(__xludf.DUMMYFUNCTION("""COMPUTED_VALUE"""),27.37)</f>
        <v>27.37</v>
      </c>
      <c r="U560" s="320">
        <f>IFERROR(__xludf.DUMMYFUNCTION("""COMPUTED_VALUE"""),1.98)</f>
        <v>1.98</v>
      </c>
      <c r="V560" s="320">
        <f>IFERROR(__xludf.DUMMYFUNCTION("""COMPUTED_VALUE"""),0.9063)</f>
        <v>0.9063</v>
      </c>
      <c r="W560" s="320">
        <f>IFERROR(__xludf.DUMMYFUNCTION("""COMPUTED_VALUE"""),0.0)</f>
        <v>0</v>
      </c>
      <c r="X560" s="320">
        <f>IFERROR(__xludf.DUMMYFUNCTION("""COMPUTED_VALUE"""),401.0)</f>
        <v>401</v>
      </c>
      <c r="Y560" s="320">
        <f>IFERROR(__xludf.DUMMYFUNCTION("""COMPUTED_VALUE"""),4538.0)</f>
        <v>4538</v>
      </c>
      <c r="Z560" s="320">
        <f>IFERROR(__xludf.DUMMYFUNCTION("""COMPUTED_VALUE"""),16362.0)</f>
        <v>16362</v>
      </c>
      <c r="AA560" s="320">
        <f>IFERROR(__xludf.DUMMYFUNCTION("""COMPUTED_VALUE"""),49.0803)</f>
        <v>49.0803</v>
      </c>
      <c r="AB560" s="320">
        <f>IFERROR(__xludf.DUMMYFUNCTION("""COMPUTED_VALUE"""),0.5469)</f>
        <v>0.5469</v>
      </c>
      <c r="AC560" s="106"/>
      <c r="AD560" s="106"/>
      <c r="AE560" s="106"/>
      <c r="AF560" s="106"/>
      <c r="AG560" s="106"/>
      <c r="AH560" s="320">
        <f>IFERROR(__xludf.DUMMYFUNCTION("""COMPUTED_VALUE"""),0.0)</f>
        <v>0</v>
      </c>
      <c r="AI560" s="320">
        <f>IFERROR(__xludf.DUMMYFUNCTION("""COMPUTED_VALUE"""),0.0)</f>
        <v>0</v>
      </c>
      <c r="AJ560" s="320">
        <f>IFERROR(__xludf.DUMMYFUNCTION("""COMPUTED_VALUE"""),0.0)</f>
        <v>0</v>
      </c>
      <c r="AK560" s="320">
        <f>IFERROR(__xludf.DUMMYFUNCTION("""COMPUTED_VALUE"""),0.3088)</f>
        <v>0.3088</v>
      </c>
      <c r="AL560" s="320">
        <f>IFERROR(__xludf.DUMMYFUNCTION("""COMPUTED_VALUE"""),17.47)</f>
        <v>17.47</v>
      </c>
      <c r="AM560" s="320">
        <f>IFERROR(__xludf.DUMMYFUNCTION("""COMPUTED_VALUE"""),9.8)</f>
        <v>9.8</v>
      </c>
      <c r="AN560" s="331"/>
      <c r="AO560" s="331"/>
    </row>
    <row r="561" ht="15.0" customHeight="1">
      <c r="A561" s="328">
        <f>IFERROR(__xludf.DUMMYFUNCTION("""COMPUTED_VALUE"""),46143.0)</f>
        <v>46143</v>
      </c>
      <c r="B561" s="319" t="str">
        <f>IFERROR(__xludf.DUMMYFUNCTION("""COMPUTED_VALUE"""),"B. 1-9")</f>
        <v>B. 1-9</v>
      </c>
      <c r="C561" s="320">
        <f>IFERROR(__xludf.DUMMYFUNCTION("""COMPUTED_VALUE"""),33805.0)</f>
        <v>33805</v>
      </c>
      <c r="D561" s="320">
        <f>IFERROR(__xludf.DUMMYFUNCTION("""COMPUTED_VALUE"""),34.74)</f>
        <v>34.74</v>
      </c>
      <c r="E561" s="320">
        <f>IFERROR(__xludf.DUMMYFUNCTION("""COMPUTED_VALUE"""),0.0)</f>
        <v>0</v>
      </c>
      <c r="F561" s="320">
        <f>IFERROR(__xludf.DUMMYFUNCTION("""COMPUTED_VALUE"""),0.0)</f>
        <v>0</v>
      </c>
      <c r="G561" s="320">
        <f>IFERROR(__xludf.DUMMYFUNCTION("""COMPUTED_VALUE"""),0.0)</f>
        <v>0</v>
      </c>
      <c r="H561" s="106"/>
      <c r="I561" s="320">
        <f>IFERROR(__xludf.DUMMYFUNCTION("""COMPUTED_VALUE"""),31.58)</f>
        <v>31.58</v>
      </c>
      <c r="J561" s="320">
        <f>IFERROR(__xludf.DUMMYFUNCTION("""COMPUTED_VALUE"""),14.37)</f>
        <v>14.37</v>
      </c>
      <c r="K561" s="320">
        <f>IFERROR(__xludf.DUMMYFUNCTION("""COMPUTED_VALUE"""),6.04)</f>
        <v>6.04</v>
      </c>
      <c r="L561" s="320">
        <f>IFERROR(__xludf.DUMMYFUNCTION("""COMPUTED_VALUE"""),0.4202)</f>
        <v>0.4202</v>
      </c>
      <c r="M561" s="320">
        <f>IFERROR(__xludf.DUMMYFUNCTION("""COMPUTED_VALUE"""),0.7461)</f>
        <v>0.7461</v>
      </c>
      <c r="N561" s="320">
        <f>IFERROR(__xludf.DUMMYFUNCTION("""COMPUTED_VALUE"""),0.5399)</f>
        <v>0.5399</v>
      </c>
      <c r="O561" s="320">
        <f>IFERROR(__xludf.DUMMYFUNCTION("""COMPUTED_VALUE"""),2.3797)</f>
        <v>2.3797</v>
      </c>
      <c r="P561" s="320">
        <f>IFERROR(__xludf.DUMMYFUNCTION("""COMPUTED_VALUE"""),60.35)</f>
        <v>60.35</v>
      </c>
      <c r="Q561" s="320">
        <f>IFERROR(__xludf.DUMMYFUNCTION("""COMPUTED_VALUE"""),49.82)</f>
        <v>49.82</v>
      </c>
      <c r="R561" s="320">
        <f>IFERROR(__xludf.DUMMYFUNCTION("""COMPUTED_VALUE"""),10.53)</f>
        <v>10.53</v>
      </c>
      <c r="S561" s="320">
        <f>IFERROR(__xludf.DUMMYFUNCTION("""COMPUTED_VALUE"""),0.0)</f>
        <v>0</v>
      </c>
      <c r="T561" s="320">
        <f>IFERROR(__xludf.DUMMYFUNCTION("""COMPUTED_VALUE"""),60.35)</f>
        <v>60.35</v>
      </c>
      <c r="U561" s="320">
        <f>IFERROR(__xludf.DUMMYFUNCTION("""COMPUTED_VALUE"""),54.96)</f>
        <v>54.96</v>
      </c>
      <c r="V561" s="320">
        <f>IFERROR(__xludf.DUMMYFUNCTION("""COMPUTED_VALUE"""),3.8255)</f>
        <v>3.8255</v>
      </c>
      <c r="W561" s="320">
        <f>IFERROR(__xludf.DUMMYFUNCTION("""COMPUTED_VALUE"""),0.0)</f>
        <v>0</v>
      </c>
      <c r="X561" s="320">
        <f>IFERROR(__xludf.DUMMYFUNCTION("""COMPUTED_VALUE"""),153.0)</f>
        <v>153</v>
      </c>
      <c r="Y561" s="320">
        <f>IFERROR(__xludf.DUMMYFUNCTION("""COMPUTED_VALUE"""),917.0)</f>
        <v>917</v>
      </c>
      <c r="Z561" s="320">
        <f>IFERROR(__xludf.DUMMYFUNCTION("""COMPUTED_VALUE"""),6213.0)</f>
        <v>6213</v>
      </c>
      <c r="AA561" s="320">
        <f>IFERROR(__xludf.DUMMYFUNCTION("""COMPUTED_VALUE"""),48.5618)</f>
        <v>48.5618</v>
      </c>
      <c r="AB561" s="320">
        <f>IFERROR(__xludf.DUMMYFUNCTION("""COMPUTED_VALUE"""),0.5346)</f>
        <v>0.5346</v>
      </c>
      <c r="AC561" s="320">
        <f>IFERROR(__xludf.DUMMYFUNCTION("""COMPUTED_VALUE"""),4.27)</f>
        <v>4.27</v>
      </c>
      <c r="AD561" s="320">
        <f>IFERROR(__xludf.DUMMYFUNCTION("""COMPUTED_VALUE"""),1.0)</f>
        <v>1</v>
      </c>
      <c r="AE561" s="320">
        <f>IFERROR(__xludf.DUMMYFUNCTION("""COMPUTED_VALUE"""),3.0)</f>
        <v>3</v>
      </c>
      <c r="AF561" s="320">
        <f>IFERROR(__xludf.DUMMYFUNCTION("""COMPUTED_VALUE"""),6.0)</f>
        <v>6</v>
      </c>
      <c r="AG561" s="320">
        <f>IFERROR(__xludf.DUMMYFUNCTION("""COMPUTED_VALUE"""),9.0)</f>
        <v>9</v>
      </c>
      <c r="AH561" s="320">
        <f>IFERROR(__xludf.DUMMYFUNCTION("""COMPUTED_VALUE"""),75.15)</f>
        <v>75.15</v>
      </c>
      <c r="AI561" s="320">
        <f>IFERROR(__xludf.DUMMYFUNCTION("""COMPUTED_VALUE"""),33.9)</f>
        <v>33.9</v>
      </c>
      <c r="AJ561" s="320">
        <f>IFERROR(__xludf.DUMMYFUNCTION("""COMPUTED_VALUE"""),9.95)</f>
        <v>9.95</v>
      </c>
      <c r="AK561" s="320">
        <f>IFERROR(__xludf.DUMMYFUNCTION("""COMPUTED_VALUE"""),0.2635)</f>
        <v>0.2635</v>
      </c>
      <c r="AL561" s="320">
        <f>IFERROR(__xludf.DUMMYFUNCTION("""COMPUTED_VALUE"""),20.28)</f>
        <v>20.28</v>
      </c>
      <c r="AM561" s="320">
        <f>IFERROR(__xludf.DUMMYFUNCTION("""COMPUTED_VALUE"""),29.54)</f>
        <v>29.54</v>
      </c>
      <c r="AN561" s="320">
        <f>IFERROR(__xludf.DUMMYFUNCTION("""COMPUTED_VALUE"""),65.85)</f>
        <v>65.85</v>
      </c>
      <c r="AO561" s="320">
        <f>IFERROR(__xludf.DUMMYFUNCTION("""COMPUTED_VALUE"""),13.35)</f>
        <v>13.35</v>
      </c>
    </row>
    <row r="562" ht="15.0" customHeight="1">
      <c r="A562" s="328">
        <f>IFERROR(__xludf.DUMMYFUNCTION("""COMPUTED_VALUE"""),46143.0)</f>
        <v>46143</v>
      </c>
      <c r="B562" s="319" t="str">
        <f>IFERROR(__xludf.DUMMYFUNCTION("""COMPUTED_VALUE"""),"C. 10-19")</f>
        <v>C. 10-19</v>
      </c>
      <c r="C562" s="320">
        <f>IFERROR(__xludf.DUMMYFUNCTION("""COMPUTED_VALUE"""),25048.0)</f>
        <v>25048</v>
      </c>
      <c r="D562" s="320">
        <f>IFERROR(__xludf.DUMMYFUNCTION("""COMPUTED_VALUE"""),25.74)</f>
        <v>25.74</v>
      </c>
      <c r="E562" s="320">
        <f>IFERROR(__xludf.DUMMYFUNCTION("""COMPUTED_VALUE"""),0.0)</f>
        <v>0</v>
      </c>
      <c r="F562" s="320">
        <f>IFERROR(__xludf.DUMMYFUNCTION("""COMPUTED_VALUE"""),0.0)</f>
        <v>0</v>
      </c>
      <c r="G562" s="320">
        <f>IFERROR(__xludf.DUMMYFUNCTION("""COMPUTED_VALUE"""),0.0)</f>
        <v>0</v>
      </c>
      <c r="H562" s="106"/>
      <c r="I562" s="320">
        <f>IFERROR(__xludf.DUMMYFUNCTION("""COMPUTED_VALUE"""),58.03)</f>
        <v>58.03</v>
      </c>
      <c r="J562" s="320">
        <f>IFERROR(__xludf.DUMMYFUNCTION("""COMPUTED_VALUE"""),27.7)</f>
        <v>27.7</v>
      </c>
      <c r="K562" s="320">
        <f>IFERROR(__xludf.DUMMYFUNCTION("""COMPUTED_VALUE"""),14.48)</f>
        <v>14.48</v>
      </c>
      <c r="L562" s="320">
        <f>IFERROR(__xludf.DUMMYFUNCTION("""COMPUTED_VALUE"""),0.5229)</f>
        <v>0.5229</v>
      </c>
      <c r="M562" s="320">
        <f>IFERROR(__xludf.DUMMYFUNCTION("""COMPUTED_VALUE"""),0.661)</f>
        <v>0.661</v>
      </c>
      <c r="N562" s="320">
        <f>IFERROR(__xludf.DUMMYFUNCTION("""COMPUTED_VALUE"""),0.4551)</f>
        <v>0.4551</v>
      </c>
      <c r="O562" s="320">
        <f>IFERROR(__xludf.DUMMYFUNCTION("""COMPUTED_VALUE"""),1.9125)</f>
        <v>1.9125</v>
      </c>
      <c r="P562" s="320">
        <f>IFERROR(__xludf.DUMMYFUNCTION("""COMPUTED_VALUE"""),103.46)</f>
        <v>103.46</v>
      </c>
      <c r="Q562" s="320">
        <f>IFERROR(__xludf.DUMMYFUNCTION("""COMPUTED_VALUE"""),78.06)</f>
        <v>78.06</v>
      </c>
      <c r="R562" s="320">
        <f>IFERROR(__xludf.DUMMYFUNCTION("""COMPUTED_VALUE"""),25.39)</f>
        <v>25.39</v>
      </c>
      <c r="S562" s="320">
        <f>IFERROR(__xludf.DUMMYFUNCTION("""COMPUTED_VALUE"""),0.01)</f>
        <v>0.01</v>
      </c>
      <c r="T562" s="320">
        <f>IFERROR(__xludf.DUMMYFUNCTION("""COMPUTED_VALUE"""),103.44)</f>
        <v>103.44</v>
      </c>
      <c r="U562" s="320">
        <f>IFERROR(__xludf.DUMMYFUNCTION("""COMPUTED_VALUE"""),100.87)</f>
        <v>100.87</v>
      </c>
      <c r="V562" s="320">
        <f>IFERROR(__xludf.DUMMYFUNCTION("""COMPUTED_VALUE"""),3.6418)</f>
        <v>3.6418</v>
      </c>
      <c r="W562" s="320">
        <f>IFERROR(__xludf.DUMMYFUNCTION("""COMPUTED_VALUE"""),0.01)</f>
        <v>0.01</v>
      </c>
      <c r="X562" s="320">
        <f>IFERROR(__xludf.DUMMYFUNCTION("""COMPUTED_VALUE"""),135.0)</f>
        <v>135</v>
      </c>
      <c r="Y562" s="320">
        <f>IFERROR(__xludf.DUMMYFUNCTION("""COMPUTED_VALUE"""),719.0)</f>
        <v>719</v>
      </c>
      <c r="Z562" s="320">
        <f>IFERROR(__xludf.DUMMYFUNCTION("""COMPUTED_VALUE"""),5300.0)</f>
        <v>5300</v>
      </c>
      <c r="AA562" s="320">
        <f>IFERROR(__xludf.DUMMYFUNCTION("""COMPUTED_VALUE"""),52.0429)</f>
        <v>52.0429</v>
      </c>
      <c r="AB562" s="320">
        <f>IFERROR(__xludf.DUMMYFUNCTION("""COMPUTED_VALUE"""),0.6337)</f>
        <v>0.6337</v>
      </c>
      <c r="AC562" s="320">
        <f>IFERROR(__xludf.DUMMYFUNCTION("""COMPUTED_VALUE"""),9.69)</f>
        <v>9.69</v>
      </c>
      <c r="AD562" s="320">
        <f>IFERROR(__xludf.DUMMYFUNCTION("""COMPUTED_VALUE"""),4.0)</f>
        <v>4</v>
      </c>
      <c r="AE562" s="320">
        <f>IFERROR(__xludf.DUMMYFUNCTION("""COMPUTED_VALUE"""),8.0)</f>
        <v>8</v>
      </c>
      <c r="AF562" s="320">
        <f>IFERROR(__xludf.DUMMYFUNCTION("""COMPUTED_VALUE"""),13.0)</f>
        <v>13</v>
      </c>
      <c r="AG562" s="320">
        <f>IFERROR(__xludf.DUMMYFUNCTION("""COMPUTED_VALUE"""),20.0)</f>
        <v>20</v>
      </c>
      <c r="AH562" s="320">
        <f>IFERROR(__xludf.DUMMYFUNCTION("""COMPUTED_VALUE"""),63.39)</f>
        <v>63.39</v>
      </c>
      <c r="AI562" s="320">
        <f>IFERROR(__xludf.DUMMYFUNCTION("""COMPUTED_VALUE"""),27.39)</f>
        <v>27.39</v>
      </c>
      <c r="AJ562" s="320">
        <f>IFERROR(__xludf.DUMMYFUNCTION("""COMPUTED_VALUE"""),4.66)</f>
        <v>4.66</v>
      </c>
      <c r="AK562" s="320">
        <f>IFERROR(__xludf.DUMMYFUNCTION("""COMPUTED_VALUE"""),0.2127)</f>
        <v>0.2127</v>
      </c>
      <c r="AL562" s="320">
        <f>IFERROR(__xludf.DUMMYFUNCTION("""COMPUTED_VALUE"""),21.03)</f>
        <v>21.03</v>
      </c>
      <c r="AM562" s="320">
        <f>IFERROR(__xludf.DUMMYFUNCTION("""COMPUTED_VALUE"""),57.03)</f>
        <v>57.03</v>
      </c>
      <c r="AN562" s="320">
        <f>IFERROR(__xludf.DUMMYFUNCTION("""COMPUTED_VALUE"""),74.88)</f>
        <v>74.88</v>
      </c>
      <c r="AO562" s="320">
        <f>IFERROR(__xludf.DUMMYFUNCTION("""COMPUTED_VALUE"""),15.75)</f>
        <v>15.75</v>
      </c>
    </row>
    <row r="563" ht="15.0" customHeight="1">
      <c r="A563" s="328">
        <f>IFERROR(__xludf.DUMMYFUNCTION("""COMPUTED_VALUE"""),46143.0)</f>
        <v>46143</v>
      </c>
      <c r="B563" s="319" t="str">
        <f>IFERROR(__xludf.DUMMYFUNCTION("""COMPUTED_VALUE"""),"D. 20-39")</f>
        <v>D. 20-39</v>
      </c>
      <c r="C563" s="320">
        <f>IFERROR(__xludf.DUMMYFUNCTION("""COMPUTED_VALUE"""),14468.0)</f>
        <v>14468</v>
      </c>
      <c r="D563" s="320">
        <f>IFERROR(__xludf.DUMMYFUNCTION("""COMPUTED_VALUE"""),14.87)</f>
        <v>14.87</v>
      </c>
      <c r="E563" s="320">
        <f>IFERROR(__xludf.DUMMYFUNCTION("""COMPUTED_VALUE"""),0.0)</f>
        <v>0</v>
      </c>
      <c r="F563" s="320">
        <f>IFERROR(__xludf.DUMMYFUNCTION("""COMPUTED_VALUE"""),0.0)</f>
        <v>0</v>
      </c>
      <c r="G563" s="320">
        <f>IFERROR(__xludf.DUMMYFUNCTION("""COMPUTED_VALUE"""),0.0)</f>
        <v>0</v>
      </c>
      <c r="H563" s="106"/>
      <c r="I563" s="320">
        <f>IFERROR(__xludf.DUMMYFUNCTION("""COMPUTED_VALUE"""),83.8)</f>
        <v>83.8</v>
      </c>
      <c r="J563" s="320">
        <f>IFERROR(__xludf.DUMMYFUNCTION("""COMPUTED_VALUE"""),42.45)</f>
        <v>42.45</v>
      </c>
      <c r="K563" s="320">
        <f>IFERROR(__xludf.DUMMYFUNCTION("""COMPUTED_VALUE"""),27.49)</f>
        <v>27.49</v>
      </c>
      <c r="L563" s="320">
        <f>IFERROR(__xludf.DUMMYFUNCTION("""COMPUTED_VALUE"""),0.6476)</f>
        <v>0.6476</v>
      </c>
      <c r="M563" s="320">
        <f>IFERROR(__xludf.DUMMYFUNCTION("""COMPUTED_VALUE"""),0.5376)</f>
        <v>0.5376</v>
      </c>
      <c r="N563" s="320">
        <f>IFERROR(__xludf.DUMMYFUNCTION("""COMPUTED_VALUE"""),0.3677)</f>
        <v>0.3677</v>
      </c>
      <c r="O563" s="320">
        <f>IFERROR(__xludf.DUMMYFUNCTION("""COMPUTED_VALUE"""),1.5441)</f>
        <v>1.5441</v>
      </c>
      <c r="P563" s="320">
        <f>IFERROR(__xludf.DUMMYFUNCTION("""COMPUTED_VALUE"""),164.04)</f>
        <v>164.04</v>
      </c>
      <c r="Q563" s="320">
        <f>IFERROR(__xludf.DUMMYFUNCTION("""COMPUTED_VALUE"""),115.41)</f>
        <v>115.41</v>
      </c>
      <c r="R563" s="320">
        <f>IFERROR(__xludf.DUMMYFUNCTION("""COMPUTED_VALUE"""),48.63)</f>
        <v>48.63</v>
      </c>
      <c r="S563" s="320">
        <f>IFERROR(__xludf.DUMMYFUNCTION("""COMPUTED_VALUE"""),0.02)</f>
        <v>0.02</v>
      </c>
      <c r="T563" s="320">
        <f>IFERROR(__xludf.DUMMYFUNCTION("""COMPUTED_VALUE"""),164.02)</f>
        <v>164.02</v>
      </c>
      <c r="U563" s="320">
        <f>IFERROR(__xludf.DUMMYFUNCTION("""COMPUTED_VALUE"""),172.4)</f>
        <v>172.4</v>
      </c>
      <c r="V563" s="320">
        <f>IFERROR(__xludf.DUMMYFUNCTION("""COMPUTED_VALUE"""),4.0615)</f>
        <v>4.0615</v>
      </c>
      <c r="W563" s="320">
        <f>IFERROR(__xludf.DUMMYFUNCTION("""COMPUTED_VALUE"""),0.01)</f>
        <v>0.01</v>
      </c>
      <c r="X563" s="320">
        <f>IFERROR(__xludf.DUMMYFUNCTION("""COMPUTED_VALUE"""),152.0)</f>
        <v>152</v>
      </c>
      <c r="Y563" s="320">
        <f>IFERROR(__xludf.DUMMYFUNCTION("""COMPUTED_VALUE"""),989.0)</f>
        <v>989</v>
      </c>
      <c r="Z563" s="320">
        <f>IFERROR(__xludf.DUMMYFUNCTION("""COMPUTED_VALUE"""),6137.0)</f>
        <v>6137</v>
      </c>
      <c r="AA563" s="320">
        <f>IFERROR(__xludf.DUMMYFUNCTION("""COMPUTED_VALUE"""),55.5745)</f>
        <v>55.5745</v>
      </c>
      <c r="AB563" s="320">
        <f>IFERROR(__xludf.DUMMYFUNCTION("""COMPUTED_VALUE"""),0.7412)</f>
        <v>0.7412</v>
      </c>
      <c r="AC563" s="320">
        <f>IFERROR(__xludf.DUMMYFUNCTION("""COMPUTED_VALUE"""),18.19)</f>
        <v>18.19</v>
      </c>
      <c r="AD563" s="320">
        <f>IFERROR(__xludf.DUMMYFUNCTION("""COMPUTED_VALUE"""),8.0)</f>
        <v>8</v>
      </c>
      <c r="AE563" s="320">
        <f>IFERROR(__xludf.DUMMYFUNCTION("""COMPUTED_VALUE"""),14.0)</f>
        <v>14</v>
      </c>
      <c r="AF563" s="320">
        <f>IFERROR(__xludf.DUMMYFUNCTION("""COMPUTED_VALUE"""),24.0)</f>
        <v>24</v>
      </c>
      <c r="AG563" s="320">
        <f>IFERROR(__xludf.DUMMYFUNCTION("""COMPUTED_VALUE"""),37.0)</f>
        <v>37</v>
      </c>
      <c r="AH563" s="320">
        <f>IFERROR(__xludf.DUMMYFUNCTION("""COMPUTED_VALUE"""),62.28)</f>
        <v>62.28</v>
      </c>
      <c r="AI563" s="320">
        <f>IFERROR(__xludf.DUMMYFUNCTION("""COMPUTED_VALUE"""),23.77)</f>
        <v>23.77</v>
      </c>
      <c r="AJ563" s="320">
        <f>IFERROR(__xludf.DUMMYFUNCTION("""COMPUTED_VALUE"""),6.9)</f>
        <v>6.9</v>
      </c>
      <c r="AK563" s="320">
        <f>IFERROR(__xludf.DUMMYFUNCTION("""COMPUTED_VALUE"""),0.1984)</f>
        <v>0.1984</v>
      </c>
      <c r="AL563" s="320">
        <f>IFERROR(__xludf.DUMMYFUNCTION("""COMPUTED_VALUE"""),21.18)</f>
        <v>21.18</v>
      </c>
      <c r="AM563" s="320">
        <f>IFERROR(__xludf.DUMMYFUNCTION("""COMPUTED_VALUE"""),94.23)</f>
        <v>94.23</v>
      </c>
      <c r="AN563" s="320">
        <f>IFERROR(__xludf.DUMMYFUNCTION("""COMPUTED_VALUE"""),78.01)</f>
        <v>78.01</v>
      </c>
      <c r="AO563" s="320">
        <f>IFERROR(__xludf.DUMMYFUNCTION("""COMPUTED_VALUE"""),16.52)</f>
        <v>16.52</v>
      </c>
    </row>
    <row r="564" ht="15.0" customHeight="1">
      <c r="A564" s="328">
        <f>IFERROR(__xludf.DUMMYFUNCTION("""COMPUTED_VALUE"""),46143.0)</f>
        <v>46143</v>
      </c>
      <c r="B564" s="319" t="str">
        <f>IFERROR(__xludf.DUMMYFUNCTION("""COMPUTED_VALUE"""),"E. 40-99")</f>
        <v>E. 40-99</v>
      </c>
      <c r="C564" s="320">
        <f>IFERROR(__xludf.DUMMYFUNCTION("""COMPUTED_VALUE"""),5879.0)</f>
        <v>5879</v>
      </c>
      <c r="D564" s="320">
        <f>IFERROR(__xludf.DUMMYFUNCTION("""COMPUTED_VALUE"""),6.04)</f>
        <v>6.04</v>
      </c>
      <c r="E564" s="320">
        <f>IFERROR(__xludf.DUMMYFUNCTION("""COMPUTED_VALUE"""),0.0)</f>
        <v>0</v>
      </c>
      <c r="F564" s="320">
        <f>IFERROR(__xludf.DUMMYFUNCTION("""COMPUTED_VALUE"""),0.0)</f>
        <v>0</v>
      </c>
      <c r="G564" s="320">
        <f>IFERROR(__xludf.DUMMYFUNCTION("""COMPUTED_VALUE"""),0.0)</f>
        <v>0</v>
      </c>
      <c r="H564" s="106"/>
      <c r="I564" s="320">
        <f>IFERROR(__xludf.DUMMYFUNCTION("""COMPUTED_VALUE"""),133.74)</f>
        <v>133.74</v>
      </c>
      <c r="J564" s="320">
        <f>IFERROR(__xludf.DUMMYFUNCTION("""COMPUTED_VALUE"""),71.59)</f>
        <v>71.59</v>
      </c>
      <c r="K564" s="320">
        <f>IFERROR(__xludf.DUMMYFUNCTION("""COMPUTED_VALUE"""),55.18)</f>
        <v>55.18</v>
      </c>
      <c r="L564" s="320">
        <f>IFERROR(__xludf.DUMMYFUNCTION("""COMPUTED_VALUE"""),0.7707)</f>
        <v>0.7707</v>
      </c>
      <c r="M564" s="320">
        <f>IFERROR(__xludf.DUMMYFUNCTION("""COMPUTED_VALUE"""),0.407)</f>
        <v>0.407</v>
      </c>
      <c r="N564" s="320">
        <f>IFERROR(__xludf.DUMMYFUNCTION("""COMPUTED_VALUE"""),0.2878)</f>
        <v>0.2878</v>
      </c>
      <c r="O564" s="320">
        <f>IFERROR(__xludf.DUMMYFUNCTION("""COMPUTED_VALUE"""),1.2975)</f>
        <v>1.2975</v>
      </c>
      <c r="P564" s="320">
        <f>IFERROR(__xludf.DUMMYFUNCTION("""COMPUTED_VALUE"""),275.5)</f>
        <v>275.5</v>
      </c>
      <c r="Q564" s="320">
        <f>IFERROR(__xludf.DUMMYFUNCTION("""COMPUTED_VALUE"""),177.84)</f>
        <v>177.84</v>
      </c>
      <c r="R564" s="320">
        <f>IFERROR(__xludf.DUMMYFUNCTION("""COMPUTED_VALUE"""),97.66)</f>
        <v>97.66</v>
      </c>
      <c r="S564" s="320">
        <f>IFERROR(__xludf.DUMMYFUNCTION("""COMPUTED_VALUE"""),0.0)</f>
        <v>0</v>
      </c>
      <c r="T564" s="320">
        <f>IFERROR(__xludf.DUMMYFUNCTION("""COMPUTED_VALUE"""),275.5)</f>
        <v>275.5</v>
      </c>
      <c r="U564" s="320">
        <f>IFERROR(__xludf.DUMMYFUNCTION("""COMPUTED_VALUE"""),322.71)</f>
        <v>322.71</v>
      </c>
      <c r="V564" s="320">
        <f>IFERROR(__xludf.DUMMYFUNCTION("""COMPUTED_VALUE"""),4.5078)</f>
        <v>4.5078</v>
      </c>
      <c r="W564" s="320">
        <f>IFERROR(__xludf.DUMMYFUNCTION("""COMPUTED_VALUE"""),0.0)</f>
        <v>0</v>
      </c>
      <c r="X564" s="320">
        <f>IFERROR(__xludf.DUMMYFUNCTION("""COMPUTED_VALUE"""),272.0)</f>
        <v>272</v>
      </c>
      <c r="Y564" s="320">
        <f>IFERROR(__xludf.DUMMYFUNCTION("""COMPUTED_VALUE"""),2084.0)</f>
        <v>2084</v>
      </c>
      <c r="Z564" s="320">
        <f>IFERROR(__xludf.DUMMYFUNCTION("""COMPUTED_VALUE"""),9281.0)</f>
        <v>9281</v>
      </c>
      <c r="AA564" s="320">
        <f>IFERROR(__xludf.DUMMYFUNCTION("""COMPUTED_VALUE"""),59.7144)</f>
        <v>59.7144</v>
      </c>
      <c r="AB564" s="320">
        <f>IFERROR(__xludf.DUMMYFUNCTION("""COMPUTED_VALUE"""),0.8374)</f>
        <v>0.8374</v>
      </c>
      <c r="AC564" s="320">
        <f>IFERROR(__xludf.DUMMYFUNCTION("""COMPUTED_VALUE"""),37.02)</f>
        <v>37.02</v>
      </c>
      <c r="AD564" s="320">
        <f>IFERROR(__xludf.DUMMYFUNCTION("""COMPUTED_VALUE"""),15.0)</f>
        <v>15</v>
      </c>
      <c r="AE564" s="320">
        <f>IFERROR(__xludf.DUMMYFUNCTION("""COMPUTED_VALUE"""),29.0)</f>
        <v>29</v>
      </c>
      <c r="AF564" s="320">
        <f>IFERROR(__xludf.DUMMYFUNCTION("""COMPUTED_VALUE"""),50.0)</f>
        <v>50</v>
      </c>
      <c r="AG564" s="320">
        <f>IFERROR(__xludf.DUMMYFUNCTION("""COMPUTED_VALUE"""),77.0)</f>
        <v>77</v>
      </c>
      <c r="AH564" s="320">
        <f>IFERROR(__xludf.DUMMYFUNCTION("""COMPUTED_VALUE"""),51.74)</f>
        <v>51.74</v>
      </c>
      <c r="AI564" s="320">
        <f>IFERROR(__xludf.DUMMYFUNCTION("""COMPUTED_VALUE"""),18.15)</f>
        <v>18.15</v>
      </c>
      <c r="AJ564" s="320">
        <f>IFERROR(__xludf.DUMMYFUNCTION("""COMPUTED_VALUE"""),4.81)</f>
        <v>4.81</v>
      </c>
      <c r="AK564" s="320">
        <f>IFERROR(__xludf.DUMMYFUNCTION("""COMPUTED_VALUE"""),0.1466)</f>
        <v>0.1466</v>
      </c>
      <c r="AL564" s="320">
        <f>IFERROR(__xludf.DUMMYFUNCTION("""COMPUTED_VALUE"""),22.65)</f>
        <v>22.65</v>
      </c>
      <c r="AM564" s="320">
        <f>IFERROR(__xludf.DUMMYFUNCTION("""COMPUTED_VALUE"""),155.19)</f>
        <v>155.19</v>
      </c>
      <c r="AN564" s="320">
        <f>IFERROR(__xludf.DUMMYFUNCTION("""COMPUTED_VALUE"""),82.78)</f>
        <v>82.78</v>
      </c>
      <c r="AO564" s="320">
        <f>IFERROR(__xludf.DUMMYFUNCTION("""COMPUTED_VALUE"""),18.75)</f>
        <v>18.75</v>
      </c>
    </row>
    <row r="565" ht="15.0" customHeight="1">
      <c r="A565" s="328">
        <f>IFERROR(__xludf.DUMMYFUNCTION("""COMPUTED_VALUE"""),46143.0)</f>
        <v>46143</v>
      </c>
      <c r="B565" s="319" t="str">
        <f>IFERROR(__xludf.DUMMYFUNCTION("""COMPUTED_VALUE"""),"F. 100+")</f>
        <v>F. 100+</v>
      </c>
      <c r="C565" s="320">
        <f>IFERROR(__xludf.DUMMYFUNCTION("""COMPUTED_VALUE"""),641.0)</f>
        <v>641</v>
      </c>
      <c r="D565" s="320">
        <f>IFERROR(__xludf.DUMMYFUNCTION("""COMPUTED_VALUE"""),0.66)</f>
        <v>0.66</v>
      </c>
      <c r="E565" s="320">
        <f>IFERROR(__xludf.DUMMYFUNCTION("""COMPUTED_VALUE"""),0.0)</f>
        <v>0</v>
      </c>
      <c r="F565" s="320">
        <f>IFERROR(__xludf.DUMMYFUNCTION("""COMPUTED_VALUE"""),0.0)</f>
        <v>0</v>
      </c>
      <c r="G565" s="320">
        <f>IFERROR(__xludf.DUMMYFUNCTION("""COMPUTED_VALUE"""),0.0)</f>
        <v>0</v>
      </c>
      <c r="H565" s="106"/>
      <c r="I565" s="320">
        <f>IFERROR(__xludf.DUMMYFUNCTION("""COMPUTED_VALUE"""),252.75)</f>
        <v>252.75</v>
      </c>
      <c r="J565" s="320">
        <f>IFERROR(__xludf.DUMMYFUNCTION("""COMPUTED_VALUE"""),143.92)</f>
        <v>143.92</v>
      </c>
      <c r="K565" s="320">
        <f>IFERROR(__xludf.DUMMYFUNCTION("""COMPUTED_VALUE"""),127.55)</f>
        <v>127.55</v>
      </c>
      <c r="L565" s="320">
        <f>IFERROR(__xludf.DUMMYFUNCTION("""COMPUTED_VALUE"""),0.8863)</f>
        <v>0.8863</v>
      </c>
      <c r="M565" s="320">
        <f>IFERROR(__xludf.DUMMYFUNCTION("""COMPUTED_VALUE"""),0.2736)</f>
        <v>0.2736</v>
      </c>
      <c r="N565" s="320">
        <f>IFERROR(__xludf.DUMMYFUNCTION("""COMPUTED_VALUE"""),0.2138)</f>
        <v>0.2138</v>
      </c>
      <c r="O565" s="320">
        <f>IFERROR(__xludf.DUMMYFUNCTION("""COMPUTED_VALUE"""),1.1283)</f>
        <v>1.1283</v>
      </c>
      <c r="P565" s="320">
        <f>IFERROR(__xludf.DUMMYFUNCTION("""COMPUTED_VALUE"""),509.94)</f>
        <v>509.94</v>
      </c>
      <c r="Q565" s="320">
        <f>IFERROR(__xludf.DUMMYFUNCTION("""COMPUTED_VALUE"""),286.98)</f>
        <v>286.98</v>
      </c>
      <c r="R565" s="320">
        <f>IFERROR(__xludf.DUMMYFUNCTION("""COMPUTED_VALUE"""),222.96)</f>
        <v>222.96</v>
      </c>
      <c r="S565" s="320">
        <f>IFERROR(__xludf.DUMMYFUNCTION("""COMPUTED_VALUE"""),0.0)</f>
        <v>0</v>
      </c>
      <c r="T565" s="320">
        <f>IFERROR(__xludf.DUMMYFUNCTION("""COMPUTED_VALUE"""),509.94)</f>
        <v>509.94</v>
      </c>
      <c r="U565" s="320">
        <f>IFERROR(__xludf.DUMMYFUNCTION("""COMPUTED_VALUE"""),673.95)</f>
        <v>673.95</v>
      </c>
      <c r="V565" s="320">
        <f>IFERROR(__xludf.DUMMYFUNCTION("""COMPUTED_VALUE"""),4.6828)</f>
        <v>4.6828</v>
      </c>
      <c r="W565" s="320">
        <f>IFERROR(__xludf.DUMMYFUNCTION("""COMPUTED_VALUE"""),0.0)</f>
        <v>0</v>
      </c>
      <c r="X565" s="320">
        <f>IFERROR(__xludf.DUMMYFUNCTION("""COMPUTED_VALUE"""),687.0)</f>
        <v>687</v>
      </c>
      <c r="Y565" s="320">
        <f>IFERROR(__xludf.DUMMYFUNCTION("""COMPUTED_VALUE"""),3802.0)</f>
        <v>3802</v>
      </c>
      <c r="Z565" s="320">
        <f>IFERROR(__xludf.DUMMYFUNCTION("""COMPUTED_VALUE"""),11805.0)</f>
        <v>11805</v>
      </c>
      <c r="AA565" s="320">
        <f>IFERROR(__xludf.DUMMYFUNCTION("""COMPUTED_VALUE"""),63.1277)</f>
        <v>63.1277</v>
      </c>
      <c r="AB565" s="320">
        <f>IFERROR(__xludf.DUMMYFUNCTION("""COMPUTED_VALUE"""),0.8987)</f>
        <v>0.8987</v>
      </c>
      <c r="AC565" s="320">
        <f>IFERROR(__xludf.DUMMYFUNCTION("""COMPUTED_VALUE"""),89.07)</f>
        <v>89.07</v>
      </c>
      <c r="AD565" s="320">
        <f>IFERROR(__xludf.DUMMYFUNCTION("""COMPUTED_VALUE"""),36.0)</f>
        <v>36</v>
      </c>
      <c r="AE565" s="320">
        <f>IFERROR(__xludf.DUMMYFUNCTION("""COMPUTED_VALUE"""),75.0)</f>
        <v>75</v>
      </c>
      <c r="AF565" s="320">
        <f>IFERROR(__xludf.DUMMYFUNCTION("""COMPUTED_VALUE"""),123.0)</f>
        <v>123</v>
      </c>
      <c r="AG565" s="320">
        <f>IFERROR(__xludf.DUMMYFUNCTION("""COMPUTED_VALUE"""),179.0)</f>
        <v>179</v>
      </c>
      <c r="AH565" s="320">
        <f>IFERROR(__xludf.DUMMYFUNCTION("""COMPUTED_VALUE"""),47.74)</f>
        <v>47.74</v>
      </c>
      <c r="AI565" s="320">
        <f>IFERROR(__xludf.DUMMYFUNCTION("""COMPUTED_VALUE"""),11.7)</f>
        <v>11.7</v>
      </c>
      <c r="AJ565" s="320">
        <f>IFERROR(__xludf.DUMMYFUNCTION("""COMPUTED_VALUE"""),1.72)</f>
        <v>1.72</v>
      </c>
      <c r="AK565" s="320">
        <f>IFERROR(__xludf.DUMMYFUNCTION("""COMPUTED_VALUE"""),0.1123)</f>
        <v>0.1123</v>
      </c>
      <c r="AL565" s="320">
        <f>IFERROR(__xludf.DUMMYFUNCTION("""COMPUTED_VALUE"""),24.08)</f>
        <v>24.08</v>
      </c>
      <c r="AM565" s="320">
        <f>IFERROR(__xludf.DUMMYFUNCTION("""COMPUTED_VALUE"""),262.9)</f>
        <v>262.9</v>
      </c>
      <c r="AN565" s="320">
        <f>IFERROR(__xludf.DUMMYFUNCTION("""COMPUTED_VALUE"""),83.53)</f>
        <v>83.53</v>
      </c>
      <c r="AO565" s="320">
        <f>IFERROR(__xludf.DUMMYFUNCTION("""COMPUTED_VALUE"""),20.11)</f>
        <v>20.11</v>
      </c>
    </row>
    <row r="566" ht="15.0" customHeight="1">
      <c r="A566" s="328">
        <f>IFERROR(__xludf.DUMMYFUNCTION("""COMPUTED_VALUE"""),46144.0)</f>
        <v>46144</v>
      </c>
      <c r="B566" s="319" t="str">
        <f>IFERROR(__xludf.DUMMYFUNCTION("""COMPUTED_VALUE"""),"A. 0")</f>
        <v>A. 0</v>
      </c>
      <c r="C566" s="320">
        <f>IFERROR(__xludf.DUMMYFUNCTION("""COMPUTED_VALUE"""),18347.0)</f>
        <v>18347</v>
      </c>
      <c r="D566" s="320">
        <f>IFERROR(__xludf.DUMMYFUNCTION("""COMPUTED_VALUE"""),19.02)</f>
        <v>19.02</v>
      </c>
      <c r="E566" s="320">
        <f>IFERROR(__xludf.DUMMYFUNCTION("""COMPUTED_VALUE"""),0.0)</f>
        <v>0</v>
      </c>
      <c r="F566" s="320">
        <f>IFERROR(__xludf.DUMMYFUNCTION("""COMPUTED_VALUE"""),0.0)</f>
        <v>0</v>
      </c>
      <c r="G566" s="320">
        <f>IFERROR(__xludf.DUMMYFUNCTION("""COMPUTED_VALUE"""),0.0)</f>
        <v>0</v>
      </c>
      <c r="H566" s="106"/>
      <c r="I566" s="320">
        <f>IFERROR(__xludf.DUMMYFUNCTION("""COMPUTED_VALUE"""),5.8)</f>
        <v>5.8</v>
      </c>
      <c r="J566" s="320">
        <f>IFERROR(__xludf.DUMMYFUNCTION("""COMPUTED_VALUE"""),2.37)</f>
        <v>2.37</v>
      </c>
      <c r="K566" s="320">
        <f>IFERROR(__xludf.DUMMYFUNCTION("""COMPUTED_VALUE"""),0.04)</f>
        <v>0.04</v>
      </c>
      <c r="L566" s="320">
        <f>IFERROR(__xludf.DUMMYFUNCTION("""COMPUTED_VALUE"""),0.0148)</f>
        <v>0.0148</v>
      </c>
      <c r="M566" s="320">
        <f>IFERROR(__xludf.DUMMYFUNCTION("""COMPUTED_VALUE"""),0.9893)</f>
        <v>0.9893</v>
      </c>
      <c r="N566" s="320">
        <f>IFERROR(__xludf.DUMMYFUNCTION("""COMPUTED_VALUE"""),0.871)</f>
        <v>0.871</v>
      </c>
      <c r="O566" s="320">
        <f>IFERROR(__xludf.DUMMYFUNCTION("""COMPUTED_VALUE"""),67.5333)</f>
        <v>67.5333</v>
      </c>
      <c r="P566" s="320">
        <f>IFERROR(__xludf.DUMMYFUNCTION("""COMPUTED_VALUE"""),25.66)</f>
        <v>25.66</v>
      </c>
      <c r="Q566" s="320">
        <f>IFERROR(__xludf.DUMMYFUNCTION("""COMPUTED_VALUE"""),25.55)</f>
        <v>25.55</v>
      </c>
      <c r="R566" s="320">
        <f>IFERROR(__xludf.DUMMYFUNCTION("""COMPUTED_VALUE"""),0.12)</f>
        <v>0.12</v>
      </c>
      <c r="S566" s="320">
        <f>IFERROR(__xludf.DUMMYFUNCTION("""COMPUTED_VALUE"""),0.0)</f>
        <v>0</v>
      </c>
      <c r="T566" s="320">
        <f>IFERROR(__xludf.DUMMYFUNCTION("""COMPUTED_VALUE"""),25.66)</f>
        <v>25.66</v>
      </c>
      <c r="U566" s="320">
        <f>IFERROR(__xludf.DUMMYFUNCTION("""COMPUTED_VALUE"""),2.07)</f>
        <v>2.07</v>
      </c>
      <c r="V566" s="320">
        <f>IFERROR(__xludf.DUMMYFUNCTION("""COMPUTED_VALUE"""),0.8701)</f>
        <v>0.8701</v>
      </c>
      <c r="W566" s="320">
        <f>IFERROR(__xludf.DUMMYFUNCTION("""COMPUTED_VALUE"""),0.0)</f>
        <v>0</v>
      </c>
      <c r="X566" s="320">
        <f>IFERROR(__xludf.DUMMYFUNCTION("""COMPUTED_VALUE"""),323.0)</f>
        <v>323</v>
      </c>
      <c r="Y566" s="320">
        <f>IFERROR(__xludf.DUMMYFUNCTION("""COMPUTED_VALUE"""),3969.0)</f>
        <v>3969</v>
      </c>
      <c r="Z566" s="320">
        <f>IFERROR(__xludf.DUMMYFUNCTION("""COMPUTED_VALUE"""),15264.0)</f>
        <v>15264</v>
      </c>
      <c r="AA566" s="320">
        <f>IFERROR(__xludf.DUMMYFUNCTION("""COMPUTED_VALUE"""),48.9649)</f>
        <v>48.9649</v>
      </c>
      <c r="AB566" s="320">
        <f>IFERROR(__xludf.DUMMYFUNCTION("""COMPUTED_VALUE"""),0.5413)</f>
        <v>0.5413</v>
      </c>
      <c r="AC566" s="106"/>
      <c r="AD566" s="106"/>
      <c r="AE566" s="106"/>
      <c r="AF566" s="106"/>
      <c r="AG566" s="106"/>
      <c r="AH566" s="320">
        <f>IFERROR(__xludf.DUMMYFUNCTION("""COMPUTED_VALUE"""),0.0)</f>
        <v>0</v>
      </c>
      <c r="AI566" s="320">
        <f>IFERROR(__xludf.DUMMYFUNCTION("""COMPUTED_VALUE"""),0.0)</f>
        <v>0</v>
      </c>
      <c r="AJ566" s="320">
        <f>IFERROR(__xludf.DUMMYFUNCTION("""COMPUTED_VALUE"""),0.0)</f>
        <v>0</v>
      </c>
      <c r="AK566" s="320">
        <f>IFERROR(__xludf.DUMMYFUNCTION("""COMPUTED_VALUE"""),0.2786)</f>
        <v>0.2786</v>
      </c>
      <c r="AL566" s="320">
        <f>IFERROR(__xludf.DUMMYFUNCTION("""COMPUTED_VALUE"""),18.17)</f>
        <v>18.17</v>
      </c>
      <c r="AM566" s="320">
        <f>IFERROR(__xludf.DUMMYFUNCTION("""COMPUTED_VALUE"""),7.37)</f>
        <v>7.37</v>
      </c>
      <c r="AN566" s="331"/>
      <c r="AO566" s="331"/>
    </row>
    <row r="567" ht="15.0" customHeight="1">
      <c r="A567" s="328">
        <f>IFERROR(__xludf.DUMMYFUNCTION("""COMPUTED_VALUE"""),46144.0)</f>
        <v>46144</v>
      </c>
      <c r="B567" s="319" t="str">
        <f>IFERROR(__xludf.DUMMYFUNCTION("""COMPUTED_VALUE"""),"B. 1-9")</f>
        <v>B. 1-9</v>
      </c>
      <c r="C567" s="320">
        <f>IFERROR(__xludf.DUMMYFUNCTION("""COMPUTED_VALUE"""),32844.0)</f>
        <v>32844</v>
      </c>
      <c r="D567" s="320">
        <f>IFERROR(__xludf.DUMMYFUNCTION("""COMPUTED_VALUE"""),34.04)</f>
        <v>34.04</v>
      </c>
      <c r="E567" s="320">
        <f>IFERROR(__xludf.DUMMYFUNCTION("""COMPUTED_VALUE"""),0.0)</f>
        <v>0</v>
      </c>
      <c r="F567" s="320">
        <f>IFERROR(__xludf.DUMMYFUNCTION("""COMPUTED_VALUE"""),0.0)</f>
        <v>0</v>
      </c>
      <c r="G567" s="320">
        <f>IFERROR(__xludf.DUMMYFUNCTION("""COMPUTED_VALUE"""),0.0)</f>
        <v>0</v>
      </c>
      <c r="H567" s="106"/>
      <c r="I567" s="320">
        <f>IFERROR(__xludf.DUMMYFUNCTION("""COMPUTED_VALUE"""),29.19)</f>
        <v>29.19</v>
      </c>
      <c r="J567" s="320">
        <f>IFERROR(__xludf.DUMMYFUNCTION("""COMPUTED_VALUE"""),13.23)</f>
        <v>13.23</v>
      </c>
      <c r="K567" s="320">
        <f>IFERROR(__xludf.DUMMYFUNCTION("""COMPUTED_VALUE"""),5.68)</f>
        <v>5.68</v>
      </c>
      <c r="L567" s="320">
        <f>IFERROR(__xludf.DUMMYFUNCTION("""COMPUTED_VALUE"""),0.4295)</f>
        <v>0.4295</v>
      </c>
      <c r="M567" s="320">
        <f>IFERROR(__xludf.DUMMYFUNCTION("""COMPUTED_VALUE"""),0.7431)</f>
        <v>0.7431</v>
      </c>
      <c r="N567" s="320">
        <f>IFERROR(__xludf.DUMMYFUNCTION("""COMPUTED_VALUE"""),0.545)</f>
        <v>0.545</v>
      </c>
      <c r="O567" s="320">
        <f>IFERROR(__xludf.DUMMYFUNCTION("""COMPUTED_VALUE"""),2.3285)</f>
        <v>2.3285</v>
      </c>
      <c r="P567" s="320">
        <f>IFERROR(__xludf.DUMMYFUNCTION("""COMPUTED_VALUE"""),53.17)</f>
        <v>53.17</v>
      </c>
      <c r="Q567" s="320">
        <f>IFERROR(__xludf.DUMMYFUNCTION("""COMPUTED_VALUE"""),43.24)</f>
        <v>43.24</v>
      </c>
      <c r="R567" s="320">
        <f>IFERROR(__xludf.DUMMYFUNCTION("""COMPUTED_VALUE"""),9.93)</f>
        <v>9.93</v>
      </c>
      <c r="S567" s="320">
        <f>IFERROR(__xludf.DUMMYFUNCTION("""COMPUTED_VALUE"""),0.0)</f>
        <v>0</v>
      </c>
      <c r="T567" s="320">
        <f>IFERROR(__xludf.DUMMYFUNCTION("""COMPUTED_VALUE"""),53.16)</f>
        <v>53.16</v>
      </c>
      <c r="U567" s="320">
        <f>IFERROR(__xludf.DUMMYFUNCTION("""COMPUTED_VALUE"""),53.87)</f>
        <v>53.87</v>
      </c>
      <c r="V567" s="320">
        <f>IFERROR(__xludf.DUMMYFUNCTION("""COMPUTED_VALUE"""),4.0725)</f>
        <v>4.0725</v>
      </c>
      <c r="W567" s="320">
        <f>IFERROR(__xludf.DUMMYFUNCTION("""COMPUTED_VALUE"""),0.0)</f>
        <v>0</v>
      </c>
      <c r="X567" s="320">
        <f>IFERROR(__xludf.DUMMYFUNCTION("""COMPUTED_VALUE"""),154.0)</f>
        <v>154</v>
      </c>
      <c r="Y567" s="320">
        <f>IFERROR(__xludf.DUMMYFUNCTION("""COMPUTED_VALUE"""),953.0)</f>
        <v>953</v>
      </c>
      <c r="Z567" s="320">
        <f>IFERROR(__xludf.DUMMYFUNCTION("""COMPUTED_VALUE"""),6233.0)</f>
        <v>6233</v>
      </c>
      <c r="AA567" s="320">
        <f>IFERROR(__xludf.DUMMYFUNCTION("""COMPUTED_VALUE"""),48.747)</f>
        <v>48.747</v>
      </c>
      <c r="AB567" s="320">
        <f>IFERROR(__xludf.DUMMYFUNCTION("""COMPUTED_VALUE"""),0.5401)</f>
        <v>0.5401</v>
      </c>
      <c r="AC567" s="320">
        <f>IFERROR(__xludf.DUMMYFUNCTION("""COMPUTED_VALUE"""),4.1)</f>
        <v>4.1</v>
      </c>
      <c r="AD567" s="320">
        <f>IFERROR(__xludf.DUMMYFUNCTION("""COMPUTED_VALUE"""),1.0)</f>
        <v>1</v>
      </c>
      <c r="AE567" s="320">
        <f>IFERROR(__xludf.DUMMYFUNCTION("""COMPUTED_VALUE"""),3.0)</f>
        <v>3</v>
      </c>
      <c r="AF567" s="320">
        <f>IFERROR(__xludf.DUMMYFUNCTION("""COMPUTED_VALUE"""),5.0)</f>
        <v>5</v>
      </c>
      <c r="AG567" s="320">
        <f>IFERROR(__xludf.DUMMYFUNCTION("""COMPUTED_VALUE"""),9.0)</f>
        <v>9</v>
      </c>
      <c r="AH567" s="320">
        <f>IFERROR(__xludf.DUMMYFUNCTION("""COMPUTED_VALUE"""),73.33)</f>
        <v>73.33</v>
      </c>
      <c r="AI567" s="320">
        <f>IFERROR(__xludf.DUMMYFUNCTION("""COMPUTED_VALUE"""),31.93)</f>
        <v>31.93</v>
      </c>
      <c r="AJ567" s="320">
        <f>IFERROR(__xludf.DUMMYFUNCTION("""COMPUTED_VALUE"""),9.3)</f>
        <v>9.3</v>
      </c>
      <c r="AK567" s="320">
        <f>IFERROR(__xludf.DUMMYFUNCTION("""COMPUTED_VALUE"""),0.2541)</f>
        <v>0.2541</v>
      </c>
      <c r="AL567" s="320">
        <f>IFERROR(__xludf.DUMMYFUNCTION("""COMPUTED_VALUE"""),22.02)</f>
        <v>22.02</v>
      </c>
      <c r="AM567" s="320">
        <f>IFERROR(__xludf.DUMMYFUNCTION("""COMPUTED_VALUE"""),21.22)</f>
        <v>21.22</v>
      </c>
      <c r="AN567" s="320">
        <f>IFERROR(__xludf.DUMMYFUNCTION("""COMPUTED_VALUE"""),65.49)</f>
        <v>65.49</v>
      </c>
      <c r="AO567" s="320">
        <f>IFERROR(__xludf.DUMMYFUNCTION("""COMPUTED_VALUE"""),14.42)</f>
        <v>14.42</v>
      </c>
    </row>
    <row r="568" ht="15.0" customHeight="1">
      <c r="A568" s="328">
        <f>IFERROR(__xludf.DUMMYFUNCTION("""COMPUTED_VALUE"""),46144.0)</f>
        <v>46144</v>
      </c>
      <c r="B568" s="319" t="str">
        <f>IFERROR(__xludf.DUMMYFUNCTION("""COMPUTED_VALUE"""),"C. 10-19")</f>
        <v>C. 10-19</v>
      </c>
      <c r="C568" s="320">
        <f>IFERROR(__xludf.DUMMYFUNCTION("""COMPUTED_VALUE"""),24492.0)</f>
        <v>24492</v>
      </c>
      <c r="D568" s="320">
        <f>IFERROR(__xludf.DUMMYFUNCTION("""COMPUTED_VALUE"""),25.39)</f>
        <v>25.39</v>
      </c>
      <c r="E568" s="320">
        <f>IFERROR(__xludf.DUMMYFUNCTION("""COMPUTED_VALUE"""),0.0)</f>
        <v>0</v>
      </c>
      <c r="F568" s="320">
        <f>IFERROR(__xludf.DUMMYFUNCTION("""COMPUTED_VALUE"""),0.0)</f>
        <v>0</v>
      </c>
      <c r="G568" s="320">
        <f>IFERROR(__xludf.DUMMYFUNCTION("""COMPUTED_VALUE"""),0.0)</f>
        <v>0</v>
      </c>
      <c r="H568" s="106"/>
      <c r="I568" s="320">
        <f>IFERROR(__xludf.DUMMYFUNCTION("""COMPUTED_VALUE"""),53.26)</f>
        <v>53.26</v>
      </c>
      <c r="J568" s="320">
        <f>IFERROR(__xludf.DUMMYFUNCTION("""COMPUTED_VALUE"""),25.2)</f>
        <v>25.2</v>
      </c>
      <c r="K568" s="320">
        <f>IFERROR(__xludf.DUMMYFUNCTION("""COMPUTED_VALUE"""),13.52)</f>
        <v>13.52</v>
      </c>
      <c r="L568" s="320">
        <f>IFERROR(__xludf.DUMMYFUNCTION("""COMPUTED_VALUE"""),0.5364)</f>
        <v>0.5364</v>
      </c>
      <c r="M568" s="320">
        <f>IFERROR(__xludf.DUMMYFUNCTION("""COMPUTED_VALUE"""),0.6547)</f>
        <v>0.6547</v>
      </c>
      <c r="N568" s="320">
        <f>IFERROR(__xludf.DUMMYFUNCTION("""COMPUTED_VALUE"""),0.4572)</f>
        <v>0.4572</v>
      </c>
      <c r="O568" s="320">
        <f>IFERROR(__xludf.DUMMYFUNCTION("""COMPUTED_VALUE"""),1.8642)</f>
        <v>1.8642</v>
      </c>
      <c r="P568" s="320">
        <f>IFERROR(__xludf.DUMMYFUNCTION("""COMPUTED_VALUE"""),95.14)</f>
        <v>95.14</v>
      </c>
      <c r="Q568" s="320">
        <f>IFERROR(__xludf.DUMMYFUNCTION("""COMPUTED_VALUE"""),71.27)</f>
        <v>71.27</v>
      </c>
      <c r="R568" s="320">
        <f>IFERROR(__xludf.DUMMYFUNCTION("""COMPUTED_VALUE"""),23.87)</f>
        <v>23.87</v>
      </c>
      <c r="S568" s="320">
        <f>IFERROR(__xludf.DUMMYFUNCTION("""COMPUTED_VALUE"""),0.0)</f>
        <v>0</v>
      </c>
      <c r="T568" s="320">
        <f>IFERROR(__xludf.DUMMYFUNCTION("""COMPUTED_VALUE"""),95.14)</f>
        <v>95.14</v>
      </c>
      <c r="U568" s="320">
        <f>IFERROR(__xludf.DUMMYFUNCTION("""COMPUTED_VALUE"""),97.06)</f>
        <v>97.06</v>
      </c>
      <c r="V568" s="320">
        <f>IFERROR(__xludf.DUMMYFUNCTION("""COMPUTED_VALUE"""),3.8523)</f>
        <v>3.8523</v>
      </c>
      <c r="W568" s="320">
        <f>IFERROR(__xludf.DUMMYFUNCTION("""COMPUTED_VALUE"""),0.0)</f>
        <v>0</v>
      </c>
      <c r="X568" s="320">
        <f>IFERROR(__xludf.DUMMYFUNCTION("""COMPUTED_VALUE"""),132.0)</f>
        <v>132</v>
      </c>
      <c r="Y568" s="320">
        <f>IFERROR(__xludf.DUMMYFUNCTION("""COMPUTED_VALUE"""),755.0)</f>
        <v>755</v>
      </c>
      <c r="Z568" s="320">
        <f>IFERROR(__xludf.DUMMYFUNCTION("""COMPUTED_VALUE"""),5151.0)</f>
        <v>5151</v>
      </c>
      <c r="AA568" s="320">
        <f>IFERROR(__xludf.DUMMYFUNCTION("""COMPUTED_VALUE"""),52.2923)</f>
        <v>52.2923</v>
      </c>
      <c r="AB568" s="320">
        <f>IFERROR(__xludf.DUMMYFUNCTION("""COMPUTED_VALUE"""),0.6427)</f>
        <v>0.6427</v>
      </c>
      <c r="AC568" s="320">
        <f>IFERROR(__xludf.DUMMYFUNCTION("""COMPUTED_VALUE"""),9.29)</f>
        <v>9.29</v>
      </c>
      <c r="AD568" s="320">
        <f>IFERROR(__xludf.DUMMYFUNCTION("""COMPUTED_VALUE"""),3.0)</f>
        <v>3</v>
      </c>
      <c r="AE568" s="320">
        <f>IFERROR(__xludf.DUMMYFUNCTION("""COMPUTED_VALUE"""),7.0)</f>
        <v>7</v>
      </c>
      <c r="AF568" s="320">
        <f>IFERROR(__xludf.DUMMYFUNCTION("""COMPUTED_VALUE"""),13.0)</f>
        <v>13</v>
      </c>
      <c r="AG568" s="320">
        <f>IFERROR(__xludf.DUMMYFUNCTION("""COMPUTED_VALUE"""),19.0)</f>
        <v>19</v>
      </c>
      <c r="AH568" s="320">
        <f>IFERROR(__xludf.DUMMYFUNCTION("""COMPUTED_VALUE"""),60.14)</f>
        <v>60.14</v>
      </c>
      <c r="AI568" s="320">
        <f>IFERROR(__xludf.DUMMYFUNCTION("""COMPUTED_VALUE"""),25.86)</f>
        <v>25.86</v>
      </c>
      <c r="AJ568" s="320">
        <f>IFERROR(__xludf.DUMMYFUNCTION("""COMPUTED_VALUE"""),4.43)</f>
        <v>4.43</v>
      </c>
      <c r="AK568" s="320">
        <f>IFERROR(__xludf.DUMMYFUNCTION("""COMPUTED_VALUE"""),0.205)</f>
        <v>0.205</v>
      </c>
      <c r="AL568" s="320">
        <f>IFERROR(__xludf.DUMMYFUNCTION("""COMPUTED_VALUE"""),23.19)</f>
        <v>23.19</v>
      </c>
      <c r="AM568" s="320">
        <f>IFERROR(__xludf.DUMMYFUNCTION("""COMPUTED_VALUE"""),48.08)</f>
        <v>48.08</v>
      </c>
      <c r="AN568" s="320">
        <f>IFERROR(__xludf.DUMMYFUNCTION("""COMPUTED_VALUE"""),74.83)</f>
        <v>74.83</v>
      </c>
      <c r="AO568" s="320">
        <f>IFERROR(__xludf.DUMMYFUNCTION("""COMPUTED_VALUE"""),17.35)</f>
        <v>17.35</v>
      </c>
    </row>
    <row r="569" ht="15.0" customHeight="1">
      <c r="A569" s="328">
        <f>IFERROR(__xludf.DUMMYFUNCTION("""COMPUTED_VALUE"""),46144.0)</f>
        <v>46144</v>
      </c>
      <c r="B569" s="319" t="str">
        <f>IFERROR(__xludf.DUMMYFUNCTION("""COMPUTED_VALUE"""),"D. 20-39")</f>
        <v>D. 20-39</v>
      </c>
      <c r="C569" s="320">
        <f>IFERROR(__xludf.DUMMYFUNCTION("""COMPUTED_VALUE"""),14232.0)</f>
        <v>14232</v>
      </c>
      <c r="D569" s="320">
        <f>IFERROR(__xludf.DUMMYFUNCTION("""COMPUTED_VALUE"""),14.75)</f>
        <v>14.75</v>
      </c>
      <c r="E569" s="320">
        <f>IFERROR(__xludf.DUMMYFUNCTION("""COMPUTED_VALUE"""),0.0)</f>
        <v>0</v>
      </c>
      <c r="F569" s="320">
        <f>IFERROR(__xludf.DUMMYFUNCTION("""COMPUTED_VALUE"""),0.0)</f>
        <v>0</v>
      </c>
      <c r="G569" s="320">
        <f>IFERROR(__xludf.DUMMYFUNCTION("""COMPUTED_VALUE"""),0.0)</f>
        <v>0</v>
      </c>
      <c r="H569" s="106"/>
      <c r="I569" s="320">
        <f>IFERROR(__xludf.DUMMYFUNCTION("""COMPUTED_VALUE"""),78.47)</f>
        <v>78.47</v>
      </c>
      <c r="J569" s="320">
        <f>IFERROR(__xludf.DUMMYFUNCTION("""COMPUTED_VALUE"""),39.48)</f>
        <v>39.48</v>
      </c>
      <c r="K569" s="320">
        <f>IFERROR(__xludf.DUMMYFUNCTION("""COMPUTED_VALUE"""),26.04)</f>
        <v>26.04</v>
      </c>
      <c r="L569" s="320">
        <f>IFERROR(__xludf.DUMMYFUNCTION("""COMPUTED_VALUE"""),0.6596)</f>
        <v>0.6596</v>
      </c>
      <c r="M569" s="320">
        <f>IFERROR(__xludf.DUMMYFUNCTION("""COMPUTED_VALUE"""),0.5318)</f>
        <v>0.5318</v>
      </c>
      <c r="N569" s="320">
        <f>IFERROR(__xludf.DUMMYFUNCTION("""COMPUTED_VALUE"""),0.3698)</f>
        <v>0.3698</v>
      </c>
      <c r="O569" s="320">
        <f>IFERROR(__xludf.DUMMYFUNCTION("""COMPUTED_VALUE"""),1.5161)</f>
        <v>1.5161</v>
      </c>
      <c r="P569" s="320">
        <f>IFERROR(__xludf.DUMMYFUNCTION("""COMPUTED_VALUE"""),161.86)</f>
        <v>161.86</v>
      </c>
      <c r="Q569" s="320">
        <f>IFERROR(__xludf.DUMMYFUNCTION("""COMPUTED_VALUE"""),115.95)</f>
        <v>115.95</v>
      </c>
      <c r="R569" s="320">
        <f>IFERROR(__xludf.DUMMYFUNCTION("""COMPUTED_VALUE"""),45.91)</f>
        <v>45.91</v>
      </c>
      <c r="S569" s="320">
        <f>IFERROR(__xludf.DUMMYFUNCTION("""COMPUTED_VALUE"""),0.0)</f>
        <v>0</v>
      </c>
      <c r="T569" s="320">
        <f>IFERROR(__xludf.DUMMYFUNCTION("""COMPUTED_VALUE"""),161.86)</f>
        <v>161.86</v>
      </c>
      <c r="U569" s="320">
        <f>IFERROR(__xludf.DUMMYFUNCTION("""COMPUTED_VALUE"""),167.53)</f>
        <v>167.53</v>
      </c>
      <c r="V569" s="320">
        <f>IFERROR(__xludf.DUMMYFUNCTION("""COMPUTED_VALUE"""),4.2436)</f>
        <v>4.2436</v>
      </c>
      <c r="W569" s="320">
        <f>IFERROR(__xludf.DUMMYFUNCTION("""COMPUTED_VALUE"""),0.0)</f>
        <v>0</v>
      </c>
      <c r="X569" s="320">
        <f>IFERROR(__xludf.DUMMYFUNCTION("""COMPUTED_VALUE"""),156.0)</f>
        <v>156</v>
      </c>
      <c r="Y569" s="320">
        <f>IFERROR(__xludf.DUMMYFUNCTION("""COMPUTED_VALUE"""),1002.0)</f>
        <v>1002</v>
      </c>
      <c r="Z569" s="320">
        <f>IFERROR(__xludf.DUMMYFUNCTION("""COMPUTED_VALUE"""),6193.0)</f>
        <v>6193</v>
      </c>
      <c r="AA569" s="320">
        <f>IFERROR(__xludf.DUMMYFUNCTION("""COMPUTED_VALUE"""),55.7024)</f>
        <v>55.7024</v>
      </c>
      <c r="AB569" s="320">
        <f>IFERROR(__xludf.DUMMYFUNCTION("""COMPUTED_VALUE"""),0.7405)</f>
        <v>0.7405</v>
      </c>
      <c r="AC569" s="320">
        <f>IFERROR(__xludf.DUMMYFUNCTION("""COMPUTED_VALUE"""),17.51)</f>
        <v>17.51</v>
      </c>
      <c r="AD569" s="320">
        <f>IFERROR(__xludf.DUMMYFUNCTION("""COMPUTED_VALUE"""),7.0)</f>
        <v>7</v>
      </c>
      <c r="AE569" s="320">
        <f>IFERROR(__xludf.DUMMYFUNCTION("""COMPUTED_VALUE"""),14.0)</f>
        <v>14</v>
      </c>
      <c r="AF569" s="320">
        <f>IFERROR(__xludf.DUMMYFUNCTION("""COMPUTED_VALUE"""),24.0)</f>
        <v>24</v>
      </c>
      <c r="AG569" s="320">
        <f>IFERROR(__xludf.DUMMYFUNCTION("""COMPUTED_VALUE"""),36.0)</f>
        <v>36</v>
      </c>
      <c r="AH569" s="320">
        <f>IFERROR(__xludf.DUMMYFUNCTION("""COMPUTED_VALUE"""),59.08)</f>
        <v>59.08</v>
      </c>
      <c r="AI569" s="320">
        <f>IFERROR(__xludf.DUMMYFUNCTION("""COMPUTED_VALUE"""),22.54)</f>
        <v>22.54</v>
      </c>
      <c r="AJ569" s="320">
        <f>IFERROR(__xludf.DUMMYFUNCTION("""COMPUTED_VALUE"""),6.89)</f>
        <v>6.89</v>
      </c>
      <c r="AK569" s="320">
        <f>IFERROR(__xludf.DUMMYFUNCTION("""COMPUTED_VALUE"""),0.1859)</f>
        <v>0.1859</v>
      </c>
      <c r="AL569" s="320">
        <f>IFERROR(__xludf.DUMMYFUNCTION("""COMPUTED_VALUE"""),22.83)</f>
        <v>22.83</v>
      </c>
      <c r="AM569" s="320">
        <f>IFERROR(__xludf.DUMMYFUNCTION("""COMPUTED_VALUE"""),93.12)</f>
        <v>93.12</v>
      </c>
      <c r="AN569" s="320">
        <f>IFERROR(__xludf.DUMMYFUNCTION("""COMPUTED_VALUE"""),77.5)</f>
        <v>77.5</v>
      </c>
      <c r="AO569" s="320">
        <f>IFERROR(__xludf.DUMMYFUNCTION("""COMPUTED_VALUE"""),17.69)</f>
        <v>17.69</v>
      </c>
    </row>
    <row r="570" ht="15.0" customHeight="1">
      <c r="A570" s="328">
        <f>IFERROR(__xludf.DUMMYFUNCTION("""COMPUTED_VALUE"""),46144.0)</f>
        <v>46144</v>
      </c>
      <c r="B570" s="319" t="str">
        <f>IFERROR(__xludf.DUMMYFUNCTION("""COMPUTED_VALUE"""),"E. 40-99")</f>
        <v>E. 40-99</v>
      </c>
      <c r="C570" s="320">
        <f>IFERROR(__xludf.DUMMYFUNCTION("""COMPUTED_VALUE"""),5948.0)</f>
        <v>5948</v>
      </c>
      <c r="D570" s="320">
        <f>IFERROR(__xludf.DUMMYFUNCTION("""COMPUTED_VALUE"""),6.16)</f>
        <v>6.16</v>
      </c>
      <c r="E570" s="320">
        <f>IFERROR(__xludf.DUMMYFUNCTION("""COMPUTED_VALUE"""),0.0)</f>
        <v>0</v>
      </c>
      <c r="F570" s="320">
        <f>IFERROR(__xludf.DUMMYFUNCTION("""COMPUTED_VALUE"""),0.0)</f>
        <v>0</v>
      </c>
      <c r="G570" s="320">
        <f>IFERROR(__xludf.DUMMYFUNCTION("""COMPUTED_VALUE"""),0.0)</f>
        <v>0</v>
      </c>
      <c r="H570" s="106"/>
      <c r="I570" s="320">
        <f>IFERROR(__xludf.DUMMYFUNCTION("""COMPUTED_VALUE"""),128.56)</f>
        <v>128.56</v>
      </c>
      <c r="J570" s="320">
        <f>IFERROR(__xludf.DUMMYFUNCTION("""COMPUTED_VALUE"""),69.3)</f>
        <v>69.3</v>
      </c>
      <c r="K570" s="320">
        <f>IFERROR(__xludf.DUMMYFUNCTION("""COMPUTED_VALUE"""),54.5)</f>
        <v>54.5</v>
      </c>
      <c r="L570" s="320">
        <f>IFERROR(__xludf.DUMMYFUNCTION("""COMPUTED_VALUE"""),0.7864)</f>
        <v>0.7864</v>
      </c>
      <c r="M570" s="320">
        <f>IFERROR(__xludf.DUMMYFUNCTION("""COMPUTED_VALUE"""),0.3964)</f>
        <v>0.3964</v>
      </c>
      <c r="N570" s="320">
        <f>IFERROR(__xludf.DUMMYFUNCTION("""COMPUTED_VALUE"""),0.2855)</f>
        <v>0.2855</v>
      </c>
      <c r="O570" s="320">
        <f>IFERROR(__xludf.DUMMYFUNCTION("""COMPUTED_VALUE"""),1.2716)</f>
        <v>1.2716</v>
      </c>
      <c r="P570" s="320">
        <f>IFERROR(__xludf.DUMMYFUNCTION("""COMPUTED_VALUE"""),309.74)</f>
        <v>309.74</v>
      </c>
      <c r="Q570" s="320">
        <f>IFERROR(__xludf.DUMMYFUNCTION("""COMPUTED_VALUE"""),213.41)</f>
        <v>213.41</v>
      </c>
      <c r="R570" s="320">
        <f>IFERROR(__xludf.DUMMYFUNCTION("""COMPUTED_VALUE"""),96.33)</f>
        <v>96.33</v>
      </c>
      <c r="S570" s="320">
        <f>IFERROR(__xludf.DUMMYFUNCTION("""COMPUTED_VALUE"""),0.0)</f>
        <v>0</v>
      </c>
      <c r="T570" s="320">
        <f>IFERROR(__xludf.DUMMYFUNCTION("""COMPUTED_VALUE"""),309.74)</f>
        <v>309.74</v>
      </c>
      <c r="U570" s="320">
        <f>IFERROR(__xludf.DUMMYFUNCTION("""COMPUTED_VALUE"""),319.54)</f>
        <v>319.54</v>
      </c>
      <c r="V570" s="320">
        <f>IFERROR(__xludf.DUMMYFUNCTION("""COMPUTED_VALUE"""),4.6108)</f>
        <v>4.6108</v>
      </c>
      <c r="W570" s="320">
        <f>IFERROR(__xludf.DUMMYFUNCTION("""COMPUTED_VALUE"""),0.0)</f>
        <v>0</v>
      </c>
      <c r="X570" s="320">
        <f>IFERROR(__xludf.DUMMYFUNCTION("""COMPUTED_VALUE"""),306.0)</f>
        <v>306</v>
      </c>
      <c r="Y570" s="320">
        <f>IFERROR(__xludf.DUMMYFUNCTION("""COMPUTED_VALUE"""),2196.0)</f>
        <v>2196</v>
      </c>
      <c r="Z570" s="320">
        <f>IFERROR(__xludf.DUMMYFUNCTION("""COMPUTED_VALUE"""),9301.0)</f>
        <v>9301</v>
      </c>
      <c r="AA570" s="320">
        <f>IFERROR(__xludf.DUMMYFUNCTION("""COMPUTED_VALUE"""),59.5748)</f>
        <v>59.5748</v>
      </c>
      <c r="AB570" s="320">
        <f>IFERROR(__xludf.DUMMYFUNCTION("""COMPUTED_VALUE"""),0.8347)</f>
        <v>0.8347</v>
      </c>
      <c r="AC570" s="320">
        <f>IFERROR(__xludf.DUMMYFUNCTION("""COMPUTED_VALUE"""),37.6)</f>
        <v>37.6</v>
      </c>
      <c r="AD570" s="320">
        <f>IFERROR(__xludf.DUMMYFUNCTION("""COMPUTED_VALUE"""),14.0)</f>
        <v>14</v>
      </c>
      <c r="AE570" s="320">
        <f>IFERROR(__xludf.DUMMYFUNCTION("""COMPUTED_VALUE"""),29.0)</f>
        <v>29</v>
      </c>
      <c r="AF570" s="320">
        <f>IFERROR(__xludf.DUMMYFUNCTION("""COMPUTED_VALUE"""),52.0)</f>
        <v>52</v>
      </c>
      <c r="AG570" s="320">
        <f>IFERROR(__xludf.DUMMYFUNCTION("""COMPUTED_VALUE"""),80.0)</f>
        <v>80</v>
      </c>
      <c r="AH570" s="320">
        <f>IFERROR(__xludf.DUMMYFUNCTION("""COMPUTED_VALUE"""),51.68)</f>
        <v>51.68</v>
      </c>
      <c r="AI570" s="320">
        <f>IFERROR(__xludf.DUMMYFUNCTION("""COMPUTED_VALUE"""),20.19)</f>
        <v>20.19</v>
      </c>
      <c r="AJ570" s="320">
        <f>IFERROR(__xludf.DUMMYFUNCTION("""COMPUTED_VALUE"""),5.35)</f>
        <v>5.35</v>
      </c>
      <c r="AK570" s="320">
        <f>IFERROR(__xludf.DUMMYFUNCTION("""COMPUTED_VALUE"""),0.1399)</f>
        <v>0.1399</v>
      </c>
      <c r="AL570" s="320">
        <f>IFERROR(__xludf.DUMMYFUNCTION("""COMPUTED_VALUE"""),23.03)</f>
        <v>23.03</v>
      </c>
      <c r="AM570" s="320">
        <f>IFERROR(__xludf.DUMMYFUNCTION("""COMPUTED_VALUE"""),190.38)</f>
        <v>190.38</v>
      </c>
      <c r="AN570" s="320">
        <f>IFERROR(__xludf.DUMMYFUNCTION("""COMPUTED_VALUE"""),82.1)</f>
        <v>82.1</v>
      </c>
      <c r="AO570" s="320">
        <f>IFERROR(__xludf.DUMMYFUNCTION("""COMPUTED_VALUE"""),18.91)</f>
        <v>18.91</v>
      </c>
    </row>
    <row r="571" ht="15.0" customHeight="1">
      <c r="A571" s="328">
        <f>IFERROR(__xludf.DUMMYFUNCTION("""COMPUTED_VALUE"""),46144.0)</f>
        <v>46144</v>
      </c>
      <c r="B571" s="319" t="str">
        <f>IFERROR(__xludf.DUMMYFUNCTION("""COMPUTED_VALUE"""),"F. 100+")</f>
        <v>F. 100+</v>
      </c>
      <c r="C571" s="320">
        <f>IFERROR(__xludf.DUMMYFUNCTION("""COMPUTED_VALUE"""),618.0)</f>
        <v>618</v>
      </c>
      <c r="D571" s="320">
        <f>IFERROR(__xludf.DUMMYFUNCTION("""COMPUTED_VALUE"""),0.64)</f>
        <v>0.64</v>
      </c>
      <c r="E571" s="320">
        <f>IFERROR(__xludf.DUMMYFUNCTION("""COMPUTED_VALUE"""),0.0)</f>
        <v>0</v>
      </c>
      <c r="F571" s="320">
        <f>IFERROR(__xludf.DUMMYFUNCTION("""COMPUTED_VALUE"""),0.0)</f>
        <v>0</v>
      </c>
      <c r="G571" s="320">
        <f>IFERROR(__xludf.DUMMYFUNCTION("""COMPUTED_VALUE"""),0.0)</f>
        <v>0</v>
      </c>
      <c r="H571" s="106"/>
      <c r="I571" s="320">
        <f>IFERROR(__xludf.DUMMYFUNCTION("""COMPUTED_VALUE"""),237.37)</f>
        <v>237.37</v>
      </c>
      <c r="J571" s="320">
        <f>IFERROR(__xludf.DUMMYFUNCTION("""COMPUTED_VALUE"""),138.81)</f>
        <v>138.81</v>
      </c>
      <c r="K571" s="320">
        <f>IFERROR(__xludf.DUMMYFUNCTION("""COMPUTED_VALUE"""),121.49)</f>
        <v>121.49</v>
      </c>
      <c r="L571" s="320">
        <f>IFERROR(__xludf.DUMMYFUNCTION("""COMPUTED_VALUE"""),0.8752)</f>
        <v>0.8752</v>
      </c>
      <c r="M571" s="320">
        <f>IFERROR(__xludf.DUMMYFUNCTION("""COMPUTED_VALUE"""),0.2825)</f>
        <v>0.2825</v>
      </c>
      <c r="N571" s="320">
        <f>IFERROR(__xludf.DUMMYFUNCTION("""COMPUTED_VALUE"""),0.2162)</f>
        <v>0.2162</v>
      </c>
      <c r="O571" s="320">
        <f>IFERROR(__xludf.DUMMYFUNCTION("""COMPUTED_VALUE"""),1.1425)</f>
        <v>1.1425</v>
      </c>
      <c r="P571" s="320">
        <f>IFERROR(__xludf.DUMMYFUNCTION("""COMPUTED_VALUE"""),568.17)</f>
        <v>568.17</v>
      </c>
      <c r="Q571" s="320">
        <f>IFERROR(__xludf.DUMMYFUNCTION("""COMPUTED_VALUE"""),353.17)</f>
        <v>353.17</v>
      </c>
      <c r="R571" s="320">
        <f>IFERROR(__xludf.DUMMYFUNCTION("""COMPUTED_VALUE"""),215.0)</f>
        <v>215</v>
      </c>
      <c r="S571" s="320">
        <f>IFERROR(__xludf.DUMMYFUNCTION("""COMPUTED_VALUE"""),0.0)</f>
        <v>0</v>
      </c>
      <c r="T571" s="320">
        <f>IFERROR(__xludf.DUMMYFUNCTION("""COMPUTED_VALUE"""),568.17)</f>
        <v>568.17</v>
      </c>
      <c r="U571" s="320">
        <f>IFERROR(__xludf.DUMMYFUNCTION("""COMPUTED_VALUE"""),616.02)</f>
        <v>616.02</v>
      </c>
      <c r="V571" s="320">
        <f>IFERROR(__xludf.DUMMYFUNCTION("""COMPUTED_VALUE"""),4.4378)</f>
        <v>4.4378</v>
      </c>
      <c r="W571" s="320">
        <f>IFERROR(__xludf.DUMMYFUNCTION("""COMPUTED_VALUE"""),0.0)</f>
        <v>0</v>
      </c>
      <c r="X571" s="320">
        <f>IFERROR(__xludf.DUMMYFUNCTION("""COMPUTED_VALUE"""),560.0)</f>
        <v>560</v>
      </c>
      <c r="Y571" s="320">
        <f>IFERROR(__xludf.DUMMYFUNCTION("""COMPUTED_VALUE"""),3941.0)</f>
        <v>3941</v>
      </c>
      <c r="Z571" s="320">
        <f>IFERROR(__xludf.DUMMYFUNCTION("""COMPUTED_VALUE"""),12917.0)</f>
        <v>12917</v>
      </c>
      <c r="AA571" s="320">
        <f>IFERROR(__xludf.DUMMYFUNCTION("""COMPUTED_VALUE"""),63.0285)</f>
        <v>63.0285</v>
      </c>
      <c r="AB571" s="320">
        <f>IFERROR(__xludf.DUMMYFUNCTION("""COMPUTED_VALUE"""),0.8975)</f>
        <v>0.8975</v>
      </c>
      <c r="AC571" s="320">
        <f>IFERROR(__xludf.DUMMYFUNCTION("""COMPUTED_VALUE"""),83.5)</f>
        <v>83.5</v>
      </c>
      <c r="AD571" s="320">
        <f>IFERROR(__xludf.DUMMYFUNCTION("""COMPUTED_VALUE"""),34.0)</f>
        <v>34</v>
      </c>
      <c r="AE571" s="320">
        <f>IFERROR(__xludf.DUMMYFUNCTION("""COMPUTED_VALUE"""),69.0)</f>
        <v>69</v>
      </c>
      <c r="AF571" s="320">
        <f>IFERROR(__xludf.DUMMYFUNCTION("""COMPUTED_VALUE"""),119.0)</f>
        <v>119</v>
      </c>
      <c r="AG571" s="320">
        <f>IFERROR(__xludf.DUMMYFUNCTION("""COMPUTED_VALUE"""),167.0)</f>
        <v>167</v>
      </c>
      <c r="AH571" s="320">
        <f>IFERROR(__xludf.DUMMYFUNCTION("""COMPUTED_VALUE"""),44.01)</f>
        <v>44.01</v>
      </c>
      <c r="AI571" s="320">
        <f>IFERROR(__xludf.DUMMYFUNCTION("""COMPUTED_VALUE"""),8.25)</f>
        <v>8.25</v>
      </c>
      <c r="AJ571" s="320">
        <f>IFERROR(__xludf.DUMMYFUNCTION("""COMPUTED_VALUE"""),1.29)</f>
        <v>1.29</v>
      </c>
      <c r="AK571" s="320">
        <f>IFERROR(__xludf.DUMMYFUNCTION("""COMPUTED_VALUE"""),0.0939)</f>
        <v>0.0939</v>
      </c>
      <c r="AL571" s="320">
        <f>IFERROR(__xludf.DUMMYFUNCTION("""COMPUTED_VALUE"""),24.94)</f>
        <v>24.94</v>
      </c>
      <c r="AM571" s="320">
        <f>IFERROR(__xludf.DUMMYFUNCTION("""COMPUTED_VALUE"""),328.24)</f>
        <v>328.24</v>
      </c>
      <c r="AN571" s="320">
        <f>IFERROR(__xludf.DUMMYFUNCTION("""COMPUTED_VALUE"""),82.94)</f>
        <v>82.94</v>
      </c>
      <c r="AO571" s="320">
        <f>IFERROR(__xludf.DUMMYFUNCTION("""COMPUTED_VALUE"""),20.69)</f>
        <v>20.69</v>
      </c>
    </row>
    <row r="572" ht="15.0" customHeight="1">
      <c r="A572" s="328">
        <f>IFERROR(__xludf.DUMMYFUNCTION("""COMPUTED_VALUE"""),46145.0)</f>
        <v>46145</v>
      </c>
      <c r="B572" s="319" t="str">
        <f>IFERROR(__xludf.DUMMYFUNCTION("""COMPUTED_VALUE"""),"A. 0")</f>
        <v>A. 0</v>
      </c>
      <c r="C572" s="320">
        <f>IFERROR(__xludf.DUMMYFUNCTION("""COMPUTED_VALUE"""),18457.0)</f>
        <v>18457</v>
      </c>
      <c r="D572" s="320">
        <f>IFERROR(__xludf.DUMMYFUNCTION("""COMPUTED_VALUE"""),18.68)</f>
        <v>18.68</v>
      </c>
      <c r="E572" s="320">
        <f>IFERROR(__xludf.DUMMYFUNCTION("""COMPUTED_VALUE"""),0.0)</f>
        <v>0</v>
      </c>
      <c r="F572" s="320">
        <f>IFERROR(__xludf.DUMMYFUNCTION("""COMPUTED_VALUE"""),0.0)</f>
        <v>0</v>
      </c>
      <c r="G572" s="320">
        <f>IFERROR(__xludf.DUMMYFUNCTION("""COMPUTED_VALUE"""),0.0)</f>
        <v>0</v>
      </c>
      <c r="H572" s="106"/>
      <c r="I572" s="320">
        <f>IFERROR(__xludf.DUMMYFUNCTION("""COMPUTED_VALUE"""),5.97)</f>
        <v>5.97</v>
      </c>
      <c r="J572" s="320">
        <f>IFERROR(__xludf.DUMMYFUNCTION("""COMPUTED_VALUE"""),2.49)</f>
        <v>2.49</v>
      </c>
      <c r="K572" s="320">
        <f>IFERROR(__xludf.DUMMYFUNCTION("""COMPUTED_VALUE"""),0.04)</f>
        <v>0.04</v>
      </c>
      <c r="L572" s="320">
        <f>IFERROR(__xludf.DUMMYFUNCTION("""COMPUTED_VALUE"""),0.0154)</f>
        <v>0.0154</v>
      </c>
      <c r="M572" s="320">
        <f>IFERROR(__xludf.DUMMYFUNCTION("""COMPUTED_VALUE"""),0.9892)</f>
        <v>0.9892</v>
      </c>
      <c r="N572" s="320">
        <f>IFERROR(__xludf.DUMMYFUNCTION("""COMPUTED_VALUE"""),0.8635)</f>
        <v>0.8635</v>
      </c>
      <c r="O572" s="320">
        <f>IFERROR(__xludf.DUMMYFUNCTION("""COMPUTED_VALUE"""),65.0807)</f>
        <v>65.0807</v>
      </c>
      <c r="P572" s="320">
        <f>IFERROR(__xludf.DUMMYFUNCTION("""COMPUTED_VALUE"""),23.52)</f>
        <v>23.52</v>
      </c>
      <c r="Q572" s="320">
        <f>IFERROR(__xludf.DUMMYFUNCTION("""COMPUTED_VALUE"""),23.28)</f>
        <v>23.28</v>
      </c>
      <c r="R572" s="320">
        <f>IFERROR(__xludf.DUMMYFUNCTION("""COMPUTED_VALUE"""),0.24)</f>
        <v>0.24</v>
      </c>
      <c r="S572" s="320">
        <f>IFERROR(__xludf.DUMMYFUNCTION("""COMPUTED_VALUE"""),0.0)</f>
        <v>0</v>
      </c>
      <c r="T572" s="320">
        <f>IFERROR(__xludf.DUMMYFUNCTION("""COMPUTED_VALUE"""),23.52)</f>
        <v>23.52</v>
      </c>
      <c r="U572" s="320">
        <f>IFERROR(__xludf.DUMMYFUNCTION("""COMPUTED_VALUE"""),1.7)</f>
        <v>1.7</v>
      </c>
      <c r="V572" s="320">
        <f>IFERROR(__xludf.DUMMYFUNCTION("""COMPUTED_VALUE"""),0.6845)</f>
        <v>0.6845</v>
      </c>
      <c r="W572" s="320">
        <f>IFERROR(__xludf.DUMMYFUNCTION("""COMPUTED_VALUE"""),0.0)</f>
        <v>0</v>
      </c>
      <c r="X572" s="320">
        <f>IFERROR(__xludf.DUMMYFUNCTION("""COMPUTED_VALUE"""),344.0)</f>
        <v>344</v>
      </c>
      <c r="Y572" s="320">
        <f>IFERROR(__xludf.DUMMYFUNCTION("""COMPUTED_VALUE"""),4153.0)</f>
        <v>4153</v>
      </c>
      <c r="Z572" s="320">
        <f>IFERROR(__xludf.DUMMYFUNCTION("""COMPUTED_VALUE"""),15611.0)</f>
        <v>15611</v>
      </c>
      <c r="AA572" s="320">
        <f>IFERROR(__xludf.DUMMYFUNCTION("""COMPUTED_VALUE"""),49.2171)</f>
        <v>49.2171</v>
      </c>
      <c r="AB572" s="320">
        <f>IFERROR(__xludf.DUMMYFUNCTION("""COMPUTED_VALUE"""),0.5502)</f>
        <v>0.5502</v>
      </c>
      <c r="AC572" s="106"/>
      <c r="AD572" s="106"/>
      <c r="AE572" s="106"/>
      <c r="AF572" s="106"/>
      <c r="AG572" s="106"/>
      <c r="AH572" s="320">
        <f>IFERROR(__xludf.DUMMYFUNCTION("""COMPUTED_VALUE"""),0.0)</f>
        <v>0</v>
      </c>
      <c r="AI572" s="320">
        <f>IFERROR(__xludf.DUMMYFUNCTION("""COMPUTED_VALUE"""),0.0)</f>
        <v>0</v>
      </c>
      <c r="AJ572" s="320">
        <f>IFERROR(__xludf.DUMMYFUNCTION("""COMPUTED_VALUE"""),0.0)</f>
        <v>0</v>
      </c>
      <c r="AK572" s="320">
        <f>IFERROR(__xludf.DUMMYFUNCTION("""COMPUTED_VALUE"""),0.2915)</f>
        <v>0.2915</v>
      </c>
      <c r="AL572" s="320">
        <f>IFERROR(__xludf.DUMMYFUNCTION("""COMPUTED_VALUE"""),18.58)</f>
        <v>18.58</v>
      </c>
      <c r="AM572" s="320">
        <f>IFERROR(__xludf.DUMMYFUNCTION("""COMPUTED_VALUE"""),4.7)</f>
        <v>4.7</v>
      </c>
      <c r="AN572" s="331"/>
      <c r="AO572" s="331"/>
    </row>
    <row r="573" ht="15.0" customHeight="1">
      <c r="A573" s="328">
        <f>IFERROR(__xludf.DUMMYFUNCTION("""COMPUTED_VALUE"""),46145.0)</f>
        <v>46145</v>
      </c>
      <c r="B573" s="319" t="str">
        <f>IFERROR(__xludf.DUMMYFUNCTION("""COMPUTED_VALUE"""),"B. 1-9")</f>
        <v>B. 1-9</v>
      </c>
      <c r="C573" s="320">
        <f>IFERROR(__xludf.DUMMYFUNCTION("""COMPUTED_VALUE"""),33541.0)</f>
        <v>33541</v>
      </c>
      <c r="D573" s="320">
        <f>IFERROR(__xludf.DUMMYFUNCTION("""COMPUTED_VALUE"""),33.95)</f>
        <v>33.95</v>
      </c>
      <c r="E573" s="320">
        <f>IFERROR(__xludf.DUMMYFUNCTION("""COMPUTED_VALUE"""),0.0)</f>
        <v>0</v>
      </c>
      <c r="F573" s="320">
        <f>IFERROR(__xludf.DUMMYFUNCTION("""COMPUTED_VALUE"""),0.0)</f>
        <v>0</v>
      </c>
      <c r="G573" s="320">
        <f>IFERROR(__xludf.DUMMYFUNCTION("""COMPUTED_VALUE"""),0.0)</f>
        <v>0</v>
      </c>
      <c r="H573" s="106"/>
      <c r="I573" s="320">
        <f>IFERROR(__xludf.DUMMYFUNCTION("""COMPUTED_VALUE"""),31.34)</f>
        <v>31.34</v>
      </c>
      <c r="J573" s="320">
        <f>IFERROR(__xludf.DUMMYFUNCTION("""COMPUTED_VALUE"""),14.4)</f>
        <v>14.4</v>
      </c>
      <c r="K573" s="320">
        <f>IFERROR(__xludf.DUMMYFUNCTION("""COMPUTED_VALUE"""),5.73)</f>
        <v>5.73</v>
      </c>
      <c r="L573" s="320">
        <f>IFERROR(__xludf.DUMMYFUNCTION("""COMPUTED_VALUE"""),0.398)</f>
        <v>0.398</v>
      </c>
      <c r="M573" s="320">
        <f>IFERROR(__xludf.DUMMYFUNCTION("""COMPUTED_VALUE"""),0.7643)</f>
        <v>0.7643</v>
      </c>
      <c r="N573" s="320">
        <f>IFERROR(__xludf.DUMMYFUNCTION("""COMPUTED_VALUE"""),0.5576)</f>
        <v>0.5576</v>
      </c>
      <c r="O573" s="320">
        <f>IFERROR(__xludf.DUMMYFUNCTION("""COMPUTED_VALUE"""),2.5125)</f>
        <v>2.5125</v>
      </c>
      <c r="P573" s="320">
        <f>IFERROR(__xludf.DUMMYFUNCTION("""COMPUTED_VALUE"""),47.33)</f>
        <v>47.33</v>
      </c>
      <c r="Q573" s="320">
        <f>IFERROR(__xludf.DUMMYFUNCTION("""COMPUTED_VALUE"""),37.36)</f>
        <v>37.36</v>
      </c>
      <c r="R573" s="320">
        <f>IFERROR(__xludf.DUMMYFUNCTION("""COMPUTED_VALUE"""),9.97)</f>
        <v>9.97</v>
      </c>
      <c r="S573" s="320">
        <f>IFERROR(__xludf.DUMMYFUNCTION("""COMPUTED_VALUE"""),0.02)</f>
        <v>0.02</v>
      </c>
      <c r="T573" s="320">
        <f>IFERROR(__xludf.DUMMYFUNCTION("""COMPUTED_VALUE"""),47.31)</f>
        <v>47.31</v>
      </c>
      <c r="U573" s="320">
        <f>IFERROR(__xludf.DUMMYFUNCTION("""COMPUTED_VALUE"""),51.67)</f>
        <v>51.67</v>
      </c>
      <c r="V573" s="320">
        <f>IFERROR(__xludf.DUMMYFUNCTION("""COMPUTED_VALUE"""),3.5887)</f>
        <v>3.5887</v>
      </c>
      <c r="W573" s="320">
        <f>IFERROR(__xludf.DUMMYFUNCTION("""COMPUTED_VALUE"""),0.04)</f>
        <v>0.04</v>
      </c>
      <c r="X573" s="320">
        <f>IFERROR(__xludf.DUMMYFUNCTION("""COMPUTED_VALUE"""),145.0)</f>
        <v>145</v>
      </c>
      <c r="Y573" s="320">
        <f>IFERROR(__xludf.DUMMYFUNCTION("""COMPUTED_VALUE"""),932.0)</f>
        <v>932</v>
      </c>
      <c r="Z573" s="320">
        <f>IFERROR(__xludf.DUMMYFUNCTION("""COMPUTED_VALUE"""),6197.0)</f>
        <v>6197</v>
      </c>
      <c r="AA573" s="320">
        <f>IFERROR(__xludf.DUMMYFUNCTION("""COMPUTED_VALUE"""),48.681)</f>
        <v>48.681</v>
      </c>
      <c r="AB573" s="320">
        <f>IFERROR(__xludf.DUMMYFUNCTION("""COMPUTED_VALUE"""),0.5427)</f>
        <v>0.5427</v>
      </c>
      <c r="AC573" s="320">
        <f>IFERROR(__xludf.DUMMYFUNCTION("""COMPUTED_VALUE"""),4.05)</f>
        <v>4.05</v>
      </c>
      <c r="AD573" s="320">
        <f>IFERROR(__xludf.DUMMYFUNCTION("""COMPUTED_VALUE"""),1.0)</f>
        <v>1</v>
      </c>
      <c r="AE573" s="320">
        <f>IFERROR(__xludf.DUMMYFUNCTION("""COMPUTED_VALUE"""),3.0)</f>
        <v>3</v>
      </c>
      <c r="AF573" s="320">
        <f>IFERROR(__xludf.DUMMYFUNCTION("""COMPUTED_VALUE"""),5.0)</f>
        <v>5</v>
      </c>
      <c r="AG573" s="320">
        <f>IFERROR(__xludf.DUMMYFUNCTION("""COMPUTED_VALUE"""),9.0)</f>
        <v>9</v>
      </c>
      <c r="AH573" s="320">
        <f>IFERROR(__xludf.DUMMYFUNCTION("""COMPUTED_VALUE"""),74.03)</f>
        <v>74.03</v>
      </c>
      <c r="AI573" s="320">
        <f>IFERROR(__xludf.DUMMYFUNCTION("""COMPUTED_VALUE"""),31.81)</f>
        <v>31.81</v>
      </c>
      <c r="AJ573" s="320">
        <f>IFERROR(__xludf.DUMMYFUNCTION("""COMPUTED_VALUE"""),8.44)</f>
        <v>8.44</v>
      </c>
      <c r="AK573" s="320">
        <f>IFERROR(__xludf.DUMMYFUNCTION("""COMPUTED_VALUE"""),0.2676)</f>
        <v>0.2676</v>
      </c>
      <c r="AL573" s="320">
        <f>IFERROR(__xludf.DUMMYFUNCTION("""COMPUTED_VALUE"""),20.71)</f>
        <v>20.71</v>
      </c>
      <c r="AM573" s="320">
        <f>IFERROR(__xludf.DUMMYFUNCTION("""COMPUTED_VALUE"""),16.66)</f>
        <v>16.66</v>
      </c>
      <c r="AN573" s="320">
        <f>IFERROR(__xludf.DUMMYFUNCTION("""COMPUTED_VALUE"""),65.13)</f>
        <v>65.13</v>
      </c>
      <c r="AO573" s="320">
        <f>IFERROR(__xludf.DUMMYFUNCTION("""COMPUTED_VALUE"""),13.49)</f>
        <v>13.49</v>
      </c>
    </row>
    <row r="574" ht="15.0" customHeight="1">
      <c r="A574" s="328">
        <f>IFERROR(__xludf.DUMMYFUNCTION("""COMPUTED_VALUE"""),46145.0)</f>
        <v>46145</v>
      </c>
      <c r="B574" s="319" t="str">
        <f>IFERROR(__xludf.DUMMYFUNCTION("""COMPUTED_VALUE"""),"C. 10-19")</f>
        <v>C. 10-19</v>
      </c>
      <c r="C574" s="320">
        <f>IFERROR(__xludf.DUMMYFUNCTION("""COMPUTED_VALUE"""),25333.0)</f>
        <v>25333</v>
      </c>
      <c r="D574" s="320">
        <f>IFERROR(__xludf.DUMMYFUNCTION("""COMPUTED_VALUE"""),25.64)</f>
        <v>25.64</v>
      </c>
      <c r="E574" s="320">
        <f>IFERROR(__xludf.DUMMYFUNCTION("""COMPUTED_VALUE"""),0.0)</f>
        <v>0</v>
      </c>
      <c r="F574" s="320">
        <f>IFERROR(__xludf.DUMMYFUNCTION("""COMPUTED_VALUE"""),0.0)</f>
        <v>0</v>
      </c>
      <c r="G574" s="320">
        <f>IFERROR(__xludf.DUMMYFUNCTION("""COMPUTED_VALUE"""),0.0)</f>
        <v>0</v>
      </c>
      <c r="H574" s="106"/>
      <c r="I574" s="320">
        <f>IFERROR(__xludf.DUMMYFUNCTION("""COMPUTED_VALUE"""),58.3)</f>
        <v>58.3</v>
      </c>
      <c r="J574" s="320">
        <f>IFERROR(__xludf.DUMMYFUNCTION("""COMPUTED_VALUE"""),27.86)</f>
        <v>27.86</v>
      </c>
      <c r="K574" s="320">
        <f>IFERROR(__xludf.DUMMYFUNCTION("""COMPUTED_VALUE"""),14.0)</f>
        <v>14</v>
      </c>
      <c r="L574" s="320">
        <f>IFERROR(__xludf.DUMMYFUNCTION("""COMPUTED_VALUE"""),0.5025)</f>
        <v>0.5025</v>
      </c>
      <c r="M574" s="320">
        <f>IFERROR(__xludf.DUMMYFUNCTION("""COMPUTED_VALUE"""),0.6809)</f>
        <v>0.6809</v>
      </c>
      <c r="N574" s="320">
        <f>IFERROR(__xludf.DUMMYFUNCTION("""COMPUTED_VALUE"""),0.4734)</f>
        <v>0.4734</v>
      </c>
      <c r="O574" s="320">
        <f>IFERROR(__xludf.DUMMYFUNCTION("""COMPUTED_VALUE"""),1.99)</f>
        <v>1.99</v>
      </c>
      <c r="P574" s="320">
        <f>IFERROR(__xludf.DUMMYFUNCTION("""COMPUTED_VALUE"""),80.24)</f>
        <v>80.24</v>
      </c>
      <c r="Q574" s="320">
        <f>IFERROR(__xludf.DUMMYFUNCTION("""COMPUTED_VALUE"""),55.72)</f>
        <v>55.72</v>
      </c>
      <c r="R574" s="320">
        <f>IFERROR(__xludf.DUMMYFUNCTION("""COMPUTED_VALUE"""),24.52)</f>
        <v>24.52</v>
      </c>
      <c r="S574" s="320">
        <f>IFERROR(__xludf.DUMMYFUNCTION("""COMPUTED_VALUE"""),0.0)</f>
        <v>0</v>
      </c>
      <c r="T574" s="320">
        <f>IFERROR(__xludf.DUMMYFUNCTION("""COMPUTED_VALUE"""),80.24)</f>
        <v>80.24</v>
      </c>
      <c r="U574" s="320">
        <f>IFERROR(__xludf.DUMMYFUNCTION("""COMPUTED_VALUE"""),94.48)</f>
        <v>94.48</v>
      </c>
      <c r="V574" s="320">
        <f>IFERROR(__xludf.DUMMYFUNCTION("""COMPUTED_VALUE"""),3.3911)</f>
        <v>3.3911</v>
      </c>
      <c r="W574" s="320">
        <f>IFERROR(__xludf.DUMMYFUNCTION("""COMPUTED_VALUE"""),0.0)</f>
        <v>0</v>
      </c>
      <c r="X574" s="320">
        <f>IFERROR(__xludf.DUMMYFUNCTION("""COMPUTED_VALUE"""),123.0)</f>
        <v>123</v>
      </c>
      <c r="Y574" s="320">
        <f>IFERROR(__xludf.DUMMYFUNCTION("""COMPUTED_VALUE"""),678.0)</f>
        <v>678</v>
      </c>
      <c r="Z574" s="320">
        <f>IFERROR(__xludf.DUMMYFUNCTION("""COMPUTED_VALUE"""),5041.0)</f>
        <v>5041</v>
      </c>
      <c r="AA574" s="320">
        <f>IFERROR(__xludf.DUMMYFUNCTION("""COMPUTED_VALUE"""),52.1683)</f>
        <v>52.1683</v>
      </c>
      <c r="AB574" s="320">
        <f>IFERROR(__xludf.DUMMYFUNCTION("""COMPUTED_VALUE"""),0.6371)</f>
        <v>0.6371</v>
      </c>
      <c r="AC574" s="320">
        <f>IFERROR(__xludf.DUMMYFUNCTION("""COMPUTED_VALUE"""),9.27)</f>
        <v>9.27</v>
      </c>
      <c r="AD574" s="320">
        <f>IFERROR(__xludf.DUMMYFUNCTION("""COMPUTED_VALUE"""),4.0)</f>
        <v>4</v>
      </c>
      <c r="AE574" s="320">
        <f>IFERROR(__xludf.DUMMYFUNCTION("""COMPUTED_VALUE"""),7.0)</f>
        <v>7</v>
      </c>
      <c r="AF574" s="320">
        <f>IFERROR(__xludf.DUMMYFUNCTION("""COMPUTED_VALUE"""),13.0)</f>
        <v>13</v>
      </c>
      <c r="AG574" s="320">
        <f>IFERROR(__xludf.DUMMYFUNCTION("""COMPUTED_VALUE"""),19.0)</f>
        <v>19</v>
      </c>
      <c r="AH574" s="320">
        <f>IFERROR(__xludf.DUMMYFUNCTION("""COMPUTED_VALUE"""),59.98)</f>
        <v>59.98</v>
      </c>
      <c r="AI574" s="320">
        <f>IFERROR(__xludf.DUMMYFUNCTION("""COMPUTED_VALUE"""),25.37)</f>
        <v>25.37</v>
      </c>
      <c r="AJ574" s="320">
        <f>IFERROR(__xludf.DUMMYFUNCTION("""COMPUTED_VALUE"""),4.44)</f>
        <v>4.44</v>
      </c>
      <c r="AK574" s="320">
        <f>IFERROR(__xludf.DUMMYFUNCTION("""COMPUTED_VALUE"""),0.2225)</f>
        <v>0.2225</v>
      </c>
      <c r="AL574" s="320">
        <f>IFERROR(__xludf.DUMMYFUNCTION("""COMPUTED_VALUE"""),21.62)</f>
        <v>21.62</v>
      </c>
      <c r="AM574" s="320">
        <f>IFERROR(__xludf.DUMMYFUNCTION("""COMPUTED_VALUE"""),34.11)</f>
        <v>34.11</v>
      </c>
      <c r="AN574" s="320">
        <f>IFERROR(__xludf.DUMMYFUNCTION("""COMPUTED_VALUE"""),73.85)</f>
        <v>73.85</v>
      </c>
      <c r="AO574" s="320">
        <f>IFERROR(__xludf.DUMMYFUNCTION("""COMPUTED_VALUE"""),15.97)</f>
        <v>15.97</v>
      </c>
    </row>
    <row r="575" ht="15.0" customHeight="1">
      <c r="A575" s="328">
        <f>IFERROR(__xludf.DUMMYFUNCTION("""COMPUTED_VALUE"""),46145.0)</f>
        <v>46145</v>
      </c>
      <c r="B575" s="319" t="str">
        <f>IFERROR(__xludf.DUMMYFUNCTION("""COMPUTED_VALUE"""),"D. 20-39")</f>
        <v>D. 20-39</v>
      </c>
      <c r="C575" s="320">
        <f>IFERROR(__xludf.DUMMYFUNCTION("""COMPUTED_VALUE"""),14594.0)</f>
        <v>14594</v>
      </c>
      <c r="D575" s="320">
        <f>IFERROR(__xludf.DUMMYFUNCTION("""COMPUTED_VALUE"""),14.77)</f>
        <v>14.77</v>
      </c>
      <c r="E575" s="320">
        <f>IFERROR(__xludf.DUMMYFUNCTION("""COMPUTED_VALUE"""),0.0)</f>
        <v>0</v>
      </c>
      <c r="F575" s="320">
        <f>IFERROR(__xludf.DUMMYFUNCTION("""COMPUTED_VALUE"""),0.0)</f>
        <v>0</v>
      </c>
      <c r="G575" s="320">
        <f>IFERROR(__xludf.DUMMYFUNCTION("""COMPUTED_VALUE"""),0.0)</f>
        <v>0</v>
      </c>
      <c r="H575" s="106"/>
      <c r="I575" s="320">
        <f>IFERROR(__xludf.DUMMYFUNCTION("""COMPUTED_VALUE"""),85.11)</f>
        <v>85.11</v>
      </c>
      <c r="J575" s="320">
        <f>IFERROR(__xludf.DUMMYFUNCTION("""COMPUTED_VALUE"""),42.91)</f>
        <v>42.91</v>
      </c>
      <c r="K575" s="320">
        <f>IFERROR(__xludf.DUMMYFUNCTION("""COMPUTED_VALUE"""),27.24)</f>
        <v>27.24</v>
      </c>
      <c r="L575" s="320">
        <f>IFERROR(__xludf.DUMMYFUNCTION("""COMPUTED_VALUE"""),0.6348)</f>
        <v>0.6348</v>
      </c>
      <c r="M575" s="320">
        <f>IFERROR(__xludf.DUMMYFUNCTION("""COMPUTED_VALUE"""),0.5519)</f>
        <v>0.5519</v>
      </c>
      <c r="N575" s="320">
        <f>IFERROR(__xludf.DUMMYFUNCTION("""COMPUTED_VALUE"""),0.3782)</f>
        <v>0.3782</v>
      </c>
      <c r="O575" s="320">
        <f>IFERROR(__xludf.DUMMYFUNCTION("""COMPUTED_VALUE"""),1.5754)</f>
        <v>1.5754</v>
      </c>
      <c r="P575" s="320">
        <f>IFERROR(__xludf.DUMMYFUNCTION("""COMPUTED_VALUE"""),132.46)</f>
        <v>132.46</v>
      </c>
      <c r="Q575" s="320">
        <f>IFERROR(__xludf.DUMMYFUNCTION("""COMPUTED_VALUE"""),84.69)</f>
        <v>84.69</v>
      </c>
      <c r="R575" s="320">
        <f>IFERROR(__xludf.DUMMYFUNCTION("""COMPUTED_VALUE"""),47.78)</f>
        <v>47.78</v>
      </c>
      <c r="S575" s="320">
        <f>IFERROR(__xludf.DUMMYFUNCTION("""COMPUTED_VALUE"""),0.0)</f>
        <v>0</v>
      </c>
      <c r="T575" s="320">
        <f>IFERROR(__xludf.DUMMYFUNCTION("""COMPUTED_VALUE"""),132.46)</f>
        <v>132.46</v>
      </c>
      <c r="U575" s="320">
        <f>IFERROR(__xludf.DUMMYFUNCTION("""COMPUTED_VALUE"""),166.26)</f>
        <v>166.26</v>
      </c>
      <c r="V575" s="320">
        <f>IFERROR(__xludf.DUMMYFUNCTION("""COMPUTED_VALUE"""),3.8748)</f>
        <v>3.8748</v>
      </c>
      <c r="W575" s="320">
        <f>IFERROR(__xludf.DUMMYFUNCTION("""COMPUTED_VALUE"""),0.0)</f>
        <v>0</v>
      </c>
      <c r="X575" s="320">
        <f>IFERROR(__xludf.DUMMYFUNCTION("""COMPUTED_VALUE"""),136.0)</f>
        <v>136</v>
      </c>
      <c r="Y575" s="320">
        <f>IFERROR(__xludf.DUMMYFUNCTION("""COMPUTED_VALUE"""),922.0)</f>
        <v>922</v>
      </c>
      <c r="Z575" s="320">
        <f>IFERROR(__xludf.DUMMYFUNCTION("""COMPUTED_VALUE"""),6122.0)</f>
        <v>6122</v>
      </c>
      <c r="AA575" s="320">
        <f>IFERROR(__xludf.DUMMYFUNCTION("""COMPUTED_VALUE"""),55.6457)</f>
        <v>55.6457</v>
      </c>
      <c r="AB575" s="320">
        <f>IFERROR(__xludf.DUMMYFUNCTION("""COMPUTED_VALUE"""),0.7372)</f>
        <v>0.7372</v>
      </c>
      <c r="AC575" s="320">
        <f>IFERROR(__xludf.DUMMYFUNCTION("""COMPUTED_VALUE"""),17.7)</f>
        <v>17.7</v>
      </c>
      <c r="AD575" s="320">
        <f>IFERROR(__xludf.DUMMYFUNCTION("""COMPUTED_VALUE"""),7.0)</f>
        <v>7</v>
      </c>
      <c r="AE575" s="320">
        <f>IFERROR(__xludf.DUMMYFUNCTION("""COMPUTED_VALUE"""),14.0)</f>
        <v>14</v>
      </c>
      <c r="AF575" s="320">
        <f>IFERROR(__xludf.DUMMYFUNCTION("""COMPUTED_VALUE"""),24.0)</f>
        <v>24</v>
      </c>
      <c r="AG575" s="320">
        <f>IFERROR(__xludf.DUMMYFUNCTION("""COMPUTED_VALUE"""),37.0)</f>
        <v>37</v>
      </c>
      <c r="AH575" s="320">
        <f>IFERROR(__xludf.DUMMYFUNCTION("""COMPUTED_VALUE"""),59.34)</f>
        <v>59.34</v>
      </c>
      <c r="AI575" s="320">
        <f>IFERROR(__xludf.DUMMYFUNCTION("""COMPUTED_VALUE"""),22.56)</f>
        <v>22.56</v>
      </c>
      <c r="AJ575" s="320">
        <f>IFERROR(__xludf.DUMMYFUNCTION("""COMPUTED_VALUE"""),7.19)</f>
        <v>7.19</v>
      </c>
      <c r="AK575" s="320">
        <f>IFERROR(__xludf.DUMMYFUNCTION("""COMPUTED_VALUE"""),0.2049)</f>
        <v>0.2049</v>
      </c>
      <c r="AL575" s="320">
        <f>IFERROR(__xludf.DUMMYFUNCTION("""COMPUTED_VALUE"""),21.25)</f>
        <v>21.25</v>
      </c>
      <c r="AM575" s="320">
        <f>IFERROR(__xludf.DUMMYFUNCTION("""COMPUTED_VALUE"""),63.44)</f>
        <v>63.44</v>
      </c>
      <c r="AN575" s="320">
        <f>IFERROR(__xludf.DUMMYFUNCTION("""COMPUTED_VALUE"""),76.72)</f>
        <v>76.72</v>
      </c>
      <c r="AO575" s="320">
        <f>IFERROR(__xludf.DUMMYFUNCTION("""COMPUTED_VALUE"""),16.3)</f>
        <v>16.3</v>
      </c>
    </row>
    <row r="576" ht="15.0" customHeight="1">
      <c r="A576" s="328">
        <f>IFERROR(__xludf.DUMMYFUNCTION("""COMPUTED_VALUE"""),46145.0)</f>
        <v>46145</v>
      </c>
      <c r="B576" s="319" t="str">
        <f>IFERROR(__xludf.DUMMYFUNCTION("""COMPUTED_VALUE"""),"E. 40-99")</f>
        <v>E. 40-99</v>
      </c>
      <c r="C576" s="320">
        <f>IFERROR(__xludf.DUMMYFUNCTION("""COMPUTED_VALUE"""),6235.0)</f>
        <v>6235</v>
      </c>
      <c r="D576" s="320">
        <f>IFERROR(__xludf.DUMMYFUNCTION("""COMPUTED_VALUE"""),6.31)</f>
        <v>6.31</v>
      </c>
      <c r="E576" s="320">
        <f>IFERROR(__xludf.DUMMYFUNCTION("""COMPUTED_VALUE"""),0.0)</f>
        <v>0</v>
      </c>
      <c r="F576" s="320">
        <f>IFERROR(__xludf.DUMMYFUNCTION("""COMPUTED_VALUE"""),0.0)</f>
        <v>0</v>
      </c>
      <c r="G576" s="320">
        <f>IFERROR(__xludf.DUMMYFUNCTION("""COMPUTED_VALUE"""),0.0)</f>
        <v>0</v>
      </c>
      <c r="H576" s="106"/>
      <c r="I576" s="320">
        <f>IFERROR(__xludf.DUMMYFUNCTION("""COMPUTED_VALUE"""),135.09)</f>
        <v>135.09</v>
      </c>
      <c r="J576" s="320">
        <f>IFERROR(__xludf.DUMMYFUNCTION("""COMPUTED_VALUE"""),73.19)</f>
        <v>73.19</v>
      </c>
      <c r="K576" s="320">
        <f>IFERROR(__xludf.DUMMYFUNCTION("""COMPUTED_VALUE"""),56.11)</f>
        <v>56.11</v>
      </c>
      <c r="L576" s="320">
        <f>IFERROR(__xludf.DUMMYFUNCTION("""COMPUTED_VALUE"""),0.7667)</f>
        <v>0.7667</v>
      </c>
      <c r="M576" s="320">
        <f>IFERROR(__xludf.DUMMYFUNCTION("""COMPUTED_VALUE"""),0.4076)</f>
        <v>0.4076</v>
      </c>
      <c r="N576" s="320">
        <f>IFERROR(__xludf.DUMMYFUNCTION("""COMPUTED_VALUE"""),0.2849)</f>
        <v>0.2849</v>
      </c>
      <c r="O576" s="320">
        <f>IFERROR(__xludf.DUMMYFUNCTION("""COMPUTED_VALUE"""),1.3043)</f>
        <v>1.3043</v>
      </c>
      <c r="P576" s="320">
        <f>IFERROR(__xludf.DUMMYFUNCTION("""COMPUTED_VALUE"""),230.79)</f>
        <v>230.79</v>
      </c>
      <c r="Q576" s="320">
        <f>IFERROR(__xludf.DUMMYFUNCTION("""COMPUTED_VALUE"""),131.87)</f>
        <v>131.87</v>
      </c>
      <c r="R576" s="320">
        <f>IFERROR(__xludf.DUMMYFUNCTION("""COMPUTED_VALUE"""),98.92)</f>
        <v>98.92</v>
      </c>
      <c r="S576" s="320">
        <f>IFERROR(__xludf.DUMMYFUNCTION("""COMPUTED_VALUE"""),0.0)</f>
        <v>0</v>
      </c>
      <c r="T576" s="320">
        <f>IFERROR(__xludf.DUMMYFUNCTION("""COMPUTED_VALUE"""),230.79)</f>
        <v>230.79</v>
      </c>
      <c r="U576" s="320">
        <f>IFERROR(__xludf.DUMMYFUNCTION("""COMPUTED_VALUE"""),298.2)</f>
        <v>298.2</v>
      </c>
      <c r="V576" s="320">
        <f>IFERROR(__xludf.DUMMYFUNCTION("""COMPUTED_VALUE"""),4.0743)</f>
        <v>4.0743</v>
      </c>
      <c r="W576" s="320">
        <f>IFERROR(__xludf.DUMMYFUNCTION("""COMPUTED_VALUE"""),0.0)</f>
        <v>0</v>
      </c>
      <c r="X576" s="320">
        <f>IFERROR(__xludf.DUMMYFUNCTION("""COMPUTED_VALUE"""),226.0)</f>
        <v>226</v>
      </c>
      <c r="Y576" s="320">
        <f>IFERROR(__xludf.DUMMYFUNCTION("""COMPUTED_VALUE"""),2043.0)</f>
        <v>2043</v>
      </c>
      <c r="Z576" s="320">
        <f>IFERROR(__xludf.DUMMYFUNCTION("""COMPUTED_VALUE"""),8791.0)</f>
        <v>8791</v>
      </c>
      <c r="AA576" s="320">
        <f>IFERROR(__xludf.DUMMYFUNCTION("""COMPUTED_VALUE"""),59.5251)</f>
        <v>59.5251</v>
      </c>
      <c r="AB576" s="320">
        <f>IFERROR(__xludf.DUMMYFUNCTION("""COMPUTED_VALUE"""),0.8323)</f>
        <v>0.8323</v>
      </c>
      <c r="AC576" s="320">
        <f>IFERROR(__xludf.DUMMYFUNCTION("""COMPUTED_VALUE"""),37.66)</f>
        <v>37.66</v>
      </c>
      <c r="AD576" s="320">
        <f>IFERROR(__xludf.DUMMYFUNCTION("""COMPUTED_VALUE"""),14.0)</f>
        <v>14</v>
      </c>
      <c r="AE576" s="320">
        <f>IFERROR(__xludf.DUMMYFUNCTION("""COMPUTED_VALUE"""),28.0)</f>
        <v>28</v>
      </c>
      <c r="AF576" s="320">
        <f>IFERROR(__xludf.DUMMYFUNCTION("""COMPUTED_VALUE"""),52.0)</f>
        <v>52</v>
      </c>
      <c r="AG576" s="320">
        <f>IFERROR(__xludf.DUMMYFUNCTION("""COMPUTED_VALUE"""),79.0)</f>
        <v>79</v>
      </c>
      <c r="AH576" s="320">
        <f>IFERROR(__xludf.DUMMYFUNCTION("""COMPUTED_VALUE"""),51.76)</f>
        <v>51.76</v>
      </c>
      <c r="AI576" s="320">
        <f>IFERROR(__xludf.DUMMYFUNCTION("""COMPUTED_VALUE"""),19.73)</f>
        <v>19.73</v>
      </c>
      <c r="AJ576" s="320">
        <f>IFERROR(__xludf.DUMMYFUNCTION("""COMPUTED_VALUE"""),5.18)</f>
        <v>5.18</v>
      </c>
      <c r="AK576" s="320">
        <f>IFERROR(__xludf.DUMMYFUNCTION("""COMPUTED_VALUE"""),0.1573)</f>
        <v>0.1573</v>
      </c>
      <c r="AL576" s="320">
        <f>IFERROR(__xludf.DUMMYFUNCTION("""COMPUTED_VALUE"""),21.57)</f>
        <v>21.57</v>
      </c>
      <c r="AM576" s="320">
        <f>IFERROR(__xludf.DUMMYFUNCTION("""COMPUTED_VALUE"""),110.3)</f>
        <v>110.3</v>
      </c>
      <c r="AN576" s="320">
        <f>IFERROR(__xludf.DUMMYFUNCTION("""COMPUTED_VALUE"""),80.52)</f>
        <v>80.52</v>
      </c>
      <c r="AO576" s="320">
        <f>IFERROR(__xludf.DUMMYFUNCTION("""COMPUTED_VALUE"""),17.37)</f>
        <v>17.37</v>
      </c>
    </row>
    <row r="577" ht="15.0" customHeight="1">
      <c r="A577" s="328">
        <f>IFERROR(__xludf.DUMMYFUNCTION("""COMPUTED_VALUE"""),46145.0)</f>
        <v>46145</v>
      </c>
      <c r="B577" s="319" t="str">
        <f>IFERROR(__xludf.DUMMYFUNCTION("""COMPUTED_VALUE"""),"F. 100+")</f>
        <v>F. 100+</v>
      </c>
      <c r="C577" s="320">
        <f>IFERROR(__xludf.DUMMYFUNCTION("""COMPUTED_VALUE"""),642.0)</f>
        <v>642</v>
      </c>
      <c r="D577" s="320">
        <f>IFERROR(__xludf.DUMMYFUNCTION("""COMPUTED_VALUE"""),0.65)</f>
        <v>0.65</v>
      </c>
      <c r="E577" s="320">
        <f>IFERROR(__xludf.DUMMYFUNCTION("""COMPUTED_VALUE"""),0.0)</f>
        <v>0</v>
      </c>
      <c r="F577" s="320">
        <f>IFERROR(__xludf.DUMMYFUNCTION("""COMPUTED_VALUE"""),0.0)</f>
        <v>0</v>
      </c>
      <c r="G577" s="320">
        <f>IFERROR(__xludf.DUMMYFUNCTION("""COMPUTED_VALUE"""),0.0)</f>
        <v>0</v>
      </c>
      <c r="H577" s="106"/>
      <c r="I577" s="320">
        <f>IFERROR(__xludf.DUMMYFUNCTION("""COMPUTED_VALUE"""),246.3)</f>
        <v>246.3</v>
      </c>
      <c r="J577" s="320">
        <f>IFERROR(__xludf.DUMMYFUNCTION("""COMPUTED_VALUE"""),143.1)</f>
        <v>143.1</v>
      </c>
      <c r="K577" s="320">
        <f>IFERROR(__xludf.DUMMYFUNCTION("""COMPUTED_VALUE"""),123.35)</f>
        <v>123.35</v>
      </c>
      <c r="L577" s="320">
        <f>IFERROR(__xludf.DUMMYFUNCTION("""COMPUTED_VALUE"""),0.862)</f>
        <v>0.862</v>
      </c>
      <c r="M577" s="320">
        <f>IFERROR(__xludf.DUMMYFUNCTION("""COMPUTED_VALUE"""),0.2951)</f>
        <v>0.2951</v>
      </c>
      <c r="N577" s="320">
        <f>IFERROR(__xludf.DUMMYFUNCTION("""COMPUTED_VALUE"""),0.2198)</f>
        <v>0.2198</v>
      </c>
      <c r="O577" s="320">
        <f>IFERROR(__xludf.DUMMYFUNCTION("""COMPUTED_VALUE"""),1.1601)</f>
        <v>1.1601</v>
      </c>
      <c r="P577" s="320">
        <f>IFERROR(__xludf.DUMMYFUNCTION("""COMPUTED_VALUE"""),409.72)</f>
        <v>409.72</v>
      </c>
      <c r="Q577" s="320">
        <f>IFERROR(__xludf.DUMMYFUNCTION("""COMPUTED_VALUE"""),191.37)</f>
        <v>191.37</v>
      </c>
      <c r="R577" s="320">
        <f>IFERROR(__xludf.DUMMYFUNCTION("""COMPUTED_VALUE"""),218.35)</f>
        <v>218.35</v>
      </c>
      <c r="S577" s="320">
        <f>IFERROR(__xludf.DUMMYFUNCTION("""COMPUTED_VALUE"""),1.78)</f>
        <v>1.78</v>
      </c>
      <c r="T577" s="320">
        <f>IFERROR(__xludf.DUMMYFUNCTION("""COMPUTED_VALUE"""),407.95)</f>
        <v>407.95</v>
      </c>
      <c r="U577" s="320">
        <f>IFERROR(__xludf.DUMMYFUNCTION("""COMPUTED_VALUE"""),615.03)</f>
        <v>615.03</v>
      </c>
      <c r="V577" s="320">
        <f>IFERROR(__xludf.DUMMYFUNCTION("""COMPUTED_VALUE"""),4.2978)</f>
        <v>4.2978</v>
      </c>
      <c r="W577" s="320">
        <f>IFERROR(__xludf.DUMMYFUNCTION("""COMPUTED_VALUE"""),0.43)</f>
        <v>0.43</v>
      </c>
      <c r="X577" s="320">
        <f>IFERROR(__xludf.DUMMYFUNCTION("""COMPUTED_VALUE"""),579.0)</f>
        <v>579</v>
      </c>
      <c r="Y577" s="320">
        <f>IFERROR(__xludf.DUMMYFUNCTION("""COMPUTED_VALUE"""),3927.0)</f>
        <v>3927</v>
      </c>
      <c r="Z577" s="320">
        <f>IFERROR(__xludf.DUMMYFUNCTION("""COMPUTED_VALUE"""),12974.0)</f>
        <v>12974</v>
      </c>
      <c r="AA577" s="320">
        <f>IFERROR(__xludf.DUMMYFUNCTION("""COMPUTED_VALUE"""),62.7297)</f>
        <v>62.7297</v>
      </c>
      <c r="AB577" s="320">
        <f>IFERROR(__xludf.DUMMYFUNCTION("""COMPUTED_VALUE"""),0.9007)</f>
        <v>0.9007</v>
      </c>
      <c r="AC577" s="320">
        <f>IFERROR(__xludf.DUMMYFUNCTION("""COMPUTED_VALUE"""),83.38)</f>
        <v>83.38</v>
      </c>
      <c r="AD577" s="320">
        <f>IFERROR(__xludf.DUMMYFUNCTION("""COMPUTED_VALUE"""),32.0)</f>
        <v>32</v>
      </c>
      <c r="AE577" s="320">
        <f>IFERROR(__xludf.DUMMYFUNCTION("""COMPUTED_VALUE"""),65.0)</f>
        <v>65</v>
      </c>
      <c r="AF577" s="320">
        <f>IFERROR(__xludf.DUMMYFUNCTION("""COMPUTED_VALUE"""),120.0)</f>
        <v>120</v>
      </c>
      <c r="AG577" s="320">
        <f>IFERROR(__xludf.DUMMYFUNCTION("""COMPUTED_VALUE"""),166.0)</f>
        <v>166</v>
      </c>
      <c r="AH577" s="320">
        <f>IFERROR(__xludf.DUMMYFUNCTION("""COMPUTED_VALUE"""),42.21)</f>
        <v>42.21</v>
      </c>
      <c r="AI577" s="320">
        <f>IFERROR(__xludf.DUMMYFUNCTION("""COMPUTED_VALUE"""),8.26)</f>
        <v>8.26</v>
      </c>
      <c r="AJ577" s="320">
        <f>IFERROR(__xludf.DUMMYFUNCTION("""COMPUTED_VALUE"""),0.93)</f>
        <v>0.93</v>
      </c>
      <c r="AK577" s="320">
        <f>IFERROR(__xludf.DUMMYFUNCTION("""COMPUTED_VALUE"""),0.1293)</f>
        <v>0.1293</v>
      </c>
      <c r="AL577" s="320">
        <f>IFERROR(__xludf.DUMMYFUNCTION("""COMPUTED_VALUE"""),20.65)</f>
        <v>20.65</v>
      </c>
      <c r="AM577" s="320">
        <f>IFERROR(__xludf.DUMMYFUNCTION("""COMPUTED_VALUE"""),170.72)</f>
        <v>170.72</v>
      </c>
      <c r="AN577" s="320">
        <f>IFERROR(__xludf.DUMMYFUNCTION("""COMPUTED_VALUE"""),79.53)</f>
        <v>79.53</v>
      </c>
      <c r="AO577" s="320">
        <f>IFERROR(__xludf.DUMMYFUNCTION("""COMPUTED_VALUE"""),16.42)</f>
        <v>16.42</v>
      </c>
    </row>
    <row r="578" ht="15.0" customHeight="1">
      <c r="A578" s="328">
        <f>IFERROR(__xludf.DUMMYFUNCTION("""COMPUTED_VALUE"""),46146.0)</f>
        <v>46146</v>
      </c>
      <c r="B578" s="319" t="str">
        <f>IFERROR(__xludf.DUMMYFUNCTION("""COMPUTED_VALUE"""),"A. 0")</f>
        <v>A. 0</v>
      </c>
      <c r="C578" s="320">
        <f>IFERROR(__xludf.DUMMYFUNCTION("""COMPUTED_VALUE"""),18211.0)</f>
        <v>18211</v>
      </c>
      <c r="D578" s="320">
        <f>IFERROR(__xludf.DUMMYFUNCTION("""COMPUTED_VALUE"""),17.48)</f>
        <v>17.48</v>
      </c>
      <c r="E578" s="320">
        <f>IFERROR(__xludf.DUMMYFUNCTION("""COMPUTED_VALUE"""),0.0)</f>
        <v>0</v>
      </c>
      <c r="F578" s="320">
        <f>IFERROR(__xludf.DUMMYFUNCTION("""COMPUTED_VALUE"""),0.0)</f>
        <v>0</v>
      </c>
      <c r="G578" s="320">
        <f>IFERROR(__xludf.DUMMYFUNCTION("""COMPUTED_VALUE"""),0.0)</f>
        <v>0</v>
      </c>
      <c r="H578" s="106"/>
      <c r="I578" s="320">
        <f>IFERROR(__xludf.DUMMYFUNCTION("""COMPUTED_VALUE"""),5.65)</f>
        <v>5.65</v>
      </c>
      <c r="J578" s="320">
        <f>IFERROR(__xludf.DUMMYFUNCTION("""COMPUTED_VALUE"""),2.26)</f>
        <v>2.26</v>
      </c>
      <c r="K578" s="320">
        <f>IFERROR(__xludf.DUMMYFUNCTION("""COMPUTED_VALUE"""),0.11)</f>
        <v>0.11</v>
      </c>
      <c r="L578" s="320">
        <f>IFERROR(__xludf.DUMMYFUNCTION("""COMPUTED_VALUE"""),0.048)</f>
        <v>0.048</v>
      </c>
      <c r="M578" s="320">
        <f>IFERROR(__xludf.DUMMYFUNCTION("""COMPUTED_VALUE"""),0.9635)</f>
        <v>0.9635</v>
      </c>
      <c r="N578" s="320">
        <f>IFERROR(__xludf.DUMMYFUNCTION("""COMPUTED_VALUE"""),0.6918)</f>
        <v>0.6918</v>
      </c>
      <c r="O578" s="320">
        <f>IFERROR(__xludf.DUMMYFUNCTION("""COMPUTED_VALUE"""),20.8549)</f>
        <v>20.8549</v>
      </c>
      <c r="P578" s="320">
        <f>IFERROR(__xludf.DUMMYFUNCTION("""COMPUTED_VALUE"""),34.01)</f>
        <v>34.01</v>
      </c>
      <c r="Q578" s="320">
        <f>IFERROR(__xludf.DUMMYFUNCTION("""COMPUTED_VALUE"""),33.89)</f>
        <v>33.89</v>
      </c>
      <c r="R578" s="320">
        <f>IFERROR(__xludf.DUMMYFUNCTION("""COMPUTED_VALUE"""),0.13)</f>
        <v>0.13</v>
      </c>
      <c r="S578" s="320">
        <f>IFERROR(__xludf.DUMMYFUNCTION("""COMPUTED_VALUE"""),0.0)</f>
        <v>0</v>
      </c>
      <c r="T578" s="320">
        <f>IFERROR(__xludf.DUMMYFUNCTION("""COMPUTED_VALUE"""),34.01)</f>
        <v>34.01</v>
      </c>
      <c r="U578" s="320">
        <f>IFERROR(__xludf.DUMMYFUNCTION("""COMPUTED_VALUE"""),2.26)</f>
        <v>2.26</v>
      </c>
      <c r="V578" s="320">
        <f>IFERROR(__xludf.DUMMYFUNCTION("""COMPUTED_VALUE"""),1.0023)</f>
        <v>1.0023</v>
      </c>
      <c r="W578" s="320">
        <f>IFERROR(__xludf.DUMMYFUNCTION("""COMPUTED_VALUE"""),0.0)</f>
        <v>0</v>
      </c>
      <c r="X578" s="320">
        <f>IFERROR(__xludf.DUMMYFUNCTION("""COMPUTED_VALUE"""),430.0)</f>
        <v>430</v>
      </c>
      <c r="Y578" s="320">
        <f>IFERROR(__xludf.DUMMYFUNCTION("""COMPUTED_VALUE"""),4718.0)</f>
        <v>4718</v>
      </c>
      <c r="Z578" s="320">
        <f>IFERROR(__xludf.DUMMYFUNCTION("""COMPUTED_VALUE"""),16695.0)</f>
        <v>16695</v>
      </c>
      <c r="AA578" s="320">
        <f>IFERROR(__xludf.DUMMYFUNCTION("""COMPUTED_VALUE"""),49.5497)</f>
        <v>49.5497</v>
      </c>
      <c r="AB578" s="320">
        <f>IFERROR(__xludf.DUMMYFUNCTION("""COMPUTED_VALUE"""),0.5522)</f>
        <v>0.5522</v>
      </c>
      <c r="AC578" s="106"/>
      <c r="AD578" s="106"/>
      <c r="AE578" s="106"/>
      <c r="AF578" s="106"/>
      <c r="AG578" s="106"/>
      <c r="AH578" s="320">
        <f>IFERROR(__xludf.DUMMYFUNCTION("""COMPUTED_VALUE"""),0.0)</f>
        <v>0</v>
      </c>
      <c r="AI578" s="320">
        <f>IFERROR(__xludf.DUMMYFUNCTION("""COMPUTED_VALUE"""),0.0)</f>
        <v>0</v>
      </c>
      <c r="AJ578" s="320">
        <f>IFERROR(__xludf.DUMMYFUNCTION("""COMPUTED_VALUE"""),0.0)</f>
        <v>0</v>
      </c>
      <c r="AK578" s="320">
        <f>IFERROR(__xludf.DUMMYFUNCTION("""COMPUTED_VALUE"""),0.2708)</f>
        <v>0.2708</v>
      </c>
      <c r="AL578" s="320">
        <f>IFERROR(__xludf.DUMMYFUNCTION("""COMPUTED_VALUE"""),17.26)</f>
        <v>17.26</v>
      </c>
      <c r="AM578" s="320">
        <f>IFERROR(__xludf.DUMMYFUNCTION("""COMPUTED_VALUE"""),16.62)</f>
        <v>16.62</v>
      </c>
      <c r="AN578" s="331"/>
      <c r="AO578" s="331"/>
    </row>
    <row r="579" ht="15.0" customHeight="1">
      <c r="A579" s="328">
        <f>IFERROR(__xludf.DUMMYFUNCTION("""COMPUTED_VALUE"""),46146.0)</f>
        <v>46146</v>
      </c>
      <c r="B579" s="319" t="str">
        <f>IFERROR(__xludf.DUMMYFUNCTION("""COMPUTED_VALUE"""),"B. 1-9")</f>
        <v>B. 1-9</v>
      </c>
      <c r="C579" s="320">
        <f>IFERROR(__xludf.DUMMYFUNCTION("""COMPUTED_VALUE"""),34244.0)</f>
        <v>34244</v>
      </c>
      <c r="D579" s="320">
        <f>IFERROR(__xludf.DUMMYFUNCTION("""COMPUTED_VALUE"""),32.86)</f>
        <v>32.86</v>
      </c>
      <c r="E579" s="320">
        <f>IFERROR(__xludf.DUMMYFUNCTION("""COMPUTED_VALUE"""),0.0)</f>
        <v>0</v>
      </c>
      <c r="F579" s="320">
        <f>IFERROR(__xludf.DUMMYFUNCTION("""COMPUTED_VALUE"""),0.0)</f>
        <v>0</v>
      </c>
      <c r="G579" s="320">
        <f>IFERROR(__xludf.DUMMYFUNCTION("""COMPUTED_VALUE"""),0.0)</f>
        <v>0</v>
      </c>
      <c r="H579" s="106"/>
      <c r="I579" s="320">
        <f>IFERROR(__xludf.DUMMYFUNCTION("""COMPUTED_VALUE"""),31.94)</f>
        <v>31.94</v>
      </c>
      <c r="J579" s="320">
        <f>IFERROR(__xludf.DUMMYFUNCTION("""COMPUTED_VALUE"""),14.45)</f>
        <v>14.45</v>
      </c>
      <c r="K579" s="320">
        <f>IFERROR(__xludf.DUMMYFUNCTION("""COMPUTED_VALUE"""),5.78)</f>
        <v>5.78</v>
      </c>
      <c r="L579" s="320">
        <f>IFERROR(__xludf.DUMMYFUNCTION("""COMPUTED_VALUE"""),0.3997)</f>
        <v>0.3997</v>
      </c>
      <c r="M579" s="320">
        <f>IFERROR(__xludf.DUMMYFUNCTION("""COMPUTED_VALUE"""),0.7681)</f>
        <v>0.7681</v>
      </c>
      <c r="N579" s="320">
        <f>IFERROR(__xludf.DUMMYFUNCTION("""COMPUTED_VALUE"""),0.5684)</f>
        <v>0.5684</v>
      </c>
      <c r="O579" s="320">
        <f>IFERROR(__xludf.DUMMYFUNCTION("""COMPUTED_VALUE"""),2.5021)</f>
        <v>2.5021</v>
      </c>
      <c r="P579" s="320">
        <f>IFERROR(__xludf.DUMMYFUNCTION("""COMPUTED_VALUE"""),69.93)</f>
        <v>69.93</v>
      </c>
      <c r="Q579" s="320">
        <f>IFERROR(__xludf.DUMMYFUNCTION("""COMPUTED_VALUE"""),60.06)</f>
        <v>60.06</v>
      </c>
      <c r="R579" s="320">
        <f>IFERROR(__xludf.DUMMYFUNCTION("""COMPUTED_VALUE"""),9.86)</f>
        <v>9.86</v>
      </c>
      <c r="S579" s="320">
        <f>IFERROR(__xludf.DUMMYFUNCTION("""COMPUTED_VALUE"""),0.0)</f>
        <v>0</v>
      </c>
      <c r="T579" s="320">
        <f>IFERROR(__xludf.DUMMYFUNCTION("""COMPUTED_VALUE"""),69.93)</f>
        <v>69.93</v>
      </c>
      <c r="U579" s="320">
        <f>IFERROR(__xludf.DUMMYFUNCTION("""COMPUTED_VALUE"""),57.29)</f>
        <v>57.29</v>
      </c>
      <c r="V579" s="320">
        <f>IFERROR(__xludf.DUMMYFUNCTION("""COMPUTED_VALUE"""),3.9646)</f>
        <v>3.9646</v>
      </c>
      <c r="W579" s="320">
        <f>IFERROR(__xludf.DUMMYFUNCTION("""COMPUTED_VALUE"""),0.0)</f>
        <v>0</v>
      </c>
      <c r="X579" s="320">
        <f>IFERROR(__xludf.DUMMYFUNCTION("""COMPUTED_VALUE"""),160.0)</f>
        <v>160</v>
      </c>
      <c r="Y579" s="320">
        <f>IFERROR(__xludf.DUMMYFUNCTION("""COMPUTED_VALUE"""),967.0)</f>
        <v>967</v>
      </c>
      <c r="Z579" s="320">
        <f>IFERROR(__xludf.DUMMYFUNCTION("""COMPUTED_VALUE"""),6405.0)</f>
        <v>6405</v>
      </c>
      <c r="AA579" s="320">
        <f>IFERROR(__xludf.DUMMYFUNCTION("""COMPUTED_VALUE"""),48.7436)</f>
        <v>48.7436</v>
      </c>
      <c r="AB579" s="320">
        <f>IFERROR(__xludf.DUMMYFUNCTION("""COMPUTED_VALUE"""),0.5332)</f>
        <v>0.5332</v>
      </c>
      <c r="AC579" s="320">
        <f>IFERROR(__xludf.DUMMYFUNCTION("""COMPUTED_VALUE"""),4.01)</f>
        <v>4.01</v>
      </c>
      <c r="AD579" s="320">
        <f>IFERROR(__xludf.DUMMYFUNCTION("""COMPUTED_VALUE"""),1.0)</f>
        <v>1</v>
      </c>
      <c r="AE579" s="320">
        <f>IFERROR(__xludf.DUMMYFUNCTION("""COMPUTED_VALUE"""),3.0)</f>
        <v>3</v>
      </c>
      <c r="AF579" s="320">
        <f>IFERROR(__xludf.DUMMYFUNCTION("""COMPUTED_VALUE"""),5.0)</f>
        <v>5</v>
      </c>
      <c r="AG579" s="320">
        <f>IFERROR(__xludf.DUMMYFUNCTION("""COMPUTED_VALUE"""),9.0)</f>
        <v>9</v>
      </c>
      <c r="AH579" s="320">
        <f>IFERROR(__xludf.DUMMYFUNCTION("""COMPUTED_VALUE"""),74.02)</f>
        <v>74.02</v>
      </c>
      <c r="AI579" s="320">
        <f>IFERROR(__xludf.DUMMYFUNCTION("""COMPUTED_VALUE"""),31.28)</f>
        <v>31.28</v>
      </c>
      <c r="AJ579" s="320">
        <f>IFERROR(__xludf.DUMMYFUNCTION("""COMPUTED_VALUE"""),8.08)</f>
        <v>8.08</v>
      </c>
      <c r="AK579" s="320">
        <f>IFERROR(__xludf.DUMMYFUNCTION("""COMPUTED_VALUE"""),0.2394)</f>
        <v>0.2394</v>
      </c>
      <c r="AL579" s="320">
        <f>IFERROR(__xludf.DUMMYFUNCTION("""COMPUTED_VALUE"""),18.32)</f>
        <v>18.32</v>
      </c>
      <c r="AM579" s="320">
        <f>IFERROR(__xludf.DUMMYFUNCTION("""COMPUTED_VALUE"""),41.74)</f>
        <v>41.74</v>
      </c>
      <c r="AN579" s="320">
        <f>IFERROR(__xludf.DUMMYFUNCTION("""COMPUTED_VALUE"""),65.53)</f>
        <v>65.53</v>
      </c>
      <c r="AO579" s="320">
        <f>IFERROR(__xludf.DUMMYFUNCTION("""COMPUTED_VALUE"""),12.01)</f>
        <v>12.01</v>
      </c>
    </row>
    <row r="580" ht="15.0" customHeight="1">
      <c r="A580" s="328">
        <f>IFERROR(__xludf.DUMMYFUNCTION("""COMPUTED_VALUE"""),46146.0)</f>
        <v>46146</v>
      </c>
      <c r="B580" s="319" t="str">
        <f>IFERROR(__xludf.DUMMYFUNCTION("""COMPUTED_VALUE"""),"C. 10-19")</f>
        <v>C. 10-19</v>
      </c>
      <c r="C580" s="320">
        <f>IFERROR(__xludf.DUMMYFUNCTION("""COMPUTED_VALUE"""),27585.0)</f>
        <v>27585</v>
      </c>
      <c r="D580" s="320">
        <f>IFERROR(__xludf.DUMMYFUNCTION("""COMPUTED_VALUE"""),26.47)</f>
        <v>26.47</v>
      </c>
      <c r="E580" s="320">
        <f>IFERROR(__xludf.DUMMYFUNCTION("""COMPUTED_VALUE"""),0.0)</f>
        <v>0</v>
      </c>
      <c r="F580" s="320">
        <f>IFERROR(__xludf.DUMMYFUNCTION("""COMPUTED_VALUE"""),0.0)</f>
        <v>0</v>
      </c>
      <c r="G580" s="320">
        <f>IFERROR(__xludf.DUMMYFUNCTION("""COMPUTED_VALUE"""),0.0)</f>
        <v>0</v>
      </c>
      <c r="H580" s="106"/>
      <c r="I580" s="320">
        <f>IFERROR(__xludf.DUMMYFUNCTION("""COMPUTED_VALUE"""),61.07)</f>
        <v>61.07</v>
      </c>
      <c r="J580" s="320">
        <f>IFERROR(__xludf.DUMMYFUNCTION("""COMPUTED_VALUE"""),28.57)</f>
        <v>28.57</v>
      </c>
      <c r="K580" s="320">
        <f>IFERROR(__xludf.DUMMYFUNCTION("""COMPUTED_VALUE"""),14.6)</f>
        <v>14.6</v>
      </c>
      <c r="L580" s="320">
        <f>IFERROR(__xludf.DUMMYFUNCTION("""COMPUTED_VALUE"""),0.5109)</f>
        <v>0.5109</v>
      </c>
      <c r="M580" s="320">
        <f>IFERROR(__xludf.DUMMYFUNCTION("""COMPUTED_VALUE"""),0.6825)</f>
        <v>0.6825</v>
      </c>
      <c r="N580" s="320">
        <f>IFERROR(__xludf.DUMMYFUNCTION("""COMPUTED_VALUE"""),0.4846)</f>
        <v>0.4846</v>
      </c>
      <c r="O580" s="320">
        <f>IFERROR(__xludf.DUMMYFUNCTION("""COMPUTED_VALUE"""),1.9573)</f>
        <v>1.9573</v>
      </c>
      <c r="P580" s="320">
        <f>IFERROR(__xludf.DUMMYFUNCTION("""COMPUTED_VALUE"""),123.02)</f>
        <v>123.02</v>
      </c>
      <c r="Q580" s="320">
        <f>IFERROR(__xludf.DUMMYFUNCTION("""COMPUTED_VALUE"""),99.01)</f>
        <v>99.01</v>
      </c>
      <c r="R580" s="320">
        <f>IFERROR(__xludf.DUMMYFUNCTION("""COMPUTED_VALUE"""),24.01)</f>
        <v>24.01</v>
      </c>
      <c r="S580" s="320">
        <f>IFERROR(__xludf.DUMMYFUNCTION("""COMPUTED_VALUE"""),0.0)</f>
        <v>0</v>
      </c>
      <c r="T580" s="320">
        <f>IFERROR(__xludf.DUMMYFUNCTION("""COMPUTED_VALUE"""),123.02)</f>
        <v>123.02</v>
      </c>
      <c r="U580" s="320">
        <f>IFERROR(__xludf.DUMMYFUNCTION("""COMPUTED_VALUE"""),109.77)</f>
        <v>109.77</v>
      </c>
      <c r="V580" s="320">
        <f>IFERROR(__xludf.DUMMYFUNCTION("""COMPUTED_VALUE"""),3.8414)</f>
        <v>3.8414</v>
      </c>
      <c r="W580" s="320">
        <f>IFERROR(__xludf.DUMMYFUNCTION("""COMPUTED_VALUE"""),0.0)</f>
        <v>0</v>
      </c>
      <c r="X580" s="320">
        <f>IFERROR(__xludf.DUMMYFUNCTION("""COMPUTED_VALUE"""),137.0)</f>
        <v>137</v>
      </c>
      <c r="Y580" s="320">
        <f>IFERROR(__xludf.DUMMYFUNCTION("""COMPUTED_VALUE"""),739.0)</f>
        <v>739</v>
      </c>
      <c r="Z580" s="320">
        <f>IFERROR(__xludf.DUMMYFUNCTION("""COMPUTED_VALUE"""),5389.0)</f>
        <v>5389</v>
      </c>
      <c r="AA580" s="320">
        <f>IFERROR(__xludf.DUMMYFUNCTION("""COMPUTED_VALUE"""),51.8657)</f>
        <v>51.8657</v>
      </c>
      <c r="AB580" s="320">
        <f>IFERROR(__xludf.DUMMYFUNCTION("""COMPUTED_VALUE"""),0.5837)</f>
        <v>0.5837</v>
      </c>
      <c r="AC580" s="320">
        <f>IFERROR(__xludf.DUMMYFUNCTION("""COMPUTED_VALUE"""),9.28)</f>
        <v>9.28</v>
      </c>
      <c r="AD580" s="320">
        <f>IFERROR(__xludf.DUMMYFUNCTION("""COMPUTED_VALUE"""),4.0)</f>
        <v>4</v>
      </c>
      <c r="AE580" s="320">
        <f>IFERROR(__xludf.DUMMYFUNCTION("""COMPUTED_VALUE"""),7.0)</f>
        <v>7</v>
      </c>
      <c r="AF580" s="320">
        <f>IFERROR(__xludf.DUMMYFUNCTION("""COMPUTED_VALUE"""),13.0)</f>
        <v>13</v>
      </c>
      <c r="AG580" s="320">
        <f>IFERROR(__xludf.DUMMYFUNCTION("""COMPUTED_VALUE"""),19.0)</f>
        <v>19</v>
      </c>
      <c r="AH580" s="320">
        <f>IFERROR(__xludf.DUMMYFUNCTION("""COMPUTED_VALUE"""),60.65)</f>
        <v>60.65</v>
      </c>
      <c r="AI580" s="320">
        <f>IFERROR(__xludf.DUMMYFUNCTION("""COMPUTED_VALUE"""),25.82)</f>
        <v>25.82</v>
      </c>
      <c r="AJ580" s="320">
        <f>IFERROR(__xludf.DUMMYFUNCTION("""COMPUTED_VALUE"""),4.05)</f>
        <v>4.05</v>
      </c>
      <c r="AK580" s="320">
        <f>IFERROR(__xludf.DUMMYFUNCTION("""COMPUTED_VALUE"""),0.1794)</f>
        <v>0.1794</v>
      </c>
      <c r="AL580" s="320">
        <f>IFERROR(__xludf.DUMMYFUNCTION("""COMPUTED_VALUE"""),18.59)</f>
        <v>18.59</v>
      </c>
      <c r="AM580" s="320">
        <f>IFERROR(__xludf.DUMMYFUNCTION("""COMPUTED_VALUE"""),80.42)</f>
        <v>80.42</v>
      </c>
      <c r="AN580" s="320">
        <f>IFERROR(__xludf.DUMMYFUNCTION("""COMPUTED_VALUE"""),71.75)</f>
        <v>71.75</v>
      </c>
      <c r="AO580" s="320">
        <f>IFERROR(__xludf.DUMMYFUNCTION("""COMPUTED_VALUE"""),13.34)</f>
        <v>13.34</v>
      </c>
    </row>
    <row r="581" ht="15.0" customHeight="1">
      <c r="A581" s="328">
        <f>IFERROR(__xludf.DUMMYFUNCTION("""COMPUTED_VALUE"""),46146.0)</f>
        <v>46146</v>
      </c>
      <c r="B581" s="319" t="str">
        <f>IFERROR(__xludf.DUMMYFUNCTION("""COMPUTED_VALUE"""),"D. 20-39")</f>
        <v>D. 20-39</v>
      </c>
      <c r="C581" s="320">
        <f>IFERROR(__xludf.DUMMYFUNCTION("""COMPUTED_VALUE"""),16595.0)</f>
        <v>16595</v>
      </c>
      <c r="D581" s="320">
        <f>IFERROR(__xludf.DUMMYFUNCTION("""COMPUTED_VALUE"""),15.92)</f>
        <v>15.92</v>
      </c>
      <c r="E581" s="320">
        <f>IFERROR(__xludf.DUMMYFUNCTION("""COMPUTED_VALUE"""),0.0)</f>
        <v>0</v>
      </c>
      <c r="F581" s="320">
        <f>IFERROR(__xludf.DUMMYFUNCTION("""COMPUTED_VALUE"""),0.0)</f>
        <v>0</v>
      </c>
      <c r="G581" s="320">
        <f>IFERROR(__xludf.DUMMYFUNCTION("""COMPUTED_VALUE"""),0.0)</f>
        <v>0</v>
      </c>
      <c r="H581" s="106"/>
      <c r="I581" s="320">
        <f>IFERROR(__xludf.DUMMYFUNCTION("""COMPUTED_VALUE"""),91.32)</f>
        <v>91.32</v>
      </c>
      <c r="J581" s="320">
        <f>IFERROR(__xludf.DUMMYFUNCTION("""COMPUTED_VALUE"""),45.15)</f>
        <v>45.15</v>
      </c>
      <c r="K581" s="320">
        <f>IFERROR(__xludf.DUMMYFUNCTION("""COMPUTED_VALUE"""),29.32)</f>
        <v>29.32</v>
      </c>
      <c r="L581" s="320">
        <f>IFERROR(__xludf.DUMMYFUNCTION("""COMPUTED_VALUE"""),0.6493)</f>
        <v>0.6493</v>
      </c>
      <c r="M581" s="320">
        <f>IFERROR(__xludf.DUMMYFUNCTION("""COMPUTED_VALUE"""),0.5512)</f>
        <v>0.5512</v>
      </c>
      <c r="N581" s="320">
        <f>IFERROR(__xludf.DUMMYFUNCTION("""COMPUTED_VALUE"""),0.3856)</f>
        <v>0.3856</v>
      </c>
      <c r="O581" s="320">
        <f>IFERROR(__xludf.DUMMYFUNCTION("""COMPUTED_VALUE"""),1.5401)</f>
        <v>1.5401</v>
      </c>
      <c r="P581" s="320">
        <f>IFERROR(__xludf.DUMMYFUNCTION("""COMPUTED_VALUE"""),212.27)</f>
        <v>212.27</v>
      </c>
      <c r="Q581" s="320">
        <f>IFERROR(__xludf.DUMMYFUNCTION("""COMPUTED_VALUE"""),165.34)</f>
        <v>165.34</v>
      </c>
      <c r="R581" s="320">
        <f>IFERROR(__xludf.DUMMYFUNCTION("""COMPUTED_VALUE"""),46.92)</f>
        <v>46.92</v>
      </c>
      <c r="S581" s="320">
        <f>IFERROR(__xludf.DUMMYFUNCTION("""COMPUTED_VALUE"""),0.01)</f>
        <v>0.01</v>
      </c>
      <c r="T581" s="320">
        <f>IFERROR(__xludf.DUMMYFUNCTION("""COMPUTED_VALUE"""),212.25)</f>
        <v>212.25</v>
      </c>
      <c r="U581" s="320">
        <f>IFERROR(__xludf.DUMMYFUNCTION("""COMPUTED_VALUE"""),196.74)</f>
        <v>196.74</v>
      </c>
      <c r="V581" s="320">
        <f>IFERROR(__xludf.DUMMYFUNCTION("""COMPUTED_VALUE"""),4.3576)</f>
        <v>4.3576</v>
      </c>
      <c r="W581" s="320">
        <f>IFERROR(__xludf.DUMMYFUNCTION("""COMPUTED_VALUE"""),0.01)</f>
        <v>0.01</v>
      </c>
      <c r="X581" s="320">
        <f>IFERROR(__xludf.DUMMYFUNCTION("""COMPUTED_VALUE"""),162.0)</f>
        <v>162</v>
      </c>
      <c r="Y581" s="320">
        <f>IFERROR(__xludf.DUMMYFUNCTION("""COMPUTED_VALUE"""),1079.0)</f>
        <v>1079</v>
      </c>
      <c r="Z581" s="320">
        <f>IFERROR(__xludf.DUMMYFUNCTION("""COMPUTED_VALUE"""),7066.0)</f>
        <v>7066</v>
      </c>
      <c r="AA581" s="320">
        <f>IFERROR(__xludf.DUMMYFUNCTION("""COMPUTED_VALUE"""),55.0581)</f>
        <v>55.0581</v>
      </c>
      <c r="AB581" s="320">
        <f>IFERROR(__xludf.DUMMYFUNCTION("""COMPUTED_VALUE"""),0.6483)</f>
        <v>0.6483</v>
      </c>
      <c r="AC581" s="320">
        <f>IFERROR(__xludf.DUMMYFUNCTION("""COMPUTED_VALUE"""),18.32)</f>
        <v>18.32</v>
      </c>
      <c r="AD581" s="320">
        <f>IFERROR(__xludf.DUMMYFUNCTION("""COMPUTED_VALUE"""),8.0)</f>
        <v>8</v>
      </c>
      <c r="AE581" s="320">
        <f>IFERROR(__xludf.DUMMYFUNCTION("""COMPUTED_VALUE"""),15.0)</f>
        <v>15</v>
      </c>
      <c r="AF581" s="320">
        <f>IFERROR(__xludf.DUMMYFUNCTION("""COMPUTED_VALUE"""),26.0)</f>
        <v>26</v>
      </c>
      <c r="AG581" s="320">
        <f>IFERROR(__xludf.DUMMYFUNCTION("""COMPUTED_VALUE"""),38.0)</f>
        <v>38</v>
      </c>
      <c r="AH581" s="320">
        <f>IFERROR(__xludf.DUMMYFUNCTION("""COMPUTED_VALUE"""),62.31)</f>
        <v>62.31</v>
      </c>
      <c r="AI581" s="320">
        <f>IFERROR(__xludf.DUMMYFUNCTION("""COMPUTED_VALUE"""),25.09)</f>
        <v>25.09</v>
      </c>
      <c r="AJ581" s="320">
        <f>IFERROR(__xludf.DUMMYFUNCTION("""COMPUTED_VALUE"""),5.91)</f>
        <v>5.91</v>
      </c>
      <c r="AK581" s="320">
        <f>IFERROR(__xludf.DUMMYFUNCTION("""COMPUTED_VALUE"""),0.1594)</f>
        <v>0.1594</v>
      </c>
      <c r="AL581" s="320">
        <f>IFERROR(__xludf.DUMMYFUNCTION("""COMPUTED_VALUE"""),19.43)</f>
        <v>19.43</v>
      </c>
      <c r="AM581" s="320">
        <f>IFERROR(__xludf.DUMMYFUNCTION("""COMPUTED_VALUE"""),145.91)</f>
        <v>145.91</v>
      </c>
      <c r="AN581" s="320">
        <f>IFERROR(__xludf.DUMMYFUNCTION("""COMPUTED_VALUE"""),71.76)</f>
        <v>71.76</v>
      </c>
      <c r="AO581" s="320">
        <f>IFERROR(__xludf.DUMMYFUNCTION("""COMPUTED_VALUE"""),13.94)</f>
        <v>13.94</v>
      </c>
    </row>
    <row r="582" ht="15.0" customHeight="1">
      <c r="A582" s="328">
        <f>IFERROR(__xludf.DUMMYFUNCTION("""COMPUTED_VALUE"""),46146.0)</f>
        <v>46146</v>
      </c>
      <c r="B582" s="319" t="str">
        <f>IFERROR(__xludf.DUMMYFUNCTION("""COMPUTED_VALUE"""),"E. 40-99")</f>
        <v>E. 40-99</v>
      </c>
      <c r="C582" s="320">
        <f>IFERROR(__xludf.DUMMYFUNCTION("""COMPUTED_VALUE"""),6954.0)</f>
        <v>6954</v>
      </c>
      <c r="D582" s="320">
        <f>IFERROR(__xludf.DUMMYFUNCTION("""COMPUTED_VALUE"""),6.67)</f>
        <v>6.67</v>
      </c>
      <c r="E582" s="320">
        <f>IFERROR(__xludf.DUMMYFUNCTION("""COMPUTED_VALUE"""),0.0)</f>
        <v>0</v>
      </c>
      <c r="F582" s="320">
        <f>IFERROR(__xludf.DUMMYFUNCTION("""COMPUTED_VALUE"""),0.0)</f>
        <v>0</v>
      </c>
      <c r="G582" s="320">
        <f>IFERROR(__xludf.DUMMYFUNCTION("""COMPUTED_VALUE"""),0.0)</f>
        <v>0</v>
      </c>
      <c r="H582" s="106"/>
      <c r="I582" s="320">
        <f>IFERROR(__xludf.DUMMYFUNCTION("""COMPUTED_VALUE"""),144.45)</f>
        <v>144.45</v>
      </c>
      <c r="J582" s="320">
        <f>IFERROR(__xludf.DUMMYFUNCTION("""COMPUTED_VALUE"""),76.38)</f>
        <v>76.38</v>
      </c>
      <c r="K582" s="320">
        <f>IFERROR(__xludf.DUMMYFUNCTION("""COMPUTED_VALUE"""),60.0)</f>
        <v>60</v>
      </c>
      <c r="L582" s="320">
        <f>IFERROR(__xludf.DUMMYFUNCTION("""COMPUTED_VALUE"""),0.7856)</f>
        <v>0.7856</v>
      </c>
      <c r="M582" s="320">
        <f>IFERROR(__xludf.DUMMYFUNCTION("""COMPUTED_VALUE"""),0.4044)</f>
        <v>0.4044</v>
      </c>
      <c r="N582" s="320">
        <f>IFERROR(__xludf.DUMMYFUNCTION("""COMPUTED_VALUE"""),0.2932)</f>
        <v>0.2932</v>
      </c>
      <c r="O582" s="320">
        <f>IFERROR(__xludf.DUMMYFUNCTION("""COMPUTED_VALUE"""),1.273)</f>
        <v>1.273</v>
      </c>
      <c r="P582" s="320">
        <f>IFERROR(__xludf.DUMMYFUNCTION("""COMPUTED_VALUE"""),363.3)</f>
        <v>363.3</v>
      </c>
      <c r="Q582" s="320">
        <f>IFERROR(__xludf.DUMMYFUNCTION("""COMPUTED_VALUE"""),268.4)</f>
        <v>268.4</v>
      </c>
      <c r="R582" s="320">
        <f>IFERROR(__xludf.DUMMYFUNCTION("""COMPUTED_VALUE"""),94.91)</f>
        <v>94.91</v>
      </c>
      <c r="S582" s="320">
        <f>IFERROR(__xludf.DUMMYFUNCTION("""COMPUTED_VALUE"""),0.0)</f>
        <v>0</v>
      </c>
      <c r="T582" s="320">
        <f>IFERROR(__xludf.DUMMYFUNCTION("""COMPUTED_VALUE"""),363.3)</f>
        <v>363.3</v>
      </c>
      <c r="U582" s="320">
        <f>IFERROR(__xludf.DUMMYFUNCTION("""COMPUTED_VALUE"""),378.5)</f>
        <v>378.5</v>
      </c>
      <c r="V582" s="320">
        <f>IFERROR(__xludf.DUMMYFUNCTION("""COMPUTED_VALUE"""),4.9554)</f>
        <v>4.9554</v>
      </c>
      <c r="W582" s="320">
        <f>IFERROR(__xludf.DUMMYFUNCTION("""COMPUTED_VALUE"""),0.0)</f>
        <v>0</v>
      </c>
      <c r="X582" s="320">
        <f>IFERROR(__xludf.DUMMYFUNCTION("""COMPUTED_VALUE"""),276.0)</f>
        <v>276</v>
      </c>
      <c r="Y582" s="320">
        <f>IFERROR(__xludf.DUMMYFUNCTION("""COMPUTED_VALUE"""),2257.0)</f>
        <v>2257</v>
      </c>
      <c r="Z582" s="320">
        <f>IFERROR(__xludf.DUMMYFUNCTION("""COMPUTED_VALUE"""),10960.0)</f>
        <v>10960</v>
      </c>
      <c r="AA582" s="320">
        <f>IFERROR(__xludf.DUMMYFUNCTION("""COMPUTED_VALUE"""),58.6424)</f>
        <v>58.6424</v>
      </c>
      <c r="AB582" s="320">
        <f>IFERROR(__xludf.DUMMYFUNCTION("""COMPUTED_VALUE"""),0.7357)</f>
        <v>0.7357</v>
      </c>
      <c r="AC582" s="320">
        <f>IFERROR(__xludf.DUMMYFUNCTION("""COMPUTED_VALUE"""),37.56)</f>
        <v>37.56</v>
      </c>
      <c r="AD582" s="320">
        <f>IFERROR(__xludf.DUMMYFUNCTION("""COMPUTED_VALUE"""),16.0)</f>
        <v>16</v>
      </c>
      <c r="AE582" s="320">
        <f>IFERROR(__xludf.DUMMYFUNCTION("""COMPUTED_VALUE"""),31.0)</f>
        <v>31</v>
      </c>
      <c r="AF582" s="320">
        <f>IFERROR(__xludf.DUMMYFUNCTION("""COMPUTED_VALUE"""),49.0)</f>
        <v>49</v>
      </c>
      <c r="AG582" s="320">
        <f>IFERROR(__xludf.DUMMYFUNCTION("""COMPUTED_VALUE"""),76.0)</f>
        <v>76</v>
      </c>
      <c r="AH582" s="320">
        <f>IFERROR(__xludf.DUMMYFUNCTION("""COMPUTED_VALUE"""),55.06)</f>
        <v>55.06</v>
      </c>
      <c r="AI582" s="320">
        <f>IFERROR(__xludf.DUMMYFUNCTION("""COMPUTED_VALUE"""),17.76)</f>
        <v>17.76</v>
      </c>
      <c r="AJ582" s="320">
        <f>IFERROR(__xludf.DUMMYFUNCTION("""COMPUTED_VALUE"""),4.47)</f>
        <v>4.47</v>
      </c>
      <c r="AK582" s="320">
        <f>IFERROR(__xludf.DUMMYFUNCTION("""COMPUTED_VALUE"""),0.1159)</f>
        <v>0.1159</v>
      </c>
      <c r="AL582" s="320">
        <f>IFERROR(__xludf.DUMMYFUNCTION("""COMPUTED_VALUE"""),20.26)</f>
        <v>20.26</v>
      </c>
      <c r="AM582" s="320">
        <f>IFERROR(__xludf.DUMMYFUNCTION("""COMPUTED_VALUE"""),248.14)</f>
        <v>248.14</v>
      </c>
      <c r="AN582" s="320">
        <f>IFERROR(__xludf.DUMMYFUNCTION("""COMPUTED_VALUE"""),74.72)</f>
        <v>74.72</v>
      </c>
      <c r="AO582" s="320">
        <f>IFERROR(__xludf.DUMMYFUNCTION("""COMPUTED_VALUE"""),15.14)</f>
        <v>15.14</v>
      </c>
    </row>
    <row r="583" ht="15.0" customHeight="1">
      <c r="A583" s="328">
        <f>IFERROR(__xludf.DUMMYFUNCTION("""COMPUTED_VALUE"""),46146.0)</f>
        <v>46146</v>
      </c>
      <c r="B583" s="319" t="str">
        <f>IFERROR(__xludf.DUMMYFUNCTION("""COMPUTED_VALUE"""),"F. 100+")</f>
        <v>F. 100+</v>
      </c>
      <c r="C583" s="320">
        <f>IFERROR(__xludf.DUMMYFUNCTION("""COMPUTED_VALUE"""),621.0)</f>
        <v>621</v>
      </c>
      <c r="D583" s="320">
        <f>IFERROR(__xludf.DUMMYFUNCTION("""COMPUTED_VALUE"""),0.6)</f>
        <v>0.6</v>
      </c>
      <c r="E583" s="320">
        <f>IFERROR(__xludf.DUMMYFUNCTION("""COMPUTED_VALUE"""),0.0)</f>
        <v>0</v>
      </c>
      <c r="F583" s="320">
        <f>IFERROR(__xludf.DUMMYFUNCTION("""COMPUTED_VALUE"""),0.0)</f>
        <v>0</v>
      </c>
      <c r="G583" s="320">
        <f>IFERROR(__xludf.DUMMYFUNCTION("""COMPUTED_VALUE"""),0.0)</f>
        <v>0</v>
      </c>
      <c r="H583" s="106"/>
      <c r="I583" s="320">
        <f>IFERROR(__xludf.DUMMYFUNCTION("""COMPUTED_VALUE"""),271.29)</f>
        <v>271.29</v>
      </c>
      <c r="J583" s="320">
        <f>IFERROR(__xludf.DUMMYFUNCTION("""COMPUTED_VALUE"""),153.91)</f>
        <v>153.91</v>
      </c>
      <c r="K583" s="320">
        <f>IFERROR(__xludf.DUMMYFUNCTION("""COMPUTED_VALUE"""),135.33)</f>
        <v>135.33</v>
      </c>
      <c r="L583" s="320">
        <f>IFERROR(__xludf.DUMMYFUNCTION("""COMPUTED_VALUE"""),0.8793)</f>
        <v>0.8793</v>
      </c>
      <c r="M583" s="320">
        <f>IFERROR(__xludf.DUMMYFUNCTION("""COMPUTED_VALUE"""),0.2775)</f>
        <v>0.2775</v>
      </c>
      <c r="N583" s="320">
        <f>IFERROR(__xludf.DUMMYFUNCTION("""COMPUTED_VALUE"""),0.2137)</f>
        <v>0.2137</v>
      </c>
      <c r="O583" s="320">
        <f>IFERROR(__xludf.DUMMYFUNCTION("""COMPUTED_VALUE"""),1.1372)</f>
        <v>1.1372</v>
      </c>
      <c r="P583" s="320">
        <f>IFERROR(__xludf.DUMMYFUNCTION("""COMPUTED_VALUE"""),662.65)</f>
        <v>662.65</v>
      </c>
      <c r="Q583" s="320">
        <f>IFERROR(__xludf.DUMMYFUNCTION("""COMPUTED_VALUE"""),428.23)</f>
        <v>428.23</v>
      </c>
      <c r="R583" s="320">
        <f>IFERROR(__xludf.DUMMYFUNCTION("""COMPUTED_VALUE"""),234.42)</f>
        <v>234.42</v>
      </c>
      <c r="S583" s="320">
        <f>IFERROR(__xludf.DUMMYFUNCTION("""COMPUTED_VALUE"""),0.0)</f>
        <v>0</v>
      </c>
      <c r="T583" s="320">
        <f>IFERROR(__xludf.DUMMYFUNCTION("""COMPUTED_VALUE"""),662.65)</f>
        <v>662.65</v>
      </c>
      <c r="U583" s="320">
        <f>IFERROR(__xludf.DUMMYFUNCTION("""COMPUTED_VALUE"""),736.88)</f>
        <v>736.88</v>
      </c>
      <c r="V583" s="320">
        <f>IFERROR(__xludf.DUMMYFUNCTION("""COMPUTED_VALUE"""),4.7878)</f>
        <v>4.7878</v>
      </c>
      <c r="W583" s="320">
        <f>IFERROR(__xludf.DUMMYFUNCTION("""COMPUTED_VALUE"""),0.0)</f>
        <v>0</v>
      </c>
      <c r="X583" s="320">
        <f>IFERROR(__xludf.DUMMYFUNCTION("""COMPUTED_VALUE"""),552.0)</f>
        <v>552</v>
      </c>
      <c r="Y583" s="320">
        <f>IFERROR(__xludf.DUMMYFUNCTION("""COMPUTED_VALUE"""),4129.0)</f>
        <v>4129</v>
      </c>
      <c r="Z583" s="320">
        <f>IFERROR(__xludf.DUMMYFUNCTION("""COMPUTED_VALUE"""),12659.0)</f>
        <v>12659</v>
      </c>
      <c r="AA583" s="320">
        <f>IFERROR(__xludf.DUMMYFUNCTION("""COMPUTED_VALUE"""),62.9691)</f>
        <v>62.9691</v>
      </c>
      <c r="AB583" s="320">
        <f>IFERROR(__xludf.DUMMYFUNCTION("""COMPUTED_VALUE"""),0.8908)</f>
        <v>0.8908</v>
      </c>
      <c r="AC583" s="320">
        <f>IFERROR(__xludf.DUMMYFUNCTION("""COMPUTED_VALUE"""),93.82)</f>
        <v>93.82</v>
      </c>
      <c r="AD583" s="320">
        <f>IFERROR(__xludf.DUMMYFUNCTION("""COMPUTED_VALUE"""),38.0)</f>
        <v>38</v>
      </c>
      <c r="AE583" s="320">
        <f>IFERROR(__xludf.DUMMYFUNCTION("""COMPUTED_VALUE"""),76.0)</f>
        <v>76</v>
      </c>
      <c r="AF583" s="320">
        <f>IFERROR(__xludf.DUMMYFUNCTION("""COMPUTED_VALUE"""),132.0)</f>
        <v>132</v>
      </c>
      <c r="AG583" s="320">
        <f>IFERROR(__xludf.DUMMYFUNCTION("""COMPUTED_VALUE"""),195.0)</f>
        <v>195</v>
      </c>
      <c r="AH583" s="320">
        <f>IFERROR(__xludf.DUMMYFUNCTION("""COMPUTED_VALUE"""),49.28)</f>
        <v>49.28</v>
      </c>
      <c r="AI583" s="320">
        <f>IFERROR(__xludf.DUMMYFUNCTION("""COMPUTED_VALUE"""),13.53)</f>
        <v>13.53</v>
      </c>
      <c r="AJ583" s="320">
        <f>IFERROR(__xludf.DUMMYFUNCTION("""COMPUTED_VALUE"""),1.61)</f>
        <v>1.61</v>
      </c>
      <c r="AK583" s="320">
        <f>IFERROR(__xludf.DUMMYFUNCTION("""COMPUTED_VALUE"""),0.0821)</f>
        <v>0.0821</v>
      </c>
      <c r="AL583" s="320">
        <f>IFERROR(__xludf.DUMMYFUNCTION("""COMPUTED_VALUE"""),21.31)</f>
        <v>21.31</v>
      </c>
      <c r="AM583" s="320">
        <f>IFERROR(__xludf.DUMMYFUNCTION("""COMPUTED_VALUE"""),406.92)</f>
        <v>406.92</v>
      </c>
      <c r="AN583" s="320">
        <f>IFERROR(__xludf.DUMMYFUNCTION("""COMPUTED_VALUE"""),81.78)</f>
        <v>81.78</v>
      </c>
      <c r="AO583" s="320">
        <f>IFERROR(__xludf.DUMMYFUNCTION("""COMPUTED_VALUE"""),17.43)</f>
        <v>17.43</v>
      </c>
    </row>
    <row r="584" ht="15.0" customHeight="1">
      <c r="A584" s="328">
        <f>IFERROR(__xludf.DUMMYFUNCTION("""COMPUTED_VALUE"""),46147.0)</f>
        <v>46147</v>
      </c>
      <c r="B584" s="319" t="str">
        <f>IFERROR(__xludf.DUMMYFUNCTION("""COMPUTED_VALUE"""),"A. 0")</f>
        <v>A. 0</v>
      </c>
      <c r="C584" s="320">
        <f>IFERROR(__xludf.DUMMYFUNCTION("""COMPUTED_VALUE"""),18996.0)</f>
        <v>18996</v>
      </c>
      <c r="D584" s="320">
        <f>IFERROR(__xludf.DUMMYFUNCTION("""COMPUTED_VALUE"""),18.26)</f>
        <v>18.26</v>
      </c>
      <c r="E584" s="320">
        <f>IFERROR(__xludf.DUMMYFUNCTION("""COMPUTED_VALUE"""),0.0)</f>
        <v>0</v>
      </c>
      <c r="F584" s="320">
        <f>IFERROR(__xludf.DUMMYFUNCTION("""COMPUTED_VALUE"""),0.0)</f>
        <v>0</v>
      </c>
      <c r="G584" s="320">
        <f>IFERROR(__xludf.DUMMYFUNCTION("""COMPUTED_VALUE"""),0.0)</f>
        <v>0</v>
      </c>
      <c r="H584" s="106"/>
      <c r="I584" s="320">
        <f>IFERROR(__xludf.DUMMYFUNCTION("""COMPUTED_VALUE"""),5.98)</f>
        <v>5.98</v>
      </c>
      <c r="J584" s="320">
        <f>IFERROR(__xludf.DUMMYFUNCTION("""COMPUTED_VALUE"""),2.43)</f>
        <v>2.43</v>
      </c>
      <c r="K584" s="320">
        <f>IFERROR(__xludf.DUMMYFUNCTION("""COMPUTED_VALUE"""),0.06)</f>
        <v>0.06</v>
      </c>
      <c r="L584" s="320">
        <f>IFERROR(__xludf.DUMMYFUNCTION("""COMPUTED_VALUE"""),0.0247)</f>
        <v>0.0247</v>
      </c>
      <c r="M584" s="320">
        <f>IFERROR(__xludf.DUMMYFUNCTION("""COMPUTED_VALUE"""),0.9813)</f>
        <v>0.9813</v>
      </c>
      <c r="N584" s="320">
        <f>IFERROR(__xludf.DUMMYFUNCTION("""COMPUTED_VALUE"""),0.7924)</f>
        <v>0.7924</v>
      </c>
      <c r="O584" s="320">
        <f>IFERROR(__xludf.DUMMYFUNCTION("""COMPUTED_VALUE"""),40.4565)</f>
        <v>40.4565</v>
      </c>
      <c r="P584" s="320">
        <f>IFERROR(__xludf.DUMMYFUNCTION("""COMPUTED_VALUE"""),25.09)</f>
        <v>25.09</v>
      </c>
      <c r="Q584" s="320">
        <f>IFERROR(__xludf.DUMMYFUNCTION("""COMPUTED_VALUE"""),24.97)</f>
        <v>24.97</v>
      </c>
      <c r="R584" s="320">
        <f>IFERROR(__xludf.DUMMYFUNCTION("""COMPUTED_VALUE"""),0.11)</f>
        <v>0.11</v>
      </c>
      <c r="S584" s="320">
        <f>IFERROR(__xludf.DUMMYFUNCTION("""COMPUTED_VALUE"""),0.0)</f>
        <v>0</v>
      </c>
      <c r="T584" s="320">
        <f>IFERROR(__xludf.DUMMYFUNCTION("""COMPUTED_VALUE"""),25.09)</f>
        <v>25.09</v>
      </c>
      <c r="U584" s="320">
        <f>IFERROR(__xludf.DUMMYFUNCTION("""COMPUTED_VALUE"""),1.96)</f>
        <v>1.96</v>
      </c>
      <c r="V584" s="320">
        <f>IFERROR(__xludf.DUMMYFUNCTION("""COMPUTED_VALUE"""),0.8062)</f>
        <v>0.8062</v>
      </c>
      <c r="W584" s="320">
        <f>IFERROR(__xludf.DUMMYFUNCTION("""COMPUTED_VALUE"""),0.0)</f>
        <v>0</v>
      </c>
      <c r="X584" s="320">
        <f>IFERROR(__xludf.DUMMYFUNCTION("""COMPUTED_VALUE"""),378.0)</f>
        <v>378</v>
      </c>
      <c r="Y584" s="320">
        <f>IFERROR(__xludf.DUMMYFUNCTION("""COMPUTED_VALUE"""),4300.0)</f>
        <v>4300</v>
      </c>
      <c r="Z584" s="320">
        <f>IFERROR(__xludf.DUMMYFUNCTION("""COMPUTED_VALUE"""),16320.0)</f>
        <v>16320</v>
      </c>
      <c r="AA584" s="320">
        <f>IFERROR(__xludf.DUMMYFUNCTION("""COMPUTED_VALUE"""),49.1458)</f>
        <v>49.1458</v>
      </c>
      <c r="AB584" s="320">
        <f>IFERROR(__xludf.DUMMYFUNCTION("""COMPUTED_VALUE"""),0.5411)</f>
        <v>0.5411</v>
      </c>
      <c r="AC584" s="106"/>
      <c r="AD584" s="106"/>
      <c r="AE584" s="106"/>
      <c r="AF584" s="106"/>
      <c r="AG584" s="106"/>
      <c r="AH584" s="320">
        <f>IFERROR(__xludf.DUMMYFUNCTION("""COMPUTED_VALUE"""),0.0)</f>
        <v>0</v>
      </c>
      <c r="AI584" s="320">
        <f>IFERROR(__xludf.DUMMYFUNCTION("""COMPUTED_VALUE"""),0.0)</f>
        <v>0</v>
      </c>
      <c r="AJ584" s="320">
        <f>IFERROR(__xludf.DUMMYFUNCTION("""COMPUTED_VALUE"""),0.0)</f>
        <v>0</v>
      </c>
      <c r="AK584" s="320">
        <f>IFERROR(__xludf.DUMMYFUNCTION("""COMPUTED_VALUE"""),0.2622)</f>
        <v>0.2622</v>
      </c>
      <c r="AL584" s="320">
        <f>IFERROR(__xludf.DUMMYFUNCTION("""COMPUTED_VALUE"""),15.66)</f>
        <v>15.66</v>
      </c>
      <c r="AM584" s="320">
        <f>IFERROR(__xludf.DUMMYFUNCTION("""COMPUTED_VALUE"""),9.31)</f>
        <v>9.31</v>
      </c>
      <c r="AN584" s="331"/>
      <c r="AO584" s="331"/>
    </row>
    <row r="585" ht="15.0" customHeight="1">
      <c r="A585" s="328">
        <f>IFERROR(__xludf.DUMMYFUNCTION("""COMPUTED_VALUE"""),46147.0)</f>
        <v>46147</v>
      </c>
      <c r="B585" s="319" t="str">
        <f>IFERROR(__xludf.DUMMYFUNCTION("""COMPUTED_VALUE"""),"B. 1-9")</f>
        <v>B. 1-9</v>
      </c>
      <c r="C585" s="320">
        <f>IFERROR(__xludf.DUMMYFUNCTION("""COMPUTED_VALUE"""),35580.0)</f>
        <v>35580</v>
      </c>
      <c r="D585" s="320">
        <f>IFERROR(__xludf.DUMMYFUNCTION("""COMPUTED_VALUE"""),34.2)</f>
        <v>34.2</v>
      </c>
      <c r="E585" s="320">
        <f>IFERROR(__xludf.DUMMYFUNCTION("""COMPUTED_VALUE"""),0.0)</f>
        <v>0</v>
      </c>
      <c r="F585" s="320">
        <f>IFERROR(__xludf.DUMMYFUNCTION("""COMPUTED_VALUE"""),0.0)</f>
        <v>0</v>
      </c>
      <c r="G585" s="320">
        <f>IFERROR(__xludf.DUMMYFUNCTION("""COMPUTED_VALUE"""),0.0)</f>
        <v>0</v>
      </c>
      <c r="H585" s="106"/>
      <c r="I585" s="320">
        <f>IFERROR(__xludf.DUMMYFUNCTION("""COMPUTED_VALUE"""),27.98)</f>
        <v>27.98</v>
      </c>
      <c r="J585" s="320">
        <f>IFERROR(__xludf.DUMMYFUNCTION("""COMPUTED_VALUE"""),12.53)</f>
        <v>12.53</v>
      </c>
      <c r="K585" s="320">
        <f>IFERROR(__xludf.DUMMYFUNCTION("""COMPUTED_VALUE"""),5.41)</f>
        <v>5.41</v>
      </c>
      <c r="L585" s="320">
        <f>IFERROR(__xludf.DUMMYFUNCTION("""COMPUTED_VALUE"""),0.4315)</f>
        <v>0.4315</v>
      </c>
      <c r="M585" s="320">
        <f>IFERROR(__xludf.DUMMYFUNCTION("""COMPUTED_VALUE"""),0.7474)</f>
        <v>0.7474</v>
      </c>
      <c r="N585" s="320">
        <f>IFERROR(__xludf.DUMMYFUNCTION("""COMPUTED_VALUE"""),0.5591)</f>
        <v>0.5591</v>
      </c>
      <c r="O585" s="320">
        <f>IFERROR(__xludf.DUMMYFUNCTION("""COMPUTED_VALUE"""),2.3174)</f>
        <v>2.3174</v>
      </c>
      <c r="P585" s="320">
        <f>IFERROR(__xludf.DUMMYFUNCTION("""COMPUTED_VALUE"""),51.18)</f>
        <v>51.18</v>
      </c>
      <c r="Q585" s="320">
        <f>IFERROR(__xludf.DUMMYFUNCTION("""COMPUTED_VALUE"""),41.68)</f>
        <v>41.68</v>
      </c>
      <c r="R585" s="320">
        <f>IFERROR(__xludf.DUMMYFUNCTION("""COMPUTED_VALUE"""),9.5)</f>
        <v>9.5</v>
      </c>
      <c r="S585" s="320">
        <f>IFERROR(__xludf.DUMMYFUNCTION("""COMPUTED_VALUE"""),0.01)</f>
        <v>0.01</v>
      </c>
      <c r="T585" s="320">
        <f>IFERROR(__xludf.DUMMYFUNCTION("""COMPUTED_VALUE"""),51.18)</f>
        <v>51.18</v>
      </c>
      <c r="U585" s="320">
        <f>IFERROR(__xludf.DUMMYFUNCTION("""COMPUTED_VALUE"""),51.86)</f>
        <v>51.86</v>
      </c>
      <c r="V585" s="320">
        <f>IFERROR(__xludf.DUMMYFUNCTION("""COMPUTED_VALUE"""),4.1384)</f>
        <v>4.1384</v>
      </c>
      <c r="W585" s="320">
        <f>IFERROR(__xludf.DUMMYFUNCTION("""COMPUTED_VALUE"""),0.01)</f>
        <v>0.01</v>
      </c>
      <c r="X585" s="320">
        <f>IFERROR(__xludf.DUMMYFUNCTION("""COMPUTED_VALUE"""),157.0)</f>
        <v>157</v>
      </c>
      <c r="Y585" s="320">
        <f>IFERROR(__xludf.DUMMYFUNCTION("""COMPUTED_VALUE"""),945.0)</f>
        <v>945</v>
      </c>
      <c r="Z585" s="320">
        <f>IFERROR(__xludf.DUMMYFUNCTION("""COMPUTED_VALUE"""),6384.0)</f>
        <v>6384</v>
      </c>
      <c r="AA585" s="320">
        <f>IFERROR(__xludf.DUMMYFUNCTION("""COMPUTED_VALUE"""),48.9284)</f>
        <v>48.9284</v>
      </c>
      <c r="AB585" s="320">
        <f>IFERROR(__xludf.DUMMYFUNCTION("""COMPUTED_VALUE"""),0.5391)</f>
        <v>0.5391</v>
      </c>
      <c r="AC585" s="320">
        <f>IFERROR(__xludf.DUMMYFUNCTION("""COMPUTED_VALUE"""),3.98)</f>
        <v>3.98</v>
      </c>
      <c r="AD585" s="320">
        <f>IFERROR(__xludf.DUMMYFUNCTION("""COMPUTED_VALUE"""),1.0)</f>
        <v>1</v>
      </c>
      <c r="AE585" s="320">
        <f>IFERROR(__xludf.DUMMYFUNCTION("""COMPUTED_VALUE"""),3.0)</f>
        <v>3</v>
      </c>
      <c r="AF585" s="320">
        <f>IFERROR(__xludf.DUMMYFUNCTION("""COMPUTED_VALUE"""),5.0)</f>
        <v>5</v>
      </c>
      <c r="AG585" s="320">
        <f>IFERROR(__xludf.DUMMYFUNCTION("""COMPUTED_VALUE"""),9.0)</f>
        <v>9</v>
      </c>
      <c r="AH585" s="320">
        <f>IFERROR(__xludf.DUMMYFUNCTION("""COMPUTED_VALUE"""),72.68)</f>
        <v>72.68</v>
      </c>
      <c r="AI585" s="320">
        <f>IFERROR(__xludf.DUMMYFUNCTION("""COMPUTED_VALUE"""),30.7)</f>
        <v>30.7</v>
      </c>
      <c r="AJ585" s="320">
        <f>IFERROR(__xludf.DUMMYFUNCTION("""COMPUTED_VALUE"""),8.74)</f>
        <v>8.74</v>
      </c>
      <c r="AK585" s="320">
        <f>IFERROR(__xludf.DUMMYFUNCTION("""COMPUTED_VALUE"""),0.2379)</f>
        <v>0.2379</v>
      </c>
      <c r="AL585" s="320">
        <f>IFERROR(__xludf.DUMMYFUNCTION("""COMPUTED_VALUE"""),17.64)</f>
        <v>17.64</v>
      </c>
      <c r="AM585" s="320">
        <f>IFERROR(__xludf.DUMMYFUNCTION("""COMPUTED_VALUE"""),24.04)</f>
        <v>24.04</v>
      </c>
      <c r="AN585" s="320">
        <f>IFERROR(__xludf.DUMMYFUNCTION("""COMPUTED_VALUE"""),65.24)</f>
        <v>65.24</v>
      </c>
      <c r="AO585" s="320">
        <f>IFERROR(__xludf.DUMMYFUNCTION("""COMPUTED_VALUE"""),11.51)</f>
        <v>11.51</v>
      </c>
    </row>
    <row r="586" ht="15.0" customHeight="1">
      <c r="A586" s="328">
        <f>IFERROR(__xludf.DUMMYFUNCTION("""COMPUTED_VALUE"""),46147.0)</f>
        <v>46147</v>
      </c>
      <c r="B586" s="319" t="str">
        <f>IFERROR(__xludf.DUMMYFUNCTION("""COMPUTED_VALUE"""),"C. 10-19")</f>
        <v>C. 10-19</v>
      </c>
      <c r="C586" s="320">
        <f>IFERROR(__xludf.DUMMYFUNCTION("""COMPUTED_VALUE"""),27329.0)</f>
        <v>27329</v>
      </c>
      <c r="D586" s="320">
        <f>IFERROR(__xludf.DUMMYFUNCTION("""COMPUTED_VALUE"""),26.27)</f>
        <v>26.27</v>
      </c>
      <c r="E586" s="320">
        <f>IFERROR(__xludf.DUMMYFUNCTION("""COMPUTED_VALUE"""),0.0)</f>
        <v>0</v>
      </c>
      <c r="F586" s="320">
        <f>IFERROR(__xludf.DUMMYFUNCTION("""COMPUTED_VALUE"""),0.0)</f>
        <v>0</v>
      </c>
      <c r="G586" s="320">
        <f>IFERROR(__xludf.DUMMYFUNCTION("""COMPUTED_VALUE"""),0.0)</f>
        <v>0</v>
      </c>
      <c r="H586" s="106"/>
      <c r="I586" s="320">
        <f>IFERROR(__xludf.DUMMYFUNCTION("""COMPUTED_VALUE"""),53.6)</f>
        <v>53.6</v>
      </c>
      <c r="J586" s="320">
        <f>IFERROR(__xludf.DUMMYFUNCTION("""COMPUTED_VALUE"""),24.88)</f>
        <v>24.88</v>
      </c>
      <c r="K586" s="320">
        <f>IFERROR(__xludf.DUMMYFUNCTION("""COMPUTED_VALUE"""),13.65)</f>
        <v>13.65</v>
      </c>
      <c r="L586" s="320">
        <f>IFERROR(__xludf.DUMMYFUNCTION("""COMPUTED_VALUE"""),0.5489)</f>
        <v>0.5489</v>
      </c>
      <c r="M586" s="320">
        <f>IFERROR(__xludf.DUMMYFUNCTION("""COMPUTED_VALUE"""),0.6542)</f>
        <v>0.6542</v>
      </c>
      <c r="N586" s="320">
        <f>IFERROR(__xludf.DUMMYFUNCTION("""COMPUTED_VALUE"""),0.467)</f>
        <v>0.467</v>
      </c>
      <c r="O586" s="320">
        <f>IFERROR(__xludf.DUMMYFUNCTION("""COMPUTED_VALUE"""),1.822)</f>
        <v>1.822</v>
      </c>
      <c r="P586" s="320">
        <f>IFERROR(__xludf.DUMMYFUNCTION("""COMPUTED_VALUE"""),95.96)</f>
        <v>95.96</v>
      </c>
      <c r="Q586" s="320">
        <f>IFERROR(__xludf.DUMMYFUNCTION("""COMPUTED_VALUE"""),72.91)</f>
        <v>72.91</v>
      </c>
      <c r="R586" s="320">
        <f>IFERROR(__xludf.DUMMYFUNCTION("""COMPUTED_VALUE"""),23.04)</f>
        <v>23.04</v>
      </c>
      <c r="S586" s="320">
        <f>IFERROR(__xludf.DUMMYFUNCTION("""COMPUTED_VALUE"""),0.0)</f>
        <v>0</v>
      </c>
      <c r="T586" s="320">
        <f>IFERROR(__xludf.DUMMYFUNCTION("""COMPUTED_VALUE"""),95.96)</f>
        <v>95.96</v>
      </c>
      <c r="U586" s="320">
        <f>IFERROR(__xludf.DUMMYFUNCTION("""COMPUTED_VALUE"""),99.62)</f>
        <v>99.62</v>
      </c>
      <c r="V586" s="320">
        <f>IFERROR(__xludf.DUMMYFUNCTION("""COMPUTED_VALUE"""),4.0047)</f>
        <v>4.0047</v>
      </c>
      <c r="W586" s="320">
        <f>IFERROR(__xludf.DUMMYFUNCTION("""COMPUTED_VALUE"""),0.0)</f>
        <v>0</v>
      </c>
      <c r="X586" s="320">
        <f>IFERROR(__xludf.DUMMYFUNCTION("""COMPUTED_VALUE"""),129.0)</f>
        <v>129</v>
      </c>
      <c r="Y586" s="320">
        <f>IFERROR(__xludf.DUMMYFUNCTION("""COMPUTED_VALUE"""),728.0)</f>
        <v>728</v>
      </c>
      <c r="Z586" s="320">
        <f>IFERROR(__xludf.DUMMYFUNCTION("""COMPUTED_VALUE"""),5602.0)</f>
        <v>5602</v>
      </c>
      <c r="AA586" s="320">
        <f>IFERROR(__xludf.DUMMYFUNCTION("""COMPUTED_VALUE"""),51.9772)</f>
        <v>51.9772</v>
      </c>
      <c r="AB586" s="320">
        <f>IFERROR(__xludf.DUMMYFUNCTION("""COMPUTED_VALUE"""),0.5925)</f>
        <v>0.5925</v>
      </c>
      <c r="AC586" s="320">
        <f>IFERROR(__xludf.DUMMYFUNCTION("""COMPUTED_VALUE"""),8.98)</f>
        <v>8.98</v>
      </c>
      <c r="AD586" s="320">
        <f>IFERROR(__xludf.DUMMYFUNCTION("""COMPUTED_VALUE"""),3.0)</f>
        <v>3</v>
      </c>
      <c r="AE586" s="320">
        <f>IFERROR(__xludf.DUMMYFUNCTION("""COMPUTED_VALUE"""),7.0)</f>
        <v>7</v>
      </c>
      <c r="AF586" s="320">
        <f>IFERROR(__xludf.DUMMYFUNCTION("""COMPUTED_VALUE"""),12.0)</f>
        <v>12</v>
      </c>
      <c r="AG586" s="320">
        <f>IFERROR(__xludf.DUMMYFUNCTION("""COMPUTED_VALUE"""),19.0)</f>
        <v>19</v>
      </c>
      <c r="AH586" s="320">
        <f>IFERROR(__xludf.DUMMYFUNCTION("""COMPUTED_VALUE"""),58.33)</f>
        <v>58.33</v>
      </c>
      <c r="AI586" s="320">
        <f>IFERROR(__xludf.DUMMYFUNCTION("""COMPUTED_VALUE"""),24.58)</f>
        <v>24.58</v>
      </c>
      <c r="AJ586" s="320">
        <f>IFERROR(__xludf.DUMMYFUNCTION("""COMPUTED_VALUE"""),3.81)</f>
        <v>3.81</v>
      </c>
      <c r="AK586" s="320">
        <f>IFERROR(__xludf.DUMMYFUNCTION("""COMPUTED_VALUE"""),0.1784)</f>
        <v>0.1784</v>
      </c>
      <c r="AL586" s="320">
        <f>IFERROR(__xludf.DUMMYFUNCTION("""COMPUTED_VALUE"""),18.17)</f>
        <v>18.17</v>
      </c>
      <c r="AM586" s="320">
        <f>IFERROR(__xludf.DUMMYFUNCTION("""COMPUTED_VALUE"""),54.74)</f>
        <v>54.74</v>
      </c>
      <c r="AN586" s="320">
        <f>IFERROR(__xludf.DUMMYFUNCTION("""COMPUTED_VALUE"""),71.86)</f>
        <v>71.86</v>
      </c>
      <c r="AO586" s="320">
        <f>IFERROR(__xludf.DUMMYFUNCTION("""COMPUTED_VALUE"""),13.06)</f>
        <v>13.06</v>
      </c>
    </row>
    <row r="587" ht="15.0" customHeight="1">
      <c r="A587" s="328">
        <f>IFERROR(__xludf.DUMMYFUNCTION("""COMPUTED_VALUE"""),46147.0)</f>
        <v>46147</v>
      </c>
      <c r="B587" s="319" t="str">
        <f>IFERROR(__xludf.DUMMYFUNCTION("""COMPUTED_VALUE"""),"D. 20-39")</f>
        <v>D. 20-39</v>
      </c>
      <c r="C587" s="320">
        <f>IFERROR(__xludf.DUMMYFUNCTION("""COMPUTED_VALUE"""),15492.0)</f>
        <v>15492</v>
      </c>
      <c r="D587" s="320">
        <f>IFERROR(__xludf.DUMMYFUNCTION("""COMPUTED_VALUE"""),14.89)</f>
        <v>14.89</v>
      </c>
      <c r="E587" s="320">
        <f>IFERROR(__xludf.DUMMYFUNCTION("""COMPUTED_VALUE"""),0.0)</f>
        <v>0</v>
      </c>
      <c r="F587" s="320">
        <f>IFERROR(__xludf.DUMMYFUNCTION("""COMPUTED_VALUE"""),0.0)</f>
        <v>0</v>
      </c>
      <c r="G587" s="320">
        <f>IFERROR(__xludf.DUMMYFUNCTION("""COMPUTED_VALUE"""),0.0)</f>
        <v>0</v>
      </c>
      <c r="H587" s="106"/>
      <c r="I587" s="320">
        <f>IFERROR(__xludf.DUMMYFUNCTION("""COMPUTED_VALUE"""),81.74)</f>
        <v>81.74</v>
      </c>
      <c r="J587" s="320">
        <f>IFERROR(__xludf.DUMMYFUNCTION("""COMPUTED_VALUE"""),40.76)</f>
        <v>40.76</v>
      </c>
      <c r="K587" s="320">
        <f>IFERROR(__xludf.DUMMYFUNCTION("""COMPUTED_VALUE"""),27.92)</f>
        <v>27.92</v>
      </c>
      <c r="L587" s="320">
        <f>IFERROR(__xludf.DUMMYFUNCTION("""COMPUTED_VALUE"""),0.685)</f>
        <v>0.685</v>
      </c>
      <c r="M587" s="320">
        <f>IFERROR(__xludf.DUMMYFUNCTION("""COMPUTED_VALUE"""),0.5176)</f>
        <v>0.5176</v>
      </c>
      <c r="N587" s="320">
        <f>IFERROR(__xludf.DUMMYFUNCTION("""COMPUTED_VALUE"""),0.3651)</f>
        <v>0.3651</v>
      </c>
      <c r="O587" s="320">
        <f>IFERROR(__xludf.DUMMYFUNCTION("""COMPUTED_VALUE"""),1.4599)</f>
        <v>1.4599</v>
      </c>
      <c r="P587" s="320">
        <f>IFERROR(__xludf.DUMMYFUNCTION("""COMPUTED_VALUE"""),174.69)</f>
        <v>174.69</v>
      </c>
      <c r="Q587" s="320">
        <f>IFERROR(__xludf.DUMMYFUNCTION("""COMPUTED_VALUE"""),131.57)</f>
        <v>131.57</v>
      </c>
      <c r="R587" s="320">
        <f>IFERROR(__xludf.DUMMYFUNCTION("""COMPUTED_VALUE"""),43.12)</f>
        <v>43.12</v>
      </c>
      <c r="S587" s="320">
        <f>IFERROR(__xludf.DUMMYFUNCTION("""COMPUTED_VALUE"""),0.0)</f>
        <v>0</v>
      </c>
      <c r="T587" s="320">
        <f>IFERROR(__xludf.DUMMYFUNCTION("""COMPUTED_VALUE"""),174.69)</f>
        <v>174.69</v>
      </c>
      <c r="U587" s="320">
        <f>IFERROR(__xludf.DUMMYFUNCTION("""COMPUTED_VALUE"""),181.51)</f>
        <v>181.51</v>
      </c>
      <c r="V587" s="320">
        <f>IFERROR(__xludf.DUMMYFUNCTION("""COMPUTED_VALUE"""),4.4533)</f>
        <v>4.4533</v>
      </c>
      <c r="W587" s="320">
        <f>IFERROR(__xludf.DUMMYFUNCTION("""COMPUTED_VALUE"""),0.0)</f>
        <v>0</v>
      </c>
      <c r="X587" s="320">
        <f>IFERROR(__xludf.DUMMYFUNCTION("""COMPUTED_VALUE"""),164.0)</f>
        <v>164</v>
      </c>
      <c r="Y587" s="320">
        <f>IFERROR(__xludf.DUMMYFUNCTION("""COMPUTED_VALUE"""),1047.0)</f>
        <v>1047</v>
      </c>
      <c r="Z587" s="320">
        <f>IFERROR(__xludf.DUMMYFUNCTION("""COMPUTED_VALUE"""),7355.0)</f>
        <v>7355</v>
      </c>
      <c r="AA587" s="320">
        <f>IFERROR(__xludf.DUMMYFUNCTION("""COMPUTED_VALUE"""),55.3832)</f>
        <v>55.3832</v>
      </c>
      <c r="AB587" s="320">
        <f>IFERROR(__xludf.DUMMYFUNCTION("""COMPUTED_VALUE"""),0.6744)</f>
        <v>0.6744</v>
      </c>
      <c r="AC587" s="320">
        <f>IFERROR(__xludf.DUMMYFUNCTION("""COMPUTED_VALUE"""),16.83)</f>
        <v>16.83</v>
      </c>
      <c r="AD587" s="320">
        <f>IFERROR(__xludf.DUMMYFUNCTION("""COMPUTED_VALUE"""),6.0)</f>
        <v>6</v>
      </c>
      <c r="AE587" s="320">
        <f>IFERROR(__xludf.DUMMYFUNCTION("""COMPUTED_VALUE"""),13.0)</f>
        <v>13</v>
      </c>
      <c r="AF587" s="320">
        <f>IFERROR(__xludf.DUMMYFUNCTION("""COMPUTED_VALUE"""),23.0)</f>
        <v>23</v>
      </c>
      <c r="AG587" s="320">
        <f>IFERROR(__xludf.DUMMYFUNCTION("""COMPUTED_VALUE"""),35.0)</f>
        <v>35</v>
      </c>
      <c r="AH587" s="320">
        <f>IFERROR(__xludf.DUMMYFUNCTION("""COMPUTED_VALUE"""),57.2)</f>
        <v>57.2</v>
      </c>
      <c r="AI587" s="320">
        <f>IFERROR(__xludf.DUMMYFUNCTION("""COMPUTED_VALUE"""),21.49)</f>
        <v>21.49</v>
      </c>
      <c r="AJ587" s="320">
        <f>IFERROR(__xludf.DUMMYFUNCTION("""COMPUTED_VALUE"""),5.9)</f>
        <v>5.9</v>
      </c>
      <c r="AK587" s="320">
        <f>IFERROR(__xludf.DUMMYFUNCTION("""COMPUTED_VALUE"""),0.1605)</f>
        <v>0.1605</v>
      </c>
      <c r="AL587" s="320">
        <f>IFERROR(__xludf.DUMMYFUNCTION("""COMPUTED_VALUE"""),19.44)</f>
        <v>19.44</v>
      </c>
      <c r="AM587" s="320">
        <f>IFERROR(__xludf.DUMMYFUNCTION("""COMPUTED_VALUE"""),112.13)</f>
        <v>112.13</v>
      </c>
      <c r="AN587" s="320">
        <f>IFERROR(__xludf.DUMMYFUNCTION("""COMPUTED_VALUE"""),72.9)</f>
        <v>72.9</v>
      </c>
      <c r="AO587" s="320">
        <f>IFERROR(__xludf.DUMMYFUNCTION("""COMPUTED_VALUE"""),14.17)</f>
        <v>14.17</v>
      </c>
    </row>
    <row r="588" ht="15.0" customHeight="1">
      <c r="A588" s="328">
        <f>IFERROR(__xludf.DUMMYFUNCTION("""COMPUTED_VALUE"""),46147.0)</f>
        <v>46147</v>
      </c>
      <c r="B588" s="319" t="str">
        <f>IFERROR(__xludf.DUMMYFUNCTION("""COMPUTED_VALUE"""),"E. 40-99")</f>
        <v>E. 40-99</v>
      </c>
      <c r="C588" s="320">
        <f>IFERROR(__xludf.DUMMYFUNCTION("""COMPUTED_VALUE"""),6005.0)</f>
        <v>6005</v>
      </c>
      <c r="D588" s="320">
        <f>IFERROR(__xludf.DUMMYFUNCTION("""COMPUTED_VALUE"""),5.77)</f>
        <v>5.77</v>
      </c>
      <c r="E588" s="320">
        <f>IFERROR(__xludf.DUMMYFUNCTION("""COMPUTED_VALUE"""),0.0)</f>
        <v>0</v>
      </c>
      <c r="F588" s="320">
        <f>IFERROR(__xludf.DUMMYFUNCTION("""COMPUTED_VALUE"""),0.0)</f>
        <v>0</v>
      </c>
      <c r="G588" s="320">
        <f>IFERROR(__xludf.DUMMYFUNCTION("""COMPUTED_VALUE"""),0.0)</f>
        <v>0</v>
      </c>
      <c r="H588" s="106"/>
      <c r="I588" s="320">
        <f>IFERROR(__xludf.DUMMYFUNCTION("""COMPUTED_VALUE"""),127.77)</f>
        <v>127.77</v>
      </c>
      <c r="J588" s="320">
        <f>IFERROR(__xludf.DUMMYFUNCTION("""COMPUTED_VALUE"""),67.91)</f>
        <v>67.91</v>
      </c>
      <c r="K588" s="320">
        <f>IFERROR(__xludf.DUMMYFUNCTION("""COMPUTED_VALUE"""),54.18)</f>
        <v>54.18</v>
      </c>
      <c r="L588" s="320">
        <f>IFERROR(__xludf.DUMMYFUNCTION("""COMPUTED_VALUE"""),0.7977)</f>
        <v>0.7977</v>
      </c>
      <c r="M588" s="320">
        <f>IFERROR(__xludf.DUMMYFUNCTION("""COMPUTED_VALUE"""),0.3886)</f>
        <v>0.3886</v>
      </c>
      <c r="N588" s="320">
        <f>IFERROR(__xludf.DUMMYFUNCTION("""COMPUTED_VALUE"""),0.2841)</f>
        <v>0.2841</v>
      </c>
      <c r="O588" s="320">
        <f>IFERROR(__xludf.DUMMYFUNCTION("""COMPUTED_VALUE"""),1.2535)</f>
        <v>1.2535</v>
      </c>
      <c r="P588" s="320">
        <f>IFERROR(__xludf.DUMMYFUNCTION("""COMPUTED_VALUE"""),318.97)</f>
        <v>318.97</v>
      </c>
      <c r="Q588" s="320">
        <f>IFERROR(__xludf.DUMMYFUNCTION("""COMPUTED_VALUE"""),224.06)</f>
        <v>224.06</v>
      </c>
      <c r="R588" s="320">
        <f>IFERROR(__xludf.DUMMYFUNCTION("""COMPUTED_VALUE"""),94.9)</f>
        <v>94.9</v>
      </c>
      <c r="S588" s="320">
        <f>IFERROR(__xludf.DUMMYFUNCTION("""COMPUTED_VALUE"""),0.0)</f>
        <v>0</v>
      </c>
      <c r="T588" s="320">
        <f>IFERROR(__xludf.DUMMYFUNCTION("""COMPUTED_VALUE"""),318.97)</f>
        <v>318.97</v>
      </c>
      <c r="U588" s="320">
        <f>IFERROR(__xludf.DUMMYFUNCTION("""COMPUTED_VALUE"""),323.76)</f>
        <v>323.76</v>
      </c>
      <c r="V588" s="320">
        <f>IFERROR(__xludf.DUMMYFUNCTION("""COMPUTED_VALUE"""),4.7671)</f>
        <v>4.7671</v>
      </c>
      <c r="W588" s="320">
        <f>IFERROR(__xludf.DUMMYFUNCTION("""COMPUTED_VALUE"""),0.0)</f>
        <v>0</v>
      </c>
      <c r="X588" s="320">
        <f>IFERROR(__xludf.DUMMYFUNCTION("""COMPUTED_VALUE"""),293.0)</f>
        <v>293</v>
      </c>
      <c r="Y588" s="320">
        <f>IFERROR(__xludf.DUMMYFUNCTION("""COMPUTED_VALUE"""),2196.0)</f>
        <v>2196</v>
      </c>
      <c r="Z588" s="320">
        <f>IFERROR(__xludf.DUMMYFUNCTION("""COMPUTED_VALUE"""),9176.0)</f>
        <v>9176</v>
      </c>
      <c r="AA588" s="320">
        <f>IFERROR(__xludf.DUMMYFUNCTION("""COMPUTED_VALUE"""),59.5208)</f>
        <v>59.5208</v>
      </c>
      <c r="AB588" s="320">
        <f>IFERROR(__xludf.DUMMYFUNCTION("""COMPUTED_VALUE"""),0.8272)</f>
        <v>0.8272</v>
      </c>
      <c r="AC588" s="320">
        <f>IFERROR(__xludf.DUMMYFUNCTION("""COMPUTED_VALUE"""),37.89)</f>
        <v>37.89</v>
      </c>
      <c r="AD588" s="320">
        <f>IFERROR(__xludf.DUMMYFUNCTION("""COMPUTED_VALUE"""),15.0)</f>
        <v>15</v>
      </c>
      <c r="AE588" s="320">
        <f>IFERROR(__xludf.DUMMYFUNCTION("""COMPUTED_VALUE"""),29.0)</f>
        <v>29</v>
      </c>
      <c r="AF588" s="320">
        <f>IFERROR(__xludf.DUMMYFUNCTION("""COMPUTED_VALUE"""),52.0)</f>
        <v>52</v>
      </c>
      <c r="AG588" s="320">
        <f>IFERROR(__xludf.DUMMYFUNCTION("""COMPUTED_VALUE"""),80.0)</f>
        <v>80</v>
      </c>
      <c r="AH588" s="320">
        <f>IFERROR(__xludf.DUMMYFUNCTION("""COMPUTED_VALUE"""),52.66)</f>
        <v>52.66</v>
      </c>
      <c r="AI588" s="320">
        <f>IFERROR(__xludf.DUMMYFUNCTION("""COMPUTED_VALUE"""),20.25)</f>
        <v>20.25</v>
      </c>
      <c r="AJ588" s="320">
        <f>IFERROR(__xludf.DUMMYFUNCTION("""COMPUTED_VALUE"""),4.9)</f>
        <v>4.9</v>
      </c>
      <c r="AK588" s="320">
        <f>IFERROR(__xludf.DUMMYFUNCTION("""COMPUTED_VALUE"""),0.1231)</f>
        <v>0.1231</v>
      </c>
      <c r="AL588" s="320">
        <f>IFERROR(__xludf.DUMMYFUNCTION("""COMPUTED_VALUE"""),20.79)</f>
        <v>20.79</v>
      </c>
      <c r="AM588" s="320">
        <f>IFERROR(__xludf.DUMMYFUNCTION("""COMPUTED_VALUE"""),203.28)</f>
        <v>203.28</v>
      </c>
      <c r="AN588" s="320">
        <f>IFERROR(__xludf.DUMMYFUNCTION("""COMPUTED_VALUE"""),82.39)</f>
        <v>82.39</v>
      </c>
      <c r="AO588" s="320">
        <f>IFERROR(__xludf.DUMMYFUNCTION("""COMPUTED_VALUE"""),17.13)</f>
        <v>17.13</v>
      </c>
    </row>
    <row r="589" ht="15.0" customHeight="1">
      <c r="A589" s="328">
        <f>IFERROR(__xludf.DUMMYFUNCTION("""COMPUTED_VALUE"""),46147.0)</f>
        <v>46147</v>
      </c>
      <c r="B589" s="319" t="str">
        <f>IFERROR(__xludf.DUMMYFUNCTION("""COMPUTED_VALUE"""),"F. 100+")</f>
        <v>F. 100+</v>
      </c>
      <c r="C589" s="320">
        <f>IFERROR(__xludf.DUMMYFUNCTION("""COMPUTED_VALUE"""),624.0)</f>
        <v>624</v>
      </c>
      <c r="D589" s="320">
        <f>IFERROR(__xludf.DUMMYFUNCTION("""COMPUTED_VALUE"""),0.6)</f>
        <v>0.6</v>
      </c>
      <c r="E589" s="320">
        <f>IFERROR(__xludf.DUMMYFUNCTION("""COMPUTED_VALUE"""),0.0)</f>
        <v>0</v>
      </c>
      <c r="F589" s="320">
        <f>IFERROR(__xludf.DUMMYFUNCTION("""COMPUTED_VALUE"""),0.0)</f>
        <v>0</v>
      </c>
      <c r="G589" s="320">
        <f>IFERROR(__xludf.DUMMYFUNCTION("""COMPUTED_VALUE"""),0.0)</f>
        <v>0</v>
      </c>
      <c r="H589" s="106"/>
      <c r="I589" s="320">
        <f>IFERROR(__xludf.DUMMYFUNCTION("""COMPUTED_VALUE"""),247.22)</f>
        <v>247.22</v>
      </c>
      <c r="J589" s="320">
        <f>IFERROR(__xludf.DUMMYFUNCTION("""COMPUTED_VALUE"""),143.54)</f>
        <v>143.54</v>
      </c>
      <c r="K589" s="320">
        <f>IFERROR(__xludf.DUMMYFUNCTION("""COMPUTED_VALUE"""),125.39)</f>
        <v>125.39</v>
      </c>
      <c r="L589" s="320">
        <f>IFERROR(__xludf.DUMMYFUNCTION("""COMPUTED_VALUE"""),0.8736)</f>
        <v>0.8736</v>
      </c>
      <c r="M589" s="320">
        <f>IFERROR(__xludf.DUMMYFUNCTION("""COMPUTED_VALUE"""),0.2802)</f>
        <v>0.2802</v>
      </c>
      <c r="N589" s="320">
        <f>IFERROR(__xludf.DUMMYFUNCTION("""COMPUTED_VALUE"""),0.2108)</f>
        <v>0.2108</v>
      </c>
      <c r="O589" s="320">
        <f>IFERROR(__xludf.DUMMYFUNCTION("""COMPUTED_VALUE"""),1.1447)</f>
        <v>1.1447</v>
      </c>
      <c r="P589" s="320">
        <f>IFERROR(__xludf.DUMMYFUNCTION("""COMPUTED_VALUE"""),611.95)</f>
        <v>611.95</v>
      </c>
      <c r="Q589" s="320">
        <f>IFERROR(__xludf.DUMMYFUNCTION("""COMPUTED_VALUE"""),392.15)</f>
        <v>392.15</v>
      </c>
      <c r="R589" s="320">
        <f>IFERROR(__xludf.DUMMYFUNCTION("""COMPUTED_VALUE"""),219.8)</f>
        <v>219.8</v>
      </c>
      <c r="S589" s="320">
        <f>IFERROR(__xludf.DUMMYFUNCTION("""COMPUTED_VALUE"""),0.0)</f>
        <v>0</v>
      </c>
      <c r="T589" s="320">
        <f>IFERROR(__xludf.DUMMYFUNCTION("""COMPUTED_VALUE"""),611.95)</f>
        <v>611.95</v>
      </c>
      <c r="U589" s="320">
        <f>IFERROR(__xludf.DUMMYFUNCTION("""COMPUTED_VALUE"""),776.76)</f>
        <v>776.76</v>
      </c>
      <c r="V589" s="320">
        <f>IFERROR(__xludf.DUMMYFUNCTION("""COMPUTED_VALUE"""),5.4115)</f>
        <v>5.4115</v>
      </c>
      <c r="W589" s="320">
        <f>IFERROR(__xludf.DUMMYFUNCTION("""COMPUTED_VALUE"""),0.0)</f>
        <v>0</v>
      </c>
      <c r="X589" s="320">
        <f>IFERROR(__xludf.DUMMYFUNCTION("""COMPUTED_VALUE"""),577.0)</f>
        <v>577</v>
      </c>
      <c r="Y589" s="320">
        <f>IFERROR(__xludf.DUMMYFUNCTION("""COMPUTED_VALUE"""),3346.0)</f>
        <v>3346</v>
      </c>
      <c r="Z589" s="320">
        <f>IFERROR(__xludf.DUMMYFUNCTION("""COMPUTED_VALUE"""),11869.0)</f>
        <v>11869</v>
      </c>
      <c r="AA589" s="320">
        <f>IFERROR(__xludf.DUMMYFUNCTION("""COMPUTED_VALUE"""),62.7794)</f>
        <v>62.7794</v>
      </c>
      <c r="AB589" s="320">
        <f>IFERROR(__xludf.DUMMYFUNCTION("""COMPUTED_VALUE"""),0.8928)</f>
        <v>0.8928</v>
      </c>
      <c r="AC589" s="320">
        <f>IFERROR(__xludf.DUMMYFUNCTION("""COMPUTED_VALUE"""),86.0)</f>
        <v>86</v>
      </c>
      <c r="AD589" s="320">
        <f>IFERROR(__xludf.DUMMYFUNCTION("""COMPUTED_VALUE"""),35.0)</f>
        <v>35</v>
      </c>
      <c r="AE589" s="320">
        <f>IFERROR(__xludf.DUMMYFUNCTION("""COMPUTED_VALUE"""),71.0)</f>
        <v>71</v>
      </c>
      <c r="AF589" s="320">
        <f>IFERROR(__xludf.DUMMYFUNCTION("""COMPUTED_VALUE"""),119.0)</f>
        <v>119</v>
      </c>
      <c r="AG589" s="320">
        <f>IFERROR(__xludf.DUMMYFUNCTION("""COMPUTED_VALUE"""),169.0)</f>
        <v>169</v>
      </c>
      <c r="AH589" s="320">
        <f>IFERROR(__xludf.DUMMYFUNCTION("""COMPUTED_VALUE"""),44.55)</f>
        <v>44.55</v>
      </c>
      <c r="AI589" s="320">
        <f>IFERROR(__xludf.DUMMYFUNCTION("""COMPUTED_VALUE"""),10.1)</f>
        <v>10.1</v>
      </c>
      <c r="AJ589" s="320">
        <f>IFERROR(__xludf.DUMMYFUNCTION("""COMPUTED_VALUE"""),1.44)</f>
        <v>1.44</v>
      </c>
      <c r="AK589" s="320">
        <f>IFERROR(__xludf.DUMMYFUNCTION("""COMPUTED_VALUE"""),0.0865)</f>
        <v>0.0865</v>
      </c>
      <c r="AL589" s="320">
        <f>IFERROR(__xludf.DUMMYFUNCTION("""COMPUTED_VALUE"""),22.5)</f>
        <v>22.5</v>
      </c>
      <c r="AM589" s="320">
        <f>IFERROR(__xludf.DUMMYFUNCTION("""COMPUTED_VALUE"""),369.65)</f>
        <v>369.65</v>
      </c>
      <c r="AN589" s="320">
        <f>IFERROR(__xludf.DUMMYFUNCTION("""COMPUTED_VALUE"""),82.37)</f>
        <v>82.37</v>
      </c>
      <c r="AO589" s="320">
        <f>IFERROR(__xludf.DUMMYFUNCTION("""COMPUTED_VALUE"""),18.53)</f>
        <v>18.53</v>
      </c>
    </row>
    <row r="590" ht="15.0" customHeight="1">
      <c r="A590" s="328">
        <f>IFERROR(__xludf.DUMMYFUNCTION("""COMPUTED_VALUE"""),46148.0)</f>
        <v>46148</v>
      </c>
      <c r="B590" s="319" t="str">
        <f>IFERROR(__xludf.DUMMYFUNCTION("""COMPUTED_VALUE"""),"A. 0")</f>
        <v>A. 0</v>
      </c>
      <c r="C590" s="320">
        <f>IFERROR(__xludf.DUMMYFUNCTION("""COMPUTED_VALUE"""),19328.0)</f>
        <v>19328</v>
      </c>
      <c r="D590" s="320">
        <f>IFERROR(__xludf.DUMMYFUNCTION("""COMPUTED_VALUE"""),18.93)</f>
        <v>18.93</v>
      </c>
      <c r="E590" s="320">
        <f>IFERROR(__xludf.DUMMYFUNCTION("""COMPUTED_VALUE"""),0.0)</f>
        <v>0</v>
      </c>
      <c r="F590" s="320">
        <f>IFERROR(__xludf.DUMMYFUNCTION("""COMPUTED_VALUE"""),0.0)</f>
        <v>0</v>
      </c>
      <c r="G590" s="320">
        <f>IFERROR(__xludf.DUMMYFUNCTION("""COMPUTED_VALUE"""),0.0)</f>
        <v>0</v>
      </c>
      <c r="H590" s="106"/>
      <c r="I590" s="320">
        <f>IFERROR(__xludf.DUMMYFUNCTION("""COMPUTED_VALUE"""),6.26)</f>
        <v>6.26</v>
      </c>
      <c r="J590" s="320">
        <f>IFERROR(__xludf.DUMMYFUNCTION("""COMPUTED_VALUE"""),2.55)</f>
        <v>2.55</v>
      </c>
      <c r="K590" s="320">
        <f>IFERROR(__xludf.DUMMYFUNCTION("""COMPUTED_VALUE"""),0.06)</f>
        <v>0.06</v>
      </c>
      <c r="L590" s="320">
        <f>IFERROR(__xludf.DUMMYFUNCTION("""COMPUTED_VALUE"""),0.0222)</f>
        <v>0.0222</v>
      </c>
      <c r="M590" s="320">
        <f>IFERROR(__xludf.DUMMYFUNCTION("""COMPUTED_VALUE"""),0.9845)</f>
        <v>0.9845</v>
      </c>
      <c r="N590" s="320">
        <f>IFERROR(__xludf.DUMMYFUNCTION("""COMPUTED_VALUE"""),0.8226)</f>
        <v>0.8226</v>
      </c>
      <c r="O590" s="320">
        <f>IFERROR(__xludf.DUMMYFUNCTION("""COMPUTED_VALUE"""),45.0438)</f>
        <v>45.0438</v>
      </c>
      <c r="P590" s="320">
        <f>IFERROR(__xludf.DUMMYFUNCTION("""COMPUTED_VALUE"""),21.56)</f>
        <v>21.56</v>
      </c>
      <c r="Q590" s="320">
        <f>IFERROR(__xludf.DUMMYFUNCTION("""COMPUTED_VALUE"""),21.42)</f>
        <v>21.42</v>
      </c>
      <c r="R590" s="320">
        <f>IFERROR(__xludf.DUMMYFUNCTION("""COMPUTED_VALUE"""),0.15)</f>
        <v>0.15</v>
      </c>
      <c r="S590" s="320">
        <f>IFERROR(__xludf.DUMMYFUNCTION("""COMPUTED_VALUE"""),0.0)</f>
        <v>0</v>
      </c>
      <c r="T590" s="320">
        <f>IFERROR(__xludf.DUMMYFUNCTION("""COMPUTED_VALUE"""),21.56)</f>
        <v>21.56</v>
      </c>
      <c r="U590" s="320">
        <f>IFERROR(__xludf.DUMMYFUNCTION("""COMPUTED_VALUE"""),1.83)</f>
        <v>1.83</v>
      </c>
      <c r="V590" s="320">
        <f>IFERROR(__xludf.DUMMYFUNCTION("""COMPUTED_VALUE"""),0.7167)</f>
        <v>0.7167</v>
      </c>
      <c r="W590" s="320">
        <f>IFERROR(__xludf.DUMMYFUNCTION("""COMPUTED_VALUE"""),0.0)</f>
        <v>0</v>
      </c>
      <c r="X590" s="320">
        <f>IFERROR(__xludf.DUMMYFUNCTION("""COMPUTED_VALUE"""),394.0)</f>
        <v>394</v>
      </c>
      <c r="Y590" s="320">
        <f>IFERROR(__xludf.DUMMYFUNCTION("""COMPUTED_VALUE"""),4363.0)</f>
        <v>4363</v>
      </c>
      <c r="Z590" s="320">
        <f>IFERROR(__xludf.DUMMYFUNCTION("""COMPUTED_VALUE"""),16164.0)</f>
        <v>16164</v>
      </c>
      <c r="AA590" s="320">
        <f>IFERROR(__xludf.DUMMYFUNCTION("""COMPUTED_VALUE"""),49.1836)</f>
        <v>49.1836</v>
      </c>
      <c r="AB590" s="320">
        <f>IFERROR(__xludf.DUMMYFUNCTION("""COMPUTED_VALUE"""),0.5475)</f>
        <v>0.5475</v>
      </c>
      <c r="AC590" s="106"/>
      <c r="AD590" s="106"/>
      <c r="AE590" s="106"/>
      <c r="AF590" s="106"/>
      <c r="AG590" s="106"/>
      <c r="AH590" s="320">
        <f>IFERROR(__xludf.DUMMYFUNCTION("""COMPUTED_VALUE"""),0.0)</f>
        <v>0</v>
      </c>
      <c r="AI590" s="320">
        <f>IFERROR(__xludf.DUMMYFUNCTION("""COMPUTED_VALUE"""),0.0)</f>
        <v>0</v>
      </c>
      <c r="AJ590" s="320">
        <f>IFERROR(__xludf.DUMMYFUNCTION("""COMPUTED_VALUE"""),0.0)</f>
        <v>0</v>
      </c>
      <c r="AK590" s="320">
        <f>IFERROR(__xludf.DUMMYFUNCTION("""COMPUTED_VALUE"""),0.2652)</f>
        <v>0.2652</v>
      </c>
      <c r="AL590" s="320">
        <f>IFERROR(__xludf.DUMMYFUNCTION("""COMPUTED_VALUE"""),16.11)</f>
        <v>16.11</v>
      </c>
      <c r="AM590" s="320">
        <f>IFERROR(__xludf.DUMMYFUNCTION("""COMPUTED_VALUE"""),5.3)</f>
        <v>5.3</v>
      </c>
      <c r="AN590" s="331"/>
      <c r="AO590" s="331"/>
    </row>
    <row r="591" ht="15.0" customHeight="1">
      <c r="A591" s="328">
        <f>IFERROR(__xludf.DUMMYFUNCTION("""COMPUTED_VALUE"""),46148.0)</f>
        <v>46148</v>
      </c>
      <c r="B591" s="319" t="str">
        <f>IFERROR(__xludf.DUMMYFUNCTION("""COMPUTED_VALUE"""),"B. 1-9")</f>
        <v>B. 1-9</v>
      </c>
      <c r="C591" s="320">
        <f>IFERROR(__xludf.DUMMYFUNCTION("""COMPUTED_VALUE"""),36126.0)</f>
        <v>36126</v>
      </c>
      <c r="D591" s="320">
        <f>IFERROR(__xludf.DUMMYFUNCTION("""COMPUTED_VALUE"""),35.37)</f>
        <v>35.37</v>
      </c>
      <c r="E591" s="320">
        <f>IFERROR(__xludf.DUMMYFUNCTION("""COMPUTED_VALUE"""),0.0)</f>
        <v>0</v>
      </c>
      <c r="F591" s="320">
        <f>IFERROR(__xludf.DUMMYFUNCTION("""COMPUTED_VALUE"""),0.0)</f>
        <v>0</v>
      </c>
      <c r="G591" s="320">
        <f>IFERROR(__xludf.DUMMYFUNCTION("""COMPUTED_VALUE"""),0.0)</f>
        <v>0</v>
      </c>
      <c r="H591" s="106"/>
      <c r="I591" s="320">
        <f>IFERROR(__xludf.DUMMYFUNCTION("""COMPUTED_VALUE"""),30.21)</f>
        <v>30.21</v>
      </c>
      <c r="J591" s="320">
        <f>IFERROR(__xludf.DUMMYFUNCTION("""COMPUTED_VALUE"""),13.65)</f>
        <v>13.65</v>
      </c>
      <c r="K591" s="320">
        <f>IFERROR(__xludf.DUMMYFUNCTION("""COMPUTED_VALUE"""),5.5)</f>
        <v>5.5</v>
      </c>
      <c r="L591" s="320">
        <f>IFERROR(__xludf.DUMMYFUNCTION("""COMPUTED_VALUE"""),0.4027)</f>
        <v>0.4027</v>
      </c>
      <c r="M591" s="320">
        <f>IFERROR(__xludf.DUMMYFUNCTION("""COMPUTED_VALUE"""),0.7658)</f>
        <v>0.7658</v>
      </c>
      <c r="N591" s="320">
        <f>IFERROR(__xludf.DUMMYFUNCTION("""COMPUTED_VALUE"""),0.5687)</f>
        <v>0.5687</v>
      </c>
      <c r="O591" s="320">
        <f>IFERROR(__xludf.DUMMYFUNCTION("""COMPUTED_VALUE"""),2.483)</f>
        <v>2.483</v>
      </c>
      <c r="P591" s="320">
        <f>IFERROR(__xludf.DUMMYFUNCTION("""COMPUTED_VALUE"""),44.5)</f>
        <v>44.5</v>
      </c>
      <c r="Q591" s="320">
        <f>IFERROR(__xludf.DUMMYFUNCTION("""COMPUTED_VALUE"""),34.81)</f>
        <v>34.81</v>
      </c>
      <c r="R591" s="320">
        <f>IFERROR(__xludf.DUMMYFUNCTION("""COMPUTED_VALUE"""),9.69)</f>
        <v>9.69</v>
      </c>
      <c r="S591" s="320">
        <f>IFERROR(__xludf.DUMMYFUNCTION("""COMPUTED_VALUE"""),0.02)</f>
        <v>0.02</v>
      </c>
      <c r="T591" s="320">
        <f>IFERROR(__xludf.DUMMYFUNCTION("""COMPUTED_VALUE"""),44.47)</f>
        <v>44.47</v>
      </c>
      <c r="U591" s="320">
        <f>IFERROR(__xludf.DUMMYFUNCTION("""COMPUTED_VALUE"""),49.53)</f>
        <v>49.53</v>
      </c>
      <c r="V591" s="320">
        <f>IFERROR(__xludf.DUMMYFUNCTION("""COMPUTED_VALUE"""),3.6302)</f>
        <v>3.6302</v>
      </c>
      <c r="W591" s="320">
        <f>IFERROR(__xludf.DUMMYFUNCTION("""COMPUTED_VALUE"""),0.05)</f>
        <v>0.05</v>
      </c>
      <c r="X591" s="320">
        <f>IFERROR(__xludf.DUMMYFUNCTION("""COMPUTED_VALUE"""),146.0)</f>
        <v>146</v>
      </c>
      <c r="Y591" s="320">
        <f>IFERROR(__xludf.DUMMYFUNCTION("""COMPUTED_VALUE"""),925.0)</f>
        <v>925</v>
      </c>
      <c r="Z591" s="320">
        <f>IFERROR(__xludf.DUMMYFUNCTION("""COMPUTED_VALUE"""),6399.0)</f>
        <v>6399</v>
      </c>
      <c r="AA591" s="320">
        <f>IFERROR(__xludf.DUMMYFUNCTION("""COMPUTED_VALUE"""),48.9804)</f>
        <v>48.9804</v>
      </c>
      <c r="AB591" s="320">
        <f>IFERROR(__xludf.DUMMYFUNCTION("""COMPUTED_VALUE"""),0.5412)</f>
        <v>0.5412</v>
      </c>
      <c r="AC591" s="320">
        <f>IFERROR(__xludf.DUMMYFUNCTION("""COMPUTED_VALUE"""),3.92)</f>
        <v>3.92</v>
      </c>
      <c r="AD591" s="320">
        <f>IFERROR(__xludf.DUMMYFUNCTION("""COMPUTED_VALUE"""),1.0)</f>
        <v>1</v>
      </c>
      <c r="AE591" s="320">
        <f>IFERROR(__xludf.DUMMYFUNCTION("""COMPUTED_VALUE"""),3.0)</f>
        <v>3</v>
      </c>
      <c r="AF591" s="320">
        <f>IFERROR(__xludf.DUMMYFUNCTION("""COMPUTED_VALUE"""),5.0)</f>
        <v>5</v>
      </c>
      <c r="AG591" s="320">
        <f>IFERROR(__xludf.DUMMYFUNCTION("""COMPUTED_VALUE"""),9.0)</f>
        <v>9</v>
      </c>
      <c r="AH591" s="320">
        <f>IFERROR(__xludf.DUMMYFUNCTION("""COMPUTED_VALUE"""),72.86)</f>
        <v>72.86</v>
      </c>
      <c r="AI591" s="320">
        <f>IFERROR(__xludf.DUMMYFUNCTION("""COMPUTED_VALUE"""),30.25)</f>
        <v>30.25</v>
      </c>
      <c r="AJ591" s="320">
        <f>IFERROR(__xludf.DUMMYFUNCTION("""COMPUTED_VALUE"""),8.05)</f>
        <v>8.05</v>
      </c>
      <c r="AK591" s="320">
        <f>IFERROR(__xludf.DUMMYFUNCTION("""COMPUTED_VALUE"""),0.2362)</f>
        <v>0.2362</v>
      </c>
      <c r="AL591" s="320">
        <f>IFERROR(__xludf.DUMMYFUNCTION("""COMPUTED_VALUE"""),18.22)</f>
        <v>18.22</v>
      </c>
      <c r="AM591" s="320">
        <f>IFERROR(__xludf.DUMMYFUNCTION("""COMPUTED_VALUE"""),16.59)</f>
        <v>16.59</v>
      </c>
      <c r="AN591" s="320">
        <f>IFERROR(__xludf.DUMMYFUNCTION("""COMPUTED_VALUE"""),65.77)</f>
        <v>65.77</v>
      </c>
      <c r="AO591" s="320">
        <f>IFERROR(__xludf.DUMMYFUNCTION("""COMPUTED_VALUE"""),11.98)</f>
        <v>11.98</v>
      </c>
    </row>
    <row r="592" ht="15.0" customHeight="1">
      <c r="A592" s="328">
        <f>IFERROR(__xludf.DUMMYFUNCTION("""COMPUTED_VALUE"""),46148.0)</f>
        <v>46148</v>
      </c>
      <c r="B592" s="319" t="str">
        <f>IFERROR(__xludf.DUMMYFUNCTION("""COMPUTED_VALUE"""),"C. 10-19")</f>
        <v>C. 10-19</v>
      </c>
      <c r="C592" s="320">
        <f>IFERROR(__xludf.DUMMYFUNCTION("""COMPUTED_VALUE"""),26384.0)</f>
        <v>26384</v>
      </c>
      <c r="D592" s="320">
        <f>IFERROR(__xludf.DUMMYFUNCTION("""COMPUTED_VALUE"""),25.83)</f>
        <v>25.83</v>
      </c>
      <c r="E592" s="320">
        <f>IFERROR(__xludf.DUMMYFUNCTION("""COMPUTED_VALUE"""),0.0)</f>
        <v>0</v>
      </c>
      <c r="F592" s="320">
        <f>IFERROR(__xludf.DUMMYFUNCTION("""COMPUTED_VALUE"""),0.0)</f>
        <v>0</v>
      </c>
      <c r="G592" s="320">
        <f>IFERROR(__xludf.DUMMYFUNCTION("""COMPUTED_VALUE"""),0.0)</f>
        <v>0</v>
      </c>
      <c r="H592" s="106"/>
      <c r="I592" s="320">
        <f>IFERROR(__xludf.DUMMYFUNCTION("""COMPUTED_VALUE"""),57.0)</f>
        <v>57</v>
      </c>
      <c r="J592" s="320">
        <f>IFERROR(__xludf.DUMMYFUNCTION("""COMPUTED_VALUE"""),26.99)</f>
        <v>26.99</v>
      </c>
      <c r="K592" s="320">
        <f>IFERROR(__xludf.DUMMYFUNCTION("""COMPUTED_VALUE"""),14.02)</f>
        <v>14.02</v>
      </c>
      <c r="L592" s="320">
        <f>IFERROR(__xludf.DUMMYFUNCTION("""COMPUTED_VALUE"""),0.5193)</f>
        <v>0.5193</v>
      </c>
      <c r="M592" s="320">
        <f>IFERROR(__xludf.DUMMYFUNCTION("""COMPUTED_VALUE"""),0.6704)</f>
        <v>0.6704</v>
      </c>
      <c r="N592" s="320">
        <f>IFERROR(__xludf.DUMMYFUNCTION("""COMPUTED_VALUE"""),0.4673)</f>
        <v>0.4673</v>
      </c>
      <c r="O592" s="320">
        <f>IFERROR(__xludf.DUMMYFUNCTION("""COMPUTED_VALUE"""),1.9258)</f>
        <v>1.9258</v>
      </c>
      <c r="P592" s="320">
        <f>IFERROR(__xludf.DUMMYFUNCTION("""COMPUTED_VALUE"""),76.56)</f>
        <v>76.56</v>
      </c>
      <c r="Q592" s="320">
        <f>IFERROR(__xludf.DUMMYFUNCTION("""COMPUTED_VALUE"""),53.7)</f>
        <v>53.7</v>
      </c>
      <c r="R592" s="320">
        <f>IFERROR(__xludf.DUMMYFUNCTION("""COMPUTED_VALUE"""),22.86)</f>
        <v>22.86</v>
      </c>
      <c r="S592" s="320">
        <f>IFERROR(__xludf.DUMMYFUNCTION("""COMPUTED_VALUE"""),0.0)</f>
        <v>0</v>
      </c>
      <c r="T592" s="320">
        <f>IFERROR(__xludf.DUMMYFUNCTION("""COMPUTED_VALUE"""),76.56)</f>
        <v>76.56</v>
      </c>
      <c r="U592" s="320">
        <f>IFERROR(__xludf.DUMMYFUNCTION("""COMPUTED_VALUE"""),92.11)</f>
        <v>92.11</v>
      </c>
      <c r="V592" s="320">
        <f>IFERROR(__xludf.DUMMYFUNCTION("""COMPUTED_VALUE"""),3.4125)</f>
        <v>3.4125</v>
      </c>
      <c r="W592" s="320">
        <f>IFERROR(__xludf.DUMMYFUNCTION("""COMPUTED_VALUE"""),0.0)</f>
        <v>0</v>
      </c>
      <c r="X592" s="320">
        <f>IFERROR(__xludf.DUMMYFUNCTION("""COMPUTED_VALUE"""),117.0)</f>
        <v>117</v>
      </c>
      <c r="Y592" s="320">
        <f>IFERROR(__xludf.DUMMYFUNCTION("""COMPUTED_VALUE"""),690.0)</f>
        <v>690</v>
      </c>
      <c r="Z592" s="320">
        <f>IFERROR(__xludf.DUMMYFUNCTION("""COMPUTED_VALUE"""),5464.0)</f>
        <v>5464</v>
      </c>
      <c r="AA592" s="320">
        <f>IFERROR(__xludf.DUMMYFUNCTION("""COMPUTED_VALUE"""),52.0785)</f>
        <v>52.0785</v>
      </c>
      <c r="AB592" s="320">
        <f>IFERROR(__xludf.DUMMYFUNCTION("""COMPUTED_VALUE"""),0.6031)</f>
        <v>0.6031</v>
      </c>
      <c r="AC592" s="320">
        <f>IFERROR(__xludf.DUMMYFUNCTION("""COMPUTED_VALUE"""),8.68)</f>
        <v>8.68</v>
      </c>
      <c r="AD592" s="320">
        <f>IFERROR(__xludf.DUMMYFUNCTION("""COMPUTED_VALUE"""),3.0)</f>
        <v>3</v>
      </c>
      <c r="AE592" s="320">
        <f>IFERROR(__xludf.DUMMYFUNCTION("""COMPUTED_VALUE"""),7.0)</f>
        <v>7</v>
      </c>
      <c r="AF592" s="320">
        <f>IFERROR(__xludf.DUMMYFUNCTION("""COMPUTED_VALUE"""),12.0)</f>
        <v>12</v>
      </c>
      <c r="AG592" s="320">
        <f>IFERROR(__xludf.DUMMYFUNCTION("""COMPUTED_VALUE"""),18.0)</f>
        <v>18</v>
      </c>
      <c r="AH592" s="320">
        <f>IFERROR(__xludf.DUMMYFUNCTION("""COMPUTED_VALUE"""),56.72)</f>
        <v>56.72</v>
      </c>
      <c r="AI592" s="320">
        <f>IFERROR(__xludf.DUMMYFUNCTION("""COMPUTED_VALUE"""),23.26)</f>
        <v>23.26</v>
      </c>
      <c r="AJ592" s="320">
        <f>IFERROR(__xludf.DUMMYFUNCTION("""COMPUTED_VALUE"""),3.46)</f>
        <v>3.46</v>
      </c>
      <c r="AK592" s="320">
        <f>IFERROR(__xludf.DUMMYFUNCTION("""COMPUTED_VALUE"""),0.1816)</f>
        <v>0.1816</v>
      </c>
      <c r="AL592" s="320">
        <f>IFERROR(__xludf.DUMMYFUNCTION("""COMPUTED_VALUE"""),18.79)</f>
        <v>18.79</v>
      </c>
      <c r="AM592" s="320">
        <f>IFERROR(__xludf.DUMMYFUNCTION("""COMPUTED_VALUE"""),34.9)</f>
        <v>34.9</v>
      </c>
      <c r="AN592" s="320">
        <f>IFERROR(__xludf.DUMMYFUNCTION("""COMPUTED_VALUE"""),72.93)</f>
        <v>72.93</v>
      </c>
      <c r="AO592" s="320">
        <f>IFERROR(__xludf.DUMMYFUNCTION("""COMPUTED_VALUE"""),13.7)</f>
        <v>13.7</v>
      </c>
    </row>
    <row r="593" ht="15.0" customHeight="1">
      <c r="A593" s="328">
        <f>IFERROR(__xludf.DUMMYFUNCTION("""COMPUTED_VALUE"""),46148.0)</f>
        <v>46148</v>
      </c>
      <c r="B593" s="319" t="str">
        <f>IFERROR(__xludf.DUMMYFUNCTION("""COMPUTED_VALUE"""),"D. 20-39")</f>
        <v>D. 20-39</v>
      </c>
      <c r="C593" s="320">
        <f>IFERROR(__xludf.DUMMYFUNCTION("""COMPUTED_VALUE"""),13888.0)</f>
        <v>13888</v>
      </c>
      <c r="D593" s="320">
        <f>IFERROR(__xludf.DUMMYFUNCTION("""COMPUTED_VALUE"""),13.6)</f>
        <v>13.6</v>
      </c>
      <c r="E593" s="320">
        <f>IFERROR(__xludf.DUMMYFUNCTION("""COMPUTED_VALUE"""),0.0)</f>
        <v>0</v>
      </c>
      <c r="F593" s="320">
        <f>IFERROR(__xludf.DUMMYFUNCTION("""COMPUTED_VALUE"""),0.0)</f>
        <v>0</v>
      </c>
      <c r="G593" s="320">
        <f>IFERROR(__xludf.DUMMYFUNCTION("""COMPUTED_VALUE"""),0.0)</f>
        <v>0</v>
      </c>
      <c r="H593" s="106"/>
      <c r="I593" s="320">
        <f>IFERROR(__xludf.DUMMYFUNCTION("""COMPUTED_VALUE"""),81.21)</f>
        <v>81.21</v>
      </c>
      <c r="J593" s="320">
        <f>IFERROR(__xludf.DUMMYFUNCTION("""COMPUTED_VALUE"""),40.61)</f>
        <v>40.61</v>
      </c>
      <c r="K593" s="320">
        <f>IFERROR(__xludf.DUMMYFUNCTION("""COMPUTED_VALUE"""),25.93)</f>
        <v>25.93</v>
      </c>
      <c r="L593" s="320">
        <f>IFERROR(__xludf.DUMMYFUNCTION("""COMPUTED_VALUE"""),0.6385)</f>
        <v>0.6385</v>
      </c>
      <c r="M593" s="320">
        <f>IFERROR(__xludf.DUMMYFUNCTION("""COMPUTED_VALUE"""),0.5509)</f>
        <v>0.5509</v>
      </c>
      <c r="N593" s="320">
        <f>IFERROR(__xludf.DUMMYFUNCTION("""COMPUTED_VALUE"""),0.3808)</f>
        <v>0.3808</v>
      </c>
      <c r="O593" s="320">
        <f>IFERROR(__xludf.DUMMYFUNCTION("""COMPUTED_VALUE"""),1.5663)</f>
        <v>1.5663</v>
      </c>
      <c r="P593" s="320">
        <f>IFERROR(__xludf.DUMMYFUNCTION("""COMPUTED_VALUE"""),125.44)</f>
        <v>125.44</v>
      </c>
      <c r="Q593" s="320">
        <f>IFERROR(__xludf.DUMMYFUNCTION("""COMPUTED_VALUE"""),80.62)</f>
        <v>80.62</v>
      </c>
      <c r="R593" s="320">
        <f>IFERROR(__xludf.DUMMYFUNCTION("""COMPUTED_VALUE"""),44.82)</f>
        <v>44.82</v>
      </c>
      <c r="S593" s="320">
        <f>IFERROR(__xludf.DUMMYFUNCTION("""COMPUTED_VALUE"""),0.0)</f>
        <v>0</v>
      </c>
      <c r="T593" s="320">
        <f>IFERROR(__xludf.DUMMYFUNCTION("""COMPUTED_VALUE"""),125.44)</f>
        <v>125.44</v>
      </c>
      <c r="U593" s="320">
        <f>IFERROR(__xludf.DUMMYFUNCTION("""COMPUTED_VALUE"""),157.42)</f>
        <v>157.42</v>
      </c>
      <c r="V593" s="320">
        <f>IFERROR(__xludf.DUMMYFUNCTION("""COMPUTED_VALUE"""),3.8765)</f>
        <v>3.8765</v>
      </c>
      <c r="W593" s="320">
        <f>IFERROR(__xludf.DUMMYFUNCTION("""COMPUTED_VALUE"""),0.0)</f>
        <v>0</v>
      </c>
      <c r="X593" s="320">
        <f>IFERROR(__xludf.DUMMYFUNCTION("""COMPUTED_VALUE"""),135.0)</f>
        <v>135</v>
      </c>
      <c r="Y593" s="320">
        <f>IFERROR(__xludf.DUMMYFUNCTION("""COMPUTED_VALUE"""),1006.0)</f>
        <v>1006</v>
      </c>
      <c r="Z593" s="320">
        <f>IFERROR(__xludf.DUMMYFUNCTION("""COMPUTED_VALUE"""),6522.0)</f>
        <v>6522</v>
      </c>
      <c r="AA593" s="320">
        <f>IFERROR(__xludf.DUMMYFUNCTION("""COMPUTED_VALUE"""),55.7557)</f>
        <v>55.7557</v>
      </c>
      <c r="AB593" s="320">
        <f>IFERROR(__xludf.DUMMYFUNCTION("""COMPUTED_VALUE"""),0.7321)</f>
        <v>0.7321</v>
      </c>
      <c r="AC593" s="320">
        <f>IFERROR(__xludf.DUMMYFUNCTION("""COMPUTED_VALUE"""),16.95)</f>
        <v>16.95</v>
      </c>
      <c r="AD593" s="320">
        <f>IFERROR(__xludf.DUMMYFUNCTION("""COMPUTED_VALUE"""),7.0)</f>
        <v>7</v>
      </c>
      <c r="AE593" s="320">
        <f>IFERROR(__xludf.DUMMYFUNCTION("""COMPUTED_VALUE"""),13.0)</f>
        <v>13</v>
      </c>
      <c r="AF593" s="320">
        <f>IFERROR(__xludf.DUMMYFUNCTION("""COMPUTED_VALUE"""),23.0)</f>
        <v>23</v>
      </c>
      <c r="AG593" s="320">
        <f>IFERROR(__xludf.DUMMYFUNCTION("""COMPUTED_VALUE"""),36.0)</f>
        <v>36</v>
      </c>
      <c r="AH593" s="320">
        <f>IFERROR(__xludf.DUMMYFUNCTION("""COMPUTED_VALUE"""),56.92)</f>
        <v>56.92</v>
      </c>
      <c r="AI593" s="320">
        <f>IFERROR(__xludf.DUMMYFUNCTION("""COMPUTED_VALUE"""),21.28)</f>
        <v>21.28</v>
      </c>
      <c r="AJ593" s="320">
        <f>IFERROR(__xludf.DUMMYFUNCTION("""COMPUTED_VALUE"""),6.29)</f>
        <v>6.29</v>
      </c>
      <c r="AK593" s="320">
        <f>IFERROR(__xludf.DUMMYFUNCTION("""COMPUTED_VALUE"""),0.1699)</f>
        <v>0.1699</v>
      </c>
      <c r="AL593" s="320">
        <f>IFERROR(__xludf.DUMMYFUNCTION("""COMPUTED_VALUE"""),18.81)</f>
        <v>18.81</v>
      </c>
      <c r="AM593" s="320">
        <f>IFERROR(__xludf.DUMMYFUNCTION("""COMPUTED_VALUE"""),61.81)</f>
        <v>61.81</v>
      </c>
      <c r="AN593" s="320">
        <f>IFERROR(__xludf.DUMMYFUNCTION("""COMPUTED_VALUE"""),77.28)</f>
        <v>77.28</v>
      </c>
      <c r="AO593" s="320">
        <f>IFERROR(__xludf.DUMMYFUNCTION("""COMPUTED_VALUE"""),14.54)</f>
        <v>14.54</v>
      </c>
    </row>
    <row r="594" ht="15.0" customHeight="1">
      <c r="A594" s="328">
        <f>IFERROR(__xludf.DUMMYFUNCTION("""COMPUTED_VALUE"""),46148.0)</f>
        <v>46148</v>
      </c>
      <c r="B594" s="319" t="str">
        <f>IFERROR(__xludf.DUMMYFUNCTION("""COMPUTED_VALUE"""),"E. 40-99")</f>
        <v>E. 40-99</v>
      </c>
      <c r="C594" s="320">
        <f>IFERROR(__xludf.DUMMYFUNCTION("""COMPUTED_VALUE"""),5806.0)</f>
        <v>5806</v>
      </c>
      <c r="D594" s="320">
        <f>IFERROR(__xludf.DUMMYFUNCTION("""COMPUTED_VALUE"""),5.68)</f>
        <v>5.68</v>
      </c>
      <c r="E594" s="320">
        <f>IFERROR(__xludf.DUMMYFUNCTION("""COMPUTED_VALUE"""),0.0)</f>
        <v>0</v>
      </c>
      <c r="F594" s="320">
        <f>IFERROR(__xludf.DUMMYFUNCTION("""COMPUTED_VALUE"""),0.0)</f>
        <v>0</v>
      </c>
      <c r="G594" s="320">
        <f>IFERROR(__xludf.DUMMYFUNCTION("""COMPUTED_VALUE"""),0.0)</f>
        <v>0</v>
      </c>
      <c r="H594" s="106"/>
      <c r="I594" s="320">
        <f>IFERROR(__xludf.DUMMYFUNCTION("""COMPUTED_VALUE"""),129.12)</f>
        <v>129.12</v>
      </c>
      <c r="J594" s="320">
        <f>IFERROR(__xludf.DUMMYFUNCTION("""COMPUTED_VALUE"""),69.34)</f>
        <v>69.34</v>
      </c>
      <c r="K594" s="320">
        <f>IFERROR(__xludf.DUMMYFUNCTION("""COMPUTED_VALUE"""),53.56)</f>
        <v>53.56</v>
      </c>
      <c r="L594" s="320">
        <f>IFERROR(__xludf.DUMMYFUNCTION("""COMPUTED_VALUE"""),0.7725)</f>
        <v>0.7725</v>
      </c>
      <c r="M594" s="320">
        <f>IFERROR(__xludf.DUMMYFUNCTION("""COMPUTED_VALUE"""),0.4062)</f>
        <v>0.4062</v>
      </c>
      <c r="N594" s="320">
        <f>IFERROR(__xludf.DUMMYFUNCTION("""COMPUTED_VALUE"""),0.2873)</f>
        <v>0.2873</v>
      </c>
      <c r="O594" s="320">
        <f>IFERROR(__xludf.DUMMYFUNCTION("""COMPUTED_VALUE"""),1.2945)</f>
        <v>1.2945</v>
      </c>
      <c r="P594" s="320">
        <f>IFERROR(__xludf.DUMMYFUNCTION("""COMPUTED_VALUE"""),212.1)</f>
        <v>212.1</v>
      </c>
      <c r="Q594" s="320">
        <f>IFERROR(__xludf.DUMMYFUNCTION("""COMPUTED_VALUE"""),118.2)</f>
        <v>118.2</v>
      </c>
      <c r="R594" s="320">
        <f>IFERROR(__xludf.DUMMYFUNCTION("""COMPUTED_VALUE"""),93.9)</f>
        <v>93.9</v>
      </c>
      <c r="S594" s="320">
        <f>IFERROR(__xludf.DUMMYFUNCTION("""COMPUTED_VALUE"""),0.02)</f>
        <v>0.02</v>
      </c>
      <c r="T594" s="320">
        <f>IFERROR(__xludf.DUMMYFUNCTION("""COMPUTED_VALUE"""),212.08)</f>
        <v>212.08</v>
      </c>
      <c r="U594" s="320">
        <f>IFERROR(__xludf.DUMMYFUNCTION("""COMPUTED_VALUE"""),305.99)</f>
        <v>305.99</v>
      </c>
      <c r="V594" s="320">
        <f>IFERROR(__xludf.DUMMYFUNCTION("""COMPUTED_VALUE"""),4.4129)</f>
        <v>4.4129</v>
      </c>
      <c r="W594" s="320">
        <f>IFERROR(__xludf.DUMMYFUNCTION("""COMPUTED_VALUE"""),0.01)</f>
        <v>0.01</v>
      </c>
      <c r="X594" s="320">
        <f>IFERROR(__xludf.DUMMYFUNCTION("""COMPUTED_VALUE"""),235.0)</f>
        <v>235</v>
      </c>
      <c r="Y594" s="320">
        <f>IFERROR(__xludf.DUMMYFUNCTION("""COMPUTED_VALUE"""),2171.0)</f>
        <v>2171</v>
      </c>
      <c r="Z594" s="320">
        <f>IFERROR(__xludf.DUMMYFUNCTION("""COMPUTED_VALUE"""),9458.0)</f>
        <v>9458</v>
      </c>
      <c r="AA594" s="320">
        <f>IFERROR(__xludf.DUMMYFUNCTION("""COMPUTED_VALUE"""),59.6751)</f>
        <v>59.6751</v>
      </c>
      <c r="AB594" s="320">
        <f>IFERROR(__xludf.DUMMYFUNCTION("""COMPUTED_VALUE"""),0.8338)</f>
        <v>0.8338</v>
      </c>
      <c r="AC594" s="320">
        <f>IFERROR(__xludf.DUMMYFUNCTION("""COMPUTED_VALUE"""),36.41)</f>
        <v>36.41</v>
      </c>
      <c r="AD594" s="320">
        <f>IFERROR(__xludf.DUMMYFUNCTION("""COMPUTED_VALUE"""),13.0)</f>
        <v>13</v>
      </c>
      <c r="AE594" s="320">
        <f>IFERROR(__xludf.DUMMYFUNCTION("""COMPUTED_VALUE"""),27.0)</f>
        <v>27</v>
      </c>
      <c r="AF594" s="320">
        <f>IFERROR(__xludf.DUMMYFUNCTION("""COMPUTED_VALUE"""),51.0)</f>
        <v>51</v>
      </c>
      <c r="AG594" s="320">
        <f>IFERROR(__xludf.DUMMYFUNCTION("""COMPUTED_VALUE"""),78.0)</f>
        <v>78</v>
      </c>
      <c r="AH594" s="320">
        <f>IFERROR(__xludf.DUMMYFUNCTION("""COMPUTED_VALUE"""),49.83)</f>
        <v>49.83</v>
      </c>
      <c r="AI594" s="320">
        <f>IFERROR(__xludf.DUMMYFUNCTION("""COMPUTED_VALUE"""),19.12)</f>
        <v>19.12</v>
      </c>
      <c r="AJ594" s="320">
        <f>IFERROR(__xludf.DUMMYFUNCTION("""COMPUTED_VALUE"""),4.94)</f>
        <v>4.94</v>
      </c>
      <c r="AK594" s="320">
        <f>IFERROR(__xludf.DUMMYFUNCTION("""COMPUTED_VALUE"""),0.1249)</f>
        <v>0.1249</v>
      </c>
      <c r="AL594" s="320">
        <f>IFERROR(__xludf.DUMMYFUNCTION("""COMPUTED_VALUE"""),20.41)</f>
        <v>20.41</v>
      </c>
      <c r="AM594" s="320">
        <f>IFERROR(__xludf.DUMMYFUNCTION("""COMPUTED_VALUE"""),97.79)</f>
        <v>97.79</v>
      </c>
      <c r="AN594" s="320">
        <f>IFERROR(__xludf.DUMMYFUNCTION("""COMPUTED_VALUE"""),82.55)</f>
        <v>82.55</v>
      </c>
      <c r="AO594" s="320">
        <f>IFERROR(__xludf.DUMMYFUNCTION("""COMPUTED_VALUE"""),16.85)</f>
        <v>16.85</v>
      </c>
    </row>
    <row r="595" ht="15.0" customHeight="1">
      <c r="A595" s="328">
        <f>IFERROR(__xludf.DUMMYFUNCTION("""COMPUTED_VALUE"""),46148.0)</f>
        <v>46148</v>
      </c>
      <c r="B595" s="319" t="str">
        <f>IFERROR(__xludf.DUMMYFUNCTION("""COMPUTED_VALUE"""),"F. 100+")</f>
        <v>F. 100+</v>
      </c>
      <c r="C595" s="320">
        <f>IFERROR(__xludf.DUMMYFUNCTION("""COMPUTED_VALUE"""),597.0)</f>
        <v>597</v>
      </c>
      <c r="D595" s="320">
        <f>IFERROR(__xludf.DUMMYFUNCTION("""COMPUTED_VALUE"""),0.58)</f>
        <v>0.58</v>
      </c>
      <c r="E595" s="320">
        <f>IFERROR(__xludf.DUMMYFUNCTION("""COMPUTED_VALUE"""),0.0)</f>
        <v>0</v>
      </c>
      <c r="F595" s="320">
        <f>IFERROR(__xludf.DUMMYFUNCTION("""COMPUTED_VALUE"""),0.0)</f>
        <v>0</v>
      </c>
      <c r="G595" s="320">
        <f>IFERROR(__xludf.DUMMYFUNCTION("""COMPUTED_VALUE"""),0.0)</f>
        <v>0</v>
      </c>
      <c r="H595" s="106"/>
      <c r="I595" s="320">
        <f>IFERROR(__xludf.DUMMYFUNCTION("""COMPUTED_VALUE"""),252.91)</f>
        <v>252.91</v>
      </c>
      <c r="J595" s="320">
        <f>IFERROR(__xludf.DUMMYFUNCTION("""COMPUTED_VALUE"""),143.55)</f>
        <v>143.55</v>
      </c>
      <c r="K595" s="320">
        <f>IFERROR(__xludf.DUMMYFUNCTION("""COMPUTED_VALUE"""),125.3)</f>
        <v>125.3</v>
      </c>
      <c r="L595" s="320">
        <f>IFERROR(__xludf.DUMMYFUNCTION("""COMPUTED_VALUE"""),0.8729)</f>
        <v>0.8729</v>
      </c>
      <c r="M595" s="320">
        <f>IFERROR(__xludf.DUMMYFUNCTION("""COMPUTED_VALUE"""),0.286)</f>
        <v>0.286</v>
      </c>
      <c r="N595" s="320">
        <f>IFERROR(__xludf.DUMMYFUNCTION("""COMPUTED_VALUE"""),0.2182)</f>
        <v>0.2182</v>
      </c>
      <c r="O595" s="320">
        <f>IFERROR(__xludf.DUMMYFUNCTION("""COMPUTED_VALUE"""),1.1456)</f>
        <v>1.1456</v>
      </c>
      <c r="P595" s="320">
        <f>IFERROR(__xludf.DUMMYFUNCTION("""COMPUTED_VALUE"""),407.01)</f>
        <v>407.01</v>
      </c>
      <c r="Q595" s="320">
        <f>IFERROR(__xludf.DUMMYFUNCTION("""COMPUTED_VALUE"""),186.25)</f>
        <v>186.25</v>
      </c>
      <c r="R595" s="320">
        <f>IFERROR(__xludf.DUMMYFUNCTION("""COMPUTED_VALUE"""),220.75)</f>
        <v>220.75</v>
      </c>
      <c r="S595" s="320">
        <f>IFERROR(__xludf.DUMMYFUNCTION("""COMPUTED_VALUE"""),0.0)</f>
        <v>0</v>
      </c>
      <c r="T595" s="320">
        <f>IFERROR(__xludf.DUMMYFUNCTION("""COMPUTED_VALUE"""),407.01)</f>
        <v>407.01</v>
      </c>
      <c r="U595" s="320">
        <f>IFERROR(__xludf.DUMMYFUNCTION("""COMPUTED_VALUE"""),629.15)</f>
        <v>629.15</v>
      </c>
      <c r="V595" s="320">
        <f>IFERROR(__xludf.DUMMYFUNCTION("""COMPUTED_VALUE"""),4.3829)</f>
        <v>4.3829</v>
      </c>
      <c r="W595" s="320">
        <f>IFERROR(__xludf.DUMMYFUNCTION("""COMPUTED_VALUE"""),0.0)</f>
        <v>0</v>
      </c>
      <c r="X595" s="320">
        <f>IFERROR(__xludf.DUMMYFUNCTION("""COMPUTED_VALUE"""),498.0)</f>
        <v>498</v>
      </c>
      <c r="Y595" s="320">
        <f>IFERROR(__xludf.DUMMYFUNCTION("""COMPUTED_VALUE"""),3198.0)</f>
        <v>3198</v>
      </c>
      <c r="Z595" s="320">
        <f>IFERROR(__xludf.DUMMYFUNCTION("""COMPUTED_VALUE"""),10853.0)</f>
        <v>10853</v>
      </c>
      <c r="AA595" s="320">
        <f>IFERROR(__xludf.DUMMYFUNCTION("""COMPUTED_VALUE"""),63.1196)</f>
        <v>63.1196</v>
      </c>
      <c r="AB595" s="320">
        <f>IFERROR(__xludf.DUMMYFUNCTION("""COMPUTED_VALUE"""),0.9029)</f>
        <v>0.9029</v>
      </c>
      <c r="AC595" s="320">
        <f>IFERROR(__xludf.DUMMYFUNCTION("""COMPUTED_VALUE"""),84.37)</f>
        <v>84.37</v>
      </c>
      <c r="AD595" s="320">
        <f>IFERROR(__xludf.DUMMYFUNCTION("""COMPUTED_VALUE"""),36.0)</f>
        <v>36</v>
      </c>
      <c r="AE595" s="320">
        <f>IFERROR(__xludf.DUMMYFUNCTION("""COMPUTED_VALUE"""),68.0)</f>
        <v>68</v>
      </c>
      <c r="AF595" s="320">
        <f>IFERROR(__xludf.DUMMYFUNCTION("""COMPUTED_VALUE"""),112.0)</f>
        <v>112</v>
      </c>
      <c r="AG595" s="320">
        <f>IFERROR(__xludf.DUMMYFUNCTION("""COMPUTED_VALUE"""),175.0)</f>
        <v>175</v>
      </c>
      <c r="AH595" s="320">
        <f>IFERROR(__xludf.DUMMYFUNCTION("""COMPUTED_VALUE"""),43.05)</f>
        <v>43.05</v>
      </c>
      <c r="AI595" s="320">
        <f>IFERROR(__xludf.DUMMYFUNCTION("""COMPUTED_VALUE"""),10.05)</f>
        <v>10.05</v>
      </c>
      <c r="AJ595" s="320">
        <f>IFERROR(__xludf.DUMMYFUNCTION("""COMPUTED_VALUE"""),1.51)</f>
        <v>1.51</v>
      </c>
      <c r="AK595" s="320">
        <f>IFERROR(__xludf.DUMMYFUNCTION("""COMPUTED_VALUE"""),0.0905)</f>
        <v>0.0905</v>
      </c>
      <c r="AL595" s="320">
        <f>IFERROR(__xludf.DUMMYFUNCTION("""COMPUTED_VALUE"""),20.85)</f>
        <v>20.85</v>
      </c>
      <c r="AM595" s="320">
        <f>IFERROR(__xludf.DUMMYFUNCTION("""COMPUTED_VALUE"""),165.4)</f>
        <v>165.4</v>
      </c>
      <c r="AN595" s="320">
        <f>IFERROR(__xludf.DUMMYFUNCTION("""COMPUTED_VALUE"""),84.59)</f>
        <v>84.59</v>
      </c>
      <c r="AO595" s="320">
        <f>IFERROR(__xludf.DUMMYFUNCTION("""COMPUTED_VALUE"""),17.64)</f>
        <v>17.64</v>
      </c>
    </row>
    <row r="596" ht="15.0" customHeight="1">
      <c r="A596" s="328">
        <f>IFERROR(__xludf.DUMMYFUNCTION("""COMPUTED_VALUE"""),46149.0)</f>
        <v>46149</v>
      </c>
      <c r="B596" s="319" t="str">
        <f>IFERROR(__xludf.DUMMYFUNCTION("""COMPUTED_VALUE"""),"A. 0")</f>
        <v>A. 0</v>
      </c>
      <c r="C596" s="320">
        <f>IFERROR(__xludf.DUMMYFUNCTION("""COMPUTED_VALUE"""),19790.0)</f>
        <v>19790</v>
      </c>
      <c r="D596" s="320">
        <f>IFERROR(__xludf.DUMMYFUNCTION("""COMPUTED_VALUE"""),19.7)</f>
        <v>19.7</v>
      </c>
      <c r="E596" s="320">
        <f>IFERROR(__xludf.DUMMYFUNCTION("""COMPUTED_VALUE"""),0.0)</f>
        <v>0</v>
      </c>
      <c r="F596" s="320">
        <f>IFERROR(__xludf.DUMMYFUNCTION("""COMPUTED_VALUE"""),0.0)</f>
        <v>0</v>
      </c>
      <c r="G596" s="320">
        <f>IFERROR(__xludf.DUMMYFUNCTION("""COMPUTED_VALUE"""),0.0)</f>
        <v>0</v>
      </c>
      <c r="H596" s="106"/>
      <c r="I596" s="320">
        <f>IFERROR(__xludf.DUMMYFUNCTION("""COMPUTED_VALUE"""),6.05)</f>
        <v>6.05</v>
      </c>
      <c r="J596" s="320">
        <f>IFERROR(__xludf.DUMMYFUNCTION("""COMPUTED_VALUE"""),2.48)</f>
        <v>2.48</v>
      </c>
      <c r="K596" s="320">
        <f>IFERROR(__xludf.DUMMYFUNCTION("""COMPUTED_VALUE"""),0.06)</f>
        <v>0.06</v>
      </c>
      <c r="L596" s="320">
        <f>IFERROR(__xludf.DUMMYFUNCTION("""COMPUTED_VALUE"""),0.0226)</f>
        <v>0.0226</v>
      </c>
      <c r="M596" s="320">
        <f>IFERROR(__xludf.DUMMYFUNCTION("""COMPUTED_VALUE"""),0.9831)</f>
        <v>0.9831</v>
      </c>
      <c r="N596" s="320">
        <f>IFERROR(__xludf.DUMMYFUNCTION("""COMPUTED_VALUE"""),0.8036)</f>
        <v>0.8036</v>
      </c>
      <c r="O596" s="320">
        <f>IFERROR(__xludf.DUMMYFUNCTION("""COMPUTED_VALUE"""),44.1548)</f>
        <v>44.1548</v>
      </c>
      <c r="P596" s="320">
        <f>IFERROR(__xludf.DUMMYFUNCTION("""COMPUTED_VALUE"""),23.53)</f>
        <v>23.53</v>
      </c>
      <c r="Q596" s="320">
        <f>IFERROR(__xludf.DUMMYFUNCTION("""COMPUTED_VALUE"""),23.41)</f>
        <v>23.41</v>
      </c>
      <c r="R596" s="320">
        <f>IFERROR(__xludf.DUMMYFUNCTION("""COMPUTED_VALUE"""),0.12)</f>
        <v>0.12</v>
      </c>
      <c r="S596" s="320">
        <f>IFERROR(__xludf.DUMMYFUNCTION("""COMPUTED_VALUE"""),0.0)</f>
        <v>0</v>
      </c>
      <c r="T596" s="320">
        <f>IFERROR(__xludf.DUMMYFUNCTION("""COMPUTED_VALUE"""),23.53)</f>
        <v>23.53</v>
      </c>
      <c r="U596" s="320">
        <f>IFERROR(__xludf.DUMMYFUNCTION("""COMPUTED_VALUE"""),2.08)</f>
        <v>2.08</v>
      </c>
      <c r="V596" s="320">
        <f>IFERROR(__xludf.DUMMYFUNCTION("""COMPUTED_VALUE"""),0.8399)</f>
        <v>0.8399</v>
      </c>
      <c r="W596" s="320">
        <f>IFERROR(__xludf.DUMMYFUNCTION("""COMPUTED_VALUE"""),0.0)</f>
        <v>0</v>
      </c>
      <c r="X596" s="320">
        <f>IFERROR(__xludf.DUMMYFUNCTION("""COMPUTED_VALUE"""),345.0)</f>
        <v>345</v>
      </c>
      <c r="Y596" s="320">
        <f>IFERROR(__xludf.DUMMYFUNCTION("""COMPUTED_VALUE"""),4096.0)</f>
        <v>4096</v>
      </c>
      <c r="Z596" s="320">
        <f>IFERROR(__xludf.DUMMYFUNCTION("""COMPUTED_VALUE"""),15566.0)</f>
        <v>15566</v>
      </c>
      <c r="AA596" s="320">
        <f>IFERROR(__xludf.DUMMYFUNCTION("""COMPUTED_VALUE"""),49.1314)</f>
        <v>49.1314</v>
      </c>
      <c r="AB596" s="320">
        <f>IFERROR(__xludf.DUMMYFUNCTION("""COMPUTED_VALUE"""),0.5451)</f>
        <v>0.5451</v>
      </c>
      <c r="AC596" s="106"/>
      <c r="AD596" s="106"/>
      <c r="AE596" s="106"/>
      <c r="AF596" s="106"/>
      <c r="AG596" s="106"/>
      <c r="AH596" s="320">
        <f>IFERROR(__xludf.DUMMYFUNCTION("""COMPUTED_VALUE"""),0.0)</f>
        <v>0</v>
      </c>
      <c r="AI596" s="320">
        <f>IFERROR(__xludf.DUMMYFUNCTION("""COMPUTED_VALUE"""),0.0)</f>
        <v>0</v>
      </c>
      <c r="AJ596" s="320">
        <f>IFERROR(__xludf.DUMMYFUNCTION("""COMPUTED_VALUE"""),0.0)</f>
        <v>0</v>
      </c>
      <c r="AK596" s="320">
        <f>IFERROR(__xludf.DUMMYFUNCTION("""COMPUTED_VALUE"""),0.2776)</f>
        <v>0.2776</v>
      </c>
      <c r="AL596" s="320">
        <f>IFERROR(__xludf.DUMMYFUNCTION("""COMPUTED_VALUE"""),16.94)</f>
        <v>16.94</v>
      </c>
      <c r="AM596" s="320">
        <f>IFERROR(__xludf.DUMMYFUNCTION("""COMPUTED_VALUE"""),6.47)</f>
        <v>6.47</v>
      </c>
      <c r="AN596" s="331"/>
      <c r="AO596" s="331"/>
    </row>
    <row r="597" ht="15.0" customHeight="1">
      <c r="A597" s="328">
        <f>IFERROR(__xludf.DUMMYFUNCTION("""COMPUTED_VALUE"""),46149.0)</f>
        <v>46149</v>
      </c>
      <c r="B597" s="319" t="str">
        <f>IFERROR(__xludf.DUMMYFUNCTION("""COMPUTED_VALUE"""),"B. 1-9")</f>
        <v>B. 1-9</v>
      </c>
      <c r="C597" s="320">
        <f>IFERROR(__xludf.DUMMYFUNCTION("""COMPUTED_VALUE"""),36076.0)</f>
        <v>36076</v>
      </c>
      <c r="D597" s="320">
        <f>IFERROR(__xludf.DUMMYFUNCTION("""COMPUTED_VALUE"""),35.92)</f>
        <v>35.92</v>
      </c>
      <c r="E597" s="320">
        <f>IFERROR(__xludf.DUMMYFUNCTION("""COMPUTED_VALUE"""),0.0)</f>
        <v>0</v>
      </c>
      <c r="F597" s="320">
        <f>IFERROR(__xludf.DUMMYFUNCTION("""COMPUTED_VALUE"""),0.0)</f>
        <v>0</v>
      </c>
      <c r="G597" s="320">
        <f>IFERROR(__xludf.DUMMYFUNCTION("""COMPUTED_VALUE"""),0.0)</f>
        <v>0</v>
      </c>
      <c r="H597" s="106"/>
      <c r="I597" s="320">
        <f>IFERROR(__xludf.DUMMYFUNCTION("""COMPUTED_VALUE"""),27.72)</f>
        <v>27.72</v>
      </c>
      <c r="J597" s="320">
        <f>IFERROR(__xludf.DUMMYFUNCTION("""COMPUTED_VALUE"""),12.34)</f>
        <v>12.34</v>
      </c>
      <c r="K597" s="320">
        <f>IFERROR(__xludf.DUMMYFUNCTION("""COMPUTED_VALUE"""),5.29)</f>
        <v>5.29</v>
      </c>
      <c r="L597" s="320">
        <f>IFERROR(__xludf.DUMMYFUNCTION("""COMPUTED_VALUE"""),0.429)</f>
        <v>0.429</v>
      </c>
      <c r="M597" s="320">
        <f>IFERROR(__xludf.DUMMYFUNCTION("""COMPUTED_VALUE"""),0.7495)</f>
        <v>0.7495</v>
      </c>
      <c r="N597" s="320">
        <f>IFERROR(__xludf.DUMMYFUNCTION("""COMPUTED_VALUE"""),0.5623)</f>
        <v>0.5623</v>
      </c>
      <c r="O597" s="320">
        <f>IFERROR(__xludf.DUMMYFUNCTION("""COMPUTED_VALUE"""),2.3308)</f>
        <v>2.3308</v>
      </c>
      <c r="P597" s="320">
        <f>IFERROR(__xludf.DUMMYFUNCTION("""COMPUTED_VALUE"""),45.26)</f>
        <v>45.26</v>
      </c>
      <c r="Q597" s="320">
        <f>IFERROR(__xludf.DUMMYFUNCTION("""COMPUTED_VALUE"""),36.13)</f>
        <v>36.13</v>
      </c>
      <c r="R597" s="320">
        <f>IFERROR(__xludf.DUMMYFUNCTION("""COMPUTED_VALUE"""),9.12)</f>
        <v>9.12</v>
      </c>
      <c r="S597" s="320">
        <f>IFERROR(__xludf.DUMMYFUNCTION("""COMPUTED_VALUE"""),0.0)</f>
        <v>0</v>
      </c>
      <c r="T597" s="320">
        <f>IFERROR(__xludf.DUMMYFUNCTION("""COMPUTED_VALUE"""),45.26)</f>
        <v>45.26</v>
      </c>
      <c r="U597" s="320">
        <f>IFERROR(__xludf.DUMMYFUNCTION("""COMPUTED_VALUE"""),47.57)</f>
        <v>47.57</v>
      </c>
      <c r="V597" s="320">
        <f>IFERROR(__xludf.DUMMYFUNCTION("""COMPUTED_VALUE"""),3.8559)</f>
        <v>3.8559</v>
      </c>
      <c r="W597" s="320">
        <f>IFERROR(__xludf.DUMMYFUNCTION("""COMPUTED_VALUE"""),0.0)</f>
        <v>0</v>
      </c>
      <c r="X597" s="320">
        <f>IFERROR(__xludf.DUMMYFUNCTION("""COMPUTED_VALUE"""),140.0)</f>
        <v>140</v>
      </c>
      <c r="Y597" s="320">
        <f>IFERROR(__xludf.DUMMYFUNCTION("""COMPUTED_VALUE"""),916.0)</f>
        <v>916</v>
      </c>
      <c r="Z597" s="320">
        <f>IFERROR(__xludf.DUMMYFUNCTION("""COMPUTED_VALUE"""),6216.0)</f>
        <v>6216</v>
      </c>
      <c r="AA597" s="320">
        <f>IFERROR(__xludf.DUMMYFUNCTION("""COMPUTED_VALUE"""),48.925)</f>
        <v>48.925</v>
      </c>
      <c r="AB597" s="320">
        <f>IFERROR(__xludf.DUMMYFUNCTION("""COMPUTED_VALUE"""),0.5409)</f>
        <v>0.5409</v>
      </c>
      <c r="AC597" s="320">
        <f>IFERROR(__xludf.DUMMYFUNCTION("""COMPUTED_VALUE"""),3.85)</f>
        <v>3.85</v>
      </c>
      <c r="AD597" s="320">
        <f>IFERROR(__xludf.DUMMYFUNCTION("""COMPUTED_VALUE"""),1.0)</f>
        <v>1</v>
      </c>
      <c r="AE597" s="320">
        <f>IFERROR(__xludf.DUMMYFUNCTION("""COMPUTED_VALUE"""),2.0)</f>
        <v>2</v>
      </c>
      <c r="AF597" s="320">
        <f>IFERROR(__xludf.DUMMYFUNCTION("""COMPUTED_VALUE"""),5.0)</f>
        <v>5</v>
      </c>
      <c r="AG597" s="320">
        <f>IFERROR(__xludf.DUMMYFUNCTION("""COMPUTED_VALUE"""),9.0)</f>
        <v>9</v>
      </c>
      <c r="AH597" s="320">
        <f>IFERROR(__xludf.DUMMYFUNCTION("""COMPUTED_VALUE"""),71.29)</f>
        <v>71.29</v>
      </c>
      <c r="AI597" s="320">
        <f>IFERROR(__xludf.DUMMYFUNCTION("""COMPUTED_VALUE"""),29.28)</f>
        <v>29.28</v>
      </c>
      <c r="AJ597" s="320">
        <f>IFERROR(__xludf.DUMMYFUNCTION("""COMPUTED_VALUE"""),8.06)</f>
        <v>8.06</v>
      </c>
      <c r="AK597" s="320">
        <f>IFERROR(__xludf.DUMMYFUNCTION("""COMPUTED_VALUE"""),0.2495)</f>
        <v>0.2495</v>
      </c>
      <c r="AL597" s="320">
        <f>IFERROR(__xludf.DUMMYFUNCTION("""COMPUTED_VALUE"""),18.86)</f>
        <v>18.86</v>
      </c>
      <c r="AM597" s="320">
        <f>IFERROR(__xludf.DUMMYFUNCTION("""COMPUTED_VALUE"""),17.27)</f>
        <v>17.27</v>
      </c>
      <c r="AN597" s="320">
        <f>IFERROR(__xludf.DUMMYFUNCTION("""COMPUTED_VALUE"""),65.99)</f>
        <v>65.99</v>
      </c>
      <c r="AO597" s="320">
        <f>IFERROR(__xludf.DUMMYFUNCTION("""COMPUTED_VALUE"""),12.45)</f>
        <v>12.45</v>
      </c>
    </row>
    <row r="598" ht="15.0" customHeight="1">
      <c r="A598" s="328">
        <f>IFERROR(__xludf.DUMMYFUNCTION("""COMPUTED_VALUE"""),46149.0)</f>
        <v>46149</v>
      </c>
      <c r="B598" s="319" t="str">
        <f>IFERROR(__xludf.DUMMYFUNCTION("""COMPUTED_VALUE"""),"C. 10-19")</f>
        <v>C. 10-19</v>
      </c>
      <c r="C598" s="320">
        <f>IFERROR(__xludf.DUMMYFUNCTION("""COMPUTED_VALUE"""),24728.0)</f>
        <v>24728</v>
      </c>
      <c r="D598" s="320">
        <f>IFERROR(__xludf.DUMMYFUNCTION("""COMPUTED_VALUE"""),24.62)</f>
        <v>24.62</v>
      </c>
      <c r="E598" s="320">
        <f>IFERROR(__xludf.DUMMYFUNCTION("""COMPUTED_VALUE"""),0.0)</f>
        <v>0</v>
      </c>
      <c r="F598" s="320">
        <f>IFERROR(__xludf.DUMMYFUNCTION("""COMPUTED_VALUE"""),0.0)</f>
        <v>0</v>
      </c>
      <c r="G598" s="320">
        <f>IFERROR(__xludf.DUMMYFUNCTION("""COMPUTED_VALUE"""),0.0)</f>
        <v>0</v>
      </c>
      <c r="H598" s="106"/>
      <c r="I598" s="320">
        <f>IFERROR(__xludf.DUMMYFUNCTION("""COMPUTED_VALUE"""),51.09)</f>
        <v>51.09</v>
      </c>
      <c r="J598" s="320">
        <f>IFERROR(__xludf.DUMMYFUNCTION("""COMPUTED_VALUE"""),23.89)</f>
        <v>23.89</v>
      </c>
      <c r="K598" s="320">
        <f>IFERROR(__xludf.DUMMYFUNCTION("""COMPUTED_VALUE"""),13.31)</f>
        <v>13.31</v>
      </c>
      <c r="L598" s="320">
        <f>IFERROR(__xludf.DUMMYFUNCTION("""COMPUTED_VALUE"""),0.5573)</f>
        <v>0.5573</v>
      </c>
      <c r="M598" s="320">
        <f>IFERROR(__xludf.DUMMYFUNCTION("""COMPUTED_VALUE"""),0.6419)</f>
        <v>0.6419</v>
      </c>
      <c r="N598" s="320">
        <f>IFERROR(__xludf.DUMMYFUNCTION("""COMPUTED_VALUE"""),0.4548)</f>
        <v>0.4548</v>
      </c>
      <c r="O598" s="320">
        <f>IFERROR(__xludf.DUMMYFUNCTION("""COMPUTED_VALUE"""),1.7945)</f>
        <v>1.7945</v>
      </c>
      <c r="P598" s="320">
        <f>IFERROR(__xludf.DUMMYFUNCTION("""COMPUTED_VALUE"""),92.11)</f>
        <v>92.11</v>
      </c>
      <c r="Q598" s="320">
        <f>IFERROR(__xludf.DUMMYFUNCTION("""COMPUTED_VALUE"""),69.72)</f>
        <v>69.72</v>
      </c>
      <c r="R598" s="320">
        <f>IFERROR(__xludf.DUMMYFUNCTION("""COMPUTED_VALUE"""),22.39)</f>
        <v>22.39</v>
      </c>
      <c r="S598" s="320">
        <f>IFERROR(__xludf.DUMMYFUNCTION("""COMPUTED_VALUE"""),0.0)</f>
        <v>0</v>
      </c>
      <c r="T598" s="320">
        <f>IFERROR(__xludf.DUMMYFUNCTION("""COMPUTED_VALUE"""),92.11)</f>
        <v>92.11</v>
      </c>
      <c r="U598" s="320">
        <f>IFERROR(__xludf.DUMMYFUNCTION("""COMPUTED_VALUE"""),91.32)</f>
        <v>91.32</v>
      </c>
      <c r="V598" s="320">
        <f>IFERROR(__xludf.DUMMYFUNCTION("""COMPUTED_VALUE"""),3.8224)</f>
        <v>3.8224</v>
      </c>
      <c r="W598" s="320">
        <f>IFERROR(__xludf.DUMMYFUNCTION("""COMPUTED_VALUE"""),0.0)</f>
        <v>0</v>
      </c>
      <c r="X598" s="320">
        <f>IFERROR(__xludf.DUMMYFUNCTION("""COMPUTED_VALUE"""),132.0)</f>
        <v>132</v>
      </c>
      <c r="Y598" s="320">
        <f>IFERROR(__xludf.DUMMYFUNCTION("""COMPUTED_VALUE"""),717.0)</f>
        <v>717</v>
      </c>
      <c r="Z598" s="320">
        <f>IFERROR(__xludf.DUMMYFUNCTION("""COMPUTED_VALUE"""),5609.0)</f>
        <v>5609</v>
      </c>
      <c r="AA598" s="320">
        <f>IFERROR(__xludf.DUMMYFUNCTION("""COMPUTED_VALUE"""),52.2825)</f>
        <v>52.2825</v>
      </c>
      <c r="AB598" s="320">
        <f>IFERROR(__xludf.DUMMYFUNCTION("""COMPUTED_VALUE"""),0.6232)</f>
        <v>0.6232</v>
      </c>
      <c r="AC598" s="320">
        <f>IFERROR(__xludf.DUMMYFUNCTION("""COMPUTED_VALUE"""),8.86)</f>
        <v>8.86</v>
      </c>
      <c r="AD598" s="320">
        <f>IFERROR(__xludf.DUMMYFUNCTION("""COMPUTED_VALUE"""),3.0)</f>
        <v>3</v>
      </c>
      <c r="AE598" s="320">
        <f>IFERROR(__xludf.DUMMYFUNCTION("""COMPUTED_VALUE"""),7.0)</f>
        <v>7</v>
      </c>
      <c r="AF598" s="320">
        <f>IFERROR(__xludf.DUMMYFUNCTION("""COMPUTED_VALUE"""),12.0)</f>
        <v>12</v>
      </c>
      <c r="AG598" s="320">
        <f>IFERROR(__xludf.DUMMYFUNCTION("""COMPUTED_VALUE"""),19.0)</f>
        <v>19</v>
      </c>
      <c r="AH598" s="320">
        <f>IFERROR(__xludf.DUMMYFUNCTION("""COMPUTED_VALUE"""),56.24)</f>
        <v>56.24</v>
      </c>
      <c r="AI598" s="320">
        <f>IFERROR(__xludf.DUMMYFUNCTION("""COMPUTED_VALUE"""),23.4)</f>
        <v>23.4</v>
      </c>
      <c r="AJ598" s="320">
        <f>IFERROR(__xludf.DUMMYFUNCTION("""COMPUTED_VALUE"""),4.24)</f>
        <v>4.24</v>
      </c>
      <c r="AK598" s="320">
        <f>IFERROR(__xludf.DUMMYFUNCTION("""COMPUTED_VALUE"""),0.2025)</f>
        <v>0.2025</v>
      </c>
      <c r="AL598" s="320">
        <f>IFERROR(__xludf.DUMMYFUNCTION("""COMPUTED_VALUE"""),20.09)</f>
        <v>20.09</v>
      </c>
      <c r="AM598" s="320">
        <f>IFERROR(__xludf.DUMMYFUNCTION("""COMPUTED_VALUE"""),49.63)</f>
        <v>49.63</v>
      </c>
      <c r="AN598" s="320">
        <f>IFERROR(__xludf.DUMMYFUNCTION("""COMPUTED_VALUE"""),74.33)</f>
        <v>74.33</v>
      </c>
      <c r="AO598" s="320">
        <f>IFERROR(__xludf.DUMMYFUNCTION("""COMPUTED_VALUE"""),14.93)</f>
        <v>14.93</v>
      </c>
    </row>
    <row r="599" ht="15.0" customHeight="1">
      <c r="A599" s="328">
        <f>IFERROR(__xludf.DUMMYFUNCTION("""COMPUTED_VALUE"""),46149.0)</f>
        <v>46149</v>
      </c>
      <c r="B599" s="319" t="str">
        <f>IFERROR(__xludf.DUMMYFUNCTION("""COMPUTED_VALUE"""),"D. 20-39")</f>
        <v>D. 20-39</v>
      </c>
      <c r="C599" s="320">
        <f>IFERROR(__xludf.DUMMYFUNCTION("""COMPUTED_VALUE"""),13516.0)</f>
        <v>13516</v>
      </c>
      <c r="D599" s="320">
        <f>IFERROR(__xludf.DUMMYFUNCTION("""COMPUTED_VALUE"""),13.46)</f>
        <v>13.46</v>
      </c>
      <c r="E599" s="320">
        <f>IFERROR(__xludf.DUMMYFUNCTION("""COMPUTED_VALUE"""),0.0)</f>
        <v>0</v>
      </c>
      <c r="F599" s="320">
        <f>IFERROR(__xludf.DUMMYFUNCTION("""COMPUTED_VALUE"""),0.0)</f>
        <v>0</v>
      </c>
      <c r="G599" s="320">
        <f>IFERROR(__xludf.DUMMYFUNCTION("""COMPUTED_VALUE"""),0.0)</f>
        <v>0</v>
      </c>
      <c r="H599" s="106"/>
      <c r="I599" s="320">
        <f>IFERROR(__xludf.DUMMYFUNCTION("""COMPUTED_VALUE"""),75.97)</f>
        <v>75.97</v>
      </c>
      <c r="J599" s="320">
        <f>IFERROR(__xludf.DUMMYFUNCTION("""COMPUTED_VALUE"""),37.91)</f>
        <v>37.91</v>
      </c>
      <c r="K599" s="320">
        <f>IFERROR(__xludf.DUMMYFUNCTION("""COMPUTED_VALUE"""),25.81)</f>
        <v>25.81</v>
      </c>
      <c r="L599" s="320">
        <f>IFERROR(__xludf.DUMMYFUNCTION("""COMPUTED_VALUE"""),0.6807)</f>
        <v>0.6807</v>
      </c>
      <c r="M599" s="320">
        <f>IFERROR(__xludf.DUMMYFUNCTION("""COMPUTED_VALUE"""),0.5151)</f>
        <v>0.5151</v>
      </c>
      <c r="N599" s="320">
        <f>IFERROR(__xludf.DUMMYFUNCTION("""COMPUTED_VALUE"""),0.3617)</f>
        <v>0.3617</v>
      </c>
      <c r="O599" s="320">
        <f>IFERROR(__xludf.DUMMYFUNCTION("""COMPUTED_VALUE"""),1.4691)</f>
        <v>1.4691</v>
      </c>
      <c r="P599" s="320">
        <f>IFERROR(__xludf.DUMMYFUNCTION("""COMPUTED_VALUE"""),180.03)</f>
        <v>180.03</v>
      </c>
      <c r="Q599" s="320">
        <f>IFERROR(__xludf.DUMMYFUNCTION("""COMPUTED_VALUE"""),135.26)</f>
        <v>135.26</v>
      </c>
      <c r="R599" s="320">
        <f>IFERROR(__xludf.DUMMYFUNCTION("""COMPUTED_VALUE"""),44.77)</f>
        <v>44.77</v>
      </c>
      <c r="S599" s="320">
        <f>IFERROR(__xludf.DUMMYFUNCTION("""COMPUTED_VALUE"""),0.0)</f>
        <v>0</v>
      </c>
      <c r="T599" s="320">
        <f>IFERROR(__xludf.DUMMYFUNCTION("""COMPUTED_VALUE"""),180.03)</f>
        <v>180.03</v>
      </c>
      <c r="U599" s="320">
        <f>IFERROR(__xludf.DUMMYFUNCTION("""COMPUTED_VALUE"""),163.35)</f>
        <v>163.35</v>
      </c>
      <c r="V599" s="320">
        <f>IFERROR(__xludf.DUMMYFUNCTION("""COMPUTED_VALUE"""),4.3083)</f>
        <v>4.3083</v>
      </c>
      <c r="W599" s="320">
        <f>IFERROR(__xludf.DUMMYFUNCTION("""COMPUTED_VALUE"""),0.0)</f>
        <v>0</v>
      </c>
      <c r="X599" s="320">
        <f>IFERROR(__xludf.DUMMYFUNCTION("""COMPUTED_VALUE"""),168.0)</f>
        <v>168</v>
      </c>
      <c r="Y599" s="320">
        <f>IFERROR(__xludf.DUMMYFUNCTION("""COMPUTED_VALUE"""),1046.0)</f>
        <v>1046</v>
      </c>
      <c r="Z599" s="320">
        <f>IFERROR(__xludf.DUMMYFUNCTION("""COMPUTED_VALUE"""),6428.0)</f>
        <v>6428</v>
      </c>
      <c r="AA599" s="320">
        <f>IFERROR(__xludf.DUMMYFUNCTION("""COMPUTED_VALUE"""),55.7663)</f>
        <v>55.7663</v>
      </c>
      <c r="AB599" s="320">
        <f>IFERROR(__xludf.DUMMYFUNCTION("""COMPUTED_VALUE"""),0.7359)</f>
        <v>0.7359</v>
      </c>
      <c r="AC599" s="320">
        <f>IFERROR(__xludf.DUMMYFUNCTION("""COMPUTED_VALUE"""),17.83)</f>
        <v>17.83</v>
      </c>
      <c r="AD599" s="320">
        <f>IFERROR(__xludf.DUMMYFUNCTION("""COMPUTED_VALUE"""),7.0)</f>
        <v>7</v>
      </c>
      <c r="AE599" s="320">
        <f>IFERROR(__xludf.DUMMYFUNCTION("""COMPUTED_VALUE"""),14.0)</f>
        <v>14</v>
      </c>
      <c r="AF599" s="320">
        <f>IFERROR(__xludf.DUMMYFUNCTION("""COMPUTED_VALUE"""),24.0)</f>
        <v>24</v>
      </c>
      <c r="AG599" s="320">
        <f>IFERROR(__xludf.DUMMYFUNCTION("""COMPUTED_VALUE"""),38.0)</f>
        <v>38</v>
      </c>
      <c r="AH599" s="320">
        <f>IFERROR(__xludf.DUMMYFUNCTION("""COMPUTED_VALUE"""),59.53)</f>
        <v>59.53</v>
      </c>
      <c r="AI599" s="320">
        <f>IFERROR(__xludf.DUMMYFUNCTION("""COMPUTED_VALUE"""),23.64)</f>
        <v>23.64</v>
      </c>
      <c r="AJ599" s="320">
        <f>IFERROR(__xludf.DUMMYFUNCTION("""COMPUTED_VALUE"""),7.66)</f>
        <v>7.66</v>
      </c>
      <c r="AK599" s="320">
        <f>IFERROR(__xludf.DUMMYFUNCTION("""COMPUTED_VALUE"""),0.187)</f>
        <v>0.187</v>
      </c>
      <c r="AL599" s="320">
        <f>IFERROR(__xludf.DUMMYFUNCTION("""COMPUTED_VALUE"""),20.14)</f>
        <v>20.14</v>
      </c>
      <c r="AM599" s="320">
        <f>IFERROR(__xludf.DUMMYFUNCTION("""COMPUTED_VALUE"""),115.12)</f>
        <v>115.12</v>
      </c>
      <c r="AN599" s="320">
        <f>IFERROR(__xludf.DUMMYFUNCTION("""COMPUTED_VALUE"""),77.99)</f>
        <v>77.99</v>
      </c>
      <c r="AO599" s="320">
        <f>IFERROR(__xludf.DUMMYFUNCTION("""COMPUTED_VALUE"""),15.71)</f>
        <v>15.71</v>
      </c>
    </row>
    <row r="600" ht="15.0" customHeight="1">
      <c r="A600" s="328">
        <f>IFERROR(__xludf.DUMMYFUNCTION("""COMPUTED_VALUE"""),46149.0)</f>
        <v>46149</v>
      </c>
      <c r="B600" s="319" t="str">
        <f>IFERROR(__xludf.DUMMYFUNCTION("""COMPUTED_VALUE"""),"E. 40-99")</f>
        <v>E. 40-99</v>
      </c>
      <c r="C600" s="320">
        <f>IFERROR(__xludf.DUMMYFUNCTION("""COMPUTED_VALUE"""),5738.0)</f>
        <v>5738</v>
      </c>
      <c r="D600" s="320">
        <f>IFERROR(__xludf.DUMMYFUNCTION("""COMPUTED_VALUE"""),5.71)</f>
        <v>5.71</v>
      </c>
      <c r="E600" s="320">
        <f>IFERROR(__xludf.DUMMYFUNCTION("""COMPUTED_VALUE"""),0.0)</f>
        <v>0</v>
      </c>
      <c r="F600" s="320">
        <f>IFERROR(__xludf.DUMMYFUNCTION("""COMPUTED_VALUE"""),0.0)</f>
        <v>0</v>
      </c>
      <c r="G600" s="320">
        <f>IFERROR(__xludf.DUMMYFUNCTION("""COMPUTED_VALUE"""),0.0)</f>
        <v>0</v>
      </c>
      <c r="H600" s="106"/>
      <c r="I600" s="320">
        <f>IFERROR(__xludf.DUMMYFUNCTION("""COMPUTED_VALUE"""),126.29)</f>
        <v>126.29</v>
      </c>
      <c r="J600" s="320">
        <f>IFERROR(__xludf.DUMMYFUNCTION("""COMPUTED_VALUE"""),68.19)</f>
        <v>68.19</v>
      </c>
      <c r="K600" s="320">
        <f>IFERROR(__xludf.DUMMYFUNCTION("""COMPUTED_VALUE"""),55.37)</f>
        <v>55.37</v>
      </c>
      <c r="L600" s="320">
        <f>IFERROR(__xludf.DUMMYFUNCTION("""COMPUTED_VALUE"""),0.812)</f>
        <v>0.812</v>
      </c>
      <c r="M600" s="320">
        <f>IFERROR(__xludf.DUMMYFUNCTION("""COMPUTED_VALUE"""),0.3706)</f>
        <v>0.3706</v>
      </c>
      <c r="N600" s="320">
        <f>IFERROR(__xludf.DUMMYFUNCTION("""COMPUTED_VALUE"""),0.2703)</f>
        <v>0.2703</v>
      </c>
      <c r="O600" s="320">
        <f>IFERROR(__xludf.DUMMYFUNCTION("""COMPUTED_VALUE"""),1.2315)</f>
        <v>1.2315</v>
      </c>
      <c r="P600" s="320">
        <f>IFERROR(__xludf.DUMMYFUNCTION("""COMPUTED_VALUE"""),397.56)</f>
        <v>397.56</v>
      </c>
      <c r="Q600" s="320">
        <f>IFERROR(__xludf.DUMMYFUNCTION("""COMPUTED_VALUE"""),300.14)</f>
        <v>300.14</v>
      </c>
      <c r="R600" s="320">
        <f>IFERROR(__xludf.DUMMYFUNCTION("""COMPUTED_VALUE"""),97.41)</f>
        <v>97.41</v>
      </c>
      <c r="S600" s="320">
        <f>IFERROR(__xludf.DUMMYFUNCTION("""COMPUTED_VALUE"""),0.0)</f>
        <v>0</v>
      </c>
      <c r="T600" s="320">
        <f>IFERROR(__xludf.DUMMYFUNCTION("""COMPUTED_VALUE"""),397.56)</f>
        <v>397.56</v>
      </c>
      <c r="U600" s="320">
        <f>IFERROR(__xludf.DUMMYFUNCTION("""COMPUTED_VALUE"""),317.16)</f>
        <v>317.16</v>
      </c>
      <c r="V600" s="320">
        <f>IFERROR(__xludf.DUMMYFUNCTION("""COMPUTED_VALUE"""),4.651)</f>
        <v>4.651</v>
      </c>
      <c r="W600" s="320">
        <f>IFERROR(__xludf.DUMMYFUNCTION("""COMPUTED_VALUE"""),0.0)</f>
        <v>0</v>
      </c>
      <c r="X600" s="320">
        <f>IFERROR(__xludf.DUMMYFUNCTION("""COMPUTED_VALUE"""),367.0)</f>
        <v>367</v>
      </c>
      <c r="Y600" s="320">
        <f>IFERROR(__xludf.DUMMYFUNCTION("""COMPUTED_VALUE"""),2350.0)</f>
        <v>2350</v>
      </c>
      <c r="Z600" s="320">
        <f>IFERROR(__xludf.DUMMYFUNCTION("""COMPUTED_VALUE"""),9501.0)</f>
        <v>9501</v>
      </c>
      <c r="AA600" s="320">
        <f>IFERROR(__xludf.DUMMYFUNCTION("""COMPUTED_VALUE"""),59.5992)</f>
        <v>59.5992</v>
      </c>
      <c r="AB600" s="320">
        <f>IFERROR(__xludf.DUMMYFUNCTION("""COMPUTED_VALUE"""),0.8265)</f>
        <v>0.8265</v>
      </c>
      <c r="AC600" s="320">
        <f>IFERROR(__xludf.DUMMYFUNCTION("""COMPUTED_VALUE"""),39.54)</f>
        <v>39.54</v>
      </c>
      <c r="AD600" s="320">
        <f>IFERROR(__xludf.DUMMYFUNCTION("""COMPUTED_VALUE"""),15.0)</f>
        <v>15</v>
      </c>
      <c r="AE600" s="320">
        <f>IFERROR(__xludf.DUMMYFUNCTION("""COMPUTED_VALUE"""),32.0)</f>
        <v>32</v>
      </c>
      <c r="AF600" s="320">
        <f>IFERROR(__xludf.DUMMYFUNCTION("""COMPUTED_VALUE"""),54.0)</f>
        <v>54</v>
      </c>
      <c r="AG600" s="320">
        <f>IFERROR(__xludf.DUMMYFUNCTION("""COMPUTED_VALUE"""),82.0)</f>
        <v>82</v>
      </c>
      <c r="AH600" s="320">
        <f>IFERROR(__xludf.DUMMYFUNCTION("""COMPUTED_VALUE"""),55.98)</f>
        <v>55.98</v>
      </c>
      <c r="AI600" s="320">
        <f>IFERROR(__xludf.DUMMYFUNCTION("""COMPUTED_VALUE"""),20.69)</f>
        <v>20.69</v>
      </c>
      <c r="AJ600" s="320">
        <f>IFERROR(__xludf.DUMMYFUNCTION("""COMPUTED_VALUE"""),5.44)</f>
        <v>5.44</v>
      </c>
      <c r="AK600" s="320">
        <f>IFERROR(__xludf.DUMMYFUNCTION("""COMPUTED_VALUE"""),0.1342)</f>
        <v>0.1342</v>
      </c>
      <c r="AL600" s="320">
        <f>IFERROR(__xludf.DUMMYFUNCTION("""COMPUTED_VALUE"""),21.35)</f>
        <v>21.35</v>
      </c>
      <c r="AM600" s="320">
        <f>IFERROR(__xludf.DUMMYFUNCTION("""COMPUTED_VALUE"""),278.79)</f>
        <v>278.79</v>
      </c>
      <c r="AN600" s="320">
        <f>IFERROR(__xludf.DUMMYFUNCTION("""COMPUTED_VALUE"""),82.87)</f>
        <v>82.87</v>
      </c>
      <c r="AO600" s="320">
        <f>IFERROR(__xludf.DUMMYFUNCTION("""COMPUTED_VALUE"""),17.69)</f>
        <v>17.69</v>
      </c>
    </row>
    <row r="601" ht="15.0" customHeight="1">
      <c r="A601" s="328">
        <f>IFERROR(__xludf.DUMMYFUNCTION("""COMPUTED_VALUE"""),46149.0)</f>
        <v>46149</v>
      </c>
      <c r="B601" s="319" t="str">
        <f>IFERROR(__xludf.DUMMYFUNCTION("""COMPUTED_VALUE"""),"F. 100+")</f>
        <v>F. 100+</v>
      </c>
      <c r="C601" s="320">
        <f>IFERROR(__xludf.DUMMYFUNCTION("""COMPUTED_VALUE"""),595.0)</f>
        <v>595</v>
      </c>
      <c r="D601" s="320">
        <f>IFERROR(__xludf.DUMMYFUNCTION("""COMPUTED_VALUE"""),0.59)</f>
        <v>0.59</v>
      </c>
      <c r="E601" s="320">
        <f>IFERROR(__xludf.DUMMYFUNCTION("""COMPUTED_VALUE"""),0.0)</f>
        <v>0</v>
      </c>
      <c r="F601" s="320">
        <f>IFERROR(__xludf.DUMMYFUNCTION("""COMPUTED_VALUE"""),0.0)</f>
        <v>0</v>
      </c>
      <c r="G601" s="320">
        <f>IFERROR(__xludf.DUMMYFUNCTION("""COMPUTED_VALUE"""),0.0)</f>
        <v>0</v>
      </c>
      <c r="H601" s="106"/>
      <c r="I601" s="320">
        <f>IFERROR(__xludf.DUMMYFUNCTION("""COMPUTED_VALUE"""),253.45)</f>
        <v>253.45</v>
      </c>
      <c r="J601" s="320">
        <f>IFERROR(__xludf.DUMMYFUNCTION("""COMPUTED_VALUE"""),148.18)</f>
        <v>148.18</v>
      </c>
      <c r="K601" s="320">
        <f>IFERROR(__xludf.DUMMYFUNCTION("""COMPUTED_VALUE"""),131.76)</f>
        <v>131.76</v>
      </c>
      <c r="L601" s="320">
        <f>IFERROR(__xludf.DUMMYFUNCTION("""COMPUTED_VALUE"""),0.8892)</f>
        <v>0.8892</v>
      </c>
      <c r="M601" s="320">
        <f>IFERROR(__xludf.DUMMYFUNCTION("""COMPUTED_VALUE"""),0.2633)</f>
        <v>0.2633</v>
      </c>
      <c r="N601" s="320">
        <f>IFERROR(__xludf.DUMMYFUNCTION("""COMPUTED_VALUE"""),0.2024)</f>
        <v>0.2024</v>
      </c>
      <c r="O601" s="320">
        <f>IFERROR(__xludf.DUMMYFUNCTION("""COMPUTED_VALUE"""),1.1246)</f>
        <v>1.1246</v>
      </c>
      <c r="P601" s="320">
        <f>IFERROR(__xludf.DUMMYFUNCTION("""COMPUTED_VALUE"""),804.69)</f>
        <v>804.69</v>
      </c>
      <c r="Q601" s="320">
        <f>IFERROR(__xludf.DUMMYFUNCTION("""COMPUTED_VALUE"""),571.69)</f>
        <v>571.69</v>
      </c>
      <c r="R601" s="320">
        <f>IFERROR(__xludf.DUMMYFUNCTION("""COMPUTED_VALUE"""),233.0)</f>
        <v>233</v>
      </c>
      <c r="S601" s="320">
        <f>IFERROR(__xludf.DUMMYFUNCTION("""COMPUTED_VALUE"""),0.0)</f>
        <v>0</v>
      </c>
      <c r="T601" s="320">
        <f>IFERROR(__xludf.DUMMYFUNCTION("""COMPUTED_VALUE"""),804.69)</f>
        <v>804.69</v>
      </c>
      <c r="U601" s="320">
        <f>IFERROR(__xludf.DUMMYFUNCTION("""COMPUTED_VALUE"""),662.77)</f>
        <v>662.77</v>
      </c>
      <c r="V601" s="320">
        <f>IFERROR(__xludf.DUMMYFUNCTION("""COMPUTED_VALUE"""),4.4727)</f>
        <v>4.4727</v>
      </c>
      <c r="W601" s="320">
        <f>IFERROR(__xludf.DUMMYFUNCTION("""COMPUTED_VALUE"""),0.0)</f>
        <v>0</v>
      </c>
      <c r="X601" s="320">
        <f>IFERROR(__xludf.DUMMYFUNCTION("""COMPUTED_VALUE"""),870.0)</f>
        <v>870</v>
      </c>
      <c r="Y601" s="320">
        <f>IFERROR(__xludf.DUMMYFUNCTION("""COMPUTED_VALUE"""),3969.0)</f>
        <v>3969</v>
      </c>
      <c r="Z601" s="320">
        <f>IFERROR(__xludf.DUMMYFUNCTION("""COMPUTED_VALUE"""),13286.0)</f>
        <v>13286</v>
      </c>
      <c r="AA601" s="320">
        <f>IFERROR(__xludf.DUMMYFUNCTION("""COMPUTED_VALUE"""),62.9259)</f>
        <v>62.9259</v>
      </c>
      <c r="AB601" s="320">
        <f>IFERROR(__xludf.DUMMYFUNCTION("""COMPUTED_VALUE"""),0.8842)</f>
        <v>0.8842</v>
      </c>
      <c r="AC601" s="320">
        <f>IFERROR(__xludf.DUMMYFUNCTION("""COMPUTED_VALUE"""),96.88)</f>
        <v>96.88</v>
      </c>
      <c r="AD601" s="320">
        <f>IFERROR(__xludf.DUMMYFUNCTION("""COMPUTED_VALUE"""),44.0)</f>
        <v>44</v>
      </c>
      <c r="AE601" s="320">
        <f>IFERROR(__xludf.DUMMYFUNCTION("""COMPUTED_VALUE"""),88.0)</f>
        <v>88</v>
      </c>
      <c r="AF601" s="320">
        <f>IFERROR(__xludf.DUMMYFUNCTION("""COMPUTED_VALUE"""),132.0)</f>
        <v>132</v>
      </c>
      <c r="AG601" s="320">
        <f>IFERROR(__xludf.DUMMYFUNCTION("""COMPUTED_VALUE"""),184.0)</f>
        <v>184</v>
      </c>
      <c r="AH601" s="320">
        <f>IFERROR(__xludf.DUMMYFUNCTION("""COMPUTED_VALUE"""),54.29)</f>
        <v>54.29</v>
      </c>
      <c r="AI601" s="320">
        <f>IFERROR(__xludf.DUMMYFUNCTION("""COMPUTED_VALUE"""),11.43)</f>
        <v>11.43</v>
      </c>
      <c r="AJ601" s="320">
        <f>IFERROR(__xludf.DUMMYFUNCTION("""COMPUTED_VALUE"""),1.68)</f>
        <v>1.68</v>
      </c>
      <c r="AK601" s="320">
        <f>IFERROR(__xludf.DUMMYFUNCTION("""COMPUTED_VALUE"""),0.0756)</f>
        <v>0.0756</v>
      </c>
      <c r="AL601" s="320">
        <f>IFERROR(__xludf.DUMMYFUNCTION("""COMPUTED_VALUE"""),24.76)</f>
        <v>24.76</v>
      </c>
      <c r="AM601" s="320">
        <f>IFERROR(__xludf.DUMMYFUNCTION("""COMPUTED_VALUE"""),546.94)</f>
        <v>546.94</v>
      </c>
      <c r="AN601" s="320">
        <f>IFERROR(__xludf.DUMMYFUNCTION("""COMPUTED_VALUE"""),86.63)</f>
        <v>86.63</v>
      </c>
      <c r="AO601" s="320">
        <f>IFERROR(__xludf.DUMMYFUNCTION("""COMPUTED_VALUE"""),21.45)</f>
        <v>21.45</v>
      </c>
    </row>
    <row r="602" ht="15.0" customHeight="1">
      <c r="A602" s="328">
        <f>IFERROR(__xludf.DUMMYFUNCTION("""COMPUTED_VALUE"""),46150.0)</f>
        <v>46150</v>
      </c>
      <c r="B602" s="319" t="str">
        <f>IFERROR(__xludf.DUMMYFUNCTION("""COMPUTED_VALUE"""),"A. 0")</f>
        <v>A. 0</v>
      </c>
      <c r="C602" s="320">
        <f>IFERROR(__xludf.DUMMYFUNCTION("""COMPUTED_VALUE"""),18959.0)</f>
        <v>18959</v>
      </c>
      <c r="D602" s="320">
        <f>IFERROR(__xludf.DUMMYFUNCTION("""COMPUTED_VALUE"""),19.28)</f>
        <v>19.28</v>
      </c>
      <c r="E602" s="320">
        <f>IFERROR(__xludf.DUMMYFUNCTION("""COMPUTED_VALUE"""),0.0)</f>
        <v>0</v>
      </c>
      <c r="F602" s="320">
        <f>IFERROR(__xludf.DUMMYFUNCTION("""COMPUTED_VALUE"""),0.0)</f>
        <v>0</v>
      </c>
      <c r="G602" s="320">
        <f>IFERROR(__xludf.DUMMYFUNCTION("""COMPUTED_VALUE"""),0.0)</f>
        <v>0</v>
      </c>
      <c r="H602" s="106"/>
      <c r="I602" s="320">
        <f>IFERROR(__xludf.DUMMYFUNCTION("""COMPUTED_VALUE"""),5.77)</f>
        <v>5.77</v>
      </c>
      <c r="J602" s="320">
        <f>IFERROR(__xludf.DUMMYFUNCTION("""COMPUTED_VALUE"""),2.27)</f>
        <v>2.27</v>
      </c>
      <c r="K602" s="320">
        <f>IFERROR(__xludf.DUMMYFUNCTION("""COMPUTED_VALUE"""),0.03)</f>
        <v>0.03</v>
      </c>
      <c r="L602" s="320">
        <f>IFERROR(__xludf.DUMMYFUNCTION("""COMPUTED_VALUE"""),0.0141)</f>
        <v>0.0141</v>
      </c>
      <c r="M602" s="320">
        <f>IFERROR(__xludf.DUMMYFUNCTION("""COMPUTED_VALUE"""),0.9895)</f>
        <v>0.9895</v>
      </c>
      <c r="N602" s="320">
        <f>IFERROR(__xludf.DUMMYFUNCTION("""COMPUTED_VALUE"""),0.8751)</f>
        <v>0.8751</v>
      </c>
      <c r="O602" s="320">
        <f>IFERROR(__xludf.DUMMYFUNCTION("""COMPUTED_VALUE"""),70.8995)</f>
        <v>70.8995</v>
      </c>
      <c r="P602" s="320">
        <f>IFERROR(__xludf.DUMMYFUNCTION("""COMPUTED_VALUE"""),27.13)</f>
        <v>27.13</v>
      </c>
      <c r="Q602" s="320">
        <f>IFERROR(__xludf.DUMMYFUNCTION("""COMPUTED_VALUE"""),27.03)</f>
        <v>27.03</v>
      </c>
      <c r="R602" s="320">
        <f>IFERROR(__xludf.DUMMYFUNCTION("""COMPUTED_VALUE"""),0.1)</f>
        <v>0.1</v>
      </c>
      <c r="S602" s="320">
        <f>IFERROR(__xludf.DUMMYFUNCTION("""COMPUTED_VALUE"""),0.0)</f>
        <v>0</v>
      </c>
      <c r="T602" s="320">
        <f>IFERROR(__xludf.DUMMYFUNCTION("""COMPUTED_VALUE"""),27.13)</f>
        <v>27.13</v>
      </c>
      <c r="U602" s="320">
        <f>IFERROR(__xludf.DUMMYFUNCTION("""COMPUTED_VALUE"""),1.99)</f>
        <v>1.99</v>
      </c>
      <c r="V602" s="320">
        <f>IFERROR(__xludf.DUMMYFUNCTION("""COMPUTED_VALUE"""),0.8783)</f>
        <v>0.8783</v>
      </c>
      <c r="W602" s="320">
        <f>IFERROR(__xludf.DUMMYFUNCTION("""COMPUTED_VALUE"""),0.0)</f>
        <v>0</v>
      </c>
      <c r="X602" s="320">
        <f>IFERROR(__xludf.DUMMYFUNCTION("""COMPUTED_VALUE"""),363.0)</f>
        <v>363</v>
      </c>
      <c r="Y602" s="320">
        <f>IFERROR(__xludf.DUMMYFUNCTION("""COMPUTED_VALUE"""),4244.0)</f>
        <v>4244</v>
      </c>
      <c r="Z602" s="320">
        <f>IFERROR(__xludf.DUMMYFUNCTION("""COMPUTED_VALUE"""),15809.0)</f>
        <v>15809</v>
      </c>
      <c r="AA602" s="320">
        <f>IFERROR(__xludf.DUMMYFUNCTION("""COMPUTED_VALUE"""),49.3516)</f>
        <v>49.3516</v>
      </c>
      <c r="AB602" s="320">
        <f>IFERROR(__xludf.DUMMYFUNCTION("""COMPUTED_VALUE"""),0.5509)</f>
        <v>0.5509</v>
      </c>
      <c r="AC602" s="106"/>
      <c r="AD602" s="106"/>
      <c r="AE602" s="106"/>
      <c r="AF602" s="106"/>
      <c r="AG602" s="106"/>
      <c r="AH602" s="320">
        <f>IFERROR(__xludf.DUMMYFUNCTION("""COMPUTED_VALUE"""),0.0)</f>
        <v>0</v>
      </c>
      <c r="AI602" s="320">
        <f>IFERROR(__xludf.DUMMYFUNCTION("""COMPUTED_VALUE"""),0.0)</f>
        <v>0</v>
      </c>
      <c r="AJ602" s="320">
        <f>IFERROR(__xludf.DUMMYFUNCTION("""COMPUTED_VALUE"""),0.0)</f>
        <v>0</v>
      </c>
      <c r="AK602" s="320">
        <f>IFERROR(__xludf.DUMMYFUNCTION("""COMPUTED_VALUE"""),0.2978)</f>
        <v>0.2978</v>
      </c>
      <c r="AL602" s="320">
        <f>IFERROR(__xludf.DUMMYFUNCTION("""COMPUTED_VALUE"""),18.03)</f>
        <v>18.03</v>
      </c>
      <c r="AM602" s="320">
        <f>IFERROR(__xludf.DUMMYFUNCTION("""COMPUTED_VALUE"""),9.0)</f>
        <v>9</v>
      </c>
      <c r="AN602" s="331"/>
      <c r="AO602" s="331"/>
    </row>
    <row r="603" ht="15.0" customHeight="1">
      <c r="A603" s="328">
        <f>IFERROR(__xludf.DUMMYFUNCTION("""COMPUTED_VALUE"""),46150.0)</f>
        <v>46150</v>
      </c>
      <c r="B603" s="319" t="str">
        <f>IFERROR(__xludf.DUMMYFUNCTION("""COMPUTED_VALUE"""),"B. 1-9")</f>
        <v>B. 1-9</v>
      </c>
      <c r="C603" s="320">
        <f>IFERROR(__xludf.DUMMYFUNCTION("""COMPUTED_VALUE"""),36049.0)</f>
        <v>36049</v>
      </c>
      <c r="D603" s="320">
        <f>IFERROR(__xludf.DUMMYFUNCTION("""COMPUTED_VALUE"""),36.65)</f>
        <v>36.65</v>
      </c>
      <c r="E603" s="320">
        <f>IFERROR(__xludf.DUMMYFUNCTION("""COMPUTED_VALUE"""),0.0)</f>
        <v>0</v>
      </c>
      <c r="F603" s="320">
        <f>IFERROR(__xludf.DUMMYFUNCTION("""COMPUTED_VALUE"""),0.0)</f>
        <v>0</v>
      </c>
      <c r="G603" s="320">
        <f>IFERROR(__xludf.DUMMYFUNCTION("""COMPUTED_VALUE"""),0.0)</f>
        <v>0</v>
      </c>
      <c r="H603" s="106"/>
      <c r="I603" s="320">
        <f>IFERROR(__xludf.DUMMYFUNCTION("""COMPUTED_VALUE"""),30.91)</f>
        <v>30.91</v>
      </c>
      <c r="J603" s="320">
        <f>IFERROR(__xludf.DUMMYFUNCTION("""COMPUTED_VALUE"""),13.86)</f>
        <v>13.86</v>
      </c>
      <c r="K603" s="320">
        <f>IFERROR(__xludf.DUMMYFUNCTION("""COMPUTED_VALUE"""),5.77)</f>
        <v>5.77</v>
      </c>
      <c r="L603" s="320">
        <f>IFERROR(__xludf.DUMMYFUNCTION("""COMPUTED_VALUE"""),0.4165)</f>
        <v>0.4165</v>
      </c>
      <c r="M603" s="320">
        <f>IFERROR(__xludf.DUMMYFUNCTION("""COMPUTED_VALUE"""),0.7544)</f>
        <v>0.7544</v>
      </c>
      <c r="N603" s="320">
        <f>IFERROR(__xludf.DUMMYFUNCTION("""COMPUTED_VALUE"""),0.555)</f>
        <v>0.555</v>
      </c>
      <c r="O603" s="320">
        <f>IFERROR(__xludf.DUMMYFUNCTION("""COMPUTED_VALUE"""),2.4012)</f>
        <v>2.4012</v>
      </c>
      <c r="P603" s="320">
        <f>IFERROR(__xludf.DUMMYFUNCTION("""COMPUTED_VALUE"""),57.64)</f>
        <v>57.64</v>
      </c>
      <c r="Q603" s="320">
        <f>IFERROR(__xludf.DUMMYFUNCTION("""COMPUTED_VALUE"""),47.7)</f>
        <v>47.7</v>
      </c>
      <c r="R603" s="320">
        <f>IFERROR(__xludf.DUMMYFUNCTION("""COMPUTED_VALUE"""),9.94)</f>
        <v>9.94</v>
      </c>
      <c r="S603" s="320">
        <f>IFERROR(__xludf.DUMMYFUNCTION("""COMPUTED_VALUE"""),0.0)</f>
        <v>0</v>
      </c>
      <c r="T603" s="320">
        <f>IFERROR(__xludf.DUMMYFUNCTION("""COMPUTED_VALUE"""),57.64)</f>
        <v>57.64</v>
      </c>
      <c r="U603" s="320">
        <f>IFERROR(__xludf.DUMMYFUNCTION("""COMPUTED_VALUE"""),52.82)</f>
        <v>52.82</v>
      </c>
      <c r="V603" s="320">
        <f>IFERROR(__xludf.DUMMYFUNCTION("""COMPUTED_VALUE"""),3.8114)</f>
        <v>3.8114</v>
      </c>
      <c r="W603" s="320">
        <f>IFERROR(__xludf.DUMMYFUNCTION("""COMPUTED_VALUE"""),0.0)</f>
        <v>0</v>
      </c>
      <c r="X603" s="320">
        <f>IFERROR(__xludf.DUMMYFUNCTION("""COMPUTED_VALUE"""),143.0)</f>
        <v>143</v>
      </c>
      <c r="Y603" s="320">
        <f>IFERROR(__xludf.DUMMYFUNCTION("""COMPUTED_VALUE"""),887.0)</f>
        <v>887</v>
      </c>
      <c r="Z603" s="320">
        <f>IFERROR(__xludf.DUMMYFUNCTION("""COMPUTED_VALUE"""),6147.0)</f>
        <v>6147</v>
      </c>
      <c r="AA603" s="320">
        <f>IFERROR(__xludf.DUMMYFUNCTION("""COMPUTED_VALUE"""),48.8189)</f>
        <v>48.8189</v>
      </c>
      <c r="AB603" s="320">
        <f>IFERROR(__xludf.DUMMYFUNCTION("""COMPUTED_VALUE"""),0.5382)</f>
        <v>0.5382</v>
      </c>
      <c r="AC603" s="320">
        <f>IFERROR(__xludf.DUMMYFUNCTION("""COMPUTED_VALUE"""),4.04)</f>
        <v>4.04</v>
      </c>
      <c r="AD603" s="320">
        <f>IFERROR(__xludf.DUMMYFUNCTION("""COMPUTED_VALUE"""),1.0)</f>
        <v>1</v>
      </c>
      <c r="AE603" s="320">
        <f>IFERROR(__xludf.DUMMYFUNCTION("""COMPUTED_VALUE"""),3.0)</f>
        <v>3</v>
      </c>
      <c r="AF603" s="320">
        <f>IFERROR(__xludf.DUMMYFUNCTION("""COMPUTED_VALUE"""),5.0)</f>
        <v>5</v>
      </c>
      <c r="AG603" s="320">
        <f>IFERROR(__xludf.DUMMYFUNCTION("""COMPUTED_VALUE"""),9.0)</f>
        <v>9</v>
      </c>
      <c r="AH603" s="320">
        <f>IFERROR(__xludf.DUMMYFUNCTION("""COMPUTED_VALUE"""),73.03)</f>
        <v>73.03</v>
      </c>
      <c r="AI603" s="320">
        <f>IFERROR(__xludf.DUMMYFUNCTION("""COMPUTED_VALUE"""),30.92)</f>
        <v>30.92</v>
      </c>
      <c r="AJ603" s="320">
        <f>IFERROR(__xludf.DUMMYFUNCTION("""COMPUTED_VALUE"""),8.68)</f>
        <v>8.68</v>
      </c>
      <c r="AK603" s="320">
        <f>IFERROR(__xludf.DUMMYFUNCTION("""COMPUTED_VALUE"""),0.2648)</f>
        <v>0.2648</v>
      </c>
      <c r="AL603" s="320">
        <f>IFERROR(__xludf.DUMMYFUNCTION("""COMPUTED_VALUE"""),20.36)</f>
        <v>20.36</v>
      </c>
      <c r="AM603" s="320">
        <f>IFERROR(__xludf.DUMMYFUNCTION("""COMPUTED_VALUE"""),27.33)</f>
        <v>27.33</v>
      </c>
      <c r="AN603" s="320">
        <f>IFERROR(__xludf.DUMMYFUNCTION("""COMPUTED_VALUE"""),66.26)</f>
        <v>66.26</v>
      </c>
      <c r="AO603" s="320">
        <f>IFERROR(__xludf.DUMMYFUNCTION("""COMPUTED_VALUE"""),13.49)</f>
        <v>13.49</v>
      </c>
    </row>
    <row r="604" ht="15.0" customHeight="1">
      <c r="A604" s="328">
        <f>IFERROR(__xludf.DUMMYFUNCTION("""COMPUTED_VALUE"""),46150.0)</f>
        <v>46150</v>
      </c>
      <c r="B604" s="319" t="str">
        <f>IFERROR(__xludf.DUMMYFUNCTION("""COMPUTED_VALUE"""),"C. 10-19")</f>
        <v>C. 10-19</v>
      </c>
      <c r="C604" s="320">
        <f>IFERROR(__xludf.DUMMYFUNCTION("""COMPUTED_VALUE"""),23829.0)</f>
        <v>23829</v>
      </c>
      <c r="D604" s="320">
        <f>IFERROR(__xludf.DUMMYFUNCTION("""COMPUTED_VALUE"""),24.23)</f>
        <v>24.23</v>
      </c>
      <c r="E604" s="320">
        <f>IFERROR(__xludf.DUMMYFUNCTION("""COMPUTED_VALUE"""),0.0)</f>
        <v>0</v>
      </c>
      <c r="F604" s="320">
        <f>IFERROR(__xludf.DUMMYFUNCTION("""COMPUTED_VALUE"""),0.0)</f>
        <v>0</v>
      </c>
      <c r="G604" s="320">
        <f>IFERROR(__xludf.DUMMYFUNCTION("""COMPUTED_VALUE"""),0.0)</f>
        <v>0</v>
      </c>
      <c r="H604" s="106"/>
      <c r="I604" s="320">
        <f>IFERROR(__xludf.DUMMYFUNCTION("""COMPUTED_VALUE"""),57.46)</f>
        <v>57.46</v>
      </c>
      <c r="J604" s="320">
        <f>IFERROR(__xludf.DUMMYFUNCTION("""COMPUTED_VALUE"""),27.19)</f>
        <v>27.19</v>
      </c>
      <c r="K604" s="320">
        <f>IFERROR(__xludf.DUMMYFUNCTION("""COMPUTED_VALUE"""),14.24)</f>
        <v>14.24</v>
      </c>
      <c r="L604" s="320">
        <f>IFERROR(__xludf.DUMMYFUNCTION("""COMPUTED_VALUE"""),0.5238)</f>
        <v>0.5238</v>
      </c>
      <c r="M604" s="320">
        <f>IFERROR(__xludf.DUMMYFUNCTION("""COMPUTED_VALUE"""),0.6635)</f>
        <v>0.6635</v>
      </c>
      <c r="N604" s="320">
        <f>IFERROR(__xludf.DUMMYFUNCTION("""COMPUTED_VALUE"""),0.4608)</f>
        <v>0.4608</v>
      </c>
      <c r="O604" s="320">
        <f>IFERROR(__xludf.DUMMYFUNCTION("""COMPUTED_VALUE"""),1.9091)</f>
        <v>1.9091</v>
      </c>
      <c r="P604" s="320">
        <f>IFERROR(__xludf.DUMMYFUNCTION("""COMPUTED_VALUE"""),102.33)</f>
        <v>102.33</v>
      </c>
      <c r="Q604" s="320">
        <f>IFERROR(__xludf.DUMMYFUNCTION("""COMPUTED_VALUE"""),77.69)</f>
        <v>77.69</v>
      </c>
      <c r="R604" s="320">
        <f>IFERROR(__xludf.DUMMYFUNCTION("""COMPUTED_VALUE"""),24.64)</f>
        <v>24.64</v>
      </c>
      <c r="S604" s="320">
        <f>IFERROR(__xludf.DUMMYFUNCTION("""COMPUTED_VALUE"""),0.0)</f>
        <v>0</v>
      </c>
      <c r="T604" s="320">
        <f>IFERROR(__xludf.DUMMYFUNCTION("""COMPUTED_VALUE"""),102.33)</f>
        <v>102.33</v>
      </c>
      <c r="U604" s="320">
        <f>IFERROR(__xludf.DUMMYFUNCTION("""COMPUTED_VALUE"""),98.31)</f>
        <v>98.31</v>
      </c>
      <c r="V604" s="320">
        <f>IFERROR(__xludf.DUMMYFUNCTION("""COMPUTED_VALUE"""),3.6162)</f>
        <v>3.6162</v>
      </c>
      <c r="W604" s="320">
        <f>IFERROR(__xludf.DUMMYFUNCTION("""COMPUTED_VALUE"""),0.0)</f>
        <v>0</v>
      </c>
      <c r="X604" s="320">
        <f>IFERROR(__xludf.DUMMYFUNCTION("""COMPUTED_VALUE"""),129.0)</f>
        <v>129</v>
      </c>
      <c r="Y604" s="320">
        <f>IFERROR(__xludf.DUMMYFUNCTION("""COMPUTED_VALUE"""),677.0)</f>
        <v>677</v>
      </c>
      <c r="Z604" s="320">
        <f>IFERROR(__xludf.DUMMYFUNCTION("""COMPUTED_VALUE"""),5033.0)</f>
        <v>5033</v>
      </c>
      <c r="AA604" s="320">
        <f>IFERROR(__xludf.DUMMYFUNCTION("""COMPUTED_VALUE"""),52.1536)</f>
        <v>52.1536</v>
      </c>
      <c r="AB604" s="320">
        <f>IFERROR(__xludf.DUMMYFUNCTION("""COMPUTED_VALUE"""),0.6256)</f>
        <v>0.6256</v>
      </c>
      <c r="AC604" s="320">
        <f>IFERROR(__xludf.DUMMYFUNCTION("""COMPUTED_VALUE"""),9.47)</f>
        <v>9.47</v>
      </c>
      <c r="AD604" s="320">
        <f>IFERROR(__xludf.DUMMYFUNCTION("""COMPUTED_VALUE"""),4.0)</f>
        <v>4</v>
      </c>
      <c r="AE604" s="320">
        <f>IFERROR(__xludf.DUMMYFUNCTION("""COMPUTED_VALUE"""),7.0)</f>
        <v>7</v>
      </c>
      <c r="AF604" s="320">
        <f>IFERROR(__xludf.DUMMYFUNCTION("""COMPUTED_VALUE"""),13.0)</f>
        <v>13</v>
      </c>
      <c r="AG604" s="320">
        <f>IFERROR(__xludf.DUMMYFUNCTION("""COMPUTED_VALUE"""),20.0)</f>
        <v>20</v>
      </c>
      <c r="AH604" s="320">
        <f>IFERROR(__xludf.DUMMYFUNCTION("""COMPUTED_VALUE"""),60.13)</f>
        <v>60.13</v>
      </c>
      <c r="AI604" s="320">
        <f>IFERROR(__xludf.DUMMYFUNCTION("""COMPUTED_VALUE"""),26.21)</f>
        <v>26.21</v>
      </c>
      <c r="AJ604" s="320">
        <f>IFERROR(__xludf.DUMMYFUNCTION("""COMPUTED_VALUE"""),5.07)</f>
        <v>5.07</v>
      </c>
      <c r="AK604" s="320">
        <f>IFERROR(__xludf.DUMMYFUNCTION("""COMPUTED_VALUE"""),0.2166)</f>
        <v>0.2166</v>
      </c>
      <c r="AL604" s="320">
        <f>IFERROR(__xludf.DUMMYFUNCTION("""COMPUTED_VALUE"""),21.22)</f>
        <v>21.22</v>
      </c>
      <c r="AM604" s="320">
        <f>IFERROR(__xludf.DUMMYFUNCTION("""COMPUTED_VALUE"""),56.47)</f>
        <v>56.47</v>
      </c>
      <c r="AN604" s="320">
        <f>IFERROR(__xludf.DUMMYFUNCTION("""COMPUTED_VALUE"""),75.01)</f>
        <v>75.01</v>
      </c>
      <c r="AO604" s="320">
        <f>IFERROR(__xludf.DUMMYFUNCTION("""COMPUTED_VALUE"""),15.92)</f>
        <v>15.92</v>
      </c>
    </row>
    <row r="605" ht="15.0" customHeight="1">
      <c r="A605" s="328">
        <f>IFERROR(__xludf.DUMMYFUNCTION("""COMPUTED_VALUE"""),46150.0)</f>
        <v>46150</v>
      </c>
      <c r="B605" s="319" t="str">
        <f>IFERROR(__xludf.DUMMYFUNCTION("""COMPUTED_VALUE"""),"D. 20-39")</f>
        <v>D. 20-39</v>
      </c>
      <c r="C605" s="320">
        <f>IFERROR(__xludf.DUMMYFUNCTION("""COMPUTED_VALUE"""),13284.0)</f>
        <v>13284</v>
      </c>
      <c r="D605" s="320">
        <f>IFERROR(__xludf.DUMMYFUNCTION("""COMPUTED_VALUE"""),13.51)</f>
        <v>13.51</v>
      </c>
      <c r="E605" s="320">
        <f>IFERROR(__xludf.DUMMYFUNCTION("""COMPUTED_VALUE"""),0.0)</f>
        <v>0</v>
      </c>
      <c r="F605" s="320">
        <f>IFERROR(__xludf.DUMMYFUNCTION("""COMPUTED_VALUE"""),0.0)</f>
        <v>0</v>
      </c>
      <c r="G605" s="320">
        <f>IFERROR(__xludf.DUMMYFUNCTION("""COMPUTED_VALUE"""),0.0)</f>
        <v>0</v>
      </c>
      <c r="H605" s="106"/>
      <c r="I605" s="320">
        <f>IFERROR(__xludf.DUMMYFUNCTION("""COMPUTED_VALUE"""),83.33)</f>
        <v>83.33</v>
      </c>
      <c r="J605" s="320">
        <f>IFERROR(__xludf.DUMMYFUNCTION("""COMPUTED_VALUE"""),41.56)</f>
        <v>41.56</v>
      </c>
      <c r="K605" s="320">
        <f>IFERROR(__xludf.DUMMYFUNCTION("""COMPUTED_VALUE"""),27.15)</f>
        <v>27.15</v>
      </c>
      <c r="L605" s="320">
        <f>IFERROR(__xludf.DUMMYFUNCTION("""COMPUTED_VALUE"""),0.6534)</f>
        <v>0.6534</v>
      </c>
      <c r="M605" s="320">
        <f>IFERROR(__xludf.DUMMYFUNCTION("""COMPUTED_VALUE"""),0.5336)</f>
        <v>0.5336</v>
      </c>
      <c r="N605" s="320">
        <f>IFERROR(__xludf.DUMMYFUNCTION("""COMPUTED_VALUE"""),0.3658)</f>
        <v>0.3658</v>
      </c>
      <c r="O605" s="320">
        <f>IFERROR(__xludf.DUMMYFUNCTION("""COMPUTED_VALUE"""),1.5305)</f>
        <v>1.5305</v>
      </c>
      <c r="P605" s="320">
        <f>IFERROR(__xludf.DUMMYFUNCTION("""COMPUTED_VALUE"""),166.37)</f>
        <v>166.37</v>
      </c>
      <c r="Q605" s="320">
        <f>IFERROR(__xludf.DUMMYFUNCTION("""COMPUTED_VALUE"""),118.77)</f>
        <v>118.77</v>
      </c>
      <c r="R605" s="320">
        <f>IFERROR(__xludf.DUMMYFUNCTION("""COMPUTED_VALUE"""),47.6)</f>
        <v>47.6</v>
      </c>
      <c r="S605" s="320">
        <f>IFERROR(__xludf.DUMMYFUNCTION("""COMPUTED_VALUE"""),0.0)</f>
        <v>0</v>
      </c>
      <c r="T605" s="320">
        <f>IFERROR(__xludf.DUMMYFUNCTION("""COMPUTED_VALUE"""),166.37)</f>
        <v>166.37</v>
      </c>
      <c r="U605" s="320">
        <f>IFERROR(__xludf.DUMMYFUNCTION("""COMPUTED_VALUE"""),164.78)</f>
        <v>164.78</v>
      </c>
      <c r="V605" s="320">
        <f>IFERROR(__xludf.DUMMYFUNCTION("""COMPUTED_VALUE"""),3.9649)</f>
        <v>3.9649</v>
      </c>
      <c r="W605" s="320">
        <f>IFERROR(__xludf.DUMMYFUNCTION("""COMPUTED_VALUE"""),0.0)</f>
        <v>0</v>
      </c>
      <c r="X605" s="320">
        <f>IFERROR(__xludf.DUMMYFUNCTION("""COMPUTED_VALUE"""),160.0)</f>
        <v>160</v>
      </c>
      <c r="Y605" s="320">
        <f>IFERROR(__xludf.DUMMYFUNCTION("""COMPUTED_VALUE"""),987.0)</f>
        <v>987</v>
      </c>
      <c r="Z605" s="320">
        <f>IFERROR(__xludf.DUMMYFUNCTION("""COMPUTED_VALUE"""),5887.0)</f>
        <v>5887</v>
      </c>
      <c r="AA605" s="320">
        <f>IFERROR(__xludf.DUMMYFUNCTION("""COMPUTED_VALUE"""),55.8045)</f>
        <v>55.8045</v>
      </c>
      <c r="AB605" s="320">
        <f>IFERROR(__xludf.DUMMYFUNCTION("""COMPUTED_VALUE"""),0.7382)</f>
        <v>0.7382</v>
      </c>
      <c r="AC605" s="320">
        <f>IFERROR(__xludf.DUMMYFUNCTION("""COMPUTED_VALUE"""),18.32)</f>
        <v>18.32</v>
      </c>
      <c r="AD605" s="320">
        <f>IFERROR(__xludf.DUMMYFUNCTION("""COMPUTED_VALUE"""),7.0)</f>
        <v>7</v>
      </c>
      <c r="AE605" s="320">
        <f>IFERROR(__xludf.DUMMYFUNCTION("""COMPUTED_VALUE"""),14.0)</f>
        <v>14</v>
      </c>
      <c r="AF605" s="320">
        <f>IFERROR(__xludf.DUMMYFUNCTION("""COMPUTED_VALUE"""),25.0)</f>
        <v>25</v>
      </c>
      <c r="AG605" s="320">
        <f>IFERROR(__xludf.DUMMYFUNCTION("""COMPUTED_VALUE"""),38.0)</f>
        <v>38</v>
      </c>
      <c r="AH605" s="320">
        <f>IFERROR(__xludf.DUMMYFUNCTION("""COMPUTED_VALUE"""),61.16)</f>
        <v>61.16</v>
      </c>
      <c r="AI605" s="320">
        <f>IFERROR(__xludf.DUMMYFUNCTION("""COMPUTED_VALUE"""),24.74)</f>
        <v>24.74</v>
      </c>
      <c r="AJ605" s="320">
        <f>IFERROR(__xludf.DUMMYFUNCTION("""COMPUTED_VALUE"""),7.8)</f>
        <v>7.8</v>
      </c>
      <c r="AK605" s="320">
        <f>IFERROR(__xludf.DUMMYFUNCTION("""COMPUTED_VALUE"""),0.2038)</f>
        <v>0.2038</v>
      </c>
      <c r="AL605" s="320">
        <f>IFERROR(__xludf.DUMMYFUNCTION("""COMPUTED_VALUE"""),21.17)</f>
        <v>21.17</v>
      </c>
      <c r="AM605" s="320">
        <f>IFERROR(__xludf.DUMMYFUNCTION("""COMPUTED_VALUE"""),97.6)</f>
        <v>97.6</v>
      </c>
      <c r="AN605" s="320">
        <f>IFERROR(__xludf.DUMMYFUNCTION("""COMPUTED_VALUE"""),78.39)</f>
        <v>78.39</v>
      </c>
      <c r="AO605" s="320">
        <f>IFERROR(__xludf.DUMMYFUNCTION("""COMPUTED_VALUE"""),16.6)</f>
        <v>16.6</v>
      </c>
    </row>
    <row r="606" ht="15.0" customHeight="1">
      <c r="A606" s="328">
        <f>IFERROR(__xludf.DUMMYFUNCTION("""COMPUTED_VALUE"""),46150.0)</f>
        <v>46150</v>
      </c>
      <c r="B606" s="319" t="str">
        <f>IFERROR(__xludf.DUMMYFUNCTION("""COMPUTED_VALUE"""),"E. 40-99")</f>
        <v>E. 40-99</v>
      </c>
      <c r="C606" s="320">
        <f>IFERROR(__xludf.DUMMYFUNCTION("""COMPUTED_VALUE"""),5627.0)</f>
        <v>5627</v>
      </c>
      <c r="D606" s="320">
        <f>IFERROR(__xludf.DUMMYFUNCTION("""COMPUTED_VALUE"""),5.72)</f>
        <v>5.72</v>
      </c>
      <c r="E606" s="320">
        <f>IFERROR(__xludf.DUMMYFUNCTION("""COMPUTED_VALUE"""),0.0)</f>
        <v>0</v>
      </c>
      <c r="F606" s="320">
        <f>IFERROR(__xludf.DUMMYFUNCTION("""COMPUTED_VALUE"""),0.0)</f>
        <v>0</v>
      </c>
      <c r="G606" s="320">
        <f>IFERROR(__xludf.DUMMYFUNCTION("""COMPUTED_VALUE"""),0.0)</f>
        <v>0</v>
      </c>
      <c r="H606" s="106"/>
      <c r="I606" s="320">
        <f>IFERROR(__xludf.DUMMYFUNCTION("""COMPUTED_VALUE"""),129.78)</f>
        <v>129.78</v>
      </c>
      <c r="J606" s="320">
        <f>IFERROR(__xludf.DUMMYFUNCTION("""COMPUTED_VALUE"""),69.38)</f>
        <v>69.38</v>
      </c>
      <c r="K606" s="320">
        <f>IFERROR(__xludf.DUMMYFUNCTION("""COMPUTED_VALUE"""),54.89)</f>
        <v>54.89</v>
      </c>
      <c r="L606" s="320">
        <f>IFERROR(__xludf.DUMMYFUNCTION("""COMPUTED_VALUE"""),0.7912)</f>
        <v>0.7912</v>
      </c>
      <c r="M606" s="320">
        <f>IFERROR(__xludf.DUMMYFUNCTION("""COMPUTED_VALUE"""),0.3868)</f>
        <v>0.3868</v>
      </c>
      <c r="N606" s="320">
        <f>IFERROR(__xludf.DUMMYFUNCTION("""COMPUTED_VALUE"""),0.2753)</f>
        <v>0.2753</v>
      </c>
      <c r="O606" s="320">
        <f>IFERROR(__xludf.DUMMYFUNCTION("""COMPUTED_VALUE"""),1.264)</f>
        <v>1.264</v>
      </c>
      <c r="P606" s="320">
        <f>IFERROR(__xludf.DUMMYFUNCTION("""COMPUTED_VALUE"""),278.48)</f>
        <v>278.48</v>
      </c>
      <c r="Q606" s="320">
        <f>IFERROR(__xludf.DUMMYFUNCTION("""COMPUTED_VALUE"""),182.7)</f>
        <v>182.7</v>
      </c>
      <c r="R606" s="320">
        <f>IFERROR(__xludf.DUMMYFUNCTION("""COMPUTED_VALUE"""),95.78)</f>
        <v>95.78</v>
      </c>
      <c r="S606" s="320">
        <f>IFERROR(__xludf.DUMMYFUNCTION("""COMPUTED_VALUE"""),0.0)</f>
        <v>0</v>
      </c>
      <c r="T606" s="320">
        <f>IFERROR(__xludf.DUMMYFUNCTION("""COMPUTED_VALUE"""),278.48)</f>
        <v>278.48</v>
      </c>
      <c r="U606" s="320">
        <f>IFERROR(__xludf.DUMMYFUNCTION("""COMPUTED_VALUE"""),310.39)</f>
        <v>310.39</v>
      </c>
      <c r="V606" s="320">
        <f>IFERROR(__xludf.DUMMYFUNCTION("""COMPUTED_VALUE"""),4.4737)</f>
        <v>4.4737</v>
      </c>
      <c r="W606" s="320">
        <f>IFERROR(__xludf.DUMMYFUNCTION("""COMPUTED_VALUE"""),0.0)</f>
        <v>0</v>
      </c>
      <c r="X606" s="320">
        <f>IFERROR(__xludf.DUMMYFUNCTION("""COMPUTED_VALUE"""),326.0)</f>
        <v>326</v>
      </c>
      <c r="Y606" s="320">
        <f>IFERROR(__xludf.DUMMYFUNCTION("""COMPUTED_VALUE"""),2406.0)</f>
        <v>2406</v>
      </c>
      <c r="Z606" s="320">
        <f>IFERROR(__xludf.DUMMYFUNCTION("""COMPUTED_VALUE"""),9538.0)</f>
        <v>9538</v>
      </c>
      <c r="AA606" s="320">
        <f>IFERROR(__xludf.DUMMYFUNCTION("""COMPUTED_VALUE"""),59.4956)</f>
        <v>59.4956</v>
      </c>
      <c r="AB606" s="320">
        <f>IFERROR(__xludf.DUMMYFUNCTION("""COMPUTED_VALUE"""),0.8419)</f>
        <v>0.8419</v>
      </c>
      <c r="AC606" s="320">
        <f>IFERROR(__xludf.DUMMYFUNCTION("""COMPUTED_VALUE"""),38.55)</f>
        <v>38.55</v>
      </c>
      <c r="AD606" s="320">
        <f>IFERROR(__xludf.DUMMYFUNCTION("""COMPUTED_VALUE"""),16.0)</f>
        <v>16</v>
      </c>
      <c r="AE606" s="320">
        <f>IFERROR(__xludf.DUMMYFUNCTION("""COMPUTED_VALUE"""),31.0)</f>
        <v>31</v>
      </c>
      <c r="AF606" s="320">
        <f>IFERROR(__xludf.DUMMYFUNCTION("""COMPUTED_VALUE"""),53.0)</f>
        <v>53</v>
      </c>
      <c r="AG606" s="320">
        <f>IFERROR(__xludf.DUMMYFUNCTION("""COMPUTED_VALUE"""),80.0)</f>
        <v>80</v>
      </c>
      <c r="AH606" s="320">
        <f>IFERROR(__xludf.DUMMYFUNCTION("""COMPUTED_VALUE"""),55.34)</f>
        <v>55.34</v>
      </c>
      <c r="AI606" s="320">
        <f>IFERROR(__xludf.DUMMYFUNCTION("""COMPUTED_VALUE"""),20.28)</f>
        <v>20.28</v>
      </c>
      <c r="AJ606" s="320">
        <f>IFERROR(__xludf.DUMMYFUNCTION("""COMPUTED_VALUE"""),4.99)</f>
        <v>4.99</v>
      </c>
      <c r="AK606" s="320">
        <f>IFERROR(__xludf.DUMMYFUNCTION("""COMPUTED_VALUE"""),0.1527)</f>
        <v>0.1527</v>
      </c>
      <c r="AL606" s="320">
        <f>IFERROR(__xludf.DUMMYFUNCTION("""COMPUTED_VALUE"""),22.9)</f>
        <v>22.9</v>
      </c>
      <c r="AM606" s="320">
        <f>IFERROR(__xludf.DUMMYFUNCTION("""COMPUTED_VALUE"""),159.8)</f>
        <v>159.8</v>
      </c>
      <c r="AN606" s="320">
        <f>IFERROR(__xludf.DUMMYFUNCTION("""COMPUTED_VALUE"""),83.04)</f>
        <v>83.04</v>
      </c>
      <c r="AO606" s="320">
        <f>IFERROR(__xludf.DUMMYFUNCTION("""COMPUTED_VALUE"""),19.02)</f>
        <v>19.02</v>
      </c>
    </row>
    <row r="607" ht="15.0" customHeight="1">
      <c r="A607" s="328">
        <f>IFERROR(__xludf.DUMMYFUNCTION("""COMPUTED_VALUE"""),46150.0)</f>
        <v>46150</v>
      </c>
      <c r="B607" s="319" t="str">
        <f>IFERROR(__xludf.DUMMYFUNCTION("""COMPUTED_VALUE"""),"F. 100+")</f>
        <v>F. 100+</v>
      </c>
      <c r="C607" s="320">
        <f>IFERROR(__xludf.DUMMYFUNCTION("""COMPUTED_VALUE"""),610.0)</f>
        <v>610</v>
      </c>
      <c r="D607" s="320">
        <f>IFERROR(__xludf.DUMMYFUNCTION("""COMPUTED_VALUE"""),0.62)</f>
        <v>0.62</v>
      </c>
      <c r="E607" s="320">
        <f>IFERROR(__xludf.DUMMYFUNCTION("""COMPUTED_VALUE"""),0.0)</f>
        <v>0</v>
      </c>
      <c r="F607" s="320">
        <f>IFERROR(__xludf.DUMMYFUNCTION("""COMPUTED_VALUE"""),0.0)</f>
        <v>0</v>
      </c>
      <c r="G607" s="320">
        <f>IFERROR(__xludf.DUMMYFUNCTION("""COMPUTED_VALUE"""),0.0)</f>
        <v>0</v>
      </c>
      <c r="H607" s="106"/>
      <c r="I607" s="320">
        <f>IFERROR(__xludf.DUMMYFUNCTION("""COMPUTED_VALUE"""),253.16)</f>
        <v>253.16</v>
      </c>
      <c r="J607" s="320">
        <f>IFERROR(__xludf.DUMMYFUNCTION("""COMPUTED_VALUE"""),145.2)</f>
        <v>145.2</v>
      </c>
      <c r="K607" s="320">
        <f>IFERROR(__xludf.DUMMYFUNCTION("""COMPUTED_VALUE"""),128.24)</f>
        <v>128.24</v>
      </c>
      <c r="L607" s="320">
        <f>IFERROR(__xludf.DUMMYFUNCTION("""COMPUTED_VALUE"""),0.8832)</f>
        <v>0.8832</v>
      </c>
      <c r="M607" s="320">
        <f>IFERROR(__xludf.DUMMYFUNCTION("""COMPUTED_VALUE"""),0.2671)</f>
        <v>0.2671</v>
      </c>
      <c r="N607" s="320">
        <f>IFERROR(__xludf.DUMMYFUNCTION("""COMPUTED_VALUE"""),0.2022)</f>
        <v>0.2022</v>
      </c>
      <c r="O607" s="320">
        <f>IFERROR(__xludf.DUMMYFUNCTION("""COMPUTED_VALUE"""),1.1323)</f>
        <v>1.1323</v>
      </c>
      <c r="P607" s="320">
        <f>IFERROR(__xludf.DUMMYFUNCTION("""COMPUTED_VALUE"""),574.78)</f>
        <v>574.78</v>
      </c>
      <c r="Q607" s="320">
        <f>IFERROR(__xludf.DUMMYFUNCTION("""COMPUTED_VALUE"""),348.45)</f>
        <v>348.45</v>
      </c>
      <c r="R607" s="320">
        <f>IFERROR(__xludf.DUMMYFUNCTION("""COMPUTED_VALUE"""),226.33)</f>
        <v>226.33</v>
      </c>
      <c r="S607" s="320">
        <f>IFERROR(__xludf.DUMMYFUNCTION("""COMPUTED_VALUE"""),0.0)</f>
        <v>0</v>
      </c>
      <c r="T607" s="320">
        <f>IFERROR(__xludf.DUMMYFUNCTION("""COMPUTED_VALUE"""),574.78)</f>
        <v>574.78</v>
      </c>
      <c r="U607" s="320">
        <f>IFERROR(__xludf.DUMMYFUNCTION("""COMPUTED_VALUE"""),664.59)</f>
        <v>664.59</v>
      </c>
      <c r="V607" s="320">
        <f>IFERROR(__xludf.DUMMYFUNCTION("""COMPUTED_VALUE"""),4.577)</f>
        <v>4.577</v>
      </c>
      <c r="W607" s="320">
        <f>IFERROR(__xludf.DUMMYFUNCTION("""COMPUTED_VALUE"""),0.0)</f>
        <v>0</v>
      </c>
      <c r="X607" s="320">
        <f>IFERROR(__xludf.DUMMYFUNCTION("""COMPUTED_VALUE"""),956.0)</f>
        <v>956</v>
      </c>
      <c r="Y607" s="320">
        <f>IFERROR(__xludf.DUMMYFUNCTION("""COMPUTED_VALUE"""),3996.0)</f>
        <v>3996</v>
      </c>
      <c r="Z607" s="320">
        <f>IFERROR(__xludf.DUMMYFUNCTION("""COMPUTED_VALUE"""),12551.0)</f>
        <v>12551</v>
      </c>
      <c r="AA607" s="320">
        <f>IFERROR(__xludf.DUMMYFUNCTION("""COMPUTED_VALUE"""),63.3041)</f>
        <v>63.3041</v>
      </c>
      <c r="AB607" s="320">
        <f>IFERROR(__xludf.DUMMYFUNCTION("""COMPUTED_VALUE"""),0.9109)</f>
        <v>0.9109</v>
      </c>
      <c r="AC607" s="320">
        <f>IFERROR(__xludf.DUMMYFUNCTION("""COMPUTED_VALUE"""),94.2)</f>
        <v>94.2</v>
      </c>
      <c r="AD607" s="320">
        <f>IFERROR(__xludf.DUMMYFUNCTION("""COMPUTED_VALUE"""),40.0)</f>
        <v>40</v>
      </c>
      <c r="AE607" s="320">
        <f>IFERROR(__xludf.DUMMYFUNCTION("""COMPUTED_VALUE"""),83.0)</f>
        <v>83</v>
      </c>
      <c r="AF607" s="320">
        <f>IFERROR(__xludf.DUMMYFUNCTION("""COMPUTED_VALUE"""),136.0)</f>
        <v>136</v>
      </c>
      <c r="AG607" s="320">
        <f>IFERROR(__xludf.DUMMYFUNCTION("""COMPUTED_VALUE"""),187.0)</f>
        <v>187</v>
      </c>
      <c r="AH607" s="320">
        <f>IFERROR(__xludf.DUMMYFUNCTION("""COMPUTED_VALUE"""),51.8)</f>
        <v>51.8</v>
      </c>
      <c r="AI607" s="320">
        <f>IFERROR(__xludf.DUMMYFUNCTION("""COMPUTED_VALUE"""),11.97)</f>
        <v>11.97</v>
      </c>
      <c r="AJ607" s="320">
        <f>IFERROR(__xludf.DUMMYFUNCTION("""COMPUTED_VALUE"""),1.64)</f>
        <v>1.64</v>
      </c>
      <c r="AK607" s="320">
        <f>IFERROR(__xludf.DUMMYFUNCTION("""COMPUTED_VALUE"""),0.1098)</f>
        <v>0.1098</v>
      </c>
      <c r="AL607" s="320">
        <f>IFERROR(__xludf.DUMMYFUNCTION("""COMPUTED_VALUE"""),24.73)</f>
        <v>24.73</v>
      </c>
      <c r="AM607" s="320">
        <f>IFERROR(__xludf.DUMMYFUNCTION("""COMPUTED_VALUE"""),323.72)</f>
        <v>323.72</v>
      </c>
      <c r="AN607" s="320">
        <f>IFERROR(__xludf.DUMMYFUNCTION("""COMPUTED_VALUE"""),84.17)</f>
        <v>84.17</v>
      </c>
      <c r="AO607" s="320">
        <f>IFERROR(__xludf.DUMMYFUNCTION("""COMPUTED_VALUE"""),20.82)</f>
        <v>20.82</v>
      </c>
    </row>
    <row r="608" ht="15.0" customHeight="1">
      <c r="A608" s="328">
        <f>IFERROR(__xludf.DUMMYFUNCTION("""COMPUTED_VALUE"""),46151.0)</f>
        <v>46151</v>
      </c>
      <c r="B608" s="319" t="str">
        <f>IFERROR(__xludf.DUMMYFUNCTION("""COMPUTED_VALUE"""),"A. 0")</f>
        <v>A. 0</v>
      </c>
      <c r="C608" s="320">
        <f>IFERROR(__xludf.DUMMYFUNCTION("""COMPUTED_VALUE"""),19139.0)</f>
        <v>19139</v>
      </c>
      <c r="D608" s="320">
        <f>IFERROR(__xludf.DUMMYFUNCTION("""COMPUTED_VALUE"""),19.77)</f>
        <v>19.77</v>
      </c>
      <c r="E608" s="320">
        <f>IFERROR(__xludf.DUMMYFUNCTION("""COMPUTED_VALUE"""),0.0)</f>
        <v>0</v>
      </c>
      <c r="F608" s="320">
        <f>IFERROR(__xludf.DUMMYFUNCTION("""COMPUTED_VALUE"""),0.0)</f>
        <v>0</v>
      </c>
      <c r="G608" s="320">
        <f>IFERROR(__xludf.DUMMYFUNCTION("""COMPUTED_VALUE"""),0.0)</f>
        <v>0</v>
      </c>
      <c r="H608" s="106"/>
      <c r="I608" s="320">
        <f>IFERROR(__xludf.DUMMYFUNCTION("""COMPUTED_VALUE"""),6.01)</f>
        <v>6.01</v>
      </c>
      <c r="J608" s="320">
        <f>IFERROR(__xludf.DUMMYFUNCTION("""COMPUTED_VALUE"""),2.46)</f>
        <v>2.46</v>
      </c>
      <c r="K608" s="320">
        <f>IFERROR(__xludf.DUMMYFUNCTION("""COMPUTED_VALUE"""),0.03)</f>
        <v>0.03</v>
      </c>
      <c r="L608" s="320">
        <f>IFERROR(__xludf.DUMMYFUNCTION("""COMPUTED_VALUE"""),0.0133)</f>
        <v>0.0133</v>
      </c>
      <c r="M608" s="320">
        <f>IFERROR(__xludf.DUMMYFUNCTION("""COMPUTED_VALUE"""),0.9906)</f>
        <v>0.9906</v>
      </c>
      <c r="N608" s="320">
        <f>IFERROR(__xludf.DUMMYFUNCTION("""COMPUTED_VALUE"""),0.8835)</f>
        <v>0.8835</v>
      </c>
      <c r="O608" s="320">
        <f>IFERROR(__xludf.DUMMYFUNCTION("""COMPUTED_VALUE"""),75.248)</f>
        <v>75.248</v>
      </c>
      <c r="P608" s="320">
        <f>IFERROR(__xludf.DUMMYFUNCTION("""COMPUTED_VALUE"""),25.46)</f>
        <v>25.46</v>
      </c>
      <c r="Q608" s="320">
        <f>IFERROR(__xludf.DUMMYFUNCTION("""COMPUTED_VALUE"""),25.34)</f>
        <v>25.34</v>
      </c>
      <c r="R608" s="320">
        <f>IFERROR(__xludf.DUMMYFUNCTION("""COMPUTED_VALUE"""),0.11)</f>
        <v>0.11</v>
      </c>
      <c r="S608" s="320">
        <f>IFERROR(__xludf.DUMMYFUNCTION("""COMPUTED_VALUE"""),0.0)</f>
        <v>0</v>
      </c>
      <c r="T608" s="320">
        <f>IFERROR(__xludf.DUMMYFUNCTION("""COMPUTED_VALUE"""),25.46)</f>
        <v>25.46</v>
      </c>
      <c r="U608" s="320">
        <f>IFERROR(__xludf.DUMMYFUNCTION("""COMPUTED_VALUE"""),2.33)</f>
        <v>2.33</v>
      </c>
      <c r="V608" s="320">
        <f>IFERROR(__xludf.DUMMYFUNCTION("""COMPUTED_VALUE"""),0.9494)</f>
        <v>0.9494</v>
      </c>
      <c r="W608" s="320">
        <f>IFERROR(__xludf.DUMMYFUNCTION("""COMPUTED_VALUE"""),0.0)</f>
        <v>0</v>
      </c>
      <c r="X608" s="320">
        <f>IFERROR(__xludf.DUMMYFUNCTION("""COMPUTED_VALUE"""),336.0)</f>
        <v>336</v>
      </c>
      <c r="Y608" s="320">
        <f>IFERROR(__xludf.DUMMYFUNCTION("""COMPUTED_VALUE"""),3948.0)</f>
        <v>3948</v>
      </c>
      <c r="Z608" s="320">
        <f>IFERROR(__xludf.DUMMYFUNCTION("""COMPUTED_VALUE"""),14831.0)</f>
        <v>14831</v>
      </c>
      <c r="AA608" s="320">
        <f>IFERROR(__xludf.DUMMYFUNCTION("""COMPUTED_VALUE"""),49.0661)</f>
        <v>49.0661</v>
      </c>
      <c r="AB608" s="320">
        <f>IFERROR(__xludf.DUMMYFUNCTION("""COMPUTED_VALUE"""),0.5417)</f>
        <v>0.5417</v>
      </c>
      <c r="AC608" s="106"/>
      <c r="AD608" s="106"/>
      <c r="AE608" s="106"/>
      <c r="AF608" s="106"/>
      <c r="AG608" s="106"/>
      <c r="AH608" s="320">
        <f>IFERROR(__xludf.DUMMYFUNCTION("""COMPUTED_VALUE"""),0.0)</f>
        <v>0</v>
      </c>
      <c r="AI608" s="320">
        <f>IFERROR(__xludf.DUMMYFUNCTION("""COMPUTED_VALUE"""),0.0)</f>
        <v>0</v>
      </c>
      <c r="AJ608" s="320">
        <f>IFERROR(__xludf.DUMMYFUNCTION("""COMPUTED_VALUE"""),0.0)</f>
        <v>0</v>
      </c>
      <c r="AK608" s="320">
        <f>IFERROR(__xludf.DUMMYFUNCTION("""COMPUTED_VALUE"""),0.2887)</f>
        <v>0.2887</v>
      </c>
      <c r="AL608" s="320">
        <f>IFERROR(__xludf.DUMMYFUNCTION("""COMPUTED_VALUE"""),18.85)</f>
        <v>18.85</v>
      </c>
      <c r="AM608" s="320">
        <f>IFERROR(__xludf.DUMMYFUNCTION("""COMPUTED_VALUE"""),6.5)</f>
        <v>6.5</v>
      </c>
      <c r="AN608" s="331"/>
      <c r="AO608" s="331"/>
    </row>
    <row r="609" ht="15.0" customHeight="1">
      <c r="A609" s="328">
        <f>IFERROR(__xludf.DUMMYFUNCTION("""COMPUTED_VALUE"""),46151.0)</f>
        <v>46151</v>
      </c>
      <c r="B609" s="319" t="str">
        <f>IFERROR(__xludf.DUMMYFUNCTION("""COMPUTED_VALUE"""),"B. 1-9")</f>
        <v>B. 1-9</v>
      </c>
      <c r="C609" s="320">
        <f>IFERROR(__xludf.DUMMYFUNCTION("""COMPUTED_VALUE"""),35301.0)</f>
        <v>35301</v>
      </c>
      <c r="D609" s="320">
        <f>IFERROR(__xludf.DUMMYFUNCTION("""COMPUTED_VALUE"""),36.46)</f>
        <v>36.46</v>
      </c>
      <c r="E609" s="320">
        <f>IFERROR(__xludf.DUMMYFUNCTION("""COMPUTED_VALUE"""),0.0)</f>
        <v>0</v>
      </c>
      <c r="F609" s="320">
        <f>IFERROR(__xludf.DUMMYFUNCTION("""COMPUTED_VALUE"""),0.0)</f>
        <v>0</v>
      </c>
      <c r="G609" s="320">
        <f>IFERROR(__xludf.DUMMYFUNCTION("""COMPUTED_VALUE"""),0.0)</f>
        <v>0</v>
      </c>
      <c r="H609" s="106"/>
      <c r="I609" s="320">
        <f>IFERROR(__xludf.DUMMYFUNCTION("""COMPUTED_VALUE"""),29.14)</f>
        <v>29.14</v>
      </c>
      <c r="J609" s="320">
        <f>IFERROR(__xludf.DUMMYFUNCTION("""COMPUTED_VALUE"""),13.17)</f>
        <v>13.17</v>
      </c>
      <c r="K609" s="320">
        <f>IFERROR(__xludf.DUMMYFUNCTION("""COMPUTED_VALUE"""),5.71)</f>
        <v>5.71</v>
      </c>
      <c r="L609" s="320">
        <f>IFERROR(__xludf.DUMMYFUNCTION("""COMPUTED_VALUE"""),0.4333)</f>
        <v>0.4333</v>
      </c>
      <c r="M609" s="320">
        <f>IFERROR(__xludf.DUMMYFUNCTION("""COMPUTED_VALUE"""),0.7442)</f>
        <v>0.7442</v>
      </c>
      <c r="N609" s="320">
        <f>IFERROR(__xludf.DUMMYFUNCTION("""COMPUTED_VALUE"""),0.5492)</f>
        <v>0.5492</v>
      </c>
      <c r="O609" s="320">
        <f>IFERROR(__xludf.DUMMYFUNCTION("""COMPUTED_VALUE"""),2.3079)</f>
        <v>2.3079</v>
      </c>
      <c r="P609" s="320">
        <f>IFERROR(__xludf.DUMMYFUNCTION("""COMPUTED_VALUE"""),52.78)</f>
        <v>52.78</v>
      </c>
      <c r="Q609" s="320">
        <f>IFERROR(__xludf.DUMMYFUNCTION("""COMPUTED_VALUE"""),43.0)</f>
        <v>43</v>
      </c>
      <c r="R609" s="320">
        <f>IFERROR(__xludf.DUMMYFUNCTION("""COMPUTED_VALUE"""),9.78)</f>
        <v>9.78</v>
      </c>
      <c r="S609" s="320">
        <f>IFERROR(__xludf.DUMMYFUNCTION("""COMPUTED_VALUE"""),0.0)</f>
        <v>0</v>
      </c>
      <c r="T609" s="320">
        <f>IFERROR(__xludf.DUMMYFUNCTION("""COMPUTED_VALUE"""),52.78)</f>
        <v>52.78</v>
      </c>
      <c r="U609" s="320">
        <f>IFERROR(__xludf.DUMMYFUNCTION("""COMPUTED_VALUE"""),53.46)</f>
        <v>53.46</v>
      </c>
      <c r="V609" s="320">
        <f>IFERROR(__xludf.DUMMYFUNCTION("""COMPUTED_VALUE"""),4.0594)</f>
        <v>4.0594</v>
      </c>
      <c r="W609" s="320">
        <f>IFERROR(__xludf.DUMMYFUNCTION("""COMPUTED_VALUE"""),0.0)</f>
        <v>0</v>
      </c>
      <c r="X609" s="320">
        <f>IFERROR(__xludf.DUMMYFUNCTION("""COMPUTED_VALUE"""),151.0)</f>
        <v>151</v>
      </c>
      <c r="Y609" s="320">
        <f>IFERROR(__xludf.DUMMYFUNCTION("""COMPUTED_VALUE"""),934.0)</f>
        <v>934</v>
      </c>
      <c r="Z609" s="320">
        <f>IFERROR(__xludf.DUMMYFUNCTION("""COMPUTED_VALUE"""),6314.0)</f>
        <v>6314</v>
      </c>
      <c r="AA609" s="320">
        <f>IFERROR(__xludf.DUMMYFUNCTION("""COMPUTED_VALUE"""),48.871)</f>
        <v>48.871</v>
      </c>
      <c r="AB609" s="320">
        <f>IFERROR(__xludf.DUMMYFUNCTION("""COMPUTED_VALUE"""),0.5444)</f>
        <v>0.5444</v>
      </c>
      <c r="AC609" s="320">
        <f>IFERROR(__xludf.DUMMYFUNCTION("""COMPUTED_VALUE"""),4.05)</f>
        <v>4.05</v>
      </c>
      <c r="AD609" s="320">
        <f>IFERROR(__xludf.DUMMYFUNCTION("""COMPUTED_VALUE"""),1.0)</f>
        <v>1</v>
      </c>
      <c r="AE609" s="320">
        <f>IFERROR(__xludf.DUMMYFUNCTION("""COMPUTED_VALUE"""),3.0)</f>
        <v>3</v>
      </c>
      <c r="AF609" s="320">
        <f>IFERROR(__xludf.DUMMYFUNCTION("""COMPUTED_VALUE"""),5.0)</f>
        <v>5</v>
      </c>
      <c r="AG609" s="320">
        <f>IFERROR(__xludf.DUMMYFUNCTION("""COMPUTED_VALUE"""),9.0)</f>
        <v>9</v>
      </c>
      <c r="AH609" s="320">
        <f>IFERROR(__xludf.DUMMYFUNCTION("""COMPUTED_VALUE"""),72.65)</f>
        <v>72.65</v>
      </c>
      <c r="AI609" s="320">
        <f>IFERROR(__xludf.DUMMYFUNCTION("""COMPUTED_VALUE"""),31.09)</f>
        <v>31.09</v>
      </c>
      <c r="AJ609" s="320">
        <f>IFERROR(__xludf.DUMMYFUNCTION("""COMPUTED_VALUE"""),9.16)</f>
        <v>9.16</v>
      </c>
      <c r="AK609" s="320">
        <f>IFERROR(__xludf.DUMMYFUNCTION("""COMPUTED_VALUE"""),0.2529)</f>
        <v>0.2529</v>
      </c>
      <c r="AL609" s="320">
        <f>IFERROR(__xludf.DUMMYFUNCTION("""COMPUTED_VALUE"""),22.4)</f>
        <v>22.4</v>
      </c>
      <c r="AM609" s="320">
        <f>IFERROR(__xludf.DUMMYFUNCTION("""COMPUTED_VALUE"""),20.61)</f>
        <v>20.61</v>
      </c>
      <c r="AN609" s="320">
        <f>IFERROR(__xludf.DUMMYFUNCTION("""COMPUTED_VALUE"""),66.05)</f>
        <v>66.05</v>
      </c>
      <c r="AO609" s="320">
        <f>IFERROR(__xludf.DUMMYFUNCTION("""COMPUTED_VALUE"""),14.8)</f>
        <v>14.8</v>
      </c>
    </row>
    <row r="610" ht="15.0" customHeight="1">
      <c r="A610" s="328">
        <f>IFERROR(__xludf.DUMMYFUNCTION("""COMPUTED_VALUE"""),46151.0)</f>
        <v>46151</v>
      </c>
      <c r="B610" s="319" t="str">
        <f>IFERROR(__xludf.DUMMYFUNCTION("""COMPUTED_VALUE"""),"C. 10-19")</f>
        <v>C. 10-19</v>
      </c>
      <c r="C610" s="320">
        <f>IFERROR(__xludf.DUMMYFUNCTION("""COMPUTED_VALUE"""),23069.0)</f>
        <v>23069</v>
      </c>
      <c r="D610" s="320">
        <f>IFERROR(__xludf.DUMMYFUNCTION("""COMPUTED_VALUE"""),23.83)</f>
        <v>23.83</v>
      </c>
      <c r="E610" s="320">
        <f>IFERROR(__xludf.DUMMYFUNCTION("""COMPUTED_VALUE"""),0.0)</f>
        <v>0</v>
      </c>
      <c r="F610" s="320">
        <f>IFERROR(__xludf.DUMMYFUNCTION("""COMPUTED_VALUE"""),0.0)</f>
        <v>0</v>
      </c>
      <c r="G610" s="320">
        <f>IFERROR(__xludf.DUMMYFUNCTION("""COMPUTED_VALUE"""),0.0)</f>
        <v>0</v>
      </c>
      <c r="H610" s="106"/>
      <c r="I610" s="320">
        <f>IFERROR(__xludf.DUMMYFUNCTION("""COMPUTED_VALUE"""),53.47)</f>
        <v>53.47</v>
      </c>
      <c r="J610" s="320">
        <f>IFERROR(__xludf.DUMMYFUNCTION("""COMPUTED_VALUE"""),25.31)</f>
        <v>25.31</v>
      </c>
      <c r="K610" s="320">
        <f>IFERROR(__xludf.DUMMYFUNCTION("""COMPUTED_VALUE"""),13.97)</f>
        <v>13.97</v>
      </c>
      <c r="L610" s="320">
        <f>IFERROR(__xludf.DUMMYFUNCTION("""COMPUTED_VALUE"""),0.552)</f>
        <v>0.552</v>
      </c>
      <c r="M610" s="320">
        <f>IFERROR(__xludf.DUMMYFUNCTION("""COMPUTED_VALUE"""),0.6426)</f>
        <v>0.6426</v>
      </c>
      <c r="N610" s="320">
        <f>IFERROR(__xludf.DUMMYFUNCTION("""COMPUTED_VALUE"""),0.4508)</f>
        <v>0.4508</v>
      </c>
      <c r="O610" s="320">
        <f>IFERROR(__xludf.DUMMYFUNCTION("""COMPUTED_VALUE"""),1.8115)</f>
        <v>1.8115</v>
      </c>
      <c r="P610" s="320">
        <f>IFERROR(__xludf.DUMMYFUNCTION("""COMPUTED_VALUE"""),98.6)</f>
        <v>98.6</v>
      </c>
      <c r="Q610" s="320">
        <f>IFERROR(__xludf.DUMMYFUNCTION("""COMPUTED_VALUE"""),74.42)</f>
        <v>74.42</v>
      </c>
      <c r="R610" s="320">
        <f>IFERROR(__xludf.DUMMYFUNCTION("""COMPUTED_VALUE"""),24.18)</f>
        <v>24.18</v>
      </c>
      <c r="S610" s="320">
        <f>IFERROR(__xludf.DUMMYFUNCTION("""COMPUTED_VALUE"""),0.0)</f>
        <v>0</v>
      </c>
      <c r="T610" s="320">
        <f>IFERROR(__xludf.DUMMYFUNCTION("""COMPUTED_VALUE"""),98.6)</f>
        <v>98.6</v>
      </c>
      <c r="U610" s="320">
        <f>IFERROR(__xludf.DUMMYFUNCTION("""COMPUTED_VALUE"""),98.08)</f>
        <v>98.08</v>
      </c>
      <c r="V610" s="320">
        <f>IFERROR(__xludf.DUMMYFUNCTION("""COMPUTED_VALUE"""),3.875)</f>
        <v>3.875</v>
      </c>
      <c r="W610" s="320">
        <f>IFERROR(__xludf.DUMMYFUNCTION("""COMPUTED_VALUE"""),0.0)</f>
        <v>0</v>
      </c>
      <c r="X610" s="320">
        <f>IFERROR(__xludf.DUMMYFUNCTION("""COMPUTED_VALUE"""),135.0)</f>
        <v>135</v>
      </c>
      <c r="Y610" s="320">
        <f>IFERROR(__xludf.DUMMYFUNCTION("""COMPUTED_VALUE"""),753.0)</f>
        <v>753</v>
      </c>
      <c r="Z610" s="320">
        <f>IFERROR(__xludf.DUMMYFUNCTION("""COMPUTED_VALUE"""),5610.0)</f>
        <v>5610</v>
      </c>
      <c r="AA610" s="320">
        <f>IFERROR(__xludf.DUMMYFUNCTION("""COMPUTED_VALUE"""),52.3174)</f>
        <v>52.3174</v>
      </c>
      <c r="AB610" s="320">
        <f>IFERROR(__xludf.DUMMYFUNCTION("""COMPUTED_VALUE"""),0.6381)</f>
        <v>0.6381</v>
      </c>
      <c r="AC610" s="320">
        <f>IFERROR(__xludf.DUMMYFUNCTION("""COMPUTED_VALUE"""),9.62)</f>
        <v>9.62</v>
      </c>
      <c r="AD610" s="320">
        <f>IFERROR(__xludf.DUMMYFUNCTION("""COMPUTED_VALUE"""),3.0)</f>
        <v>3</v>
      </c>
      <c r="AE610" s="320">
        <f>IFERROR(__xludf.DUMMYFUNCTION("""COMPUTED_VALUE"""),8.0)</f>
        <v>8</v>
      </c>
      <c r="AF610" s="320">
        <f>IFERROR(__xludf.DUMMYFUNCTION("""COMPUTED_VALUE"""),13.0)</f>
        <v>13</v>
      </c>
      <c r="AG610" s="320">
        <f>IFERROR(__xludf.DUMMYFUNCTION("""COMPUTED_VALUE"""),20.0)</f>
        <v>20</v>
      </c>
      <c r="AH610" s="320">
        <f>IFERROR(__xludf.DUMMYFUNCTION("""COMPUTED_VALUE"""),60.39)</f>
        <v>60.39</v>
      </c>
      <c r="AI610" s="320">
        <f>IFERROR(__xludf.DUMMYFUNCTION("""COMPUTED_VALUE"""),27.15)</f>
        <v>27.15</v>
      </c>
      <c r="AJ610" s="320">
        <f>IFERROR(__xludf.DUMMYFUNCTION("""COMPUTED_VALUE"""),5.22)</f>
        <v>5.22</v>
      </c>
      <c r="AK610" s="320">
        <f>IFERROR(__xludf.DUMMYFUNCTION("""COMPUTED_VALUE"""),0.2108)</f>
        <v>0.2108</v>
      </c>
      <c r="AL610" s="320">
        <f>IFERROR(__xludf.DUMMYFUNCTION("""COMPUTED_VALUE"""),23.16)</f>
        <v>23.16</v>
      </c>
      <c r="AM610" s="320">
        <f>IFERROR(__xludf.DUMMYFUNCTION("""COMPUTED_VALUE"""),51.26)</f>
        <v>51.26</v>
      </c>
      <c r="AN610" s="320">
        <f>IFERROR(__xludf.DUMMYFUNCTION("""COMPUTED_VALUE"""),74.57)</f>
        <v>74.57</v>
      </c>
      <c r="AO610" s="320">
        <f>IFERROR(__xludf.DUMMYFUNCTION("""COMPUTED_VALUE"""),17.27)</f>
        <v>17.27</v>
      </c>
    </row>
    <row r="611" ht="15.0" customHeight="1">
      <c r="A611" s="328">
        <f>IFERROR(__xludf.DUMMYFUNCTION("""COMPUTED_VALUE"""),46151.0)</f>
        <v>46151</v>
      </c>
      <c r="B611" s="319" t="str">
        <f>IFERROR(__xludf.DUMMYFUNCTION("""COMPUTED_VALUE"""),"D. 20-39")</f>
        <v>D. 20-39</v>
      </c>
      <c r="C611" s="320">
        <f>IFERROR(__xludf.DUMMYFUNCTION("""COMPUTED_VALUE"""),13155.0)</f>
        <v>13155</v>
      </c>
      <c r="D611" s="320">
        <f>IFERROR(__xludf.DUMMYFUNCTION("""COMPUTED_VALUE"""),13.59)</f>
        <v>13.59</v>
      </c>
      <c r="E611" s="320">
        <f>IFERROR(__xludf.DUMMYFUNCTION("""COMPUTED_VALUE"""),0.0)</f>
        <v>0</v>
      </c>
      <c r="F611" s="320">
        <f>IFERROR(__xludf.DUMMYFUNCTION("""COMPUTED_VALUE"""),0.0)</f>
        <v>0</v>
      </c>
      <c r="G611" s="320">
        <f>IFERROR(__xludf.DUMMYFUNCTION("""COMPUTED_VALUE"""),0.0)</f>
        <v>0</v>
      </c>
      <c r="H611" s="106"/>
      <c r="I611" s="320">
        <f>IFERROR(__xludf.DUMMYFUNCTION("""COMPUTED_VALUE"""),81.11)</f>
        <v>81.11</v>
      </c>
      <c r="J611" s="320">
        <f>IFERROR(__xludf.DUMMYFUNCTION("""COMPUTED_VALUE"""),40.64)</f>
        <v>40.64</v>
      </c>
      <c r="K611" s="320">
        <f>IFERROR(__xludf.DUMMYFUNCTION("""COMPUTED_VALUE"""),27.26)</f>
        <v>27.26</v>
      </c>
      <c r="L611" s="320">
        <f>IFERROR(__xludf.DUMMYFUNCTION("""COMPUTED_VALUE"""),0.6708)</f>
        <v>0.6708</v>
      </c>
      <c r="M611" s="320">
        <f>IFERROR(__xludf.DUMMYFUNCTION("""COMPUTED_VALUE"""),0.5219)</f>
        <v>0.5219</v>
      </c>
      <c r="N611" s="320">
        <f>IFERROR(__xludf.DUMMYFUNCTION("""COMPUTED_VALUE"""),0.3625)</f>
        <v>0.3625</v>
      </c>
      <c r="O611" s="320">
        <f>IFERROR(__xludf.DUMMYFUNCTION("""COMPUTED_VALUE"""),1.4907)</f>
        <v>1.4907</v>
      </c>
      <c r="P611" s="320">
        <f>IFERROR(__xludf.DUMMYFUNCTION("""COMPUTED_VALUE"""),170.29)</f>
        <v>170.29</v>
      </c>
      <c r="Q611" s="320">
        <f>IFERROR(__xludf.DUMMYFUNCTION("""COMPUTED_VALUE"""),122.67)</f>
        <v>122.67</v>
      </c>
      <c r="R611" s="320">
        <f>IFERROR(__xludf.DUMMYFUNCTION("""COMPUTED_VALUE"""),47.62)</f>
        <v>47.62</v>
      </c>
      <c r="S611" s="320">
        <f>IFERROR(__xludf.DUMMYFUNCTION("""COMPUTED_VALUE"""),0.01)</f>
        <v>0.01</v>
      </c>
      <c r="T611" s="320">
        <f>IFERROR(__xludf.DUMMYFUNCTION("""COMPUTED_VALUE"""),170.28)</f>
        <v>170.28</v>
      </c>
      <c r="U611" s="320">
        <f>IFERROR(__xludf.DUMMYFUNCTION("""COMPUTED_VALUE"""),170.24)</f>
        <v>170.24</v>
      </c>
      <c r="V611" s="320">
        <f>IFERROR(__xludf.DUMMYFUNCTION("""COMPUTED_VALUE"""),4.1887)</f>
        <v>4.1887</v>
      </c>
      <c r="W611" s="320">
        <f>IFERROR(__xludf.DUMMYFUNCTION("""COMPUTED_VALUE"""),0.01)</f>
        <v>0.01</v>
      </c>
      <c r="X611" s="320">
        <f>IFERROR(__xludf.DUMMYFUNCTION("""COMPUTED_VALUE"""),165.0)</f>
        <v>165</v>
      </c>
      <c r="Y611" s="320">
        <f>IFERROR(__xludf.DUMMYFUNCTION("""COMPUTED_VALUE"""),968.0)</f>
        <v>968</v>
      </c>
      <c r="Z611" s="320">
        <f>IFERROR(__xludf.DUMMYFUNCTION("""COMPUTED_VALUE"""),6063.0)</f>
        <v>6063</v>
      </c>
      <c r="AA611" s="320">
        <f>IFERROR(__xludf.DUMMYFUNCTION("""COMPUTED_VALUE"""),55.6328)</f>
        <v>55.6328</v>
      </c>
      <c r="AB611" s="320">
        <f>IFERROR(__xludf.DUMMYFUNCTION("""COMPUTED_VALUE"""),0.7389)</f>
        <v>0.7389</v>
      </c>
      <c r="AC611" s="320">
        <f>IFERROR(__xludf.DUMMYFUNCTION("""COMPUTED_VALUE"""),18.6)</f>
        <v>18.6</v>
      </c>
      <c r="AD611" s="320">
        <f>IFERROR(__xludf.DUMMYFUNCTION("""COMPUTED_VALUE"""),7.0)</f>
        <v>7</v>
      </c>
      <c r="AE611" s="320">
        <f>IFERROR(__xludf.DUMMYFUNCTION("""COMPUTED_VALUE"""),14.0)</f>
        <v>14</v>
      </c>
      <c r="AF611" s="320">
        <f>IFERROR(__xludf.DUMMYFUNCTION("""COMPUTED_VALUE"""),25.0)</f>
        <v>25</v>
      </c>
      <c r="AG611" s="320">
        <f>IFERROR(__xludf.DUMMYFUNCTION("""COMPUTED_VALUE"""),39.0)</f>
        <v>39</v>
      </c>
      <c r="AH611" s="320">
        <f>IFERROR(__xludf.DUMMYFUNCTION("""COMPUTED_VALUE"""),61.22)</f>
        <v>61.22</v>
      </c>
      <c r="AI611" s="320">
        <f>IFERROR(__xludf.DUMMYFUNCTION("""COMPUTED_VALUE"""),24.91)</f>
        <v>24.91</v>
      </c>
      <c r="AJ611" s="320">
        <f>IFERROR(__xludf.DUMMYFUNCTION("""COMPUTED_VALUE"""),8.54)</f>
        <v>8.54</v>
      </c>
      <c r="AK611" s="320">
        <f>IFERROR(__xludf.DUMMYFUNCTION("""COMPUTED_VALUE"""),0.1912)</f>
        <v>0.1912</v>
      </c>
      <c r="AL611" s="320">
        <f>IFERROR(__xludf.DUMMYFUNCTION("""COMPUTED_VALUE"""),23.03)</f>
        <v>23.03</v>
      </c>
      <c r="AM611" s="320">
        <f>IFERROR(__xludf.DUMMYFUNCTION("""COMPUTED_VALUE"""),99.64)</f>
        <v>99.64</v>
      </c>
      <c r="AN611" s="320">
        <f>IFERROR(__xludf.DUMMYFUNCTION("""COMPUTED_VALUE"""),77.73)</f>
        <v>77.73</v>
      </c>
      <c r="AO611" s="320">
        <f>IFERROR(__xludf.DUMMYFUNCTION("""COMPUTED_VALUE"""),17.9)</f>
        <v>17.9</v>
      </c>
    </row>
    <row r="612" ht="15.0" customHeight="1">
      <c r="A612" s="328">
        <f>IFERROR(__xludf.DUMMYFUNCTION("""COMPUTED_VALUE"""),46151.0)</f>
        <v>46151</v>
      </c>
      <c r="B612" s="319" t="str">
        <f>IFERROR(__xludf.DUMMYFUNCTION("""COMPUTED_VALUE"""),"E. 40-99")</f>
        <v>E. 40-99</v>
      </c>
      <c r="C612" s="320">
        <f>IFERROR(__xludf.DUMMYFUNCTION("""COMPUTED_VALUE"""),5535.0)</f>
        <v>5535</v>
      </c>
      <c r="D612" s="320">
        <f>IFERROR(__xludf.DUMMYFUNCTION("""COMPUTED_VALUE"""),5.72)</f>
        <v>5.72</v>
      </c>
      <c r="E612" s="320">
        <f>IFERROR(__xludf.DUMMYFUNCTION("""COMPUTED_VALUE"""),0.0)</f>
        <v>0</v>
      </c>
      <c r="F612" s="320">
        <f>IFERROR(__xludf.DUMMYFUNCTION("""COMPUTED_VALUE"""),0.0)</f>
        <v>0</v>
      </c>
      <c r="G612" s="320">
        <f>IFERROR(__xludf.DUMMYFUNCTION("""COMPUTED_VALUE"""),0.0)</f>
        <v>0</v>
      </c>
      <c r="H612" s="106"/>
      <c r="I612" s="320">
        <f>IFERROR(__xludf.DUMMYFUNCTION("""COMPUTED_VALUE"""),127.1)</f>
        <v>127.1</v>
      </c>
      <c r="J612" s="320">
        <f>IFERROR(__xludf.DUMMYFUNCTION("""COMPUTED_VALUE"""),68.44)</f>
        <v>68.44</v>
      </c>
      <c r="K612" s="320">
        <f>IFERROR(__xludf.DUMMYFUNCTION("""COMPUTED_VALUE"""),55.26)</f>
        <v>55.26</v>
      </c>
      <c r="L612" s="320">
        <f>IFERROR(__xludf.DUMMYFUNCTION("""COMPUTED_VALUE"""),0.8074)</f>
        <v>0.8074</v>
      </c>
      <c r="M612" s="320">
        <f>IFERROR(__xludf.DUMMYFUNCTION("""COMPUTED_VALUE"""),0.3746)</f>
        <v>0.3746</v>
      </c>
      <c r="N612" s="320">
        <f>IFERROR(__xludf.DUMMYFUNCTION("""COMPUTED_VALUE"""),0.2719)</f>
        <v>0.2719</v>
      </c>
      <c r="O612" s="320">
        <f>IFERROR(__xludf.DUMMYFUNCTION("""COMPUTED_VALUE"""),1.2385)</f>
        <v>1.2385</v>
      </c>
      <c r="P612" s="320">
        <f>IFERROR(__xludf.DUMMYFUNCTION("""COMPUTED_VALUE"""),318.98)</f>
        <v>318.98</v>
      </c>
      <c r="Q612" s="320">
        <f>IFERROR(__xludf.DUMMYFUNCTION("""COMPUTED_VALUE"""),222.24)</f>
        <v>222.24</v>
      </c>
      <c r="R612" s="320">
        <f>IFERROR(__xludf.DUMMYFUNCTION("""COMPUTED_VALUE"""),96.74)</f>
        <v>96.74</v>
      </c>
      <c r="S612" s="320">
        <f>IFERROR(__xludf.DUMMYFUNCTION("""COMPUTED_VALUE"""),0.0)</f>
        <v>0</v>
      </c>
      <c r="T612" s="320">
        <f>IFERROR(__xludf.DUMMYFUNCTION("""COMPUTED_VALUE"""),318.98)</f>
        <v>318.98</v>
      </c>
      <c r="U612" s="320">
        <f>IFERROR(__xludf.DUMMYFUNCTION("""COMPUTED_VALUE"""),323.96)</f>
        <v>323.96</v>
      </c>
      <c r="V612" s="320">
        <f>IFERROR(__xludf.DUMMYFUNCTION("""COMPUTED_VALUE"""),4.7334)</f>
        <v>4.7334</v>
      </c>
      <c r="W612" s="320">
        <f>IFERROR(__xludf.DUMMYFUNCTION("""COMPUTED_VALUE"""),0.0)</f>
        <v>0</v>
      </c>
      <c r="X612" s="320">
        <f>IFERROR(__xludf.DUMMYFUNCTION("""COMPUTED_VALUE"""),338.0)</f>
        <v>338</v>
      </c>
      <c r="Y612" s="320">
        <f>IFERROR(__xludf.DUMMYFUNCTION("""COMPUTED_VALUE"""),2426.0)</f>
        <v>2426</v>
      </c>
      <c r="Z612" s="320">
        <f>IFERROR(__xludf.DUMMYFUNCTION("""COMPUTED_VALUE"""),9415.0)</f>
        <v>9415</v>
      </c>
      <c r="AA612" s="320">
        <f>IFERROR(__xludf.DUMMYFUNCTION("""COMPUTED_VALUE"""),59.4716)</f>
        <v>59.4716</v>
      </c>
      <c r="AB612" s="320">
        <f>IFERROR(__xludf.DUMMYFUNCTION("""COMPUTED_VALUE"""),0.8432)</f>
        <v>0.8432</v>
      </c>
      <c r="AC612" s="320">
        <f>IFERROR(__xludf.DUMMYFUNCTION("""COMPUTED_VALUE"""),39.49)</f>
        <v>39.49</v>
      </c>
      <c r="AD612" s="320">
        <f>IFERROR(__xludf.DUMMYFUNCTION("""COMPUTED_VALUE"""),15.0)</f>
        <v>15</v>
      </c>
      <c r="AE612" s="320">
        <f>IFERROR(__xludf.DUMMYFUNCTION("""COMPUTED_VALUE"""),31.0)</f>
        <v>31</v>
      </c>
      <c r="AF612" s="320">
        <f>IFERROR(__xludf.DUMMYFUNCTION("""COMPUTED_VALUE"""),55.0)</f>
        <v>55</v>
      </c>
      <c r="AG612" s="320">
        <f>IFERROR(__xludf.DUMMYFUNCTION("""COMPUTED_VALUE"""),81.0)</f>
        <v>81</v>
      </c>
      <c r="AH612" s="320">
        <f>IFERROR(__xludf.DUMMYFUNCTION("""COMPUTED_VALUE"""),55.01)</f>
        <v>55.01</v>
      </c>
      <c r="AI612" s="320">
        <f>IFERROR(__xludf.DUMMYFUNCTION("""COMPUTED_VALUE"""),22.13)</f>
        <v>22.13</v>
      </c>
      <c r="AJ612" s="320">
        <f>IFERROR(__xludf.DUMMYFUNCTION("""COMPUTED_VALUE"""),5.19)</f>
        <v>5.19</v>
      </c>
      <c r="AK612" s="320">
        <f>IFERROR(__xludf.DUMMYFUNCTION("""COMPUTED_VALUE"""),0.1462)</f>
        <v>0.1462</v>
      </c>
      <c r="AL612" s="320">
        <f>IFERROR(__xludf.DUMMYFUNCTION("""COMPUTED_VALUE"""),23.01)</f>
        <v>23.01</v>
      </c>
      <c r="AM612" s="320">
        <f>IFERROR(__xludf.DUMMYFUNCTION("""COMPUTED_VALUE"""),199.23)</f>
        <v>199.23</v>
      </c>
      <c r="AN612" s="320">
        <f>IFERROR(__xludf.DUMMYFUNCTION("""COMPUTED_VALUE"""),82.41)</f>
        <v>82.41</v>
      </c>
      <c r="AO612" s="320">
        <f>IFERROR(__xludf.DUMMYFUNCTION("""COMPUTED_VALUE"""),18.96)</f>
        <v>18.96</v>
      </c>
    </row>
    <row r="613" ht="15.0" customHeight="1">
      <c r="A613" s="328">
        <f>IFERROR(__xludf.DUMMYFUNCTION("""COMPUTED_VALUE"""),46151.0)</f>
        <v>46151</v>
      </c>
      <c r="B613" s="319" t="str">
        <f>IFERROR(__xludf.DUMMYFUNCTION("""COMPUTED_VALUE"""),"F. 100+")</f>
        <v>F. 100+</v>
      </c>
      <c r="C613" s="320">
        <f>IFERROR(__xludf.DUMMYFUNCTION("""COMPUTED_VALUE"""),618.0)</f>
        <v>618</v>
      </c>
      <c r="D613" s="320">
        <f>IFERROR(__xludf.DUMMYFUNCTION("""COMPUTED_VALUE"""),0.64)</f>
        <v>0.64</v>
      </c>
      <c r="E613" s="320">
        <f>IFERROR(__xludf.DUMMYFUNCTION("""COMPUTED_VALUE"""),0.0)</f>
        <v>0</v>
      </c>
      <c r="F613" s="320">
        <f>IFERROR(__xludf.DUMMYFUNCTION("""COMPUTED_VALUE"""),0.0)</f>
        <v>0</v>
      </c>
      <c r="G613" s="320">
        <f>IFERROR(__xludf.DUMMYFUNCTION("""COMPUTED_VALUE"""),0.0)</f>
        <v>0</v>
      </c>
      <c r="H613" s="106"/>
      <c r="I613" s="320">
        <f>IFERROR(__xludf.DUMMYFUNCTION("""COMPUTED_VALUE"""),232.44)</f>
        <v>232.44</v>
      </c>
      <c r="J613" s="320">
        <f>IFERROR(__xludf.DUMMYFUNCTION("""COMPUTED_VALUE"""),134.85)</f>
        <v>134.85</v>
      </c>
      <c r="K613" s="320">
        <f>IFERROR(__xludf.DUMMYFUNCTION("""COMPUTED_VALUE"""),120.33)</f>
        <v>120.33</v>
      </c>
      <c r="L613" s="320">
        <f>IFERROR(__xludf.DUMMYFUNCTION("""COMPUTED_VALUE"""),0.8923)</f>
        <v>0.8923</v>
      </c>
      <c r="M613" s="320">
        <f>IFERROR(__xludf.DUMMYFUNCTION("""COMPUTED_VALUE"""),0.2618)</f>
        <v>0.2618</v>
      </c>
      <c r="N613" s="320">
        <f>IFERROR(__xludf.DUMMYFUNCTION("""COMPUTED_VALUE"""),0.2036)</f>
        <v>0.2036</v>
      </c>
      <c r="O613" s="320">
        <f>IFERROR(__xludf.DUMMYFUNCTION("""COMPUTED_VALUE"""),1.1207)</f>
        <v>1.1207</v>
      </c>
      <c r="P613" s="320">
        <f>IFERROR(__xludf.DUMMYFUNCTION("""COMPUTED_VALUE"""),617.35)</f>
        <v>617.35</v>
      </c>
      <c r="Q613" s="320">
        <f>IFERROR(__xludf.DUMMYFUNCTION("""COMPUTED_VALUE"""),403.69)</f>
        <v>403.69</v>
      </c>
      <c r="R613" s="320">
        <f>IFERROR(__xludf.DUMMYFUNCTION("""COMPUTED_VALUE"""),213.66)</f>
        <v>213.66</v>
      </c>
      <c r="S613" s="320">
        <f>IFERROR(__xludf.DUMMYFUNCTION("""COMPUTED_VALUE"""),0.0)</f>
        <v>0</v>
      </c>
      <c r="T613" s="320">
        <f>IFERROR(__xludf.DUMMYFUNCTION("""COMPUTED_VALUE"""),617.35)</f>
        <v>617.35</v>
      </c>
      <c r="U613" s="320">
        <f>IFERROR(__xludf.DUMMYFUNCTION("""COMPUTED_VALUE"""),583.58)</f>
        <v>583.58</v>
      </c>
      <c r="V613" s="320">
        <f>IFERROR(__xludf.DUMMYFUNCTION("""COMPUTED_VALUE"""),4.3275)</f>
        <v>4.3275</v>
      </c>
      <c r="W613" s="320">
        <f>IFERROR(__xludf.DUMMYFUNCTION("""COMPUTED_VALUE"""),0.0)</f>
        <v>0</v>
      </c>
      <c r="X613" s="320">
        <f>IFERROR(__xludf.DUMMYFUNCTION("""COMPUTED_VALUE"""),1002.0)</f>
        <v>1002</v>
      </c>
      <c r="Y613" s="320">
        <f>IFERROR(__xludf.DUMMYFUNCTION("""COMPUTED_VALUE"""),4747.0)</f>
        <v>4747</v>
      </c>
      <c r="Z613" s="320">
        <f>IFERROR(__xludf.DUMMYFUNCTION("""COMPUTED_VALUE"""),13791.0)</f>
        <v>13791</v>
      </c>
      <c r="AA613" s="320">
        <f>IFERROR(__xludf.DUMMYFUNCTION("""COMPUTED_VALUE"""),62.7955)</f>
        <v>62.7955</v>
      </c>
      <c r="AB613" s="320">
        <f>IFERROR(__xludf.DUMMYFUNCTION("""COMPUTED_VALUE"""),0.8986)</f>
        <v>0.8986</v>
      </c>
      <c r="AC613" s="320">
        <f>IFERROR(__xludf.DUMMYFUNCTION("""COMPUTED_VALUE"""),87.2)</f>
        <v>87.2</v>
      </c>
      <c r="AD613" s="320">
        <f>IFERROR(__xludf.DUMMYFUNCTION("""COMPUTED_VALUE"""),33.0)</f>
        <v>33</v>
      </c>
      <c r="AE613" s="320">
        <f>IFERROR(__xludf.DUMMYFUNCTION("""COMPUTED_VALUE"""),72.0)</f>
        <v>72</v>
      </c>
      <c r="AF613" s="320">
        <f>IFERROR(__xludf.DUMMYFUNCTION("""COMPUTED_VALUE"""),125.0)</f>
        <v>125</v>
      </c>
      <c r="AG613" s="320">
        <f>IFERROR(__xludf.DUMMYFUNCTION("""COMPUTED_VALUE"""),172.0)</f>
        <v>172</v>
      </c>
      <c r="AH613" s="320">
        <f>IFERROR(__xludf.DUMMYFUNCTION("""COMPUTED_VALUE"""),45.63)</f>
        <v>45.63</v>
      </c>
      <c r="AI613" s="320">
        <f>IFERROR(__xludf.DUMMYFUNCTION("""COMPUTED_VALUE"""),9.55)</f>
        <v>9.55</v>
      </c>
      <c r="AJ613" s="320">
        <f>IFERROR(__xludf.DUMMYFUNCTION("""COMPUTED_VALUE"""),1.62)</f>
        <v>1.62</v>
      </c>
      <c r="AK613" s="320">
        <f>IFERROR(__xludf.DUMMYFUNCTION("""COMPUTED_VALUE"""),0.0906)</f>
        <v>0.0906</v>
      </c>
      <c r="AL613" s="320">
        <f>IFERROR(__xludf.DUMMYFUNCTION("""COMPUTED_VALUE"""),24.64)</f>
        <v>24.64</v>
      </c>
      <c r="AM613" s="320">
        <f>IFERROR(__xludf.DUMMYFUNCTION("""COMPUTED_VALUE"""),379.06)</f>
        <v>379.06</v>
      </c>
      <c r="AN613" s="320">
        <f>IFERROR(__xludf.DUMMYFUNCTION("""COMPUTED_VALUE"""),84.63)</f>
        <v>84.63</v>
      </c>
      <c r="AO613" s="320">
        <f>IFERROR(__xludf.DUMMYFUNCTION("""COMPUTED_VALUE"""),20.85)</f>
        <v>20.85</v>
      </c>
    </row>
    <row r="614" ht="15.0" customHeight="1">
      <c r="A614" s="328">
        <f>IFERROR(__xludf.DUMMYFUNCTION("""COMPUTED_VALUE"""),46152.0)</f>
        <v>46152</v>
      </c>
      <c r="B614" s="319" t="str">
        <f>IFERROR(__xludf.DUMMYFUNCTION("""COMPUTED_VALUE"""),"A. 0")</f>
        <v>A. 0</v>
      </c>
      <c r="C614" s="320">
        <f>IFERROR(__xludf.DUMMYFUNCTION("""COMPUTED_VALUE"""),19345.0)</f>
        <v>19345</v>
      </c>
      <c r="D614" s="320">
        <f>IFERROR(__xludf.DUMMYFUNCTION("""COMPUTED_VALUE"""),19.7)</f>
        <v>19.7</v>
      </c>
      <c r="E614" s="320">
        <f>IFERROR(__xludf.DUMMYFUNCTION("""COMPUTED_VALUE"""),0.0)</f>
        <v>0</v>
      </c>
      <c r="F614" s="320">
        <f>IFERROR(__xludf.DUMMYFUNCTION("""COMPUTED_VALUE"""),0.0)</f>
        <v>0</v>
      </c>
      <c r="G614" s="320">
        <f>IFERROR(__xludf.DUMMYFUNCTION("""COMPUTED_VALUE"""),0.0)</f>
        <v>0</v>
      </c>
      <c r="H614" s="106"/>
      <c r="I614" s="320">
        <f>IFERROR(__xludf.DUMMYFUNCTION("""COMPUTED_VALUE"""),6.1)</f>
        <v>6.1</v>
      </c>
      <c r="J614" s="320">
        <f>IFERROR(__xludf.DUMMYFUNCTION("""COMPUTED_VALUE"""),2.5)</f>
        <v>2.5</v>
      </c>
      <c r="K614" s="320">
        <f>IFERROR(__xludf.DUMMYFUNCTION("""COMPUTED_VALUE"""),0.03)</f>
        <v>0.03</v>
      </c>
      <c r="L614" s="320">
        <f>IFERROR(__xludf.DUMMYFUNCTION("""COMPUTED_VALUE"""),0.0124)</f>
        <v>0.0124</v>
      </c>
      <c r="M614" s="320">
        <f>IFERROR(__xludf.DUMMYFUNCTION("""COMPUTED_VALUE"""),0.9907)</f>
        <v>0.9907</v>
      </c>
      <c r="N614" s="320">
        <f>IFERROR(__xludf.DUMMYFUNCTION("""COMPUTED_VALUE"""),0.8772)</f>
        <v>0.8772</v>
      </c>
      <c r="O614" s="320">
        <f>IFERROR(__xludf.DUMMYFUNCTION("""COMPUTED_VALUE"""),80.5275)</f>
        <v>80.5275</v>
      </c>
      <c r="P614" s="320">
        <f>IFERROR(__xludf.DUMMYFUNCTION("""COMPUTED_VALUE"""),22.91)</f>
        <v>22.91</v>
      </c>
      <c r="Q614" s="320">
        <f>IFERROR(__xludf.DUMMYFUNCTION("""COMPUTED_VALUE"""),22.8)</f>
        <v>22.8</v>
      </c>
      <c r="R614" s="320">
        <f>IFERROR(__xludf.DUMMYFUNCTION("""COMPUTED_VALUE"""),0.11)</f>
        <v>0.11</v>
      </c>
      <c r="S614" s="320">
        <f>IFERROR(__xludf.DUMMYFUNCTION("""COMPUTED_VALUE"""),0.0)</f>
        <v>0</v>
      </c>
      <c r="T614" s="320">
        <f>IFERROR(__xludf.DUMMYFUNCTION("""COMPUTED_VALUE"""),22.91)</f>
        <v>22.91</v>
      </c>
      <c r="U614" s="320">
        <f>IFERROR(__xludf.DUMMYFUNCTION("""COMPUTED_VALUE"""),2.13)</f>
        <v>2.13</v>
      </c>
      <c r="V614" s="320">
        <f>IFERROR(__xludf.DUMMYFUNCTION("""COMPUTED_VALUE"""),0.8534)</f>
        <v>0.8534</v>
      </c>
      <c r="W614" s="320">
        <f>IFERROR(__xludf.DUMMYFUNCTION("""COMPUTED_VALUE"""),0.0)</f>
        <v>0</v>
      </c>
      <c r="X614" s="320">
        <f>IFERROR(__xludf.DUMMYFUNCTION("""COMPUTED_VALUE"""),328.0)</f>
        <v>328</v>
      </c>
      <c r="Y614" s="320">
        <f>IFERROR(__xludf.DUMMYFUNCTION("""COMPUTED_VALUE"""),4033.0)</f>
        <v>4033</v>
      </c>
      <c r="Z614" s="320">
        <f>IFERROR(__xludf.DUMMYFUNCTION("""COMPUTED_VALUE"""),15309.0)</f>
        <v>15309</v>
      </c>
      <c r="AA614" s="320">
        <f>IFERROR(__xludf.DUMMYFUNCTION("""COMPUTED_VALUE"""),49.1949)</f>
        <v>49.1949</v>
      </c>
      <c r="AB614" s="320">
        <f>IFERROR(__xludf.DUMMYFUNCTION("""COMPUTED_VALUE"""),0.5489)</f>
        <v>0.5489</v>
      </c>
      <c r="AC614" s="106"/>
      <c r="AD614" s="106"/>
      <c r="AE614" s="106"/>
      <c r="AF614" s="106"/>
      <c r="AG614" s="106"/>
      <c r="AH614" s="320">
        <f>IFERROR(__xludf.DUMMYFUNCTION("""COMPUTED_VALUE"""),0.0)</f>
        <v>0</v>
      </c>
      <c r="AI614" s="320">
        <f>IFERROR(__xludf.DUMMYFUNCTION("""COMPUTED_VALUE"""),0.0)</f>
        <v>0</v>
      </c>
      <c r="AJ614" s="320">
        <f>IFERROR(__xludf.DUMMYFUNCTION("""COMPUTED_VALUE"""),0.0)</f>
        <v>0</v>
      </c>
      <c r="AK614" s="320">
        <f>IFERROR(__xludf.DUMMYFUNCTION("""COMPUTED_VALUE"""),0.2933)</f>
        <v>0.2933</v>
      </c>
      <c r="AL614" s="320">
        <f>IFERROR(__xludf.DUMMYFUNCTION("""COMPUTED_VALUE"""),18.66)</f>
        <v>18.66</v>
      </c>
      <c r="AM614" s="320">
        <f>IFERROR(__xludf.DUMMYFUNCTION("""COMPUTED_VALUE"""),4.14)</f>
        <v>4.14</v>
      </c>
      <c r="AN614" s="331"/>
      <c r="AO614" s="331"/>
    </row>
    <row r="615" ht="15.0" customHeight="1">
      <c r="A615" s="328">
        <f>IFERROR(__xludf.DUMMYFUNCTION("""COMPUTED_VALUE"""),46152.0)</f>
        <v>46152</v>
      </c>
      <c r="B615" s="319" t="str">
        <f>IFERROR(__xludf.DUMMYFUNCTION("""COMPUTED_VALUE"""),"B. 1-9")</f>
        <v>B. 1-9</v>
      </c>
      <c r="C615" s="320">
        <f>IFERROR(__xludf.DUMMYFUNCTION("""COMPUTED_VALUE"""),35761.0)</f>
        <v>35761</v>
      </c>
      <c r="D615" s="320">
        <f>IFERROR(__xludf.DUMMYFUNCTION("""COMPUTED_VALUE"""),36.41)</f>
        <v>36.41</v>
      </c>
      <c r="E615" s="320">
        <f>IFERROR(__xludf.DUMMYFUNCTION("""COMPUTED_VALUE"""),0.0)</f>
        <v>0</v>
      </c>
      <c r="F615" s="320">
        <f>IFERROR(__xludf.DUMMYFUNCTION("""COMPUTED_VALUE"""),0.0)</f>
        <v>0</v>
      </c>
      <c r="G615" s="320">
        <f>IFERROR(__xludf.DUMMYFUNCTION("""COMPUTED_VALUE"""),0.0)</f>
        <v>0</v>
      </c>
      <c r="H615" s="106"/>
      <c r="I615" s="320">
        <f>IFERROR(__xludf.DUMMYFUNCTION("""COMPUTED_VALUE"""),32.45)</f>
        <v>32.45</v>
      </c>
      <c r="J615" s="320">
        <f>IFERROR(__xludf.DUMMYFUNCTION("""COMPUTED_VALUE"""),14.98)</f>
        <v>14.98</v>
      </c>
      <c r="K615" s="320">
        <f>IFERROR(__xludf.DUMMYFUNCTION("""COMPUTED_VALUE"""),5.85)</f>
        <v>5.85</v>
      </c>
      <c r="L615" s="320">
        <f>IFERROR(__xludf.DUMMYFUNCTION("""COMPUTED_VALUE"""),0.3907)</f>
        <v>0.3907</v>
      </c>
      <c r="M615" s="320">
        <f>IFERROR(__xludf.DUMMYFUNCTION("""COMPUTED_VALUE"""),0.7712)</f>
        <v>0.7712</v>
      </c>
      <c r="N615" s="320">
        <f>IFERROR(__xludf.DUMMYFUNCTION("""COMPUTED_VALUE"""),0.5636)</f>
        <v>0.5636</v>
      </c>
      <c r="O615" s="320">
        <f>IFERROR(__xludf.DUMMYFUNCTION("""COMPUTED_VALUE"""),2.5592)</f>
        <v>2.5592</v>
      </c>
      <c r="P615" s="320">
        <f>IFERROR(__xludf.DUMMYFUNCTION("""COMPUTED_VALUE"""),47.47)</f>
        <v>47.47</v>
      </c>
      <c r="Q615" s="320">
        <f>IFERROR(__xludf.DUMMYFUNCTION("""COMPUTED_VALUE"""),37.3)</f>
        <v>37.3</v>
      </c>
      <c r="R615" s="320">
        <f>IFERROR(__xludf.DUMMYFUNCTION("""COMPUTED_VALUE"""),10.16)</f>
        <v>10.16</v>
      </c>
      <c r="S615" s="320">
        <f>IFERROR(__xludf.DUMMYFUNCTION("""COMPUTED_VALUE"""),0.01)</f>
        <v>0.01</v>
      </c>
      <c r="T615" s="320">
        <f>IFERROR(__xludf.DUMMYFUNCTION("""COMPUTED_VALUE"""),47.46)</f>
        <v>47.46</v>
      </c>
      <c r="U615" s="320">
        <f>IFERROR(__xludf.DUMMYFUNCTION("""COMPUTED_VALUE"""),51.87)</f>
        <v>51.87</v>
      </c>
      <c r="V615" s="320">
        <f>IFERROR(__xludf.DUMMYFUNCTION("""COMPUTED_VALUE"""),3.4629)</f>
        <v>3.4629</v>
      </c>
      <c r="W615" s="320">
        <f>IFERROR(__xludf.DUMMYFUNCTION("""COMPUTED_VALUE"""),0.01)</f>
        <v>0.01</v>
      </c>
      <c r="X615" s="320">
        <f>IFERROR(__xludf.DUMMYFUNCTION("""COMPUTED_VALUE"""),139.0)</f>
        <v>139</v>
      </c>
      <c r="Y615" s="320">
        <f>IFERROR(__xludf.DUMMYFUNCTION("""COMPUTED_VALUE"""),901.0)</f>
        <v>901</v>
      </c>
      <c r="Z615" s="320">
        <f>IFERROR(__xludf.DUMMYFUNCTION("""COMPUTED_VALUE"""),6180.0)</f>
        <v>6180</v>
      </c>
      <c r="AA615" s="320">
        <f>IFERROR(__xludf.DUMMYFUNCTION("""COMPUTED_VALUE"""),48.8911)</f>
        <v>48.8911</v>
      </c>
      <c r="AB615" s="320">
        <f>IFERROR(__xludf.DUMMYFUNCTION("""COMPUTED_VALUE"""),0.5442)</f>
        <v>0.5442</v>
      </c>
      <c r="AC615" s="320">
        <f>IFERROR(__xludf.DUMMYFUNCTION("""COMPUTED_VALUE"""),4.05)</f>
        <v>4.05</v>
      </c>
      <c r="AD615" s="320">
        <f>IFERROR(__xludf.DUMMYFUNCTION("""COMPUTED_VALUE"""),1.0)</f>
        <v>1</v>
      </c>
      <c r="AE615" s="320">
        <f>IFERROR(__xludf.DUMMYFUNCTION("""COMPUTED_VALUE"""),3.0)</f>
        <v>3</v>
      </c>
      <c r="AF615" s="320">
        <f>IFERROR(__xludf.DUMMYFUNCTION("""COMPUTED_VALUE"""),5.0)</f>
        <v>5</v>
      </c>
      <c r="AG615" s="320">
        <f>IFERROR(__xludf.DUMMYFUNCTION("""COMPUTED_VALUE"""),9.0)</f>
        <v>9</v>
      </c>
      <c r="AH615" s="320">
        <f>IFERROR(__xludf.DUMMYFUNCTION("""COMPUTED_VALUE"""),73.31)</f>
        <v>73.31</v>
      </c>
      <c r="AI615" s="320">
        <f>IFERROR(__xludf.DUMMYFUNCTION("""COMPUTED_VALUE"""),31.03)</f>
        <v>31.03</v>
      </c>
      <c r="AJ615" s="320">
        <f>IFERROR(__xludf.DUMMYFUNCTION("""COMPUTED_VALUE"""),8.86)</f>
        <v>8.86</v>
      </c>
      <c r="AK615" s="320">
        <f>IFERROR(__xludf.DUMMYFUNCTION("""COMPUTED_VALUE"""),0.2589)</f>
        <v>0.2589</v>
      </c>
      <c r="AL615" s="320">
        <f>IFERROR(__xludf.DUMMYFUNCTION("""COMPUTED_VALUE"""),20.95)</f>
        <v>20.95</v>
      </c>
      <c r="AM615" s="320">
        <f>IFERROR(__xludf.DUMMYFUNCTION("""COMPUTED_VALUE"""),16.36)</f>
        <v>16.36</v>
      </c>
      <c r="AN615" s="320">
        <f>IFERROR(__xludf.DUMMYFUNCTION("""COMPUTED_VALUE"""),65.62)</f>
        <v>65.62</v>
      </c>
      <c r="AO615" s="320">
        <f>IFERROR(__xludf.DUMMYFUNCTION("""COMPUTED_VALUE"""),13.75)</f>
        <v>13.75</v>
      </c>
    </row>
    <row r="616" ht="15.0" customHeight="1">
      <c r="A616" s="328">
        <f>IFERROR(__xludf.DUMMYFUNCTION("""COMPUTED_VALUE"""),46152.0)</f>
        <v>46152</v>
      </c>
      <c r="B616" s="319" t="str">
        <f>IFERROR(__xludf.DUMMYFUNCTION("""COMPUTED_VALUE"""),"C. 10-19")</f>
        <v>C. 10-19</v>
      </c>
      <c r="C616" s="320">
        <f>IFERROR(__xludf.DUMMYFUNCTION("""COMPUTED_VALUE"""),23413.0)</f>
        <v>23413</v>
      </c>
      <c r="D616" s="320">
        <f>IFERROR(__xludf.DUMMYFUNCTION("""COMPUTED_VALUE"""),23.84)</f>
        <v>23.84</v>
      </c>
      <c r="E616" s="320">
        <f>IFERROR(__xludf.DUMMYFUNCTION("""COMPUTED_VALUE"""),0.0)</f>
        <v>0</v>
      </c>
      <c r="F616" s="320">
        <f>IFERROR(__xludf.DUMMYFUNCTION("""COMPUTED_VALUE"""),0.0)</f>
        <v>0</v>
      </c>
      <c r="G616" s="320">
        <f>IFERROR(__xludf.DUMMYFUNCTION("""COMPUTED_VALUE"""),0.0)</f>
        <v>0</v>
      </c>
      <c r="H616" s="106"/>
      <c r="I616" s="320">
        <f>IFERROR(__xludf.DUMMYFUNCTION("""COMPUTED_VALUE"""),60.52)</f>
        <v>60.52</v>
      </c>
      <c r="J616" s="320">
        <f>IFERROR(__xludf.DUMMYFUNCTION("""COMPUTED_VALUE"""),29.1)</f>
        <v>29.1</v>
      </c>
      <c r="K616" s="320">
        <f>IFERROR(__xludf.DUMMYFUNCTION("""COMPUTED_VALUE"""),14.69)</f>
        <v>14.69</v>
      </c>
      <c r="L616" s="320">
        <f>IFERROR(__xludf.DUMMYFUNCTION("""COMPUTED_VALUE"""),0.5048)</f>
        <v>0.5048</v>
      </c>
      <c r="M616" s="320">
        <f>IFERROR(__xludf.DUMMYFUNCTION("""COMPUTED_VALUE"""),0.6754)</f>
        <v>0.6754</v>
      </c>
      <c r="N616" s="320">
        <f>IFERROR(__xludf.DUMMYFUNCTION("""COMPUTED_VALUE"""),0.4646)</f>
        <v>0.4646</v>
      </c>
      <c r="O616" s="320">
        <f>IFERROR(__xludf.DUMMYFUNCTION("""COMPUTED_VALUE"""),1.9811)</f>
        <v>1.9811</v>
      </c>
      <c r="P616" s="320">
        <f>IFERROR(__xludf.DUMMYFUNCTION("""COMPUTED_VALUE"""),84.85)</f>
        <v>84.85</v>
      </c>
      <c r="Q616" s="320">
        <f>IFERROR(__xludf.DUMMYFUNCTION("""COMPUTED_VALUE"""),59.21)</f>
        <v>59.21</v>
      </c>
      <c r="R616" s="320">
        <f>IFERROR(__xludf.DUMMYFUNCTION("""COMPUTED_VALUE"""),25.64)</f>
        <v>25.64</v>
      </c>
      <c r="S616" s="320">
        <f>IFERROR(__xludf.DUMMYFUNCTION("""COMPUTED_VALUE"""),0.0)</f>
        <v>0</v>
      </c>
      <c r="T616" s="320">
        <f>IFERROR(__xludf.DUMMYFUNCTION("""COMPUTED_VALUE"""),84.84)</f>
        <v>84.84</v>
      </c>
      <c r="U616" s="320">
        <f>IFERROR(__xludf.DUMMYFUNCTION("""COMPUTED_VALUE"""),94.94)</f>
        <v>94.94</v>
      </c>
      <c r="V616" s="320">
        <f>IFERROR(__xludf.DUMMYFUNCTION("""COMPUTED_VALUE"""),3.2629)</f>
        <v>3.2629</v>
      </c>
      <c r="W616" s="320">
        <f>IFERROR(__xludf.DUMMYFUNCTION("""COMPUTED_VALUE"""),0.0)</f>
        <v>0</v>
      </c>
      <c r="X616" s="320">
        <f>IFERROR(__xludf.DUMMYFUNCTION("""COMPUTED_VALUE"""),118.0)</f>
        <v>118</v>
      </c>
      <c r="Y616" s="320">
        <f>IFERROR(__xludf.DUMMYFUNCTION("""COMPUTED_VALUE"""),702.0)</f>
        <v>702</v>
      </c>
      <c r="Z616" s="320">
        <f>IFERROR(__xludf.DUMMYFUNCTION("""COMPUTED_VALUE"""),5118.0)</f>
        <v>5118</v>
      </c>
      <c r="AA616" s="320">
        <f>IFERROR(__xludf.DUMMYFUNCTION("""COMPUTED_VALUE"""),52.2376)</f>
        <v>52.2376</v>
      </c>
      <c r="AB616" s="320">
        <f>IFERROR(__xludf.DUMMYFUNCTION("""COMPUTED_VALUE"""),0.6371)</f>
        <v>0.6371</v>
      </c>
      <c r="AC616" s="320">
        <f>IFERROR(__xludf.DUMMYFUNCTION("""COMPUTED_VALUE"""),9.68)</f>
        <v>9.68</v>
      </c>
      <c r="AD616" s="320">
        <f>IFERROR(__xludf.DUMMYFUNCTION("""COMPUTED_VALUE"""),4.0)</f>
        <v>4</v>
      </c>
      <c r="AE616" s="320">
        <f>IFERROR(__xludf.DUMMYFUNCTION("""COMPUTED_VALUE"""),7.0)</f>
        <v>7</v>
      </c>
      <c r="AF616" s="320">
        <f>IFERROR(__xludf.DUMMYFUNCTION("""COMPUTED_VALUE"""),13.0)</f>
        <v>13</v>
      </c>
      <c r="AG616" s="320">
        <f>IFERROR(__xludf.DUMMYFUNCTION("""COMPUTED_VALUE"""),20.0)</f>
        <v>20</v>
      </c>
      <c r="AH616" s="320">
        <f>IFERROR(__xludf.DUMMYFUNCTION("""COMPUTED_VALUE"""),60.92)</f>
        <v>60.92</v>
      </c>
      <c r="AI616" s="320">
        <f>IFERROR(__xludf.DUMMYFUNCTION("""COMPUTED_VALUE"""),27.12)</f>
        <v>27.12</v>
      </c>
      <c r="AJ616" s="320">
        <f>IFERROR(__xludf.DUMMYFUNCTION("""COMPUTED_VALUE"""),5.44)</f>
        <v>5.44</v>
      </c>
      <c r="AK616" s="320">
        <f>IFERROR(__xludf.DUMMYFUNCTION("""COMPUTED_VALUE"""),0.2158)</f>
        <v>0.2158</v>
      </c>
      <c r="AL616" s="320">
        <f>IFERROR(__xludf.DUMMYFUNCTION("""COMPUTED_VALUE"""),21.82)</f>
        <v>21.82</v>
      </c>
      <c r="AM616" s="320">
        <f>IFERROR(__xludf.DUMMYFUNCTION("""COMPUTED_VALUE"""),37.39)</f>
        <v>37.39</v>
      </c>
      <c r="AN616" s="320">
        <f>IFERROR(__xludf.DUMMYFUNCTION("""COMPUTED_VALUE"""),74.19)</f>
        <v>74.19</v>
      </c>
      <c r="AO616" s="320">
        <f>IFERROR(__xludf.DUMMYFUNCTION("""COMPUTED_VALUE"""),16.19)</f>
        <v>16.19</v>
      </c>
    </row>
    <row r="617" ht="15.0" customHeight="1">
      <c r="A617" s="328">
        <f>IFERROR(__xludf.DUMMYFUNCTION("""COMPUTED_VALUE"""),46152.0)</f>
        <v>46152</v>
      </c>
      <c r="B617" s="319" t="str">
        <f>IFERROR(__xludf.DUMMYFUNCTION("""COMPUTED_VALUE"""),"D. 20-39")</f>
        <v>D. 20-39</v>
      </c>
      <c r="C617" s="320">
        <f>IFERROR(__xludf.DUMMYFUNCTION("""COMPUTED_VALUE"""),13448.0)</f>
        <v>13448</v>
      </c>
      <c r="D617" s="320">
        <f>IFERROR(__xludf.DUMMYFUNCTION("""COMPUTED_VALUE"""),13.69)</f>
        <v>13.69</v>
      </c>
      <c r="E617" s="320">
        <f>IFERROR(__xludf.DUMMYFUNCTION("""COMPUTED_VALUE"""),0.0)</f>
        <v>0</v>
      </c>
      <c r="F617" s="320">
        <f>IFERROR(__xludf.DUMMYFUNCTION("""COMPUTED_VALUE"""),0.0)</f>
        <v>0</v>
      </c>
      <c r="G617" s="320">
        <f>IFERROR(__xludf.DUMMYFUNCTION("""COMPUTED_VALUE"""),0.0)</f>
        <v>0</v>
      </c>
      <c r="H617" s="106"/>
      <c r="I617" s="320">
        <f>IFERROR(__xludf.DUMMYFUNCTION("""COMPUTED_VALUE"""),88.38)</f>
        <v>88.38</v>
      </c>
      <c r="J617" s="320">
        <f>IFERROR(__xludf.DUMMYFUNCTION("""COMPUTED_VALUE"""),44.85)</f>
        <v>44.85</v>
      </c>
      <c r="K617" s="320">
        <f>IFERROR(__xludf.DUMMYFUNCTION("""COMPUTED_VALUE"""),28.7)</f>
        <v>28.7</v>
      </c>
      <c r="L617" s="320">
        <f>IFERROR(__xludf.DUMMYFUNCTION("""COMPUTED_VALUE"""),0.6398)</f>
        <v>0.6398</v>
      </c>
      <c r="M617" s="320">
        <f>IFERROR(__xludf.DUMMYFUNCTION("""COMPUTED_VALUE"""),0.544)</f>
        <v>0.544</v>
      </c>
      <c r="N617" s="320">
        <f>IFERROR(__xludf.DUMMYFUNCTION("""COMPUTED_VALUE"""),0.3683)</f>
        <v>0.3683</v>
      </c>
      <c r="O617" s="320">
        <f>IFERROR(__xludf.DUMMYFUNCTION("""COMPUTED_VALUE"""),1.5629)</f>
        <v>1.5629</v>
      </c>
      <c r="P617" s="320">
        <f>IFERROR(__xludf.DUMMYFUNCTION("""COMPUTED_VALUE"""),143.18)</f>
        <v>143.18</v>
      </c>
      <c r="Q617" s="320">
        <f>IFERROR(__xludf.DUMMYFUNCTION("""COMPUTED_VALUE"""),93.07)</f>
        <v>93.07</v>
      </c>
      <c r="R617" s="320">
        <f>IFERROR(__xludf.DUMMYFUNCTION("""COMPUTED_VALUE"""),50.11)</f>
        <v>50.11</v>
      </c>
      <c r="S617" s="320">
        <f>IFERROR(__xludf.DUMMYFUNCTION("""COMPUTED_VALUE"""),0.0)</f>
        <v>0</v>
      </c>
      <c r="T617" s="320">
        <f>IFERROR(__xludf.DUMMYFUNCTION("""COMPUTED_VALUE"""),143.18)</f>
        <v>143.18</v>
      </c>
      <c r="U617" s="320">
        <f>IFERROR(__xludf.DUMMYFUNCTION("""COMPUTED_VALUE"""),169.33)</f>
        <v>169.33</v>
      </c>
      <c r="V617" s="320">
        <f>IFERROR(__xludf.DUMMYFUNCTION("""COMPUTED_VALUE"""),3.7753)</f>
        <v>3.7753</v>
      </c>
      <c r="W617" s="320">
        <f>IFERROR(__xludf.DUMMYFUNCTION("""COMPUTED_VALUE"""),0.0)</f>
        <v>0</v>
      </c>
      <c r="X617" s="320">
        <f>IFERROR(__xludf.DUMMYFUNCTION("""COMPUTED_VALUE"""),143.0)</f>
        <v>143</v>
      </c>
      <c r="Y617" s="320">
        <f>IFERROR(__xludf.DUMMYFUNCTION("""COMPUTED_VALUE"""),938.0)</f>
        <v>938</v>
      </c>
      <c r="Z617" s="320">
        <f>IFERROR(__xludf.DUMMYFUNCTION("""COMPUTED_VALUE"""),5985.0)</f>
        <v>5985</v>
      </c>
      <c r="AA617" s="320">
        <f>IFERROR(__xludf.DUMMYFUNCTION("""COMPUTED_VALUE"""),55.607)</f>
        <v>55.607</v>
      </c>
      <c r="AB617" s="320">
        <f>IFERROR(__xludf.DUMMYFUNCTION("""COMPUTED_VALUE"""),0.7438)</f>
        <v>0.7438</v>
      </c>
      <c r="AC617" s="320">
        <f>IFERROR(__xludf.DUMMYFUNCTION("""COMPUTED_VALUE"""),19.08)</f>
        <v>19.08</v>
      </c>
      <c r="AD617" s="320">
        <f>IFERROR(__xludf.DUMMYFUNCTION("""COMPUTED_VALUE"""),8.0)</f>
        <v>8</v>
      </c>
      <c r="AE617" s="320">
        <f>IFERROR(__xludf.DUMMYFUNCTION("""COMPUTED_VALUE"""),15.0)</f>
        <v>15</v>
      </c>
      <c r="AF617" s="320">
        <f>IFERROR(__xludf.DUMMYFUNCTION("""COMPUTED_VALUE"""),26.0)</f>
        <v>26</v>
      </c>
      <c r="AG617" s="320">
        <f>IFERROR(__xludf.DUMMYFUNCTION("""COMPUTED_VALUE"""),40.0)</f>
        <v>40</v>
      </c>
      <c r="AH617" s="320">
        <f>IFERROR(__xludf.DUMMYFUNCTION("""COMPUTED_VALUE"""),62.4)</f>
        <v>62.4</v>
      </c>
      <c r="AI617" s="320">
        <f>IFERROR(__xludf.DUMMYFUNCTION("""COMPUTED_VALUE"""),26.19)</f>
        <v>26.19</v>
      </c>
      <c r="AJ617" s="320">
        <f>IFERROR(__xludf.DUMMYFUNCTION("""COMPUTED_VALUE"""),9.17)</f>
        <v>9.17</v>
      </c>
      <c r="AK617" s="320">
        <f>IFERROR(__xludf.DUMMYFUNCTION("""COMPUTED_VALUE"""),0.1991)</f>
        <v>0.1991</v>
      </c>
      <c r="AL617" s="320">
        <f>IFERROR(__xludf.DUMMYFUNCTION("""COMPUTED_VALUE"""),21.88)</f>
        <v>21.88</v>
      </c>
      <c r="AM617" s="320">
        <f>IFERROR(__xludf.DUMMYFUNCTION("""COMPUTED_VALUE"""),71.19)</f>
        <v>71.19</v>
      </c>
      <c r="AN617" s="320">
        <f>IFERROR(__xludf.DUMMYFUNCTION("""COMPUTED_VALUE"""),76.91)</f>
        <v>76.91</v>
      </c>
      <c r="AO617" s="320">
        <f>IFERROR(__xludf.DUMMYFUNCTION("""COMPUTED_VALUE"""),16.83)</f>
        <v>16.83</v>
      </c>
    </row>
    <row r="618" ht="15.0" customHeight="1">
      <c r="A618" s="328">
        <f>IFERROR(__xludf.DUMMYFUNCTION("""COMPUTED_VALUE"""),46152.0)</f>
        <v>46152</v>
      </c>
      <c r="B618" s="319" t="str">
        <f>IFERROR(__xludf.DUMMYFUNCTION("""COMPUTED_VALUE"""),"E. 40-99")</f>
        <v>E. 40-99</v>
      </c>
      <c r="C618" s="320">
        <f>IFERROR(__xludf.DUMMYFUNCTION("""COMPUTED_VALUE"""),5631.0)</f>
        <v>5631</v>
      </c>
      <c r="D618" s="320">
        <f>IFERROR(__xludf.DUMMYFUNCTION("""COMPUTED_VALUE"""),5.73)</f>
        <v>5.73</v>
      </c>
      <c r="E618" s="320">
        <f>IFERROR(__xludf.DUMMYFUNCTION("""COMPUTED_VALUE"""),0.0)</f>
        <v>0</v>
      </c>
      <c r="F618" s="320">
        <f>IFERROR(__xludf.DUMMYFUNCTION("""COMPUTED_VALUE"""),0.0)</f>
        <v>0</v>
      </c>
      <c r="G618" s="320">
        <f>IFERROR(__xludf.DUMMYFUNCTION("""COMPUTED_VALUE"""),0.0)</f>
        <v>0</v>
      </c>
      <c r="H618" s="106"/>
      <c r="I618" s="320">
        <f>IFERROR(__xludf.DUMMYFUNCTION("""COMPUTED_VALUE"""),132.87)</f>
        <v>132.87</v>
      </c>
      <c r="J618" s="320">
        <f>IFERROR(__xludf.DUMMYFUNCTION("""COMPUTED_VALUE"""),72.47)</f>
        <v>72.47</v>
      </c>
      <c r="K618" s="320">
        <f>IFERROR(__xludf.DUMMYFUNCTION("""COMPUTED_VALUE"""),56.77)</f>
        <v>56.77</v>
      </c>
      <c r="L618" s="320">
        <f>IFERROR(__xludf.DUMMYFUNCTION("""COMPUTED_VALUE"""),0.7834)</f>
        <v>0.7834</v>
      </c>
      <c r="M618" s="320">
        <f>IFERROR(__xludf.DUMMYFUNCTION("""COMPUTED_VALUE"""),0.3915)</f>
        <v>0.3915</v>
      </c>
      <c r="N618" s="320">
        <f>IFERROR(__xludf.DUMMYFUNCTION("""COMPUTED_VALUE"""),0.2754)</f>
        <v>0.2754</v>
      </c>
      <c r="O618" s="320">
        <f>IFERROR(__xludf.DUMMYFUNCTION("""COMPUTED_VALUE"""),1.2764)</f>
        <v>1.2764</v>
      </c>
      <c r="P618" s="320">
        <f>IFERROR(__xludf.DUMMYFUNCTION("""COMPUTED_VALUE"""),242.55)</f>
        <v>242.55</v>
      </c>
      <c r="Q618" s="320">
        <f>IFERROR(__xludf.DUMMYFUNCTION("""COMPUTED_VALUE"""),143.29)</f>
        <v>143.29</v>
      </c>
      <c r="R618" s="320">
        <f>IFERROR(__xludf.DUMMYFUNCTION("""COMPUTED_VALUE"""),99.26)</f>
        <v>99.26</v>
      </c>
      <c r="S618" s="320">
        <f>IFERROR(__xludf.DUMMYFUNCTION("""COMPUTED_VALUE"""),0.0)</f>
        <v>0</v>
      </c>
      <c r="T618" s="320">
        <f>IFERROR(__xludf.DUMMYFUNCTION("""COMPUTED_VALUE"""),242.55)</f>
        <v>242.55</v>
      </c>
      <c r="U618" s="320">
        <f>IFERROR(__xludf.DUMMYFUNCTION("""COMPUTED_VALUE"""),305.35)</f>
        <v>305.35</v>
      </c>
      <c r="V618" s="320">
        <f>IFERROR(__xludf.DUMMYFUNCTION("""COMPUTED_VALUE"""),4.2136)</f>
        <v>4.2136</v>
      </c>
      <c r="W618" s="320">
        <f>IFERROR(__xludf.DUMMYFUNCTION("""COMPUTED_VALUE"""),0.0)</f>
        <v>0</v>
      </c>
      <c r="X618" s="320">
        <f>IFERROR(__xludf.DUMMYFUNCTION("""COMPUTED_VALUE"""),292.0)</f>
        <v>292</v>
      </c>
      <c r="Y618" s="320">
        <f>IFERROR(__xludf.DUMMYFUNCTION("""COMPUTED_VALUE"""),2232.0)</f>
        <v>2232</v>
      </c>
      <c r="Z618" s="320">
        <f>IFERROR(__xludf.DUMMYFUNCTION("""COMPUTED_VALUE"""),9177.0)</f>
        <v>9177</v>
      </c>
      <c r="AA618" s="320">
        <f>IFERROR(__xludf.DUMMYFUNCTION("""COMPUTED_VALUE"""),59.5033)</f>
        <v>59.5033</v>
      </c>
      <c r="AB618" s="320">
        <f>IFERROR(__xludf.DUMMYFUNCTION("""COMPUTED_VALUE"""),0.8454)</f>
        <v>0.8454</v>
      </c>
      <c r="AC618" s="320">
        <f>IFERROR(__xludf.DUMMYFUNCTION("""COMPUTED_VALUE"""),39.31)</f>
        <v>39.31</v>
      </c>
      <c r="AD618" s="320">
        <f>IFERROR(__xludf.DUMMYFUNCTION("""COMPUTED_VALUE"""),15.0)</f>
        <v>15</v>
      </c>
      <c r="AE618" s="320">
        <f>IFERROR(__xludf.DUMMYFUNCTION("""COMPUTED_VALUE"""),30.0)</f>
        <v>30</v>
      </c>
      <c r="AF618" s="320">
        <f>IFERROR(__xludf.DUMMYFUNCTION("""COMPUTED_VALUE"""),55.0)</f>
        <v>55</v>
      </c>
      <c r="AG618" s="320">
        <f>IFERROR(__xludf.DUMMYFUNCTION("""COMPUTED_VALUE"""),83.0)</f>
        <v>83</v>
      </c>
      <c r="AH618" s="320">
        <f>IFERROR(__xludf.DUMMYFUNCTION("""COMPUTED_VALUE"""),53.81)</f>
        <v>53.81</v>
      </c>
      <c r="AI618" s="320">
        <f>IFERROR(__xludf.DUMMYFUNCTION("""COMPUTED_VALUE"""),21.51)</f>
        <v>21.51</v>
      </c>
      <c r="AJ618" s="320">
        <f>IFERROR(__xludf.DUMMYFUNCTION("""COMPUTED_VALUE"""),5.91)</f>
        <v>5.91</v>
      </c>
      <c r="AK618" s="320">
        <f>IFERROR(__xludf.DUMMYFUNCTION("""COMPUTED_VALUE"""),0.1552)</f>
        <v>0.1552</v>
      </c>
      <c r="AL618" s="320">
        <f>IFERROR(__xludf.DUMMYFUNCTION("""COMPUTED_VALUE"""),22.02)</f>
        <v>22.02</v>
      </c>
      <c r="AM618" s="320">
        <f>IFERROR(__xludf.DUMMYFUNCTION("""COMPUTED_VALUE"""),121.27)</f>
        <v>121.27</v>
      </c>
      <c r="AN618" s="320">
        <f>IFERROR(__xludf.DUMMYFUNCTION("""COMPUTED_VALUE"""),81.08)</f>
        <v>81.08</v>
      </c>
      <c r="AO618" s="320">
        <f>IFERROR(__xludf.DUMMYFUNCTION("""COMPUTED_VALUE"""),17.85)</f>
        <v>17.85</v>
      </c>
    </row>
    <row r="619" ht="15.0" customHeight="1">
      <c r="A619" s="328">
        <f>IFERROR(__xludf.DUMMYFUNCTION("""COMPUTED_VALUE"""),46152.0)</f>
        <v>46152</v>
      </c>
      <c r="B619" s="319" t="str">
        <f>IFERROR(__xludf.DUMMYFUNCTION("""COMPUTED_VALUE"""),"F. 100+")</f>
        <v>F. 100+</v>
      </c>
      <c r="C619" s="320">
        <f>IFERROR(__xludf.DUMMYFUNCTION("""COMPUTED_VALUE"""),618.0)</f>
        <v>618</v>
      </c>
      <c r="D619" s="320">
        <f>IFERROR(__xludf.DUMMYFUNCTION("""COMPUTED_VALUE"""),0.63)</f>
        <v>0.63</v>
      </c>
      <c r="E619" s="320">
        <f>IFERROR(__xludf.DUMMYFUNCTION("""COMPUTED_VALUE"""),0.0)</f>
        <v>0</v>
      </c>
      <c r="F619" s="320">
        <f>IFERROR(__xludf.DUMMYFUNCTION("""COMPUTED_VALUE"""),0.0)</f>
        <v>0</v>
      </c>
      <c r="G619" s="320">
        <f>IFERROR(__xludf.DUMMYFUNCTION("""COMPUTED_VALUE"""),0.0)</f>
        <v>0</v>
      </c>
      <c r="H619" s="106"/>
      <c r="I619" s="320">
        <f>IFERROR(__xludf.DUMMYFUNCTION("""COMPUTED_VALUE"""),235.12)</f>
        <v>235.12</v>
      </c>
      <c r="J619" s="320">
        <f>IFERROR(__xludf.DUMMYFUNCTION("""COMPUTED_VALUE"""),139.03)</f>
        <v>139.03</v>
      </c>
      <c r="K619" s="320">
        <f>IFERROR(__xludf.DUMMYFUNCTION("""COMPUTED_VALUE"""),122.47)</f>
        <v>122.47</v>
      </c>
      <c r="L619" s="320">
        <f>IFERROR(__xludf.DUMMYFUNCTION("""COMPUTED_VALUE"""),0.8808)</f>
        <v>0.8808</v>
      </c>
      <c r="M619" s="320">
        <f>IFERROR(__xludf.DUMMYFUNCTION("""COMPUTED_VALUE"""),0.2704)</f>
        <v>0.2704</v>
      </c>
      <c r="N619" s="320">
        <f>IFERROR(__xludf.DUMMYFUNCTION("""COMPUTED_VALUE"""),0.2041)</f>
        <v>0.2041</v>
      </c>
      <c r="O619" s="320">
        <f>IFERROR(__xludf.DUMMYFUNCTION("""COMPUTED_VALUE"""),1.1353)</f>
        <v>1.1353</v>
      </c>
      <c r="P619" s="320">
        <f>IFERROR(__xludf.DUMMYFUNCTION("""COMPUTED_VALUE"""),469.4)</f>
        <v>469.4</v>
      </c>
      <c r="Q619" s="320">
        <f>IFERROR(__xludf.DUMMYFUNCTION("""COMPUTED_VALUE"""),254.67)</f>
        <v>254.67</v>
      </c>
      <c r="R619" s="320">
        <f>IFERROR(__xludf.DUMMYFUNCTION("""COMPUTED_VALUE"""),214.72)</f>
        <v>214.72</v>
      </c>
      <c r="S619" s="320">
        <f>IFERROR(__xludf.DUMMYFUNCTION("""COMPUTED_VALUE"""),0.0)</f>
        <v>0</v>
      </c>
      <c r="T619" s="320">
        <f>IFERROR(__xludf.DUMMYFUNCTION("""COMPUTED_VALUE"""),469.4)</f>
        <v>469.4</v>
      </c>
      <c r="U619" s="320">
        <f>IFERROR(__xludf.DUMMYFUNCTION("""COMPUTED_VALUE"""),546.93)</f>
        <v>546.93</v>
      </c>
      <c r="V619" s="320">
        <f>IFERROR(__xludf.DUMMYFUNCTION("""COMPUTED_VALUE"""),3.9338)</f>
        <v>3.9338</v>
      </c>
      <c r="W619" s="320">
        <f>IFERROR(__xludf.DUMMYFUNCTION("""COMPUTED_VALUE"""),0.0)</f>
        <v>0</v>
      </c>
      <c r="X619" s="320">
        <f>IFERROR(__xludf.DUMMYFUNCTION("""COMPUTED_VALUE"""),836.0)</f>
        <v>836</v>
      </c>
      <c r="Y619" s="320">
        <f>IFERROR(__xludf.DUMMYFUNCTION("""COMPUTED_VALUE"""),4274.0)</f>
        <v>4274</v>
      </c>
      <c r="Z619" s="320">
        <f>IFERROR(__xludf.DUMMYFUNCTION("""COMPUTED_VALUE"""),13761.0)</f>
        <v>13761</v>
      </c>
      <c r="AA619" s="320">
        <f>IFERROR(__xludf.DUMMYFUNCTION("""COMPUTED_VALUE"""),62.765)</f>
        <v>62.765</v>
      </c>
      <c r="AB619" s="320">
        <f>IFERROR(__xludf.DUMMYFUNCTION("""COMPUTED_VALUE"""),0.9084)</f>
        <v>0.9084</v>
      </c>
      <c r="AC619" s="320">
        <f>IFERROR(__xludf.DUMMYFUNCTION("""COMPUTED_VALUE"""),86.97)</f>
        <v>86.97</v>
      </c>
      <c r="AD619" s="320">
        <f>IFERROR(__xludf.DUMMYFUNCTION("""COMPUTED_VALUE"""),39.0)</f>
        <v>39</v>
      </c>
      <c r="AE619" s="320">
        <f>IFERROR(__xludf.DUMMYFUNCTION("""COMPUTED_VALUE"""),74.0)</f>
        <v>74</v>
      </c>
      <c r="AF619" s="320">
        <f>IFERROR(__xludf.DUMMYFUNCTION("""COMPUTED_VALUE"""),122.0)</f>
        <v>122</v>
      </c>
      <c r="AG619" s="320">
        <f>IFERROR(__xludf.DUMMYFUNCTION("""COMPUTED_VALUE"""),178.0)</f>
        <v>178</v>
      </c>
      <c r="AH619" s="320">
        <f>IFERROR(__xludf.DUMMYFUNCTION("""COMPUTED_VALUE"""),47.25)</f>
        <v>47.25</v>
      </c>
      <c r="AI619" s="320">
        <f>IFERROR(__xludf.DUMMYFUNCTION("""COMPUTED_VALUE"""),9.71)</f>
        <v>9.71</v>
      </c>
      <c r="AJ619" s="320">
        <f>IFERROR(__xludf.DUMMYFUNCTION("""COMPUTED_VALUE"""),0.32)</f>
        <v>0.32</v>
      </c>
      <c r="AK619" s="320">
        <f>IFERROR(__xludf.DUMMYFUNCTION("""COMPUTED_VALUE"""),0.1262)</f>
        <v>0.1262</v>
      </c>
      <c r="AL619" s="320">
        <f>IFERROR(__xludf.DUMMYFUNCTION("""COMPUTED_VALUE"""),23.07)</f>
        <v>23.07</v>
      </c>
      <c r="AM619" s="320">
        <f>IFERROR(__xludf.DUMMYFUNCTION("""COMPUTED_VALUE"""),231.61)</f>
        <v>231.61</v>
      </c>
      <c r="AN619" s="320">
        <f>IFERROR(__xludf.DUMMYFUNCTION("""COMPUTED_VALUE"""),82.55)</f>
        <v>82.55</v>
      </c>
      <c r="AO619" s="320">
        <f>IFERROR(__xludf.DUMMYFUNCTION("""COMPUTED_VALUE"""),19.04)</f>
        <v>19.04</v>
      </c>
    </row>
    <row r="620" ht="15.0" customHeight="1">
      <c r="A620" s="328">
        <f>IFERROR(__xludf.DUMMYFUNCTION("""COMPUTED_VALUE"""),46153.0)</f>
        <v>46153</v>
      </c>
      <c r="B620" s="319" t="str">
        <f>IFERROR(__xludf.DUMMYFUNCTION("""COMPUTED_VALUE"""),"A. 0")</f>
        <v>A. 0</v>
      </c>
      <c r="C620" s="320">
        <f>IFERROR(__xludf.DUMMYFUNCTION("""COMPUTED_VALUE"""),18532.0)</f>
        <v>18532</v>
      </c>
      <c r="D620" s="320">
        <f>IFERROR(__xludf.DUMMYFUNCTION("""COMPUTED_VALUE"""),17.74)</f>
        <v>17.74</v>
      </c>
      <c r="E620" s="320">
        <f>IFERROR(__xludf.DUMMYFUNCTION("""COMPUTED_VALUE"""),0.0)</f>
        <v>0</v>
      </c>
      <c r="F620" s="320">
        <f>IFERROR(__xludf.DUMMYFUNCTION("""COMPUTED_VALUE"""),0.0)</f>
        <v>0</v>
      </c>
      <c r="G620" s="320">
        <f>IFERROR(__xludf.DUMMYFUNCTION("""COMPUTED_VALUE"""),0.0)</f>
        <v>0</v>
      </c>
      <c r="H620" s="106"/>
      <c r="I620" s="320">
        <f>IFERROR(__xludf.DUMMYFUNCTION("""COMPUTED_VALUE"""),5.78)</f>
        <v>5.78</v>
      </c>
      <c r="J620" s="320">
        <f>IFERROR(__xludf.DUMMYFUNCTION("""COMPUTED_VALUE"""),2.3)</f>
        <v>2.3</v>
      </c>
      <c r="K620" s="320">
        <f>IFERROR(__xludf.DUMMYFUNCTION("""COMPUTED_VALUE"""),0.07)</f>
        <v>0.07</v>
      </c>
      <c r="L620" s="320">
        <f>IFERROR(__xludf.DUMMYFUNCTION("""COMPUTED_VALUE"""),0.0301)</f>
        <v>0.0301</v>
      </c>
      <c r="M620" s="320">
        <f>IFERROR(__xludf.DUMMYFUNCTION("""COMPUTED_VALUE"""),0.9759)</f>
        <v>0.9759</v>
      </c>
      <c r="N620" s="320">
        <f>IFERROR(__xludf.DUMMYFUNCTION("""COMPUTED_VALUE"""),0.7622)</f>
        <v>0.7622</v>
      </c>
      <c r="O620" s="320">
        <f>IFERROR(__xludf.DUMMYFUNCTION("""COMPUTED_VALUE"""),33.2237)</f>
        <v>33.2237</v>
      </c>
      <c r="P620" s="320">
        <f>IFERROR(__xludf.DUMMYFUNCTION("""COMPUTED_VALUE"""),33.2)</f>
        <v>33.2</v>
      </c>
      <c r="Q620" s="320">
        <f>IFERROR(__xludf.DUMMYFUNCTION("""COMPUTED_VALUE"""),33.07)</f>
        <v>33.07</v>
      </c>
      <c r="R620" s="320">
        <f>IFERROR(__xludf.DUMMYFUNCTION("""COMPUTED_VALUE"""),0.13)</f>
        <v>0.13</v>
      </c>
      <c r="S620" s="320">
        <f>IFERROR(__xludf.DUMMYFUNCTION("""COMPUTED_VALUE"""),0.0)</f>
        <v>0</v>
      </c>
      <c r="T620" s="320">
        <f>IFERROR(__xludf.DUMMYFUNCTION("""COMPUTED_VALUE"""),33.2)</f>
        <v>33.2</v>
      </c>
      <c r="U620" s="320">
        <f>IFERROR(__xludf.DUMMYFUNCTION("""COMPUTED_VALUE"""),1.97)</f>
        <v>1.97</v>
      </c>
      <c r="V620" s="320">
        <f>IFERROR(__xludf.DUMMYFUNCTION("""COMPUTED_VALUE"""),0.8551)</f>
        <v>0.8551</v>
      </c>
      <c r="W620" s="320">
        <f>IFERROR(__xludf.DUMMYFUNCTION("""COMPUTED_VALUE"""),0.0)</f>
        <v>0</v>
      </c>
      <c r="X620" s="320">
        <f>IFERROR(__xludf.DUMMYFUNCTION("""COMPUTED_VALUE"""),463.0)</f>
        <v>463</v>
      </c>
      <c r="Y620" s="320">
        <f>IFERROR(__xludf.DUMMYFUNCTION("""COMPUTED_VALUE"""),4819.0)</f>
        <v>4819</v>
      </c>
      <c r="Z620" s="320">
        <f>IFERROR(__xludf.DUMMYFUNCTION("""COMPUTED_VALUE"""),16604.0)</f>
        <v>16604</v>
      </c>
      <c r="AA620" s="320">
        <f>IFERROR(__xludf.DUMMYFUNCTION("""COMPUTED_VALUE"""),49.6082)</f>
        <v>49.6082</v>
      </c>
      <c r="AB620" s="320">
        <f>IFERROR(__xludf.DUMMYFUNCTION("""COMPUTED_VALUE"""),0.5563)</f>
        <v>0.5563</v>
      </c>
      <c r="AC620" s="106"/>
      <c r="AD620" s="106"/>
      <c r="AE620" s="106"/>
      <c r="AF620" s="106"/>
      <c r="AG620" s="106"/>
      <c r="AH620" s="320">
        <f>IFERROR(__xludf.DUMMYFUNCTION("""COMPUTED_VALUE"""),0.0)</f>
        <v>0</v>
      </c>
      <c r="AI620" s="320">
        <f>IFERROR(__xludf.DUMMYFUNCTION("""COMPUTED_VALUE"""),0.0)</f>
        <v>0</v>
      </c>
      <c r="AJ620" s="320">
        <f>IFERROR(__xludf.DUMMYFUNCTION("""COMPUTED_VALUE"""),0.0)</f>
        <v>0</v>
      </c>
      <c r="AK620" s="320">
        <f>IFERROR(__xludf.DUMMYFUNCTION("""COMPUTED_VALUE"""),0.2715)</f>
        <v>0.2715</v>
      </c>
      <c r="AL620" s="320">
        <f>IFERROR(__xludf.DUMMYFUNCTION("""COMPUTED_VALUE"""),16.89)</f>
        <v>16.89</v>
      </c>
      <c r="AM620" s="320">
        <f>IFERROR(__xludf.DUMMYFUNCTION("""COMPUTED_VALUE"""),16.18)</f>
        <v>16.18</v>
      </c>
      <c r="AN620" s="331"/>
      <c r="AO620" s="331"/>
    </row>
    <row r="621" ht="15.0" customHeight="1">
      <c r="A621" s="328">
        <f>IFERROR(__xludf.DUMMYFUNCTION("""COMPUTED_VALUE"""),46153.0)</f>
        <v>46153</v>
      </c>
      <c r="B621" s="319" t="str">
        <f>IFERROR(__xludf.DUMMYFUNCTION("""COMPUTED_VALUE"""),"B. 1-9")</f>
        <v>B. 1-9</v>
      </c>
      <c r="C621" s="320">
        <f>IFERROR(__xludf.DUMMYFUNCTION("""COMPUTED_VALUE"""),37682.0)</f>
        <v>37682</v>
      </c>
      <c r="D621" s="320">
        <f>IFERROR(__xludf.DUMMYFUNCTION("""COMPUTED_VALUE"""),36.08)</f>
        <v>36.08</v>
      </c>
      <c r="E621" s="320">
        <f>IFERROR(__xludf.DUMMYFUNCTION("""COMPUTED_VALUE"""),0.0)</f>
        <v>0</v>
      </c>
      <c r="F621" s="320">
        <f>IFERROR(__xludf.DUMMYFUNCTION("""COMPUTED_VALUE"""),0.0)</f>
        <v>0</v>
      </c>
      <c r="G621" s="320">
        <f>IFERROR(__xludf.DUMMYFUNCTION("""COMPUTED_VALUE"""),0.0)</f>
        <v>0</v>
      </c>
      <c r="H621" s="106"/>
      <c r="I621" s="320">
        <f>IFERROR(__xludf.DUMMYFUNCTION("""COMPUTED_VALUE"""),33.09)</f>
        <v>33.09</v>
      </c>
      <c r="J621" s="320">
        <f>IFERROR(__xludf.DUMMYFUNCTION("""COMPUTED_VALUE"""),15.1)</f>
        <v>15.1</v>
      </c>
      <c r="K621" s="320">
        <f>IFERROR(__xludf.DUMMYFUNCTION("""COMPUTED_VALUE"""),5.87)</f>
        <v>5.87</v>
      </c>
      <c r="L621" s="320">
        <f>IFERROR(__xludf.DUMMYFUNCTION("""COMPUTED_VALUE"""),0.3889)</f>
        <v>0.3889</v>
      </c>
      <c r="M621" s="320">
        <f>IFERROR(__xludf.DUMMYFUNCTION("""COMPUTED_VALUE"""),0.7774)</f>
        <v>0.7774</v>
      </c>
      <c r="N621" s="320">
        <f>IFERROR(__xludf.DUMMYFUNCTION("""COMPUTED_VALUE"""),0.5754)</f>
        <v>0.5754</v>
      </c>
      <c r="O621" s="320">
        <f>IFERROR(__xludf.DUMMYFUNCTION("""COMPUTED_VALUE"""),2.5715)</f>
        <v>2.5715</v>
      </c>
      <c r="P621" s="320">
        <f>IFERROR(__xludf.DUMMYFUNCTION("""COMPUTED_VALUE"""),71.88)</f>
        <v>71.88</v>
      </c>
      <c r="Q621" s="320">
        <f>IFERROR(__xludf.DUMMYFUNCTION("""COMPUTED_VALUE"""),62.11)</f>
        <v>62.11</v>
      </c>
      <c r="R621" s="320">
        <f>IFERROR(__xludf.DUMMYFUNCTION("""COMPUTED_VALUE"""),9.77)</f>
        <v>9.77</v>
      </c>
      <c r="S621" s="320">
        <f>IFERROR(__xludf.DUMMYFUNCTION("""COMPUTED_VALUE"""),0.01)</f>
        <v>0.01</v>
      </c>
      <c r="T621" s="320">
        <f>IFERROR(__xludf.DUMMYFUNCTION("""COMPUTED_VALUE"""),71.87)</f>
        <v>71.87</v>
      </c>
      <c r="U621" s="320">
        <f>IFERROR(__xludf.DUMMYFUNCTION("""COMPUTED_VALUE"""),59.05)</f>
        <v>59.05</v>
      </c>
      <c r="V621" s="320">
        <f>IFERROR(__xludf.DUMMYFUNCTION("""COMPUTED_VALUE"""),3.9091)</f>
        <v>3.9091</v>
      </c>
      <c r="W621" s="320">
        <f>IFERROR(__xludf.DUMMYFUNCTION("""COMPUTED_VALUE"""),0.02)</f>
        <v>0.02</v>
      </c>
      <c r="X621" s="320">
        <f>IFERROR(__xludf.DUMMYFUNCTION("""COMPUTED_VALUE"""),150.0)</f>
        <v>150</v>
      </c>
      <c r="Y621" s="320">
        <f>IFERROR(__xludf.DUMMYFUNCTION("""COMPUTED_VALUE"""),868.0)</f>
        <v>868</v>
      </c>
      <c r="Z621" s="320">
        <f>IFERROR(__xludf.DUMMYFUNCTION("""COMPUTED_VALUE"""),6177.0)</f>
        <v>6177</v>
      </c>
      <c r="AA621" s="320">
        <f>IFERROR(__xludf.DUMMYFUNCTION("""COMPUTED_VALUE"""),48.6768)</f>
        <v>48.6768</v>
      </c>
      <c r="AB621" s="320">
        <f>IFERROR(__xludf.DUMMYFUNCTION("""COMPUTED_VALUE"""),0.5246)</f>
        <v>0.5246</v>
      </c>
      <c r="AC621" s="320">
        <f>IFERROR(__xludf.DUMMYFUNCTION("""COMPUTED_VALUE"""),4.02)</f>
        <v>4.02</v>
      </c>
      <c r="AD621" s="320">
        <f>IFERROR(__xludf.DUMMYFUNCTION("""COMPUTED_VALUE"""),1.0)</f>
        <v>1</v>
      </c>
      <c r="AE621" s="320">
        <f>IFERROR(__xludf.DUMMYFUNCTION("""COMPUTED_VALUE"""),3.0)</f>
        <v>3</v>
      </c>
      <c r="AF621" s="320">
        <f>IFERROR(__xludf.DUMMYFUNCTION("""COMPUTED_VALUE"""),5.0)</f>
        <v>5</v>
      </c>
      <c r="AG621" s="320">
        <f>IFERROR(__xludf.DUMMYFUNCTION("""COMPUTED_VALUE"""),9.0)</f>
        <v>9</v>
      </c>
      <c r="AH621" s="320">
        <f>IFERROR(__xludf.DUMMYFUNCTION("""COMPUTED_VALUE"""),73.35)</f>
        <v>73.35</v>
      </c>
      <c r="AI621" s="320">
        <f>IFERROR(__xludf.DUMMYFUNCTION("""COMPUTED_VALUE"""),30.48)</f>
        <v>30.48</v>
      </c>
      <c r="AJ621" s="320">
        <f>IFERROR(__xludf.DUMMYFUNCTION("""COMPUTED_VALUE"""),8.48)</f>
        <v>8.48</v>
      </c>
      <c r="AK621" s="320">
        <f>IFERROR(__xludf.DUMMYFUNCTION("""COMPUTED_VALUE"""),0.2268)</f>
        <v>0.2268</v>
      </c>
      <c r="AL621" s="320">
        <f>IFERROR(__xludf.DUMMYFUNCTION("""COMPUTED_VALUE"""),18.6)</f>
        <v>18.6</v>
      </c>
      <c r="AM621" s="320">
        <f>IFERROR(__xludf.DUMMYFUNCTION("""COMPUTED_VALUE"""),43.51)</f>
        <v>43.51</v>
      </c>
      <c r="AN621" s="320">
        <f>IFERROR(__xludf.DUMMYFUNCTION("""COMPUTED_VALUE"""),65.5)</f>
        <v>65.5</v>
      </c>
      <c r="AO621" s="320">
        <f>IFERROR(__xludf.DUMMYFUNCTION("""COMPUTED_VALUE"""),12.18)</f>
        <v>12.18</v>
      </c>
    </row>
    <row r="622" ht="15.0" customHeight="1">
      <c r="A622" s="328">
        <f>IFERROR(__xludf.DUMMYFUNCTION("""COMPUTED_VALUE"""),46153.0)</f>
        <v>46153</v>
      </c>
      <c r="B622" s="319" t="str">
        <f>IFERROR(__xludf.DUMMYFUNCTION("""COMPUTED_VALUE"""),"C. 10-19")</f>
        <v>C. 10-19</v>
      </c>
      <c r="C622" s="320">
        <f>IFERROR(__xludf.DUMMYFUNCTION("""COMPUTED_VALUE"""),26123.0)</f>
        <v>26123</v>
      </c>
      <c r="D622" s="320">
        <f>IFERROR(__xludf.DUMMYFUNCTION("""COMPUTED_VALUE"""),25.01)</f>
        <v>25.01</v>
      </c>
      <c r="E622" s="320">
        <f>IFERROR(__xludf.DUMMYFUNCTION("""COMPUTED_VALUE"""),0.0)</f>
        <v>0</v>
      </c>
      <c r="F622" s="320">
        <f>IFERROR(__xludf.DUMMYFUNCTION("""COMPUTED_VALUE"""),0.0)</f>
        <v>0</v>
      </c>
      <c r="G622" s="320">
        <f>IFERROR(__xludf.DUMMYFUNCTION("""COMPUTED_VALUE"""),0.0)</f>
        <v>0</v>
      </c>
      <c r="H622" s="106"/>
      <c r="I622" s="320">
        <f>IFERROR(__xludf.DUMMYFUNCTION("""COMPUTED_VALUE"""),63.55)</f>
        <v>63.55</v>
      </c>
      <c r="J622" s="320">
        <f>IFERROR(__xludf.DUMMYFUNCTION("""COMPUTED_VALUE"""),29.99)</f>
        <v>29.99</v>
      </c>
      <c r="K622" s="320">
        <f>IFERROR(__xludf.DUMMYFUNCTION("""COMPUTED_VALUE"""),15.61)</f>
        <v>15.61</v>
      </c>
      <c r="L622" s="320">
        <f>IFERROR(__xludf.DUMMYFUNCTION("""COMPUTED_VALUE"""),0.5204)</f>
        <v>0.5204</v>
      </c>
      <c r="M622" s="320">
        <f>IFERROR(__xludf.DUMMYFUNCTION("""COMPUTED_VALUE"""),0.6727)</f>
        <v>0.6727</v>
      </c>
      <c r="N622" s="320">
        <f>IFERROR(__xludf.DUMMYFUNCTION("""COMPUTED_VALUE"""),0.4693)</f>
        <v>0.4693</v>
      </c>
      <c r="O622" s="320">
        <f>IFERROR(__xludf.DUMMYFUNCTION("""COMPUTED_VALUE"""),1.9215)</f>
        <v>1.9215</v>
      </c>
      <c r="P622" s="320">
        <f>IFERROR(__xludf.DUMMYFUNCTION("""COMPUTED_VALUE"""),132.91)</f>
        <v>132.91</v>
      </c>
      <c r="Q622" s="320">
        <f>IFERROR(__xludf.DUMMYFUNCTION("""COMPUTED_VALUE"""),107.84)</f>
        <v>107.84</v>
      </c>
      <c r="R622" s="320">
        <f>IFERROR(__xludf.DUMMYFUNCTION("""COMPUTED_VALUE"""),25.07)</f>
        <v>25.07</v>
      </c>
      <c r="S622" s="320">
        <f>IFERROR(__xludf.DUMMYFUNCTION("""COMPUTED_VALUE"""),0.03)</f>
        <v>0.03</v>
      </c>
      <c r="T622" s="320">
        <f>IFERROR(__xludf.DUMMYFUNCTION("""COMPUTED_VALUE"""),132.88)</f>
        <v>132.88</v>
      </c>
      <c r="U622" s="320">
        <f>IFERROR(__xludf.DUMMYFUNCTION("""COMPUTED_VALUE"""),116.47)</f>
        <v>116.47</v>
      </c>
      <c r="V622" s="320">
        <f>IFERROR(__xludf.DUMMYFUNCTION("""COMPUTED_VALUE"""),3.8836)</f>
        <v>3.8836</v>
      </c>
      <c r="W622" s="320">
        <f>IFERROR(__xludf.DUMMYFUNCTION("""COMPUTED_VALUE"""),0.02)</f>
        <v>0.02</v>
      </c>
      <c r="X622" s="320">
        <f>IFERROR(__xludf.DUMMYFUNCTION("""COMPUTED_VALUE"""),142.0)</f>
        <v>142</v>
      </c>
      <c r="Y622" s="320">
        <f>IFERROR(__xludf.DUMMYFUNCTION("""COMPUTED_VALUE"""),755.0)</f>
        <v>755</v>
      </c>
      <c r="Z622" s="320">
        <f>IFERROR(__xludf.DUMMYFUNCTION("""COMPUTED_VALUE"""),5728.0)</f>
        <v>5728</v>
      </c>
      <c r="AA622" s="320">
        <f>IFERROR(__xludf.DUMMYFUNCTION("""COMPUTED_VALUE"""),51.999)</f>
        <v>51.999</v>
      </c>
      <c r="AB622" s="320">
        <f>IFERROR(__xludf.DUMMYFUNCTION("""COMPUTED_VALUE"""),0.5846)</f>
        <v>0.5846</v>
      </c>
      <c r="AC622" s="320">
        <f>IFERROR(__xludf.DUMMYFUNCTION("""COMPUTED_VALUE"""),10.06)</f>
        <v>10.06</v>
      </c>
      <c r="AD622" s="320">
        <f>IFERROR(__xludf.DUMMYFUNCTION("""COMPUTED_VALUE"""),4.0)</f>
        <v>4</v>
      </c>
      <c r="AE622" s="320">
        <f>IFERROR(__xludf.DUMMYFUNCTION("""COMPUTED_VALUE"""),8.0)</f>
        <v>8</v>
      </c>
      <c r="AF622" s="320">
        <f>IFERROR(__xludf.DUMMYFUNCTION("""COMPUTED_VALUE"""),14.0)</f>
        <v>14</v>
      </c>
      <c r="AG622" s="320">
        <f>IFERROR(__xludf.DUMMYFUNCTION("""COMPUTED_VALUE"""),21.0)</f>
        <v>21</v>
      </c>
      <c r="AH622" s="320">
        <f>IFERROR(__xludf.DUMMYFUNCTION("""COMPUTED_VALUE"""),62.83)</f>
        <v>62.83</v>
      </c>
      <c r="AI622" s="320">
        <f>IFERROR(__xludf.DUMMYFUNCTION("""COMPUTED_VALUE"""),28.88)</f>
        <v>28.88</v>
      </c>
      <c r="AJ622" s="320">
        <f>IFERROR(__xludf.DUMMYFUNCTION("""COMPUTED_VALUE"""),6.13)</f>
        <v>6.13</v>
      </c>
      <c r="AK622" s="320">
        <f>IFERROR(__xludf.DUMMYFUNCTION("""COMPUTED_VALUE"""),0.1699)</f>
        <v>0.1699</v>
      </c>
      <c r="AL622" s="320">
        <f>IFERROR(__xludf.DUMMYFUNCTION("""COMPUTED_VALUE"""),19.1)</f>
        <v>19.1</v>
      </c>
      <c r="AM622" s="320">
        <f>IFERROR(__xludf.DUMMYFUNCTION("""COMPUTED_VALUE"""),88.73)</f>
        <v>88.73</v>
      </c>
      <c r="AN622" s="320">
        <f>IFERROR(__xludf.DUMMYFUNCTION("""COMPUTED_VALUE"""),71.88)</f>
        <v>71.88</v>
      </c>
      <c r="AO622" s="320">
        <f>IFERROR(__xludf.DUMMYFUNCTION("""COMPUTED_VALUE"""),13.73)</f>
        <v>13.73</v>
      </c>
    </row>
    <row r="623" ht="15.0" customHeight="1">
      <c r="A623" s="328">
        <f>IFERROR(__xludf.DUMMYFUNCTION("""COMPUTED_VALUE"""),46153.0)</f>
        <v>46153</v>
      </c>
      <c r="B623" s="319" t="str">
        <f>IFERROR(__xludf.DUMMYFUNCTION("""COMPUTED_VALUE"""),"D. 20-39")</f>
        <v>D. 20-39</v>
      </c>
      <c r="C623" s="320">
        <f>IFERROR(__xludf.DUMMYFUNCTION("""COMPUTED_VALUE"""),15188.0)</f>
        <v>15188</v>
      </c>
      <c r="D623" s="320">
        <f>IFERROR(__xludf.DUMMYFUNCTION("""COMPUTED_VALUE"""),14.54)</f>
        <v>14.54</v>
      </c>
      <c r="E623" s="320">
        <f>IFERROR(__xludf.DUMMYFUNCTION("""COMPUTED_VALUE"""),0.0)</f>
        <v>0</v>
      </c>
      <c r="F623" s="320">
        <f>IFERROR(__xludf.DUMMYFUNCTION("""COMPUTED_VALUE"""),0.0)</f>
        <v>0</v>
      </c>
      <c r="G623" s="320">
        <f>IFERROR(__xludf.DUMMYFUNCTION("""COMPUTED_VALUE"""),0.0)</f>
        <v>0</v>
      </c>
      <c r="H623" s="106"/>
      <c r="I623" s="320">
        <f>IFERROR(__xludf.DUMMYFUNCTION("""COMPUTED_VALUE"""),91.94)</f>
        <v>91.94</v>
      </c>
      <c r="J623" s="320">
        <f>IFERROR(__xludf.DUMMYFUNCTION("""COMPUTED_VALUE"""),45.77)</f>
        <v>45.77</v>
      </c>
      <c r="K623" s="320">
        <f>IFERROR(__xludf.DUMMYFUNCTION("""COMPUTED_VALUE"""),30.68)</f>
        <v>30.68</v>
      </c>
      <c r="L623" s="320">
        <f>IFERROR(__xludf.DUMMYFUNCTION("""COMPUTED_VALUE"""),0.6703)</f>
        <v>0.6703</v>
      </c>
      <c r="M623" s="320">
        <f>IFERROR(__xludf.DUMMYFUNCTION("""COMPUTED_VALUE"""),0.5282)</f>
        <v>0.5282</v>
      </c>
      <c r="N623" s="320">
        <f>IFERROR(__xludf.DUMMYFUNCTION("""COMPUTED_VALUE"""),0.3658)</f>
        <v>0.3658</v>
      </c>
      <c r="O623" s="320">
        <f>IFERROR(__xludf.DUMMYFUNCTION("""COMPUTED_VALUE"""),1.4919)</f>
        <v>1.4919</v>
      </c>
      <c r="P623" s="320">
        <f>IFERROR(__xludf.DUMMYFUNCTION("""COMPUTED_VALUE"""),224.34)</f>
        <v>224.34</v>
      </c>
      <c r="Q623" s="320">
        <f>IFERROR(__xludf.DUMMYFUNCTION("""COMPUTED_VALUE"""),175.09)</f>
        <v>175.09</v>
      </c>
      <c r="R623" s="320">
        <f>IFERROR(__xludf.DUMMYFUNCTION("""COMPUTED_VALUE"""),49.25)</f>
        <v>49.25</v>
      </c>
      <c r="S623" s="320">
        <f>IFERROR(__xludf.DUMMYFUNCTION("""COMPUTED_VALUE"""),0.0)</f>
        <v>0</v>
      </c>
      <c r="T623" s="320">
        <f>IFERROR(__xludf.DUMMYFUNCTION("""COMPUTED_VALUE"""),224.34)</f>
        <v>224.34</v>
      </c>
      <c r="U623" s="320">
        <f>IFERROR(__xludf.DUMMYFUNCTION("""COMPUTED_VALUE"""),201.17)</f>
        <v>201.17</v>
      </c>
      <c r="V623" s="320">
        <f>IFERROR(__xludf.DUMMYFUNCTION("""COMPUTED_VALUE"""),4.3952)</f>
        <v>4.3952</v>
      </c>
      <c r="W623" s="320">
        <f>IFERROR(__xludf.DUMMYFUNCTION("""COMPUTED_VALUE"""),0.0)</f>
        <v>0</v>
      </c>
      <c r="X623" s="320">
        <f>IFERROR(__xludf.DUMMYFUNCTION("""COMPUTED_VALUE"""),181.0)</f>
        <v>181</v>
      </c>
      <c r="Y623" s="320">
        <f>IFERROR(__xludf.DUMMYFUNCTION("""COMPUTED_VALUE"""),1092.0)</f>
        <v>1092</v>
      </c>
      <c r="Z623" s="320">
        <f>IFERROR(__xludf.DUMMYFUNCTION("""COMPUTED_VALUE"""),7601.0)</f>
        <v>7601</v>
      </c>
      <c r="AA623" s="320">
        <f>IFERROR(__xludf.DUMMYFUNCTION("""COMPUTED_VALUE"""),55.275)</f>
        <v>55.275</v>
      </c>
      <c r="AB623" s="320">
        <f>IFERROR(__xludf.DUMMYFUNCTION("""COMPUTED_VALUE"""),0.6643)</f>
        <v>0.6643</v>
      </c>
      <c r="AC623" s="320">
        <f>IFERROR(__xludf.DUMMYFUNCTION("""COMPUTED_VALUE"""),19.85)</f>
        <v>19.85</v>
      </c>
      <c r="AD623" s="320">
        <f>IFERROR(__xludf.DUMMYFUNCTION("""COMPUTED_VALUE"""),8.0)</f>
        <v>8</v>
      </c>
      <c r="AE623" s="320">
        <f>IFERROR(__xludf.DUMMYFUNCTION("""COMPUTED_VALUE"""),16.0)</f>
        <v>16</v>
      </c>
      <c r="AF623" s="320">
        <f>IFERROR(__xludf.DUMMYFUNCTION("""COMPUTED_VALUE"""),28.0)</f>
        <v>28</v>
      </c>
      <c r="AG623" s="320">
        <f>IFERROR(__xludf.DUMMYFUNCTION("""COMPUTED_VALUE"""),40.0)</f>
        <v>40</v>
      </c>
      <c r="AH623" s="320">
        <f>IFERROR(__xludf.DUMMYFUNCTION("""COMPUTED_VALUE"""),65.92)</f>
        <v>65.92</v>
      </c>
      <c r="AI623" s="320">
        <f>IFERROR(__xludf.DUMMYFUNCTION("""COMPUTED_VALUE"""),29.1)</f>
        <v>29.1</v>
      </c>
      <c r="AJ623" s="320">
        <f>IFERROR(__xludf.DUMMYFUNCTION("""COMPUTED_VALUE"""),7.8)</f>
        <v>7.8</v>
      </c>
      <c r="AK623" s="320">
        <f>IFERROR(__xludf.DUMMYFUNCTION("""COMPUTED_VALUE"""),0.1524)</f>
        <v>0.1524</v>
      </c>
      <c r="AL623" s="320">
        <f>IFERROR(__xludf.DUMMYFUNCTION("""COMPUTED_VALUE"""),19.67)</f>
        <v>19.67</v>
      </c>
      <c r="AM623" s="320">
        <f>IFERROR(__xludf.DUMMYFUNCTION("""COMPUTED_VALUE"""),155.42)</f>
        <v>155.42</v>
      </c>
      <c r="AN623" s="320">
        <f>IFERROR(__xludf.DUMMYFUNCTION("""COMPUTED_VALUE"""),72.69)</f>
        <v>72.69</v>
      </c>
      <c r="AO623" s="320">
        <f>IFERROR(__xludf.DUMMYFUNCTION("""COMPUTED_VALUE"""),14.3)</f>
        <v>14.3</v>
      </c>
    </row>
    <row r="624" ht="15.0" customHeight="1">
      <c r="A624" s="328">
        <f>IFERROR(__xludf.DUMMYFUNCTION("""COMPUTED_VALUE"""),46153.0)</f>
        <v>46153</v>
      </c>
      <c r="B624" s="319" t="str">
        <f>IFERROR(__xludf.DUMMYFUNCTION("""COMPUTED_VALUE"""),"E. 40-99")</f>
        <v>E. 40-99</v>
      </c>
      <c r="C624" s="320">
        <f>IFERROR(__xludf.DUMMYFUNCTION("""COMPUTED_VALUE"""),6318.0)</f>
        <v>6318</v>
      </c>
      <c r="D624" s="320">
        <f>IFERROR(__xludf.DUMMYFUNCTION("""COMPUTED_VALUE"""),6.05)</f>
        <v>6.05</v>
      </c>
      <c r="E624" s="320">
        <f>IFERROR(__xludf.DUMMYFUNCTION("""COMPUTED_VALUE"""),0.0)</f>
        <v>0</v>
      </c>
      <c r="F624" s="320">
        <f>IFERROR(__xludf.DUMMYFUNCTION("""COMPUTED_VALUE"""),0.0)</f>
        <v>0</v>
      </c>
      <c r="G624" s="320">
        <f>IFERROR(__xludf.DUMMYFUNCTION("""COMPUTED_VALUE"""),0.0)</f>
        <v>0</v>
      </c>
      <c r="H624" s="106"/>
      <c r="I624" s="320">
        <f>IFERROR(__xludf.DUMMYFUNCTION("""COMPUTED_VALUE"""),143.21)</f>
        <v>143.21</v>
      </c>
      <c r="J624" s="320">
        <f>IFERROR(__xludf.DUMMYFUNCTION("""COMPUTED_VALUE"""),77.16)</f>
        <v>77.16</v>
      </c>
      <c r="K624" s="320">
        <f>IFERROR(__xludf.DUMMYFUNCTION("""COMPUTED_VALUE"""),62.41)</f>
        <v>62.41</v>
      </c>
      <c r="L624" s="320">
        <f>IFERROR(__xludf.DUMMYFUNCTION("""COMPUTED_VALUE"""),0.8089)</f>
        <v>0.8089</v>
      </c>
      <c r="M624" s="320">
        <f>IFERROR(__xludf.DUMMYFUNCTION("""COMPUTED_VALUE"""),0.3786)</f>
        <v>0.3786</v>
      </c>
      <c r="N624" s="320">
        <f>IFERROR(__xludf.DUMMYFUNCTION("""COMPUTED_VALUE"""),0.2754)</f>
        <v>0.2754</v>
      </c>
      <c r="O624" s="320">
        <f>IFERROR(__xludf.DUMMYFUNCTION("""COMPUTED_VALUE"""),1.2363)</f>
        <v>1.2363</v>
      </c>
      <c r="P624" s="320">
        <f>IFERROR(__xludf.DUMMYFUNCTION("""COMPUTED_VALUE"""),393.7)</f>
        <v>393.7</v>
      </c>
      <c r="Q624" s="320">
        <f>IFERROR(__xludf.DUMMYFUNCTION("""COMPUTED_VALUE"""),293.68)</f>
        <v>293.68</v>
      </c>
      <c r="R624" s="320">
        <f>IFERROR(__xludf.DUMMYFUNCTION("""COMPUTED_VALUE"""),100.02)</f>
        <v>100.02</v>
      </c>
      <c r="S624" s="320">
        <f>IFERROR(__xludf.DUMMYFUNCTION("""COMPUTED_VALUE"""),0.0)</f>
        <v>0</v>
      </c>
      <c r="T624" s="320">
        <f>IFERROR(__xludf.DUMMYFUNCTION("""COMPUTED_VALUE"""),393.7)</f>
        <v>393.7</v>
      </c>
      <c r="U624" s="320">
        <f>IFERROR(__xludf.DUMMYFUNCTION("""COMPUTED_VALUE"""),388.35)</f>
        <v>388.35</v>
      </c>
      <c r="V624" s="320">
        <f>IFERROR(__xludf.DUMMYFUNCTION("""COMPUTED_VALUE"""),5.033)</f>
        <v>5.033</v>
      </c>
      <c r="W624" s="320">
        <f>IFERROR(__xludf.DUMMYFUNCTION("""COMPUTED_VALUE"""),0.0)</f>
        <v>0</v>
      </c>
      <c r="X624" s="320">
        <f>IFERROR(__xludf.DUMMYFUNCTION("""COMPUTED_VALUE"""),381.0)</f>
        <v>381</v>
      </c>
      <c r="Y624" s="320">
        <f>IFERROR(__xludf.DUMMYFUNCTION("""COMPUTED_VALUE"""),2560.0)</f>
        <v>2560</v>
      </c>
      <c r="Z624" s="320">
        <f>IFERROR(__xludf.DUMMYFUNCTION("""COMPUTED_VALUE"""),11192.0)</f>
        <v>11192</v>
      </c>
      <c r="AA624" s="320">
        <f>IFERROR(__xludf.DUMMYFUNCTION("""COMPUTED_VALUE"""),58.9138)</f>
        <v>58.9138</v>
      </c>
      <c r="AB624" s="320">
        <f>IFERROR(__xludf.DUMMYFUNCTION("""COMPUTED_VALUE"""),0.7549)</f>
        <v>0.7549</v>
      </c>
      <c r="AC624" s="320">
        <f>IFERROR(__xludf.DUMMYFUNCTION("""COMPUTED_VALUE"""),40.65)</f>
        <v>40.65</v>
      </c>
      <c r="AD624" s="320">
        <f>IFERROR(__xludf.DUMMYFUNCTION("""COMPUTED_VALUE"""),18.0)</f>
        <v>18</v>
      </c>
      <c r="AE624" s="320">
        <f>IFERROR(__xludf.DUMMYFUNCTION("""COMPUTED_VALUE"""),35.0)</f>
        <v>35</v>
      </c>
      <c r="AF624" s="320">
        <f>IFERROR(__xludf.DUMMYFUNCTION("""COMPUTED_VALUE"""),54.0)</f>
        <v>54</v>
      </c>
      <c r="AG624" s="320">
        <f>IFERROR(__xludf.DUMMYFUNCTION("""COMPUTED_VALUE"""),81.0)</f>
        <v>81</v>
      </c>
      <c r="AH624" s="320">
        <f>IFERROR(__xludf.DUMMYFUNCTION("""COMPUTED_VALUE"""),60.03)</f>
        <v>60.03</v>
      </c>
      <c r="AI624" s="320">
        <f>IFERROR(__xludf.DUMMYFUNCTION("""COMPUTED_VALUE"""),21.35)</f>
        <v>21.35</v>
      </c>
      <c r="AJ624" s="320">
        <f>IFERROR(__xludf.DUMMYFUNCTION("""COMPUTED_VALUE"""),4.97)</f>
        <v>4.97</v>
      </c>
      <c r="AK624" s="320">
        <f>IFERROR(__xludf.DUMMYFUNCTION("""COMPUTED_VALUE"""),0.1121)</f>
        <v>0.1121</v>
      </c>
      <c r="AL624" s="320">
        <f>IFERROR(__xludf.DUMMYFUNCTION("""COMPUTED_VALUE"""),20.59)</f>
        <v>20.59</v>
      </c>
      <c r="AM624" s="320">
        <f>IFERROR(__xludf.DUMMYFUNCTION("""COMPUTED_VALUE"""),273.09)</f>
        <v>273.09</v>
      </c>
      <c r="AN624" s="320">
        <f>IFERROR(__xludf.DUMMYFUNCTION("""COMPUTED_VALUE"""),75.07)</f>
        <v>75.07</v>
      </c>
      <c r="AO624" s="320">
        <f>IFERROR(__xludf.DUMMYFUNCTION("""COMPUTED_VALUE"""),15.46)</f>
        <v>15.46</v>
      </c>
    </row>
    <row r="625" ht="15.0" customHeight="1">
      <c r="A625" s="328">
        <f>IFERROR(__xludf.DUMMYFUNCTION("""COMPUTED_VALUE"""),46153.0)</f>
        <v>46153</v>
      </c>
      <c r="B625" s="319" t="str">
        <f>IFERROR(__xludf.DUMMYFUNCTION("""COMPUTED_VALUE"""),"F. 100+")</f>
        <v>F. 100+</v>
      </c>
      <c r="C625" s="320">
        <f>IFERROR(__xludf.DUMMYFUNCTION("""COMPUTED_VALUE"""),609.0)</f>
        <v>609</v>
      </c>
      <c r="D625" s="320">
        <f>IFERROR(__xludf.DUMMYFUNCTION("""COMPUTED_VALUE"""),0.58)</f>
        <v>0.58</v>
      </c>
      <c r="E625" s="320">
        <f>IFERROR(__xludf.DUMMYFUNCTION("""COMPUTED_VALUE"""),0.0)</f>
        <v>0</v>
      </c>
      <c r="F625" s="320">
        <f>IFERROR(__xludf.DUMMYFUNCTION("""COMPUTED_VALUE"""),0.0)</f>
        <v>0</v>
      </c>
      <c r="G625" s="320">
        <f>IFERROR(__xludf.DUMMYFUNCTION("""COMPUTED_VALUE"""),0.0)</f>
        <v>0</v>
      </c>
      <c r="H625" s="106"/>
      <c r="I625" s="320">
        <f>IFERROR(__xludf.DUMMYFUNCTION("""COMPUTED_VALUE"""),254.02)</f>
        <v>254.02</v>
      </c>
      <c r="J625" s="320">
        <f>IFERROR(__xludf.DUMMYFUNCTION("""COMPUTED_VALUE"""),149.22)</f>
        <v>149.22</v>
      </c>
      <c r="K625" s="320">
        <f>IFERROR(__xludf.DUMMYFUNCTION("""COMPUTED_VALUE"""),133.32)</f>
        <v>133.32</v>
      </c>
      <c r="L625" s="320">
        <f>IFERROR(__xludf.DUMMYFUNCTION("""COMPUTED_VALUE"""),0.8934)</f>
        <v>0.8934</v>
      </c>
      <c r="M625" s="320">
        <f>IFERROR(__xludf.DUMMYFUNCTION("""COMPUTED_VALUE"""),0.2578)</f>
        <v>0.2578</v>
      </c>
      <c r="N625" s="320">
        <f>IFERROR(__xludf.DUMMYFUNCTION("""COMPUTED_VALUE"""),0.1977)</f>
        <v>0.1977</v>
      </c>
      <c r="O625" s="320">
        <f>IFERROR(__xludf.DUMMYFUNCTION("""COMPUTED_VALUE"""),1.1193)</f>
        <v>1.1193</v>
      </c>
      <c r="P625" s="320">
        <f>IFERROR(__xludf.DUMMYFUNCTION("""COMPUTED_VALUE"""),737.79)</f>
        <v>737.79</v>
      </c>
      <c r="Q625" s="320">
        <f>IFERROR(__xludf.DUMMYFUNCTION("""COMPUTED_VALUE"""),503.67)</f>
        <v>503.67</v>
      </c>
      <c r="R625" s="320">
        <f>IFERROR(__xludf.DUMMYFUNCTION("""COMPUTED_VALUE"""),234.11)</f>
        <v>234.11</v>
      </c>
      <c r="S625" s="320">
        <f>IFERROR(__xludf.DUMMYFUNCTION("""COMPUTED_VALUE"""),0.0)</f>
        <v>0</v>
      </c>
      <c r="T625" s="320">
        <f>IFERROR(__xludf.DUMMYFUNCTION("""COMPUTED_VALUE"""),737.79)</f>
        <v>737.79</v>
      </c>
      <c r="U625" s="320">
        <f>IFERROR(__xludf.DUMMYFUNCTION("""COMPUTED_VALUE"""),640.72)</f>
        <v>640.72</v>
      </c>
      <c r="V625" s="320">
        <f>IFERROR(__xludf.DUMMYFUNCTION("""COMPUTED_VALUE"""),4.2938)</f>
        <v>4.2938</v>
      </c>
      <c r="W625" s="320">
        <f>IFERROR(__xludf.DUMMYFUNCTION("""COMPUTED_VALUE"""),0.0)</f>
        <v>0</v>
      </c>
      <c r="X625" s="320">
        <f>IFERROR(__xludf.DUMMYFUNCTION("""COMPUTED_VALUE"""),876.0)</f>
        <v>876</v>
      </c>
      <c r="Y625" s="320">
        <f>IFERROR(__xludf.DUMMYFUNCTION("""COMPUTED_VALUE"""),4189.0)</f>
        <v>4189</v>
      </c>
      <c r="Z625" s="320">
        <f>IFERROR(__xludf.DUMMYFUNCTION("""COMPUTED_VALUE"""),13377.0)</f>
        <v>13377</v>
      </c>
      <c r="AA625" s="320">
        <f>IFERROR(__xludf.DUMMYFUNCTION("""COMPUTED_VALUE"""),63.0669)</f>
        <v>63.0669</v>
      </c>
      <c r="AB625" s="320">
        <f>IFERROR(__xludf.DUMMYFUNCTION("""COMPUTED_VALUE"""),0.8973)</f>
        <v>0.8973</v>
      </c>
      <c r="AC625" s="320">
        <f>IFERROR(__xludf.DUMMYFUNCTION("""COMPUTED_VALUE"""),99.19)</f>
        <v>99.19</v>
      </c>
      <c r="AD625" s="320">
        <f>IFERROR(__xludf.DUMMYFUNCTION("""COMPUTED_VALUE"""),43.0)</f>
        <v>43</v>
      </c>
      <c r="AE625" s="320">
        <f>IFERROR(__xludf.DUMMYFUNCTION("""COMPUTED_VALUE"""),91.0)</f>
        <v>91</v>
      </c>
      <c r="AF625" s="320">
        <f>IFERROR(__xludf.DUMMYFUNCTION("""COMPUTED_VALUE"""),136.0)</f>
        <v>136</v>
      </c>
      <c r="AG625" s="320">
        <f>IFERROR(__xludf.DUMMYFUNCTION("""COMPUTED_VALUE"""),190.0)</f>
        <v>190</v>
      </c>
      <c r="AH625" s="320">
        <f>IFERROR(__xludf.DUMMYFUNCTION("""COMPUTED_VALUE"""),55.67)</f>
        <v>55.67</v>
      </c>
      <c r="AI625" s="320">
        <f>IFERROR(__xludf.DUMMYFUNCTION("""COMPUTED_VALUE"""),13.79)</f>
        <v>13.79</v>
      </c>
      <c r="AJ625" s="320">
        <f>IFERROR(__xludf.DUMMYFUNCTION("""COMPUTED_VALUE"""),1.81)</f>
        <v>1.81</v>
      </c>
      <c r="AK625" s="320">
        <f>IFERROR(__xludf.DUMMYFUNCTION("""COMPUTED_VALUE"""),0.087)</f>
        <v>0.087</v>
      </c>
      <c r="AL625" s="320">
        <f>IFERROR(__xludf.DUMMYFUNCTION("""COMPUTED_VALUE"""),23.13)</f>
        <v>23.13</v>
      </c>
      <c r="AM625" s="320">
        <f>IFERROR(__xludf.DUMMYFUNCTION("""COMPUTED_VALUE"""),480.55)</f>
        <v>480.55</v>
      </c>
      <c r="AN625" s="320">
        <f>IFERROR(__xludf.DUMMYFUNCTION("""COMPUTED_VALUE"""),84.99)</f>
        <v>84.99</v>
      </c>
      <c r="AO625" s="320">
        <f>IFERROR(__xludf.DUMMYFUNCTION("""COMPUTED_VALUE"""),19.66)</f>
        <v>19.66</v>
      </c>
    </row>
    <row r="626" ht="15.0" customHeight="1">
      <c r="A626" s="328">
        <f>IFERROR(__xludf.DUMMYFUNCTION("""COMPUTED_VALUE"""),46154.0)</f>
        <v>46154</v>
      </c>
      <c r="B626" s="319" t="str">
        <f>IFERROR(__xludf.DUMMYFUNCTION("""COMPUTED_VALUE"""),"A. 0")</f>
        <v>A. 0</v>
      </c>
      <c r="C626" s="320">
        <f>IFERROR(__xludf.DUMMYFUNCTION("""COMPUTED_VALUE"""),19721.0)</f>
        <v>19721</v>
      </c>
      <c r="D626" s="320">
        <f>IFERROR(__xludf.DUMMYFUNCTION("""COMPUTED_VALUE"""),18.79)</f>
        <v>18.79</v>
      </c>
      <c r="E626" s="320">
        <f>IFERROR(__xludf.DUMMYFUNCTION("""COMPUTED_VALUE"""),0.0)</f>
        <v>0</v>
      </c>
      <c r="F626" s="320">
        <f>IFERROR(__xludf.DUMMYFUNCTION("""COMPUTED_VALUE"""),0.0)</f>
        <v>0</v>
      </c>
      <c r="G626" s="320">
        <f>IFERROR(__xludf.DUMMYFUNCTION("""COMPUTED_VALUE"""),0.0)</f>
        <v>0</v>
      </c>
      <c r="H626" s="106"/>
      <c r="I626" s="320">
        <f>IFERROR(__xludf.DUMMYFUNCTION("""COMPUTED_VALUE"""),6.12)</f>
        <v>6.12</v>
      </c>
      <c r="J626" s="320">
        <f>IFERROR(__xludf.DUMMYFUNCTION("""COMPUTED_VALUE"""),2.57)</f>
        <v>2.57</v>
      </c>
      <c r="K626" s="320">
        <f>IFERROR(__xludf.DUMMYFUNCTION("""COMPUTED_VALUE"""),0.08)</f>
        <v>0.08</v>
      </c>
      <c r="L626" s="320">
        <f>IFERROR(__xludf.DUMMYFUNCTION("""COMPUTED_VALUE"""),0.0301)</f>
        <v>0.0301</v>
      </c>
      <c r="M626" s="320">
        <f>IFERROR(__xludf.DUMMYFUNCTION("""COMPUTED_VALUE"""),0.9758)</f>
        <v>0.9758</v>
      </c>
      <c r="N626" s="320">
        <f>IFERROR(__xludf.DUMMYFUNCTION("""COMPUTED_VALUE"""),0.7371)</f>
        <v>0.7371</v>
      </c>
      <c r="O626" s="320">
        <f>IFERROR(__xludf.DUMMYFUNCTION("""COMPUTED_VALUE"""),33.259)</f>
        <v>33.259</v>
      </c>
      <c r="P626" s="320">
        <f>IFERROR(__xludf.DUMMYFUNCTION("""COMPUTED_VALUE"""),25.0)</f>
        <v>25</v>
      </c>
      <c r="Q626" s="320">
        <f>IFERROR(__xludf.DUMMYFUNCTION("""COMPUTED_VALUE"""),24.89)</f>
        <v>24.89</v>
      </c>
      <c r="R626" s="320">
        <f>IFERROR(__xludf.DUMMYFUNCTION("""COMPUTED_VALUE"""),0.12)</f>
        <v>0.12</v>
      </c>
      <c r="S626" s="320">
        <f>IFERROR(__xludf.DUMMYFUNCTION("""COMPUTED_VALUE"""),0.0)</f>
        <v>0</v>
      </c>
      <c r="T626" s="320">
        <f>IFERROR(__xludf.DUMMYFUNCTION("""COMPUTED_VALUE"""),25.0)</f>
        <v>25</v>
      </c>
      <c r="U626" s="320">
        <f>IFERROR(__xludf.DUMMYFUNCTION("""COMPUTED_VALUE"""),2.11)</f>
        <v>2.11</v>
      </c>
      <c r="V626" s="320">
        <f>IFERROR(__xludf.DUMMYFUNCTION("""COMPUTED_VALUE"""),0.8212)</f>
        <v>0.8212</v>
      </c>
      <c r="W626" s="320">
        <f>IFERROR(__xludf.DUMMYFUNCTION("""COMPUTED_VALUE"""),0.0)</f>
        <v>0</v>
      </c>
      <c r="X626" s="320">
        <f>IFERROR(__xludf.DUMMYFUNCTION("""COMPUTED_VALUE"""),355.0)</f>
        <v>355</v>
      </c>
      <c r="Y626" s="320">
        <f>IFERROR(__xludf.DUMMYFUNCTION("""COMPUTED_VALUE"""),4224.0)</f>
        <v>4224</v>
      </c>
      <c r="Z626" s="320">
        <f>IFERROR(__xludf.DUMMYFUNCTION("""COMPUTED_VALUE"""),15683.0)</f>
        <v>15683</v>
      </c>
      <c r="AA626" s="320">
        <f>IFERROR(__xludf.DUMMYFUNCTION("""COMPUTED_VALUE"""),49.049)</f>
        <v>49.049</v>
      </c>
      <c r="AB626" s="320">
        <f>IFERROR(__xludf.DUMMYFUNCTION("""COMPUTED_VALUE"""),0.5376)</f>
        <v>0.5376</v>
      </c>
      <c r="AC626" s="106"/>
      <c r="AD626" s="106"/>
      <c r="AE626" s="106"/>
      <c r="AF626" s="106"/>
      <c r="AG626" s="106"/>
      <c r="AH626" s="320">
        <f>IFERROR(__xludf.DUMMYFUNCTION("""COMPUTED_VALUE"""),0.0)</f>
        <v>0</v>
      </c>
      <c r="AI626" s="320">
        <f>IFERROR(__xludf.DUMMYFUNCTION("""COMPUTED_VALUE"""),0.0)</f>
        <v>0</v>
      </c>
      <c r="AJ626" s="320">
        <f>IFERROR(__xludf.DUMMYFUNCTION("""COMPUTED_VALUE"""),0.0)</f>
        <v>0</v>
      </c>
      <c r="AK626" s="320">
        <f>IFERROR(__xludf.DUMMYFUNCTION("""COMPUTED_VALUE"""),0.2752)</f>
        <v>0.2752</v>
      </c>
      <c r="AL626" s="320">
        <f>IFERROR(__xludf.DUMMYFUNCTION("""COMPUTED_VALUE"""),15.84)</f>
        <v>15.84</v>
      </c>
      <c r="AM626" s="320">
        <f>IFERROR(__xludf.DUMMYFUNCTION("""COMPUTED_VALUE"""),9.05)</f>
        <v>9.05</v>
      </c>
      <c r="AN626" s="331"/>
      <c r="AO626" s="331"/>
    </row>
    <row r="627" ht="15.0" customHeight="1">
      <c r="A627" s="328">
        <f>IFERROR(__xludf.DUMMYFUNCTION("""COMPUTED_VALUE"""),46154.0)</f>
        <v>46154</v>
      </c>
      <c r="B627" s="319" t="str">
        <f>IFERROR(__xludf.DUMMYFUNCTION("""COMPUTED_VALUE"""),"B. 1-9")</f>
        <v>B. 1-9</v>
      </c>
      <c r="C627" s="320">
        <f>IFERROR(__xludf.DUMMYFUNCTION("""COMPUTED_VALUE"""),37569.0)</f>
        <v>37569</v>
      </c>
      <c r="D627" s="320">
        <f>IFERROR(__xludf.DUMMYFUNCTION("""COMPUTED_VALUE"""),35.79)</f>
        <v>35.79</v>
      </c>
      <c r="E627" s="320">
        <f>IFERROR(__xludf.DUMMYFUNCTION("""COMPUTED_VALUE"""),0.0)</f>
        <v>0</v>
      </c>
      <c r="F627" s="320">
        <f>IFERROR(__xludf.DUMMYFUNCTION("""COMPUTED_VALUE"""),0.0)</f>
        <v>0</v>
      </c>
      <c r="G627" s="320">
        <f>IFERROR(__xludf.DUMMYFUNCTION("""COMPUTED_VALUE"""),0.0)</f>
        <v>0</v>
      </c>
      <c r="H627" s="106"/>
      <c r="I627" s="320">
        <f>IFERROR(__xludf.DUMMYFUNCTION("""COMPUTED_VALUE"""),28.82)</f>
        <v>28.82</v>
      </c>
      <c r="J627" s="320">
        <f>IFERROR(__xludf.DUMMYFUNCTION("""COMPUTED_VALUE"""),12.97)</f>
        <v>12.97</v>
      </c>
      <c r="K627" s="320">
        <f>IFERROR(__xludf.DUMMYFUNCTION("""COMPUTED_VALUE"""),5.41)</f>
        <v>5.41</v>
      </c>
      <c r="L627" s="320">
        <f>IFERROR(__xludf.DUMMYFUNCTION("""COMPUTED_VALUE"""),0.4168)</f>
        <v>0.4168</v>
      </c>
      <c r="M627" s="320">
        <f>IFERROR(__xludf.DUMMYFUNCTION("""COMPUTED_VALUE"""),0.7579)</f>
        <v>0.7579</v>
      </c>
      <c r="N627" s="320">
        <f>IFERROR(__xludf.DUMMYFUNCTION("""COMPUTED_VALUE"""),0.5656)</f>
        <v>0.5656</v>
      </c>
      <c r="O627" s="320">
        <f>IFERROR(__xludf.DUMMYFUNCTION("""COMPUTED_VALUE"""),2.3991)</f>
        <v>2.3991</v>
      </c>
      <c r="P627" s="320">
        <f>IFERROR(__xludf.DUMMYFUNCTION("""COMPUTED_VALUE"""),51.43)</f>
        <v>51.43</v>
      </c>
      <c r="Q627" s="320">
        <f>IFERROR(__xludf.DUMMYFUNCTION("""COMPUTED_VALUE"""),42.03)</f>
        <v>42.03</v>
      </c>
      <c r="R627" s="320">
        <f>IFERROR(__xludf.DUMMYFUNCTION("""COMPUTED_VALUE"""),9.39)</f>
        <v>9.39</v>
      </c>
      <c r="S627" s="320">
        <f>IFERROR(__xludf.DUMMYFUNCTION("""COMPUTED_VALUE"""),0.17)</f>
        <v>0.17</v>
      </c>
      <c r="T627" s="320">
        <f>IFERROR(__xludf.DUMMYFUNCTION("""COMPUTED_VALUE"""),51.25)</f>
        <v>51.25</v>
      </c>
      <c r="U627" s="320">
        <f>IFERROR(__xludf.DUMMYFUNCTION("""COMPUTED_VALUE"""),51.52)</f>
        <v>51.52</v>
      </c>
      <c r="V627" s="320">
        <f>IFERROR(__xludf.DUMMYFUNCTION("""COMPUTED_VALUE"""),3.9711)</f>
        <v>3.9711</v>
      </c>
      <c r="W627" s="320">
        <f>IFERROR(__xludf.DUMMYFUNCTION("""COMPUTED_VALUE"""),0.34)</f>
        <v>0.34</v>
      </c>
      <c r="X627" s="320">
        <f>IFERROR(__xludf.DUMMYFUNCTION("""COMPUTED_VALUE"""),151.0)</f>
        <v>151</v>
      </c>
      <c r="Y627" s="320">
        <f>IFERROR(__xludf.DUMMYFUNCTION("""COMPUTED_VALUE"""),933.0)</f>
        <v>933</v>
      </c>
      <c r="Z627" s="320">
        <f>IFERROR(__xludf.DUMMYFUNCTION("""COMPUTED_VALUE"""),5995.0)</f>
        <v>5995</v>
      </c>
      <c r="AA627" s="320">
        <f>IFERROR(__xludf.DUMMYFUNCTION("""COMPUTED_VALUE"""),48.7051)</f>
        <v>48.7051</v>
      </c>
      <c r="AB627" s="320">
        <f>IFERROR(__xludf.DUMMYFUNCTION("""COMPUTED_VALUE"""),0.5279)</f>
        <v>0.5279</v>
      </c>
      <c r="AC627" s="320">
        <f>IFERROR(__xludf.DUMMYFUNCTION("""COMPUTED_VALUE"""),3.94)</f>
        <v>3.94</v>
      </c>
      <c r="AD627" s="320">
        <f>IFERROR(__xludf.DUMMYFUNCTION("""COMPUTED_VALUE"""),1.0)</f>
        <v>1</v>
      </c>
      <c r="AE627" s="320">
        <f>IFERROR(__xludf.DUMMYFUNCTION("""COMPUTED_VALUE"""),3.0)</f>
        <v>3</v>
      </c>
      <c r="AF627" s="320">
        <f>IFERROR(__xludf.DUMMYFUNCTION("""COMPUTED_VALUE"""),5.0)</f>
        <v>5</v>
      </c>
      <c r="AG627" s="320">
        <f>IFERROR(__xludf.DUMMYFUNCTION("""COMPUTED_VALUE"""),9.0)</f>
        <v>9</v>
      </c>
      <c r="AH627" s="320">
        <f>IFERROR(__xludf.DUMMYFUNCTION("""COMPUTED_VALUE"""),71.28)</f>
        <v>71.28</v>
      </c>
      <c r="AI627" s="320">
        <f>IFERROR(__xludf.DUMMYFUNCTION("""COMPUTED_VALUE"""),29.6)</f>
        <v>29.6</v>
      </c>
      <c r="AJ627" s="320">
        <f>IFERROR(__xludf.DUMMYFUNCTION("""COMPUTED_VALUE"""),8.65)</f>
        <v>8.65</v>
      </c>
      <c r="AK627" s="320">
        <f>IFERROR(__xludf.DUMMYFUNCTION("""COMPUTED_VALUE"""),0.2393)</f>
        <v>0.2393</v>
      </c>
      <c r="AL627" s="320">
        <f>IFERROR(__xludf.DUMMYFUNCTION("""COMPUTED_VALUE"""),17.96)</f>
        <v>17.96</v>
      </c>
      <c r="AM627" s="320">
        <f>IFERROR(__xludf.DUMMYFUNCTION("""COMPUTED_VALUE"""),24.08)</f>
        <v>24.08</v>
      </c>
      <c r="AN627" s="320">
        <f>IFERROR(__xludf.DUMMYFUNCTION("""COMPUTED_VALUE"""),65.2)</f>
        <v>65.2</v>
      </c>
      <c r="AO627" s="320">
        <f>IFERROR(__xludf.DUMMYFUNCTION("""COMPUTED_VALUE"""),11.71)</f>
        <v>11.71</v>
      </c>
    </row>
    <row r="628" ht="15.0" customHeight="1">
      <c r="A628" s="328">
        <f>IFERROR(__xludf.DUMMYFUNCTION("""COMPUTED_VALUE"""),46154.0)</f>
        <v>46154</v>
      </c>
      <c r="B628" s="319" t="str">
        <f>IFERROR(__xludf.DUMMYFUNCTION("""COMPUTED_VALUE"""),"C. 10-19")</f>
        <v>C. 10-19</v>
      </c>
      <c r="C628" s="320">
        <f>IFERROR(__xludf.DUMMYFUNCTION("""COMPUTED_VALUE"""),26158.0)</f>
        <v>26158</v>
      </c>
      <c r="D628" s="320">
        <f>IFERROR(__xludf.DUMMYFUNCTION("""COMPUTED_VALUE"""),24.92)</f>
        <v>24.92</v>
      </c>
      <c r="E628" s="320">
        <f>IFERROR(__xludf.DUMMYFUNCTION("""COMPUTED_VALUE"""),0.0)</f>
        <v>0</v>
      </c>
      <c r="F628" s="320">
        <f>IFERROR(__xludf.DUMMYFUNCTION("""COMPUTED_VALUE"""),0.0)</f>
        <v>0</v>
      </c>
      <c r="G628" s="320">
        <f>IFERROR(__xludf.DUMMYFUNCTION("""COMPUTED_VALUE"""),0.0)</f>
        <v>0</v>
      </c>
      <c r="H628" s="106"/>
      <c r="I628" s="320">
        <f>IFERROR(__xludf.DUMMYFUNCTION("""COMPUTED_VALUE"""),55.17)</f>
        <v>55.17</v>
      </c>
      <c r="J628" s="320">
        <f>IFERROR(__xludf.DUMMYFUNCTION("""COMPUTED_VALUE"""),25.89)</f>
        <v>25.89</v>
      </c>
      <c r="K628" s="320">
        <f>IFERROR(__xludf.DUMMYFUNCTION("""COMPUTED_VALUE"""),14.39)</f>
        <v>14.39</v>
      </c>
      <c r="L628" s="320">
        <f>IFERROR(__xludf.DUMMYFUNCTION("""COMPUTED_VALUE"""),0.556)</f>
        <v>0.556</v>
      </c>
      <c r="M628" s="320">
        <f>IFERROR(__xludf.DUMMYFUNCTION("""COMPUTED_VALUE"""),0.6447)</f>
        <v>0.6447</v>
      </c>
      <c r="N628" s="320">
        <f>IFERROR(__xludf.DUMMYFUNCTION("""COMPUTED_VALUE"""),0.45)</f>
        <v>0.45</v>
      </c>
      <c r="O628" s="320">
        <f>IFERROR(__xludf.DUMMYFUNCTION("""COMPUTED_VALUE"""),1.7986)</f>
        <v>1.7986</v>
      </c>
      <c r="P628" s="320">
        <f>IFERROR(__xludf.DUMMYFUNCTION("""COMPUTED_VALUE"""),103.52)</f>
        <v>103.52</v>
      </c>
      <c r="Q628" s="320">
        <f>IFERROR(__xludf.DUMMYFUNCTION("""COMPUTED_VALUE"""),79.17)</f>
        <v>79.17</v>
      </c>
      <c r="R628" s="320">
        <f>IFERROR(__xludf.DUMMYFUNCTION("""COMPUTED_VALUE"""),24.36)</f>
        <v>24.36</v>
      </c>
      <c r="S628" s="320">
        <f>IFERROR(__xludf.DUMMYFUNCTION("""COMPUTED_VALUE"""),0.34)</f>
        <v>0.34</v>
      </c>
      <c r="T628" s="320">
        <f>IFERROR(__xludf.DUMMYFUNCTION("""COMPUTED_VALUE"""),103.18)</f>
        <v>103.18</v>
      </c>
      <c r="U628" s="320">
        <f>IFERROR(__xludf.DUMMYFUNCTION("""COMPUTED_VALUE"""),103.3)</f>
        <v>103.3</v>
      </c>
      <c r="V628" s="320">
        <f>IFERROR(__xludf.DUMMYFUNCTION("""COMPUTED_VALUE"""),3.9904)</f>
        <v>3.9904</v>
      </c>
      <c r="W628" s="320">
        <f>IFERROR(__xludf.DUMMYFUNCTION("""COMPUTED_VALUE"""),0.33)</f>
        <v>0.33</v>
      </c>
      <c r="X628" s="320">
        <f>IFERROR(__xludf.DUMMYFUNCTION("""COMPUTED_VALUE"""),140.0)</f>
        <v>140</v>
      </c>
      <c r="Y628" s="320">
        <f>IFERROR(__xludf.DUMMYFUNCTION("""COMPUTED_VALUE"""),788.0)</f>
        <v>788</v>
      </c>
      <c r="Z628" s="320">
        <f>IFERROR(__xludf.DUMMYFUNCTION("""COMPUTED_VALUE"""),6255.0)</f>
        <v>6255</v>
      </c>
      <c r="AA628" s="320">
        <f>IFERROR(__xludf.DUMMYFUNCTION("""COMPUTED_VALUE"""),52.1893)</f>
        <v>52.1893</v>
      </c>
      <c r="AB628" s="320">
        <f>IFERROR(__xludf.DUMMYFUNCTION("""COMPUTED_VALUE"""),0.5967)</f>
        <v>0.5967</v>
      </c>
      <c r="AC628" s="320">
        <f>IFERROR(__xludf.DUMMYFUNCTION("""COMPUTED_VALUE"""),9.8)</f>
        <v>9.8</v>
      </c>
      <c r="AD628" s="320">
        <f>IFERROR(__xludf.DUMMYFUNCTION("""COMPUTED_VALUE"""),4.0)</f>
        <v>4</v>
      </c>
      <c r="AE628" s="320">
        <f>IFERROR(__xludf.DUMMYFUNCTION("""COMPUTED_VALUE"""),8.0)</f>
        <v>8</v>
      </c>
      <c r="AF628" s="320">
        <f>IFERROR(__xludf.DUMMYFUNCTION("""COMPUTED_VALUE"""),13.0)</f>
        <v>13</v>
      </c>
      <c r="AG628" s="320">
        <f>IFERROR(__xludf.DUMMYFUNCTION("""COMPUTED_VALUE"""),21.0)</f>
        <v>21</v>
      </c>
      <c r="AH628" s="320">
        <f>IFERROR(__xludf.DUMMYFUNCTION("""COMPUTED_VALUE"""),61.01)</f>
        <v>61.01</v>
      </c>
      <c r="AI628" s="320">
        <f>IFERROR(__xludf.DUMMYFUNCTION("""COMPUTED_VALUE"""),27.82)</f>
        <v>27.82</v>
      </c>
      <c r="AJ628" s="320">
        <f>IFERROR(__xludf.DUMMYFUNCTION("""COMPUTED_VALUE"""),5.65)</f>
        <v>5.65</v>
      </c>
      <c r="AK628" s="320">
        <f>IFERROR(__xludf.DUMMYFUNCTION("""COMPUTED_VALUE"""),0.1806)</f>
        <v>0.1806</v>
      </c>
      <c r="AL628" s="320">
        <f>IFERROR(__xludf.DUMMYFUNCTION("""COMPUTED_VALUE"""),18.34)</f>
        <v>18.34</v>
      </c>
      <c r="AM628" s="320">
        <f>IFERROR(__xludf.DUMMYFUNCTION("""COMPUTED_VALUE"""),60.83)</f>
        <v>60.83</v>
      </c>
      <c r="AN628" s="320">
        <f>IFERROR(__xludf.DUMMYFUNCTION("""COMPUTED_VALUE"""),71.86)</f>
        <v>71.86</v>
      </c>
      <c r="AO628" s="320">
        <f>IFERROR(__xludf.DUMMYFUNCTION("""COMPUTED_VALUE"""),13.18)</f>
        <v>13.18</v>
      </c>
    </row>
    <row r="629" ht="15.0" customHeight="1">
      <c r="A629" s="328">
        <f>IFERROR(__xludf.DUMMYFUNCTION("""COMPUTED_VALUE"""),46154.0)</f>
        <v>46154</v>
      </c>
      <c r="B629" s="319" t="str">
        <f>IFERROR(__xludf.DUMMYFUNCTION("""COMPUTED_VALUE"""),"D. 20-39")</f>
        <v>D. 20-39</v>
      </c>
      <c r="C629" s="320">
        <f>IFERROR(__xludf.DUMMYFUNCTION("""COMPUTED_VALUE"""),15122.0)</f>
        <v>15122</v>
      </c>
      <c r="D629" s="320">
        <f>IFERROR(__xludf.DUMMYFUNCTION("""COMPUTED_VALUE"""),14.41)</f>
        <v>14.41</v>
      </c>
      <c r="E629" s="320">
        <f>IFERROR(__xludf.DUMMYFUNCTION("""COMPUTED_VALUE"""),0.0)</f>
        <v>0</v>
      </c>
      <c r="F629" s="320">
        <f>IFERROR(__xludf.DUMMYFUNCTION("""COMPUTED_VALUE"""),0.0)</f>
        <v>0</v>
      </c>
      <c r="G629" s="320">
        <f>IFERROR(__xludf.DUMMYFUNCTION("""COMPUTED_VALUE"""),0.0)</f>
        <v>0</v>
      </c>
      <c r="H629" s="106"/>
      <c r="I629" s="320">
        <f>IFERROR(__xludf.DUMMYFUNCTION("""COMPUTED_VALUE"""),83.38)</f>
        <v>83.38</v>
      </c>
      <c r="J629" s="320">
        <f>IFERROR(__xludf.DUMMYFUNCTION("""COMPUTED_VALUE"""),41.96)</f>
        <v>41.96</v>
      </c>
      <c r="K629" s="320">
        <f>IFERROR(__xludf.DUMMYFUNCTION("""COMPUTED_VALUE"""),29.35)</f>
        <v>29.35</v>
      </c>
      <c r="L629" s="320">
        <f>IFERROR(__xludf.DUMMYFUNCTION("""COMPUTED_VALUE"""),0.6994)</f>
        <v>0.6994</v>
      </c>
      <c r="M629" s="320">
        <f>IFERROR(__xludf.DUMMYFUNCTION("""COMPUTED_VALUE"""),0.499)</f>
        <v>0.499</v>
      </c>
      <c r="N629" s="320">
        <f>IFERROR(__xludf.DUMMYFUNCTION("""COMPUTED_VALUE"""),0.3466)</f>
        <v>0.3466</v>
      </c>
      <c r="O629" s="320">
        <f>IFERROR(__xludf.DUMMYFUNCTION("""COMPUTED_VALUE"""),1.4299)</f>
        <v>1.4299</v>
      </c>
      <c r="P629" s="320">
        <f>IFERROR(__xludf.DUMMYFUNCTION("""COMPUTED_VALUE"""),188.42)</f>
        <v>188.42</v>
      </c>
      <c r="Q629" s="320">
        <f>IFERROR(__xludf.DUMMYFUNCTION("""COMPUTED_VALUE"""),142.27)</f>
        <v>142.27</v>
      </c>
      <c r="R629" s="320">
        <f>IFERROR(__xludf.DUMMYFUNCTION("""COMPUTED_VALUE"""),46.15)</f>
        <v>46.15</v>
      </c>
      <c r="S629" s="320">
        <f>IFERROR(__xludf.DUMMYFUNCTION("""COMPUTED_VALUE"""),0.0)</f>
        <v>0</v>
      </c>
      <c r="T629" s="320">
        <f>IFERROR(__xludf.DUMMYFUNCTION("""COMPUTED_VALUE"""),188.42)</f>
        <v>188.42</v>
      </c>
      <c r="U629" s="320">
        <f>IFERROR(__xludf.DUMMYFUNCTION("""COMPUTED_VALUE"""),178.56)</f>
        <v>178.56</v>
      </c>
      <c r="V629" s="320">
        <f>IFERROR(__xludf.DUMMYFUNCTION("""COMPUTED_VALUE"""),4.2556)</f>
        <v>4.2556</v>
      </c>
      <c r="W629" s="320">
        <f>IFERROR(__xludf.DUMMYFUNCTION("""COMPUTED_VALUE"""),0.0)</f>
        <v>0</v>
      </c>
      <c r="X629" s="320">
        <f>IFERROR(__xludf.DUMMYFUNCTION("""COMPUTED_VALUE"""),188.0)</f>
        <v>188</v>
      </c>
      <c r="Y629" s="320">
        <f>IFERROR(__xludf.DUMMYFUNCTION("""COMPUTED_VALUE"""),1145.0)</f>
        <v>1145</v>
      </c>
      <c r="Z629" s="320">
        <f>IFERROR(__xludf.DUMMYFUNCTION("""COMPUTED_VALUE"""),7240.0)</f>
        <v>7240</v>
      </c>
      <c r="AA629" s="320">
        <f>IFERROR(__xludf.DUMMYFUNCTION("""COMPUTED_VALUE"""),55.4197)</f>
        <v>55.4197</v>
      </c>
      <c r="AB629" s="320">
        <f>IFERROR(__xludf.DUMMYFUNCTION("""COMPUTED_VALUE"""),0.6929)</f>
        <v>0.6929</v>
      </c>
      <c r="AC629" s="320">
        <f>IFERROR(__xludf.DUMMYFUNCTION("""COMPUTED_VALUE"""),18.35)</f>
        <v>18.35</v>
      </c>
      <c r="AD629" s="320">
        <f>IFERROR(__xludf.DUMMYFUNCTION("""COMPUTED_VALUE"""),7.0)</f>
        <v>7</v>
      </c>
      <c r="AE629" s="320">
        <f>IFERROR(__xludf.DUMMYFUNCTION("""COMPUTED_VALUE"""),14.0)</f>
        <v>14</v>
      </c>
      <c r="AF629" s="320">
        <f>IFERROR(__xludf.DUMMYFUNCTION("""COMPUTED_VALUE"""),25.0)</f>
        <v>25</v>
      </c>
      <c r="AG629" s="320">
        <f>IFERROR(__xludf.DUMMYFUNCTION("""COMPUTED_VALUE"""),39.0)</f>
        <v>39</v>
      </c>
      <c r="AH629" s="320">
        <f>IFERROR(__xludf.DUMMYFUNCTION("""COMPUTED_VALUE"""),61.31)</f>
        <v>61.31</v>
      </c>
      <c r="AI629" s="320">
        <f>IFERROR(__xludf.DUMMYFUNCTION("""COMPUTED_VALUE"""),25.21)</f>
        <v>25.21</v>
      </c>
      <c r="AJ629" s="320">
        <f>IFERROR(__xludf.DUMMYFUNCTION("""COMPUTED_VALUE"""),8.01)</f>
        <v>8.01</v>
      </c>
      <c r="AK629" s="320">
        <f>IFERROR(__xludf.DUMMYFUNCTION("""COMPUTED_VALUE"""),0.1592)</f>
        <v>0.1592</v>
      </c>
      <c r="AL629" s="320">
        <f>IFERROR(__xludf.DUMMYFUNCTION("""COMPUTED_VALUE"""),19.25)</f>
        <v>19.25</v>
      </c>
      <c r="AM629" s="320">
        <f>IFERROR(__xludf.DUMMYFUNCTION("""COMPUTED_VALUE"""),123.02)</f>
        <v>123.02</v>
      </c>
      <c r="AN629" s="320">
        <f>IFERROR(__xludf.DUMMYFUNCTION("""COMPUTED_VALUE"""),74.05)</f>
        <v>74.05</v>
      </c>
      <c r="AO629" s="320">
        <f>IFERROR(__xludf.DUMMYFUNCTION("""COMPUTED_VALUE"""),14.25)</f>
        <v>14.25</v>
      </c>
    </row>
    <row r="630" ht="15.0" customHeight="1">
      <c r="A630" s="328">
        <f>IFERROR(__xludf.DUMMYFUNCTION("""COMPUTED_VALUE"""),46154.0)</f>
        <v>46154</v>
      </c>
      <c r="B630" s="319" t="str">
        <f>IFERROR(__xludf.DUMMYFUNCTION("""COMPUTED_VALUE"""),"E. 40-99")</f>
        <v>E. 40-99</v>
      </c>
      <c r="C630" s="320">
        <f>IFERROR(__xludf.DUMMYFUNCTION("""COMPUTED_VALUE"""),5761.0)</f>
        <v>5761</v>
      </c>
      <c r="D630" s="320">
        <f>IFERROR(__xludf.DUMMYFUNCTION("""COMPUTED_VALUE"""),5.49)</f>
        <v>5.49</v>
      </c>
      <c r="E630" s="320">
        <f>IFERROR(__xludf.DUMMYFUNCTION("""COMPUTED_VALUE"""),0.0)</f>
        <v>0</v>
      </c>
      <c r="F630" s="320">
        <f>IFERROR(__xludf.DUMMYFUNCTION("""COMPUTED_VALUE"""),0.0)</f>
        <v>0</v>
      </c>
      <c r="G630" s="320">
        <f>IFERROR(__xludf.DUMMYFUNCTION("""COMPUTED_VALUE"""),0.0)</f>
        <v>0</v>
      </c>
      <c r="H630" s="106"/>
      <c r="I630" s="320">
        <f>IFERROR(__xludf.DUMMYFUNCTION("""COMPUTED_VALUE"""),127.58)</f>
        <v>127.58</v>
      </c>
      <c r="J630" s="320">
        <f>IFERROR(__xludf.DUMMYFUNCTION("""COMPUTED_VALUE"""),70.13)</f>
        <v>70.13</v>
      </c>
      <c r="K630" s="320">
        <f>IFERROR(__xludf.DUMMYFUNCTION("""COMPUTED_VALUE"""),56.9)</f>
        <v>56.9</v>
      </c>
      <c r="L630" s="320">
        <f>IFERROR(__xludf.DUMMYFUNCTION("""COMPUTED_VALUE"""),0.8114)</f>
        <v>0.8114</v>
      </c>
      <c r="M630" s="320">
        <f>IFERROR(__xludf.DUMMYFUNCTION("""COMPUTED_VALUE"""),0.37)</f>
        <v>0.37</v>
      </c>
      <c r="N630" s="320">
        <f>IFERROR(__xludf.DUMMYFUNCTION("""COMPUTED_VALUE"""),0.2679)</f>
        <v>0.2679</v>
      </c>
      <c r="O630" s="320">
        <f>IFERROR(__xludf.DUMMYFUNCTION("""COMPUTED_VALUE"""),1.2325)</f>
        <v>1.2325</v>
      </c>
      <c r="P630" s="320">
        <f>IFERROR(__xludf.DUMMYFUNCTION("""COMPUTED_VALUE"""),350.56)</f>
        <v>350.56</v>
      </c>
      <c r="Q630" s="320">
        <f>IFERROR(__xludf.DUMMYFUNCTION("""COMPUTED_VALUE"""),252.23)</f>
        <v>252.23</v>
      </c>
      <c r="R630" s="320">
        <f>IFERROR(__xludf.DUMMYFUNCTION("""COMPUTED_VALUE"""),98.32)</f>
        <v>98.32</v>
      </c>
      <c r="S630" s="320">
        <f>IFERROR(__xludf.DUMMYFUNCTION("""COMPUTED_VALUE"""),0.0)</f>
        <v>0</v>
      </c>
      <c r="T630" s="320">
        <f>IFERROR(__xludf.DUMMYFUNCTION("""COMPUTED_VALUE"""),350.56)</f>
        <v>350.56</v>
      </c>
      <c r="U630" s="320">
        <f>IFERROR(__xludf.DUMMYFUNCTION("""COMPUTED_VALUE"""),324.3)</f>
        <v>324.3</v>
      </c>
      <c r="V630" s="320">
        <f>IFERROR(__xludf.DUMMYFUNCTION("""COMPUTED_VALUE"""),4.6243)</f>
        <v>4.6243</v>
      </c>
      <c r="W630" s="320">
        <f>IFERROR(__xludf.DUMMYFUNCTION("""COMPUTED_VALUE"""),0.0)</f>
        <v>0</v>
      </c>
      <c r="X630" s="320">
        <f>IFERROR(__xludf.DUMMYFUNCTION("""COMPUTED_VALUE"""),394.0)</f>
        <v>394</v>
      </c>
      <c r="Y630" s="320">
        <f>IFERROR(__xludf.DUMMYFUNCTION("""COMPUTED_VALUE"""),2465.0)</f>
        <v>2465</v>
      </c>
      <c r="Z630" s="320">
        <f>IFERROR(__xludf.DUMMYFUNCTION("""COMPUTED_VALUE"""),9588.0)</f>
        <v>9588</v>
      </c>
      <c r="AA630" s="320">
        <f>IFERROR(__xludf.DUMMYFUNCTION("""COMPUTED_VALUE"""),59.4346)</f>
        <v>59.4346</v>
      </c>
      <c r="AB630" s="320">
        <f>IFERROR(__xludf.DUMMYFUNCTION("""COMPUTED_VALUE"""),0.8446)</f>
        <v>0.8446</v>
      </c>
      <c r="AC630" s="320">
        <f>IFERROR(__xludf.DUMMYFUNCTION("""COMPUTED_VALUE"""),41.02)</f>
        <v>41.02</v>
      </c>
      <c r="AD630" s="320">
        <f>IFERROR(__xludf.DUMMYFUNCTION("""COMPUTED_VALUE"""),17.0)</f>
        <v>17</v>
      </c>
      <c r="AE630" s="320">
        <f>IFERROR(__xludf.DUMMYFUNCTION("""COMPUTED_VALUE"""),33.0)</f>
        <v>33</v>
      </c>
      <c r="AF630" s="320">
        <f>IFERROR(__xludf.DUMMYFUNCTION("""COMPUTED_VALUE"""),56.0)</f>
        <v>56</v>
      </c>
      <c r="AG630" s="320">
        <f>IFERROR(__xludf.DUMMYFUNCTION("""COMPUTED_VALUE"""),83.0)</f>
        <v>83</v>
      </c>
      <c r="AH630" s="320">
        <f>IFERROR(__xludf.DUMMYFUNCTION("""COMPUTED_VALUE"""),58.53)</f>
        <v>58.53</v>
      </c>
      <c r="AI630" s="320">
        <f>IFERROR(__xludf.DUMMYFUNCTION("""COMPUTED_VALUE"""),22.36)</f>
        <v>22.36</v>
      </c>
      <c r="AJ630" s="320">
        <f>IFERROR(__xludf.DUMMYFUNCTION("""COMPUTED_VALUE"""),5.52)</f>
        <v>5.52</v>
      </c>
      <c r="AK630" s="320">
        <f>IFERROR(__xludf.DUMMYFUNCTION("""COMPUTED_VALUE"""),0.1373)</f>
        <v>0.1373</v>
      </c>
      <c r="AL630" s="320">
        <f>IFERROR(__xludf.DUMMYFUNCTION("""COMPUTED_VALUE"""),20.17)</f>
        <v>20.17</v>
      </c>
      <c r="AM630" s="320">
        <f>IFERROR(__xludf.DUMMYFUNCTION("""COMPUTED_VALUE"""),232.06)</f>
        <v>232.06</v>
      </c>
      <c r="AN630" s="320">
        <f>IFERROR(__xludf.DUMMYFUNCTION("""COMPUTED_VALUE"""),81.55)</f>
        <v>81.55</v>
      </c>
      <c r="AO630" s="320">
        <f>IFERROR(__xludf.DUMMYFUNCTION("""COMPUTED_VALUE"""),16.45)</f>
        <v>16.45</v>
      </c>
    </row>
    <row r="631" ht="15.0" customHeight="1">
      <c r="A631" s="328">
        <f>IFERROR(__xludf.DUMMYFUNCTION("""COMPUTED_VALUE"""),46154.0)</f>
        <v>46154</v>
      </c>
      <c r="B631" s="319" t="str">
        <f>IFERROR(__xludf.DUMMYFUNCTION("""COMPUTED_VALUE"""),"F. 100+")</f>
        <v>F. 100+</v>
      </c>
      <c r="C631" s="320">
        <f>IFERROR(__xludf.DUMMYFUNCTION("""COMPUTED_VALUE"""),640.0)</f>
        <v>640</v>
      </c>
      <c r="D631" s="320">
        <f>IFERROR(__xludf.DUMMYFUNCTION("""COMPUTED_VALUE"""),0.61)</f>
        <v>0.61</v>
      </c>
      <c r="E631" s="320">
        <f>IFERROR(__xludf.DUMMYFUNCTION("""COMPUTED_VALUE"""),0.0)</f>
        <v>0</v>
      </c>
      <c r="F631" s="320">
        <f>IFERROR(__xludf.DUMMYFUNCTION("""COMPUTED_VALUE"""),0.0)</f>
        <v>0</v>
      </c>
      <c r="G631" s="320">
        <f>IFERROR(__xludf.DUMMYFUNCTION("""COMPUTED_VALUE"""),0.0)</f>
        <v>0</v>
      </c>
      <c r="H631" s="106"/>
      <c r="I631" s="320">
        <f>IFERROR(__xludf.DUMMYFUNCTION("""COMPUTED_VALUE"""),246.92)</f>
        <v>246.92</v>
      </c>
      <c r="J631" s="320">
        <f>IFERROR(__xludf.DUMMYFUNCTION("""COMPUTED_VALUE"""),146.68)</f>
        <v>146.68</v>
      </c>
      <c r="K631" s="320">
        <f>IFERROR(__xludf.DUMMYFUNCTION("""COMPUTED_VALUE"""),133.05)</f>
        <v>133.05</v>
      </c>
      <c r="L631" s="320">
        <f>IFERROR(__xludf.DUMMYFUNCTION("""COMPUTED_VALUE"""),0.9071)</f>
        <v>0.9071</v>
      </c>
      <c r="M631" s="320">
        <f>IFERROR(__xludf.DUMMYFUNCTION("""COMPUTED_VALUE"""),0.2397)</f>
        <v>0.2397</v>
      </c>
      <c r="N631" s="320">
        <f>IFERROR(__xludf.DUMMYFUNCTION("""COMPUTED_VALUE"""),0.1889)</f>
        <v>0.1889</v>
      </c>
      <c r="O631" s="320">
        <f>IFERROR(__xludf.DUMMYFUNCTION("""COMPUTED_VALUE"""),1.1025)</f>
        <v>1.1025</v>
      </c>
      <c r="P631" s="320">
        <f>IFERROR(__xludf.DUMMYFUNCTION("""COMPUTED_VALUE"""),721.95)</f>
        <v>721.95</v>
      </c>
      <c r="Q631" s="320">
        <f>IFERROR(__xludf.DUMMYFUNCTION("""COMPUTED_VALUE"""),485.19)</f>
        <v>485.19</v>
      </c>
      <c r="R631" s="320">
        <f>IFERROR(__xludf.DUMMYFUNCTION("""COMPUTED_VALUE"""),236.76)</f>
        <v>236.76</v>
      </c>
      <c r="S631" s="320">
        <f>IFERROR(__xludf.DUMMYFUNCTION("""COMPUTED_VALUE"""),0.0)</f>
        <v>0</v>
      </c>
      <c r="T631" s="320">
        <f>IFERROR(__xludf.DUMMYFUNCTION("""COMPUTED_VALUE"""),721.95)</f>
        <v>721.95</v>
      </c>
      <c r="U631" s="320">
        <f>IFERROR(__xludf.DUMMYFUNCTION("""COMPUTED_VALUE"""),596.25)</f>
        <v>596.25</v>
      </c>
      <c r="V631" s="320">
        <f>IFERROR(__xludf.DUMMYFUNCTION("""COMPUTED_VALUE"""),4.065)</f>
        <v>4.065</v>
      </c>
      <c r="W631" s="320">
        <f>IFERROR(__xludf.DUMMYFUNCTION("""COMPUTED_VALUE"""),0.0)</f>
        <v>0</v>
      </c>
      <c r="X631" s="320">
        <f>IFERROR(__xludf.DUMMYFUNCTION("""COMPUTED_VALUE"""),1094.0)</f>
        <v>1094</v>
      </c>
      <c r="Y631" s="320">
        <f>IFERROR(__xludf.DUMMYFUNCTION("""COMPUTED_VALUE"""),4179.0)</f>
        <v>4179</v>
      </c>
      <c r="Z631" s="320">
        <f>IFERROR(__xludf.DUMMYFUNCTION("""COMPUTED_VALUE"""),13805.0)</f>
        <v>13805</v>
      </c>
      <c r="AA631" s="320">
        <f>IFERROR(__xludf.DUMMYFUNCTION("""COMPUTED_VALUE"""),62.9356)</f>
        <v>62.9356</v>
      </c>
      <c r="AB631" s="320">
        <f>IFERROR(__xludf.DUMMYFUNCTION("""COMPUTED_VALUE"""),0.9185)</f>
        <v>0.9185</v>
      </c>
      <c r="AC631" s="320">
        <f>IFERROR(__xludf.DUMMYFUNCTION("""COMPUTED_VALUE"""),102.47)</f>
        <v>102.47</v>
      </c>
      <c r="AD631" s="320">
        <f>IFERROR(__xludf.DUMMYFUNCTION("""COMPUTED_VALUE"""),47.0)</f>
        <v>47</v>
      </c>
      <c r="AE631" s="320">
        <f>IFERROR(__xludf.DUMMYFUNCTION("""COMPUTED_VALUE"""),92.0)</f>
        <v>92</v>
      </c>
      <c r="AF631" s="320">
        <f>IFERROR(__xludf.DUMMYFUNCTION("""COMPUTED_VALUE"""),139.0)</f>
        <v>139</v>
      </c>
      <c r="AG631" s="320">
        <f>IFERROR(__xludf.DUMMYFUNCTION("""COMPUTED_VALUE"""),193.0)</f>
        <v>193</v>
      </c>
      <c r="AH631" s="320">
        <f>IFERROR(__xludf.DUMMYFUNCTION("""COMPUTED_VALUE"""),56.41)</f>
        <v>56.41</v>
      </c>
      <c r="AI631" s="320">
        <f>IFERROR(__xludf.DUMMYFUNCTION("""COMPUTED_VALUE"""),13.28)</f>
        <v>13.28</v>
      </c>
      <c r="AJ631" s="320">
        <f>IFERROR(__xludf.DUMMYFUNCTION("""COMPUTED_VALUE"""),2.66)</f>
        <v>2.66</v>
      </c>
      <c r="AK631" s="320">
        <f>IFERROR(__xludf.DUMMYFUNCTION("""COMPUTED_VALUE"""),0.0766)</f>
        <v>0.0766</v>
      </c>
      <c r="AL631" s="320">
        <f>IFERROR(__xludf.DUMMYFUNCTION("""COMPUTED_VALUE"""),23.11)</f>
        <v>23.11</v>
      </c>
      <c r="AM631" s="320">
        <f>IFERROR(__xludf.DUMMYFUNCTION("""COMPUTED_VALUE"""),462.08)</f>
        <v>462.08</v>
      </c>
      <c r="AN631" s="320">
        <f>IFERROR(__xludf.DUMMYFUNCTION("""COMPUTED_VALUE"""),84.51)</f>
        <v>84.51</v>
      </c>
      <c r="AO631" s="320">
        <f>IFERROR(__xludf.DUMMYFUNCTION("""COMPUTED_VALUE"""),19.53)</f>
        <v>19.53</v>
      </c>
    </row>
    <row r="632" ht="15.0" customHeight="1">
      <c r="A632" s="328">
        <f>IFERROR(__xludf.DUMMYFUNCTION("""COMPUTED_VALUE"""),46155.0)</f>
        <v>46155</v>
      </c>
      <c r="B632" s="319" t="str">
        <f>IFERROR(__xludf.DUMMYFUNCTION("""COMPUTED_VALUE"""),"A. 0")</f>
        <v>A. 0</v>
      </c>
      <c r="C632" s="320">
        <f>IFERROR(__xludf.DUMMYFUNCTION("""COMPUTED_VALUE"""),20296.0)</f>
        <v>20296</v>
      </c>
      <c r="D632" s="320">
        <f>IFERROR(__xludf.DUMMYFUNCTION("""COMPUTED_VALUE"""),19.89)</f>
        <v>19.89</v>
      </c>
      <c r="E632" s="320">
        <f>IFERROR(__xludf.DUMMYFUNCTION("""COMPUTED_VALUE"""),0.0)</f>
        <v>0</v>
      </c>
      <c r="F632" s="320">
        <f>IFERROR(__xludf.DUMMYFUNCTION("""COMPUTED_VALUE"""),0.0)</f>
        <v>0</v>
      </c>
      <c r="G632" s="320">
        <f>IFERROR(__xludf.DUMMYFUNCTION("""COMPUTED_VALUE"""),0.0)</f>
        <v>0</v>
      </c>
      <c r="H632" s="106"/>
      <c r="I632" s="320">
        <f>IFERROR(__xludf.DUMMYFUNCTION("""COMPUTED_VALUE"""),6.79)</f>
        <v>6.79</v>
      </c>
      <c r="J632" s="320">
        <f>IFERROR(__xludf.DUMMYFUNCTION("""COMPUTED_VALUE"""),2.82)</f>
        <v>2.82</v>
      </c>
      <c r="K632" s="320">
        <f>IFERROR(__xludf.DUMMYFUNCTION("""COMPUTED_VALUE"""),0.08)</f>
        <v>0.08</v>
      </c>
      <c r="L632" s="320">
        <f>IFERROR(__xludf.DUMMYFUNCTION("""COMPUTED_VALUE"""),0.027)</f>
        <v>0.027</v>
      </c>
      <c r="M632" s="320">
        <f>IFERROR(__xludf.DUMMYFUNCTION("""COMPUTED_VALUE"""),0.9793)</f>
        <v>0.9793</v>
      </c>
      <c r="N632" s="320">
        <f>IFERROR(__xludf.DUMMYFUNCTION("""COMPUTED_VALUE"""),0.7563)</f>
        <v>0.7563</v>
      </c>
      <c r="O632" s="320">
        <f>IFERROR(__xludf.DUMMYFUNCTION("""COMPUTED_VALUE"""),37.0278)</f>
        <v>37.0278</v>
      </c>
      <c r="P632" s="320">
        <f>IFERROR(__xludf.DUMMYFUNCTION("""COMPUTED_VALUE"""),21.29)</f>
        <v>21.29</v>
      </c>
      <c r="Q632" s="320">
        <f>IFERROR(__xludf.DUMMYFUNCTION("""COMPUTED_VALUE"""),21.17)</f>
        <v>21.17</v>
      </c>
      <c r="R632" s="320">
        <f>IFERROR(__xludf.DUMMYFUNCTION("""COMPUTED_VALUE"""),0.12)</f>
        <v>0.12</v>
      </c>
      <c r="S632" s="320">
        <f>IFERROR(__xludf.DUMMYFUNCTION("""COMPUTED_VALUE"""),0.0)</f>
        <v>0</v>
      </c>
      <c r="T632" s="320">
        <f>IFERROR(__xludf.DUMMYFUNCTION("""COMPUTED_VALUE"""),21.29)</f>
        <v>21.29</v>
      </c>
      <c r="U632" s="320">
        <f>IFERROR(__xludf.DUMMYFUNCTION("""COMPUTED_VALUE"""),1.82)</f>
        <v>1.82</v>
      </c>
      <c r="V632" s="320">
        <f>IFERROR(__xludf.DUMMYFUNCTION("""COMPUTED_VALUE"""),0.6442)</f>
        <v>0.6442</v>
      </c>
      <c r="W632" s="320">
        <f>IFERROR(__xludf.DUMMYFUNCTION("""COMPUTED_VALUE"""),0.0)</f>
        <v>0</v>
      </c>
      <c r="X632" s="320">
        <f>IFERROR(__xludf.DUMMYFUNCTION("""COMPUTED_VALUE"""),326.0)</f>
        <v>326</v>
      </c>
      <c r="Y632" s="320">
        <f>IFERROR(__xludf.DUMMYFUNCTION("""COMPUTED_VALUE"""),3929.0)</f>
        <v>3929</v>
      </c>
      <c r="Z632" s="320">
        <f>IFERROR(__xludf.DUMMYFUNCTION("""COMPUTED_VALUE"""),15405.0)</f>
        <v>15405</v>
      </c>
      <c r="AA632" s="320">
        <f>IFERROR(__xludf.DUMMYFUNCTION("""COMPUTED_VALUE"""),49.076)</f>
        <v>49.076</v>
      </c>
      <c r="AB632" s="320">
        <f>IFERROR(__xludf.DUMMYFUNCTION("""COMPUTED_VALUE"""),0.5427)</f>
        <v>0.5427</v>
      </c>
      <c r="AC632" s="106"/>
      <c r="AD632" s="106"/>
      <c r="AE632" s="106"/>
      <c r="AF632" s="106"/>
      <c r="AG632" s="106"/>
      <c r="AH632" s="320">
        <f>IFERROR(__xludf.DUMMYFUNCTION("""COMPUTED_VALUE"""),0.0)</f>
        <v>0</v>
      </c>
      <c r="AI632" s="320">
        <f>IFERROR(__xludf.DUMMYFUNCTION("""COMPUTED_VALUE"""),0.0)</f>
        <v>0</v>
      </c>
      <c r="AJ632" s="320">
        <f>IFERROR(__xludf.DUMMYFUNCTION("""COMPUTED_VALUE"""),0.0)</f>
        <v>0</v>
      </c>
      <c r="AK632" s="320">
        <f>IFERROR(__xludf.DUMMYFUNCTION("""COMPUTED_VALUE"""),0.2616)</f>
        <v>0.2616</v>
      </c>
      <c r="AL632" s="320">
        <f>IFERROR(__xludf.DUMMYFUNCTION("""COMPUTED_VALUE"""),16.09)</f>
        <v>16.09</v>
      </c>
      <c r="AM632" s="320">
        <f>IFERROR(__xludf.DUMMYFUNCTION("""COMPUTED_VALUE"""),5.08)</f>
        <v>5.08</v>
      </c>
      <c r="AN632" s="331"/>
      <c r="AO632" s="331"/>
    </row>
    <row r="633" ht="15.0" customHeight="1">
      <c r="A633" s="328">
        <f>IFERROR(__xludf.DUMMYFUNCTION("""COMPUTED_VALUE"""),46155.0)</f>
        <v>46155</v>
      </c>
      <c r="B633" s="319" t="str">
        <f>IFERROR(__xludf.DUMMYFUNCTION("""COMPUTED_VALUE"""),"B. 1-9")</f>
        <v>B. 1-9</v>
      </c>
      <c r="C633" s="320">
        <f>IFERROR(__xludf.DUMMYFUNCTION("""COMPUTED_VALUE"""),36680.0)</f>
        <v>36680</v>
      </c>
      <c r="D633" s="320">
        <f>IFERROR(__xludf.DUMMYFUNCTION("""COMPUTED_VALUE"""),35.95)</f>
        <v>35.95</v>
      </c>
      <c r="E633" s="320">
        <f>IFERROR(__xludf.DUMMYFUNCTION("""COMPUTED_VALUE"""),0.0)</f>
        <v>0</v>
      </c>
      <c r="F633" s="320">
        <f>IFERROR(__xludf.DUMMYFUNCTION("""COMPUTED_VALUE"""),0.0)</f>
        <v>0</v>
      </c>
      <c r="G633" s="320">
        <f>IFERROR(__xludf.DUMMYFUNCTION("""COMPUTED_VALUE"""),0.0)</f>
        <v>0</v>
      </c>
      <c r="H633" s="106"/>
      <c r="I633" s="320">
        <f>IFERROR(__xludf.DUMMYFUNCTION("""COMPUTED_VALUE"""),30.62)</f>
        <v>30.62</v>
      </c>
      <c r="J633" s="320">
        <f>IFERROR(__xludf.DUMMYFUNCTION("""COMPUTED_VALUE"""),14.09)</f>
        <v>14.09</v>
      </c>
      <c r="K633" s="320">
        <f>IFERROR(__xludf.DUMMYFUNCTION("""COMPUTED_VALUE"""),5.43)</f>
        <v>5.43</v>
      </c>
      <c r="L633" s="320">
        <f>IFERROR(__xludf.DUMMYFUNCTION("""COMPUTED_VALUE"""),0.3854)</f>
        <v>0.3854</v>
      </c>
      <c r="M633" s="320">
        <f>IFERROR(__xludf.DUMMYFUNCTION("""COMPUTED_VALUE"""),0.7778)</f>
        <v>0.7778</v>
      </c>
      <c r="N633" s="320">
        <f>IFERROR(__xludf.DUMMYFUNCTION("""COMPUTED_VALUE"""),0.5739)</f>
        <v>0.5739</v>
      </c>
      <c r="O633" s="320">
        <f>IFERROR(__xludf.DUMMYFUNCTION("""COMPUTED_VALUE"""),2.595)</f>
        <v>2.595</v>
      </c>
      <c r="P633" s="320">
        <f>IFERROR(__xludf.DUMMYFUNCTION("""COMPUTED_VALUE"""),44.64)</f>
        <v>44.64</v>
      </c>
      <c r="Q633" s="320">
        <f>IFERROR(__xludf.DUMMYFUNCTION("""COMPUTED_VALUE"""),35.15)</f>
        <v>35.15</v>
      </c>
      <c r="R633" s="320">
        <f>IFERROR(__xludf.DUMMYFUNCTION("""COMPUTED_VALUE"""),9.49)</f>
        <v>9.49</v>
      </c>
      <c r="S633" s="320">
        <f>IFERROR(__xludf.DUMMYFUNCTION("""COMPUTED_VALUE"""),0.01)</f>
        <v>0.01</v>
      </c>
      <c r="T633" s="320">
        <f>IFERROR(__xludf.DUMMYFUNCTION("""COMPUTED_VALUE"""),44.64)</f>
        <v>44.64</v>
      </c>
      <c r="U633" s="320">
        <f>IFERROR(__xludf.DUMMYFUNCTION("""COMPUTED_VALUE"""),49.16)</f>
        <v>49.16</v>
      </c>
      <c r="V633" s="320">
        <f>IFERROR(__xludf.DUMMYFUNCTION("""COMPUTED_VALUE"""),3.4901)</f>
        <v>3.4901</v>
      </c>
      <c r="W633" s="320">
        <f>IFERROR(__xludf.DUMMYFUNCTION("""COMPUTED_VALUE"""),0.01)</f>
        <v>0.01</v>
      </c>
      <c r="X633" s="320">
        <f>IFERROR(__xludf.DUMMYFUNCTION("""COMPUTED_VALUE"""),144.0)</f>
        <v>144</v>
      </c>
      <c r="Y633" s="320">
        <f>IFERROR(__xludf.DUMMYFUNCTION("""COMPUTED_VALUE"""),897.0)</f>
        <v>897</v>
      </c>
      <c r="Z633" s="320">
        <f>IFERROR(__xludf.DUMMYFUNCTION("""COMPUTED_VALUE"""),6076.0)</f>
        <v>6076</v>
      </c>
      <c r="AA633" s="320">
        <f>IFERROR(__xludf.DUMMYFUNCTION("""COMPUTED_VALUE"""),48.6356)</f>
        <v>48.6356</v>
      </c>
      <c r="AB633" s="320">
        <f>IFERROR(__xludf.DUMMYFUNCTION("""COMPUTED_VALUE"""),0.5276)</f>
        <v>0.5276</v>
      </c>
      <c r="AC633" s="320">
        <f>IFERROR(__xludf.DUMMYFUNCTION("""COMPUTED_VALUE"""),3.86)</f>
        <v>3.86</v>
      </c>
      <c r="AD633" s="320">
        <f>IFERROR(__xludf.DUMMYFUNCTION("""COMPUTED_VALUE"""),1.0)</f>
        <v>1</v>
      </c>
      <c r="AE633" s="320">
        <f>IFERROR(__xludf.DUMMYFUNCTION("""COMPUTED_VALUE"""),2.0)</f>
        <v>2</v>
      </c>
      <c r="AF633" s="320">
        <f>IFERROR(__xludf.DUMMYFUNCTION("""COMPUTED_VALUE"""),5.0)</f>
        <v>5</v>
      </c>
      <c r="AG633" s="320">
        <f>IFERROR(__xludf.DUMMYFUNCTION("""COMPUTED_VALUE"""),9.0)</f>
        <v>9</v>
      </c>
      <c r="AH633" s="320">
        <f>IFERROR(__xludf.DUMMYFUNCTION("""COMPUTED_VALUE"""),71.01)</f>
        <v>71.01</v>
      </c>
      <c r="AI633" s="320">
        <f>IFERROR(__xludf.DUMMYFUNCTION("""COMPUTED_VALUE"""),29.14)</f>
        <v>29.14</v>
      </c>
      <c r="AJ633" s="320">
        <f>IFERROR(__xludf.DUMMYFUNCTION("""COMPUTED_VALUE"""),8.02)</f>
        <v>8.02</v>
      </c>
      <c r="AK633" s="320">
        <f>IFERROR(__xludf.DUMMYFUNCTION("""COMPUTED_VALUE"""),0.2414)</f>
        <v>0.2414</v>
      </c>
      <c r="AL633" s="320">
        <f>IFERROR(__xludf.DUMMYFUNCTION("""COMPUTED_VALUE"""),18.26)</f>
        <v>18.26</v>
      </c>
      <c r="AM633" s="320">
        <f>IFERROR(__xludf.DUMMYFUNCTION("""COMPUTED_VALUE"""),16.89)</f>
        <v>16.89</v>
      </c>
      <c r="AN633" s="320">
        <f>IFERROR(__xludf.DUMMYFUNCTION("""COMPUTED_VALUE"""),65.51)</f>
        <v>65.51</v>
      </c>
      <c r="AO633" s="320">
        <f>IFERROR(__xludf.DUMMYFUNCTION("""COMPUTED_VALUE"""),11.96)</f>
        <v>11.96</v>
      </c>
    </row>
    <row r="634" ht="15.0" customHeight="1">
      <c r="A634" s="328">
        <f>IFERROR(__xludf.DUMMYFUNCTION("""COMPUTED_VALUE"""),46155.0)</f>
        <v>46155</v>
      </c>
      <c r="B634" s="319" t="str">
        <f>IFERROR(__xludf.DUMMYFUNCTION("""COMPUTED_VALUE"""),"C. 10-19")</f>
        <v>C. 10-19</v>
      </c>
      <c r="C634" s="320">
        <f>IFERROR(__xludf.DUMMYFUNCTION("""COMPUTED_VALUE"""),25144.0)</f>
        <v>25144</v>
      </c>
      <c r="D634" s="320">
        <f>IFERROR(__xludf.DUMMYFUNCTION("""COMPUTED_VALUE"""),24.65)</f>
        <v>24.65</v>
      </c>
      <c r="E634" s="320">
        <f>IFERROR(__xludf.DUMMYFUNCTION("""COMPUTED_VALUE"""),0.0)</f>
        <v>0</v>
      </c>
      <c r="F634" s="320">
        <f>IFERROR(__xludf.DUMMYFUNCTION("""COMPUTED_VALUE"""),0.0)</f>
        <v>0</v>
      </c>
      <c r="G634" s="320">
        <f>IFERROR(__xludf.DUMMYFUNCTION("""COMPUTED_VALUE"""),0.0)</f>
        <v>0</v>
      </c>
      <c r="H634" s="106"/>
      <c r="I634" s="320">
        <f>IFERROR(__xludf.DUMMYFUNCTION("""COMPUTED_VALUE"""),58.06)</f>
        <v>58.06</v>
      </c>
      <c r="J634" s="320">
        <f>IFERROR(__xludf.DUMMYFUNCTION("""COMPUTED_VALUE"""),27.66)</f>
        <v>27.66</v>
      </c>
      <c r="K634" s="320">
        <f>IFERROR(__xludf.DUMMYFUNCTION("""COMPUTED_VALUE"""),14.48)</f>
        <v>14.48</v>
      </c>
      <c r="L634" s="320">
        <f>IFERROR(__xludf.DUMMYFUNCTION("""COMPUTED_VALUE"""),0.5235)</f>
        <v>0.5235</v>
      </c>
      <c r="M634" s="320">
        <f>IFERROR(__xludf.DUMMYFUNCTION("""COMPUTED_VALUE"""),0.6632)</f>
        <v>0.6632</v>
      </c>
      <c r="N634" s="320">
        <f>IFERROR(__xludf.DUMMYFUNCTION("""COMPUTED_VALUE"""),0.4516)</f>
        <v>0.4516</v>
      </c>
      <c r="O634" s="320">
        <f>IFERROR(__xludf.DUMMYFUNCTION("""COMPUTED_VALUE"""),1.9102)</f>
        <v>1.9102</v>
      </c>
      <c r="P634" s="320">
        <f>IFERROR(__xludf.DUMMYFUNCTION("""COMPUTED_VALUE"""),82.36)</f>
        <v>82.36</v>
      </c>
      <c r="Q634" s="320">
        <f>IFERROR(__xludf.DUMMYFUNCTION("""COMPUTED_VALUE"""),58.96)</f>
        <v>58.96</v>
      </c>
      <c r="R634" s="320">
        <f>IFERROR(__xludf.DUMMYFUNCTION("""COMPUTED_VALUE"""),23.4)</f>
        <v>23.4</v>
      </c>
      <c r="S634" s="320">
        <f>IFERROR(__xludf.DUMMYFUNCTION("""COMPUTED_VALUE"""),0.0)</f>
        <v>0</v>
      </c>
      <c r="T634" s="320">
        <f>IFERROR(__xludf.DUMMYFUNCTION("""COMPUTED_VALUE"""),82.36)</f>
        <v>82.36</v>
      </c>
      <c r="U634" s="320">
        <f>IFERROR(__xludf.DUMMYFUNCTION("""COMPUTED_VALUE"""),92.21)</f>
        <v>92.21</v>
      </c>
      <c r="V634" s="320">
        <f>IFERROR(__xludf.DUMMYFUNCTION("""COMPUTED_VALUE"""),3.3343)</f>
        <v>3.3343</v>
      </c>
      <c r="W634" s="320">
        <f>IFERROR(__xludf.DUMMYFUNCTION("""COMPUTED_VALUE"""),0.0)</f>
        <v>0</v>
      </c>
      <c r="X634" s="320">
        <f>IFERROR(__xludf.DUMMYFUNCTION("""COMPUTED_VALUE"""),127.0)</f>
        <v>127</v>
      </c>
      <c r="Y634" s="320">
        <f>IFERROR(__xludf.DUMMYFUNCTION("""COMPUTED_VALUE"""),758.0)</f>
        <v>758</v>
      </c>
      <c r="Z634" s="320">
        <f>IFERROR(__xludf.DUMMYFUNCTION("""COMPUTED_VALUE"""),5890.0)</f>
        <v>5890</v>
      </c>
      <c r="AA634" s="320">
        <f>IFERROR(__xludf.DUMMYFUNCTION("""COMPUTED_VALUE"""),52.0401)</f>
        <v>52.0401</v>
      </c>
      <c r="AB634" s="320">
        <f>IFERROR(__xludf.DUMMYFUNCTION("""COMPUTED_VALUE"""),0.6077)</f>
        <v>0.6077</v>
      </c>
      <c r="AC634" s="320">
        <f>IFERROR(__xludf.DUMMYFUNCTION("""COMPUTED_VALUE"""),8.98)</f>
        <v>8.98</v>
      </c>
      <c r="AD634" s="320">
        <f>IFERROR(__xludf.DUMMYFUNCTION("""COMPUTED_VALUE"""),3.0)</f>
        <v>3</v>
      </c>
      <c r="AE634" s="320">
        <f>IFERROR(__xludf.DUMMYFUNCTION("""COMPUTED_VALUE"""),7.0)</f>
        <v>7</v>
      </c>
      <c r="AF634" s="320">
        <f>IFERROR(__xludf.DUMMYFUNCTION("""COMPUTED_VALUE"""),12.0)</f>
        <v>12</v>
      </c>
      <c r="AG634" s="320">
        <f>IFERROR(__xludf.DUMMYFUNCTION("""COMPUTED_VALUE"""),19.0)</f>
        <v>19</v>
      </c>
      <c r="AH634" s="320">
        <f>IFERROR(__xludf.DUMMYFUNCTION("""COMPUTED_VALUE"""),57.59)</f>
        <v>57.59</v>
      </c>
      <c r="AI634" s="320">
        <f>IFERROR(__xludf.DUMMYFUNCTION("""COMPUTED_VALUE"""),24.53)</f>
        <v>24.53</v>
      </c>
      <c r="AJ634" s="320">
        <f>IFERROR(__xludf.DUMMYFUNCTION("""COMPUTED_VALUE"""),4.23)</f>
        <v>4.23</v>
      </c>
      <c r="AK634" s="320">
        <f>IFERROR(__xludf.DUMMYFUNCTION("""COMPUTED_VALUE"""),0.182)</f>
        <v>0.182</v>
      </c>
      <c r="AL634" s="320">
        <f>IFERROR(__xludf.DUMMYFUNCTION("""COMPUTED_VALUE"""),18.98)</f>
        <v>18.98</v>
      </c>
      <c r="AM634" s="320">
        <f>IFERROR(__xludf.DUMMYFUNCTION("""COMPUTED_VALUE"""),39.99)</f>
        <v>39.99</v>
      </c>
      <c r="AN634" s="320">
        <f>IFERROR(__xludf.DUMMYFUNCTION("""COMPUTED_VALUE"""),73.13)</f>
        <v>73.13</v>
      </c>
      <c r="AO634" s="320">
        <f>IFERROR(__xludf.DUMMYFUNCTION("""COMPUTED_VALUE"""),13.88)</f>
        <v>13.88</v>
      </c>
    </row>
    <row r="635" ht="15.0" customHeight="1">
      <c r="A635" s="328">
        <f>IFERROR(__xludf.DUMMYFUNCTION("""COMPUTED_VALUE"""),46155.0)</f>
        <v>46155</v>
      </c>
      <c r="B635" s="319" t="str">
        <f>IFERROR(__xludf.DUMMYFUNCTION("""COMPUTED_VALUE"""),"D. 20-39")</f>
        <v>D. 20-39</v>
      </c>
      <c r="C635" s="320">
        <f>IFERROR(__xludf.DUMMYFUNCTION("""COMPUTED_VALUE"""),13624.0)</f>
        <v>13624</v>
      </c>
      <c r="D635" s="320">
        <f>IFERROR(__xludf.DUMMYFUNCTION("""COMPUTED_VALUE"""),13.35)</f>
        <v>13.35</v>
      </c>
      <c r="E635" s="320">
        <f>IFERROR(__xludf.DUMMYFUNCTION("""COMPUTED_VALUE"""),0.0)</f>
        <v>0</v>
      </c>
      <c r="F635" s="320">
        <f>IFERROR(__xludf.DUMMYFUNCTION("""COMPUTED_VALUE"""),0.0)</f>
        <v>0</v>
      </c>
      <c r="G635" s="320">
        <f>IFERROR(__xludf.DUMMYFUNCTION("""COMPUTED_VALUE"""),0.0)</f>
        <v>0</v>
      </c>
      <c r="H635" s="106"/>
      <c r="I635" s="320">
        <f>IFERROR(__xludf.DUMMYFUNCTION("""COMPUTED_VALUE"""),79.51)</f>
        <v>79.51</v>
      </c>
      <c r="J635" s="320">
        <f>IFERROR(__xludf.DUMMYFUNCTION("""COMPUTED_VALUE"""),40.31)</f>
        <v>40.31</v>
      </c>
      <c r="K635" s="320">
        <f>IFERROR(__xludf.DUMMYFUNCTION("""COMPUTED_VALUE"""),26.21)</f>
        <v>26.21</v>
      </c>
      <c r="L635" s="320">
        <f>IFERROR(__xludf.DUMMYFUNCTION("""COMPUTED_VALUE"""),0.6503)</f>
        <v>0.6503</v>
      </c>
      <c r="M635" s="320">
        <f>IFERROR(__xludf.DUMMYFUNCTION("""COMPUTED_VALUE"""),0.5356)</f>
        <v>0.5356</v>
      </c>
      <c r="N635" s="320">
        <f>IFERROR(__xludf.DUMMYFUNCTION("""COMPUTED_VALUE"""),0.3633)</f>
        <v>0.3633</v>
      </c>
      <c r="O635" s="320">
        <f>IFERROR(__xludf.DUMMYFUNCTION("""COMPUTED_VALUE"""),1.5378)</f>
        <v>1.5378</v>
      </c>
      <c r="P635" s="320">
        <f>IFERROR(__xludf.DUMMYFUNCTION("""COMPUTED_VALUE"""),129.98)</f>
        <v>129.98</v>
      </c>
      <c r="Q635" s="320">
        <f>IFERROR(__xludf.DUMMYFUNCTION("""COMPUTED_VALUE"""),84.59)</f>
        <v>84.59</v>
      </c>
      <c r="R635" s="320">
        <f>IFERROR(__xludf.DUMMYFUNCTION("""COMPUTED_VALUE"""),45.39)</f>
        <v>45.39</v>
      </c>
      <c r="S635" s="320">
        <f>IFERROR(__xludf.DUMMYFUNCTION("""COMPUTED_VALUE"""),0.0)</f>
        <v>0</v>
      </c>
      <c r="T635" s="320">
        <f>IFERROR(__xludf.DUMMYFUNCTION("""COMPUTED_VALUE"""),129.98)</f>
        <v>129.98</v>
      </c>
      <c r="U635" s="320">
        <f>IFERROR(__xludf.DUMMYFUNCTION("""COMPUTED_VALUE"""),150.96)</f>
        <v>150.96</v>
      </c>
      <c r="V635" s="320">
        <f>IFERROR(__xludf.DUMMYFUNCTION("""COMPUTED_VALUE"""),3.7453)</f>
        <v>3.7453</v>
      </c>
      <c r="W635" s="320">
        <f>IFERROR(__xludf.DUMMYFUNCTION("""COMPUTED_VALUE"""),0.0)</f>
        <v>0</v>
      </c>
      <c r="X635" s="320">
        <f>IFERROR(__xludf.DUMMYFUNCTION("""COMPUTED_VALUE"""),152.0)</f>
        <v>152</v>
      </c>
      <c r="Y635" s="320">
        <f>IFERROR(__xludf.DUMMYFUNCTION("""COMPUTED_VALUE"""),1001.0)</f>
        <v>1001</v>
      </c>
      <c r="Z635" s="320">
        <f>IFERROR(__xludf.DUMMYFUNCTION("""COMPUTED_VALUE"""),6210.0)</f>
        <v>6210</v>
      </c>
      <c r="AA635" s="320">
        <f>IFERROR(__xludf.DUMMYFUNCTION("""COMPUTED_VALUE"""),55.6099)</f>
        <v>55.6099</v>
      </c>
      <c r="AB635" s="320">
        <f>IFERROR(__xludf.DUMMYFUNCTION("""COMPUTED_VALUE"""),0.7481)</f>
        <v>0.7481</v>
      </c>
      <c r="AC635" s="320">
        <f>IFERROR(__xludf.DUMMYFUNCTION("""COMPUTED_VALUE"""),17.81)</f>
        <v>17.81</v>
      </c>
      <c r="AD635" s="320">
        <f>IFERROR(__xludf.DUMMYFUNCTION("""COMPUTED_VALUE"""),7.0)</f>
        <v>7</v>
      </c>
      <c r="AE635" s="320">
        <f>IFERROR(__xludf.DUMMYFUNCTION("""COMPUTED_VALUE"""),14.0)</f>
        <v>14</v>
      </c>
      <c r="AF635" s="320">
        <f>IFERROR(__xludf.DUMMYFUNCTION("""COMPUTED_VALUE"""),25.0)</f>
        <v>25</v>
      </c>
      <c r="AG635" s="320">
        <f>IFERROR(__xludf.DUMMYFUNCTION("""COMPUTED_VALUE"""),37.0)</f>
        <v>37</v>
      </c>
      <c r="AH635" s="320">
        <f>IFERROR(__xludf.DUMMYFUNCTION("""COMPUTED_VALUE"""),60.06)</f>
        <v>60.06</v>
      </c>
      <c r="AI635" s="320">
        <f>IFERROR(__xludf.DUMMYFUNCTION("""COMPUTED_VALUE"""),23.99)</f>
        <v>23.99</v>
      </c>
      <c r="AJ635" s="320">
        <f>IFERROR(__xludf.DUMMYFUNCTION("""COMPUTED_VALUE"""),7.26)</f>
        <v>7.26</v>
      </c>
      <c r="AK635" s="320">
        <f>IFERROR(__xludf.DUMMYFUNCTION("""COMPUTED_VALUE"""),0.1736)</f>
        <v>0.1736</v>
      </c>
      <c r="AL635" s="320">
        <f>IFERROR(__xludf.DUMMYFUNCTION("""COMPUTED_VALUE"""),19.23)</f>
        <v>19.23</v>
      </c>
      <c r="AM635" s="320">
        <f>IFERROR(__xludf.DUMMYFUNCTION("""COMPUTED_VALUE"""),65.36)</f>
        <v>65.36</v>
      </c>
      <c r="AN635" s="320">
        <f>IFERROR(__xludf.DUMMYFUNCTION("""COMPUTED_VALUE"""),78.05)</f>
        <v>78.05</v>
      </c>
      <c r="AO635" s="320">
        <f>IFERROR(__xludf.DUMMYFUNCTION("""COMPUTED_VALUE"""),15.01)</f>
        <v>15.01</v>
      </c>
    </row>
    <row r="636" ht="15.0" customHeight="1">
      <c r="A636" s="328">
        <f>IFERROR(__xludf.DUMMYFUNCTION("""COMPUTED_VALUE"""),46155.0)</f>
        <v>46155</v>
      </c>
      <c r="B636" s="319" t="str">
        <f>IFERROR(__xludf.DUMMYFUNCTION("""COMPUTED_VALUE"""),"E. 40-99")</f>
        <v>E. 40-99</v>
      </c>
      <c r="C636" s="320">
        <f>IFERROR(__xludf.DUMMYFUNCTION("""COMPUTED_VALUE"""),5648.0)</f>
        <v>5648</v>
      </c>
      <c r="D636" s="320">
        <f>IFERROR(__xludf.DUMMYFUNCTION("""COMPUTED_VALUE"""),5.54)</f>
        <v>5.54</v>
      </c>
      <c r="E636" s="320">
        <f>IFERROR(__xludf.DUMMYFUNCTION("""COMPUTED_VALUE"""),0.0)</f>
        <v>0</v>
      </c>
      <c r="F636" s="320">
        <f>IFERROR(__xludf.DUMMYFUNCTION("""COMPUTED_VALUE"""),0.0)</f>
        <v>0</v>
      </c>
      <c r="G636" s="320">
        <f>IFERROR(__xludf.DUMMYFUNCTION("""COMPUTED_VALUE"""),0.0)</f>
        <v>0</v>
      </c>
      <c r="H636" s="106"/>
      <c r="I636" s="320">
        <f>IFERROR(__xludf.DUMMYFUNCTION("""COMPUTED_VALUE"""),126.26)</f>
        <v>126.26</v>
      </c>
      <c r="J636" s="320">
        <f>IFERROR(__xludf.DUMMYFUNCTION("""COMPUTED_VALUE"""),68.23)</f>
        <v>68.23</v>
      </c>
      <c r="K636" s="320">
        <f>IFERROR(__xludf.DUMMYFUNCTION("""COMPUTED_VALUE"""),54.15)</f>
        <v>54.15</v>
      </c>
      <c r="L636" s="320">
        <f>IFERROR(__xludf.DUMMYFUNCTION("""COMPUTED_VALUE"""),0.7937)</f>
        <v>0.7937</v>
      </c>
      <c r="M636" s="320">
        <f>IFERROR(__xludf.DUMMYFUNCTION("""COMPUTED_VALUE"""),0.3841)</f>
        <v>0.3841</v>
      </c>
      <c r="N636" s="320">
        <f>IFERROR(__xludf.DUMMYFUNCTION("""COMPUTED_VALUE"""),0.2724)</f>
        <v>0.2724</v>
      </c>
      <c r="O636" s="320">
        <f>IFERROR(__xludf.DUMMYFUNCTION("""COMPUTED_VALUE"""),1.2599)</f>
        <v>1.2599</v>
      </c>
      <c r="P636" s="320">
        <f>IFERROR(__xludf.DUMMYFUNCTION("""COMPUTED_VALUE"""),236.19)</f>
        <v>236.19</v>
      </c>
      <c r="Q636" s="320">
        <f>IFERROR(__xludf.DUMMYFUNCTION("""COMPUTED_VALUE"""),140.71)</f>
        <v>140.71</v>
      </c>
      <c r="R636" s="320">
        <f>IFERROR(__xludf.DUMMYFUNCTION("""COMPUTED_VALUE"""),95.48)</f>
        <v>95.48</v>
      </c>
      <c r="S636" s="320">
        <f>IFERROR(__xludf.DUMMYFUNCTION("""COMPUTED_VALUE"""),0.0)</f>
        <v>0</v>
      </c>
      <c r="T636" s="320">
        <f>IFERROR(__xludf.DUMMYFUNCTION("""COMPUTED_VALUE"""),236.19)</f>
        <v>236.19</v>
      </c>
      <c r="U636" s="320">
        <f>IFERROR(__xludf.DUMMYFUNCTION("""COMPUTED_VALUE"""),301.55)</f>
        <v>301.55</v>
      </c>
      <c r="V636" s="320">
        <f>IFERROR(__xludf.DUMMYFUNCTION("""COMPUTED_VALUE"""),4.4197)</f>
        <v>4.4197</v>
      </c>
      <c r="W636" s="320">
        <f>IFERROR(__xludf.DUMMYFUNCTION("""COMPUTED_VALUE"""),0.0)</f>
        <v>0</v>
      </c>
      <c r="X636" s="320">
        <f>IFERROR(__xludf.DUMMYFUNCTION("""COMPUTED_VALUE"""),345.0)</f>
        <v>345</v>
      </c>
      <c r="Y636" s="320">
        <f>IFERROR(__xludf.DUMMYFUNCTION("""COMPUTED_VALUE"""),2427.0)</f>
        <v>2427</v>
      </c>
      <c r="Z636" s="320">
        <f>IFERROR(__xludf.DUMMYFUNCTION("""COMPUTED_VALUE"""),9628.0)</f>
        <v>9628</v>
      </c>
      <c r="AA636" s="320">
        <f>IFERROR(__xludf.DUMMYFUNCTION("""COMPUTED_VALUE"""),59.4891)</f>
        <v>59.4891</v>
      </c>
      <c r="AB636" s="320">
        <f>IFERROR(__xludf.DUMMYFUNCTION("""COMPUTED_VALUE"""),0.8534)</f>
        <v>0.8534</v>
      </c>
      <c r="AC636" s="320">
        <f>IFERROR(__xludf.DUMMYFUNCTION("""COMPUTED_VALUE"""),38.61)</f>
        <v>38.61</v>
      </c>
      <c r="AD636" s="320">
        <f>IFERROR(__xludf.DUMMYFUNCTION("""COMPUTED_VALUE"""),15.0)</f>
        <v>15</v>
      </c>
      <c r="AE636" s="320">
        <f>IFERROR(__xludf.DUMMYFUNCTION("""COMPUTED_VALUE"""),30.0)</f>
        <v>30</v>
      </c>
      <c r="AF636" s="320">
        <f>IFERROR(__xludf.DUMMYFUNCTION("""COMPUTED_VALUE"""),54.0)</f>
        <v>54</v>
      </c>
      <c r="AG636" s="320">
        <f>IFERROR(__xludf.DUMMYFUNCTION("""COMPUTED_VALUE"""),80.0)</f>
        <v>80</v>
      </c>
      <c r="AH636" s="320">
        <f>IFERROR(__xludf.DUMMYFUNCTION("""COMPUTED_VALUE"""),53.61)</f>
        <v>53.61</v>
      </c>
      <c r="AI636" s="320">
        <f>IFERROR(__xludf.DUMMYFUNCTION("""COMPUTED_VALUE"""),21.05)</f>
        <v>21.05</v>
      </c>
      <c r="AJ636" s="320">
        <f>IFERROR(__xludf.DUMMYFUNCTION("""COMPUTED_VALUE"""),4.9)</f>
        <v>4.9</v>
      </c>
      <c r="AK636" s="320">
        <f>IFERROR(__xludf.DUMMYFUNCTION("""COMPUTED_VALUE"""),0.134)</f>
        <v>0.134</v>
      </c>
      <c r="AL636" s="320">
        <f>IFERROR(__xludf.DUMMYFUNCTION("""COMPUTED_VALUE"""),19.28)</f>
        <v>19.28</v>
      </c>
      <c r="AM636" s="320">
        <f>IFERROR(__xludf.DUMMYFUNCTION("""COMPUTED_VALUE"""),121.44)</f>
        <v>121.44</v>
      </c>
      <c r="AN636" s="320">
        <f>IFERROR(__xludf.DUMMYFUNCTION("""COMPUTED_VALUE"""),82.98)</f>
        <v>82.98</v>
      </c>
      <c r="AO636" s="320">
        <f>IFERROR(__xludf.DUMMYFUNCTION("""COMPUTED_VALUE"""),16.0)</f>
        <v>16</v>
      </c>
    </row>
    <row r="637" ht="15.0" customHeight="1">
      <c r="A637" s="328">
        <f>IFERROR(__xludf.DUMMYFUNCTION("""COMPUTED_VALUE"""),46155.0)</f>
        <v>46155</v>
      </c>
      <c r="B637" s="319" t="str">
        <f>IFERROR(__xludf.DUMMYFUNCTION("""COMPUTED_VALUE"""),"F. 100+")</f>
        <v>F. 100+</v>
      </c>
      <c r="C637" s="320">
        <f>IFERROR(__xludf.DUMMYFUNCTION("""COMPUTED_VALUE"""),630.0)</f>
        <v>630</v>
      </c>
      <c r="D637" s="320">
        <f>IFERROR(__xludf.DUMMYFUNCTION("""COMPUTED_VALUE"""),0.62)</f>
        <v>0.62</v>
      </c>
      <c r="E637" s="320">
        <f>IFERROR(__xludf.DUMMYFUNCTION("""COMPUTED_VALUE"""),0.0)</f>
        <v>0</v>
      </c>
      <c r="F637" s="320">
        <f>IFERROR(__xludf.DUMMYFUNCTION("""COMPUTED_VALUE"""),0.0)</f>
        <v>0</v>
      </c>
      <c r="G637" s="320">
        <f>IFERROR(__xludf.DUMMYFUNCTION("""COMPUTED_VALUE"""),0.0)</f>
        <v>0</v>
      </c>
      <c r="H637" s="106"/>
      <c r="I637" s="320">
        <f>IFERROR(__xludf.DUMMYFUNCTION("""COMPUTED_VALUE"""),246.06)</f>
        <v>246.06</v>
      </c>
      <c r="J637" s="320">
        <f>IFERROR(__xludf.DUMMYFUNCTION("""COMPUTED_VALUE"""),146.24)</f>
        <v>146.24</v>
      </c>
      <c r="K637" s="320">
        <f>IFERROR(__xludf.DUMMYFUNCTION("""COMPUTED_VALUE"""),130.59)</f>
        <v>130.59</v>
      </c>
      <c r="L637" s="320">
        <f>IFERROR(__xludf.DUMMYFUNCTION("""COMPUTED_VALUE"""),0.893)</f>
        <v>0.893</v>
      </c>
      <c r="M637" s="320">
        <f>IFERROR(__xludf.DUMMYFUNCTION("""COMPUTED_VALUE"""),0.2575)</f>
        <v>0.2575</v>
      </c>
      <c r="N637" s="320">
        <f>IFERROR(__xludf.DUMMYFUNCTION("""COMPUTED_VALUE"""),0.1982)</f>
        <v>0.1982</v>
      </c>
      <c r="O637" s="320">
        <f>IFERROR(__xludf.DUMMYFUNCTION("""COMPUTED_VALUE"""),1.1199)</f>
        <v>1.1199</v>
      </c>
      <c r="P637" s="320">
        <f>IFERROR(__xludf.DUMMYFUNCTION("""COMPUTED_VALUE"""),505.82)</f>
        <v>505.82</v>
      </c>
      <c r="Q637" s="320">
        <f>IFERROR(__xludf.DUMMYFUNCTION("""COMPUTED_VALUE"""),273.07)</f>
        <v>273.07</v>
      </c>
      <c r="R637" s="320">
        <f>IFERROR(__xludf.DUMMYFUNCTION("""COMPUTED_VALUE"""),232.75)</f>
        <v>232.75</v>
      </c>
      <c r="S637" s="320">
        <f>IFERROR(__xludf.DUMMYFUNCTION("""COMPUTED_VALUE"""),0.0)</f>
        <v>0</v>
      </c>
      <c r="T637" s="320">
        <f>IFERROR(__xludf.DUMMYFUNCTION("""COMPUTED_VALUE"""),505.82)</f>
        <v>505.82</v>
      </c>
      <c r="U637" s="320">
        <f>IFERROR(__xludf.DUMMYFUNCTION("""COMPUTED_VALUE"""),610.56)</f>
        <v>610.56</v>
      </c>
      <c r="V637" s="320">
        <f>IFERROR(__xludf.DUMMYFUNCTION("""COMPUTED_VALUE"""),4.175)</f>
        <v>4.175</v>
      </c>
      <c r="W637" s="320">
        <f>IFERROR(__xludf.DUMMYFUNCTION("""COMPUTED_VALUE"""),0.0)</f>
        <v>0</v>
      </c>
      <c r="X637" s="320">
        <f>IFERROR(__xludf.DUMMYFUNCTION("""COMPUTED_VALUE"""),1002.0)</f>
        <v>1002</v>
      </c>
      <c r="Y637" s="320">
        <f>IFERROR(__xludf.DUMMYFUNCTION("""COMPUTED_VALUE"""),4256.0)</f>
        <v>4256</v>
      </c>
      <c r="Z637" s="320">
        <f>IFERROR(__xludf.DUMMYFUNCTION("""COMPUTED_VALUE"""),12848.0)</f>
        <v>12848</v>
      </c>
      <c r="AA637" s="320">
        <f>IFERROR(__xludf.DUMMYFUNCTION("""COMPUTED_VALUE"""),63.1047)</f>
        <v>63.1047</v>
      </c>
      <c r="AB637" s="320">
        <f>IFERROR(__xludf.DUMMYFUNCTION("""COMPUTED_VALUE"""),0.9191)</f>
        <v>0.9191</v>
      </c>
      <c r="AC637" s="320">
        <f>IFERROR(__xludf.DUMMYFUNCTION("""COMPUTED_VALUE"""),96.3)</f>
        <v>96.3</v>
      </c>
      <c r="AD637" s="320">
        <f>IFERROR(__xludf.DUMMYFUNCTION("""COMPUTED_VALUE"""),43.0)</f>
        <v>43</v>
      </c>
      <c r="AE637" s="320">
        <f>IFERROR(__xludf.DUMMYFUNCTION("""COMPUTED_VALUE"""),84.0)</f>
        <v>84</v>
      </c>
      <c r="AF637" s="320">
        <f>IFERROR(__xludf.DUMMYFUNCTION("""COMPUTED_VALUE"""),131.0)</f>
        <v>131</v>
      </c>
      <c r="AG637" s="320">
        <f>IFERROR(__xludf.DUMMYFUNCTION("""COMPUTED_VALUE"""),193.0)</f>
        <v>193</v>
      </c>
      <c r="AH637" s="320">
        <f>IFERROR(__xludf.DUMMYFUNCTION("""COMPUTED_VALUE"""),52.54)</f>
        <v>52.54</v>
      </c>
      <c r="AI637" s="320">
        <f>IFERROR(__xludf.DUMMYFUNCTION("""COMPUTED_VALUE"""),12.38)</f>
        <v>12.38</v>
      </c>
      <c r="AJ637" s="320">
        <f>IFERROR(__xludf.DUMMYFUNCTION("""COMPUTED_VALUE"""),1.75)</f>
        <v>1.75</v>
      </c>
      <c r="AK637" s="320">
        <f>IFERROR(__xludf.DUMMYFUNCTION("""COMPUTED_VALUE"""),0.1032)</f>
        <v>0.1032</v>
      </c>
      <c r="AL637" s="320">
        <f>IFERROR(__xludf.DUMMYFUNCTION("""COMPUTED_VALUE"""),22.07)</f>
        <v>22.07</v>
      </c>
      <c r="AM637" s="320">
        <f>IFERROR(__xludf.DUMMYFUNCTION("""COMPUTED_VALUE"""),251.0)</f>
        <v>251</v>
      </c>
      <c r="AN637" s="320">
        <f>IFERROR(__xludf.DUMMYFUNCTION("""COMPUTED_VALUE"""),84.44)</f>
        <v>84.44</v>
      </c>
      <c r="AO637" s="320">
        <f>IFERROR(__xludf.DUMMYFUNCTION("""COMPUTED_VALUE"""),18.64)</f>
        <v>18.64</v>
      </c>
    </row>
    <row r="638" ht="15.0" customHeight="1">
      <c r="A638" s="328">
        <f>IFERROR(__xludf.DUMMYFUNCTION("""COMPUTED_VALUE"""),46156.0)</f>
        <v>46156</v>
      </c>
      <c r="B638" s="319" t="str">
        <f>IFERROR(__xludf.DUMMYFUNCTION("""COMPUTED_VALUE"""),"A. 0")</f>
        <v>A. 0</v>
      </c>
      <c r="C638" s="320">
        <f>IFERROR(__xludf.DUMMYFUNCTION("""COMPUTED_VALUE"""),20854.0)</f>
        <v>20854</v>
      </c>
      <c r="D638" s="320">
        <f>IFERROR(__xludf.DUMMYFUNCTION("""COMPUTED_VALUE"""),20.69)</f>
        <v>20.69</v>
      </c>
      <c r="E638" s="320">
        <f>IFERROR(__xludf.DUMMYFUNCTION("""COMPUTED_VALUE"""),0.0)</f>
        <v>0</v>
      </c>
      <c r="F638" s="320">
        <f>IFERROR(__xludf.DUMMYFUNCTION("""COMPUTED_VALUE"""),0.0)</f>
        <v>0</v>
      </c>
      <c r="G638" s="320">
        <f>IFERROR(__xludf.DUMMYFUNCTION("""COMPUTED_VALUE"""),0.0)</f>
        <v>0</v>
      </c>
      <c r="H638" s="106"/>
      <c r="I638" s="320">
        <f>IFERROR(__xludf.DUMMYFUNCTION("""COMPUTED_VALUE"""),6.77)</f>
        <v>6.77</v>
      </c>
      <c r="J638" s="320">
        <f>IFERROR(__xludf.DUMMYFUNCTION("""COMPUTED_VALUE"""),2.8)</f>
        <v>2.8</v>
      </c>
      <c r="K638" s="320">
        <f>IFERROR(__xludf.DUMMYFUNCTION("""COMPUTED_VALUE"""),0.05)</f>
        <v>0.05</v>
      </c>
      <c r="L638" s="320">
        <f>IFERROR(__xludf.DUMMYFUNCTION("""COMPUTED_VALUE"""),0.0163)</f>
        <v>0.0163</v>
      </c>
      <c r="M638" s="320">
        <f>IFERROR(__xludf.DUMMYFUNCTION("""COMPUTED_VALUE"""),0.9881)</f>
        <v>0.9881</v>
      </c>
      <c r="N638" s="320">
        <f>IFERROR(__xludf.DUMMYFUNCTION("""COMPUTED_VALUE"""),0.8341)</f>
        <v>0.8341</v>
      </c>
      <c r="O638" s="320">
        <f>IFERROR(__xludf.DUMMYFUNCTION("""COMPUTED_VALUE"""),61.5063)</f>
        <v>61.5063</v>
      </c>
      <c r="P638" s="320">
        <f>IFERROR(__xludf.DUMMYFUNCTION("""COMPUTED_VALUE"""),21.13)</f>
        <v>21.13</v>
      </c>
      <c r="Q638" s="320">
        <f>IFERROR(__xludf.DUMMYFUNCTION("""COMPUTED_VALUE"""),21.0)</f>
        <v>21</v>
      </c>
      <c r="R638" s="320">
        <f>IFERROR(__xludf.DUMMYFUNCTION("""COMPUTED_VALUE"""),0.13)</f>
        <v>0.13</v>
      </c>
      <c r="S638" s="320">
        <f>IFERROR(__xludf.DUMMYFUNCTION("""COMPUTED_VALUE"""),0.0)</f>
        <v>0</v>
      </c>
      <c r="T638" s="320">
        <f>IFERROR(__xludf.DUMMYFUNCTION("""COMPUTED_VALUE"""),21.13)</f>
        <v>21.13</v>
      </c>
      <c r="U638" s="320">
        <f>IFERROR(__xludf.DUMMYFUNCTION("""COMPUTED_VALUE"""),2.16)</f>
        <v>2.16</v>
      </c>
      <c r="V638" s="320">
        <f>IFERROR(__xludf.DUMMYFUNCTION("""COMPUTED_VALUE"""),0.7701)</f>
        <v>0.7701</v>
      </c>
      <c r="W638" s="320">
        <f>IFERROR(__xludf.DUMMYFUNCTION("""COMPUTED_VALUE"""),0.0)</f>
        <v>0</v>
      </c>
      <c r="X638" s="320">
        <f>IFERROR(__xludf.DUMMYFUNCTION("""COMPUTED_VALUE"""),268.0)</f>
        <v>268</v>
      </c>
      <c r="Y638" s="320">
        <f>IFERROR(__xludf.DUMMYFUNCTION("""COMPUTED_VALUE"""),3440.0)</f>
        <v>3440</v>
      </c>
      <c r="Z638" s="320">
        <f>IFERROR(__xludf.DUMMYFUNCTION("""COMPUTED_VALUE"""),14377.0)</f>
        <v>14377</v>
      </c>
      <c r="AA638" s="320">
        <f>IFERROR(__xludf.DUMMYFUNCTION("""COMPUTED_VALUE"""),48.7181)</f>
        <v>48.7181</v>
      </c>
      <c r="AB638" s="320">
        <f>IFERROR(__xludf.DUMMYFUNCTION("""COMPUTED_VALUE"""),0.5327)</f>
        <v>0.5327</v>
      </c>
      <c r="AC638" s="106"/>
      <c r="AD638" s="106"/>
      <c r="AE638" s="106"/>
      <c r="AF638" s="106"/>
      <c r="AG638" s="106"/>
      <c r="AH638" s="320">
        <f>IFERROR(__xludf.DUMMYFUNCTION("""COMPUTED_VALUE"""),0.0)</f>
        <v>0</v>
      </c>
      <c r="AI638" s="320">
        <f>IFERROR(__xludf.DUMMYFUNCTION("""COMPUTED_VALUE"""),0.0)</f>
        <v>0</v>
      </c>
      <c r="AJ638" s="320">
        <f>IFERROR(__xludf.DUMMYFUNCTION("""COMPUTED_VALUE"""),0.0)</f>
        <v>0</v>
      </c>
      <c r="AK638" s="320">
        <f>IFERROR(__xludf.DUMMYFUNCTION("""COMPUTED_VALUE"""),0.2845)</f>
        <v>0.2845</v>
      </c>
      <c r="AL638" s="320">
        <f>IFERROR(__xludf.DUMMYFUNCTION("""COMPUTED_VALUE"""),16.34)</f>
        <v>16.34</v>
      </c>
      <c r="AM638" s="320">
        <f>IFERROR(__xludf.DUMMYFUNCTION("""COMPUTED_VALUE"""),4.65)</f>
        <v>4.65</v>
      </c>
      <c r="AN638" s="331"/>
      <c r="AO638" s="331"/>
    </row>
    <row r="639" ht="15.0" customHeight="1">
      <c r="A639" s="328">
        <f>IFERROR(__xludf.DUMMYFUNCTION("""COMPUTED_VALUE"""),46156.0)</f>
        <v>46156</v>
      </c>
      <c r="B639" s="319" t="str">
        <f>IFERROR(__xludf.DUMMYFUNCTION("""COMPUTED_VALUE"""),"B. 1-9")</f>
        <v>B. 1-9</v>
      </c>
      <c r="C639" s="320">
        <f>IFERROR(__xludf.DUMMYFUNCTION("""COMPUTED_VALUE"""),36348.0)</f>
        <v>36348</v>
      </c>
      <c r="D639" s="320">
        <f>IFERROR(__xludf.DUMMYFUNCTION("""COMPUTED_VALUE"""),36.07)</f>
        <v>36.07</v>
      </c>
      <c r="E639" s="320">
        <f>IFERROR(__xludf.DUMMYFUNCTION("""COMPUTED_VALUE"""),0.0)</f>
        <v>0</v>
      </c>
      <c r="F639" s="320">
        <f>IFERROR(__xludf.DUMMYFUNCTION("""COMPUTED_VALUE"""),0.0)</f>
        <v>0</v>
      </c>
      <c r="G639" s="320">
        <f>IFERROR(__xludf.DUMMYFUNCTION("""COMPUTED_VALUE"""),0.0)</f>
        <v>0</v>
      </c>
      <c r="H639" s="106"/>
      <c r="I639" s="320">
        <f>IFERROR(__xludf.DUMMYFUNCTION("""COMPUTED_VALUE"""),28.64)</f>
        <v>28.64</v>
      </c>
      <c r="J639" s="320">
        <f>IFERROR(__xludf.DUMMYFUNCTION("""COMPUTED_VALUE"""),12.89)</f>
        <v>12.89</v>
      </c>
      <c r="K639" s="320">
        <f>IFERROR(__xludf.DUMMYFUNCTION("""COMPUTED_VALUE"""),5.32)</f>
        <v>5.32</v>
      </c>
      <c r="L639" s="320">
        <f>IFERROR(__xludf.DUMMYFUNCTION("""COMPUTED_VALUE"""),0.4129)</f>
        <v>0.4129</v>
      </c>
      <c r="M639" s="320">
        <f>IFERROR(__xludf.DUMMYFUNCTION("""COMPUTED_VALUE"""),0.7588)</f>
        <v>0.7588</v>
      </c>
      <c r="N639" s="320">
        <f>IFERROR(__xludf.DUMMYFUNCTION("""COMPUTED_VALUE"""),0.5587)</f>
        <v>0.5587</v>
      </c>
      <c r="O639" s="320">
        <f>IFERROR(__xludf.DUMMYFUNCTION("""COMPUTED_VALUE"""),2.4221)</f>
        <v>2.4221</v>
      </c>
      <c r="P639" s="320">
        <f>IFERROR(__xludf.DUMMYFUNCTION("""COMPUTED_VALUE"""),44.31)</f>
        <v>44.31</v>
      </c>
      <c r="Q639" s="320">
        <f>IFERROR(__xludf.DUMMYFUNCTION("""COMPUTED_VALUE"""),35.09)</f>
        <v>35.09</v>
      </c>
      <c r="R639" s="320">
        <f>IFERROR(__xludf.DUMMYFUNCTION("""COMPUTED_VALUE"""),9.22)</f>
        <v>9.22</v>
      </c>
      <c r="S639" s="320">
        <f>IFERROR(__xludf.DUMMYFUNCTION("""COMPUTED_VALUE"""),0.0)</f>
        <v>0</v>
      </c>
      <c r="T639" s="320">
        <f>IFERROR(__xludf.DUMMYFUNCTION("""COMPUTED_VALUE"""),44.31)</f>
        <v>44.31</v>
      </c>
      <c r="U639" s="320">
        <f>IFERROR(__xludf.DUMMYFUNCTION("""COMPUTED_VALUE"""),48.73)</f>
        <v>48.73</v>
      </c>
      <c r="V639" s="320">
        <f>IFERROR(__xludf.DUMMYFUNCTION("""COMPUTED_VALUE"""),3.7797)</f>
        <v>3.7797</v>
      </c>
      <c r="W639" s="320">
        <f>IFERROR(__xludf.DUMMYFUNCTION("""COMPUTED_VALUE"""),0.0)</f>
        <v>0</v>
      </c>
      <c r="X639" s="320">
        <f>IFERROR(__xludf.DUMMYFUNCTION("""COMPUTED_VALUE"""),138.0)</f>
        <v>138</v>
      </c>
      <c r="Y639" s="320">
        <f>IFERROR(__xludf.DUMMYFUNCTION("""COMPUTED_VALUE"""),911.0)</f>
        <v>911</v>
      </c>
      <c r="Z639" s="320">
        <f>IFERROR(__xludf.DUMMYFUNCTION("""COMPUTED_VALUE"""),6059.0)</f>
        <v>6059</v>
      </c>
      <c r="AA639" s="320">
        <f>IFERROR(__xludf.DUMMYFUNCTION("""COMPUTED_VALUE"""),48.6443)</f>
        <v>48.6443</v>
      </c>
      <c r="AB639" s="320">
        <f>IFERROR(__xludf.DUMMYFUNCTION("""COMPUTED_VALUE"""),0.5323)</f>
        <v>0.5323</v>
      </c>
      <c r="AC639" s="320">
        <f>IFERROR(__xludf.DUMMYFUNCTION("""COMPUTED_VALUE"""),3.86)</f>
        <v>3.86</v>
      </c>
      <c r="AD639" s="320">
        <f>IFERROR(__xludf.DUMMYFUNCTION("""COMPUTED_VALUE"""),1.0)</f>
        <v>1</v>
      </c>
      <c r="AE639" s="320">
        <f>IFERROR(__xludf.DUMMYFUNCTION("""COMPUTED_VALUE"""),2.0)</f>
        <v>2</v>
      </c>
      <c r="AF639" s="320">
        <f>IFERROR(__xludf.DUMMYFUNCTION("""COMPUTED_VALUE"""),5.0)</f>
        <v>5</v>
      </c>
      <c r="AG639" s="320">
        <f>IFERROR(__xludf.DUMMYFUNCTION("""COMPUTED_VALUE"""),9.0)</f>
        <v>9</v>
      </c>
      <c r="AH639" s="320">
        <f>IFERROR(__xludf.DUMMYFUNCTION("""COMPUTED_VALUE"""),70.47)</f>
        <v>70.47</v>
      </c>
      <c r="AI639" s="320">
        <f>IFERROR(__xludf.DUMMYFUNCTION("""COMPUTED_VALUE"""),28.74)</f>
        <v>28.74</v>
      </c>
      <c r="AJ639" s="320">
        <f>IFERROR(__xludf.DUMMYFUNCTION("""COMPUTED_VALUE"""),8.15)</f>
        <v>8.15</v>
      </c>
      <c r="AK639" s="320">
        <f>IFERROR(__xludf.DUMMYFUNCTION("""COMPUTED_VALUE"""),0.2532)</f>
        <v>0.2532</v>
      </c>
      <c r="AL639" s="320">
        <f>IFERROR(__xludf.DUMMYFUNCTION("""COMPUTED_VALUE"""),19.33)</f>
        <v>19.33</v>
      </c>
      <c r="AM639" s="320">
        <f>IFERROR(__xludf.DUMMYFUNCTION("""COMPUTED_VALUE"""),15.76)</f>
        <v>15.76</v>
      </c>
      <c r="AN639" s="320">
        <f>IFERROR(__xludf.DUMMYFUNCTION("""COMPUTED_VALUE"""),65.46)</f>
        <v>65.46</v>
      </c>
      <c r="AO639" s="320">
        <f>IFERROR(__xludf.DUMMYFUNCTION("""COMPUTED_VALUE"""),12.65)</f>
        <v>12.65</v>
      </c>
    </row>
    <row r="640" ht="15.0" customHeight="1">
      <c r="A640" s="328">
        <f>IFERROR(__xludf.DUMMYFUNCTION("""COMPUTED_VALUE"""),46156.0)</f>
        <v>46156</v>
      </c>
      <c r="B640" s="319" t="str">
        <f>IFERROR(__xludf.DUMMYFUNCTION("""COMPUTED_VALUE"""),"C. 10-19")</f>
        <v>C. 10-19</v>
      </c>
      <c r="C640" s="320">
        <f>IFERROR(__xludf.DUMMYFUNCTION("""COMPUTED_VALUE"""),23928.0)</f>
        <v>23928</v>
      </c>
      <c r="D640" s="320">
        <f>IFERROR(__xludf.DUMMYFUNCTION("""COMPUTED_VALUE"""),23.75)</f>
        <v>23.75</v>
      </c>
      <c r="E640" s="320">
        <f>IFERROR(__xludf.DUMMYFUNCTION("""COMPUTED_VALUE"""),0.0)</f>
        <v>0</v>
      </c>
      <c r="F640" s="320">
        <f>IFERROR(__xludf.DUMMYFUNCTION("""COMPUTED_VALUE"""),0.0)</f>
        <v>0</v>
      </c>
      <c r="G640" s="320">
        <f>IFERROR(__xludf.DUMMYFUNCTION("""COMPUTED_VALUE"""),0.0)</f>
        <v>0</v>
      </c>
      <c r="H640" s="106"/>
      <c r="I640" s="320">
        <f>IFERROR(__xludf.DUMMYFUNCTION("""COMPUTED_VALUE"""),52.73)</f>
        <v>52.73</v>
      </c>
      <c r="J640" s="320">
        <f>IFERROR(__xludf.DUMMYFUNCTION("""COMPUTED_VALUE"""),24.99)</f>
        <v>24.99</v>
      </c>
      <c r="K640" s="320">
        <f>IFERROR(__xludf.DUMMYFUNCTION("""COMPUTED_VALUE"""),13.73)</f>
        <v>13.73</v>
      </c>
      <c r="L640" s="320">
        <f>IFERROR(__xludf.DUMMYFUNCTION("""COMPUTED_VALUE"""),0.5492)</f>
        <v>0.5492</v>
      </c>
      <c r="M640" s="320">
        <f>IFERROR(__xludf.DUMMYFUNCTION("""COMPUTED_VALUE"""),0.644)</f>
        <v>0.644</v>
      </c>
      <c r="N640" s="320">
        <f>IFERROR(__xludf.DUMMYFUNCTION("""COMPUTED_VALUE"""),0.4448)</f>
        <v>0.4448</v>
      </c>
      <c r="O640" s="320">
        <f>IFERROR(__xludf.DUMMYFUNCTION("""COMPUTED_VALUE"""),1.8208)</f>
        <v>1.8208</v>
      </c>
      <c r="P640" s="320">
        <f>IFERROR(__xludf.DUMMYFUNCTION("""COMPUTED_VALUE"""),90.32)</f>
        <v>90.32</v>
      </c>
      <c r="Q640" s="320">
        <f>IFERROR(__xludf.DUMMYFUNCTION("""COMPUTED_VALUE"""),67.4)</f>
        <v>67.4</v>
      </c>
      <c r="R640" s="320">
        <f>IFERROR(__xludf.DUMMYFUNCTION("""COMPUTED_VALUE"""),22.92)</f>
        <v>22.92</v>
      </c>
      <c r="S640" s="320">
        <f>IFERROR(__xludf.DUMMYFUNCTION("""COMPUTED_VALUE"""),0.0)</f>
        <v>0</v>
      </c>
      <c r="T640" s="320">
        <f>IFERROR(__xludf.DUMMYFUNCTION("""COMPUTED_VALUE"""),90.32)</f>
        <v>90.32</v>
      </c>
      <c r="U640" s="320">
        <f>IFERROR(__xludf.DUMMYFUNCTION("""COMPUTED_VALUE"""),92.65)</f>
        <v>92.65</v>
      </c>
      <c r="V640" s="320">
        <f>IFERROR(__xludf.DUMMYFUNCTION("""COMPUTED_VALUE"""),3.7072)</f>
        <v>3.7072</v>
      </c>
      <c r="W640" s="320">
        <f>IFERROR(__xludf.DUMMYFUNCTION("""COMPUTED_VALUE"""),0.0)</f>
        <v>0</v>
      </c>
      <c r="X640" s="320">
        <f>IFERROR(__xludf.DUMMYFUNCTION("""COMPUTED_VALUE"""),132.0)</f>
        <v>132</v>
      </c>
      <c r="Y640" s="320">
        <f>IFERROR(__xludf.DUMMYFUNCTION("""COMPUTED_VALUE"""),760.0)</f>
        <v>760</v>
      </c>
      <c r="Z640" s="320">
        <f>IFERROR(__xludf.DUMMYFUNCTION("""COMPUTED_VALUE"""),5800.0)</f>
        <v>5800</v>
      </c>
      <c r="AA640" s="320">
        <f>IFERROR(__xludf.DUMMYFUNCTION("""COMPUTED_VALUE"""),52.1525)</f>
        <v>52.1525</v>
      </c>
      <c r="AB640" s="320">
        <f>IFERROR(__xludf.DUMMYFUNCTION("""COMPUTED_VALUE"""),0.6272)</f>
        <v>0.6272</v>
      </c>
      <c r="AC640" s="320">
        <f>IFERROR(__xludf.DUMMYFUNCTION("""COMPUTED_VALUE"""),9.05)</f>
        <v>9.05</v>
      </c>
      <c r="AD640" s="320">
        <f>IFERROR(__xludf.DUMMYFUNCTION("""COMPUTED_VALUE"""),3.0)</f>
        <v>3</v>
      </c>
      <c r="AE640" s="320">
        <f>IFERROR(__xludf.DUMMYFUNCTION("""COMPUTED_VALUE"""),7.0)</f>
        <v>7</v>
      </c>
      <c r="AF640" s="320">
        <f>IFERROR(__xludf.DUMMYFUNCTION("""COMPUTED_VALUE"""),12.0)</f>
        <v>12</v>
      </c>
      <c r="AG640" s="320">
        <f>IFERROR(__xludf.DUMMYFUNCTION("""COMPUTED_VALUE"""),19.0)</f>
        <v>19</v>
      </c>
      <c r="AH640" s="320">
        <f>IFERROR(__xludf.DUMMYFUNCTION("""COMPUTED_VALUE"""),57.91)</f>
        <v>57.91</v>
      </c>
      <c r="AI640" s="320">
        <f>IFERROR(__xludf.DUMMYFUNCTION("""COMPUTED_VALUE"""),24.86)</f>
        <v>24.86</v>
      </c>
      <c r="AJ640" s="320">
        <f>IFERROR(__xludf.DUMMYFUNCTION("""COMPUTED_VALUE"""),4.39)</f>
        <v>4.39</v>
      </c>
      <c r="AK640" s="320">
        <f>IFERROR(__xludf.DUMMYFUNCTION("""COMPUTED_VALUE"""),0.1986)</f>
        <v>0.1986</v>
      </c>
      <c r="AL640" s="320">
        <f>IFERROR(__xludf.DUMMYFUNCTION("""COMPUTED_VALUE"""),20.01)</f>
        <v>20.01</v>
      </c>
      <c r="AM640" s="320">
        <f>IFERROR(__xludf.DUMMYFUNCTION("""COMPUTED_VALUE"""),47.38)</f>
        <v>47.38</v>
      </c>
      <c r="AN640" s="320">
        <f>IFERROR(__xludf.DUMMYFUNCTION("""COMPUTED_VALUE"""),74.34)</f>
        <v>74.34</v>
      </c>
      <c r="AO640" s="320">
        <f>IFERROR(__xludf.DUMMYFUNCTION("""COMPUTED_VALUE"""),14.88)</f>
        <v>14.88</v>
      </c>
    </row>
    <row r="641" ht="15.0" customHeight="1">
      <c r="A641" s="328">
        <f>IFERROR(__xludf.DUMMYFUNCTION("""COMPUTED_VALUE"""),46156.0)</f>
        <v>46156</v>
      </c>
      <c r="B641" s="319" t="str">
        <f>IFERROR(__xludf.DUMMYFUNCTION("""COMPUTED_VALUE"""),"D. 20-39")</f>
        <v>D. 20-39</v>
      </c>
      <c r="C641" s="320">
        <f>IFERROR(__xludf.DUMMYFUNCTION("""COMPUTED_VALUE"""),13462.0)</f>
        <v>13462</v>
      </c>
      <c r="D641" s="320">
        <f>IFERROR(__xludf.DUMMYFUNCTION("""COMPUTED_VALUE"""),13.36)</f>
        <v>13.36</v>
      </c>
      <c r="E641" s="320">
        <f>IFERROR(__xludf.DUMMYFUNCTION("""COMPUTED_VALUE"""),0.0)</f>
        <v>0</v>
      </c>
      <c r="F641" s="320">
        <f>IFERROR(__xludf.DUMMYFUNCTION("""COMPUTED_VALUE"""),0.0)</f>
        <v>0</v>
      </c>
      <c r="G641" s="320">
        <f>IFERROR(__xludf.DUMMYFUNCTION("""COMPUTED_VALUE"""),0.0)</f>
        <v>0</v>
      </c>
      <c r="H641" s="106"/>
      <c r="I641" s="320">
        <f>IFERROR(__xludf.DUMMYFUNCTION("""COMPUTED_VALUE"""),75.35)</f>
        <v>75.35</v>
      </c>
      <c r="J641" s="320">
        <f>IFERROR(__xludf.DUMMYFUNCTION("""COMPUTED_VALUE"""),37.75)</f>
        <v>37.75</v>
      </c>
      <c r="K641" s="320">
        <f>IFERROR(__xludf.DUMMYFUNCTION("""COMPUTED_VALUE"""),25.38)</f>
        <v>25.38</v>
      </c>
      <c r="L641" s="320">
        <f>IFERROR(__xludf.DUMMYFUNCTION("""COMPUTED_VALUE"""),0.6723)</f>
        <v>0.6723</v>
      </c>
      <c r="M641" s="320">
        <f>IFERROR(__xludf.DUMMYFUNCTION("""COMPUTED_VALUE"""),0.5211)</f>
        <v>0.5211</v>
      </c>
      <c r="N641" s="320">
        <f>IFERROR(__xludf.DUMMYFUNCTION("""COMPUTED_VALUE"""),0.3599)</f>
        <v>0.3599</v>
      </c>
      <c r="O641" s="320">
        <f>IFERROR(__xludf.DUMMYFUNCTION("""COMPUTED_VALUE"""),1.4875)</f>
        <v>1.4875</v>
      </c>
      <c r="P641" s="320">
        <f>IFERROR(__xludf.DUMMYFUNCTION("""COMPUTED_VALUE"""),158.06)</f>
        <v>158.06</v>
      </c>
      <c r="Q641" s="320">
        <f>IFERROR(__xludf.DUMMYFUNCTION("""COMPUTED_VALUE"""),113.75)</f>
        <v>113.75</v>
      </c>
      <c r="R641" s="320">
        <f>IFERROR(__xludf.DUMMYFUNCTION("""COMPUTED_VALUE"""),44.31)</f>
        <v>44.31</v>
      </c>
      <c r="S641" s="320">
        <f>IFERROR(__xludf.DUMMYFUNCTION("""COMPUTED_VALUE"""),0.0)</f>
        <v>0</v>
      </c>
      <c r="T641" s="320">
        <f>IFERROR(__xludf.DUMMYFUNCTION("""COMPUTED_VALUE"""),158.06)</f>
        <v>158.06</v>
      </c>
      <c r="U641" s="320">
        <f>IFERROR(__xludf.DUMMYFUNCTION("""COMPUTED_VALUE"""),156.73)</f>
        <v>156.73</v>
      </c>
      <c r="V641" s="320">
        <f>IFERROR(__xludf.DUMMYFUNCTION("""COMPUTED_VALUE"""),4.1513)</f>
        <v>4.1513</v>
      </c>
      <c r="W641" s="320">
        <f>IFERROR(__xludf.DUMMYFUNCTION("""COMPUTED_VALUE"""),0.0)</f>
        <v>0</v>
      </c>
      <c r="X641" s="320">
        <f>IFERROR(__xludf.DUMMYFUNCTION("""COMPUTED_VALUE"""),162.0)</f>
        <v>162</v>
      </c>
      <c r="Y641" s="320">
        <f>IFERROR(__xludf.DUMMYFUNCTION("""COMPUTED_VALUE"""),994.0)</f>
        <v>994</v>
      </c>
      <c r="Z641" s="320">
        <f>IFERROR(__xludf.DUMMYFUNCTION("""COMPUTED_VALUE"""),5979.0)</f>
        <v>5979</v>
      </c>
      <c r="AA641" s="320">
        <f>IFERROR(__xludf.DUMMYFUNCTION("""COMPUTED_VALUE"""),55.4959)</f>
        <v>55.4959</v>
      </c>
      <c r="AB641" s="320">
        <f>IFERROR(__xludf.DUMMYFUNCTION("""COMPUTED_VALUE"""),0.7481)</f>
        <v>0.7481</v>
      </c>
      <c r="AC641" s="320">
        <f>IFERROR(__xludf.DUMMYFUNCTION("""COMPUTED_VALUE"""),17.64)</f>
        <v>17.64</v>
      </c>
      <c r="AD641" s="320">
        <f>IFERROR(__xludf.DUMMYFUNCTION("""COMPUTED_VALUE"""),7.0)</f>
        <v>7</v>
      </c>
      <c r="AE641" s="320">
        <f>IFERROR(__xludf.DUMMYFUNCTION("""COMPUTED_VALUE"""),14.0)</f>
        <v>14</v>
      </c>
      <c r="AF641" s="320">
        <f>IFERROR(__xludf.DUMMYFUNCTION("""COMPUTED_VALUE"""),25.0)</f>
        <v>25</v>
      </c>
      <c r="AG641" s="320">
        <f>IFERROR(__xludf.DUMMYFUNCTION("""COMPUTED_VALUE"""),37.0)</f>
        <v>37</v>
      </c>
      <c r="AH641" s="320">
        <f>IFERROR(__xludf.DUMMYFUNCTION("""COMPUTED_VALUE"""),59.91)</f>
        <v>59.91</v>
      </c>
      <c r="AI641" s="320">
        <f>IFERROR(__xludf.DUMMYFUNCTION("""COMPUTED_VALUE"""),23.54)</f>
        <v>23.54</v>
      </c>
      <c r="AJ641" s="320">
        <f>IFERROR(__xludf.DUMMYFUNCTION("""COMPUTED_VALUE"""),7.02)</f>
        <v>7.02</v>
      </c>
      <c r="AK641" s="320">
        <f>IFERROR(__xludf.DUMMYFUNCTION("""COMPUTED_VALUE"""),0.183)</f>
        <v>0.183</v>
      </c>
      <c r="AL641" s="320">
        <f>IFERROR(__xludf.DUMMYFUNCTION("""COMPUTED_VALUE"""),20.06)</f>
        <v>20.06</v>
      </c>
      <c r="AM641" s="320">
        <f>IFERROR(__xludf.DUMMYFUNCTION("""COMPUTED_VALUE"""),93.68)</f>
        <v>93.68</v>
      </c>
      <c r="AN641" s="320">
        <f>IFERROR(__xludf.DUMMYFUNCTION("""COMPUTED_VALUE"""),78.24)</f>
        <v>78.24</v>
      </c>
      <c r="AO641" s="320">
        <f>IFERROR(__xludf.DUMMYFUNCTION("""COMPUTED_VALUE"""),15.69)</f>
        <v>15.69</v>
      </c>
    </row>
    <row r="642" ht="15.0" customHeight="1">
      <c r="A642" s="328">
        <f>IFERROR(__xludf.DUMMYFUNCTION("""COMPUTED_VALUE"""),46156.0)</f>
        <v>46156</v>
      </c>
      <c r="B642" s="319" t="str">
        <f>IFERROR(__xludf.DUMMYFUNCTION("""COMPUTED_VALUE"""),"E. 40-99")</f>
        <v>E. 40-99</v>
      </c>
      <c r="C642" s="320">
        <f>IFERROR(__xludf.DUMMYFUNCTION("""COMPUTED_VALUE"""),5554.0)</f>
        <v>5554</v>
      </c>
      <c r="D642" s="320">
        <f>IFERROR(__xludf.DUMMYFUNCTION("""COMPUTED_VALUE"""),5.51)</f>
        <v>5.51</v>
      </c>
      <c r="E642" s="320">
        <f>IFERROR(__xludf.DUMMYFUNCTION("""COMPUTED_VALUE"""),0.0)</f>
        <v>0</v>
      </c>
      <c r="F642" s="320">
        <f>IFERROR(__xludf.DUMMYFUNCTION("""COMPUTED_VALUE"""),0.0)</f>
        <v>0</v>
      </c>
      <c r="G642" s="320">
        <f>IFERROR(__xludf.DUMMYFUNCTION("""COMPUTED_VALUE"""),0.0)</f>
        <v>0</v>
      </c>
      <c r="H642" s="106"/>
      <c r="I642" s="320">
        <f>IFERROR(__xludf.DUMMYFUNCTION("""COMPUTED_VALUE"""),123.8)</f>
        <v>123.8</v>
      </c>
      <c r="J642" s="320">
        <f>IFERROR(__xludf.DUMMYFUNCTION("""COMPUTED_VALUE"""),66.9)</f>
        <v>66.9</v>
      </c>
      <c r="K642" s="320">
        <f>IFERROR(__xludf.DUMMYFUNCTION("""COMPUTED_VALUE"""),54.58)</f>
        <v>54.58</v>
      </c>
      <c r="L642" s="320">
        <f>IFERROR(__xludf.DUMMYFUNCTION("""COMPUTED_VALUE"""),0.8159)</f>
        <v>0.8159</v>
      </c>
      <c r="M642" s="320">
        <f>IFERROR(__xludf.DUMMYFUNCTION("""COMPUTED_VALUE"""),0.3678)</f>
        <v>0.3678</v>
      </c>
      <c r="N642" s="320">
        <f>IFERROR(__xludf.DUMMYFUNCTION("""COMPUTED_VALUE"""),0.2685)</f>
        <v>0.2685</v>
      </c>
      <c r="O642" s="320">
        <f>IFERROR(__xludf.DUMMYFUNCTION("""COMPUTED_VALUE"""),1.2256)</f>
        <v>1.2256</v>
      </c>
      <c r="P642" s="320">
        <f>IFERROR(__xludf.DUMMYFUNCTION("""COMPUTED_VALUE"""),312.87)</f>
        <v>312.87</v>
      </c>
      <c r="Q642" s="320">
        <f>IFERROR(__xludf.DUMMYFUNCTION("""COMPUTED_VALUE"""),217.19)</f>
        <v>217.19</v>
      </c>
      <c r="R642" s="320">
        <f>IFERROR(__xludf.DUMMYFUNCTION("""COMPUTED_VALUE"""),95.68)</f>
        <v>95.68</v>
      </c>
      <c r="S642" s="320">
        <f>IFERROR(__xludf.DUMMYFUNCTION("""COMPUTED_VALUE"""),0.0)</f>
        <v>0</v>
      </c>
      <c r="T642" s="320">
        <f>IFERROR(__xludf.DUMMYFUNCTION("""COMPUTED_VALUE"""),312.87)</f>
        <v>312.87</v>
      </c>
      <c r="U642" s="320">
        <f>IFERROR(__xludf.DUMMYFUNCTION("""COMPUTED_VALUE"""),324.29)</f>
        <v>324.29</v>
      </c>
      <c r="V642" s="320">
        <f>IFERROR(__xludf.DUMMYFUNCTION("""COMPUTED_VALUE"""),4.8476)</f>
        <v>4.8476</v>
      </c>
      <c r="W642" s="320">
        <f>IFERROR(__xludf.DUMMYFUNCTION("""COMPUTED_VALUE"""),0.0)</f>
        <v>0</v>
      </c>
      <c r="X642" s="320">
        <f>IFERROR(__xludf.DUMMYFUNCTION("""COMPUTED_VALUE"""),340.0)</f>
        <v>340</v>
      </c>
      <c r="Y642" s="320">
        <f>IFERROR(__xludf.DUMMYFUNCTION("""COMPUTED_VALUE"""),2347.0)</f>
        <v>2347</v>
      </c>
      <c r="Z642" s="320">
        <f>IFERROR(__xludf.DUMMYFUNCTION("""COMPUTED_VALUE"""),9554.0)</f>
        <v>9554</v>
      </c>
      <c r="AA642" s="320">
        <f>IFERROR(__xludf.DUMMYFUNCTION("""COMPUTED_VALUE"""),59.5069)</f>
        <v>59.5069</v>
      </c>
      <c r="AB642" s="320">
        <f>IFERROR(__xludf.DUMMYFUNCTION("""COMPUTED_VALUE"""),0.8476)</f>
        <v>0.8476</v>
      </c>
      <c r="AC642" s="320">
        <f>IFERROR(__xludf.DUMMYFUNCTION("""COMPUTED_VALUE"""),39.3)</f>
        <v>39.3</v>
      </c>
      <c r="AD642" s="320">
        <f>IFERROR(__xludf.DUMMYFUNCTION("""COMPUTED_VALUE"""),16.0)</f>
        <v>16</v>
      </c>
      <c r="AE642" s="320">
        <f>IFERROR(__xludf.DUMMYFUNCTION("""COMPUTED_VALUE"""),31.0)</f>
        <v>31</v>
      </c>
      <c r="AF642" s="320">
        <f>IFERROR(__xludf.DUMMYFUNCTION("""COMPUTED_VALUE"""),54.0)</f>
        <v>54</v>
      </c>
      <c r="AG642" s="320">
        <f>IFERROR(__xludf.DUMMYFUNCTION("""COMPUTED_VALUE"""),80.0)</f>
        <v>80</v>
      </c>
      <c r="AH642" s="320">
        <f>IFERROR(__xludf.DUMMYFUNCTION("""COMPUTED_VALUE"""),56.54)</f>
        <v>56.54</v>
      </c>
      <c r="AI642" s="320">
        <f>IFERROR(__xludf.DUMMYFUNCTION("""COMPUTED_VALUE"""),20.69)</f>
        <v>20.69</v>
      </c>
      <c r="AJ642" s="320">
        <f>IFERROR(__xludf.DUMMYFUNCTION("""COMPUTED_VALUE"""),5.2)</f>
        <v>5.2</v>
      </c>
      <c r="AK642" s="320">
        <f>IFERROR(__xludf.DUMMYFUNCTION("""COMPUTED_VALUE"""),0.1374)</f>
        <v>0.1374</v>
      </c>
      <c r="AL642" s="320">
        <f>IFERROR(__xludf.DUMMYFUNCTION("""COMPUTED_VALUE"""),21.37)</f>
        <v>21.37</v>
      </c>
      <c r="AM642" s="320">
        <f>IFERROR(__xludf.DUMMYFUNCTION("""COMPUTED_VALUE"""),195.82)</f>
        <v>195.82</v>
      </c>
      <c r="AN642" s="320">
        <f>IFERROR(__xludf.DUMMYFUNCTION("""COMPUTED_VALUE"""),82.82)</f>
        <v>82.82</v>
      </c>
      <c r="AO642" s="320">
        <f>IFERROR(__xludf.DUMMYFUNCTION("""COMPUTED_VALUE"""),17.7)</f>
        <v>17.7</v>
      </c>
    </row>
    <row r="643" ht="15.0" customHeight="1">
      <c r="A643" s="328">
        <f>IFERROR(__xludf.DUMMYFUNCTION("""COMPUTED_VALUE"""),46156.0)</f>
        <v>46156</v>
      </c>
      <c r="B643" s="319" t="str">
        <f>IFERROR(__xludf.DUMMYFUNCTION("""COMPUTED_VALUE"""),"F. 100+")</f>
        <v>F. 100+</v>
      </c>
      <c r="C643" s="320">
        <f>IFERROR(__xludf.DUMMYFUNCTION("""COMPUTED_VALUE"""),624.0)</f>
        <v>624</v>
      </c>
      <c r="D643" s="320">
        <f>IFERROR(__xludf.DUMMYFUNCTION("""COMPUTED_VALUE"""),0.62)</f>
        <v>0.62</v>
      </c>
      <c r="E643" s="320">
        <f>IFERROR(__xludf.DUMMYFUNCTION("""COMPUTED_VALUE"""),0.0)</f>
        <v>0</v>
      </c>
      <c r="F643" s="320">
        <f>IFERROR(__xludf.DUMMYFUNCTION("""COMPUTED_VALUE"""),0.0)</f>
        <v>0</v>
      </c>
      <c r="G643" s="320">
        <f>IFERROR(__xludf.DUMMYFUNCTION("""COMPUTED_VALUE"""),0.0)</f>
        <v>0</v>
      </c>
      <c r="H643" s="106"/>
      <c r="I643" s="320">
        <f>IFERROR(__xludf.DUMMYFUNCTION("""COMPUTED_VALUE"""),235.53)</f>
        <v>235.53</v>
      </c>
      <c r="J643" s="320">
        <f>IFERROR(__xludf.DUMMYFUNCTION("""COMPUTED_VALUE"""),138.72)</f>
        <v>138.72</v>
      </c>
      <c r="K643" s="320">
        <f>IFERROR(__xludf.DUMMYFUNCTION("""COMPUTED_VALUE"""),123.78)</f>
        <v>123.78</v>
      </c>
      <c r="L643" s="320">
        <f>IFERROR(__xludf.DUMMYFUNCTION("""COMPUTED_VALUE"""),0.8923)</f>
        <v>0.8923</v>
      </c>
      <c r="M643" s="320">
        <f>IFERROR(__xludf.DUMMYFUNCTION("""COMPUTED_VALUE"""),0.2622)</f>
        <v>0.2622</v>
      </c>
      <c r="N643" s="320">
        <f>IFERROR(__xludf.DUMMYFUNCTION("""COMPUTED_VALUE"""),0.2031)</f>
        <v>0.2031</v>
      </c>
      <c r="O643" s="320">
        <f>IFERROR(__xludf.DUMMYFUNCTION("""COMPUTED_VALUE"""),1.1207)</f>
        <v>1.1207</v>
      </c>
      <c r="P643" s="320">
        <f>IFERROR(__xludf.DUMMYFUNCTION("""COMPUTED_VALUE"""),568.28)</f>
        <v>568.28</v>
      </c>
      <c r="Q643" s="320">
        <f>IFERROR(__xludf.DUMMYFUNCTION("""COMPUTED_VALUE"""),348.01)</f>
        <v>348.01</v>
      </c>
      <c r="R643" s="320">
        <f>IFERROR(__xludf.DUMMYFUNCTION("""COMPUTED_VALUE"""),220.27)</f>
        <v>220.27</v>
      </c>
      <c r="S643" s="320">
        <f>IFERROR(__xludf.DUMMYFUNCTION("""COMPUTED_VALUE"""),0.0)</f>
        <v>0</v>
      </c>
      <c r="T643" s="320">
        <f>IFERROR(__xludf.DUMMYFUNCTION("""COMPUTED_VALUE"""),568.28)</f>
        <v>568.28</v>
      </c>
      <c r="U643" s="320">
        <f>IFERROR(__xludf.DUMMYFUNCTION("""COMPUTED_VALUE"""),625.24)</f>
        <v>625.24</v>
      </c>
      <c r="V643" s="320">
        <f>IFERROR(__xludf.DUMMYFUNCTION("""COMPUTED_VALUE"""),4.5072)</f>
        <v>4.5072</v>
      </c>
      <c r="W643" s="320">
        <f>IFERROR(__xludf.DUMMYFUNCTION("""COMPUTED_VALUE"""),0.0)</f>
        <v>0</v>
      </c>
      <c r="X643" s="320">
        <f>IFERROR(__xludf.DUMMYFUNCTION("""COMPUTED_VALUE"""),972.0)</f>
        <v>972</v>
      </c>
      <c r="Y643" s="320">
        <f>IFERROR(__xludf.DUMMYFUNCTION("""COMPUTED_VALUE"""),4546.0)</f>
        <v>4546</v>
      </c>
      <c r="Z643" s="320">
        <f>IFERROR(__xludf.DUMMYFUNCTION("""COMPUTED_VALUE"""),14463.0)</f>
        <v>14463</v>
      </c>
      <c r="AA643" s="320">
        <f>IFERROR(__xludf.DUMMYFUNCTION("""COMPUTED_VALUE"""),63.317)</f>
        <v>63.317</v>
      </c>
      <c r="AB643" s="320">
        <f>IFERROR(__xludf.DUMMYFUNCTION("""COMPUTED_VALUE"""),0.9161)</f>
        <v>0.9161</v>
      </c>
      <c r="AC643" s="320">
        <f>IFERROR(__xludf.DUMMYFUNCTION("""COMPUTED_VALUE"""),90.77)</f>
        <v>90.77</v>
      </c>
      <c r="AD643" s="320">
        <f>IFERROR(__xludf.DUMMYFUNCTION("""COMPUTED_VALUE"""),37.0)</f>
        <v>37</v>
      </c>
      <c r="AE643" s="320">
        <f>IFERROR(__xludf.DUMMYFUNCTION("""COMPUTED_VALUE"""),78.0)</f>
        <v>78</v>
      </c>
      <c r="AF643" s="320">
        <f>IFERROR(__xludf.DUMMYFUNCTION("""COMPUTED_VALUE"""),124.0)</f>
        <v>124</v>
      </c>
      <c r="AG643" s="320">
        <f>IFERROR(__xludf.DUMMYFUNCTION("""COMPUTED_VALUE"""),175.0)</f>
        <v>175</v>
      </c>
      <c r="AH643" s="320">
        <f>IFERROR(__xludf.DUMMYFUNCTION("""COMPUTED_VALUE"""),49.36)</f>
        <v>49.36</v>
      </c>
      <c r="AI643" s="320">
        <f>IFERROR(__xludf.DUMMYFUNCTION("""COMPUTED_VALUE"""),10.74)</f>
        <v>10.74</v>
      </c>
      <c r="AJ643" s="320">
        <f>IFERROR(__xludf.DUMMYFUNCTION("""COMPUTED_VALUE"""),1.76)</f>
        <v>1.76</v>
      </c>
      <c r="AK643" s="320">
        <f>IFERROR(__xludf.DUMMYFUNCTION("""COMPUTED_VALUE"""),0.0801)</f>
        <v>0.0801</v>
      </c>
      <c r="AL643" s="320">
        <f>IFERROR(__xludf.DUMMYFUNCTION("""COMPUTED_VALUE"""),24.13)</f>
        <v>24.13</v>
      </c>
      <c r="AM643" s="320">
        <f>IFERROR(__xludf.DUMMYFUNCTION("""COMPUTED_VALUE"""),323.88)</f>
        <v>323.88</v>
      </c>
      <c r="AN643" s="320">
        <f>IFERROR(__xludf.DUMMYFUNCTION("""COMPUTED_VALUE"""),85.14)</f>
        <v>85.14</v>
      </c>
      <c r="AO643" s="320">
        <f>IFERROR(__xludf.DUMMYFUNCTION("""COMPUTED_VALUE"""),20.54)</f>
        <v>20.54</v>
      </c>
    </row>
    <row r="644" ht="15.0" customHeight="1">
      <c r="A644" s="328">
        <f>IFERROR(__xludf.DUMMYFUNCTION("""COMPUTED_VALUE"""),46157.0)</f>
        <v>46157</v>
      </c>
      <c r="B644" s="319" t="str">
        <f>IFERROR(__xludf.DUMMYFUNCTION("""COMPUTED_VALUE"""),"A. 0")</f>
        <v>A. 0</v>
      </c>
      <c r="C644" s="320">
        <f>IFERROR(__xludf.DUMMYFUNCTION("""COMPUTED_VALUE"""),18599.0)</f>
        <v>18599</v>
      </c>
      <c r="D644" s="320">
        <f>IFERROR(__xludf.DUMMYFUNCTION("""COMPUTED_VALUE"""),18.92)</f>
        <v>18.92</v>
      </c>
      <c r="E644" s="320">
        <f>IFERROR(__xludf.DUMMYFUNCTION("""COMPUTED_VALUE"""),0.0)</f>
        <v>0</v>
      </c>
      <c r="F644" s="320">
        <f>IFERROR(__xludf.DUMMYFUNCTION("""COMPUTED_VALUE"""),0.0)</f>
        <v>0</v>
      </c>
      <c r="G644" s="320">
        <f>IFERROR(__xludf.DUMMYFUNCTION("""COMPUTED_VALUE"""),0.0)</f>
        <v>0</v>
      </c>
      <c r="H644" s="106"/>
      <c r="I644" s="320">
        <f>IFERROR(__xludf.DUMMYFUNCTION("""COMPUTED_VALUE"""),6.07)</f>
        <v>6.07</v>
      </c>
      <c r="J644" s="320">
        <f>IFERROR(__xludf.DUMMYFUNCTION("""COMPUTED_VALUE"""),2.45)</f>
        <v>2.45</v>
      </c>
      <c r="K644" s="320">
        <f>IFERROR(__xludf.DUMMYFUNCTION("""COMPUTED_VALUE"""),0.06)</f>
        <v>0.06</v>
      </c>
      <c r="L644" s="320">
        <f>IFERROR(__xludf.DUMMYFUNCTION("""COMPUTED_VALUE"""),0.0264)</f>
        <v>0.0264</v>
      </c>
      <c r="M644" s="320">
        <f>IFERROR(__xludf.DUMMYFUNCTION("""COMPUTED_VALUE"""),0.9811)</f>
        <v>0.9811</v>
      </c>
      <c r="N644" s="320">
        <f>IFERROR(__xludf.DUMMYFUNCTION("""COMPUTED_VALUE"""),0.7936)</f>
        <v>0.7936</v>
      </c>
      <c r="O644" s="320">
        <f>IFERROR(__xludf.DUMMYFUNCTION("""COMPUTED_VALUE"""),37.8398)</f>
        <v>37.8398</v>
      </c>
      <c r="P644" s="320">
        <f>IFERROR(__xludf.DUMMYFUNCTION("""COMPUTED_VALUE"""),26.48)</f>
        <v>26.48</v>
      </c>
      <c r="Q644" s="320">
        <f>IFERROR(__xludf.DUMMYFUNCTION("""COMPUTED_VALUE"""),26.37)</f>
        <v>26.37</v>
      </c>
      <c r="R644" s="320">
        <f>IFERROR(__xludf.DUMMYFUNCTION("""COMPUTED_VALUE"""),0.11)</f>
        <v>0.11</v>
      </c>
      <c r="S644" s="320">
        <f>IFERROR(__xludf.DUMMYFUNCTION("""COMPUTED_VALUE"""),0.0)</f>
        <v>0</v>
      </c>
      <c r="T644" s="320">
        <f>IFERROR(__xludf.DUMMYFUNCTION("""COMPUTED_VALUE"""),26.48)</f>
        <v>26.48</v>
      </c>
      <c r="U644" s="320">
        <f>IFERROR(__xludf.DUMMYFUNCTION("""COMPUTED_VALUE"""),1.91)</f>
        <v>1.91</v>
      </c>
      <c r="V644" s="320">
        <f>IFERROR(__xludf.DUMMYFUNCTION("""COMPUTED_VALUE"""),0.7797)</f>
        <v>0.7797</v>
      </c>
      <c r="W644" s="320">
        <f>IFERROR(__xludf.DUMMYFUNCTION("""COMPUTED_VALUE"""),0.0)</f>
        <v>0</v>
      </c>
      <c r="X644" s="320">
        <f>IFERROR(__xludf.DUMMYFUNCTION("""COMPUTED_VALUE"""),380.0)</f>
        <v>380</v>
      </c>
      <c r="Y644" s="320">
        <f>IFERROR(__xludf.DUMMYFUNCTION("""COMPUTED_VALUE"""),4357.0)</f>
        <v>4357</v>
      </c>
      <c r="Z644" s="320">
        <f>IFERROR(__xludf.DUMMYFUNCTION("""COMPUTED_VALUE"""),15912.0)</f>
        <v>15912</v>
      </c>
      <c r="AA644" s="320">
        <f>IFERROR(__xludf.DUMMYFUNCTION("""COMPUTED_VALUE"""),48.9542)</f>
        <v>48.9542</v>
      </c>
      <c r="AB644" s="320">
        <f>IFERROR(__xludf.DUMMYFUNCTION("""COMPUTED_VALUE"""),0.5426)</f>
        <v>0.5426</v>
      </c>
      <c r="AC644" s="106"/>
      <c r="AD644" s="106"/>
      <c r="AE644" s="106"/>
      <c r="AF644" s="106"/>
      <c r="AG644" s="106"/>
      <c r="AH644" s="320">
        <f>IFERROR(__xludf.DUMMYFUNCTION("""COMPUTED_VALUE"""),0.0)</f>
        <v>0</v>
      </c>
      <c r="AI644" s="320">
        <f>IFERROR(__xludf.DUMMYFUNCTION("""COMPUTED_VALUE"""),0.0)</f>
        <v>0</v>
      </c>
      <c r="AJ644" s="320">
        <f>IFERROR(__xludf.DUMMYFUNCTION("""COMPUTED_VALUE"""),0.0)</f>
        <v>0</v>
      </c>
      <c r="AK644" s="320">
        <f>IFERROR(__xludf.DUMMYFUNCTION("""COMPUTED_VALUE"""),0.3072)</f>
        <v>0.3072</v>
      </c>
      <c r="AL644" s="320">
        <f>IFERROR(__xludf.DUMMYFUNCTION("""COMPUTED_VALUE"""),17.51)</f>
        <v>17.51</v>
      </c>
      <c r="AM644" s="320">
        <f>IFERROR(__xludf.DUMMYFUNCTION("""COMPUTED_VALUE"""),8.86)</f>
        <v>8.86</v>
      </c>
      <c r="AN644" s="331"/>
      <c r="AO644" s="331"/>
    </row>
    <row r="645" ht="15.0" customHeight="1">
      <c r="A645" s="328">
        <f>IFERROR(__xludf.DUMMYFUNCTION("""COMPUTED_VALUE"""),46157.0)</f>
        <v>46157</v>
      </c>
      <c r="B645" s="319" t="str">
        <f>IFERROR(__xludf.DUMMYFUNCTION("""COMPUTED_VALUE"""),"B. 1-9")</f>
        <v>B. 1-9</v>
      </c>
      <c r="C645" s="320">
        <f>IFERROR(__xludf.DUMMYFUNCTION("""COMPUTED_VALUE"""),36301.0)</f>
        <v>36301</v>
      </c>
      <c r="D645" s="320">
        <f>IFERROR(__xludf.DUMMYFUNCTION("""COMPUTED_VALUE"""),36.93)</f>
        <v>36.93</v>
      </c>
      <c r="E645" s="320">
        <f>IFERROR(__xludf.DUMMYFUNCTION("""COMPUTED_VALUE"""),0.0)</f>
        <v>0</v>
      </c>
      <c r="F645" s="320">
        <f>IFERROR(__xludf.DUMMYFUNCTION("""COMPUTED_VALUE"""),0.0)</f>
        <v>0</v>
      </c>
      <c r="G645" s="320">
        <f>IFERROR(__xludf.DUMMYFUNCTION("""COMPUTED_VALUE"""),0.0)</f>
        <v>0</v>
      </c>
      <c r="H645" s="106"/>
      <c r="I645" s="320">
        <f>IFERROR(__xludf.DUMMYFUNCTION("""COMPUTED_VALUE"""),31.71)</f>
        <v>31.71</v>
      </c>
      <c r="J645" s="320">
        <f>IFERROR(__xludf.DUMMYFUNCTION("""COMPUTED_VALUE"""),14.43)</f>
        <v>14.43</v>
      </c>
      <c r="K645" s="320">
        <f>IFERROR(__xludf.DUMMYFUNCTION("""COMPUTED_VALUE"""),5.9)</f>
        <v>5.9</v>
      </c>
      <c r="L645" s="320">
        <f>IFERROR(__xludf.DUMMYFUNCTION("""COMPUTED_VALUE"""),0.409)</f>
        <v>0.409</v>
      </c>
      <c r="M645" s="320">
        <f>IFERROR(__xludf.DUMMYFUNCTION("""COMPUTED_VALUE"""),0.7567)</f>
        <v>0.7567</v>
      </c>
      <c r="N645" s="320">
        <f>IFERROR(__xludf.DUMMYFUNCTION("""COMPUTED_VALUE"""),0.55)</f>
        <v>0.55</v>
      </c>
      <c r="O645" s="320">
        <f>IFERROR(__xludf.DUMMYFUNCTION("""COMPUTED_VALUE"""),2.4447)</f>
        <v>2.4447</v>
      </c>
      <c r="P645" s="320">
        <f>IFERROR(__xludf.DUMMYFUNCTION("""COMPUTED_VALUE"""),57.32)</f>
        <v>57.32</v>
      </c>
      <c r="Q645" s="320">
        <f>IFERROR(__xludf.DUMMYFUNCTION("""COMPUTED_VALUE"""),47.22)</f>
        <v>47.22</v>
      </c>
      <c r="R645" s="320">
        <f>IFERROR(__xludf.DUMMYFUNCTION("""COMPUTED_VALUE"""),10.1)</f>
        <v>10.1</v>
      </c>
      <c r="S645" s="320">
        <f>IFERROR(__xludf.DUMMYFUNCTION("""COMPUTED_VALUE"""),0.06)</f>
        <v>0.06</v>
      </c>
      <c r="T645" s="320">
        <f>IFERROR(__xludf.DUMMYFUNCTION("""COMPUTED_VALUE"""),57.26)</f>
        <v>57.26</v>
      </c>
      <c r="U645" s="320">
        <f>IFERROR(__xludf.DUMMYFUNCTION("""COMPUTED_VALUE"""),53.32)</f>
        <v>53.32</v>
      </c>
      <c r="V645" s="320">
        <f>IFERROR(__xludf.DUMMYFUNCTION("""COMPUTED_VALUE"""),3.6961)</f>
        <v>3.6961</v>
      </c>
      <c r="W645" s="320">
        <f>IFERROR(__xludf.DUMMYFUNCTION("""COMPUTED_VALUE"""),0.1)</f>
        <v>0.1</v>
      </c>
      <c r="X645" s="320">
        <f>IFERROR(__xludf.DUMMYFUNCTION("""COMPUTED_VALUE"""),138.0)</f>
        <v>138</v>
      </c>
      <c r="Y645" s="320">
        <f>IFERROR(__xludf.DUMMYFUNCTION("""COMPUTED_VALUE"""),881.0)</f>
        <v>881</v>
      </c>
      <c r="Z645" s="320">
        <f>IFERROR(__xludf.DUMMYFUNCTION("""COMPUTED_VALUE"""),6024.0)</f>
        <v>6024</v>
      </c>
      <c r="AA645" s="320">
        <f>IFERROR(__xludf.DUMMYFUNCTION("""COMPUTED_VALUE"""),48.4688)</f>
        <v>48.4688</v>
      </c>
      <c r="AB645" s="320">
        <f>IFERROR(__xludf.DUMMYFUNCTION("""COMPUTED_VALUE"""),0.5291)</f>
        <v>0.5291</v>
      </c>
      <c r="AC645" s="320">
        <f>IFERROR(__xludf.DUMMYFUNCTION("""COMPUTED_VALUE"""),4.06)</f>
        <v>4.06</v>
      </c>
      <c r="AD645" s="320">
        <f>IFERROR(__xludf.DUMMYFUNCTION("""COMPUTED_VALUE"""),1.0)</f>
        <v>1</v>
      </c>
      <c r="AE645" s="320">
        <f>IFERROR(__xludf.DUMMYFUNCTION("""COMPUTED_VALUE"""),3.0)</f>
        <v>3</v>
      </c>
      <c r="AF645" s="320">
        <f>IFERROR(__xludf.DUMMYFUNCTION("""COMPUTED_VALUE"""),5.0)</f>
        <v>5</v>
      </c>
      <c r="AG645" s="320">
        <f>IFERROR(__xludf.DUMMYFUNCTION("""COMPUTED_VALUE"""),9.0)</f>
        <v>9</v>
      </c>
      <c r="AH645" s="320">
        <f>IFERROR(__xludf.DUMMYFUNCTION("""COMPUTED_VALUE"""),73.6)</f>
        <v>73.6</v>
      </c>
      <c r="AI645" s="320">
        <f>IFERROR(__xludf.DUMMYFUNCTION("""COMPUTED_VALUE"""),31.59)</f>
        <v>31.59</v>
      </c>
      <c r="AJ645" s="320">
        <f>IFERROR(__xludf.DUMMYFUNCTION("""COMPUTED_VALUE"""),8.64)</f>
        <v>8.64</v>
      </c>
      <c r="AK645" s="320">
        <f>IFERROR(__xludf.DUMMYFUNCTION("""COMPUTED_VALUE"""),0.2648)</f>
        <v>0.2648</v>
      </c>
      <c r="AL645" s="320">
        <f>IFERROR(__xludf.DUMMYFUNCTION("""COMPUTED_VALUE"""),20.46)</f>
        <v>20.46</v>
      </c>
      <c r="AM645" s="320">
        <f>IFERROR(__xludf.DUMMYFUNCTION("""COMPUTED_VALUE"""),26.75)</f>
        <v>26.75</v>
      </c>
      <c r="AN645" s="320">
        <f>IFERROR(__xludf.DUMMYFUNCTION("""COMPUTED_VALUE"""),65.88)</f>
        <v>65.88</v>
      </c>
      <c r="AO645" s="320">
        <f>IFERROR(__xludf.DUMMYFUNCTION("""COMPUTED_VALUE"""),13.48)</f>
        <v>13.48</v>
      </c>
    </row>
    <row r="646" ht="15.0" customHeight="1">
      <c r="A646" s="328">
        <f>IFERROR(__xludf.DUMMYFUNCTION("""COMPUTED_VALUE"""),46157.0)</f>
        <v>46157</v>
      </c>
      <c r="B646" s="319" t="str">
        <f>IFERROR(__xludf.DUMMYFUNCTION("""COMPUTED_VALUE"""),"C. 10-19")</f>
        <v>C. 10-19</v>
      </c>
      <c r="C646" s="320">
        <f>IFERROR(__xludf.DUMMYFUNCTION("""COMPUTED_VALUE"""),23751.0)</f>
        <v>23751</v>
      </c>
      <c r="D646" s="320">
        <f>IFERROR(__xludf.DUMMYFUNCTION("""COMPUTED_VALUE"""),24.16)</f>
        <v>24.16</v>
      </c>
      <c r="E646" s="320">
        <f>IFERROR(__xludf.DUMMYFUNCTION("""COMPUTED_VALUE"""),0.0)</f>
        <v>0</v>
      </c>
      <c r="F646" s="320">
        <f>IFERROR(__xludf.DUMMYFUNCTION("""COMPUTED_VALUE"""),0.0)</f>
        <v>0</v>
      </c>
      <c r="G646" s="320">
        <f>IFERROR(__xludf.DUMMYFUNCTION("""COMPUTED_VALUE"""),0.0)</f>
        <v>0</v>
      </c>
      <c r="H646" s="106"/>
      <c r="I646" s="320">
        <f>IFERROR(__xludf.DUMMYFUNCTION("""COMPUTED_VALUE"""),57.92)</f>
        <v>57.92</v>
      </c>
      <c r="J646" s="320">
        <f>IFERROR(__xludf.DUMMYFUNCTION("""COMPUTED_VALUE"""),27.6)</f>
        <v>27.6</v>
      </c>
      <c r="K646" s="320">
        <f>IFERROR(__xludf.DUMMYFUNCTION("""COMPUTED_VALUE"""),14.36)</f>
        <v>14.36</v>
      </c>
      <c r="L646" s="320">
        <f>IFERROR(__xludf.DUMMYFUNCTION("""COMPUTED_VALUE"""),0.5204)</f>
        <v>0.5204</v>
      </c>
      <c r="M646" s="320">
        <f>IFERROR(__xludf.DUMMYFUNCTION("""COMPUTED_VALUE"""),0.6637)</f>
        <v>0.6637</v>
      </c>
      <c r="N646" s="320">
        <f>IFERROR(__xludf.DUMMYFUNCTION("""COMPUTED_VALUE"""),0.4567)</f>
        <v>0.4567</v>
      </c>
      <c r="O646" s="320">
        <f>IFERROR(__xludf.DUMMYFUNCTION("""COMPUTED_VALUE"""),1.9216)</f>
        <v>1.9216</v>
      </c>
      <c r="P646" s="320">
        <f>IFERROR(__xludf.DUMMYFUNCTION("""COMPUTED_VALUE"""),103.89)</f>
        <v>103.89</v>
      </c>
      <c r="Q646" s="320">
        <f>IFERROR(__xludf.DUMMYFUNCTION("""COMPUTED_VALUE"""),79.0)</f>
        <v>79</v>
      </c>
      <c r="R646" s="320">
        <f>IFERROR(__xludf.DUMMYFUNCTION("""COMPUTED_VALUE"""),24.9)</f>
        <v>24.9</v>
      </c>
      <c r="S646" s="320">
        <f>IFERROR(__xludf.DUMMYFUNCTION("""COMPUTED_VALUE"""),0.0)</f>
        <v>0</v>
      </c>
      <c r="T646" s="320">
        <f>IFERROR(__xludf.DUMMYFUNCTION("""COMPUTED_VALUE"""),103.89)</f>
        <v>103.89</v>
      </c>
      <c r="U646" s="320">
        <f>IFERROR(__xludf.DUMMYFUNCTION("""COMPUTED_VALUE"""),99.57)</f>
        <v>99.57</v>
      </c>
      <c r="V646" s="320">
        <f>IFERROR(__xludf.DUMMYFUNCTION("""COMPUTED_VALUE"""),3.6076)</f>
        <v>3.6076</v>
      </c>
      <c r="W646" s="320">
        <f>IFERROR(__xludf.DUMMYFUNCTION("""COMPUTED_VALUE"""),0.0)</f>
        <v>0</v>
      </c>
      <c r="X646" s="320">
        <f>IFERROR(__xludf.DUMMYFUNCTION("""COMPUTED_VALUE"""),131.0)</f>
        <v>131</v>
      </c>
      <c r="Y646" s="320">
        <f>IFERROR(__xludf.DUMMYFUNCTION("""COMPUTED_VALUE"""),745.0)</f>
        <v>745</v>
      </c>
      <c r="Z646" s="320">
        <f>IFERROR(__xludf.DUMMYFUNCTION("""COMPUTED_VALUE"""),5146.0)</f>
        <v>5146</v>
      </c>
      <c r="AA646" s="320">
        <f>IFERROR(__xludf.DUMMYFUNCTION("""COMPUTED_VALUE"""),52.0138)</f>
        <v>52.0138</v>
      </c>
      <c r="AB646" s="320">
        <f>IFERROR(__xludf.DUMMYFUNCTION("""COMPUTED_VALUE"""),0.6294)</f>
        <v>0.6294</v>
      </c>
      <c r="AC646" s="320">
        <f>IFERROR(__xludf.DUMMYFUNCTION("""COMPUTED_VALUE"""),9.49)</f>
        <v>9.49</v>
      </c>
      <c r="AD646" s="320">
        <f>IFERROR(__xludf.DUMMYFUNCTION("""COMPUTED_VALUE"""),4.0)</f>
        <v>4</v>
      </c>
      <c r="AE646" s="320">
        <f>IFERROR(__xludf.DUMMYFUNCTION("""COMPUTED_VALUE"""),7.0)</f>
        <v>7</v>
      </c>
      <c r="AF646" s="320">
        <f>IFERROR(__xludf.DUMMYFUNCTION("""COMPUTED_VALUE"""),13.0)</f>
        <v>13</v>
      </c>
      <c r="AG646" s="320">
        <f>IFERROR(__xludf.DUMMYFUNCTION("""COMPUTED_VALUE"""),20.0)</f>
        <v>20</v>
      </c>
      <c r="AH646" s="320">
        <f>IFERROR(__xludf.DUMMYFUNCTION("""COMPUTED_VALUE"""),62.1)</f>
        <v>62.1</v>
      </c>
      <c r="AI646" s="320">
        <f>IFERROR(__xludf.DUMMYFUNCTION("""COMPUTED_VALUE"""),26.33)</f>
        <v>26.33</v>
      </c>
      <c r="AJ646" s="320">
        <f>IFERROR(__xludf.DUMMYFUNCTION("""COMPUTED_VALUE"""),4.41)</f>
        <v>4.41</v>
      </c>
      <c r="AK646" s="320">
        <f>IFERROR(__xludf.DUMMYFUNCTION("""COMPUTED_VALUE"""),0.2132)</f>
        <v>0.2132</v>
      </c>
      <c r="AL646" s="320">
        <f>IFERROR(__xludf.DUMMYFUNCTION("""COMPUTED_VALUE"""),21.53)</f>
        <v>21.53</v>
      </c>
      <c r="AM646" s="320">
        <f>IFERROR(__xludf.DUMMYFUNCTION("""COMPUTED_VALUE"""),57.46)</f>
        <v>57.46</v>
      </c>
      <c r="AN646" s="320">
        <f>IFERROR(__xludf.DUMMYFUNCTION("""COMPUTED_VALUE"""),75.23)</f>
        <v>75.23</v>
      </c>
      <c r="AO646" s="320">
        <f>IFERROR(__xludf.DUMMYFUNCTION("""COMPUTED_VALUE"""),16.2)</f>
        <v>16.2</v>
      </c>
    </row>
    <row r="647" ht="15.0" customHeight="1">
      <c r="A647" s="328">
        <f>IFERROR(__xludf.DUMMYFUNCTION("""COMPUTED_VALUE"""),46157.0)</f>
        <v>46157</v>
      </c>
      <c r="B647" s="319" t="str">
        <f>IFERROR(__xludf.DUMMYFUNCTION("""COMPUTED_VALUE"""),"D. 20-39")</f>
        <v>D. 20-39</v>
      </c>
      <c r="C647" s="320">
        <f>IFERROR(__xludf.DUMMYFUNCTION("""COMPUTED_VALUE"""),13427.0)</f>
        <v>13427</v>
      </c>
      <c r="D647" s="320">
        <f>IFERROR(__xludf.DUMMYFUNCTION("""COMPUTED_VALUE"""),13.66)</f>
        <v>13.66</v>
      </c>
      <c r="E647" s="320">
        <f>IFERROR(__xludf.DUMMYFUNCTION("""COMPUTED_VALUE"""),0.0)</f>
        <v>0</v>
      </c>
      <c r="F647" s="320">
        <f>IFERROR(__xludf.DUMMYFUNCTION("""COMPUTED_VALUE"""),0.0)</f>
        <v>0</v>
      </c>
      <c r="G647" s="320">
        <f>IFERROR(__xludf.DUMMYFUNCTION("""COMPUTED_VALUE"""),0.0)</f>
        <v>0</v>
      </c>
      <c r="H647" s="106"/>
      <c r="I647" s="320">
        <f>IFERROR(__xludf.DUMMYFUNCTION("""COMPUTED_VALUE"""),82.2)</f>
        <v>82.2</v>
      </c>
      <c r="J647" s="320">
        <f>IFERROR(__xludf.DUMMYFUNCTION("""COMPUTED_VALUE"""),41.24)</f>
        <v>41.24</v>
      </c>
      <c r="K647" s="320">
        <f>IFERROR(__xludf.DUMMYFUNCTION("""COMPUTED_VALUE"""),26.64)</f>
        <v>26.64</v>
      </c>
      <c r="L647" s="320">
        <f>IFERROR(__xludf.DUMMYFUNCTION("""COMPUTED_VALUE"""),0.6461)</f>
        <v>0.6461</v>
      </c>
      <c r="M647" s="320">
        <f>IFERROR(__xludf.DUMMYFUNCTION("""COMPUTED_VALUE"""),0.5405)</f>
        <v>0.5405</v>
      </c>
      <c r="N647" s="320">
        <f>IFERROR(__xludf.DUMMYFUNCTION("""COMPUTED_VALUE"""),0.369)</f>
        <v>0.369</v>
      </c>
      <c r="O647" s="320">
        <f>IFERROR(__xludf.DUMMYFUNCTION("""COMPUTED_VALUE"""),1.5477)</f>
        <v>1.5477</v>
      </c>
      <c r="P647" s="320">
        <f>IFERROR(__xludf.DUMMYFUNCTION("""COMPUTED_VALUE"""),158.17)</f>
        <v>158.17</v>
      </c>
      <c r="Q647" s="320">
        <f>IFERROR(__xludf.DUMMYFUNCTION("""COMPUTED_VALUE"""),111.53)</f>
        <v>111.53</v>
      </c>
      <c r="R647" s="320">
        <f>IFERROR(__xludf.DUMMYFUNCTION("""COMPUTED_VALUE"""),46.65)</f>
        <v>46.65</v>
      </c>
      <c r="S647" s="320">
        <f>IFERROR(__xludf.DUMMYFUNCTION("""COMPUTED_VALUE"""),0.0)</f>
        <v>0</v>
      </c>
      <c r="T647" s="320">
        <f>IFERROR(__xludf.DUMMYFUNCTION("""COMPUTED_VALUE"""),158.17)</f>
        <v>158.17</v>
      </c>
      <c r="U647" s="320">
        <f>IFERROR(__xludf.DUMMYFUNCTION("""COMPUTED_VALUE"""),165.27)</f>
        <v>165.27</v>
      </c>
      <c r="V647" s="320">
        <f>IFERROR(__xludf.DUMMYFUNCTION("""COMPUTED_VALUE"""),4.0079)</f>
        <v>4.0079</v>
      </c>
      <c r="W647" s="320">
        <f>IFERROR(__xludf.DUMMYFUNCTION("""COMPUTED_VALUE"""),0.0)</f>
        <v>0</v>
      </c>
      <c r="X647" s="320">
        <f>IFERROR(__xludf.DUMMYFUNCTION("""COMPUTED_VALUE"""),157.0)</f>
        <v>157</v>
      </c>
      <c r="Y647" s="320">
        <f>IFERROR(__xludf.DUMMYFUNCTION("""COMPUTED_VALUE"""),970.0)</f>
        <v>970</v>
      </c>
      <c r="Z647" s="320">
        <f>IFERROR(__xludf.DUMMYFUNCTION("""COMPUTED_VALUE"""),6204.0)</f>
        <v>6204</v>
      </c>
      <c r="AA647" s="320">
        <f>IFERROR(__xludf.DUMMYFUNCTION("""COMPUTED_VALUE"""),55.4202)</f>
        <v>55.4202</v>
      </c>
      <c r="AB647" s="320">
        <f>IFERROR(__xludf.DUMMYFUNCTION("""COMPUTED_VALUE"""),0.7431)</f>
        <v>0.7431</v>
      </c>
      <c r="AC647" s="320">
        <f>IFERROR(__xludf.DUMMYFUNCTION("""COMPUTED_VALUE"""),18.0)</f>
        <v>18</v>
      </c>
      <c r="AD647" s="320">
        <f>IFERROR(__xludf.DUMMYFUNCTION("""COMPUTED_VALUE"""),8.0)</f>
        <v>8</v>
      </c>
      <c r="AE647" s="320">
        <f>IFERROR(__xludf.DUMMYFUNCTION("""COMPUTED_VALUE"""),14.0)</f>
        <v>14</v>
      </c>
      <c r="AF647" s="320">
        <f>IFERROR(__xludf.DUMMYFUNCTION("""COMPUTED_VALUE"""),25.0)</f>
        <v>25</v>
      </c>
      <c r="AG647" s="320">
        <f>IFERROR(__xludf.DUMMYFUNCTION("""COMPUTED_VALUE"""),37.0)</f>
        <v>37</v>
      </c>
      <c r="AH647" s="320">
        <f>IFERROR(__xludf.DUMMYFUNCTION("""COMPUTED_VALUE"""),61.89)</f>
        <v>61.89</v>
      </c>
      <c r="AI647" s="320">
        <f>IFERROR(__xludf.DUMMYFUNCTION("""COMPUTED_VALUE"""),23.57)</f>
        <v>23.57</v>
      </c>
      <c r="AJ647" s="320">
        <f>IFERROR(__xludf.DUMMYFUNCTION("""COMPUTED_VALUE"""),6.87)</f>
        <v>6.87</v>
      </c>
      <c r="AK647" s="320">
        <f>IFERROR(__xludf.DUMMYFUNCTION("""COMPUTED_VALUE"""),0.2007)</f>
        <v>0.2007</v>
      </c>
      <c r="AL647" s="320">
        <f>IFERROR(__xludf.DUMMYFUNCTION("""COMPUTED_VALUE"""),21.29)</f>
        <v>21.29</v>
      </c>
      <c r="AM647" s="320">
        <f>IFERROR(__xludf.DUMMYFUNCTION("""COMPUTED_VALUE"""),90.24)</f>
        <v>90.24</v>
      </c>
      <c r="AN647" s="320">
        <f>IFERROR(__xludf.DUMMYFUNCTION("""COMPUTED_VALUE"""),78.31)</f>
        <v>78.31</v>
      </c>
      <c r="AO647" s="320">
        <f>IFERROR(__xludf.DUMMYFUNCTION("""COMPUTED_VALUE"""),16.67)</f>
        <v>16.67</v>
      </c>
    </row>
    <row r="648" ht="15.0" customHeight="1">
      <c r="A648" s="328">
        <f>IFERROR(__xludf.DUMMYFUNCTION("""COMPUTED_VALUE"""),46157.0)</f>
        <v>46157</v>
      </c>
      <c r="B648" s="319" t="str">
        <f>IFERROR(__xludf.DUMMYFUNCTION("""COMPUTED_VALUE"""),"E. 40-99")</f>
        <v>E. 40-99</v>
      </c>
      <c r="C648" s="320">
        <f>IFERROR(__xludf.DUMMYFUNCTION("""COMPUTED_VALUE"""),5572.0)</f>
        <v>5572</v>
      </c>
      <c r="D648" s="320">
        <f>IFERROR(__xludf.DUMMYFUNCTION("""COMPUTED_VALUE"""),5.67)</f>
        <v>5.67</v>
      </c>
      <c r="E648" s="320">
        <f>IFERROR(__xludf.DUMMYFUNCTION("""COMPUTED_VALUE"""),0.0)</f>
        <v>0</v>
      </c>
      <c r="F648" s="320">
        <f>IFERROR(__xludf.DUMMYFUNCTION("""COMPUTED_VALUE"""),0.0)</f>
        <v>0</v>
      </c>
      <c r="G648" s="320">
        <f>IFERROR(__xludf.DUMMYFUNCTION("""COMPUTED_VALUE"""),0.0)</f>
        <v>0</v>
      </c>
      <c r="H648" s="106"/>
      <c r="I648" s="320">
        <f>IFERROR(__xludf.DUMMYFUNCTION("""COMPUTED_VALUE"""),130.81)</f>
        <v>130.81</v>
      </c>
      <c r="J648" s="320">
        <f>IFERROR(__xludf.DUMMYFUNCTION("""COMPUTED_VALUE"""),69.72)</f>
        <v>69.72</v>
      </c>
      <c r="K648" s="320">
        <f>IFERROR(__xludf.DUMMYFUNCTION("""COMPUTED_VALUE"""),54.31)</f>
        <v>54.31</v>
      </c>
      <c r="L648" s="320">
        <f>IFERROR(__xludf.DUMMYFUNCTION("""COMPUTED_VALUE"""),0.779)</f>
        <v>0.779</v>
      </c>
      <c r="M648" s="320">
        <f>IFERROR(__xludf.DUMMYFUNCTION("""COMPUTED_VALUE"""),0.4009)</f>
        <v>0.4009</v>
      </c>
      <c r="N648" s="320">
        <f>IFERROR(__xludf.DUMMYFUNCTION("""COMPUTED_VALUE"""),0.2835)</f>
        <v>0.2835</v>
      </c>
      <c r="O648" s="320">
        <f>IFERROR(__xludf.DUMMYFUNCTION("""COMPUTED_VALUE"""),1.2837)</f>
        <v>1.2837</v>
      </c>
      <c r="P648" s="320">
        <f>IFERROR(__xludf.DUMMYFUNCTION("""COMPUTED_VALUE"""),256.12)</f>
        <v>256.12</v>
      </c>
      <c r="Q648" s="320">
        <f>IFERROR(__xludf.DUMMYFUNCTION("""COMPUTED_VALUE"""),161.17)</f>
        <v>161.17</v>
      </c>
      <c r="R648" s="320">
        <f>IFERROR(__xludf.DUMMYFUNCTION("""COMPUTED_VALUE"""),94.95)</f>
        <v>94.95</v>
      </c>
      <c r="S648" s="320">
        <f>IFERROR(__xludf.DUMMYFUNCTION("""COMPUTED_VALUE"""),0.0)</f>
        <v>0</v>
      </c>
      <c r="T648" s="320">
        <f>IFERROR(__xludf.DUMMYFUNCTION("""COMPUTED_VALUE"""),256.12)</f>
        <v>256.12</v>
      </c>
      <c r="U648" s="320">
        <f>IFERROR(__xludf.DUMMYFUNCTION("""COMPUTED_VALUE"""),311.22)</f>
        <v>311.22</v>
      </c>
      <c r="V648" s="320">
        <f>IFERROR(__xludf.DUMMYFUNCTION("""COMPUTED_VALUE"""),4.4637)</f>
        <v>4.4637</v>
      </c>
      <c r="W648" s="320">
        <f>IFERROR(__xludf.DUMMYFUNCTION("""COMPUTED_VALUE"""),0.0)</f>
        <v>0</v>
      </c>
      <c r="X648" s="320">
        <f>IFERROR(__xludf.DUMMYFUNCTION("""COMPUTED_VALUE"""),273.0)</f>
        <v>273</v>
      </c>
      <c r="Y648" s="320">
        <f>IFERROR(__xludf.DUMMYFUNCTION("""COMPUTED_VALUE"""),2245.0)</f>
        <v>2245</v>
      </c>
      <c r="Z648" s="320">
        <f>IFERROR(__xludf.DUMMYFUNCTION("""COMPUTED_VALUE"""),9477.0)</f>
        <v>9477</v>
      </c>
      <c r="AA648" s="320">
        <f>IFERROR(__xludf.DUMMYFUNCTION("""COMPUTED_VALUE"""),59.503)</f>
        <v>59.503</v>
      </c>
      <c r="AB648" s="320">
        <f>IFERROR(__xludf.DUMMYFUNCTION("""COMPUTED_VALUE"""),0.8457)</f>
        <v>0.8457</v>
      </c>
      <c r="AC648" s="320">
        <f>IFERROR(__xludf.DUMMYFUNCTION("""COMPUTED_VALUE"""),37.74)</f>
        <v>37.74</v>
      </c>
      <c r="AD648" s="320">
        <f>IFERROR(__xludf.DUMMYFUNCTION("""COMPUTED_VALUE"""),15.0)</f>
        <v>15</v>
      </c>
      <c r="AE648" s="320">
        <f>IFERROR(__xludf.DUMMYFUNCTION("""COMPUTED_VALUE"""),30.0)</f>
        <v>30</v>
      </c>
      <c r="AF648" s="320">
        <f>IFERROR(__xludf.DUMMYFUNCTION("""COMPUTED_VALUE"""),52.0)</f>
        <v>52</v>
      </c>
      <c r="AG648" s="320">
        <f>IFERROR(__xludf.DUMMYFUNCTION("""COMPUTED_VALUE"""),78.0)</f>
        <v>78</v>
      </c>
      <c r="AH648" s="320">
        <f>IFERROR(__xludf.DUMMYFUNCTION("""COMPUTED_VALUE"""),52.49)</f>
        <v>52.49</v>
      </c>
      <c r="AI648" s="320">
        <f>IFERROR(__xludf.DUMMYFUNCTION("""COMPUTED_VALUE"""),19.42)</f>
        <v>19.42</v>
      </c>
      <c r="AJ648" s="320">
        <f>IFERROR(__xludf.DUMMYFUNCTION("""COMPUTED_VALUE"""),4.81)</f>
        <v>4.81</v>
      </c>
      <c r="AK648" s="320">
        <f>IFERROR(__xludf.DUMMYFUNCTION("""COMPUTED_VALUE"""),0.1436)</f>
        <v>0.1436</v>
      </c>
      <c r="AL648" s="320">
        <f>IFERROR(__xludf.DUMMYFUNCTION("""COMPUTED_VALUE"""),22.37)</f>
        <v>22.37</v>
      </c>
      <c r="AM648" s="320">
        <f>IFERROR(__xludf.DUMMYFUNCTION("""COMPUTED_VALUE"""),138.8)</f>
        <v>138.8</v>
      </c>
      <c r="AN648" s="320">
        <f>IFERROR(__xludf.DUMMYFUNCTION("""COMPUTED_VALUE"""),83.17)</f>
        <v>83.17</v>
      </c>
      <c r="AO648" s="320">
        <f>IFERROR(__xludf.DUMMYFUNCTION("""COMPUTED_VALUE"""),18.61)</f>
        <v>18.61</v>
      </c>
    </row>
    <row r="649" ht="15.0" customHeight="1">
      <c r="A649" s="328">
        <f>IFERROR(__xludf.DUMMYFUNCTION("""COMPUTED_VALUE"""),46157.0)</f>
        <v>46157</v>
      </c>
      <c r="B649" s="319" t="str">
        <f>IFERROR(__xludf.DUMMYFUNCTION("""COMPUTED_VALUE"""),"F. 100+")</f>
        <v>F. 100+</v>
      </c>
      <c r="C649" s="320">
        <f>IFERROR(__xludf.DUMMYFUNCTION("""COMPUTED_VALUE"""),647.0)</f>
        <v>647</v>
      </c>
      <c r="D649" s="320">
        <f>IFERROR(__xludf.DUMMYFUNCTION("""COMPUTED_VALUE"""),0.66)</f>
        <v>0.66</v>
      </c>
      <c r="E649" s="320">
        <f>IFERROR(__xludf.DUMMYFUNCTION("""COMPUTED_VALUE"""),0.0)</f>
        <v>0</v>
      </c>
      <c r="F649" s="320">
        <f>IFERROR(__xludf.DUMMYFUNCTION("""COMPUTED_VALUE"""),0.0)</f>
        <v>0</v>
      </c>
      <c r="G649" s="320">
        <f>IFERROR(__xludf.DUMMYFUNCTION("""COMPUTED_VALUE"""),0.0)</f>
        <v>0</v>
      </c>
      <c r="H649" s="106"/>
      <c r="I649" s="320">
        <f>IFERROR(__xludf.DUMMYFUNCTION("""COMPUTED_VALUE"""),245.02)</f>
        <v>245.02</v>
      </c>
      <c r="J649" s="320">
        <f>IFERROR(__xludf.DUMMYFUNCTION("""COMPUTED_VALUE"""),139.36)</f>
        <v>139.36</v>
      </c>
      <c r="K649" s="320">
        <f>IFERROR(__xludf.DUMMYFUNCTION("""COMPUTED_VALUE"""),123.18)</f>
        <v>123.18</v>
      </c>
      <c r="L649" s="320">
        <f>IFERROR(__xludf.DUMMYFUNCTION("""COMPUTED_VALUE"""),0.8839)</f>
        <v>0.8839</v>
      </c>
      <c r="M649" s="320">
        <f>IFERROR(__xludf.DUMMYFUNCTION("""COMPUTED_VALUE"""),0.2748)</f>
        <v>0.2748</v>
      </c>
      <c r="N649" s="320">
        <f>IFERROR(__xludf.DUMMYFUNCTION("""COMPUTED_VALUE"""),0.2112)</f>
        <v>0.2112</v>
      </c>
      <c r="O649" s="320">
        <f>IFERROR(__xludf.DUMMYFUNCTION("""COMPUTED_VALUE"""),1.1314)</f>
        <v>1.1314</v>
      </c>
      <c r="P649" s="320">
        <f>IFERROR(__xludf.DUMMYFUNCTION("""COMPUTED_VALUE"""),492.63)</f>
        <v>492.63</v>
      </c>
      <c r="Q649" s="320">
        <f>IFERROR(__xludf.DUMMYFUNCTION("""COMPUTED_VALUE"""),273.76)</f>
        <v>273.76</v>
      </c>
      <c r="R649" s="320">
        <f>IFERROR(__xludf.DUMMYFUNCTION("""COMPUTED_VALUE"""),218.87)</f>
        <v>218.87</v>
      </c>
      <c r="S649" s="320">
        <f>IFERROR(__xludf.DUMMYFUNCTION("""COMPUTED_VALUE"""),0.0)</f>
        <v>0</v>
      </c>
      <c r="T649" s="320">
        <f>IFERROR(__xludf.DUMMYFUNCTION("""COMPUTED_VALUE"""),492.63)</f>
        <v>492.63</v>
      </c>
      <c r="U649" s="320">
        <f>IFERROR(__xludf.DUMMYFUNCTION("""COMPUTED_VALUE"""),709.51)</f>
        <v>709.51</v>
      </c>
      <c r="V649" s="320">
        <f>IFERROR(__xludf.DUMMYFUNCTION("""COMPUTED_VALUE"""),5.0911)</f>
        <v>5.0911</v>
      </c>
      <c r="W649" s="320">
        <f>IFERROR(__xludf.DUMMYFUNCTION("""COMPUTED_VALUE"""),0.0)</f>
        <v>0</v>
      </c>
      <c r="X649" s="320">
        <f>IFERROR(__xludf.DUMMYFUNCTION("""COMPUTED_VALUE"""),917.0)</f>
        <v>917</v>
      </c>
      <c r="Y649" s="320">
        <f>IFERROR(__xludf.DUMMYFUNCTION("""COMPUTED_VALUE"""),3896.0)</f>
        <v>3896</v>
      </c>
      <c r="Z649" s="320">
        <f>IFERROR(__xludf.DUMMYFUNCTION("""COMPUTED_VALUE"""),12720.0)</f>
        <v>12720</v>
      </c>
      <c r="AA649" s="320">
        <f>IFERROR(__xludf.DUMMYFUNCTION("""COMPUTED_VALUE"""),63.1338)</f>
        <v>63.1338</v>
      </c>
      <c r="AB649" s="320">
        <f>IFERROR(__xludf.DUMMYFUNCTION("""COMPUTED_VALUE"""),0.919)</f>
        <v>0.919</v>
      </c>
      <c r="AC649" s="320">
        <f>IFERROR(__xludf.DUMMYFUNCTION("""COMPUTED_VALUE"""),89.88)</f>
        <v>89.88</v>
      </c>
      <c r="AD649" s="320">
        <f>IFERROR(__xludf.DUMMYFUNCTION("""COMPUTED_VALUE"""),39.0)</f>
        <v>39</v>
      </c>
      <c r="AE649" s="320">
        <f>IFERROR(__xludf.DUMMYFUNCTION("""COMPUTED_VALUE"""),78.0)</f>
        <v>78</v>
      </c>
      <c r="AF649" s="320">
        <f>IFERROR(__xludf.DUMMYFUNCTION("""COMPUTED_VALUE"""),126.0)</f>
        <v>126</v>
      </c>
      <c r="AG649" s="320">
        <f>IFERROR(__xludf.DUMMYFUNCTION("""COMPUTED_VALUE"""),179.0)</f>
        <v>179</v>
      </c>
      <c r="AH649" s="320">
        <f>IFERROR(__xludf.DUMMYFUNCTION("""COMPUTED_VALUE"""),49.15)</f>
        <v>49.15</v>
      </c>
      <c r="AI649" s="320">
        <f>IFERROR(__xludf.DUMMYFUNCTION("""COMPUTED_VALUE"""),10.82)</f>
        <v>10.82</v>
      </c>
      <c r="AJ649" s="320">
        <f>IFERROR(__xludf.DUMMYFUNCTION("""COMPUTED_VALUE"""),1.08)</f>
        <v>1.08</v>
      </c>
      <c r="AK649" s="320">
        <f>IFERROR(__xludf.DUMMYFUNCTION("""COMPUTED_VALUE"""),0.1144)</f>
        <v>0.1144</v>
      </c>
      <c r="AL649" s="320">
        <f>IFERROR(__xludf.DUMMYFUNCTION("""COMPUTED_VALUE"""),22.28)</f>
        <v>22.28</v>
      </c>
      <c r="AM649" s="320">
        <f>IFERROR(__xludf.DUMMYFUNCTION("""COMPUTED_VALUE"""),251.48)</f>
        <v>251.48</v>
      </c>
      <c r="AN649" s="320">
        <f>IFERROR(__xludf.DUMMYFUNCTION("""COMPUTED_VALUE"""),84.68)</f>
        <v>84.68</v>
      </c>
      <c r="AO649" s="320">
        <f>IFERROR(__xludf.DUMMYFUNCTION("""COMPUTED_VALUE"""),18.87)</f>
        <v>18.87</v>
      </c>
    </row>
    <row r="650" ht="15.0" customHeight="1">
      <c r="A650" s="328">
        <f>IFERROR(__xludf.DUMMYFUNCTION("""COMPUTED_VALUE"""),46158.0)</f>
        <v>46158</v>
      </c>
      <c r="B650" s="319" t="str">
        <f>IFERROR(__xludf.DUMMYFUNCTION("""COMPUTED_VALUE"""),"A. 0")</f>
        <v>A. 0</v>
      </c>
      <c r="C650" s="320">
        <f>IFERROR(__xludf.DUMMYFUNCTION("""COMPUTED_VALUE"""),19803.0)</f>
        <v>19803</v>
      </c>
      <c r="D650" s="320">
        <f>IFERROR(__xludf.DUMMYFUNCTION("""COMPUTED_VALUE"""),20.53)</f>
        <v>20.53</v>
      </c>
      <c r="E650" s="320">
        <f>IFERROR(__xludf.DUMMYFUNCTION("""COMPUTED_VALUE"""),0.0)</f>
        <v>0</v>
      </c>
      <c r="F650" s="320">
        <f>IFERROR(__xludf.DUMMYFUNCTION("""COMPUTED_VALUE"""),0.0)</f>
        <v>0</v>
      </c>
      <c r="G650" s="320">
        <f>IFERROR(__xludf.DUMMYFUNCTION("""COMPUTED_VALUE"""),0.0)</f>
        <v>0</v>
      </c>
      <c r="H650" s="106"/>
      <c r="I650" s="320">
        <f>IFERROR(__xludf.DUMMYFUNCTION("""COMPUTED_VALUE"""),6.3)</f>
        <v>6.3</v>
      </c>
      <c r="J650" s="320">
        <f>IFERROR(__xludf.DUMMYFUNCTION("""COMPUTED_VALUE"""),2.71)</f>
        <v>2.71</v>
      </c>
      <c r="K650" s="320">
        <f>IFERROR(__xludf.DUMMYFUNCTION("""COMPUTED_VALUE"""),0.03)</f>
        <v>0.03</v>
      </c>
      <c r="L650" s="320">
        <f>IFERROR(__xludf.DUMMYFUNCTION("""COMPUTED_VALUE"""),0.0121)</f>
        <v>0.0121</v>
      </c>
      <c r="M650" s="320">
        <f>IFERROR(__xludf.DUMMYFUNCTION("""COMPUTED_VALUE"""),0.9915)</f>
        <v>0.9915</v>
      </c>
      <c r="N650" s="320">
        <f>IFERROR(__xludf.DUMMYFUNCTION("""COMPUTED_VALUE"""),0.885)</f>
        <v>0.885</v>
      </c>
      <c r="O650" s="320">
        <f>IFERROR(__xludf.DUMMYFUNCTION("""COMPUTED_VALUE"""),82.8702)</f>
        <v>82.8702</v>
      </c>
      <c r="P650" s="320">
        <f>IFERROR(__xludf.DUMMYFUNCTION("""COMPUTED_VALUE"""),24.68)</f>
        <v>24.68</v>
      </c>
      <c r="Q650" s="320">
        <f>IFERROR(__xludf.DUMMYFUNCTION("""COMPUTED_VALUE"""),24.57)</f>
        <v>24.57</v>
      </c>
      <c r="R650" s="320">
        <f>IFERROR(__xludf.DUMMYFUNCTION("""COMPUTED_VALUE"""),0.1)</f>
        <v>0.1</v>
      </c>
      <c r="S650" s="320">
        <f>IFERROR(__xludf.DUMMYFUNCTION("""COMPUTED_VALUE"""),0.0)</f>
        <v>0</v>
      </c>
      <c r="T650" s="320">
        <f>IFERROR(__xludf.DUMMYFUNCTION("""COMPUTED_VALUE"""),24.68)</f>
        <v>24.68</v>
      </c>
      <c r="U650" s="320">
        <f>IFERROR(__xludf.DUMMYFUNCTION("""COMPUTED_VALUE"""),2.1)</f>
        <v>2.1</v>
      </c>
      <c r="V650" s="320">
        <f>IFERROR(__xludf.DUMMYFUNCTION("""COMPUTED_VALUE"""),0.7749)</f>
        <v>0.7749</v>
      </c>
      <c r="W650" s="320">
        <f>IFERROR(__xludf.DUMMYFUNCTION("""COMPUTED_VALUE"""),0.0)</f>
        <v>0</v>
      </c>
      <c r="X650" s="320">
        <f>IFERROR(__xludf.DUMMYFUNCTION("""COMPUTED_VALUE"""),298.0)</f>
        <v>298</v>
      </c>
      <c r="Y650" s="320">
        <f>IFERROR(__xludf.DUMMYFUNCTION("""COMPUTED_VALUE"""),3600.0)</f>
        <v>3600</v>
      </c>
      <c r="Z650" s="320">
        <f>IFERROR(__xludf.DUMMYFUNCTION("""COMPUTED_VALUE"""),14944.0)</f>
        <v>14944</v>
      </c>
      <c r="AA650" s="320">
        <f>IFERROR(__xludf.DUMMYFUNCTION("""COMPUTED_VALUE"""),48.6377)</f>
        <v>48.6377</v>
      </c>
      <c r="AB650" s="320">
        <f>IFERROR(__xludf.DUMMYFUNCTION("""COMPUTED_VALUE"""),0.528)</f>
        <v>0.528</v>
      </c>
      <c r="AC650" s="106"/>
      <c r="AD650" s="106"/>
      <c r="AE650" s="106"/>
      <c r="AF650" s="106"/>
      <c r="AG650" s="106"/>
      <c r="AH650" s="320">
        <f>IFERROR(__xludf.DUMMYFUNCTION("""COMPUTED_VALUE"""),0.0)</f>
        <v>0</v>
      </c>
      <c r="AI650" s="320">
        <f>IFERROR(__xludf.DUMMYFUNCTION("""COMPUTED_VALUE"""),0.0)</f>
        <v>0</v>
      </c>
      <c r="AJ650" s="320">
        <f>IFERROR(__xludf.DUMMYFUNCTION("""COMPUTED_VALUE"""),0.0)</f>
        <v>0</v>
      </c>
      <c r="AK650" s="320">
        <f>IFERROR(__xludf.DUMMYFUNCTION("""COMPUTED_VALUE"""),0.2795)</f>
        <v>0.2795</v>
      </c>
      <c r="AL650" s="320">
        <f>IFERROR(__xludf.DUMMYFUNCTION("""COMPUTED_VALUE"""),18.09)</f>
        <v>18.09</v>
      </c>
      <c r="AM650" s="320">
        <f>IFERROR(__xludf.DUMMYFUNCTION("""COMPUTED_VALUE"""),6.48)</f>
        <v>6.48</v>
      </c>
      <c r="AN650" s="331"/>
      <c r="AO650" s="331"/>
    </row>
    <row r="651" ht="15.0" customHeight="1">
      <c r="A651" s="328">
        <f>IFERROR(__xludf.DUMMYFUNCTION("""COMPUTED_VALUE"""),46158.0)</f>
        <v>46158</v>
      </c>
      <c r="B651" s="319" t="str">
        <f>IFERROR(__xludf.DUMMYFUNCTION("""COMPUTED_VALUE"""),"B. 1-9")</f>
        <v>B. 1-9</v>
      </c>
      <c r="C651" s="320">
        <f>IFERROR(__xludf.DUMMYFUNCTION("""COMPUTED_VALUE"""),34910.0)</f>
        <v>34910</v>
      </c>
      <c r="D651" s="320">
        <f>IFERROR(__xludf.DUMMYFUNCTION("""COMPUTED_VALUE"""),36.2)</f>
        <v>36.2</v>
      </c>
      <c r="E651" s="320">
        <f>IFERROR(__xludf.DUMMYFUNCTION("""COMPUTED_VALUE"""),0.0)</f>
        <v>0</v>
      </c>
      <c r="F651" s="320">
        <f>IFERROR(__xludf.DUMMYFUNCTION("""COMPUTED_VALUE"""),0.0)</f>
        <v>0</v>
      </c>
      <c r="G651" s="320">
        <f>IFERROR(__xludf.DUMMYFUNCTION("""COMPUTED_VALUE"""),0.0)</f>
        <v>0</v>
      </c>
      <c r="H651" s="106"/>
      <c r="I651" s="320">
        <f>IFERROR(__xludf.DUMMYFUNCTION("""COMPUTED_VALUE"""),29.7)</f>
        <v>29.7</v>
      </c>
      <c r="J651" s="320">
        <f>IFERROR(__xludf.DUMMYFUNCTION("""COMPUTED_VALUE"""),13.41)</f>
        <v>13.41</v>
      </c>
      <c r="K651" s="320">
        <f>IFERROR(__xludf.DUMMYFUNCTION("""COMPUTED_VALUE"""),5.65)</f>
        <v>5.65</v>
      </c>
      <c r="L651" s="320">
        <f>IFERROR(__xludf.DUMMYFUNCTION("""COMPUTED_VALUE"""),0.4212)</f>
        <v>0.4212</v>
      </c>
      <c r="M651" s="320">
        <f>IFERROR(__xludf.DUMMYFUNCTION("""COMPUTED_VALUE"""),0.753)</f>
        <v>0.753</v>
      </c>
      <c r="N651" s="320">
        <f>IFERROR(__xludf.DUMMYFUNCTION("""COMPUTED_VALUE"""),0.5539)</f>
        <v>0.5539</v>
      </c>
      <c r="O651" s="320">
        <f>IFERROR(__xludf.DUMMYFUNCTION("""COMPUTED_VALUE"""),2.3741)</f>
        <v>2.3741</v>
      </c>
      <c r="P651" s="320">
        <f>IFERROR(__xludf.DUMMYFUNCTION("""COMPUTED_VALUE"""),52.3)</f>
        <v>52.3</v>
      </c>
      <c r="Q651" s="320">
        <f>IFERROR(__xludf.DUMMYFUNCTION("""COMPUTED_VALUE"""),42.66)</f>
        <v>42.66</v>
      </c>
      <c r="R651" s="320">
        <f>IFERROR(__xludf.DUMMYFUNCTION("""COMPUTED_VALUE"""),9.64)</f>
        <v>9.64</v>
      </c>
      <c r="S651" s="320">
        <f>IFERROR(__xludf.DUMMYFUNCTION("""COMPUTED_VALUE"""),0.0)</f>
        <v>0</v>
      </c>
      <c r="T651" s="320">
        <f>IFERROR(__xludf.DUMMYFUNCTION("""COMPUTED_VALUE"""),52.3)</f>
        <v>52.3</v>
      </c>
      <c r="U651" s="320">
        <f>IFERROR(__xludf.DUMMYFUNCTION("""COMPUTED_VALUE"""),55.08)</f>
        <v>55.08</v>
      </c>
      <c r="V651" s="320">
        <f>IFERROR(__xludf.DUMMYFUNCTION("""COMPUTED_VALUE"""),4.1072)</f>
        <v>4.1072</v>
      </c>
      <c r="W651" s="320">
        <f>IFERROR(__xludf.DUMMYFUNCTION("""COMPUTED_VALUE"""),0.0)</f>
        <v>0</v>
      </c>
      <c r="X651" s="320">
        <f>IFERROR(__xludf.DUMMYFUNCTION("""COMPUTED_VALUE"""),144.0)</f>
        <v>144</v>
      </c>
      <c r="Y651" s="320">
        <f>IFERROR(__xludf.DUMMYFUNCTION("""COMPUTED_VALUE"""),930.0)</f>
        <v>930</v>
      </c>
      <c r="Z651" s="320">
        <f>IFERROR(__xludf.DUMMYFUNCTION("""COMPUTED_VALUE"""),6160.0)</f>
        <v>6160</v>
      </c>
      <c r="AA651" s="320">
        <f>IFERROR(__xludf.DUMMYFUNCTION("""COMPUTED_VALUE"""),48.5745)</f>
        <v>48.5745</v>
      </c>
      <c r="AB651" s="320">
        <f>IFERROR(__xludf.DUMMYFUNCTION("""COMPUTED_VALUE"""),0.5391)</f>
        <v>0.5391</v>
      </c>
      <c r="AC651" s="320">
        <f>IFERROR(__xludf.DUMMYFUNCTION("""COMPUTED_VALUE"""),3.99)</f>
        <v>3.99</v>
      </c>
      <c r="AD651" s="320">
        <f>IFERROR(__xludf.DUMMYFUNCTION("""COMPUTED_VALUE"""),1.0)</f>
        <v>1</v>
      </c>
      <c r="AE651" s="320">
        <f>IFERROR(__xludf.DUMMYFUNCTION("""COMPUTED_VALUE"""),3.0)</f>
        <v>3</v>
      </c>
      <c r="AF651" s="320">
        <f>IFERROR(__xludf.DUMMYFUNCTION("""COMPUTED_VALUE"""),5.0)</f>
        <v>5</v>
      </c>
      <c r="AG651" s="320">
        <f>IFERROR(__xludf.DUMMYFUNCTION("""COMPUTED_VALUE"""),9.0)</f>
        <v>9</v>
      </c>
      <c r="AH651" s="320">
        <f>IFERROR(__xludf.DUMMYFUNCTION("""COMPUTED_VALUE"""),72.38)</f>
        <v>72.38</v>
      </c>
      <c r="AI651" s="320">
        <f>IFERROR(__xludf.DUMMYFUNCTION("""COMPUTED_VALUE"""),30.15)</f>
        <v>30.15</v>
      </c>
      <c r="AJ651" s="320">
        <f>IFERROR(__xludf.DUMMYFUNCTION("""COMPUTED_VALUE"""),8.84)</f>
        <v>8.84</v>
      </c>
      <c r="AK651" s="320">
        <f>IFERROR(__xludf.DUMMYFUNCTION("""COMPUTED_VALUE"""),0.2542)</f>
        <v>0.2542</v>
      </c>
      <c r="AL651" s="320">
        <f>IFERROR(__xludf.DUMMYFUNCTION("""COMPUTED_VALUE"""),22.55)</f>
        <v>22.55</v>
      </c>
      <c r="AM651" s="320">
        <f>IFERROR(__xludf.DUMMYFUNCTION("""COMPUTED_VALUE"""),20.11)</f>
        <v>20.11</v>
      </c>
      <c r="AN651" s="320">
        <f>IFERROR(__xludf.DUMMYFUNCTION("""COMPUTED_VALUE"""),65.44)</f>
        <v>65.44</v>
      </c>
      <c r="AO651" s="320">
        <f>IFERROR(__xludf.DUMMYFUNCTION("""COMPUTED_VALUE"""),14.76)</f>
        <v>14.76</v>
      </c>
    </row>
    <row r="652" ht="15.0" customHeight="1">
      <c r="A652" s="328">
        <f>IFERROR(__xludf.DUMMYFUNCTION("""COMPUTED_VALUE"""),46158.0)</f>
        <v>46158</v>
      </c>
      <c r="B652" s="319" t="str">
        <f>IFERROR(__xludf.DUMMYFUNCTION("""COMPUTED_VALUE"""),"C. 10-19")</f>
        <v>C. 10-19</v>
      </c>
      <c r="C652" s="320">
        <f>IFERROR(__xludf.DUMMYFUNCTION("""COMPUTED_VALUE"""),22801.0)</f>
        <v>22801</v>
      </c>
      <c r="D652" s="320">
        <f>IFERROR(__xludf.DUMMYFUNCTION("""COMPUTED_VALUE"""),23.64)</f>
        <v>23.64</v>
      </c>
      <c r="E652" s="320">
        <f>IFERROR(__xludf.DUMMYFUNCTION("""COMPUTED_VALUE"""),0.0)</f>
        <v>0</v>
      </c>
      <c r="F652" s="320">
        <f>IFERROR(__xludf.DUMMYFUNCTION("""COMPUTED_VALUE"""),0.0)</f>
        <v>0</v>
      </c>
      <c r="G652" s="320">
        <f>IFERROR(__xludf.DUMMYFUNCTION("""COMPUTED_VALUE"""),0.0)</f>
        <v>0</v>
      </c>
      <c r="H652" s="106"/>
      <c r="I652" s="320">
        <f>IFERROR(__xludf.DUMMYFUNCTION("""COMPUTED_VALUE"""),53.29)</f>
        <v>53.29</v>
      </c>
      <c r="J652" s="320">
        <f>IFERROR(__xludf.DUMMYFUNCTION("""COMPUTED_VALUE"""),25.15)</f>
        <v>25.15</v>
      </c>
      <c r="K652" s="320">
        <f>IFERROR(__xludf.DUMMYFUNCTION("""COMPUTED_VALUE"""),13.5)</f>
        <v>13.5</v>
      </c>
      <c r="L652" s="320">
        <f>IFERROR(__xludf.DUMMYFUNCTION("""COMPUTED_VALUE"""),0.5367)</f>
        <v>0.5367</v>
      </c>
      <c r="M652" s="320">
        <f>IFERROR(__xludf.DUMMYFUNCTION("""COMPUTED_VALUE"""),0.6563)</f>
        <v>0.6563</v>
      </c>
      <c r="N652" s="320">
        <f>IFERROR(__xludf.DUMMYFUNCTION("""COMPUTED_VALUE"""),0.4586)</f>
        <v>0.4586</v>
      </c>
      <c r="O652" s="320">
        <f>IFERROR(__xludf.DUMMYFUNCTION("""COMPUTED_VALUE"""),1.8631)</f>
        <v>1.8631</v>
      </c>
      <c r="P652" s="320">
        <f>IFERROR(__xludf.DUMMYFUNCTION("""COMPUTED_VALUE"""),96.9)</f>
        <v>96.9</v>
      </c>
      <c r="Q652" s="320">
        <f>IFERROR(__xludf.DUMMYFUNCTION("""COMPUTED_VALUE"""),73.27)</f>
        <v>73.27</v>
      </c>
      <c r="R652" s="320">
        <f>IFERROR(__xludf.DUMMYFUNCTION("""COMPUTED_VALUE"""),23.63)</f>
        <v>23.63</v>
      </c>
      <c r="S652" s="320">
        <f>IFERROR(__xludf.DUMMYFUNCTION("""COMPUTED_VALUE"""),0.0)</f>
        <v>0</v>
      </c>
      <c r="T652" s="320">
        <f>IFERROR(__xludf.DUMMYFUNCTION("""COMPUTED_VALUE"""),96.9)</f>
        <v>96.9</v>
      </c>
      <c r="U652" s="320">
        <f>IFERROR(__xludf.DUMMYFUNCTION("""COMPUTED_VALUE"""),98.8)</f>
        <v>98.8</v>
      </c>
      <c r="V652" s="320">
        <f>IFERROR(__xludf.DUMMYFUNCTION("""COMPUTED_VALUE"""),3.9281)</f>
        <v>3.9281</v>
      </c>
      <c r="W652" s="320">
        <f>IFERROR(__xludf.DUMMYFUNCTION("""COMPUTED_VALUE"""),0.0)</f>
        <v>0</v>
      </c>
      <c r="X652" s="320">
        <f>IFERROR(__xludf.DUMMYFUNCTION("""COMPUTED_VALUE"""),132.0)</f>
        <v>132</v>
      </c>
      <c r="Y652" s="320">
        <f>IFERROR(__xludf.DUMMYFUNCTION("""COMPUTED_VALUE"""),747.0)</f>
        <v>747</v>
      </c>
      <c r="Z652" s="320">
        <f>IFERROR(__xludf.DUMMYFUNCTION("""COMPUTED_VALUE"""),5718.0)</f>
        <v>5718</v>
      </c>
      <c r="AA652" s="320">
        <f>IFERROR(__xludf.DUMMYFUNCTION("""COMPUTED_VALUE"""),52.3053)</f>
        <v>52.3053</v>
      </c>
      <c r="AB652" s="320">
        <f>IFERROR(__xludf.DUMMYFUNCTION("""COMPUTED_VALUE"""),0.644)</f>
        <v>0.644</v>
      </c>
      <c r="AC652" s="320">
        <f>IFERROR(__xludf.DUMMYFUNCTION("""COMPUTED_VALUE"""),9.28)</f>
        <v>9.28</v>
      </c>
      <c r="AD652" s="320">
        <f>IFERROR(__xludf.DUMMYFUNCTION("""COMPUTED_VALUE"""),3.0)</f>
        <v>3</v>
      </c>
      <c r="AE652" s="320">
        <f>IFERROR(__xludf.DUMMYFUNCTION("""COMPUTED_VALUE"""),7.0)</f>
        <v>7</v>
      </c>
      <c r="AF652" s="320">
        <f>IFERROR(__xludf.DUMMYFUNCTION("""COMPUTED_VALUE"""),13.0)</f>
        <v>13</v>
      </c>
      <c r="AG652" s="320">
        <f>IFERROR(__xludf.DUMMYFUNCTION("""COMPUTED_VALUE"""),19.0)</f>
        <v>19</v>
      </c>
      <c r="AH652" s="320">
        <f>IFERROR(__xludf.DUMMYFUNCTION("""COMPUTED_VALUE"""),59.51)</f>
        <v>59.51</v>
      </c>
      <c r="AI652" s="320">
        <f>IFERROR(__xludf.DUMMYFUNCTION("""COMPUTED_VALUE"""),25.49)</f>
        <v>25.49</v>
      </c>
      <c r="AJ652" s="320">
        <f>IFERROR(__xludf.DUMMYFUNCTION("""COMPUTED_VALUE"""),4.71)</f>
        <v>4.71</v>
      </c>
      <c r="AK652" s="320">
        <f>IFERROR(__xludf.DUMMYFUNCTION("""COMPUTED_VALUE"""),0.2065)</f>
        <v>0.2065</v>
      </c>
      <c r="AL652" s="320">
        <f>IFERROR(__xludf.DUMMYFUNCTION("""COMPUTED_VALUE"""),23.4)</f>
        <v>23.4</v>
      </c>
      <c r="AM652" s="320">
        <f>IFERROR(__xludf.DUMMYFUNCTION("""COMPUTED_VALUE"""),49.87)</f>
        <v>49.87</v>
      </c>
      <c r="AN652" s="320">
        <f>IFERROR(__xludf.DUMMYFUNCTION("""COMPUTED_VALUE"""),74.66)</f>
        <v>74.66</v>
      </c>
      <c r="AO652" s="320">
        <f>IFERROR(__xludf.DUMMYFUNCTION("""COMPUTED_VALUE"""),17.47)</f>
        <v>17.47</v>
      </c>
    </row>
    <row r="653" ht="15.0" customHeight="1">
      <c r="A653" s="328">
        <f>IFERROR(__xludf.DUMMYFUNCTION("""COMPUTED_VALUE"""),46158.0)</f>
        <v>46158</v>
      </c>
      <c r="B653" s="319" t="str">
        <f>IFERROR(__xludf.DUMMYFUNCTION("""COMPUTED_VALUE"""),"D. 20-39")</f>
        <v>D. 20-39</v>
      </c>
      <c r="C653" s="320">
        <f>IFERROR(__xludf.DUMMYFUNCTION("""COMPUTED_VALUE"""),12944.0)</f>
        <v>12944</v>
      </c>
      <c r="D653" s="320">
        <f>IFERROR(__xludf.DUMMYFUNCTION("""COMPUTED_VALUE"""),13.42)</f>
        <v>13.42</v>
      </c>
      <c r="E653" s="320">
        <f>IFERROR(__xludf.DUMMYFUNCTION("""COMPUTED_VALUE"""),0.0)</f>
        <v>0</v>
      </c>
      <c r="F653" s="320">
        <f>IFERROR(__xludf.DUMMYFUNCTION("""COMPUTED_VALUE"""),0.0)</f>
        <v>0</v>
      </c>
      <c r="G653" s="320">
        <f>IFERROR(__xludf.DUMMYFUNCTION("""COMPUTED_VALUE"""),0.0)</f>
        <v>0</v>
      </c>
      <c r="H653" s="106"/>
      <c r="I653" s="320">
        <f>IFERROR(__xludf.DUMMYFUNCTION("""COMPUTED_VALUE"""),78.03)</f>
        <v>78.03</v>
      </c>
      <c r="J653" s="320">
        <f>IFERROR(__xludf.DUMMYFUNCTION("""COMPUTED_VALUE"""),38.86)</f>
        <v>38.86</v>
      </c>
      <c r="K653" s="320">
        <f>IFERROR(__xludf.DUMMYFUNCTION("""COMPUTED_VALUE"""),25.56)</f>
        <v>25.56</v>
      </c>
      <c r="L653" s="320">
        <f>IFERROR(__xludf.DUMMYFUNCTION("""COMPUTED_VALUE"""),0.6577)</f>
        <v>0.6577</v>
      </c>
      <c r="M653" s="320">
        <f>IFERROR(__xludf.DUMMYFUNCTION("""COMPUTED_VALUE"""),0.5391)</f>
        <v>0.5391</v>
      </c>
      <c r="N653" s="320">
        <f>IFERROR(__xludf.DUMMYFUNCTION("""COMPUTED_VALUE"""),0.3735)</f>
        <v>0.3735</v>
      </c>
      <c r="O653" s="320">
        <f>IFERROR(__xludf.DUMMYFUNCTION("""COMPUTED_VALUE"""),1.5204)</f>
        <v>1.5204</v>
      </c>
      <c r="P653" s="320">
        <f>IFERROR(__xludf.DUMMYFUNCTION("""COMPUTED_VALUE"""),159.88)</f>
        <v>159.88</v>
      </c>
      <c r="Q653" s="320">
        <f>IFERROR(__xludf.DUMMYFUNCTION("""COMPUTED_VALUE"""),115.14)</f>
        <v>115.14</v>
      </c>
      <c r="R653" s="320">
        <f>IFERROR(__xludf.DUMMYFUNCTION("""COMPUTED_VALUE"""),44.73)</f>
        <v>44.73</v>
      </c>
      <c r="S653" s="320">
        <f>IFERROR(__xludf.DUMMYFUNCTION("""COMPUTED_VALUE"""),0.0)</f>
        <v>0</v>
      </c>
      <c r="T653" s="320">
        <f>IFERROR(__xludf.DUMMYFUNCTION("""COMPUTED_VALUE"""),159.88)</f>
        <v>159.88</v>
      </c>
      <c r="U653" s="320">
        <f>IFERROR(__xludf.DUMMYFUNCTION("""COMPUTED_VALUE"""),171.0)</f>
        <v>171</v>
      </c>
      <c r="V653" s="320">
        <f>IFERROR(__xludf.DUMMYFUNCTION("""COMPUTED_VALUE"""),4.4007)</f>
        <v>4.4007</v>
      </c>
      <c r="W653" s="320">
        <f>IFERROR(__xludf.DUMMYFUNCTION("""COMPUTED_VALUE"""),0.0)</f>
        <v>0</v>
      </c>
      <c r="X653" s="320">
        <f>IFERROR(__xludf.DUMMYFUNCTION("""COMPUTED_VALUE"""),160.0)</f>
        <v>160</v>
      </c>
      <c r="Y653" s="320">
        <f>IFERROR(__xludf.DUMMYFUNCTION("""COMPUTED_VALUE"""),1058.0)</f>
        <v>1058</v>
      </c>
      <c r="Z653" s="320">
        <f>IFERROR(__xludf.DUMMYFUNCTION("""COMPUTED_VALUE"""),6739.0)</f>
        <v>6739</v>
      </c>
      <c r="AA653" s="320">
        <f>IFERROR(__xludf.DUMMYFUNCTION("""COMPUTED_VALUE"""),55.576)</f>
        <v>55.576</v>
      </c>
      <c r="AB653" s="320">
        <f>IFERROR(__xludf.DUMMYFUNCTION("""COMPUTED_VALUE"""),0.7463)</f>
        <v>0.7463</v>
      </c>
      <c r="AC653" s="320">
        <f>IFERROR(__xludf.DUMMYFUNCTION("""COMPUTED_VALUE"""),17.52)</f>
        <v>17.52</v>
      </c>
      <c r="AD653" s="320">
        <f>IFERROR(__xludf.DUMMYFUNCTION("""COMPUTED_VALUE"""),7.0)</f>
        <v>7</v>
      </c>
      <c r="AE653" s="320">
        <f>IFERROR(__xludf.DUMMYFUNCTION("""COMPUTED_VALUE"""),13.0)</f>
        <v>13</v>
      </c>
      <c r="AF653" s="320">
        <f>IFERROR(__xludf.DUMMYFUNCTION("""COMPUTED_VALUE"""),24.0)</f>
        <v>24</v>
      </c>
      <c r="AG653" s="320">
        <f>IFERROR(__xludf.DUMMYFUNCTION("""COMPUTED_VALUE"""),37.0)</f>
        <v>37</v>
      </c>
      <c r="AH653" s="320">
        <f>IFERROR(__xludf.DUMMYFUNCTION("""COMPUTED_VALUE"""),59.07)</f>
        <v>59.07</v>
      </c>
      <c r="AI653" s="320">
        <f>IFERROR(__xludf.DUMMYFUNCTION("""COMPUTED_VALUE"""),22.74)</f>
        <v>22.74</v>
      </c>
      <c r="AJ653" s="320">
        <f>IFERROR(__xludf.DUMMYFUNCTION("""COMPUTED_VALUE"""),7.12)</f>
        <v>7.12</v>
      </c>
      <c r="AK653" s="320">
        <f>IFERROR(__xludf.DUMMYFUNCTION("""COMPUTED_VALUE"""),0.1796)</f>
        <v>0.1796</v>
      </c>
      <c r="AL653" s="320">
        <f>IFERROR(__xludf.DUMMYFUNCTION("""COMPUTED_VALUE"""),23.12)</f>
        <v>23.12</v>
      </c>
      <c r="AM653" s="320">
        <f>IFERROR(__xludf.DUMMYFUNCTION("""COMPUTED_VALUE"""),92.03)</f>
        <v>92.03</v>
      </c>
      <c r="AN653" s="320">
        <f>IFERROR(__xludf.DUMMYFUNCTION("""COMPUTED_VALUE"""),78.15)</f>
        <v>78.15</v>
      </c>
      <c r="AO653" s="320">
        <f>IFERROR(__xludf.DUMMYFUNCTION("""COMPUTED_VALUE"""),18.07)</f>
        <v>18.07</v>
      </c>
    </row>
    <row r="654" ht="15.0" customHeight="1">
      <c r="A654" s="328">
        <f>IFERROR(__xludf.DUMMYFUNCTION("""COMPUTED_VALUE"""),46158.0)</f>
        <v>46158</v>
      </c>
      <c r="B654" s="319" t="str">
        <f>IFERROR(__xludf.DUMMYFUNCTION("""COMPUTED_VALUE"""),"E. 40-99")</f>
        <v>E. 40-99</v>
      </c>
      <c r="C654" s="320">
        <f>IFERROR(__xludf.DUMMYFUNCTION("""COMPUTED_VALUE"""),5396.0)</f>
        <v>5396</v>
      </c>
      <c r="D654" s="320">
        <f>IFERROR(__xludf.DUMMYFUNCTION("""COMPUTED_VALUE"""),5.6)</f>
        <v>5.6</v>
      </c>
      <c r="E654" s="320">
        <f>IFERROR(__xludf.DUMMYFUNCTION("""COMPUTED_VALUE"""),0.0)</f>
        <v>0</v>
      </c>
      <c r="F654" s="320">
        <f>IFERROR(__xludf.DUMMYFUNCTION("""COMPUTED_VALUE"""),0.0)</f>
        <v>0</v>
      </c>
      <c r="G654" s="320">
        <f>IFERROR(__xludf.DUMMYFUNCTION("""COMPUTED_VALUE"""),0.0)</f>
        <v>0</v>
      </c>
      <c r="H654" s="106"/>
      <c r="I654" s="320">
        <f>IFERROR(__xludf.DUMMYFUNCTION("""COMPUTED_VALUE"""),124.28)</f>
        <v>124.28</v>
      </c>
      <c r="J654" s="320">
        <f>IFERROR(__xludf.DUMMYFUNCTION("""COMPUTED_VALUE"""),66.39)</f>
        <v>66.39</v>
      </c>
      <c r="K654" s="320">
        <f>IFERROR(__xludf.DUMMYFUNCTION("""COMPUTED_VALUE"""),52.31)</f>
        <v>52.31</v>
      </c>
      <c r="L654" s="320">
        <f>IFERROR(__xludf.DUMMYFUNCTION("""COMPUTED_VALUE"""),0.7879)</f>
        <v>0.7879</v>
      </c>
      <c r="M654" s="320">
        <f>IFERROR(__xludf.DUMMYFUNCTION("""COMPUTED_VALUE"""),0.4012)</f>
        <v>0.4012</v>
      </c>
      <c r="N654" s="320">
        <f>IFERROR(__xludf.DUMMYFUNCTION("""COMPUTED_VALUE"""),0.2893)</f>
        <v>0.2893</v>
      </c>
      <c r="O654" s="320">
        <f>IFERROR(__xludf.DUMMYFUNCTION("""COMPUTED_VALUE"""),1.2692)</f>
        <v>1.2692</v>
      </c>
      <c r="P654" s="320">
        <f>IFERROR(__xludf.DUMMYFUNCTION("""COMPUTED_VALUE"""),298.0)</f>
        <v>298</v>
      </c>
      <c r="Q654" s="320">
        <f>IFERROR(__xludf.DUMMYFUNCTION("""COMPUTED_VALUE"""),206.54)</f>
        <v>206.54</v>
      </c>
      <c r="R654" s="320">
        <f>IFERROR(__xludf.DUMMYFUNCTION("""COMPUTED_VALUE"""),91.46)</f>
        <v>91.46</v>
      </c>
      <c r="S654" s="320">
        <f>IFERROR(__xludf.DUMMYFUNCTION("""COMPUTED_VALUE"""),0.0)</f>
        <v>0</v>
      </c>
      <c r="T654" s="320">
        <f>IFERROR(__xludf.DUMMYFUNCTION("""COMPUTED_VALUE"""),298.0)</f>
        <v>298</v>
      </c>
      <c r="U654" s="320">
        <f>IFERROR(__xludf.DUMMYFUNCTION("""COMPUTED_VALUE"""),331.98)</f>
        <v>331.98</v>
      </c>
      <c r="V654" s="320">
        <f>IFERROR(__xludf.DUMMYFUNCTION("""COMPUTED_VALUE"""),5.0007)</f>
        <v>5.0007</v>
      </c>
      <c r="W654" s="320">
        <f>IFERROR(__xludf.DUMMYFUNCTION("""COMPUTED_VALUE"""),0.0)</f>
        <v>0</v>
      </c>
      <c r="X654" s="320">
        <f>IFERROR(__xludf.DUMMYFUNCTION("""COMPUTED_VALUE"""),286.0)</f>
        <v>286</v>
      </c>
      <c r="Y654" s="320">
        <f>IFERROR(__xludf.DUMMYFUNCTION("""COMPUTED_VALUE"""),2398.0)</f>
        <v>2398</v>
      </c>
      <c r="Z654" s="320">
        <f>IFERROR(__xludf.DUMMYFUNCTION("""COMPUTED_VALUE"""),9952.0)</f>
        <v>9952</v>
      </c>
      <c r="AA654" s="320">
        <f>IFERROR(__xludf.DUMMYFUNCTION("""COMPUTED_VALUE"""),59.6955)</f>
        <v>59.6955</v>
      </c>
      <c r="AB654" s="320">
        <f>IFERROR(__xludf.DUMMYFUNCTION("""COMPUTED_VALUE"""),0.8432)</f>
        <v>0.8432</v>
      </c>
      <c r="AC654" s="320">
        <f>IFERROR(__xludf.DUMMYFUNCTION("""COMPUTED_VALUE"""),36.76)</f>
        <v>36.76</v>
      </c>
      <c r="AD654" s="320">
        <f>IFERROR(__xludf.DUMMYFUNCTION("""COMPUTED_VALUE"""),14.0)</f>
        <v>14</v>
      </c>
      <c r="AE654" s="320">
        <f>IFERROR(__xludf.DUMMYFUNCTION("""COMPUTED_VALUE"""),28.0)</f>
        <v>28</v>
      </c>
      <c r="AF654" s="320">
        <f>IFERROR(__xludf.DUMMYFUNCTION("""COMPUTED_VALUE"""),51.0)</f>
        <v>51</v>
      </c>
      <c r="AG654" s="320">
        <f>IFERROR(__xludf.DUMMYFUNCTION("""COMPUTED_VALUE"""),77.0)</f>
        <v>77</v>
      </c>
      <c r="AH654" s="320">
        <f>IFERROR(__xludf.DUMMYFUNCTION("""COMPUTED_VALUE"""),50.72)</f>
        <v>50.72</v>
      </c>
      <c r="AI654" s="320">
        <f>IFERROR(__xludf.DUMMYFUNCTION("""COMPUTED_VALUE"""),19.33)</f>
        <v>19.33</v>
      </c>
      <c r="AJ654" s="320">
        <f>IFERROR(__xludf.DUMMYFUNCTION("""COMPUTED_VALUE"""),4.45)</f>
        <v>4.45</v>
      </c>
      <c r="AK654" s="320">
        <f>IFERROR(__xludf.DUMMYFUNCTION("""COMPUTED_VALUE"""),0.1347)</f>
        <v>0.1347</v>
      </c>
      <c r="AL654" s="320">
        <f>IFERROR(__xludf.DUMMYFUNCTION("""COMPUTED_VALUE"""),23.94)</f>
        <v>23.94</v>
      </c>
      <c r="AM654" s="320">
        <f>IFERROR(__xludf.DUMMYFUNCTION("""COMPUTED_VALUE"""),182.6)</f>
        <v>182.6</v>
      </c>
      <c r="AN654" s="320">
        <f>IFERROR(__xludf.DUMMYFUNCTION("""COMPUTED_VALUE"""),83.02)</f>
        <v>83.02</v>
      </c>
      <c r="AO654" s="320">
        <f>IFERROR(__xludf.DUMMYFUNCTION("""COMPUTED_VALUE"""),19.87)</f>
        <v>19.87</v>
      </c>
    </row>
    <row r="655" ht="15.0" customHeight="1">
      <c r="A655" s="328">
        <f>IFERROR(__xludf.DUMMYFUNCTION("""COMPUTED_VALUE"""),46158.0)</f>
        <v>46158</v>
      </c>
      <c r="B655" s="319" t="str">
        <f>IFERROR(__xludf.DUMMYFUNCTION("""COMPUTED_VALUE"""),"F. 100+")</f>
        <v>F. 100+</v>
      </c>
      <c r="C655" s="320">
        <f>IFERROR(__xludf.DUMMYFUNCTION("""COMPUTED_VALUE"""),582.0)</f>
        <v>582</v>
      </c>
      <c r="D655" s="320">
        <f>IFERROR(__xludf.DUMMYFUNCTION("""COMPUTED_VALUE"""),0.6)</f>
        <v>0.6</v>
      </c>
      <c r="E655" s="320">
        <f>IFERROR(__xludf.DUMMYFUNCTION("""COMPUTED_VALUE"""),0.0)</f>
        <v>0</v>
      </c>
      <c r="F655" s="320">
        <f>IFERROR(__xludf.DUMMYFUNCTION("""COMPUTED_VALUE"""),0.0)</f>
        <v>0</v>
      </c>
      <c r="G655" s="320">
        <f>IFERROR(__xludf.DUMMYFUNCTION("""COMPUTED_VALUE"""),0.0)</f>
        <v>0</v>
      </c>
      <c r="H655" s="106"/>
      <c r="I655" s="320">
        <f>IFERROR(__xludf.DUMMYFUNCTION("""COMPUTED_VALUE"""),221.79)</f>
        <v>221.79</v>
      </c>
      <c r="J655" s="320">
        <f>IFERROR(__xludf.DUMMYFUNCTION("""COMPUTED_VALUE"""),127.58)</f>
        <v>127.58</v>
      </c>
      <c r="K655" s="320">
        <f>IFERROR(__xludf.DUMMYFUNCTION("""COMPUTED_VALUE"""),114.98)</f>
        <v>114.98</v>
      </c>
      <c r="L655" s="320">
        <f>IFERROR(__xludf.DUMMYFUNCTION("""COMPUTED_VALUE"""),0.9013)</f>
        <v>0.9013</v>
      </c>
      <c r="M655" s="320">
        <f>IFERROR(__xludf.DUMMYFUNCTION("""COMPUTED_VALUE"""),0.2665)</f>
        <v>0.2665</v>
      </c>
      <c r="N655" s="320">
        <f>IFERROR(__xludf.DUMMYFUNCTION("""COMPUTED_VALUE"""),0.2122)</f>
        <v>0.2122</v>
      </c>
      <c r="O655" s="320">
        <f>IFERROR(__xludf.DUMMYFUNCTION("""COMPUTED_VALUE"""),1.1096)</f>
        <v>1.1096</v>
      </c>
      <c r="P655" s="320">
        <f>IFERROR(__xludf.DUMMYFUNCTION("""COMPUTED_VALUE"""),540.99)</f>
        <v>540.99</v>
      </c>
      <c r="Q655" s="320">
        <f>IFERROR(__xludf.DUMMYFUNCTION("""COMPUTED_VALUE"""),338.56)</f>
        <v>338.56</v>
      </c>
      <c r="R655" s="320">
        <f>IFERROR(__xludf.DUMMYFUNCTION("""COMPUTED_VALUE"""),202.43)</f>
        <v>202.43</v>
      </c>
      <c r="S655" s="320">
        <f>IFERROR(__xludf.DUMMYFUNCTION("""COMPUTED_VALUE"""),0.0)</f>
        <v>0</v>
      </c>
      <c r="T655" s="320">
        <f>IFERROR(__xludf.DUMMYFUNCTION("""COMPUTED_VALUE"""),540.99)</f>
        <v>540.99</v>
      </c>
      <c r="U655" s="320">
        <f>IFERROR(__xludf.DUMMYFUNCTION("""COMPUTED_VALUE"""),655.58)</f>
        <v>655.58</v>
      </c>
      <c r="V655" s="320">
        <f>IFERROR(__xludf.DUMMYFUNCTION("""COMPUTED_VALUE"""),5.1387)</f>
        <v>5.1387</v>
      </c>
      <c r="W655" s="320">
        <f>IFERROR(__xludf.DUMMYFUNCTION("""COMPUTED_VALUE"""),0.0)</f>
        <v>0</v>
      </c>
      <c r="X655" s="320">
        <f>IFERROR(__xludf.DUMMYFUNCTION("""COMPUTED_VALUE"""),842.0)</f>
        <v>842</v>
      </c>
      <c r="Y655" s="320">
        <f>IFERROR(__xludf.DUMMYFUNCTION("""COMPUTED_VALUE"""),4157.0)</f>
        <v>4157</v>
      </c>
      <c r="Z655" s="320">
        <f>IFERROR(__xludf.DUMMYFUNCTION("""COMPUTED_VALUE"""),12559.0)</f>
        <v>12559</v>
      </c>
      <c r="AA655" s="320">
        <f>IFERROR(__xludf.DUMMYFUNCTION("""COMPUTED_VALUE"""),63.1744)</f>
        <v>63.1744</v>
      </c>
      <c r="AB655" s="320">
        <f>IFERROR(__xludf.DUMMYFUNCTION("""COMPUTED_VALUE"""),0.9063)</f>
        <v>0.9063</v>
      </c>
      <c r="AC655" s="320">
        <f>IFERROR(__xludf.DUMMYFUNCTION("""COMPUTED_VALUE"""),85.29)</f>
        <v>85.29</v>
      </c>
      <c r="AD655" s="320">
        <f>IFERROR(__xludf.DUMMYFUNCTION("""COMPUTED_VALUE"""),38.0)</f>
        <v>38</v>
      </c>
      <c r="AE655" s="320">
        <f>IFERROR(__xludf.DUMMYFUNCTION("""COMPUTED_VALUE"""),74.0)</f>
        <v>74</v>
      </c>
      <c r="AF655" s="320">
        <f>IFERROR(__xludf.DUMMYFUNCTION("""COMPUTED_VALUE"""),110.0)</f>
        <v>110</v>
      </c>
      <c r="AG655" s="320">
        <f>IFERROR(__xludf.DUMMYFUNCTION("""COMPUTED_VALUE"""),163.0)</f>
        <v>163</v>
      </c>
      <c r="AH655" s="320">
        <f>IFERROR(__xludf.DUMMYFUNCTION("""COMPUTED_VALUE"""),46.22)</f>
        <v>46.22</v>
      </c>
      <c r="AI655" s="320">
        <f>IFERROR(__xludf.DUMMYFUNCTION("""COMPUTED_VALUE"""),8.25)</f>
        <v>8.25</v>
      </c>
      <c r="AJ655" s="320">
        <f>IFERROR(__xludf.DUMMYFUNCTION("""COMPUTED_VALUE"""),1.37)</f>
        <v>1.37</v>
      </c>
      <c r="AK655" s="320">
        <f>IFERROR(__xludf.DUMMYFUNCTION("""COMPUTED_VALUE"""),0.0825)</f>
        <v>0.0825</v>
      </c>
      <c r="AL655" s="320">
        <f>IFERROR(__xludf.DUMMYFUNCTION("""COMPUTED_VALUE"""),24.42)</f>
        <v>24.42</v>
      </c>
      <c r="AM655" s="320">
        <f>IFERROR(__xludf.DUMMYFUNCTION("""COMPUTED_VALUE"""),314.13)</f>
        <v>314.13</v>
      </c>
      <c r="AN655" s="320">
        <f>IFERROR(__xludf.DUMMYFUNCTION("""COMPUTED_VALUE"""),86.28)</f>
        <v>86.28</v>
      </c>
      <c r="AO655" s="320">
        <f>IFERROR(__xludf.DUMMYFUNCTION("""COMPUTED_VALUE"""),21.07)</f>
        <v>21.07</v>
      </c>
    </row>
    <row r="656" ht="15.0" customHeight="1">
      <c r="A656" s="328">
        <f>IFERROR(__xludf.DUMMYFUNCTION("""COMPUTED_VALUE"""),46159.0)</f>
        <v>46159</v>
      </c>
      <c r="B656" s="319" t="str">
        <f>IFERROR(__xludf.DUMMYFUNCTION("""COMPUTED_VALUE"""),"A. 0")</f>
        <v>A. 0</v>
      </c>
      <c r="C656" s="320">
        <f>IFERROR(__xludf.DUMMYFUNCTION("""COMPUTED_VALUE"""),19988.0)</f>
        <v>19988</v>
      </c>
      <c r="D656" s="320">
        <f>IFERROR(__xludf.DUMMYFUNCTION("""COMPUTED_VALUE"""),20.38)</f>
        <v>20.38</v>
      </c>
      <c r="E656" s="320">
        <f>IFERROR(__xludf.DUMMYFUNCTION("""COMPUTED_VALUE"""),0.0)</f>
        <v>0</v>
      </c>
      <c r="F656" s="320">
        <f>IFERROR(__xludf.DUMMYFUNCTION("""COMPUTED_VALUE"""),0.0)</f>
        <v>0</v>
      </c>
      <c r="G656" s="320">
        <f>IFERROR(__xludf.DUMMYFUNCTION("""COMPUTED_VALUE"""),0.0)</f>
        <v>0</v>
      </c>
      <c r="H656" s="106"/>
      <c r="I656" s="320">
        <f>IFERROR(__xludf.DUMMYFUNCTION("""COMPUTED_VALUE"""),7.0)</f>
        <v>7</v>
      </c>
      <c r="J656" s="320">
        <f>IFERROR(__xludf.DUMMYFUNCTION("""COMPUTED_VALUE"""),2.98)</f>
        <v>2.98</v>
      </c>
      <c r="K656" s="320">
        <f>IFERROR(__xludf.DUMMYFUNCTION("""COMPUTED_VALUE"""),0.04)</f>
        <v>0.04</v>
      </c>
      <c r="L656" s="320">
        <f>IFERROR(__xludf.DUMMYFUNCTION("""COMPUTED_VALUE"""),0.0131)</f>
        <v>0.0131</v>
      </c>
      <c r="M656" s="320">
        <f>IFERROR(__xludf.DUMMYFUNCTION("""COMPUTED_VALUE"""),0.9903)</f>
        <v>0.9903</v>
      </c>
      <c r="N656" s="320">
        <f>IFERROR(__xludf.DUMMYFUNCTION("""COMPUTED_VALUE"""),0.8497)</f>
        <v>0.8497</v>
      </c>
      <c r="O656" s="320">
        <f>IFERROR(__xludf.DUMMYFUNCTION("""COMPUTED_VALUE"""),76.1252)</f>
        <v>76.1252</v>
      </c>
      <c r="P656" s="320">
        <f>IFERROR(__xludf.DUMMYFUNCTION("""COMPUTED_VALUE"""),22.24)</f>
        <v>22.24</v>
      </c>
      <c r="Q656" s="320">
        <f>IFERROR(__xludf.DUMMYFUNCTION("""COMPUTED_VALUE"""),22.12)</f>
        <v>22.12</v>
      </c>
      <c r="R656" s="320">
        <f>IFERROR(__xludf.DUMMYFUNCTION("""COMPUTED_VALUE"""),0.12)</f>
        <v>0.12</v>
      </c>
      <c r="S656" s="320">
        <f>IFERROR(__xludf.DUMMYFUNCTION("""COMPUTED_VALUE"""),0.0)</f>
        <v>0</v>
      </c>
      <c r="T656" s="320">
        <f>IFERROR(__xludf.DUMMYFUNCTION("""COMPUTED_VALUE"""),22.24)</f>
        <v>22.24</v>
      </c>
      <c r="U656" s="320">
        <f>IFERROR(__xludf.DUMMYFUNCTION("""COMPUTED_VALUE"""),2.16)</f>
        <v>2.16</v>
      </c>
      <c r="V656" s="320">
        <f>IFERROR(__xludf.DUMMYFUNCTION("""COMPUTED_VALUE"""),0.7248)</f>
        <v>0.7248</v>
      </c>
      <c r="W656" s="320">
        <f>IFERROR(__xludf.DUMMYFUNCTION("""COMPUTED_VALUE"""),0.0)</f>
        <v>0</v>
      </c>
      <c r="X656" s="320">
        <f>IFERROR(__xludf.DUMMYFUNCTION("""COMPUTED_VALUE"""),288.0)</f>
        <v>288</v>
      </c>
      <c r="Y656" s="320">
        <f>IFERROR(__xludf.DUMMYFUNCTION("""COMPUTED_VALUE"""),3591.0)</f>
        <v>3591</v>
      </c>
      <c r="Z656" s="320">
        <f>IFERROR(__xludf.DUMMYFUNCTION("""COMPUTED_VALUE"""),15060.0)</f>
        <v>15060</v>
      </c>
      <c r="AA656" s="320">
        <f>IFERROR(__xludf.DUMMYFUNCTION("""COMPUTED_VALUE"""),48.8193)</f>
        <v>48.8193</v>
      </c>
      <c r="AB656" s="320">
        <f>IFERROR(__xludf.DUMMYFUNCTION("""COMPUTED_VALUE"""),0.5427)</f>
        <v>0.5427</v>
      </c>
      <c r="AC656" s="106"/>
      <c r="AD656" s="106"/>
      <c r="AE656" s="106"/>
      <c r="AF656" s="106"/>
      <c r="AG656" s="106"/>
      <c r="AH656" s="320">
        <f>IFERROR(__xludf.DUMMYFUNCTION("""COMPUTED_VALUE"""),0.0)</f>
        <v>0</v>
      </c>
      <c r="AI656" s="320">
        <f>IFERROR(__xludf.DUMMYFUNCTION("""COMPUTED_VALUE"""),0.0)</f>
        <v>0</v>
      </c>
      <c r="AJ656" s="320">
        <f>IFERROR(__xludf.DUMMYFUNCTION("""COMPUTED_VALUE"""),0.0)</f>
        <v>0</v>
      </c>
      <c r="AK656" s="320">
        <f>IFERROR(__xludf.DUMMYFUNCTION("""COMPUTED_VALUE"""),0.2868)</f>
        <v>0.2868</v>
      </c>
      <c r="AL656" s="320">
        <f>IFERROR(__xludf.DUMMYFUNCTION("""COMPUTED_VALUE"""),18.03)</f>
        <v>18.03</v>
      </c>
      <c r="AM656" s="320">
        <f>IFERROR(__xludf.DUMMYFUNCTION("""COMPUTED_VALUE"""),4.09)</f>
        <v>4.09</v>
      </c>
      <c r="AN656" s="331"/>
      <c r="AO656" s="331"/>
    </row>
    <row r="657" ht="15.0" customHeight="1">
      <c r="A657" s="328">
        <f>IFERROR(__xludf.DUMMYFUNCTION("""COMPUTED_VALUE"""),46159.0)</f>
        <v>46159</v>
      </c>
      <c r="B657" s="319" t="str">
        <f>IFERROR(__xludf.DUMMYFUNCTION("""COMPUTED_VALUE"""),"B. 1-9")</f>
        <v>B. 1-9</v>
      </c>
      <c r="C657" s="320">
        <f>IFERROR(__xludf.DUMMYFUNCTION("""COMPUTED_VALUE"""),35779.0)</f>
        <v>35779</v>
      </c>
      <c r="D657" s="320">
        <f>IFERROR(__xludf.DUMMYFUNCTION("""COMPUTED_VALUE"""),36.49)</f>
        <v>36.49</v>
      </c>
      <c r="E657" s="320">
        <f>IFERROR(__xludf.DUMMYFUNCTION("""COMPUTED_VALUE"""),0.0)</f>
        <v>0</v>
      </c>
      <c r="F657" s="320">
        <f>IFERROR(__xludf.DUMMYFUNCTION("""COMPUTED_VALUE"""),0.0)</f>
        <v>0</v>
      </c>
      <c r="G657" s="320">
        <f>IFERROR(__xludf.DUMMYFUNCTION("""COMPUTED_VALUE"""),0.0)</f>
        <v>0</v>
      </c>
      <c r="H657" s="106"/>
      <c r="I657" s="320">
        <f>IFERROR(__xludf.DUMMYFUNCTION("""COMPUTED_VALUE"""),32.23)</f>
        <v>32.23</v>
      </c>
      <c r="J657" s="320">
        <f>IFERROR(__xludf.DUMMYFUNCTION("""COMPUTED_VALUE"""),14.94)</f>
        <v>14.94</v>
      </c>
      <c r="K657" s="320">
        <f>IFERROR(__xludf.DUMMYFUNCTION("""COMPUTED_VALUE"""),5.76)</f>
        <v>5.76</v>
      </c>
      <c r="L657" s="320">
        <f>IFERROR(__xludf.DUMMYFUNCTION("""COMPUTED_VALUE"""),0.3857)</f>
        <v>0.3857</v>
      </c>
      <c r="M657" s="320">
        <f>IFERROR(__xludf.DUMMYFUNCTION("""COMPUTED_VALUE"""),0.7754)</f>
        <v>0.7754</v>
      </c>
      <c r="N657" s="320">
        <f>IFERROR(__xludf.DUMMYFUNCTION("""COMPUTED_VALUE"""),0.5658)</f>
        <v>0.5658</v>
      </c>
      <c r="O657" s="320">
        <f>IFERROR(__xludf.DUMMYFUNCTION("""COMPUTED_VALUE"""),2.5928)</f>
        <v>2.5928</v>
      </c>
      <c r="P657" s="320">
        <f>IFERROR(__xludf.DUMMYFUNCTION("""COMPUTED_VALUE"""),47.47)</f>
        <v>47.47</v>
      </c>
      <c r="Q657" s="320">
        <f>IFERROR(__xludf.DUMMYFUNCTION("""COMPUTED_VALUE"""),37.49)</f>
        <v>37.49</v>
      </c>
      <c r="R657" s="320">
        <f>IFERROR(__xludf.DUMMYFUNCTION("""COMPUTED_VALUE"""),9.99)</f>
        <v>9.99</v>
      </c>
      <c r="S657" s="320">
        <f>IFERROR(__xludf.DUMMYFUNCTION("""COMPUTED_VALUE"""),0.0)</f>
        <v>0</v>
      </c>
      <c r="T657" s="320">
        <f>IFERROR(__xludf.DUMMYFUNCTION("""COMPUTED_VALUE"""),47.47)</f>
        <v>47.47</v>
      </c>
      <c r="U657" s="320">
        <f>IFERROR(__xludf.DUMMYFUNCTION("""COMPUTED_VALUE"""),53.0)</f>
        <v>53</v>
      </c>
      <c r="V657" s="320">
        <f>IFERROR(__xludf.DUMMYFUNCTION("""COMPUTED_VALUE"""),3.5484)</f>
        <v>3.5484</v>
      </c>
      <c r="W657" s="320">
        <f>IFERROR(__xludf.DUMMYFUNCTION("""COMPUTED_VALUE"""),0.0)</f>
        <v>0</v>
      </c>
      <c r="X657" s="320">
        <f>IFERROR(__xludf.DUMMYFUNCTION("""COMPUTED_VALUE"""),136.0)</f>
        <v>136</v>
      </c>
      <c r="Y657" s="320">
        <f>IFERROR(__xludf.DUMMYFUNCTION("""COMPUTED_VALUE"""),902.0)</f>
        <v>902</v>
      </c>
      <c r="Z657" s="320">
        <f>IFERROR(__xludf.DUMMYFUNCTION("""COMPUTED_VALUE"""),6161.0)</f>
        <v>6161</v>
      </c>
      <c r="AA657" s="320">
        <f>IFERROR(__xludf.DUMMYFUNCTION("""COMPUTED_VALUE"""),48.5559)</f>
        <v>48.5559</v>
      </c>
      <c r="AB657" s="320">
        <f>IFERROR(__xludf.DUMMYFUNCTION("""COMPUTED_VALUE"""),0.5373)</f>
        <v>0.5373</v>
      </c>
      <c r="AC657" s="320">
        <f>IFERROR(__xludf.DUMMYFUNCTION("""COMPUTED_VALUE"""),3.96)</f>
        <v>3.96</v>
      </c>
      <c r="AD657" s="320">
        <f>IFERROR(__xludf.DUMMYFUNCTION("""COMPUTED_VALUE"""),1.0)</f>
        <v>1</v>
      </c>
      <c r="AE657" s="320">
        <f>IFERROR(__xludf.DUMMYFUNCTION("""COMPUTED_VALUE"""),3.0)</f>
        <v>3</v>
      </c>
      <c r="AF657" s="320">
        <f>IFERROR(__xludf.DUMMYFUNCTION("""COMPUTED_VALUE"""),5.0)</f>
        <v>5</v>
      </c>
      <c r="AG657" s="320">
        <f>IFERROR(__xludf.DUMMYFUNCTION("""COMPUTED_VALUE"""),9.0)</f>
        <v>9</v>
      </c>
      <c r="AH657" s="320">
        <f>IFERROR(__xludf.DUMMYFUNCTION("""COMPUTED_VALUE"""),72.48)</f>
        <v>72.48</v>
      </c>
      <c r="AI657" s="320">
        <f>IFERROR(__xludf.DUMMYFUNCTION("""COMPUTED_VALUE"""),30.23)</f>
        <v>30.23</v>
      </c>
      <c r="AJ657" s="320">
        <f>IFERROR(__xludf.DUMMYFUNCTION("""COMPUTED_VALUE"""),8.35)</f>
        <v>8.35</v>
      </c>
      <c r="AK657" s="320">
        <f>IFERROR(__xludf.DUMMYFUNCTION("""COMPUTED_VALUE"""),0.2676)</f>
        <v>0.2676</v>
      </c>
      <c r="AL657" s="320">
        <f>IFERROR(__xludf.DUMMYFUNCTION("""COMPUTED_VALUE"""),21.47)</f>
        <v>21.47</v>
      </c>
      <c r="AM657" s="320">
        <f>IFERROR(__xludf.DUMMYFUNCTION("""COMPUTED_VALUE"""),16.02)</f>
        <v>16.02</v>
      </c>
      <c r="AN657" s="320">
        <f>IFERROR(__xludf.DUMMYFUNCTION("""COMPUTED_VALUE"""),64.86)</f>
        <v>64.86</v>
      </c>
      <c r="AO657" s="320">
        <f>IFERROR(__xludf.DUMMYFUNCTION("""COMPUTED_VALUE"""),13.93)</f>
        <v>13.93</v>
      </c>
    </row>
    <row r="658" ht="15.0" customHeight="1">
      <c r="A658" s="328">
        <f>IFERROR(__xludf.DUMMYFUNCTION("""COMPUTED_VALUE"""),46159.0)</f>
        <v>46159</v>
      </c>
      <c r="B658" s="319" t="str">
        <f>IFERROR(__xludf.DUMMYFUNCTION("""COMPUTED_VALUE"""),"C. 10-19")</f>
        <v>C. 10-19</v>
      </c>
      <c r="C658" s="320">
        <f>IFERROR(__xludf.DUMMYFUNCTION("""COMPUTED_VALUE"""),23137.0)</f>
        <v>23137</v>
      </c>
      <c r="D658" s="320">
        <f>IFERROR(__xludf.DUMMYFUNCTION("""COMPUTED_VALUE"""),23.59)</f>
        <v>23.59</v>
      </c>
      <c r="E658" s="320">
        <f>IFERROR(__xludf.DUMMYFUNCTION("""COMPUTED_VALUE"""),0.0)</f>
        <v>0</v>
      </c>
      <c r="F658" s="320">
        <f>IFERROR(__xludf.DUMMYFUNCTION("""COMPUTED_VALUE"""),0.0)</f>
        <v>0</v>
      </c>
      <c r="G658" s="320">
        <f>IFERROR(__xludf.DUMMYFUNCTION("""COMPUTED_VALUE"""),0.0)</f>
        <v>0</v>
      </c>
      <c r="H658" s="106"/>
      <c r="I658" s="320">
        <f>IFERROR(__xludf.DUMMYFUNCTION("""COMPUTED_VALUE"""),59.09)</f>
        <v>59.09</v>
      </c>
      <c r="J658" s="320">
        <f>IFERROR(__xludf.DUMMYFUNCTION("""COMPUTED_VALUE"""),28.25)</f>
        <v>28.25</v>
      </c>
      <c r="K658" s="320">
        <f>IFERROR(__xludf.DUMMYFUNCTION("""COMPUTED_VALUE"""),14.05)</f>
        <v>14.05</v>
      </c>
      <c r="L658" s="320">
        <f>IFERROR(__xludf.DUMMYFUNCTION("""COMPUTED_VALUE"""),0.4971)</f>
        <v>0.4971</v>
      </c>
      <c r="M658" s="320">
        <f>IFERROR(__xludf.DUMMYFUNCTION("""COMPUTED_VALUE"""),0.6857)</f>
        <v>0.6857</v>
      </c>
      <c r="N658" s="320">
        <f>IFERROR(__xludf.DUMMYFUNCTION("""COMPUTED_VALUE"""),0.4738)</f>
        <v>0.4738</v>
      </c>
      <c r="O658" s="320">
        <f>IFERROR(__xludf.DUMMYFUNCTION("""COMPUTED_VALUE"""),2.0115)</f>
        <v>2.0115</v>
      </c>
      <c r="P658" s="320">
        <f>IFERROR(__xludf.DUMMYFUNCTION("""COMPUTED_VALUE"""),81.97)</f>
        <v>81.97</v>
      </c>
      <c r="Q658" s="320">
        <f>IFERROR(__xludf.DUMMYFUNCTION("""COMPUTED_VALUE"""),57.38)</f>
        <v>57.38</v>
      </c>
      <c r="R658" s="320">
        <f>IFERROR(__xludf.DUMMYFUNCTION("""COMPUTED_VALUE"""),24.59)</f>
        <v>24.59</v>
      </c>
      <c r="S658" s="320">
        <f>IFERROR(__xludf.DUMMYFUNCTION("""COMPUTED_VALUE"""),0.0)</f>
        <v>0</v>
      </c>
      <c r="T658" s="320">
        <f>IFERROR(__xludf.DUMMYFUNCTION("""COMPUTED_VALUE"""),81.97)</f>
        <v>81.97</v>
      </c>
      <c r="U658" s="320">
        <f>IFERROR(__xludf.DUMMYFUNCTION("""COMPUTED_VALUE"""),96.12)</f>
        <v>96.12</v>
      </c>
      <c r="V658" s="320">
        <f>IFERROR(__xludf.DUMMYFUNCTION("""COMPUTED_VALUE"""),3.4019)</f>
        <v>3.4019</v>
      </c>
      <c r="W658" s="320">
        <f>IFERROR(__xludf.DUMMYFUNCTION("""COMPUTED_VALUE"""),0.0)</f>
        <v>0</v>
      </c>
      <c r="X658" s="320">
        <f>IFERROR(__xludf.DUMMYFUNCTION("""COMPUTED_VALUE"""),122.0)</f>
        <v>122</v>
      </c>
      <c r="Y658" s="320">
        <f>IFERROR(__xludf.DUMMYFUNCTION("""COMPUTED_VALUE"""),707.0)</f>
        <v>707</v>
      </c>
      <c r="Z658" s="320">
        <f>IFERROR(__xludf.DUMMYFUNCTION("""COMPUTED_VALUE"""),5227.0)</f>
        <v>5227</v>
      </c>
      <c r="AA658" s="320">
        <f>IFERROR(__xludf.DUMMYFUNCTION("""COMPUTED_VALUE"""),52.2012)</f>
        <v>52.2012</v>
      </c>
      <c r="AB658" s="320">
        <f>IFERROR(__xludf.DUMMYFUNCTION("""COMPUTED_VALUE"""),0.6403)</f>
        <v>0.6403</v>
      </c>
      <c r="AC658" s="320">
        <f>IFERROR(__xludf.DUMMYFUNCTION("""COMPUTED_VALUE"""),9.29)</f>
        <v>9.29</v>
      </c>
      <c r="AD658" s="320">
        <f>IFERROR(__xludf.DUMMYFUNCTION("""COMPUTED_VALUE"""),3.0)</f>
        <v>3</v>
      </c>
      <c r="AE658" s="320">
        <f>IFERROR(__xludf.DUMMYFUNCTION("""COMPUTED_VALUE"""),7.0)</f>
        <v>7</v>
      </c>
      <c r="AF658" s="320">
        <f>IFERROR(__xludf.DUMMYFUNCTION("""COMPUTED_VALUE"""),13.0)</f>
        <v>13</v>
      </c>
      <c r="AG658" s="320">
        <f>IFERROR(__xludf.DUMMYFUNCTION("""COMPUTED_VALUE"""),19.0)</f>
        <v>19</v>
      </c>
      <c r="AH658" s="320">
        <f>IFERROR(__xludf.DUMMYFUNCTION("""COMPUTED_VALUE"""),59.08)</f>
        <v>59.08</v>
      </c>
      <c r="AI658" s="320">
        <f>IFERROR(__xludf.DUMMYFUNCTION("""COMPUTED_VALUE"""),25.23)</f>
        <v>25.23</v>
      </c>
      <c r="AJ658" s="320">
        <f>IFERROR(__xludf.DUMMYFUNCTION("""COMPUTED_VALUE"""),4.79)</f>
        <v>4.79</v>
      </c>
      <c r="AK658" s="320">
        <f>IFERROR(__xludf.DUMMYFUNCTION("""COMPUTED_VALUE"""),0.2125)</f>
        <v>0.2125</v>
      </c>
      <c r="AL658" s="320">
        <f>IFERROR(__xludf.DUMMYFUNCTION("""COMPUTED_VALUE"""),22.26)</f>
        <v>22.26</v>
      </c>
      <c r="AM658" s="320">
        <f>IFERROR(__xludf.DUMMYFUNCTION("""COMPUTED_VALUE"""),35.12)</f>
        <v>35.12</v>
      </c>
      <c r="AN658" s="320">
        <f>IFERROR(__xludf.DUMMYFUNCTION("""COMPUTED_VALUE"""),74.51)</f>
        <v>74.51</v>
      </c>
      <c r="AO658" s="320">
        <f>IFERROR(__xludf.DUMMYFUNCTION("""COMPUTED_VALUE"""),16.59)</f>
        <v>16.59</v>
      </c>
    </row>
    <row r="659" ht="15.0" customHeight="1">
      <c r="A659" s="328">
        <f>IFERROR(__xludf.DUMMYFUNCTION("""COMPUTED_VALUE"""),46159.0)</f>
        <v>46159</v>
      </c>
      <c r="B659" s="319" t="str">
        <f>IFERROR(__xludf.DUMMYFUNCTION("""COMPUTED_VALUE"""),"D. 20-39")</f>
        <v>D. 20-39</v>
      </c>
      <c r="C659" s="320">
        <f>IFERROR(__xludf.DUMMYFUNCTION("""COMPUTED_VALUE"""),13120.0)</f>
        <v>13120</v>
      </c>
      <c r="D659" s="320">
        <f>IFERROR(__xludf.DUMMYFUNCTION("""COMPUTED_VALUE"""),13.38)</f>
        <v>13.38</v>
      </c>
      <c r="E659" s="320">
        <f>IFERROR(__xludf.DUMMYFUNCTION("""COMPUTED_VALUE"""),0.0)</f>
        <v>0</v>
      </c>
      <c r="F659" s="320">
        <f>IFERROR(__xludf.DUMMYFUNCTION("""COMPUTED_VALUE"""),0.0)</f>
        <v>0</v>
      </c>
      <c r="G659" s="320">
        <f>IFERROR(__xludf.DUMMYFUNCTION("""COMPUTED_VALUE"""),0.0)</f>
        <v>0</v>
      </c>
      <c r="H659" s="106"/>
      <c r="I659" s="320">
        <f>IFERROR(__xludf.DUMMYFUNCTION("""COMPUTED_VALUE"""),84.17)</f>
        <v>84.17</v>
      </c>
      <c r="J659" s="320">
        <f>IFERROR(__xludf.DUMMYFUNCTION("""COMPUTED_VALUE"""),42.48)</f>
        <v>42.48</v>
      </c>
      <c r="K659" s="320">
        <f>IFERROR(__xludf.DUMMYFUNCTION("""COMPUTED_VALUE"""),27.04)</f>
        <v>27.04</v>
      </c>
      <c r="L659" s="320">
        <f>IFERROR(__xludf.DUMMYFUNCTION("""COMPUTED_VALUE"""),0.6363)</f>
        <v>0.6363</v>
      </c>
      <c r="M659" s="320">
        <f>IFERROR(__xludf.DUMMYFUNCTION("""COMPUTED_VALUE"""),0.5507)</f>
        <v>0.5507</v>
      </c>
      <c r="N659" s="320">
        <f>IFERROR(__xludf.DUMMYFUNCTION("""COMPUTED_VALUE"""),0.3736)</f>
        <v>0.3736</v>
      </c>
      <c r="O659" s="320">
        <f>IFERROR(__xludf.DUMMYFUNCTION("""COMPUTED_VALUE"""),1.5715)</f>
        <v>1.5715</v>
      </c>
      <c r="P659" s="320">
        <f>IFERROR(__xludf.DUMMYFUNCTION("""COMPUTED_VALUE"""),130.17)</f>
        <v>130.17</v>
      </c>
      <c r="Q659" s="320">
        <f>IFERROR(__xludf.DUMMYFUNCTION("""COMPUTED_VALUE"""),82.95)</f>
        <v>82.95</v>
      </c>
      <c r="R659" s="320">
        <f>IFERROR(__xludf.DUMMYFUNCTION("""COMPUTED_VALUE"""),47.23)</f>
        <v>47.23</v>
      </c>
      <c r="S659" s="320">
        <f>IFERROR(__xludf.DUMMYFUNCTION("""COMPUTED_VALUE"""),0.0)</f>
        <v>0</v>
      </c>
      <c r="T659" s="320">
        <f>IFERROR(__xludf.DUMMYFUNCTION("""COMPUTED_VALUE"""),130.17)</f>
        <v>130.17</v>
      </c>
      <c r="U659" s="320">
        <f>IFERROR(__xludf.DUMMYFUNCTION("""COMPUTED_VALUE"""),167.59)</f>
        <v>167.59</v>
      </c>
      <c r="V659" s="320">
        <f>IFERROR(__xludf.DUMMYFUNCTION("""COMPUTED_VALUE"""),3.9447)</f>
        <v>3.9447</v>
      </c>
      <c r="W659" s="320">
        <f>IFERROR(__xludf.DUMMYFUNCTION("""COMPUTED_VALUE"""),0.0)</f>
        <v>0</v>
      </c>
      <c r="X659" s="320">
        <f>IFERROR(__xludf.DUMMYFUNCTION("""COMPUTED_VALUE"""),140.0)</f>
        <v>140</v>
      </c>
      <c r="Y659" s="320">
        <f>IFERROR(__xludf.DUMMYFUNCTION("""COMPUTED_VALUE"""),999.0)</f>
        <v>999</v>
      </c>
      <c r="Z659" s="320">
        <f>IFERROR(__xludf.DUMMYFUNCTION("""COMPUTED_VALUE"""),6622.0)</f>
        <v>6622</v>
      </c>
      <c r="AA659" s="320">
        <f>IFERROR(__xludf.DUMMYFUNCTION("""COMPUTED_VALUE"""),55.556)</f>
        <v>55.556</v>
      </c>
      <c r="AB659" s="320">
        <f>IFERROR(__xludf.DUMMYFUNCTION("""COMPUTED_VALUE"""),0.7437)</f>
        <v>0.7437</v>
      </c>
      <c r="AC659" s="320">
        <f>IFERROR(__xludf.DUMMYFUNCTION("""COMPUTED_VALUE"""),18.11)</f>
        <v>18.11</v>
      </c>
      <c r="AD659" s="320">
        <f>IFERROR(__xludf.DUMMYFUNCTION("""COMPUTED_VALUE"""),7.0)</f>
        <v>7</v>
      </c>
      <c r="AE659" s="320">
        <f>IFERROR(__xludf.DUMMYFUNCTION("""COMPUTED_VALUE"""),14.0)</f>
        <v>14</v>
      </c>
      <c r="AF659" s="320">
        <f>IFERROR(__xludf.DUMMYFUNCTION("""COMPUTED_VALUE"""),25.0)</f>
        <v>25</v>
      </c>
      <c r="AG659" s="320">
        <f>IFERROR(__xludf.DUMMYFUNCTION("""COMPUTED_VALUE"""),38.0)</f>
        <v>38</v>
      </c>
      <c r="AH659" s="320">
        <f>IFERROR(__xludf.DUMMYFUNCTION("""COMPUTED_VALUE"""),60.39)</f>
        <v>60.39</v>
      </c>
      <c r="AI659" s="320">
        <f>IFERROR(__xludf.DUMMYFUNCTION("""COMPUTED_VALUE"""),23.79)</f>
        <v>23.79</v>
      </c>
      <c r="AJ659" s="320">
        <f>IFERROR(__xludf.DUMMYFUNCTION("""COMPUTED_VALUE"""),7.86)</f>
        <v>7.86</v>
      </c>
      <c r="AK659" s="320">
        <f>IFERROR(__xludf.DUMMYFUNCTION("""COMPUTED_VALUE"""),0.2059)</f>
        <v>0.2059</v>
      </c>
      <c r="AL659" s="320">
        <f>IFERROR(__xludf.DUMMYFUNCTION("""COMPUTED_VALUE"""),21.9)</f>
        <v>21.9</v>
      </c>
      <c r="AM659" s="320">
        <f>IFERROR(__xludf.DUMMYFUNCTION("""COMPUTED_VALUE"""),61.04)</f>
        <v>61.04</v>
      </c>
      <c r="AN659" s="320">
        <f>IFERROR(__xludf.DUMMYFUNCTION("""COMPUTED_VALUE"""),77.06)</f>
        <v>77.06</v>
      </c>
      <c r="AO659" s="320">
        <f>IFERROR(__xludf.DUMMYFUNCTION("""COMPUTED_VALUE"""),16.88)</f>
        <v>16.88</v>
      </c>
    </row>
    <row r="660" ht="15.0" customHeight="1">
      <c r="A660" s="328">
        <f>IFERROR(__xludf.DUMMYFUNCTION("""COMPUTED_VALUE"""),46159.0)</f>
        <v>46159</v>
      </c>
      <c r="B660" s="319" t="str">
        <f>IFERROR(__xludf.DUMMYFUNCTION("""COMPUTED_VALUE"""),"E. 40-99")</f>
        <v>E. 40-99</v>
      </c>
      <c r="C660" s="320">
        <f>IFERROR(__xludf.DUMMYFUNCTION("""COMPUTED_VALUE"""),5449.0)</f>
        <v>5449</v>
      </c>
      <c r="D660" s="320">
        <f>IFERROR(__xludf.DUMMYFUNCTION("""COMPUTED_VALUE"""),5.56)</f>
        <v>5.56</v>
      </c>
      <c r="E660" s="320">
        <f>IFERROR(__xludf.DUMMYFUNCTION("""COMPUTED_VALUE"""),0.0)</f>
        <v>0</v>
      </c>
      <c r="F660" s="320">
        <f>IFERROR(__xludf.DUMMYFUNCTION("""COMPUTED_VALUE"""),0.0)</f>
        <v>0</v>
      </c>
      <c r="G660" s="320">
        <f>IFERROR(__xludf.DUMMYFUNCTION("""COMPUTED_VALUE"""),0.0)</f>
        <v>0</v>
      </c>
      <c r="H660" s="106"/>
      <c r="I660" s="320">
        <f>IFERROR(__xludf.DUMMYFUNCTION("""COMPUTED_VALUE"""),129.0)</f>
        <v>129</v>
      </c>
      <c r="J660" s="320">
        <f>IFERROR(__xludf.DUMMYFUNCTION("""COMPUTED_VALUE"""),69.19)</f>
        <v>69.19</v>
      </c>
      <c r="K660" s="320">
        <f>IFERROR(__xludf.DUMMYFUNCTION("""COMPUTED_VALUE"""),53.41)</f>
        <v>53.41</v>
      </c>
      <c r="L660" s="320">
        <f>IFERROR(__xludf.DUMMYFUNCTION("""COMPUTED_VALUE"""),0.772)</f>
        <v>0.772</v>
      </c>
      <c r="M660" s="320">
        <f>IFERROR(__xludf.DUMMYFUNCTION("""COMPUTED_VALUE"""),0.4086)</f>
        <v>0.4086</v>
      </c>
      <c r="N660" s="320">
        <f>IFERROR(__xludf.DUMMYFUNCTION("""COMPUTED_VALUE"""),0.286)</f>
        <v>0.286</v>
      </c>
      <c r="O660" s="320">
        <f>IFERROR(__xludf.DUMMYFUNCTION("""COMPUTED_VALUE"""),1.2954)</f>
        <v>1.2954</v>
      </c>
      <c r="P660" s="320">
        <f>IFERROR(__xludf.DUMMYFUNCTION("""COMPUTED_VALUE"""),212.6)</f>
        <v>212.6</v>
      </c>
      <c r="Q660" s="320">
        <f>IFERROR(__xludf.DUMMYFUNCTION("""COMPUTED_VALUE"""),119.42)</f>
        <v>119.42</v>
      </c>
      <c r="R660" s="320">
        <f>IFERROR(__xludf.DUMMYFUNCTION("""COMPUTED_VALUE"""),93.18)</f>
        <v>93.18</v>
      </c>
      <c r="S660" s="320">
        <f>IFERROR(__xludf.DUMMYFUNCTION("""COMPUTED_VALUE"""),0.0)</f>
        <v>0</v>
      </c>
      <c r="T660" s="320">
        <f>IFERROR(__xludf.DUMMYFUNCTION("""COMPUTED_VALUE"""),212.6)</f>
        <v>212.6</v>
      </c>
      <c r="U660" s="320">
        <f>IFERROR(__xludf.DUMMYFUNCTION("""COMPUTED_VALUE"""),303.96)</f>
        <v>303.96</v>
      </c>
      <c r="V660" s="320">
        <f>IFERROR(__xludf.DUMMYFUNCTION("""COMPUTED_VALUE"""),4.3933)</f>
        <v>4.3933</v>
      </c>
      <c r="W660" s="320">
        <f>IFERROR(__xludf.DUMMYFUNCTION("""COMPUTED_VALUE"""),0.0)</f>
        <v>0</v>
      </c>
      <c r="X660" s="320">
        <f>IFERROR(__xludf.DUMMYFUNCTION("""COMPUTED_VALUE"""),223.0)</f>
        <v>223</v>
      </c>
      <c r="Y660" s="320">
        <f>IFERROR(__xludf.DUMMYFUNCTION("""COMPUTED_VALUE"""),2265.0)</f>
        <v>2265</v>
      </c>
      <c r="Z660" s="320">
        <f>IFERROR(__xludf.DUMMYFUNCTION("""COMPUTED_VALUE"""),10053.0)</f>
        <v>10053</v>
      </c>
      <c r="AA660" s="320">
        <f>IFERROR(__xludf.DUMMYFUNCTION("""COMPUTED_VALUE"""),59.6984)</f>
        <v>59.6984</v>
      </c>
      <c r="AB660" s="320">
        <f>IFERROR(__xludf.DUMMYFUNCTION("""COMPUTED_VALUE"""),0.8404)</f>
        <v>0.8404</v>
      </c>
      <c r="AC660" s="320">
        <f>IFERROR(__xludf.DUMMYFUNCTION("""COMPUTED_VALUE"""),36.95)</f>
        <v>36.95</v>
      </c>
      <c r="AD660" s="320">
        <f>IFERROR(__xludf.DUMMYFUNCTION("""COMPUTED_VALUE"""),14.0)</f>
        <v>14</v>
      </c>
      <c r="AE660" s="320">
        <f>IFERROR(__xludf.DUMMYFUNCTION("""COMPUTED_VALUE"""),28.0)</f>
        <v>28</v>
      </c>
      <c r="AF660" s="320">
        <f>IFERROR(__xludf.DUMMYFUNCTION("""COMPUTED_VALUE"""),51.0)</f>
        <v>51</v>
      </c>
      <c r="AG660" s="320">
        <f>IFERROR(__xludf.DUMMYFUNCTION("""COMPUTED_VALUE"""),78.0)</f>
        <v>78</v>
      </c>
      <c r="AH660" s="320">
        <f>IFERROR(__xludf.DUMMYFUNCTION("""COMPUTED_VALUE"""),51.11)</f>
        <v>51.11</v>
      </c>
      <c r="AI660" s="320">
        <f>IFERROR(__xludf.DUMMYFUNCTION("""COMPUTED_VALUE"""),19.05)</f>
        <v>19.05</v>
      </c>
      <c r="AJ660" s="320">
        <f>IFERROR(__xludf.DUMMYFUNCTION("""COMPUTED_VALUE"""),4.55)</f>
        <v>4.55</v>
      </c>
      <c r="AK660" s="320">
        <f>IFERROR(__xludf.DUMMYFUNCTION("""COMPUTED_VALUE"""),0.1527)</f>
        <v>0.1527</v>
      </c>
      <c r="AL660" s="320">
        <f>IFERROR(__xludf.DUMMYFUNCTION("""COMPUTED_VALUE"""),22.7)</f>
        <v>22.7</v>
      </c>
      <c r="AM660" s="320">
        <f>IFERROR(__xludf.DUMMYFUNCTION("""COMPUTED_VALUE"""),96.72)</f>
        <v>96.72</v>
      </c>
      <c r="AN660" s="320">
        <f>IFERROR(__xludf.DUMMYFUNCTION("""COMPUTED_VALUE"""),81.63)</f>
        <v>81.63</v>
      </c>
      <c r="AO660" s="320">
        <f>IFERROR(__xludf.DUMMYFUNCTION("""COMPUTED_VALUE"""),18.53)</f>
        <v>18.53</v>
      </c>
    </row>
    <row r="661" ht="15.0" customHeight="1">
      <c r="A661" s="328">
        <f>IFERROR(__xludf.DUMMYFUNCTION("""COMPUTED_VALUE"""),46159.0)</f>
        <v>46159</v>
      </c>
      <c r="B661" s="319" t="str">
        <f>IFERROR(__xludf.DUMMYFUNCTION("""COMPUTED_VALUE"""),"F. 100+")</f>
        <v>F. 100+</v>
      </c>
      <c r="C661" s="320">
        <f>IFERROR(__xludf.DUMMYFUNCTION("""COMPUTED_VALUE"""),587.0)</f>
        <v>587</v>
      </c>
      <c r="D661" s="320">
        <f>IFERROR(__xludf.DUMMYFUNCTION("""COMPUTED_VALUE"""),0.6)</f>
        <v>0.6</v>
      </c>
      <c r="E661" s="320">
        <f>IFERROR(__xludf.DUMMYFUNCTION("""COMPUTED_VALUE"""),0.0)</f>
        <v>0</v>
      </c>
      <c r="F661" s="320">
        <f>IFERROR(__xludf.DUMMYFUNCTION("""COMPUTED_VALUE"""),0.0)</f>
        <v>0</v>
      </c>
      <c r="G661" s="320">
        <f>IFERROR(__xludf.DUMMYFUNCTION("""COMPUTED_VALUE"""),0.0)</f>
        <v>0</v>
      </c>
      <c r="H661" s="106"/>
      <c r="I661" s="320">
        <f>IFERROR(__xludf.DUMMYFUNCTION("""COMPUTED_VALUE"""),229.21)</f>
        <v>229.21</v>
      </c>
      <c r="J661" s="320">
        <f>IFERROR(__xludf.DUMMYFUNCTION("""COMPUTED_VALUE"""),132.99)</f>
        <v>132.99</v>
      </c>
      <c r="K661" s="320">
        <f>IFERROR(__xludf.DUMMYFUNCTION("""COMPUTED_VALUE"""),115.35)</f>
        <v>115.35</v>
      </c>
      <c r="L661" s="320">
        <f>IFERROR(__xludf.DUMMYFUNCTION("""COMPUTED_VALUE"""),0.8674)</f>
        <v>0.8674</v>
      </c>
      <c r="M661" s="320">
        <f>IFERROR(__xludf.DUMMYFUNCTION("""COMPUTED_VALUE"""),0.2924)</f>
        <v>0.2924</v>
      </c>
      <c r="N661" s="320">
        <f>IFERROR(__xludf.DUMMYFUNCTION("""COMPUTED_VALUE"""),0.2179)</f>
        <v>0.2179</v>
      </c>
      <c r="O661" s="320">
        <f>IFERROR(__xludf.DUMMYFUNCTION("""COMPUTED_VALUE"""),1.1529)</f>
        <v>1.1529</v>
      </c>
      <c r="P661" s="320">
        <f>IFERROR(__xludf.DUMMYFUNCTION("""COMPUTED_VALUE"""),377.24)</f>
        <v>377.24</v>
      </c>
      <c r="Q661" s="320">
        <f>IFERROR(__xludf.DUMMYFUNCTION("""COMPUTED_VALUE"""),172.4)</f>
        <v>172.4</v>
      </c>
      <c r="R661" s="320">
        <f>IFERROR(__xludf.DUMMYFUNCTION("""COMPUTED_VALUE"""),204.84)</f>
        <v>204.84</v>
      </c>
      <c r="S661" s="320">
        <f>IFERROR(__xludf.DUMMYFUNCTION("""COMPUTED_VALUE"""),0.0)</f>
        <v>0</v>
      </c>
      <c r="T661" s="320">
        <f>IFERROR(__xludf.DUMMYFUNCTION("""COMPUTED_VALUE"""),377.24)</f>
        <v>377.24</v>
      </c>
      <c r="U661" s="320">
        <f>IFERROR(__xludf.DUMMYFUNCTION("""COMPUTED_VALUE"""),623.59)</f>
        <v>623.59</v>
      </c>
      <c r="V661" s="320">
        <f>IFERROR(__xludf.DUMMYFUNCTION("""COMPUTED_VALUE"""),4.689)</f>
        <v>4.689</v>
      </c>
      <c r="W661" s="320">
        <f>IFERROR(__xludf.DUMMYFUNCTION("""COMPUTED_VALUE"""),0.0)</f>
        <v>0</v>
      </c>
      <c r="X661" s="320">
        <f>IFERROR(__xludf.DUMMYFUNCTION("""COMPUTED_VALUE"""),744.0)</f>
        <v>744</v>
      </c>
      <c r="Y661" s="320">
        <f>IFERROR(__xludf.DUMMYFUNCTION("""COMPUTED_VALUE"""),3960.0)</f>
        <v>3960</v>
      </c>
      <c r="Z661" s="320">
        <f>IFERROR(__xludf.DUMMYFUNCTION("""COMPUTED_VALUE"""),13311.0)</f>
        <v>13311</v>
      </c>
      <c r="AA661" s="320">
        <f>IFERROR(__xludf.DUMMYFUNCTION("""COMPUTED_VALUE"""),63.4288)</f>
        <v>63.4288</v>
      </c>
      <c r="AB661" s="320">
        <f>IFERROR(__xludf.DUMMYFUNCTION("""COMPUTED_VALUE"""),0.9074)</f>
        <v>0.9074</v>
      </c>
      <c r="AC661" s="320">
        <f>IFERROR(__xludf.DUMMYFUNCTION("""COMPUTED_VALUE"""),81.75)</f>
        <v>81.75</v>
      </c>
      <c r="AD661" s="320">
        <f>IFERROR(__xludf.DUMMYFUNCTION("""COMPUTED_VALUE"""),33.0)</f>
        <v>33</v>
      </c>
      <c r="AE661" s="320">
        <f>IFERROR(__xludf.DUMMYFUNCTION("""COMPUTED_VALUE"""),65.0)</f>
        <v>65</v>
      </c>
      <c r="AF661" s="320">
        <f>IFERROR(__xludf.DUMMYFUNCTION("""COMPUTED_VALUE"""),117.0)</f>
        <v>117</v>
      </c>
      <c r="AG661" s="320">
        <f>IFERROR(__xludf.DUMMYFUNCTION("""COMPUTED_VALUE"""),167.0)</f>
        <v>167</v>
      </c>
      <c r="AH661" s="320">
        <f>IFERROR(__xludf.DUMMYFUNCTION("""COMPUTED_VALUE"""),42.08)</f>
        <v>42.08</v>
      </c>
      <c r="AI661" s="320">
        <f>IFERROR(__xludf.DUMMYFUNCTION("""COMPUTED_VALUE"""),8.52)</f>
        <v>8.52</v>
      </c>
      <c r="AJ661" s="320">
        <f>IFERROR(__xludf.DUMMYFUNCTION("""COMPUTED_VALUE"""),1.19)</f>
        <v>1.19</v>
      </c>
      <c r="AK661" s="320">
        <f>IFERROR(__xludf.DUMMYFUNCTION("""COMPUTED_VALUE"""),0.1175)</f>
        <v>0.1175</v>
      </c>
      <c r="AL661" s="320">
        <f>IFERROR(__xludf.DUMMYFUNCTION("""COMPUTED_VALUE"""),25.02)</f>
        <v>25.02</v>
      </c>
      <c r="AM661" s="320">
        <f>IFERROR(__xludf.DUMMYFUNCTION("""COMPUTED_VALUE"""),147.38)</f>
        <v>147.38</v>
      </c>
      <c r="AN661" s="320">
        <f>IFERROR(__xludf.DUMMYFUNCTION("""COMPUTED_VALUE"""),83.3)</f>
        <v>83.3</v>
      </c>
      <c r="AO661" s="320">
        <f>IFERROR(__xludf.DUMMYFUNCTION("""COMPUTED_VALUE"""),20.84)</f>
        <v>20.84</v>
      </c>
    </row>
    <row r="662" ht="15.0" customHeight="1">
      <c r="A662" s="328">
        <f>IFERROR(__xludf.DUMMYFUNCTION("""COMPUTED_VALUE"""),46160.0)</f>
        <v>46160</v>
      </c>
      <c r="B662" s="319" t="str">
        <f>IFERROR(__xludf.DUMMYFUNCTION("""COMPUTED_VALUE"""),"A. 0")</f>
        <v>A. 0</v>
      </c>
      <c r="C662" s="320">
        <f>IFERROR(__xludf.DUMMYFUNCTION("""COMPUTED_VALUE"""),19805.0)</f>
        <v>19805</v>
      </c>
      <c r="D662" s="320">
        <f>IFERROR(__xludf.DUMMYFUNCTION("""COMPUTED_VALUE"""),19.13)</f>
        <v>19.13</v>
      </c>
      <c r="E662" s="320">
        <f>IFERROR(__xludf.DUMMYFUNCTION("""COMPUTED_VALUE"""),0.0)</f>
        <v>0</v>
      </c>
      <c r="F662" s="320">
        <f>IFERROR(__xludf.DUMMYFUNCTION("""COMPUTED_VALUE"""),0.0)</f>
        <v>0</v>
      </c>
      <c r="G662" s="320">
        <f>IFERROR(__xludf.DUMMYFUNCTION("""COMPUTED_VALUE"""),0.0)</f>
        <v>0</v>
      </c>
      <c r="H662" s="106"/>
      <c r="I662" s="320">
        <f>IFERROR(__xludf.DUMMYFUNCTION("""COMPUTED_VALUE"""),6.25)</f>
        <v>6.25</v>
      </c>
      <c r="J662" s="320">
        <f>IFERROR(__xludf.DUMMYFUNCTION("""COMPUTED_VALUE"""),2.66)</f>
        <v>2.66</v>
      </c>
      <c r="K662" s="320">
        <f>IFERROR(__xludf.DUMMYFUNCTION("""COMPUTED_VALUE"""),0.08)</f>
        <v>0.08</v>
      </c>
      <c r="L662" s="320">
        <f>IFERROR(__xludf.DUMMYFUNCTION("""COMPUTED_VALUE"""),0.0288)</f>
        <v>0.0288</v>
      </c>
      <c r="M662" s="320">
        <f>IFERROR(__xludf.DUMMYFUNCTION("""COMPUTED_VALUE"""),0.977)</f>
        <v>0.977</v>
      </c>
      <c r="N662" s="320">
        <f>IFERROR(__xludf.DUMMYFUNCTION("""COMPUTED_VALUE"""),0.7323)</f>
        <v>0.7323</v>
      </c>
      <c r="O662" s="320">
        <f>IFERROR(__xludf.DUMMYFUNCTION("""COMPUTED_VALUE"""),34.7258)</f>
        <v>34.7258</v>
      </c>
      <c r="P662" s="320">
        <f>IFERROR(__xludf.DUMMYFUNCTION("""COMPUTED_VALUE"""),32.3)</f>
        <v>32.3</v>
      </c>
      <c r="Q662" s="320">
        <f>IFERROR(__xludf.DUMMYFUNCTION("""COMPUTED_VALUE"""),32.18)</f>
        <v>32.18</v>
      </c>
      <c r="R662" s="320">
        <f>IFERROR(__xludf.DUMMYFUNCTION("""COMPUTED_VALUE"""),0.12)</f>
        <v>0.12</v>
      </c>
      <c r="S662" s="320">
        <f>IFERROR(__xludf.DUMMYFUNCTION("""COMPUTED_VALUE"""),0.0)</f>
        <v>0</v>
      </c>
      <c r="T662" s="320">
        <f>IFERROR(__xludf.DUMMYFUNCTION("""COMPUTED_VALUE"""),32.3)</f>
        <v>32.3</v>
      </c>
      <c r="U662" s="320">
        <f>IFERROR(__xludf.DUMMYFUNCTION("""COMPUTED_VALUE"""),2.11)</f>
        <v>2.11</v>
      </c>
      <c r="V662" s="320">
        <f>IFERROR(__xludf.DUMMYFUNCTION("""COMPUTED_VALUE"""),0.7916)</f>
        <v>0.7916</v>
      </c>
      <c r="W662" s="320">
        <f>IFERROR(__xludf.DUMMYFUNCTION("""COMPUTED_VALUE"""),0.0)</f>
        <v>0</v>
      </c>
      <c r="X662" s="320">
        <f>IFERROR(__xludf.DUMMYFUNCTION("""COMPUTED_VALUE"""),369.0)</f>
        <v>369</v>
      </c>
      <c r="Y662" s="320">
        <f>IFERROR(__xludf.DUMMYFUNCTION("""COMPUTED_VALUE"""),4392.0)</f>
        <v>4392</v>
      </c>
      <c r="Z662" s="320">
        <f>IFERROR(__xludf.DUMMYFUNCTION("""COMPUTED_VALUE"""),16112.0)</f>
        <v>16112</v>
      </c>
      <c r="AA662" s="320">
        <f>IFERROR(__xludf.DUMMYFUNCTION("""COMPUTED_VALUE"""),49.0286)</f>
        <v>49.0286</v>
      </c>
      <c r="AB662" s="320">
        <f>IFERROR(__xludf.DUMMYFUNCTION("""COMPUTED_VALUE"""),0.5458)</f>
        <v>0.5458</v>
      </c>
      <c r="AC662" s="106"/>
      <c r="AD662" s="106"/>
      <c r="AE662" s="106"/>
      <c r="AF662" s="106"/>
      <c r="AG662" s="106"/>
      <c r="AH662" s="320">
        <f>IFERROR(__xludf.DUMMYFUNCTION("""COMPUTED_VALUE"""),0.0)</f>
        <v>0</v>
      </c>
      <c r="AI662" s="320">
        <f>IFERROR(__xludf.DUMMYFUNCTION("""COMPUTED_VALUE"""),0.0)</f>
        <v>0</v>
      </c>
      <c r="AJ662" s="320">
        <f>IFERROR(__xludf.DUMMYFUNCTION("""COMPUTED_VALUE"""),0.0)</f>
        <v>0</v>
      </c>
      <c r="AK662" s="320">
        <f>IFERROR(__xludf.DUMMYFUNCTION("""COMPUTED_VALUE"""),0.2704)</f>
        <v>0.2704</v>
      </c>
      <c r="AL662" s="320">
        <f>IFERROR(__xludf.DUMMYFUNCTION("""COMPUTED_VALUE"""),16.5)</f>
        <v>16.5</v>
      </c>
      <c r="AM662" s="320">
        <f>IFERROR(__xludf.DUMMYFUNCTION("""COMPUTED_VALUE"""),15.68)</f>
        <v>15.68</v>
      </c>
      <c r="AN662" s="331"/>
      <c r="AO662" s="331"/>
    </row>
    <row r="663" ht="15.0" customHeight="1">
      <c r="A663" s="328">
        <f>IFERROR(__xludf.DUMMYFUNCTION("""COMPUTED_VALUE"""),46160.0)</f>
        <v>46160</v>
      </c>
      <c r="B663" s="319" t="str">
        <f>IFERROR(__xludf.DUMMYFUNCTION("""COMPUTED_VALUE"""),"B. 1-9")</f>
        <v>B. 1-9</v>
      </c>
      <c r="C663" s="320">
        <f>IFERROR(__xludf.DUMMYFUNCTION("""COMPUTED_VALUE"""),37209.0)</f>
        <v>37209</v>
      </c>
      <c r="D663" s="320">
        <f>IFERROR(__xludf.DUMMYFUNCTION("""COMPUTED_VALUE"""),35.94)</f>
        <v>35.94</v>
      </c>
      <c r="E663" s="320">
        <f>IFERROR(__xludf.DUMMYFUNCTION("""COMPUTED_VALUE"""),0.0)</f>
        <v>0</v>
      </c>
      <c r="F663" s="320">
        <f>IFERROR(__xludf.DUMMYFUNCTION("""COMPUTED_VALUE"""),0.0)</f>
        <v>0</v>
      </c>
      <c r="G663" s="320">
        <f>IFERROR(__xludf.DUMMYFUNCTION("""COMPUTED_VALUE"""),0.0)</f>
        <v>0</v>
      </c>
      <c r="H663" s="106"/>
      <c r="I663" s="320">
        <f>IFERROR(__xludf.DUMMYFUNCTION("""COMPUTED_VALUE"""),32.97)</f>
        <v>32.97</v>
      </c>
      <c r="J663" s="320">
        <f>IFERROR(__xludf.DUMMYFUNCTION("""COMPUTED_VALUE"""),15.0)</f>
        <v>15</v>
      </c>
      <c r="K663" s="320">
        <f>IFERROR(__xludf.DUMMYFUNCTION("""COMPUTED_VALUE"""),5.78)</f>
        <v>5.78</v>
      </c>
      <c r="L663" s="320">
        <f>IFERROR(__xludf.DUMMYFUNCTION("""COMPUTED_VALUE"""),0.3856)</f>
        <v>0.3856</v>
      </c>
      <c r="M663" s="320">
        <f>IFERROR(__xludf.DUMMYFUNCTION("""COMPUTED_VALUE"""),0.7814)</f>
        <v>0.7814</v>
      </c>
      <c r="N663" s="320">
        <f>IFERROR(__xludf.DUMMYFUNCTION("""COMPUTED_VALUE"""),0.5807)</f>
        <v>0.5807</v>
      </c>
      <c r="O663" s="320">
        <f>IFERROR(__xludf.DUMMYFUNCTION("""COMPUTED_VALUE"""),2.5934)</f>
        <v>2.5934</v>
      </c>
      <c r="P663" s="320">
        <f>IFERROR(__xludf.DUMMYFUNCTION("""COMPUTED_VALUE"""),72.49)</f>
        <v>72.49</v>
      </c>
      <c r="Q663" s="320">
        <f>IFERROR(__xludf.DUMMYFUNCTION("""COMPUTED_VALUE"""),62.07)</f>
        <v>62.07</v>
      </c>
      <c r="R663" s="320">
        <f>IFERROR(__xludf.DUMMYFUNCTION("""COMPUTED_VALUE"""),10.43)</f>
        <v>10.43</v>
      </c>
      <c r="S663" s="320">
        <f>IFERROR(__xludf.DUMMYFUNCTION("""COMPUTED_VALUE"""),0.0)</f>
        <v>0</v>
      </c>
      <c r="T663" s="320">
        <f>IFERROR(__xludf.DUMMYFUNCTION("""COMPUTED_VALUE"""),72.49)</f>
        <v>72.49</v>
      </c>
      <c r="U663" s="320">
        <f>IFERROR(__xludf.DUMMYFUNCTION("""COMPUTED_VALUE"""),60.47)</f>
        <v>60.47</v>
      </c>
      <c r="V663" s="320">
        <f>IFERROR(__xludf.DUMMYFUNCTION("""COMPUTED_VALUE"""),4.0322)</f>
        <v>4.0322</v>
      </c>
      <c r="W663" s="320">
        <f>IFERROR(__xludf.DUMMYFUNCTION("""COMPUTED_VALUE"""),0.0)</f>
        <v>0</v>
      </c>
      <c r="X663" s="320">
        <f>IFERROR(__xludf.DUMMYFUNCTION("""COMPUTED_VALUE"""),153.0)</f>
        <v>153</v>
      </c>
      <c r="Y663" s="320">
        <f>IFERROR(__xludf.DUMMYFUNCTION("""COMPUTED_VALUE"""),904.0)</f>
        <v>904</v>
      </c>
      <c r="Z663" s="320">
        <f>IFERROR(__xludf.DUMMYFUNCTION("""COMPUTED_VALUE"""),5971.0)</f>
        <v>5971</v>
      </c>
      <c r="AA663" s="320">
        <f>IFERROR(__xludf.DUMMYFUNCTION("""COMPUTED_VALUE"""),48.4269)</f>
        <v>48.4269</v>
      </c>
      <c r="AB663" s="320">
        <f>IFERROR(__xludf.DUMMYFUNCTION("""COMPUTED_VALUE"""),0.5204)</f>
        <v>0.5204</v>
      </c>
      <c r="AC663" s="320">
        <f>IFERROR(__xludf.DUMMYFUNCTION("""COMPUTED_VALUE"""),3.91)</f>
        <v>3.91</v>
      </c>
      <c r="AD663" s="320">
        <f>IFERROR(__xludf.DUMMYFUNCTION("""COMPUTED_VALUE"""),1.0)</f>
        <v>1</v>
      </c>
      <c r="AE663" s="320">
        <f>IFERROR(__xludf.DUMMYFUNCTION("""COMPUTED_VALUE"""),3.0)</f>
        <v>3</v>
      </c>
      <c r="AF663" s="320">
        <f>IFERROR(__xludf.DUMMYFUNCTION("""COMPUTED_VALUE"""),5.0)</f>
        <v>5</v>
      </c>
      <c r="AG663" s="320">
        <f>IFERROR(__xludf.DUMMYFUNCTION("""COMPUTED_VALUE"""),9.0)</f>
        <v>9</v>
      </c>
      <c r="AH663" s="320">
        <f>IFERROR(__xludf.DUMMYFUNCTION("""COMPUTED_VALUE"""),73.05)</f>
        <v>73.05</v>
      </c>
      <c r="AI663" s="320">
        <f>IFERROR(__xludf.DUMMYFUNCTION("""COMPUTED_VALUE"""),29.33)</f>
        <v>29.33</v>
      </c>
      <c r="AJ663" s="320">
        <f>IFERROR(__xludf.DUMMYFUNCTION("""COMPUTED_VALUE"""),7.7)</f>
        <v>7.7</v>
      </c>
      <c r="AK663" s="320">
        <f>IFERROR(__xludf.DUMMYFUNCTION("""COMPUTED_VALUE"""),0.2371)</f>
        <v>0.2371</v>
      </c>
      <c r="AL663" s="320">
        <f>IFERROR(__xludf.DUMMYFUNCTION("""COMPUTED_VALUE"""),18.37)</f>
        <v>18.37</v>
      </c>
      <c r="AM663" s="320">
        <f>IFERROR(__xludf.DUMMYFUNCTION("""COMPUTED_VALUE"""),43.7)</f>
        <v>43.7</v>
      </c>
      <c r="AN663" s="320">
        <f>IFERROR(__xludf.DUMMYFUNCTION("""COMPUTED_VALUE"""),65.26)</f>
        <v>65.26</v>
      </c>
      <c r="AO663" s="320">
        <f>IFERROR(__xludf.DUMMYFUNCTION("""COMPUTED_VALUE"""),11.99)</f>
        <v>11.99</v>
      </c>
    </row>
    <row r="664" ht="15.0" customHeight="1">
      <c r="A664" s="328">
        <f>IFERROR(__xludf.DUMMYFUNCTION("""COMPUTED_VALUE"""),46160.0)</f>
        <v>46160</v>
      </c>
      <c r="B664" s="319" t="str">
        <f>IFERROR(__xludf.DUMMYFUNCTION("""COMPUTED_VALUE"""),"C. 10-19")</f>
        <v>C. 10-19</v>
      </c>
      <c r="C664" s="320">
        <f>IFERROR(__xludf.DUMMYFUNCTION("""COMPUTED_VALUE"""),25601.0)</f>
        <v>25601</v>
      </c>
      <c r="D664" s="320">
        <f>IFERROR(__xludf.DUMMYFUNCTION("""COMPUTED_VALUE"""),24.73)</f>
        <v>24.73</v>
      </c>
      <c r="E664" s="320">
        <f>IFERROR(__xludf.DUMMYFUNCTION("""COMPUTED_VALUE"""),0.0)</f>
        <v>0</v>
      </c>
      <c r="F664" s="320">
        <f>IFERROR(__xludf.DUMMYFUNCTION("""COMPUTED_VALUE"""),0.0)</f>
        <v>0</v>
      </c>
      <c r="G664" s="320">
        <f>IFERROR(__xludf.DUMMYFUNCTION("""COMPUTED_VALUE"""),0.0)</f>
        <v>0</v>
      </c>
      <c r="H664" s="106"/>
      <c r="I664" s="320">
        <f>IFERROR(__xludf.DUMMYFUNCTION("""COMPUTED_VALUE"""),62.42)</f>
        <v>62.42</v>
      </c>
      <c r="J664" s="320">
        <f>IFERROR(__xludf.DUMMYFUNCTION("""COMPUTED_VALUE"""),29.41)</f>
        <v>29.41</v>
      </c>
      <c r="K664" s="320">
        <f>IFERROR(__xludf.DUMMYFUNCTION("""COMPUTED_VALUE"""),15.21)</f>
        <v>15.21</v>
      </c>
      <c r="L664" s="320">
        <f>IFERROR(__xludf.DUMMYFUNCTION("""COMPUTED_VALUE"""),0.5171)</f>
        <v>0.5171</v>
      </c>
      <c r="M664" s="320">
        <f>IFERROR(__xludf.DUMMYFUNCTION("""COMPUTED_VALUE"""),0.6791)</f>
        <v>0.6791</v>
      </c>
      <c r="N664" s="320">
        <f>IFERROR(__xludf.DUMMYFUNCTION("""COMPUTED_VALUE"""),0.4776)</f>
        <v>0.4776</v>
      </c>
      <c r="O664" s="320">
        <f>IFERROR(__xludf.DUMMYFUNCTION("""COMPUTED_VALUE"""),1.934)</f>
        <v>1.934</v>
      </c>
      <c r="P664" s="320">
        <f>IFERROR(__xludf.DUMMYFUNCTION("""COMPUTED_VALUE"""),132.41)</f>
        <v>132.41</v>
      </c>
      <c r="Q664" s="320">
        <f>IFERROR(__xludf.DUMMYFUNCTION("""COMPUTED_VALUE"""),105.58)</f>
        <v>105.58</v>
      </c>
      <c r="R664" s="320">
        <f>IFERROR(__xludf.DUMMYFUNCTION("""COMPUTED_VALUE"""),26.84)</f>
        <v>26.84</v>
      </c>
      <c r="S664" s="320">
        <f>IFERROR(__xludf.DUMMYFUNCTION("""COMPUTED_VALUE"""),0.0)</f>
        <v>0</v>
      </c>
      <c r="T664" s="320">
        <f>IFERROR(__xludf.DUMMYFUNCTION("""COMPUTED_VALUE"""),132.41)</f>
        <v>132.41</v>
      </c>
      <c r="U664" s="320">
        <f>IFERROR(__xludf.DUMMYFUNCTION("""COMPUTED_VALUE"""),117.86)</f>
        <v>117.86</v>
      </c>
      <c r="V664" s="320">
        <f>IFERROR(__xludf.DUMMYFUNCTION("""COMPUTED_VALUE"""),4.0077)</f>
        <v>4.0077</v>
      </c>
      <c r="W664" s="320">
        <f>IFERROR(__xludf.DUMMYFUNCTION("""COMPUTED_VALUE"""),0.0)</f>
        <v>0</v>
      </c>
      <c r="X664" s="320">
        <f>IFERROR(__xludf.DUMMYFUNCTION("""COMPUTED_VALUE"""),140.0)</f>
        <v>140</v>
      </c>
      <c r="Y664" s="320">
        <f>IFERROR(__xludf.DUMMYFUNCTION("""COMPUTED_VALUE"""),767.0)</f>
        <v>767</v>
      </c>
      <c r="Z664" s="320">
        <f>IFERROR(__xludf.DUMMYFUNCTION("""COMPUTED_VALUE"""),5872.0)</f>
        <v>5872</v>
      </c>
      <c r="AA664" s="320">
        <f>IFERROR(__xludf.DUMMYFUNCTION("""COMPUTED_VALUE"""),51.9022)</f>
        <v>51.9022</v>
      </c>
      <c r="AB664" s="320">
        <f>IFERROR(__xludf.DUMMYFUNCTION("""COMPUTED_VALUE"""),0.5795)</f>
        <v>0.5795</v>
      </c>
      <c r="AC664" s="320">
        <f>IFERROR(__xludf.DUMMYFUNCTION("""COMPUTED_VALUE"""),9.71)</f>
        <v>9.71</v>
      </c>
      <c r="AD664" s="320">
        <f>IFERROR(__xludf.DUMMYFUNCTION("""COMPUTED_VALUE"""),4.0)</f>
        <v>4</v>
      </c>
      <c r="AE664" s="320">
        <f>IFERROR(__xludf.DUMMYFUNCTION("""COMPUTED_VALUE"""),8.0)</f>
        <v>8</v>
      </c>
      <c r="AF664" s="320">
        <f>IFERROR(__xludf.DUMMYFUNCTION("""COMPUTED_VALUE"""),13.0)</f>
        <v>13</v>
      </c>
      <c r="AG664" s="320">
        <f>IFERROR(__xludf.DUMMYFUNCTION("""COMPUTED_VALUE"""),21.0)</f>
        <v>21</v>
      </c>
      <c r="AH664" s="320">
        <f>IFERROR(__xludf.DUMMYFUNCTION("""COMPUTED_VALUE"""),61.04)</f>
        <v>61.04</v>
      </c>
      <c r="AI664" s="320">
        <f>IFERROR(__xludf.DUMMYFUNCTION("""COMPUTED_VALUE"""),28.01)</f>
        <v>28.01</v>
      </c>
      <c r="AJ664" s="320">
        <f>IFERROR(__xludf.DUMMYFUNCTION("""COMPUTED_VALUE"""),5.21)</f>
        <v>5.21</v>
      </c>
      <c r="AK664" s="320">
        <f>IFERROR(__xludf.DUMMYFUNCTION("""COMPUTED_VALUE"""),0.1697)</f>
        <v>0.1697</v>
      </c>
      <c r="AL664" s="320">
        <f>IFERROR(__xludf.DUMMYFUNCTION("""COMPUTED_VALUE"""),19.29)</f>
        <v>19.29</v>
      </c>
      <c r="AM664" s="320">
        <f>IFERROR(__xludf.DUMMYFUNCTION("""COMPUTED_VALUE"""),86.29)</f>
        <v>86.29</v>
      </c>
      <c r="AN664" s="320">
        <f>IFERROR(__xludf.DUMMYFUNCTION("""COMPUTED_VALUE"""),72.58)</f>
        <v>72.58</v>
      </c>
      <c r="AO664" s="320">
        <f>IFERROR(__xludf.DUMMYFUNCTION("""COMPUTED_VALUE"""),14.0)</f>
        <v>14</v>
      </c>
    </row>
    <row r="665" ht="15.0" customHeight="1">
      <c r="A665" s="328">
        <f>IFERROR(__xludf.DUMMYFUNCTION("""COMPUTED_VALUE"""),46160.0)</f>
        <v>46160</v>
      </c>
      <c r="B665" s="319" t="str">
        <f>IFERROR(__xludf.DUMMYFUNCTION("""COMPUTED_VALUE"""),"D. 20-39")</f>
        <v>D. 20-39</v>
      </c>
      <c r="C665" s="320">
        <f>IFERROR(__xludf.DUMMYFUNCTION("""COMPUTED_VALUE"""),14369.0)</f>
        <v>14369</v>
      </c>
      <c r="D665" s="320">
        <f>IFERROR(__xludf.DUMMYFUNCTION("""COMPUTED_VALUE"""),13.88)</f>
        <v>13.88</v>
      </c>
      <c r="E665" s="320">
        <f>IFERROR(__xludf.DUMMYFUNCTION("""COMPUTED_VALUE"""),0.0)</f>
        <v>0</v>
      </c>
      <c r="F665" s="320">
        <f>IFERROR(__xludf.DUMMYFUNCTION("""COMPUTED_VALUE"""),0.0)</f>
        <v>0</v>
      </c>
      <c r="G665" s="320">
        <f>IFERROR(__xludf.DUMMYFUNCTION("""COMPUTED_VALUE"""),0.0)</f>
        <v>0</v>
      </c>
      <c r="H665" s="106"/>
      <c r="I665" s="320">
        <f>IFERROR(__xludf.DUMMYFUNCTION("""COMPUTED_VALUE"""),89.95)</f>
        <v>89.95</v>
      </c>
      <c r="J665" s="320">
        <f>IFERROR(__xludf.DUMMYFUNCTION("""COMPUTED_VALUE"""),44.72)</f>
        <v>44.72</v>
      </c>
      <c r="K665" s="320">
        <f>IFERROR(__xludf.DUMMYFUNCTION("""COMPUTED_VALUE"""),29.75)</f>
        <v>29.75</v>
      </c>
      <c r="L665" s="320">
        <f>IFERROR(__xludf.DUMMYFUNCTION("""COMPUTED_VALUE"""),0.6652)</f>
        <v>0.6652</v>
      </c>
      <c r="M665" s="320">
        <f>IFERROR(__xludf.DUMMYFUNCTION("""COMPUTED_VALUE"""),0.5369)</f>
        <v>0.5369</v>
      </c>
      <c r="N665" s="320">
        <f>IFERROR(__xludf.DUMMYFUNCTION("""COMPUTED_VALUE"""),0.3741)</f>
        <v>0.3741</v>
      </c>
      <c r="O665" s="320">
        <f>IFERROR(__xludf.DUMMYFUNCTION("""COMPUTED_VALUE"""),1.5034)</f>
        <v>1.5034</v>
      </c>
      <c r="P665" s="320">
        <f>IFERROR(__xludf.DUMMYFUNCTION("""COMPUTED_VALUE"""),217.28)</f>
        <v>217.28</v>
      </c>
      <c r="Q665" s="320">
        <f>IFERROR(__xludf.DUMMYFUNCTION("""COMPUTED_VALUE"""),164.87)</f>
        <v>164.87</v>
      </c>
      <c r="R665" s="320">
        <f>IFERROR(__xludf.DUMMYFUNCTION("""COMPUTED_VALUE"""),52.41)</f>
        <v>52.41</v>
      </c>
      <c r="S665" s="320">
        <f>IFERROR(__xludf.DUMMYFUNCTION("""COMPUTED_VALUE"""),0.0)</f>
        <v>0</v>
      </c>
      <c r="T665" s="320">
        <f>IFERROR(__xludf.DUMMYFUNCTION("""COMPUTED_VALUE"""),217.28)</f>
        <v>217.28</v>
      </c>
      <c r="U665" s="320">
        <f>IFERROR(__xludf.DUMMYFUNCTION("""COMPUTED_VALUE"""),206.86)</f>
        <v>206.86</v>
      </c>
      <c r="V665" s="320">
        <f>IFERROR(__xludf.DUMMYFUNCTION("""COMPUTED_VALUE"""),4.6257)</f>
        <v>4.6257</v>
      </c>
      <c r="W665" s="320">
        <f>IFERROR(__xludf.DUMMYFUNCTION("""COMPUTED_VALUE"""),0.0)</f>
        <v>0</v>
      </c>
      <c r="X665" s="320">
        <f>IFERROR(__xludf.DUMMYFUNCTION("""COMPUTED_VALUE"""),174.0)</f>
        <v>174</v>
      </c>
      <c r="Y665" s="320">
        <f>IFERROR(__xludf.DUMMYFUNCTION("""COMPUTED_VALUE"""),1172.0)</f>
        <v>1172</v>
      </c>
      <c r="Z665" s="320">
        <f>IFERROR(__xludf.DUMMYFUNCTION("""COMPUTED_VALUE"""),8031.0)</f>
        <v>8031</v>
      </c>
      <c r="AA665" s="320">
        <f>IFERROR(__xludf.DUMMYFUNCTION("""COMPUTED_VALUE"""),55.2369)</f>
        <v>55.2369</v>
      </c>
      <c r="AB665" s="320">
        <f>IFERROR(__xludf.DUMMYFUNCTION("""COMPUTED_VALUE"""),0.6615)</f>
        <v>0.6615</v>
      </c>
      <c r="AC665" s="320">
        <f>IFERROR(__xludf.DUMMYFUNCTION("""COMPUTED_VALUE"""),19.12)</f>
        <v>19.12</v>
      </c>
      <c r="AD665" s="320">
        <f>IFERROR(__xludf.DUMMYFUNCTION("""COMPUTED_VALUE"""),8.0)</f>
        <v>8</v>
      </c>
      <c r="AE665" s="320">
        <f>IFERROR(__xludf.DUMMYFUNCTION("""COMPUTED_VALUE"""),16.0)</f>
        <v>16</v>
      </c>
      <c r="AF665" s="320">
        <f>IFERROR(__xludf.DUMMYFUNCTION("""COMPUTED_VALUE"""),27.0)</f>
        <v>27</v>
      </c>
      <c r="AG665" s="320">
        <f>IFERROR(__xludf.DUMMYFUNCTION("""COMPUTED_VALUE"""),38.0)</f>
        <v>38</v>
      </c>
      <c r="AH665" s="320">
        <f>IFERROR(__xludf.DUMMYFUNCTION("""COMPUTED_VALUE"""),64.48)</f>
        <v>64.48</v>
      </c>
      <c r="AI665" s="320">
        <f>IFERROR(__xludf.DUMMYFUNCTION("""COMPUTED_VALUE"""),28.18)</f>
        <v>28.18</v>
      </c>
      <c r="AJ665" s="320">
        <f>IFERROR(__xludf.DUMMYFUNCTION("""COMPUTED_VALUE"""),6.69)</f>
        <v>6.69</v>
      </c>
      <c r="AK665" s="320">
        <f>IFERROR(__xludf.DUMMYFUNCTION("""COMPUTED_VALUE"""),0.1513)</f>
        <v>0.1513</v>
      </c>
      <c r="AL665" s="320">
        <f>IFERROR(__xludf.DUMMYFUNCTION("""COMPUTED_VALUE"""),20.31)</f>
        <v>20.31</v>
      </c>
      <c r="AM665" s="320">
        <f>IFERROR(__xludf.DUMMYFUNCTION("""COMPUTED_VALUE"""),144.56)</f>
        <v>144.56</v>
      </c>
      <c r="AN665" s="320">
        <f>IFERROR(__xludf.DUMMYFUNCTION("""COMPUTED_VALUE"""),72.85)</f>
        <v>72.85</v>
      </c>
      <c r="AO665" s="320">
        <f>IFERROR(__xludf.DUMMYFUNCTION("""COMPUTED_VALUE"""),14.8)</f>
        <v>14.8</v>
      </c>
    </row>
    <row r="666" ht="15.0" customHeight="1">
      <c r="A666" s="328">
        <f>IFERROR(__xludf.DUMMYFUNCTION("""COMPUTED_VALUE"""),46160.0)</f>
        <v>46160</v>
      </c>
      <c r="B666" s="319" t="str">
        <f>IFERROR(__xludf.DUMMYFUNCTION("""COMPUTED_VALUE"""),"E. 40-99")</f>
        <v>E. 40-99</v>
      </c>
      <c r="C666" s="320">
        <f>IFERROR(__xludf.DUMMYFUNCTION("""COMPUTED_VALUE"""),5955.0)</f>
        <v>5955</v>
      </c>
      <c r="D666" s="320">
        <f>IFERROR(__xludf.DUMMYFUNCTION("""COMPUTED_VALUE"""),5.75)</f>
        <v>5.75</v>
      </c>
      <c r="E666" s="320">
        <f>IFERROR(__xludf.DUMMYFUNCTION("""COMPUTED_VALUE"""),0.0)</f>
        <v>0</v>
      </c>
      <c r="F666" s="320">
        <f>IFERROR(__xludf.DUMMYFUNCTION("""COMPUTED_VALUE"""),0.0)</f>
        <v>0</v>
      </c>
      <c r="G666" s="320">
        <f>IFERROR(__xludf.DUMMYFUNCTION("""COMPUTED_VALUE"""),0.0)</f>
        <v>0</v>
      </c>
      <c r="H666" s="106"/>
      <c r="I666" s="320">
        <f>IFERROR(__xludf.DUMMYFUNCTION("""COMPUTED_VALUE"""),140.96)</f>
        <v>140.96</v>
      </c>
      <c r="J666" s="320">
        <f>IFERROR(__xludf.DUMMYFUNCTION("""COMPUTED_VALUE"""),74.82)</f>
        <v>74.82</v>
      </c>
      <c r="K666" s="320">
        <f>IFERROR(__xludf.DUMMYFUNCTION("""COMPUTED_VALUE"""),60.0)</f>
        <v>60</v>
      </c>
      <c r="L666" s="320">
        <f>IFERROR(__xludf.DUMMYFUNCTION("""COMPUTED_VALUE"""),0.8019)</f>
        <v>0.8019</v>
      </c>
      <c r="M666" s="320">
        <f>IFERROR(__xludf.DUMMYFUNCTION("""COMPUTED_VALUE"""),0.3902)</f>
        <v>0.3902</v>
      </c>
      <c r="N666" s="320">
        <f>IFERROR(__xludf.DUMMYFUNCTION("""COMPUTED_VALUE"""),0.2837)</f>
        <v>0.2837</v>
      </c>
      <c r="O666" s="320">
        <f>IFERROR(__xludf.DUMMYFUNCTION("""COMPUTED_VALUE"""),1.247)</f>
        <v>1.247</v>
      </c>
      <c r="P666" s="320">
        <f>IFERROR(__xludf.DUMMYFUNCTION("""COMPUTED_VALUE"""),368.09)</f>
        <v>368.09</v>
      </c>
      <c r="Q666" s="320">
        <f>IFERROR(__xludf.DUMMYFUNCTION("""COMPUTED_VALUE"""),262.42)</f>
        <v>262.42</v>
      </c>
      <c r="R666" s="320">
        <f>IFERROR(__xludf.DUMMYFUNCTION("""COMPUTED_VALUE"""),105.67)</f>
        <v>105.67</v>
      </c>
      <c r="S666" s="320">
        <f>IFERROR(__xludf.DUMMYFUNCTION("""COMPUTED_VALUE"""),0.0)</f>
        <v>0</v>
      </c>
      <c r="T666" s="320">
        <f>IFERROR(__xludf.DUMMYFUNCTION("""COMPUTED_VALUE"""),368.09)</f>
        <v>368.09</v>
      </c>
      <c r="U666" s="320">
        <f>IFERROR(__xludf.DUMMYFUNCTION("""COMPUTED_VALUE"""),383.16)</f>
        <v>383.16</v>
      </c>
      <c r="V666" s="320">
        <f>IFERROR(__xludf.DUMMYFUNCTION("""COMPUTED_VALUE"""),5.121)</f>
        <v>5.121</v>
      </c>
      <c r="W666" s="320">
        <f>IFERROR(__xludf.DUMMYFUNCTION("""COMPUTED_VALUE"""),0.0)</f>
        <v>0</v>
      </c>
      <c r="X666" s="320">
        <f>IFERROR(__xludf.DUMMYFUNCTION("""COMPUTED_VALUE"""),320.0)</f>
        <v>320</v>
      </c>
      <c r="Y666" s="320">
        <f>IFERROR(__xludf.DUMMYFUNCTION("""COMPUTED_VALUE"""),2982.0)</f>
        <v>2982</v>
      </c>
      <c r="Z666" s="320">
        <f>IFERROR(__xludf.DUMMYFUNCTION("""COMPUTED_VALUE"""),12808.0)</f>
        <v>12808</v>
      </c>
      <c r="AA666" s="320">
        <f>IFERROR(__xludf.DUMMYFUNCTION("""COMPUTED_VALUE"""),59.1975)</f>
        <v>59.1975</v>
      </c>
      <c r="AB666" s="320">
        <f>IFERROR(__xludf.DUMMYFUNCTION("""COMPUTED_VALUE"""),0.7524)</f>
        <v>0.7524</v>
      </c>
      <c r="AC666" s="320">
        <f>IFERROR(__xludf.DUMMYFUNCTION("""COMPUTED_VALUE"""),39.57)</f>
        <v>39.57</v>
      </c>
      <c r="AD666" s="320">
        <f>IFERROR(__xludf.DUMMYFUNCTION("""COMPUTED_VALUE"""),18.0)</f>
        <v>18</v>
      </c>
      <c r="AE666" s="320">
        <f>IFERROR(__xludf.DUMMYFUNCTION("""COMPUTED_VALUE"""),34.0)</f>
        <v>34</v>
      </c>
      <c r="AF666" s="320">
        <f>IFERROR(__xludf.DUMMYFUNCTION("""COMPUTED_VALUE"""),53.0)</f>
        <v>53</v>
      </c>
      <c r="AG666" s="320">
        <f>IFERROR(__xludf.DUMMYFUNCTION("""COMPUTED_VALUE"""),78.0)</f>
        <v>78</v>
      </c>
      <c r="AH666" s="320">
        <f>IFERROR(__xludf.DUMMYFUNCTION("""COMPUTED_VALUE"""),58.49)</f>
        <v>58.49</v>
      </c>
      <c r="AI666" s="320">
        <f>IFERROR(__xludf.DUMMYFUNCTION("""COMPUTED_VALUE"""),20.72)</f>
        <v>20.72</v>
      </c>
      <c r="AJ666" s="320">
        <f>IFERROR(__xludf.DUMMYFUNCTION("""COMPUTED_VALUE"""),5.02)</f>
        <v>5.02</v>
      </c>
      <c r="AK666" s="320">
        <f>IFERROR(__xludf.DUMMYFUNCTION("""COMPUTED_VALUE"""),0.1152)</f>
        <v>0.1152</v>
      </c>
      <c r="AL666" s="320">
        <f>IFERROR(__xludf.DUMMYFUNCTION("""COMPUTED_VALUE"""),21.08)</f>
        <v>21.08</v>
      </c>
      <c r="AM666" s="320">
        <f>IFERROR(__xludf.DUMMYFUNCTION("""COMPUTED_VALUE"""),241.34)</f>
        <v>241.34</v>
      </c>
      <c r="AN666" s="320">
        <f>IFERROR(__xludf.DUMMYFUNCTION("""COMPUTED_VALUE"""),76.08)</f>
        <v>76.08</v>
      </c>
      <c r="AO666" s="320">
        <f>IFERROR(__xludf.DUMMYFUNCTION("""COMPUTED_VALUE"""),16.04)</f>
        <v>16.04</v>
      </c>
    </row>
    <row r="667" ht="15.0" customHeight="1">
      <c r="A667" s="328">
        <f>IFERROR(__xludf.DUMMYFUNCTION("""COMPUTED_VALUE"""),46160.0)</f>
        <v>46160</v>
      </c>
      <c r="B667" s="319" t="str">
        <f>IFERROR(__xludf.DUMMYFUNCTION("""COMPUTED_VALUE"""),"F. 100+")</f>
        <v>F. 100+</v>
      </c>
      <c r="C667" s="320">
        <f>IFERROR(__xludf.DUMMYFUNCTION("""COMPUTED_VALUE"""),592.0)</f>
        <v>592</v>
      </c>
      <c r="D667" s="320">
        <f>IFERROR(__xludf.DUMMYFUNCTION("""COMPUTED_VALUE"""),0.57)</f>
        <v>0.57</v>
      </c>
      <c r="E667" s="320">
        <f>IFERROR(__xludf.DUMMYFUNCTION("""COMPUTED_VALUE"""),0.0)</f>
        <v>0</v>
      </c>
      <c r="F667" s="320">
        <f>IFERROR(__xludf.DUMMYFUNCTION("""COMPUTED_VALUE"""),0.0)</f>
        <v>0</v>
      </c>
      <c r="G667" s="320">
        <f>IFERROR(__xludf.DUMMYFUNCTION("""COMPUTED_VALUE"""),0.0)</f>
        <v>0</v>
      </c>
      <c r="H667" s="106"/>
      <c r="I667" s="320">
        <f>IFERROR(__xludf.DUMMYFUNCTION("""COMPUTED_VALUE"""),251.84)</f>
        <v>251.84</v>
      </c>
      <c r="J667" s="320">
        <f>IFERROR(__xludf.DUMMYFUNCTION("""COMPUTED_VALUE"""),144.0)</f>
        <v>144</v>
      </c>
      <c r="K667" s="320">
        <f>IFERROR(__xludf.DUMMYFUNCTION("""COMPUTED_VALUE"""),128.35)</f>
        <v>128.35</v>
      </c>
      <c r="L667" s="320">
        <f>IFERROR(__xludf.DUMMYFUNCTION("""COMPUTED_VALUE"""),0.8913)</f>
        <v>0.8913</v>
      </c>
      <c r="M667" s="320">
        <f>IFERROR(__xludf.DUMMYFUNCTION("""COMPUTED_VALUE"""),0.27)</f>
        <v>0.27</v>
      </c>
      <c r="N667" s="320">
        <f>IFERROR(__xludf.DUMMYFUNCTION("""COMPUTED_VALUE"""),0.2068)</f>
        <v>0.2068</v>
      </c>
      <c r="O667" s="320">
        <f>IFERROR(__xludf.DUMMYFUNCTION("""COMPUTED_VALUE"""),1.1219)</f>
        <v>1.1219</v>
      </c>
      <c r="P667" s="320">
        <f>IFERROR(__xludf.DUMMYFUNCTION("""COMPUTED_VALUE"""),650.67)</f>
        <v>650.67</v>
      </c>
      <c r="Q667" s="320">
        <f>IFERROR(__xludf.DUMMYFUNCTION("""COMPUTED_VALUE"""),401.34)</f>
        <v>401.34</v>
      </c>
      <c r="R667" s="320">
        <f>IFERROR(__xludf.DUMMYFUNCTION("""COMPUTED_VALUE"""),249.33)</f>
        <v>249.33</v>
      </c>
      <c r="S667" s="320">
        <f>IFERROR(__xludf.DUMMYFUNCTION("""COMPUTED_VALUE"""),0.0)</f>
        <v>0</v>
      </c>
      <c r="T667" s="320">
        <f>IFERROR(__xludf.DUMMYFUNCTION("""COMPUTED_VALUE"""),650.67)</f>
        <v>650.67</v>
      </c>
      <c r="U667" s="320">
        <f>IFERROR(__xludf.DUMMYFUNCTION("""COMPUTED_VALUE"""),701.86)</f>
        <v>701.86</v>
      </c>
      <c r="V667" s="320">
        <f>IFERROR(__xludf.DUMMYFUNCTION("""COMPUTED_VALUE"""),4.874)</f>
        <v>4.874</v>
      </c>
      <c r="W667" s="320">
        <f>IFERROR(__xludf.DUMMYFUNCTION("""COMPUTED_VALUE"""),0.0)</f>
        <v>0</v>
      </c>
      <c r="X667" s="320">
        <f>IFERROR(__xludf.DUMMYFUNCTION("""COMPUTED_VALUE"""),830.0)</f>
        <v>830</v>
      </c>
      <c r="Y667" s="320">
        <f>IFERROR(__xludf.DUMMYFUNCTION("""COMPUTED_VALUE"""),3889.0)</f>
        <v>3889</v>
      </c>
      <c r="Z667" s="320">
        <f>IFERROR(__xludf.DUMMYFUNCTION("""COMPUTED_VALUE"""),12821.0)</f>
        <v>12821</v>
      </c>
      <c r="AA667" s="320">
        <f>IFERROR(__xludf.DUMMYFUNCTION("""COMPUTED_VALUE"""),63.1717)</f>
        <v>63.1717</v>
      </c>
      <c r="AB667" s="320">
        <f>IFERROR(__xludf.DUMMYFUNCTION("""COMPUTED_VALUE"""),0.8977)</f>
        <v>0.8977</v>
      </c>
      <c r="AC667" s="320">
        <f>IFERROR(__xludf.DUMMYFUNCTION("""COMPUTED_VALUE"""),95.79)</f>
        <v>95.79</v>
      </c>
      <c r="AD667" s="320">
        <f>IFERROR(__xludf.DUMMYFUNCTION("""COMPUTED_VALUE"""),44.0)</f>
        <v>44</v>
      </c>
      <c r="AE667" s="320">
        <f>IFERROR(__xludf.DUMMYFUNCTION("""COMPUTED_VALUE"""),86.0)</f>
        <v>86</v>
      </c>
      <c r="AF667" s="320">
        <f>IFERROR(__xludf.DUMMYFUNCTION("""COMPUTED_VALUE"""),133.0)</f>
        <v>133</v>
      </c>
      <c r="AG667" s="320">
        <f>IFERROR(__xludf.DUMMYFUNCTION("""COMPUTED_VALUE"""),182.0)</f>
        <v>182</v>
      </c>
      <c r="AH667" s="320">
        <f>IFERROR(__xludf.DUMMYFUNCTION("""COMPUTED_VALUE"""),52.87)</f>
        <v>52.87</v>
      </c>
      <c r="AI667" s="320">
        <f>IFERROR(__xludf.DUMMYFUNCTION("""COMPUTED_VALUE"""),12.16)</f>
        <v>12.16</v>
      </c>
      <c r="AJ667" s="320">
        <f>IFERROR(__xludf.DUMMYFUNCTION("""COMPUTED_VALUE"""),1.69)</f>
        <v>1.69</v>
      </c>
      <c r="AK667" s="320">
        <f>IFERROR(__xludf.DUMMYFUNCTION("""COMPUTED_VALUE"""),0.0811)</f>
        <v>0.0811</v>
      </c>
      <c r="AL667" s="320">
        <f>IFERROR(__xludf.DUMMYFUNCTION("""COMPUTED_VALUE"""),22.14)</f>
        <v>22.14</v>
      </c>
      <c r="AM667" s="320">
        <f>IFERROR(__xludf.DUMMYFUNCTION("""COMPUTED_VALUE"""),379.2)</f>
        <v>379.2</v>
      </c>
      <c r="AN667" s="320">
        <f>IFERROR(__xludf.DUMMYFUNCTION("""COMPUTED_VALUE"""),82.5)</f>
        <v>82.5</v>
      </c>
      <c r="AO667" s="320">
        <f>IFERROR(__xludf.DUMMYFUNCTION("""COMPUTED_VALUE"""),18.27)</f>
        <v>18.27</v>
      </c>
    </row>
    <row r="668" ht="15.0" customHeight="1">
      <c r="A668" s="328">
        <f>IFERROR(__xludf.DUMMYFUNCTION("""COMPUTED_VALUE"""),46161.0)</f>
        <v>46161</v>
      </c>
      <c r="B668" s="319" t="str">
        <f>IFERROR(__xludf.DUMMYFUNCTION("""COMPUTED_VALUE"""),"A. 0")</f>
        <v>A. 0</v>
      </c>
      <c r="C668" s="320">
        <f>IFERROR(__xludf.DUMMYFUNCTION("""COMPUTED_VALUE"""),20624.0)</f>
        <v>20624</v>
      </c>
      <c r="D668" s="320">
        <f>IFERROR(__xludf.DUMMYFUNCTION("""COMPUTED_VALUE"""),20.03)</f>
        <v>20.03</v>
      </c>
      <c r="E668" s="320">
        <f>IFERROR(__xludf.DUMMYFUNCTION("""COMPUTED_VALUE"""),0.0)</f>
        <v>0</v>
      </c>
      <c r="F668" s="320">
        <f>IFERROR(__xludf.DUMMYFUNCTION("""COMPUTED_VALUE"""),0.0)</f>
        <v>0</v>
      </c>
      <c r="G668" s="320">
        <f>IFERROR(__xludf.DUMMYFUNCTION("""COMPUTED_VALUE"""),0.0)</f>
        <v>0</v>
      </c>
      <c r="H668" s="106"/>
      <c r="I668" s="320">
        <f>IFERROR(__xludf.DUMMYFUNCTION("""COMPUTED_VALUE"""),6.65)</f>
        <v>6.65</v>
      </c>
      <c r="J668" s="320">
        <f>IFERROR(__xludf.DUMMYFUNCTION("""COMPUTED_VALUE"""),2.85)</f>
        <v>2.85</v>
      </c>
      <c r="K668" s="320">
        <f>IFERROR(__xludf.DUMMYFUNCTION("""COMPUTED_VALUE"""),0.07)</f>
        <v>0.07</v>
      </c>
      <c r="L668" s="320">
        <f>IFERROR(__xludf.DUMMYFUNCTION("""COMPUTED_VALUE"""),0.0236)</f>
        <v>0.0236</v>
      </c>
      <c r="M668" s="320">
        <f>IFERROR(__xludf.DUMMYFUNCTION("""COMPUTED_VALUE"""),0.9814)</f>
        <v>0.9814</v>
      </c>
      <c r="N668" s="320">
        <f>IFERROR(__xludf.DUMMYFUNCTION("""COMPUTED_VALUE"""),0.7577)</f>
        <v>0.7577</v>
      </c>
      <c r="O668" s="320">
        <f>IFERROR(__xludf.DUMMYFUNCTION("""COMPUTED_VALUE"""),42.3314)</f>
        <v>42.3314</v>
      </c>
      <c r="P668" s="320">
        <f>IFERROR(__xludf.DUMMYFUNCTION("""COMPUTED_VALUE"""),24.2)</f>
        <v>24.2</v>
      </c>
      <c r="Q668" s="320">
        <f>IFERROR(__xludf.DUMMYFUNCTION("""COMPUTED_VALUE"""),24.1)</f>
        <v>24.1</v>
      </c>
      <c r="R668" s="320">
        <f>IFERROR(__xludf.DUMMYFUNCTION("""COMPUTED_VALUE"""),0.1)</f>
        <v>0.1</v>
      </c>
      <c r="S668" s="320">
        <f>IFERROR(__xludf.DUMMYFUNCTION("""COMPUTED_VALUE"""),0.0)</f>
        <v>0</v>
      </c>
      <c r="T668" s="320">
        <f>IFERROR(__xludf.DUMMYFUNCTION("""COMPUTED_VALUE"""),24.2)</f>
        <v>24.2</v>
      </c>
      <c r="U668" s="320">
        <f>IFERROR(__xludf.DUMMYFUNCTION("""COMPUTED_VALUE"""),2.47)</f>
        <v>2.47</v>
      </c>
      <c r="V668" s="320">
        <f>IFERROR(__xludf.DUMMYFUNCTION("""COMPUTED_VALUE"""),0.8663)</f>
        <v>0.8663</v>
      </c>
      <c r="W668" s="320">
        <f>IFERROR(__xludf.DUMMYFUNCTION("""COMPUTED_VALUE"""),0.01)</f>
        <v>0.01</v>
      </c>
      <c r="X668" s="320">
        <f>IFERROR(__xludf.DUMMYFUNCTION("""COMPUTED_VALUE"""),301.0)</f>
        <v>301</v>
      </c>
      <c r="Y668" s="320">
        <f>IFERROR(__xludf.DUMMYFUNCTION("""COMPUTED_VALUE"""),3663.0)</f>
        <v>3663</v>
      </c>
      <c r="Z668" s="320">
        <f>IFERROR(__xludf.DUMMYFUNCTION("""COMPUTED_VALUE"""),15262.0)</f>
        <v>15262</v>
      </c>
      <c r="AA668" s="320">
        <f>IFERROR(__xludf.DUMMYFUNCTION("""COMPUTED_VALUE"""),48.4496)</f>
        <v>48.4496</v>
      </c>
      <c r="AB668" s="320">
        <f>IFERROR(__xludf.DUMMYFUNCTION("""COMPUTED_VALUE"""),0.5283)</f>
        <v>0.5283</v>
      </c>
      <c r="AC668" s="106"/>
      <c r="AD668" s="106"/>
      <c r="AE668" s="106"/>
      <c r="AF668" s="106"/>
      <c r="AG668" s="106"/>
      <c r="AH668" s="320">
        <f>IFERROR(__xludf.DUMMYFUNCTION("""COMPUTED_VALUE"""),0.0)</f>
        <v>0</v>
      </c>
      <c r="AI668" s="320">
        <f>IFERROR(__xludf.DUMMYFUNCTION("""COMPUTED_VALUE"""),0.0)</f>
        <v>0</v>
      </c>
      <c r="AJ668" s="320">
        <f>IFERROR(__xludf.DUMMYFUNCTION("""COMPUTED_VALUE"""),0.0)</f>
        <v>0</v>
      </c>
      <c r="AK668" s="320">
        <f>IFERROR(__xludf.DUMMYFUNCTION("""COMPUTED_VALUE"""),0.2647)</f>
        <v>0.2647</v>
      </c>
      <c r="AL668" s="320">
        <f>IFERROR(__xludf.DUMMYFUNCTION("""COMPUTED_VALUE"""),15.07)</f>
        <v>15.07</v>
      </c>
      <c r="AM668" s="320">
        <f>IFERROR(__xludf.DUMMYFUNCTION("""COMPUTED_VALUE"""),9.03)</f>
        <v>9.03</v>
      </c>
      <c r="AN668" s="331"/>
      <c r="AO668" s="331"/>
    </row>
    <row r="669" ht="15.0" customHeight="1">
      <c r="A669" s="328">
        <f>IFERROR(__xludf.DUMMYFUNCTION("""COMPUTED_VALUE"""),46161.0)</f>
        <v>46161</v>
      </c>
      <c r="B669" s="319" t="str">
        <f>IFERROR(__xludf.DUMMYFUNCTION("""COMPUTED_VALUE"""),"B. 1-9")</f>
        <v>B. 1-9</v>
      </c>
      <c r="C669" s="320">
        <f>IFERROR(__xludf.DUMMYFUNCTION("""COMPUTED_VALUE"""),36963.0)</f>
        <v>36963</v>
      </c>
      <c r="D669" s="320">
        <f>IFERROR(__xludf.DUMMYFUNCTION("""COMPUTED_VALUE"""),35.89)</f>
        <v>35.89</v>
      </c>
      <c r="E669" s="320">
        <f>IFERROR(__xludf.DUMMYFUNCTION("""COMPUTED_VALUE"""),0.0)</f>
        <v>0</v>
      </c>
      <c r="F669" s="320">
        <f>IFERROR(__xludf.DUMMYFUNCTION("""COMPUTED_VALUE"""),0.0)</f>
        <v>0</v>
      </c>
      <c r="G669" s="320">
        <f>IFERROR(__xludf.DUMMYFUNCTION("""COMPUTED_VALUE"""),0.0)</f>
        <v>0</v>
      </c>
      <c r="H669" s="106"/>
      <c r="I669" s="320">
        <f>IFERROR(__xludf.DUMMYFUNCTION("""COMPUTED_VALUE"""),28.82)</f>
        <v>28.82</v>
      </c>
      <c r="J669" s="320">
        <f>IFERROR(__xludf.DUMMYFUNCTION("""COMPUTED_VALUE"""),13.01)</f>
        <v>13.01</v>
      </c>
      <c r="K669" s="320">
        <f>IFERROR(__xludf.DUMMYFUNCTION("""COMPUTED_VALUE"""),5.38)</f>
        <v>5.38</v>
      </c>
      <c r="L669" s="320">
        <f>IFERROR(__xludf.DUMMYFUNCTION("""COMPUTED_VALUE"""),0.4137)</f>
        <v>0.4137</v>
      </c>
      <c r="M669" s="320">
        <f>IFERROR(__xludf.DUMMYFUNCTION("""COMPUTED_VALUE"""),0.7651)</f>
        <v>0.7651</v>
      </c>
      <c r="N669" s="320">
        <f>IFERROR(__xludf.DUMMYFUNCTION("""COMPUTED_VALUE"""),0.5761)</f>
        <v>0.5761</v>
      </c>
      <c r="O669" s="320">
        <f>IFERROR(__xludf.DUMMYFUNCTION("""COMPUTED_VALUE"""),2.4174)</f>
        <v>2.4174</v>
      </c>
      <c r="P669" s="320">
        <f>IFERROR(__xludf.DUMMYFUNCTION("""COMPUTED_VALUE"""),52.01)</f>
        <v>52.01</v>
      </c>
      <c r="Q669" s="320">
        <f>IFERROR(__xludf.DUMMYFUNCTION("""COMPUTED_VALUE"""),41.31)</f>
        <v>41.31</v>
      </c>
      <c r="R669" s="320">
        <f>IFERROR(__xludf.DUMMYFUNCTION("""COMPUTED_VALUE"""),10.7)</f>
        <v>10.7</v>
      </c>
      <c r="S669" s="320">
        <f>IFERROR(__xludf.DUMMYFUNCTION("""COMPUTED_VALUE"""),0.0)</f>
        <v>0</v>
      </c>
      <c r="T669" s="320">
        <f>IFERROR(__xludf.DUMMYFUNCTION("""COMPUTED_VALUE"""),52.01)</f>
        <v>52.01</v>
      </c>
      <c r="U669" s="320">
        <f>IFERROR(__xludf.DUMMYFUNCTION("""COMPUTED_VALUE"""),54.5)</f>
        <v>54.5</v>
      </c>
      <c r="V669" s="320">
        <f>IFERROR(__xludf.DUMMYFUNCTION("""COMPUTED_VALUE"""),4.1878)</f>
        <v>4.1878</v>
      </c>
      <c r="W669" s="320">
        <f>IFERROR(__xludf.DUMMYFUNCTION("""COMPUTED_VALUE"""),0.0)</f>
        <v>0</v>
      </c>
      <c r="X669" s="320">
        <f>IFERROR(__xludf.DUMMYFUNCTION("""COMPUTED_VALUE"""),145.0)</f>
        <v>145</v>
      </c>
      <c r="Y669" s="320">
        <f>IFERROR(__xludf.DUMMYFUNCTION("""COMPUTED_VALUE"""),903.0)</f>
        <v>903</v>
      </c>
      <c r="Z669" s="320">
        <f>IFERROR(__xludf.DUMMYFUNCTION("""COMPUTED_VALUE"""),6027.0)</f>
        <v>6027</v>
      </c>
      <c r="AA669" s="320">
        <f>IFERROR(__xludf.DUMMYFUNCTION("""COMPUTED_VALUE"""),48.4952)</f>
        <v>48.4952</v>
      </c>
      <c r="AB669" s="320">
        <f>IFERROR(__xludf.DUMMYFUNCTION("""COMPUTED_VALUE"""),0.5232)</f>
        <v>0.5232</v>
      </c>
      <c r="AC669" s="320">
        <f>IFERROR(__xludf.DUMMYFUNCTION("""COMPUTED_VALUE"""),3.9)</f>
        <v>3.9</v>
      </c>
      <c r="AD669" s="320">
        <f>IFERROR(__xludf.DUMMYFUNCTION("""COMPUTED_VALUE"""),1.0)</f>
        <v>1</v>
      </c>
      <c r="AE669" s="320">
        <f>IFERROR(__xludf.DUMMYFUNCTION("""COMPUTED_VALUE"""),2.0)</f>
        <v>2</v>
      </c>
      <c r="AF669" s="320">
        <f>IFERROR(__xludf.DUMMYFUNCTION("""COMPUTED_VALUE"""),5.0)</f>
        <v>5</v>
      </c>
      <c r="AG669" s="320">
        <f>IFERROR(__xludf.DUMMYFUNCTION("""COMPUTED_VALUE"""),9.0)</f>
        <v>9</v>
      </c>
      <c r="AH669" s="320">
        <f>IFERROR(__xludf.DUMMYFUNCTION("""COMPUTED_VALUE"""),71.53)</f>
        <v>71.53</v>
      </c>
      <c r="AI669" s="320">
        <f>IFERROR(__xludf.DUMMYFUNCTION("""COMPUTED_VALUE"""),28.9)</f>
        <v>28.9</v>
      </c>
      <c r="AJ669" s="320">
        <f>IFERROR(__xludf.DUMMYFUNCTION("""COMPUTED_VALUE"""),8.4)</f>
        <v>8.4</v>
      </c>
      <c r="AK669" s="320">
        <f>IFERROR(__xludf.DUMMYFUNCTION("""COMPUTED_VALUE"""),0.2386)</f>
        <v>0.2386</v>
      </c>
      <c r="AL669" s="320">
        <f>IFERROR(__xludf.DUMMYFUNCTION("""COMPUTED_VALUE"""),18.04)</f>
        <v>18.04</v>
      </c>
      <c r="AM669" s="320">
        <f>IFERROR(__xludf.DUMMYFUNCTION("""COMPUTED_VALUE"""),23.27)</f>
        <v>23.27</v>
      </c>
      <c r="AN669" s="320">
        <f>IFERROR(__xludf.DUMMYFUNCTION("""COMPUTED_VALUE"""),65.17)</f>
        <v>65.17</v>
      </c>
      <c r="AO669" s="320">
        <f>IFERROR(__xludf.DUMMYFUNCTION("""COMPUTED_VALUE"""),11.76)</f>
        <v>11.76</v>
      </c>
    </row>
    <row r="670" ht="15.0" customHeight="1">
      <c r="A670" s="328">
        <f>IFERROR(__xludf.DUMMYFUNCTION("""COMPUTED_VALUE"""),46161.0)</f>
        <v>46161</v>
      </c>
      <c r="B670" s="319" t="str">
        <f>IFERROR(__xludf.DUMMYFUNCTION("""COMPUTED_VALUE"""),"C. 10-19")</f>
        <v>C. 10-19</v>
      </c>
      <c r="C670" s="320">
        <f>IFERROR(__xludf.DUMMYFUNCTION("""COMPUTED_VALUE"""),25489.0)</f>
        <v>25489</v>
      </c>
      <c r="D670" s="320">
        <f>IFERROR(__xludf.DUMMYFUNCTION("""COMPUTED_VALUE"""),24.75)</f>
        <v>24.75</v>
      </c>
      <c r="E670" s="320">
        <f>IFERROR(__xludf.DUMMYFUNCTION("""COMPUTED_VALUE"""),0.0)</f>
        <v>0</v>
      </c>
      <c r="F670" s="320">
        <f>IFERROR(__xludf.DUMMYFUNCTION("""COMPUTED_VALUE"""),0.0)</f>
        <v>0</v>
      </c>
      <c r="G670" s="320">
        <f>IFERROR(__xludf.DUMMYFUNCTION("""COMPUTED_VALUE"""),0.0)</f>
        <v>0</v>
      </c>
      <c r="H670" s="106"/>
      <c r="I670" s="320">
        <f>IFERROR(__xludf.DUMMYFUNCTION("""COMPUTED_VALUE"""),54.53)</f>
        <v>54.53</v>
      </c>
      <c r="J670" s="320">
        <f>IFERROR(__xludf.DUMMYFUNCTION("""COMPUTED_VALUE"""),25.67)</f>
        <v>25.67</v>
      </c>
      <c r="K670" s="320">
        <f>IFERROR(__xludf.DUMMYFUNCTION("""COMPUTED_VALUE"""),14.25)</f>
        <v>14.25</v>
      </c>
      <c r="L670" s="320">
        <f>IFERROR(__xludf.DUMMYFUNCTION("""COMPUTED_VALUE"""),0.5552)</f>
        <v>0.5552</v>
      </c>
      <c r="M670" s="320">
        <f>IFERROR(__xludf.DUMMYFUNCTION("""COMPUTED_VALUE"""),0.648)</f>
        <v>0.648</v>
      </c>
      <c r="N670" s="320">
        <f>IFERROR(__xludf.DUMMYFUNCTION("""COMPUTED_VALUE"""),0.4556)</f>
        <v>0.4556</v>
      </c>
      <c r="O670" s="320">
        <f>IFERROR(__xludf.DUMMYFUNCTION("""COMPUTED_VALUE"""),1.8011)</f>
        <v>1.8011</v>
      </c>
      <c r="P670" s="320">
        <f>IFERROR(__xludf.DUMMYFUNCTION("""COMPUTED_VALUE"""),102.4)</f>
        <v>102.4</v>
      </c>
      <c r="Q670" s="320">
        <f>IFERROR(__xludf.DUMMYFUNCTION("""COMPUTED_VALUE"""),75.15)</f>
        <v>75.15</v>
      </c>
      <c r="R670" s="320">
        <f>IFERROR(__xludf.DUMMYFUNCTION("""COMPUTED_VALUE"""),27.25)</f>
        <v>27.25</v>
      </c>
      <c r="S670" s="320">
        <f>IFERROR(__xludf.DUMMYFUNCTION("""COMPUTED_VALUE"""),0.02)</f>
        <v>0.02</v>
      </c>
      <c r="T670" s="320">
        <f>IFERROR(__xludf.DUMMYFUNCTION("""COMPUTED_VALUE"""),102.38)</f>
        <v>102.38</v>
      </c>
      <c r="U670" s="320">
        <f>IFERROR(__xludf.DUMMYFUNCTION("""COMPUTED_VALUE"""),105.55)</f>
        <v>105.55</v>
      </c>
      <c r="V670" s="320">
        <f>IFERROR(__xludf.DUMMYFUNCTION("""COMPUTED_VALUE"""),4.1115)</f>
        <v>4.1115</v>
      </c>
      <c r="W670" s="320">
        <f>IFERROR(__xludf.DUMMYFUNCTION("""COMPUTED_VALUE"""),0.02)</f>
        <v>0.02</v>
      </c>
      <c r="X670" s="320">
        <f>IFERROR(__xludf.DUMMYFUNCTION("""COMPUTED_VALUE"""),136.0)</f>
        <v>136</v>
      </c>
      <c r="Y670" s="320">
        <f>IFERROR(__xludf.DUMMYFUNCTION("""COMPUTED_VALUE"""),810.0)</f>
        <v>810</v>
      </c>
      <c r="Z670" s="320">
        <f>IFERROR(__xludf.DUMMYFUNCTION("""COMPUTED_VALUE"""),6321.0)</f>
        <v>6321</v>
      </c>
      <c r="AA670" s="320">
        <f>IFERROR(__xludf.DUMMYFUNCTION("""COMPUTED_VALUE"""),52.117)</f>
        <v>52.117</v>
      </c>
      <c r="AB670" s="320">
        <f>IFERROR(__xludf.DUMMYFUNCTION("""COMPUTED_VALUE"""),0.5936)</f>
        <v>0.5936</v>
      </c>
      <c r="AC670" s="320">
        <f>IFERROR(__xludf.DUMMYFUNCTION("""COMPUTED_VALUE"""),9.47)</f>
        <v>9.47</v>
      </c>
      <c r="AD670" s="320">
        <f>IFERROR(__xludf.DUMMYFUNCTION("""COMPUTED_VALUE"""),3.0)</f>
        <v>3</v>
      </c>
      <c r="AE670" s="320">
        <f>IFERROR(__xludf.DUMMYFUNCTION("""COMPUTED_VALUE"""),7.0)</f>
        <v>7</v>
      </c>
      <c r="AF670" s="320">
        <f>IFERROR(__xludf.DUMMYFUNCTION("""COMPUTED_VALUE"""),13.0)</f>
        <v>13</v>
      </c>
      <c r="AG670" s="320">
        <f>IFERROR(__xludf.DUMMYFUNCTION("""COMPUTED_VALUE"""),20.0)</f>
        <v>20</v>
      </c>
      <c r="AH670" s="320">
        <f>IFERROR(__xludf.DUMMYFUNCTION("""COMPUTED_VALUE"""),60.23)</f>
        <v>60.23</v>
      </c>
      <c r="AI670" s="320">
        <f>IFERROR(__xludf.DUMMYFUNCTION("""COMPUTED_VALUE"""),26.95)</f>
        <v>26.95</v>
      </c>
      <c r="AJ670" s="320">
        <f>IFERROR(__xludf.DUMMYFUNCTION("""COMPUTED_VALUE"""),4.57)</f>
        <v>4.57</v>
      </c>
      <c r="AK670" s="320">
        <f>IFERROR(__xludf.DUMMYFUNCTION("""COMPUTED_VALUE"""),0.1722)</f>
        <v>0.1722</v>
      </c>
      <c r="AL670" s="320">
        <f>IFERROR(__xludf.DUMMYFUNCTION("""COMPUTED_VALUE"""),18.91)</f>
        <v>18.91</v>
      </c>
      <c r="AM670" s="320">
        <f>IFERROR(__xludf.DUMMYFUNCTION("""COMPUTED_VALUE"""),56.24)</f>
        <v>56.24</v>
      </c>
      <c r="AN670" s="320">
        <f>IFERROR(__xludf.DUMMYFUNCTION("""COMPUTED_VALUE"""),72.53)</f>
        <v>72.53</v>
      </c>
      <c r="AO670" s="320">
        <f>IFERROR(__xludf.DUMMYFUNCTION("""COMPUTED_VALUE"""),13.72)</f>
        <v>13.72</v>
      </c>
    </row>
    <row r="671" ht="15.0" customHeight="1">
      <c r="A671" s="328">
        <f>IFERROR(__xludf.DUMMYFUNCTION("""COMPUTED_VALUE"""),46161.0)</f>
        <v>46161</v>
      </c>
      <c r="B671" s="319" t="str">
        <f>IFERROR(__xludf.DUMMYFUNCTION("""COMPUTED_VALUE"""),"D. 20-39")</f>
        <v>D. 20-39</v>
      </c>
      <c r="C671" s="320">
        <f>IFERROR(__xludf.DUMMYFUNCTION("""COMPUTED_VALUE"""),14083.0)</f>
        <v>14083</v>
      </c>
      <c r="D671" s="320">
        <f>IFERROR(__xludf.DUMMYFUNCTION("""COMPUTED_VALUE"""),13.67)</f>
        <v>13.67</v>
      </c>
      <c r="E671" s="320">
        <f>IFERROR(__xludf.DUMMYFUNCTION("""COMPUTED_VALUE"""),0.0)</f>
        <v>0</v>
      </c>
      <c r="F671" s="320">
        <f>IFERROR(__xludf.DUMMYFUNCTION("""COMPUTED_VALUE"""),0.0)</f>
        <v>0</v>
      </c>
      <c r="G671" s="320">
        <f>IFERROR(__xludf.DUMMYFUNCTION("""COMPUTED_VALUE"""),0.0)</f>
        <v>0</v>
      </c>
      <c r="H671" s="106"/>
      <c r="I671" s="320">
        <f>IFERROR(__xludf.DUMMYFUNCTION("""COMPUTED_VALUE"""),80.78)</f>
        <v>80.78</v>
      </c>
      <c r="J671" s="320">
        <f>IFERROR(__xludf.DUMMYFUNCTION("""COMPUTED_VALUE"""),40.71)</f>
        <v>40.71</v>
      </c>
      <c r="K671" s="320">
        <f>IFERROR(__xludf.DUMMYFUNCTION("""COMPUTED_VALUE"""),28.29)</f>
        <v>28.29</v>
      </c>
      <c r="L671" s="320">
        <f>IFERROR(__xludf.DUMMYFUNCTION("""COMPUTED_VALUE"""),0.6951)</f>
        <v>0.6951</v>
      </c>
      <c r="M671" s="320">
        <f>IFERROR(__xludf.DUMMYFUNCTION("""COMPUTED_VALUE"""),0.5067)</f>
        <v>0.5067</v>
      </c>
      <c r="N671" s="320">
        <f>IFERROR(__xludf.DUMMYFUNCTION("""COMPUTED_VALUE"""),0.3547)</f>
        <v>0.3547</v>
      </c>
      <c r="O671" s="320">
        <f>IFERROR(__xludf.DUMMYFUNCTION("""COMPUTED_VALUE"""),1.4386)</f>
        <v>1.4386</v>
      </c>
      <c r="P671" s="320">
        <f>IFERROR(__xludf.DUMMYFUNCTION("""COMPUTED_VALUE"""),179.44)</f>
        <v>179.44</v>
      </c>
      <c r="Q671" s="320">
        <f>IFERROR(__xludf.DUMMYFUNCTION("""COMPUTED_VALUE"""),127.77)</f>
        <v>127.77</v>
      </c>
      <c r="R671" s="320">
        <f>IFERROR(__xludf.DUMMYFUNCTION("""COMPUTED_VALUE"""),51.68)</f>
        <v>51.68</v>
      </c>
      <c r="S671" s="320">
        <f>IFERROR(__xludf.DUMMYFUNCTION("""COMPUTED_VALUE"""),0.0)</f>
        <v>0</v>
      </c>
      <c r="T671" s="320">
        <f>IFERROR(__xludf.DUMMYFUNCTION("""COMPUTED_VALUE"""),179.44)</f>
        <v>179.44</v>
      </c>
      <c r="U671" s="320">
        <f>IFERROR(__xludf.DUMMYFUNCTION("""COMPUTED_VALUE"""),184.47)</f>
        <v>184.47</v>
      </c>
      <c r="V671" s="320">
        <f>IFERROR(__xludf.DUMMYFUNCTION("""COMPUTED_VALUE"""),4.5318)</f>
        <v>4.5318</v>
      </c>
      <c r="W671" s="320">
        <f>IFERROR(__xludf.DUMMYFUNCTION("""COMPUTED_VALUE"""),0.0)</f>
        <v>0</v>
      </c>
      <c r="X671" s="320">
        <f>IFERROR(__xludf.DUMMYFUNCTION("""COMPUTED_VALUE"""),168.0)</f>
        <v>168</v>
      </c>
      <c r="Y671" s="320">
        <f>IFERROR(__xludf.DUMMYFUNCTION("""COMPUTED_VALUE"""),1087.0)</f>
        <v>1087</v>
      </c>
      <c r="Z671" s="320">
        <f>IFERROR(__xludf.DUMMYFUNCTION("""COMPUTED_VALUE"""),7459.0)</f>
        <v>7459</v>
      </c>
      <c r="AA671" s="320">
        <f>IFERROR(__xludf.DUMMYFUNCTION("""COMPUTED_VALUE"""),55.5233)</f>
        <v>55.5233</v>
      </c>
      <c r="AB671" s="320">
        <f>IFERROR(__xludf.DUMMYFUNCTION("""COMPUTED_VALUE"""),0.688)</f>
        <v>0.688</v>
      </c>
      <c r="AC671" s="320">
        <f>IFERROR(__xludf.DUMMYFUNCTION("""COMPUTED_VALUE"""),17.79)</f>
        <v>17.79</v>
      </c>
      <c r="AD671" s="320">
        <f>IFERROR(__xludf.DUMMYFUNCTION("""COMPUTED_VALUE"""),7.0)</f>
        <v>7</v>
      </c>
      <c r="AE671" s="320">
        <f>IFERROR(__xludf.DUMMYFUNCTION("""COMPUTED_VALUE"""),14.0)</f>
        <v>14</v>
      </c>
      <c r="AF671" s="320">
        <f>IFERROR(__xludf.DUMMYFUNCTION("""COMPUTED_VALUE"""),25.0)</f>
        <v>25</v>
      </c>
      <c r="AG671" s="320">
        <f>IFERROR(__xludf.DUMMYFUNCTION("""COMPUTED_VALUE"""),37.0)</f>
        <v>37</v>
      </c>
      <c r="AH671" s="320">
        <f>IFERROR(__xludf.DUMMYFUNCTION("""COMPUTED_VALUE"""),60.59)</f>
        <v>60.59</v>
      </c>
      <c r="AI671" s="320">
        <f>IFERROR(__xludf.DUMMYFUNCTION("""COMPUTED_VALUE"""),24.16)</f>
        <v>24.16</v>
      </c>
      <c r="AJ671" s="320">
        <f>IFERROR(__xludf.DUMMYFUNCTION("""COMPUTED_VALUE"""),6.8)</f>
        <v>6.8</v>
      </c>
      <c r="AK671" s="320">
        <f>IFERROR(__xludf.DUMMYFUNCTION("""COMPUTED_VALUE"""),0.1568)</f>
        <v>0.1568</v>
      </c>
      <c r="AL671" s="320">
        <f>IFERROR(__xludf.DUMMYFUNCTION("""COMPUTED_VALUE"""),19.15)</f>
        <v>19.15</v>
      </c>
      <c r="AM671" s="320">
        <f>IFERROR(__xludf.DUMMYFUNCTION("""COMPUTED_VALUE"""),108.62)</f>
        <v>108.62</v>
      </c>
      <c r="AN671" s="320">
        <f>IFERROR(__xludf.DUMMYFUNCTION("""COMPUTED_VALUE"""),73.55)</f>
        <v>73.55</v>
      </c>
      <c r="AO671" s="320">
        <f>IFERROR(__xludf.DUMMYFUNCTION("""COMPUTED_VALUE"""),14.08)</f>
        <v>14.08</v>
      </c>
    </row>
    <row r="672" ht="15.0" customHeight="1">
      <c r="A672" s="328">
        <f>IFERROR(__xludf.DUMMYFUNCTION("""COMPUTED_VALUE"""),46161.0)</f>
        <v>46161</v>
      </c>
      <c r="B672" s="319" t="str">
        <f>IFERROR(__xludf.DUMMYFUNCTION("""COMPUTED_VALUE"""),"E. 40-99")</f>
        <v>E. 40-99</v>
      </c>
      <c r="C672" s="320">
        <f>IFERROR(__xludf.DUMMYFUNCTION("""COMPUTED_VALUE"""),5238.0)</f>
        <v>5238</v>
      </c>
      <c r="D672" s="320">
        <f>IFERROR(__xludf.DUMMYFUNCTION("""COMPUTED_VALUE"""),5.09)</f>
        <v>5.09</v>
      </c>
      <c r="E672" s="320">
        <f>IFERROR(__xludf.DUMMYFUNCTION("""COMPUTED_VALUE"""),0.0)</f>
        <v>0</v>
      </c>
      <c r="F672" s="320">
        <f>IFERROR(__xludf.DUMMYFUNCTION("""COMPUTED_VALUE"""),0.0)</f>
        <v>0</v>
      </c>
      <c r="G672" s="320">
        <f>IFERROR(__xludf.DUMMYFUNCTION("""COMPUTED_VALUE"""),0.0)</f>
        <v>0</v>
      </c>
      <c r="H672" s="106"/>
      <c r="I672" s="320">
        <f>IFERROR(__xludf.DUMMYFUNCTION("""COMPUTED_VALUE"""),124.83)</f>
        <v>124.83</v>
      </c>
      <c r="J672" s="320">
        <f>IFERROR(__xludf.DUMMYFUNCTION("""COMPUTED_VALUE"""),67.36)</f>
        <v>67.36</v>
      </c>
      <c r="K672" s="320">
        <f>IFERROR(__xludf.DUMMYFUNCTION("""COMPUTED_VALUE"""),54.54)</f>
        <v>54.54</v>
      </c>
      <c r="L672" s="320">
        <f>IFERROR(__xludf.DUMMYFUNCTION("""COMPUTED_VALUE"""),0.8096)</f>
        <v>0.8096</v>
      </c>
      <c r="M672" s="320">
        <f>IFERROR(__xludf.DUMMYFUNCTION("""COMPUTED_VALUE"""),0.3802)</f>
        <v>0.3802</v>
      </c>
      <c r="N672" s="320">
        <f>IFERROR(__xludf.DUMMYFUNCTION("""COMPUTED_VALUE"""),0.2783)</f>
        <v>0.2783</v>
      </c>
      <c r="O672" s="320">
        <f>IFERROR(__xludf.DUMMYFUNCTION("""COMPUTED_VALUE"""),1.2351)</f>
        <v>1.2351</v>
      </c>
      <c r="P672" s="320">
        <f>IFERROR(__xludf.DUMMYFUNCTION("""COMPUTED_VALUE"""),324.48)</f>
        <v>324.48</v>
      </c>
      <c r="Q672" s="320">
        <f>IFERROR(__xludf.DUMMYFUNCTION("""COMPUTED_VALUE"""),216.87)</f>
        <v>216.87</v>
      </c>
      <c r="R672" s="320">
        <f>IFERROR(__xludf.DUMMYFUNCTION("""COMPUTED_VALUE"""),107.61)</f>
        <v>107.61</v>
      </c>
      <c r="S672" s="320">
        <f>IFERROR(__xludf.DUMMYFUNCTION("""COMPUTED_VALUE"""),0.0)</f>
        <v>0</v>
      </c>
      <c r="T672" s="320">
        <f>IFERROR(__xludf.DUMMYFUNCTION("""COMPUTED_VALUE"""),324.48)</f>
        <v>324.48</v>
      </c>
      <c r="U672" s="320">
        <f>IFERROR(__xludf.DUMMYFUNCTION("""COMPUTED_VALUE"""),323.76)</f>
        <v>323.76</v>
      </c>
      <c r="V672" s="320">
        <f>IFERROR(__xludf.DUMMYFUNCTION("""COMPUTED_VALUE"""),4.8064)</f>
        <v>4.8064</v>
      </c>
      <c r="W672" s="320">
        <f>IFERROR(__xludf.DUMMYFUNCTION("""COMPUTED_VALUE"""),0.0)</f>
        <v>0</v>
      </c>
      <c r="X672" s="320">
        <f>IFERROR(__xludf.DUMMYFUNCTION("""COMPUTED_VALUE"""),319.0)</f>
        <v>319</v>
      </c>
      <c r="Y672" s="320">
        <f>IFERROR(__xludf.DUMMYFUNCTION("""COMPUTED_VALUE"""),2584.0)</f>
        <v>2584</v>
      </c>
      <c r="Z672" s="320">
        <f>IFERROR(__xludf.DUMMYFUNCTION("""COMPUTED_VALUE"""),10604.0)</f>
        <v>10604</v>
      </c>
      <c r="AA672" s="320">
        <f>IFERROR(__xludf.DUMMYFUNCTION("""COMPUTED_VALUE"""),60.0799)</f>
        <v>60.0799</v>
      </c>
      <c r="AB672" s="320">
        <f>IFERROR(__xludf.DUMMYFUNCTION("""COMPUTED_VALUE"""),0.842)</f>
        <v>0.842</v>
      </c>
      <c r="AC672" s="320">
        <f>IFERROR(__xludf.DUMMYFUNCTION("""COMPUTED_VALUE"""),39.05)</f>
        <v>39.05</v>
      </c>
      <c r="AD672" s="320">
        <f>IFERROR(__xludf.DUMMYFUNCTION("""COMPUTED_VALUE"""),16.0)</f>
        <v>16</v>
      </c>
      <c r="AE672" s="320">
        <f>IFERROR(__xludf.DUMMYFUNCTION("""COMPUTED_VALUE"""),32.0)</f>
        <v>32</v>
      </c>
      <c r="AF672" s="320">
        <f>IFERROR(__xludf.DUMMYFUNCTION("""COMPUTED_VALUE"""),53.0)</f>
        <v>53</v>
      </c>
      <c r="AG672" s="320">
        <f>IFERROR(__xludf.DUMMYFUNCTION("""COMPUTED_VALUE"""),78.0)</f>
        <v>78</v>
      </c>
      <c r="AH672" s="320">
        <f>IFERROR(__xludf.DUMMYFUNCTION("""COMPUTED_VALUE"""),56.53)</f>
        <v>56.53</v>
      </c>
      <c r="AI672" s="320">
        <f>IFERROR(__xludf.DUMMYFUNCTION("""COMPUTED_VALUE"""),20.47)</f>
        <v>20.47</v>
      </c>
      <c r="AJ672" s="320">
        <f>IFERROR(__xludf.DUMMYFUNCTION("""COMPUTED_VALUE"""),5.17)</f>
        <v>5.17</v>
      </c>
      <c r="AK672" s="320">
        <f>IFERROR(__xludf.DUMMYFUNCTION("""COMPUTED_VALUE"""),0.1157)</f>
        <v>0.1157</v>
      </c>
      <c r="AL672" s="320">
        <f>IFERROR(__xludf.DUMMYFUNCTION("""COMPUTED_VALUE"""),20.26)</f>
        <v>20.26</v>
      </c>
      <c r="AM672" s="320">
        <f>IFERROR(__xludf.DUMMYFUNCTION("""COMPUTED_VALUE"""),196.61)</f>
        <v>196.61</v>
      </c>
      <c r="AN672" s="320">
        <f>IFERROR(__xludf.DUMMYFUNCTION("""COMPUTED_VALUE"""),82.89)</f>
        <v>82.89</v>
      </c>
      <c r="AO672" s="320">
        <f>IFERROR(__xludf.DUMMYFUNCTION("""COMPUTED_VALUE"""),16.79)</f>
        <v>16.79</v>
      </c>
    </row>
    <row r="673" ht="15.0" customHeight="1">
      <c r="A673" s="328">
        <f>IFERROR(__xludf.DUMMYFUNCTION("""COMPUTED_VALUE"""),46161.0)</f>
        <v>46161</v>
      </c>
      <c r="B673" s="319" t="str">
        <f>IFERROR(__xludf.DUMMYFUNCTION("""COMPUTED_VALUE"""),"F. 100+")</f>
        <v>F. 100+</v>
      </c>
      <c r="C673" s="320">
        <f>IFERROR(__xludf.DUMMYFUNCTION("""COMPUTED_VALUE"""),594.0)</f>
        <v>594</v>
      </c>
      <c r="D673" s="320">
        <f>IFERROR(__xludf.DUMMYFUNCTION("""COMPUTED_VALUE"""),0.58)</f>
        <v>0.58</v>
      </c>
      <c r="E673" s="320">
        <f>IFERROR(__xludf.DUMMYFUNCTION("""COMPUTED_VALUE"""),0.0)</f>
        <v>0</v>
      </c>
      <c r="F673" s="320">
        <f>IFERROR(__xludf.DUMMYFUNCTION("""COMPUTED_VALUE"""),0.0)</f>
        <v>0</v>
      </c>
      <c r="G673" s="320">
        <f>IFERROR(__xludf.DUMMYFUNCTION("""COMPUTED_VALUE"""),0.0)</f>
        <v>0</v>
      </c>
      <c r="H673" s="106"/>
      <c r="I673" s="320">
        <f>IFERROR(__xludf.DUMMYFUNCTION("""COMPUTED_VALUE"""),244.47)</f>
        <v>244.47</v>
      </c>
      <c r="J673" s="320">
        <f>IFERROR(__xludf.DUMMYFUNCTION("""COMPUTED_VALUE"""),140.06)</f>
        <v>140.06</v>
      </c>
      <c r="K673" s="320">
        <f>IFERROR(__xludf.DUMMYFUNCTION("""COMPUTED_VALUE"""),124.79)</f>
        <v>124.79</v>
      </c>
      <c r="L673" s="320">
        <f>IFERROR(__xludf.DUMMYFUNCTION("""COMPUTED_VALUE"""),0.8909)</f>
        <v>0.8909</v>
      </c>
      <c r="M673" s="320">
        <f>IFERROR(__xludf.DUMMYFUNCTION("""COMPUTED_VALUE"""),0.2714)</f>
        <v>0.2714</v>
      </c>
      <c r="N673" s="320">
        <f>IFERROR(__xludf.DUMMYFUNCTION("""COMPUTED_VALUE"""),0.209)</f>
        <v>0.209</v>
      </c>
      <c r="O673" s="320">
        <f>IFERROR(__xludf.DUMMYFUNCTION("""COMPUTED_VALUE"""),1.1224)</f>
        <v>1.1224</v>
      </c>
      <c r="P673" s="320">
        <f>IFERROR(__xludf.DUMMYFUNCTION("""COMPUTED_VALUE"""),629.0)</f>
        <v>629</v>
      </c>
      <c r="Q673" s="320">
        <f>IFERROR(__xludf.DUMMYFUNCTION("""COMPUTED_VALUE"""),377.23)</f>
        <v>377.23</v>
      </c>
      <c r="R673" s="320">
        <f>IFERROR(__xludf.DUMMYFUNCTION("""COMPUTED_VALUE"""),251.77)</f>
        <v>251.77</v>
      </c>
      <c r="S673" s="320">
        <f>IFERROR(__xludf.DUMMYFUNCTION("""COMPUTED_VALUE"""),0.0)</f>
        <v>0</v>
      </c>
      <c r="T673" s="320">
        <f>IFERROR(__xludf.DUMMYFUNCTION("""COMPUTED_VALUE"""),629.0)</f>
        <v>629</v>
      </c>
      <c r="U673" s="320">
        <f>IFERROR(__xludf.DUMMYFUNCTION("""COMPUTED_VALUE"""),761.87)</f>
        <v>761.87</v>
      </c>
      <c r="V673" s="320">
        <f>IFERROR(__xludf.DUMMYFUNCTION("""COMPUTED_VALUE"""),5.4394)</f>
        <v>5.4394</v>
      </c>
      <c r="W673" s="320">
        <f>IFERROR(__xludf.DUMMYFUNCTION("""COMPUTED_VALUE"""),0.0)</f>
        <v>0</v>
      </c>
      <c r="X673" s="320">
        <f>IFERROR(__xludf.DUMMYFUNCTION("""COMPUTED_VALUE"""),779.0)</f>
        <v>779</v>
      </c>
      <c r="Y673" s="320">
        <f>IFERROR(__xludf.DUMMYFUNCTION("""COMPUTED_VALUE"""),4306.0)</f>
        <v>4306</v>
      </c>
      <c r="Z673" s="320">
        <f>IFERROR(__xludf.DUMMYFUNCTION("""COMPUTED_VALUE"""),13011.0)</f>
        <v>13011</v>
      </c>
      <c r="AA673" s="320">
        <f>IFERROR(__xludf.DUMMYFUNCTION("""COMPUTED_VALUE"""),63.4146)</f>
        <v>63.4146</v>
      </c>
      <c r="AB673" s="320">
        <f>IFERROR(__xludf.DUMMYFUNCTION("""COMPUTED_VALUE"""),0.9179)</f>
        <v>0.9179</v>
      </c>
      <c r="AC673" s="320">
        <f>IFERROR(__xludf.DUMMYFUNCTION("""COMPUTED_VALUE"""),95.87)</f>
        <v>95.87</v>
      </c>
      <c r="AD673" s="320">
        <f>IFERROR(__xludf.DUMMYFUNCTION("""COMPUTED_VALUE"""),47.0)</f>
        <v>47</v>
      </c>
      <c r="AE673" s="320">
        <f>IFERROR(__xludf.DUMMYFUNCTION("""COMPUTED_VALUE"""),85.0)</f>
        <v>85</v>
      </c>
      <c r="AF673" s="320">
        <f>IFERROR(__xludf.DUMMYFUNCTION("""COMPUTED_VALUE"""),133.0)</f>
        <v>133</v>
      </c>
      <c r="AG673" s="320">
        <f>IFERROR(__xludf.DUMMYFUNCTION("""COMPUTED_VALUE"""),180.0)</f>
        <v>180</v>
      </c>
      <c r="AH673" s="320">
        <f>IFERROR(__xludf.DUMMYFUNCTION("""COMPUTED_VALUE"""),53.7)</f>
        <v>53.7</v>
      </c>
      <c r="AI673" s="320">
        <f>IFERROR(__xludf.DUMMYFUNCTION("""COMPUTED_VALUE"""),11.11)</f>
        <v>11.11</v>
      </c>
      <c r="AJ673" s="320">
        <f>IFERROR(__xludf.DUMMYFUNCTION("""COMPUTED_VALUE"""),1.35)</f>
        <v>1.35</v>
      </c>
      <c r="AK673" s="320">
        <f>IFERROR(__xludf.DUMMYFUNCTION("""COMPUTED_VALUE"""),0.069)</f>
        <v>0.069</v>
      </c>
      <c r="AL673" s="320">
        <f>IFERROR(__xludf.DUMMYFUNCTION("""COMPUTED_VALUE"""),21.94)</f>
        <v>21.94</v>
      </c>
      <c r="AM673" s="320">
        <f>IFERROR(__xludf.DUMMYFUNCTION("""COMPUTED_VALUE"""),355.29)</f>
        <v>355.29</v>
      </c>
      <c r="AN673" s="320">
        <f>IFERROR(__xludf.DUMMYFUNCTION("""COMPUTED_VALUE"""),83.77)</f>
        <v>83.77</v>
      </c>
      <c r="AO673" s="320">
        <f>IFERROR(__xludf.DUMMYFUNCTION("""COMPUTED_VALUE"""),18.38)</f>
        <v>18.38</v>
      </c>
    </row>
    <row r="674" ht="15.0" customHeight="1">
      <c r="A674" s="328">
        <f>IFERROR(__xludf.DUMMYFUNCTION("""COMPUTED_VALUE"""),46162.0)</f>
        <v>46162</v>
      </c>
      <c r="B674" s="319" t="str">
        <f>IFERROR(__xludf.DUMMYFUNCTION("""COMPUTED_VALUE"""),"A. 0")</f>
        <v>A. 0</v>
      </c>
      <c r="C674" s="320">
        <f>IFERROR(__xludf.DUMMYFUNCTION("""COMPUTED_VALUE"""),20542.0)</f>
        <v>20542</v>
      </c>
      <c r="D674" s="320">
        <f>IFERROR(__xludf.DUMMYFUNCTION("""COMPUTED_VALUE"""),20.33)</f>
        <v>20.33</v>
      </c>
      <c r="E674" s="320">
        <f>IFERROR(__xludf.DUMMYFUNCTION("""COMPUTED_VALUE"""),0.0)</f>
        <v>0</v>
      </c>
      <c r="F674" s="320">
        <f>IFERROR(__xludf.DUMMYFUNCTION("""COMPUTED_VALUE"""),0.0)</f>
        <v>0</v>
      </c>
      <c r="G674" s="320">
        <f>IFERROR(__xludf.DUMMYFUNCTION("""COMPUTED_VALUE"""),0.0)</f>
        <v>0</v>
      </c>
      <c r="H674" s="106"/>
      <c r="I674" s="320">
        <f>IFERROR(__xludf.DUMMYFUNCTION("""COMPUTED_VALUE"""),6.95)</f>
        <v>6.95</v>
      </c>
      <c r="J674" s="320">
        <f>IFERROR(__xludf.DUMMYFUNCTION("""COMPUTED_VALUE"""),3.02)</f>
        <v>3.02</v>
      </c>
      <c r="K674" s="320">
        <f>IFERROR(__xludf.DUMMYFUNCTION("""COMPUTED_VALUE"""),0.07)</f>
        <v>0.07</v>
      </c>
      <c r="L674" s="320">
        <f>IFERROR(__xludf.DUMMYFUNCTION("""COMPUTED_VALUE"""),0.0243)</f>
        <v>0.0243</v>
      </c>
      <c r="M674" s="320">
        <f>IFERROR(__xludf.DUMMYFUNCTION("""COMPUTED_VALUE"""),0.9817)</f>
        <v>0.9817</v>
      </c>
      <c r="N674" s="320">
        <f>IFERROR(__xludf.DUMMYFUNCTION("""COMPUTED_VALUE"""),0.7574)</f>
        <v>0.7574</v>
      </c>
      <c r="O674" s="320">
        <f>IFERROR(__xludf.DUMMYFUNCTION("""COMPUTED_VALUE"""),41.2161)</f>
        <v>41.2161</v>
      </c>
      <c r="P674" s="320">
        <f>IFERROR(__xludf.DUMMYFUNCTION("""COMPUTED_VALUE"""),20.31)</f>
        <v>20.31</v>
      </c>
      <c r="Q674" s="320">
        <f>IFERROR(__xludf.DUMMYFUNCTION("""COMPUTED_VALUE"""),20.19)</f>
        <v>20.19</v>
      </c>
      <c r="R674" s="320">
        <f>IFERROR(__xludf.DUMMYFUNCTION("""COMPUTED_VALUE"""),0.12)</f>
        <v>0.12</v>
      </c>
      <c r="S674" s="320">
        <f>IFERROR(__xludf.DUMMYFUNCTION("""COMPUTED_VALUE"""),0.0)</f>
        <v>0</v>
      </c>
      <c r="T674" s="320">
        <f>IFERROR(__xludf.DUMMYFUNCTION("""COMPUTED_VALUE"""),20.31)</f>
        <v>20.31</v>
      </c>
      <c r="U674" s="320">
        <f>IFERROR(__xludf.DUMMYFUNCTION("""COMPUTED_VALUE"""),2.08)</f>
        <v>2.08</v>
      </c>
      <c r="V674" s="320">
        <f>IFERROR(__xludf.DUMMYFUNCTION("""COMPUTED_VALUE"""),0.688)</f>
        <v>0.688</v>
      </c>
      <c r="W674" s="320">
        <f>IFERROR(__xludf.DUMMYFUNCTION("""COMPUTED_VALUE"""),0.0)</f>
        <v>0</v>
      </c>
      <c r="X674" s="320">
        <f>IFERROR(__xludf.DUMMYFUNCTION("""COMPUTED_VALUE"""),302.0)</f>
        <v>302</v>
      </c>
      <c r="Y674" s="320">
        <f>IFERROR(__xludf.DUMMYFUNCTION("""COMPUTED_VALUE"""),3766.0)</f>
        <v>3766</v>
      </c>
      <c r="Z674" s="320">
        <f>IFERROR(__xludf.DUMMYFUNCTION("""COMPUTED_VALUE"""),15195.0)</f>
        <v>15195</v>
      </c>
      <c r="AA674" s="320">
        <f>IFERROR(__xludf.DUMMYFUNCTION("""COMPUTED_VALUE"""),48.5998)</f>
        <v>48.5998</v>
      </c>
      <c r="AB674" s="320">
        <f>IFERROR(__xludf.DUMMYFUNCTION("""COMPUTED_VALUE"""),0.5373)</f>
        <v>0.5373</v>
      </c>
      <c r="AC674" s="106"/>
      <c r="AD674" s="106"/>
      <c r="AE674" s="106"/>
      <c r="AF674" s="106"/>
      <c r="AG674" s="106"/>
      <c r="AH674" s="320">
        <f>IFERROR(__xludf.DUMMYFUNCTION("""COMPUTED_VALUE"""),0.0)</f>
        <v>0</v>
      </c>
      <c r="AI674" s="320">
        <f>IFERROR(__xludf.DUMMYFUNCTION("""COMPUTED_VALUE"""),0.0)</f>
        <v>0</v>
      </c>
      <c r="AJ674" s="320">
        <f>IFERROR(__xludf.DUMMYFUNCTION("""COMPUTED_VALUE"""),0.0)</f>
        <v>0</v>
      </c>
      <c r="AK674" s="320">
        <f>IFERROR(__xludf.DUMMYFUNCTION("""COMPUTED_VALUE"""),0.2732)</f>
        <v>0.2732</v>
      </c>
      <c r="AL674" s="320">
        <f>IFERROR(__xludf.DUMMYFUNCTION("""COMPUTED_VALUE"""),15.18)</f>
        <v>15.18</v>
      </c>
      <c r="AM674" s="320">
        <f>IFERROR(__xludf.DUMMYFUNCTION("""COMPUTED_VALUE"""),5.0)</f>
        <v>5</v>
      </c>
      <c r="AN674" s="331"/>
      <c r="AO674" s="331"/>
    </row>
    <row r="675" ht="15.0" customHeight="1">
      <c r="A675" s="328">
        <f>IFERROR(__xludf.DUMMYFUNCTION("""COMPUTED_VALUE"""),46162.0)</f>
        <v>46162</v>
      </c>
      <c r="B675" s="319" t="str">
        <f>IFERROR(__xludf.DUMMYFUNCTION("""COMPUTED_VALUE"""),"B. 1-9")</f>
        <v>B. 1-9</v>
      </c>
      <c r="C675" s="320">
        <f>IFERROR(__xludf.DUMMYFUNCTION("""COMPUTED_VALUE"""),36910.0)</f>
        <v>36910</v>
      </c>
      <c r="D675" s="320">
        <f>IFERROR(__xludf.DUMMYFUNCTION("""COMPUTED_VALUE"""),36.53)</f>
        <v>36.53</v>
      </c>
      <c r="E675" s="320">
        <f>IFERROR(__xludf.DUMMYFUNCTION("""COMPUTED_VALUE"""),0.0)</f>
        <v>0</v>
      </c>
      <c r="F675" s="320">
        <f>IFERROR(__xludf.DUMMYFUNCTION("""COMPUTED_VALUE"""),0.0)</f>
        <v>0</v>
      </c>
      <c r="G675" s="320">
        <f>IFERROR(__xludf.DUMMYFUNCTION("""COMPUTED_VALUE"""),0.0)</f>
        <v>0</v>
      </c>
      <c r="H675" s="106"/>
      <c r="I675" s="320">
        <f>IFERROR(__xludf.DUMMYFUNCTION("""COMPUTED_VALUE"""),31.32)</f>
        <v>31.32</v>
      </c>
      <c r="J675" s="320">
        <f>IFERROR(__xludf.DUMMYFUNCTION("""COMPUTED_VALUE"""),14.5)</f>
        <v>14.5</v>
      </c>
      <c r="K675" s="320">
        <f>IFERROR(__xludf.DUMMYFUNCTION("""COMPUTED_VALUE"""),5.51)</f>
        <v>5.51</v>
      </c>
      <c r="L675" s="320">
        <f>IFERROR(__xludf.DUMMYFUNCTION("""COMPUTED_VALUE"""),0.3801)</f>
        <v>0.3801</v>
      </c>
      <c r="M675" s="320">
        <f>IFERROR(__xludf.DUMMYFUNCTION("""COMPUTED_VALUE"""),0.7825)</f>
        <v>0.7825</v>
      </c>
      <c r="N675" s="320">
        <f>IFERROR(__xludf.DUMMYFUNCTION("""COMPUTED_VALUE"""),0.5803)</f>
        <v>0.5803</v>
      </c>
      <c r="O675" s="320">
        <f>IFERROR(__xludf.DUMMYFUNCTION("""COMPUTED_VALUE"""),2.6307)</f>
        <v>2.6307</v>
      </c>
      <c r="P675" s="320">
        <f>IFERROR(__xludf.DUMMYFUNCTION("""COMPUTED_VALUE"""),44.42)</f>
        <v>44.42</v>
      </c>
      <c r="Q675" s="320">
        <f>IFERROR(__xludf.DUMMYFUNCTION("""COMPUTED_VALUE"""),33.66)</f>
        <v>33.66</v>
      </c>
      <c r="R675" s="320">
        <f>IFERROR(__xludf.DUMMYFUNCTION("""COMPUTED_VALUE"""),10.76)</f>
        <v>10.76</v>
      </c>
      <c r="S675" s="320">
        <f>IFERROR(__xludf.DUMMYFUNCTION("""COMPUTED_VALUE"""),0.0)</f>
        <v>0</v>
      </c>
      <c r="T675" s="320">
        <f>IFERROR(__xludf.DUMMYFUNCTION("""COMPUTED_VALUE"""),44.42)</f>
        <v>44.42</v>
      </c>
      <c r="U675" s="320">
        <f>IFERROR(__xludf.DUMMYFUNCTION("""COMPUTED_VALUE"""),50.43)</f>
        <v>50.43</v>
      </c>
      <c r="V675" s="320">
        <f>IFERROR(__xludf.DUMMYFUNCTION("""COMPUTED_VALUE"""),3.4787)</f>
        <v>3.4787</v>
      </c>
      <c r="W675" s="320">
        <f>IFERROR(__xludf.DUMMYFUNCTION("""COMPUTED_VALUE"""),0.0)</f>
        <v>0</v>
      </c>
      <c r="X675" s="320">
        <f>IFERROR(__xludf.DUMMYFUNCTION("""COMPUTED_VALUE"""),134.0)</f>
        <v>134</v>
      </c>
      <c r="Y675" s="320">
        <f>IFERROR(__xludf.DUMMYFUNCTION("""COMPUTED_VALUE"""),901.0)</f>
        <v>901</v>
      </c>
      <c r="Z675" s="320">
        <f>IFERROR(__xludf.DUMMYFUNCTION("""COMPUTED_VALUE"""),6038.0)</f>
        <v>6038</v>
      </c>
      <c r="AA675" s="320">
        <f>IFERROR(__xludf.DUMMYFUNCTION("""COMPUTED_VALUE"""),48.4277)</f>
        <v>48.4277</v>
      </c>
      <c r="AB675" s="320">
        <f>IFERROR(__xludf.DUMMYFUNCTION("""COMPUTED_VALUE"""),0.5256)</f>
        <v>0.5256</v>
      </c>
      <c r="AC675" s="320">
        <f>IFERROR(__xludf.DUMMYFUNCTION("""COMPUTED_VALUE"""),3.87)</f>
        <v>3.87</v>
      </c>
      <c r="AD675" s="320">
        <f>IFERROR(__xludf.DUMMYFUNCTION("""COMPUTED_VALUE"""),1.0)</f>
        <v>1</v>
      </c>
      <c r="AE675" s="320">
        <f>IFERROR(__xludf.DUMMYFUNCTION("""COMPUTED_VALUE"""),3.0)</f>
        <v>3</v>
      </c>
      <c r="AF675" s="320">
        <f>IFERROR(__xludf.DUMMYFUNCTION("""COMPUTED_VALUE"""),5.0)</f>
        <v>5</v>
      </c>
      <c r="AG675" s="320">
        <f>IFERROR(__xludf.DUMMYFUNCTION("""COMPUTED_VALUE"""),9.0)</f>
        <v>9</v>
      </c>
      <c r="AH675" s="320">
        <f>IFERROR(__xludf.DUMMYFUNCTION("""COMPUTED_VALUE"""),71.9)</f>
        <v>71.9</v>
      </c>
      <c r="AI675" s="320">
        <f>IFERROR(__xludf.DUMMYFUNCTION("""COMPUTED_VALUE"""),28.67)</f>
        <v>28.67</v>
      </c>
      <c r="AJ675" s="320">
        <f>IFERROR(__xludf.DUMMYFUNCTION("""COMPUTED_VALUE"""),8.06)</f>
        <v>8.06</v>
      </c>
      <c r="AK675" s="320">
        <f>IFERROR(__xludf.DUMMYFUNCTION("""COMPUTED_VALUE"""),0.2398)</f>
        <v>0.2398</v>
      </c>
      <c r="AL675" s="320">
        <f>IFERROR(__xludf.DUMMYFUNCTION("""COMPUTED_VALUE"""),18.69)</f>
        <v>18.69</v>
      </c>
      <c r="AM675" s="320">
        <f>IFERROR(__xludf.DUMMYFUNCTION("""COMPUTED_VALUE"""),14.96)</f>
        <v>14.96</v>
      </c>
      <c r="AN675" s="320">
        <f>IFERROR(__xludf.DUMMYFUNCTION("""COMPUTED_VALUE"""),65.4)</f>
        <v>65.4</v>
      </c>
      <c r="AO675" s="320">
        <f>IFERROR(__xludf.DUMMYFUNCTION("""COMPUTED_VALUE"""),12.22)</f>
        <v>12.22</v>
      </c>
    </row>
    <row r="676" ht="15.0" customHeight="1">
      <c r="A676" s="328">
        <f>IFERROR(__xludf.DUMMYFUNCTION("""COMPUTED_VALUE"""),46162.0)</f>
        <v>46162</v>
      </c>
      <c r="B676" s="319" t="str">
        <f>IFERROR(__xludf.DUMMYFUNCTION("""COMPUTED_VALUE"""),"C. 10-19")</f>
        <v>C. 10-19</v>
      </c>
      <c r="C676" s="320">
        <f>IFERROR(__xludf.DUMMYFUNCTION("""COMPUTED_VALUE"""),24998.0)</f>
        <v>24998</v>
      </c>
      <c r="D676" s="320">
        <f>IFERROR(__xludf.DUMMYFUNCTION("""COMPUTED_VALUE"""),24.74)</f>
        <v>24.74</v>
      </c>
      <c r="E676" s="320">
        <f>IFERROR(__xludf.DUMMYFUNCTION("""COMPUTED_VALUE"""),0.0)</f>
        <v>0</v>
      </c>
      <c r="F676" s="320">
        <f>IFERROR(__xludf.DUMMYFUNCTION("""COMPUTED_VALUE"""),0.0)</f>
        <v>0</v>
      </c>
      <c r="G676" s="320">
        <f>IFERROR(__xludf.DUMMYFUNCTION("""COMPUTED_VALUE"""),0.0)</f>
        <v>0</v>
      </c>
      <c r="H676" s="106"/>
      <c r="I676" s="320">
        <f>IFERROR(__xludf.DUMMYFUNCTION("""COMPUTED_VALUE"""),57.71)</f>
        <v>57.71</v>
      </c>
      <c r="J676" s="320">
        <f>IFERROR(__xludf.DUMMYFUNCTION("""COMPUTED_VALUE"""),27.84)</f>
        <v>27.84</v>
      </c>
      <c r="K676" s="320">
        <f>IFERROR(__xludf.DUMMYFUNCTION("""COMPUTED_VALUE"""),14.4)</f>
        <v>14.4</v>
      </c>
      <c r="L676" s="320">
        <f>IFERROR(__xludf.DUMMYFUNCTION("""COMPUTED_VALUE"""),0.5172)</f>
        <v>0.5172</v>
      </c>
      <c r="M676" s="320">
        <f>IFERROR(__xludf.DUMMYFUNCTION("""COMPUTED_VALUE"""),0.6694)</f>
        <v>0.6694</v>
      </c>
      <c r="N676" s="320">
        <f>IFERROR(__xludf.DUMMYFUNCTION("""COMPUTED_VALUE"""),0.4583)</f>
        <v>0.4583</v>
      </c>
      <c r="O676" s="320">
        <f>IFERROR(__xludf.DUMMYFUNCTION("""COMPUTED_VALUE"""),1.9336)</f>
        <v>1.9336</v>
      </c>
      <c r="P676" s="320">
        <f>IFERROR(__xludf.DUMMYFUNCTION("""COMPUTED_VALUE"""),76.76)</f>
        <v>76.76</v>
      </c>
      <c r="Q676" s="320">
        <f>IFERROR(__xludf.DUMMYFUNCTION("""COMPUTED_VALUE"""),51.02)</f>
        <v>51.02</v>
      </c>
      <c r="R676" s="320">
        <f>IFERROR(__xludf.DUMMYFUNCTION("""COMPUTED_VALUE"""),25.74)</f>
        <v>25.74</v>
      </c>
      <c r="S676" s="320">
        <f>IFERROR(__xludf.DUMMYFUNCTION("""COMPUTED_VALUE"""),0.0)</f>
        <v>0</v>
      </c>
      <c r="T676" s="320">
        <f>IFERROR(__xludf.DUMMYFUNCTION("""COMPUTED_VALUE"""),76.76)</f>
        <v>76.76</v>
      </c>
      <c r="U676" s="320">
        <f>IFERROR(__xludf.DUMMYFUNCTION("""COMPUTED_VALUE"""),93.46)</f>
        <v>93.46</v>
      </c>
      <c r="V676" s="320">
        <f>IFERROR(__xludf.DUMMYFUNCTION("""COMPUTED_VALUE"""),3.3569)</f>
        <v>3.3569</v>
      </c>
      <c r="W676" s="320">
        <f>IFERROR(__xludf.DUMMYFUNCTION("""COMPUTED_VALUE"""),0.0)</f>
        <v>0</v>
      </c>
      <c r="X676" s="320">
        <f>IFERROR(__xludf.DUMMYFUNCTION("""COMPUTED_VALUE"""),124.0)</f>
        <v>124</v>
      </c>
      <c r="Y676" s="320">
        <f>IFERROR(__xludf.DUMMYFUNCTION("""COMPUTED_VALUE"""),764.0)</f>
        <v>764</v>
      </c>
      <c r="Z676" s="320">
        <f>IFERROR(__xludf.DUMMYFUNCTION("""COMPUTED_VALUE"""),5804.0)</f>
        <v>5804</v>
      </c>
      <c r="AA676" s="320">
        <f>IFERROR(__xludf.DUMMYFUNCTION("""COMPUTED_VALUE"""),52.1814)</f>
        <v>52.1814</v>
      </c>
      <c r="AB676" s="320">
        <f>IFERROR(__xludf.DUMMYFUNCTION("""COMPUTED_VALUE"""),0.6031)</f>
        <v>0.6031</v>
      </c>
      <c r="AC676" s="320">
        <f>IFERROR(__xludf.DUMMYFUNCTION("""COMPUTED_VALUE"""),9.0)</f>
        <v>9</v>
      </c>
      <c r="AD676" s="320">
        <f>IFERROR(__xludf.DUMMYFUNCTION("""COMPUTED_VALUE"""),3.0)</f>
        <v>3</v>
      </c>
      <c r="AE676" s="320">
        <f>IFERROR(__xludf.DUMMYFUNCTION("""COMPUTED_VALUE"""),7.0)</f>
        <v>7</v>
      </c>
      <c r="AF676" s="320">
        <f>IFERROR(__xludf.DUMMYFUNCTION("""COMPUTED_VALUE"""),12.0)</f>
        <v>12</v>
      </c>
      <c r="AG676" s="320">
        <f>IFERROR(__xludf.DUMMYFUNCTION("""COMPUTED_VALUE"""),19.0)</f>
        <v>19</v>
      </c>
      <c r="AH676" s="320">
        <f>IFERROR(__xludf.DUMMYFUNCTION("""COMPUTED_VALUE"""),57.66)</f>
        <v>57.66</v>
      </c>
      <c r="AI676" s="320">
        <f>IFERROR(__xludf.DUMMYFUNCTION("""COMPUTED_VALUE"""),24.62)</f>
        <v>24.62</v>
      </c>
      <c r="AJ676" s="320">
        <f>IFERROR(__xludf.DUMMYFUNCTION("""COMPUTED_VALUE"""),4.17)</f>
        <v>4.17</v>
      </c>
      <c r="AK676" s="320">
        <f>IFERROR(__xludf.DUMMYFUNCTION("""COMPUTED_VALUE"""),0.1737)</f>
        <v>0.1737</v>
      </c>
      <c r="AL676" s="320">
        <f>IFERROR(__xludf.DUMMYFUNCTION("""COMPUTED_VALUE"""),19.17)</f>
        <v>19.17</v>
      </c>
      <c r="AM676" s="320">
        <f>IFERROR(__xludf.DUMMYFUNCTION("""COMPUTED_VALUE"""),31.85)</f>
        <v>31.85</v>
      </c>
      <c r="AN676" s="320">
        <f>IFERROR(__xludf.DUMMYFUNCTION("""COMPUTED_VALUE"""),73.44)</f>
        <v>73.44</v>
      </c>
      <c r="AO676" s="320">
        <f>IFERROR(__xludf.DUMMYFUNCTION("""COMPUTED_VALUE"""),14.08)</f>
        <v>14.08</v>
      </c>
    </row>
    <row r="677" ht="15.0" customHeight="1">
      <c r="A677" s="328">
        <f>IFERROR(__xludf.DUMMYFUNCTION("""COMPUTED_VALUE"""),46162.0)</f>
        <v>46162</v>
      </c>
      <c r="B677" s="319" t="str">
        <f>IFERROR(__xludf.DUMMYFUNCTION("""COMPUTED_VALUE"""),"D. 20-39")</f>
        <v>D. 20-39</v>
      </c>
      <c r="C677" s="320">
        <f>IFERROR(__xludf.DUMMYFUNCTION("""COMPUTED_VALUE"""),12869.0)</f>
        <v>12869</v>
      </c>
      <c r="D677" s="320">
        <f>IFERROR(__xludf.DUMMYFUNCTION("""COMPUTED_VALUE"""),12.74)</f>
        <v>12.74</v>
      </c>
      <c r="E677" s="320">
        <f>IFERROR(__xludf.DUMMYFUNCTION("""COMPUTED_VALUE"""),0.0)</f>
        <v>0</v>
      </c>
      <c r="F677" s="320">
        <f>IFERROR(__xludf.DUMMYFUNCTION("""COMPUTED_VALUE"""),0.0)</f>
        <v>0</v>
      </c>
      <c r="G677" s="320">
        <f>IFERROR(__xludf.DUMMYFUNCTION("""COMPUTED_VALUE"""),0.0)</f>
        <v>0</v>
      </c>
      <c r="H677" s="106"/>
      <c r="I677" s="320">
        <f>IFERROR(__xludf.DUMMYFUNCTION("""COMPUTED_VALUE"""),78.96)</f>
        <v>78.96</v>
      </c>
      <c r="J677" s="320">
        <f>IFERROR(__xludf.DUMMYFUNCTION("""COMPUTED_VALUE"""),40.27)</f>
        <v>40.27</v>
      </c>
      <c r="K677" s="320">
        <f>IFERROR(__xludf.DUMMYFUNCTION("""COMPUTED_VALUE"""),26.06)</f>
        <v>26.06</v>
      </c>
      <c r="L677" s="320">
        <f>IFERROR(__xludf.DUMMYFUNCTION("""COMPUTED_VALUE"""),0.6473)</f>
        <v>0.6473</v>
      </c>
      <c r="M677" s="320">
        <f>IFERROR(__xludf.DUMMYFUNCTION("""COMPUTED_VALUE"""),0.5437)</f>
        <v>0.5437</v>
      </c>
      <c r="N677" s="320">
        <f>IFERROR(__xludf.DUMMYFUNCTION("""COMPUTED_VALUE"""),0.3726)</f>
        <v>0.3726</v>
      </c>
      <c r="O677" s="320">
        <f>IFERROR(__xludf.DUMMYFUNCTION("""COMPUTED_VALUE"""),1.5449)</f>
        <v>1.5449</v>
      </c>
      <c r="P677" s="320">
        <f>IFERROR(__xludf.DUMMYFUNCTION("""COMPUTED_VALUE"""),116.95)</f>
        <v>116.95</v>
      </c>
      <c r="Q677" s="320">
        <f>IFERROR(__xludf.DUMMYFUNCTION("""COMPUTED_VALUE"""),68.3)</f>
        <v>68.3</v>
      </c>
      <c r="R677" s="320">
        <f>IFERROR(__xludf.DUMMYFUNCTION("""COMPUTED_VALUE"""),48.66)</f>
        <v>48.66</v>
      </c>
      <c r="S677" s="320">
        <f>IFERROR(__xludf.DUMMYFUNCTION("""COMPUTED_VALUE"""),0.0)</f>
        <v>0</v>
      </c>
      <c r="T677" s="320">
        <f>IFERROR(__xludf.DUMMYFUNCTION("""COMPUTED_VALUE"""),116.95)</f>
        <v>116.95</v>
      </c>
      <c r="U677" s="320">
        <f>IFERROR(__xludf.DUMMYFUNCTION("""COMPUTED_VALUE"""),156.56)</f>
        <v>156.56</v>
      </c>
      <c r="V677" s="320">
        <f>IFERROR(__xludf.DUMMYFUNCTION("""COMPUTED_VALUE"""),3.8882)</f>
        <v>3.8882</v>
      </c>
      <c r="W677" s="320">
        <f>IFERROR(__xludf.DUMMYFUNCTION("""COMPUTED_VALUE"""),0.0)</f>
        <v>0</v>
      </c>
      <c r="X677" s="320">
        <f>IFERROR(__xludf.DUMMYFUNCTION("""COMPUTED_VALUE"""),142.0)</f>
        <v>142</v>
      </c>
      <c r="Y677" s="320">
        <f>IFERROR(__xludf.DUMMYFUNCTION("""COMPUTED_VALUE"""),1010.0)</f>
        <v>1010</v>
      </c>
      <c r="Z677" s="320">
        <f>IFERROR(__xludf.DUMMYFUNCTION("""COMPUTED_VALUE"""),6822.0)</f>
        <v>6822</v>
      </c>
      <c r="AA677" s="320">
        <f>IFERROR(__xludf.DUMMYFUNCTION("""COMPUTED_VALUE"""),56.0422)</f>
        <v>56.0422</v>
      </c>
      <c r="AB677" s="320">
        <f>IFERROR(__xludf.DUMMYFUNCTION("""COMPUTED_VALUE"""),0.7427)</f>
        <v>0.7427</v>
      </c>
      <c r="AC677" s="320">
        <f>IFERROR(__xludf.DUMMYFUNCTION("""COMPUTED_VALUE"""),17.49)</f>
        <v>17.49</v>
      </c>
      <c r="AD677" s="320">
        <f>IFERROR(__xludf.DUMMYFUNCTION("""COMPUTED_VALUE"""),7.0)</f>
        <v>7</v>
      </c>
      <c r="AE677" s="320">
        <f>IFERROR(__xludf.DUMMYFUNCTION("""COMPUTED_VALUE"""),13.0)</f>
        <v>13</v>
      </c>
      <c r="AF677" s="320">
        <f>IFERROR(__xludf.DUMMYFUNCTION("""COMPUTED_VALUE"""),24.0)</f>
        <v>24</v>
      </c>
      <c r="AG677" s="320">
        <f>IFERROR(__xludf.DUMMYFUNCTION("""COMPUTED_VALUE"""),37.0)</f>
        <v>37</v>
      </c>
      <c r="AH677" s="320">
        <f>IFERROR(__xludf.DUMMYFUNCTION("""COMPUTED_VALUE"""),58.8)</f>
        <v>58.8</v>
      </c>
      <c r="AI677" s="320">
        <f>IFERROR(__xludf.DUMMYFUNCTION("""COMPUTED_VALUE"""),23.1)</f>
        <v>23.1</v>
      </c>
      <c r="AJ677" s="320">
        <f>IFERROR(__xludf.DUMMYFUNCTION("""COMPUTED_VALUE"""),6.83)</f>
        <v>6.83</v>
      </c>
      <c r="AK677" s="320">
        <f>IFERROR(__xludf.DUMMYFUNCTION("""COMPUTED_VALUE"""),0.1692)</f>
        <v>0.1692</v>
      </c>
      <c r="AL677" s="320">
        <f>IFERROR(__xludf.DUMMYFUNCTION("""COMPUTED_VALUE"""),19.24)</f>
        <v>19.24</v>
      </c>
      <c r="AM677" s="320">
        <f>IFERROR(__xludf.DUMMYFUNCTION("""COMPUTED_VALUE"""),49.06)</f>
        <v>49.06</v>
      </c>
      <c r="AN677" s="320">
        <f>IFERROR(__xludf.DUMMYFUNCTION("""COMPUTED_VALUE"""),77.76)</f>
        <v>77.76</v>
      </c>
      <c r="AO677" s="320">
        <f>IFERROR(__xludf.DUMMYFUNCTION("""COMPUTED_VALUE"""),14.96)</f>
        <v>14.96</v>
      </c>
    </row>
    <row r="678" ht="15.0" customHeight="1">
      <c r="A678" s="328">
        <f>IFERROR(__xludf.DUMMYFUNCTION("""COMPUTED_VALUE"""),46162.0)</f>
        <v>46162</v>
      </c>
      <c r="B678" s="319" t="str">
        <f>IFERROR(__xludf.DUMMYFUNCTION("""COMPUTED_VALUE"""),"E. 40-99")</f>
        <v>E. 40-99</v>
      </c>
      <c r="C678" s="320">
        <f>IFERROR(__xludf.DUMMYFUNCTION("""COMPUTED_VALUE"""),5138.0)</f>
        <v>5138</v>
      </c>
      <c r="D678" s="320">
        <f>IFERROR(__xludf.DUMMYFUNCTION("""COMPUTED_VALUE"""),5.09)</f>
        <v>5.09</v>
      </c>
      <c r="E678" s="320">
        <f>IFERROR(__xludf.DUMMYFUNCTION("""COMPUTED_VALUE"""),0.0)</f>
        <v>0</v>
      </c>
      <c r="F678" s="320">
        <f>IFERROR(__xludf.DUMMYFUNCTION("""COMPUTED_VALUE"""),0.0)</f>
        <v>0</v>
      </c>
      <c r="G678" s="320">
        <f>IFERROR(__xludf.DUMMYFUNCTION("""COMPUTED_VALUE"""),0.0)</f>
        <v>0</v>
      </c>
      <c r="H678" s="106"/>
      <c r="I678" s="320">
        <f>IFERROR(__xludf.DUMMYFUNCTION("""COMPUTED_VALUE"""),129.31)</f>
        <v>129.31</v>
      </c>
      <c r="J678" s="320">
        <f>IFERROR(__xludf.DUMMYFUNCTION("""COMPUTED_VALUE"""),69.61)</f>
        <v>69.61</v>
      </c>
      <c r="K678" s="320">
        <f>IFERROR(__xludf.DUMMYFUNCTION("""COMPUTED_VALUE"""),54.74)</f>
        <v>54.74</v>
      </c>
      <c r="L678" s="320">
        <f>IFERROR(__xludf.DUMMYFUNCTION("""COMPUTED_VALUE"""),0.7864)</f>
        <v>0.7864</v>
      </c>
      <c r="M678" s="320">
        <f>IFERROR(__xludf.DUMMYFUNCTION("""COMPUTED_VALUE"""),0.3971)</f>
        <v>0.3971</v>
      </c>
      <c r="N678" s="320">
        <f>IFERROR(__xludf.DUMMYFUNCTION("""COMPUTED_VALUE"""),0.2828)</f>
        <v>0.2828</v>
      </c>
      <c r="O678" s="320">
        <f>IFERROR(__xludf.DUMMYFUNCTION("""COMPUTED_VALUE"""),1.2717)</f>
        <v>1.2717</v>
      </c>
      <c r="P678" s="320">
        <f>IFERROR(__xludf.DUMMYFUNCTION("""COMPUTED_VALUE"""),202.05)</f>
        <v>202.05</v>
      </c>
      <c r="Q678" s="320">
        <f>IFERROR(__xludf.DUMMYFUNCTION("""COMPUTED_VALUE"""),99.51)</f>
        <v>99.51</v>
      </c>
      <c r="R678" s="320">
        <f>IFERROR(__xludf.DUMMYFUNCTION("""COMPUTED_VALUE"""),102.54)</f>
        <v>102.54</v>
      </c>
      <c r="S678" s="320">
        <f>IFERROR(__xludf.DUMMYFUNCTION("""COMPUTED_VALUE"""),0.0)</f>
        <v>0</v>
      </c>
      <c r="T678" s="320">
        <f>IFERROR(__xludf.DUMMYFUNCTION("""COMPUTED_VALUE"""),202.05)</f>
        <v>202.05</v>
      </c>
      <c r="U678" s="320">
        <f>IFERROR(__xludf.DUMMYFUNCTION("""COMPUTED_VALUE"""),299.67)</f>
        <v>299.67</v>
      </c>
      <c r="V678" s="320">
        <f>IFERROR(__xludf.DUMMYFUNCTION("""COMPUTED_VALUE"""),4.3049)</f>
        <v>4.3049</v>
      </c>
      <c r="W678" s="320">
        <f>IFERROR(__xludf.DUMMYFUNCTION("""COMPUTED_VALUE"""),0.0)</f>
        <v>0</v>
      </c>
      <c r="X678" s="320">
        <f>IFERROR(__xludf.DUMMYFUNCTION("""COMPUTED_VALUE"""),250.0)</f>
        <v>250</v>
      </c>
      <c r="Y678" s="320">
        <f>IFERROR(__xludf.DUMMYFUNCTION("""COMPUTED_VALUE"""),2788.0)</f>
        <v>2788</v>
      </c>
      <c r="Z678" s="320">
        <f>IFERROR(__xludf.DUMMYFUNCTION("""COMPUTED_VALUE"""),10961.0)</f>
        <v>10961</v>
      </c>
      <c r="AA678" s="320">
        <f>IFERROR(__xludf.DUMMYFUNCTION("""COMPUTED_VALUE"""),60.4318)</f>
        <v>60.4318</v>
      </c>
      <c r="AB678" s="320">
        <f>IFERROR(__xludf.DUMMYFUNCTION("""COMPUTED_VALUE"""),0.8493)</f>
        <v>0.8493</v>
      </c>
      <c r="AC678" s="320">
        <f>IFERROR(__xludf.DUMMYFUNCTION("""COMPUTED_VALUE"""),38.5)</f>
        <v>38.5</v>
      </c>
      <c r="AD678" s="320">
        <f>IFERROR(__xludf.DUMMYFUNCTION("""COMPUTED_VALUE"""),15.0)</f>
        <v>15</v>
      </c>
      <c r="AE678" s="320">
        <f>IFERROR(__xludf.DUMMYFUNCTION("""COMPUTED_VALUE"""),30.0)</f>
        <v>30</v>
      </c>
      <c r="AF678" s="320">
        <f>IFERROR(__xludf.DUMMYFUNCTION("""COMPUTED_VALUE"""),54.0)</f>
        <v>54</v>
      </c>
      <c r="AG678" s="320">
        <f>IFERROR(__xludf.DUMMYFUNCTION("""COMPUTED_VALUE"""),81.0)</f>
        <v>81</v>
      </c>
      <c r="AH678" s="320">
        <f>IFERROR(__xludf.DUMMYFUNCTION("""COMPUTED_VALUE"""),53.91)</f>
        <v>53.91</v>
      </c>
      <c r="AI678" s="320">
        <f>IFERROR(__xludf.DUMMYFUNCTION("""COMPUTED_VALUE"""),20.84)</f>
        <v>20.84</v>
      </c>
      <c r="AJ678" s="320">
        <f>IFERROR(__xludf.DUMMYFUNCTION("""COMPUTED_VALUE"""),4.79)</f>
        <v>4.79</v>
      </c>
      <c r="AK678" s="320">
        <f>IFERROR(__xludf.DUMMYFUNCTION("""COMPUTED_VALUE"""),0.1292)</f>
        <v>0.1292</v>
      </c>
      <c r="AL678" s="320">
        <f>IFERROR(__xludf.DUMMYFUNCTION("""COMPUTED_VALUE"""),20.38)</f>
        <v>20.38</v>
      </c>
      <c r="AM678" s="320">
        <f>IFERROR(__xludf.DUMMYFUNCTION("""COMPUTED_VALUE"""),79.13)</f>
        <v>79.13</v>
      </c>
      <c r="AN678" s="320">
        <f>IFERROR(__xludf.DUMMYFUNCTION("""COMPUTED_VALUE"""),83.13)</f>
        <v>83.13</v>
      </c>
      <c r="AO678" s="320">
        <f>IFERROR(__xludf.DUMMYFUNCTION("""COMPUTED_VALUE"""),16.94)</f>
        <v>16.94</v>
      </c>
    </row>
    <row r="679" ht="15.0" customHeight="1">
      <c r="A679" s="328">
        <f>IFERROR(__xludf.DUMMYFUNCTION("""COMPUTED_VALUE"""),46162.0)</f>
        <v>46162</v>
      </c>
      <c r="B679" s="319" t="str">
        <f>IFERROR(__xludf.DUMMYFUNCTION("""COMPUTED_VALUE"""),"F. 100+")</f>
        <v>F. 100+</v>
      </c>
      <c r="C679" s="320">
        <f>IFERROR(__xludf.DUMMYFUNCTION("""COMPUTED_VALUE"""),585.0)</f>
        <v>585</v>
      </c>
      <c r="D679" s="320">
        <f>IFERROR(__xludf.DUMMYFUNCTION("""COMPUTED_VALUE"""),0.58)</f>
        <v>0.58</v>
      </c>
      <c r="E679" s="320">
        <f>IFERROR(__xludf.DUMMYFUNCTION("""COMPUTED_VALUE"""),0.0)</f>
        <v>0</v>
      </c>
      <c r="F679" s="320">
        <f>IFERROR(__xludf.DUMMYFUNCTION("""COMPUTED_VALUE"""),0.0)</f>
        <v>0</v>
      </c>
      <c r="G679" s="320">
        <f>IFERROR(__xludf.DUMMYFUNCTION("""COMPUTED_VALUE"""),0.0)</f>
        <v>0</v>
      </c>
      <c r="H679" s="106"/>
      <c r="I679" s="320">
        <f>IFERROR(__xludf.DUMMYFUNCTION("""COMPUTED_VALUE"""),250.68)</f>
        <v>250.68</v>
      </c>
      <c r="J679" s="320">
        <f>IFERROR(__xludf.DUMMYFUNCTION("""COMPUTED_VALUE"""),144.86)</f>
        <v>144.86</v>
      </c>
      <c r="K679" s="320">
        <f>IFERROR(__xludf.DUMMYFUNCTION("""COMPUTED_VALUE"""),125.36)</f>
        <v>125.36</v>
      </c>
      <c r="L679" s="320">
        <f>IFERROR(__xludf.DUMMYFUNCTION("""COMPUTED_VALUE"""),0.8654)</f>
        <v>0.8654</v>
      </c>
      <c r="M679" s="320">
        <f>IFERROR(__xludf.DUMMYFUNCTION("""COMPUTED_VALUE"""),0.2983)</f>
        <v>0.2983</v>
      </c>
      <c r="N679" s="320">
        <f>IFERROR(__xludf.DUMMYFUNCTION("""COMPUTED_VALUE"""),0.2227)</f>
        <v>0.2227</v>
      </c>
      <c r="O679" s="320">
        <f>IFERROR(__xludf.DUMMYFUNCTION("""COMPUTED_VALUE"""),1.1556)</f>
        <v>1.1556</v>
      </c>
      <c r="P679" s="320">
        <f>IFERROR(__xludf.DUMMYFUNCTION("""COMPUTED_VALUE"""),408.37)</f>
        <v>408.37</v>
      </c>
      <c r="Q679" s="320">
        <f>IFERROR(__xludf.DUMMYFUNCTION("""COMPUTED_VALUE"""),171.39)</f>
        <v>171.39</v>
      </c>
      <c r="R679" s="320">
        <f>IFERROR(__xludf.DUMMYFUNCTION("""COMPUTED_VALUE"""),236.98)</f>
        <v>236.98</v>
      </c>
      <c r="S679" s="320">
        <f>IFERROR(__xludf.DUMMYFUNCTION("""COMPUTED_VALUE"""),0.0)</f>
        <v>0</v>
      </c>
      <c r="T679" s="320">
        <f>IFERROR(__xludf.DUMMYFUNCTION("""COMPUTED_VALUE"""),408.37)</f>
        <v>408.37</v>
      </c>
      <c r="U679" s="320">
        <f>IFERROR(__xludf.DUMMYFUNCTION("""COMPUTED_VALUE"""),807.61)</f>
        <v>807.61</v>
      </c>
      <c r="V679" s="320">
        <f>IFERROR(__xludf.DUMMYFUNCTION("""COMPUTED_VALUE"""),5.5751)</f>
        <v>5.5751</v>
      </c>
      <c r="W679" s="320">
        <f>IFERROR(__xludf.DUMMYFUNCTION("""COMPUTED_VALUE"""),0.0)</f>
        <v>0</v>
      </c>
      <c r="X679" s="320">
        <f>IFERROR(__xludf.DUMMYFUNCTION("""COMPUTED_VALUE"""),747.0)</f>
        <v>747</v>
      </c>
      <c r="Y679" s="320">
        <f>IFERROR(__xludf.DUMMYFUNCTION("""COMPUTED_VALUE"""),4633.0)</f>
        <v>4633</v>
      </c>
      <c r="Z679" s="320">
        <f>IFERROR(__xludf.DUMMYFUNCTION("""COMPUTED_VALUE"""),15719.0)</f>
        <v>15719</v>
      </c>
      <c r="AA679" s="320">
        <f>IFERROR(__xludf.DUMMYFUNCTION("""COMPUTED_VALUE"""),63.6374)</f>
        <v>63.6374</v>
      </c>
      <c r="AB679" s="320">
        <f>IFERROR(__xludf.DUMMYFUNCTION("""COMPUTED_VALUE"""),0.9123)</f>
        <v>0.9123</v>
      </c>
      <c r="AC679" s="320">
        <f>IFERROR(__xludf.DUMMYFUNCTION("""COMPUTED_VALUE"""),90.39)</f>
        <v>90.39</v>
      </c>
      <c r="AD679" s="320">
        <f>IFERROR(__xludf.DUMMYFUNCTION("""COMPUTED_VALUE"""),37.0)</f>
        <v>37</v>
      </c>
      <c r="AE679" s="320">
        <f>IFERROR(__xludf.DUMMYFUNCTION("""COMPUTED_VALUE"""),74.0)</f>
        <v>74</v>
      </c>
      <c r="AF679" s="320">
        <f>IFERROR(__xludf.DUMMYFUNCTION("""COMPUTED_VALUE"""),128.0)</f>
        <v>128</v>
      </c>
      <c r="AG679" s="320">
        <f>IFERROR(__xludf.DUMMYFUNCTION("""COMPUTED_VALUE"""),179.0)</f>
        <v>179</v>
      </c>
      <c r="AH679" s="320">
        <f>IFERROR(__xludf.DUMMYFUNCTION("""COMPUTED_VALUE"""),47.52)</f>
        <v>47.52</v>
      </c>
      <c r="AI679" s="320">
        <f>IFERROR(__xludf.DUMMYFUNCTION("""COMPUTED_VALUE"""),11.45)</f>
        <v>11.45</v>
      </c>
      <c r="AJ679" s="320">
        <f>IFERROR(__xludf.DUMMYFUNCTION("""COMPUTED_VALUE"""),1.37)</f>
        <v>1.37</v>
      </c>
      <c r="AK679" s="320">
        <f>IFERROR(__xludf.DUMMYFUNCTION("""COMPUTED_VALUE"""),0.0701)</f>
        <v>0.0701</v>
      </c>
      <c r="AL679" s="320">
        <f>IFERROR(__xludf.DUMMYFUNCTION("""COMPUTED_VALUE"""),23.54)</f>
        <v>23.54</v>
      </c>
      <c r="AM679" s="320">
        <f>IFERROR(__xludf.DUMMYFUNCTION("""COMPUTED_VALUE"""),147.85)</f>
        <v>147.85</v>
      </c>
      <c r="AN679" s="320">
        <f>IFERROR(__xludf.DUMMYFUNCTION("""COMPUTED_VALUE"""),84.3)</f>
        <v>84.3</v>
      </c>
      <c r="AO679" s="320">
        <f>IFERROR(__xludf.DUMMYFUNCTION("""COMPUTED_VALUE"""),19.84)</f>
        <v>19.84</v>
      </c>
    </row>
    <row r="680" ht="15.0" customHeight="1">
      <c r="A680" s="328">
        <f>IFERROR(__xludf.DUMMYFUNCTION("""COMPUTED_VALUE"""),46163.0)</f>
        <v>46163</v>
      </c>
      <c r="B680" s="319" t="str">
        <f>IFERROR(__xludf.DUMMYFUNCTION("""COMPUTED_VALUE"""),"A. 0")</f>
        <v>A. 0</v>
      </c>
      <c r="C680" s="320">
        <f>IFERROR(__xludf.DUMMYFUNCTION("""COMPUTED_VALUE"""),21605.0)</f>
        <v>21605</v>
      </c>
      <c r="D680" s="320">
        <f>IFERROR(__xludf.DUMMYFUNCTION("""COMPUTED_VALUE"""),21.75)</f>
        <v>21.75</v>
      </c>
      <c r="E680" s="320">
        <f>IFERROR(__xludf.DUMMYFUNCTION("""COMPUTED_VALUE"""),0.0)</f>
        <v>0</v>
      </c>
      <c r="F680" s="320">
        <f>IFERROR(__xludf.DUMMYFUNCTION("""COMPUTED_VALUE"""),0.0)</f>
        <v>0</v>
      </c>
      <c r="G680" s="320">
        <f>IFERROR(__xludf.DUMMYFUNCTION("""COMPUTED_VALUE"""),0.0)</f>
        <v>0</v>
      </c>
      <c r="H680" s="106"/>
      <c r="I680" s="320">
        <f>IFERROR(__xludf.DUMMYFUNCTION("""COMPUTED_VALUE"""),6.58)</f>
        <v>6.58</v>
      </c>
      <c r="J680" s="320">
        <f>IFERROR(__xludf.DUMMYFUNCTION("""COMPUTED_VALUE"""),2.76)</f>
        <v>2.76</v>
      </c>
      <c r="K680" s="320">
        <f>IFERROR(__xludf.DUMMYFUNCTION("""COMPUTED_VALUE"""),0.04)</f>
        <v>0.04</v>
      </c>
      <c r="L680" s="320">
        <f>IFERROR(__xludf.DUMMYFUNCTION("""COMPUTED_VALUE"""),0.0142)</f>
        <v>0.0142</v>
      </c>
      <c r="M680" s="320">
        <f>IFERROR(__xludf.DUMMYFUNCTION("""COMPUTED_VALUE"""),0.9893)</f>
        <v>0.9893</v>
      </c>
      <c r="N680" s="320">
        <f>IFERROR(__xludf.DUMMYFUNCTION("""COMPUTED_VALUE"""),0.8418)</f>
        <v>0.8418</v>
      </c>
      <c r="O680" s="320">
        <f>IFERROR(__xludf.DUMMYFUNCTION("""COMPUTED_VALUE"""),70.6327)</f>
        <v>70.6327</v>
      </c>
      <c r="P680" s="320">
        <f>IFERROR(__xludf.DUMMYFUNCTION("""COMPUTED_VALUE"""),21.24)</f>
        <v>21.24</v>
      </c>
      <c r="Q680" s="320">
        <f>IFERROR(__xludf.DUMMYFUNCTION("""COMPUTED_VALUE"""),21.14)</f>
        <v>21.14</v>
      </c>
      <c r="R680" s="320">
        <f>IFERROR(__xludf.DUMMYFUNCTION("""COMPUTED_VALUE"""),0.1)</f>
        <v>0.1</v>
      </c>
      <c r="S680" s="320">
        <f>IFERROR(__xludf.DUMMYFUNCTION("""COMPUTED_VALUE"""),0.0)</f>
        <v>0</v>
      </c>
      <c r="T680" s="320">
        <f>IFERROR(__xludf.DUMMYFUNCTION("""COMPUTED_VALUE"""),21.24)</f>
        <v>21.24</v>
      </c>
      <c r="U680" s="320">
        <f>IFERROR(__xludf.DUMMYFUNCTION("""COMPUTED_VALUE"""),2.06)</f>
        <v>2.06</v>
      </c>
      <c r="V680" s="320">
        <f>IFERROR(__xludf.DUMMYFUNCTION("""COMPUTED_VALUE"""),0.7473)</f>
        <v>0.7473</v>
      </c>
      <c r="W680" s="320">
        <f>IFERROR(__xludf.DUMMYFUNCTION("""COMPUTED_VALUE"""),0.0)</f>
        <v>0</v>
      </c>
      <c r="X680" s="320">
        <f>IFERROR(__xludf.DUMMYFUNCTION("""COMPUTED_VALUE"""),255.0)</f>
        <v>255</v>
      </c>
      <c r="Y680" s="320">
        <f>IFERROR(__xludf.DUMMYFUNCTION("""COMPUTED_VALUE"""),3324.0)</f>
        <v>3324</v>
      </c>
      <c r="Z680" s="320">
        <f>IFERROR(__xludf.DUMMYFUNCTION("""COMPUTED_VALUE"""),14632.0)</f>
        <v>14632</v>
      </c>
      <c r="AA680" s="320">
        <f>IFERROR(__xludf.DUMMYFUNCTION("""COMPUTED_VALUE"""),48.4962)</f>
        <v>48.4962</v>
      </c>
      <c r="AB680" s="320">
        <f>IFERROR(__xludf.DUMMYFUNCTION("""COMPUTED_VALUE"""),0.5284)</f>
        <v>0.5284</v>
      </c>
      <c r="AC680" s="106"/>
      <c r="AD680" s="106"/>
      <c r="AE680" s="106"/>
      <c r="AF680" s="106"/>
      <c r="AG680" s="106"/>
      <c r="AH680" s="320">
        <f>IFERROR(__xludf.DUMMYFUNCTION("""COMPUTED_VALUE"""),0.0)</f>
        <v>0</v>
      </c>
      <c r="AI680" s="320">
        <f>IFERROR(__xludf.DUMMYFUNCTION("""COMPUTED_VALUE"""),0.0)</f>
        <v>0</v>
      </c>
      <c r="AJ680" s="320">
        <f>IFERROR(__xludf.DUMMYFUNCTION("""COMPUTED_VALUE"""),0.0)</f>
        <v>0</v>
      </c>
      <c r="AK680" s="320">
        <f>IFERROR(__xludf.DUMMYFUNCTION("""COMPUTED_VALUE"""),0.293)</f>
        <v>0.293</v>
      </c>
      <c r="AL680" s="320">
        <f>IFERROR(__xludf.DUMMYFUNCTION("""COMPUTED_VALUE"""),15.58)</f>
        <v>15.58</v>
      </c>
      <c r="AM680" s="320">
        <f>IFERROR(__xludf.DUMMYFUNCTION("""COMPUTED_VALUE"""),5.56)</f>
        <v>5.56</v>
      </c>
      <c r="AN680" s="331"/>
      <c r="AO680" s="331"/>
    </row>
    <row r="681" ht="15.0" customHeight="1">
      <c r="A681" s="328">
        <f>IFERROR(__xludf.DUMMYFUNCTION("""COMPUTED_VALUE"""),46163.0)</f>
        <v>46163</v>
      </c>
      <c r="B681" s="319" t="str">
        <f>IFERROR(__xludf.DUMMYFUNCTION("""COMPUTED_VALUE"""),"B. 1-9")</f>
        <v>B. 1-9</v>
      </c>
      <c r="C681" s="320">
        <f>IFERROR(__xludf.DUMMYFUNCTION("""COMPUTED_VALUE"""),36143.0)</f>
        <v>36143</v>
      </c>
      <c r="D681" s="320">
        <f>IFERROR(__xludf.DUMMYFUNCTION("""COMPUTED_VALUE"""),36.39)</f>
        <v>36.39</v>
      </c>
      <c r="E681" s="320">
        <f>IFERROR(__xludf.DUMMYFUNCTION("""COMPUTED_VALUE"""),0.0)</f>
        <v>0</v>
      </c>
      <c r="F681" s="320">
        <f>IFERROR(__xludf.DUMMYFUNCTION("""COMPUTED_VALUE"""),0.0)</f>
        <v>0</v>
      </c>
      <c r="G681" s="320">
        <f>IFERROR(__xludf.DUMMYFUNCTION("""COMPUTED_VALUE"""),0.0)</f>
        <v>0</v>
      </c>
      <c r="H681" s="106"/>
      <c r="I681" s="320">
        <f>IFERROR(__xludf.DUMMYFUNCTION("""COMPUTED_VALUE"""),28.77)</f>
        <v>28.77</v>
      </c>
      <c r="J681" s="320">
        <f>IFERROR(__xludf.DUMMYFUNCTION("""COMPUTED_VALUE"""),12.91)</f>
        <v>12.91</v>
      </c>
      <c r="K681" s="320">
        <f>IFERROR(__xludf.DUMMYFUNCTION("""COMPUTED_VALUE"""),5.39)</f>
        <v>5.39</v>
      </c>
      <c r="L681" s="320">
        <f>IFERROR(__xludf.DUMMYFUNCTION("""COMPUTED_VALUE"""),0.4177)</f>
        <v>0.4177</v>
      </c>
      <c r="M681" s="320">
        <f>IFERROR(__xludf.DUMMYFUNCTION("""COMPUTED_VALUE"""),0.7579)</f>
        <v>0.7579</v>
      </c>
      <c r="N681" s="320">
        <f>IFERROR(__xludf.DUMMYFUNCTION("""COMPUTED_VALUE"""),0.5626)</f>
        <v>0.5626</v>
      </c>
      <c r="O681" s="320">
        <f>IFERROR(__xludf.DUMMYFUNCTION("""COMPUTED_VALUE"""),2.3938)</f>
        <v>2.3938</v>
      </c>
      <c r="P681" s="320">
        <f>IFERROR(__xludf.DUMMYFUNCTION("""COMPUTED_VALUE"""),47.99)</f>
        <v>47.99</v>
      </c>
      <c r="Q681" s="320">
        <f>IFERROR(__xludf.DUMMYFUNCTION("""COMPUTED_VALUE"""),38.69)</f>
        <v>38.69</v>
      </c>
      <c r="R681" s="320">
        <f>IFERROR(__xludf.DUMMYFUNCTION("""COMPUTED_VALUE"""),9.3)</f>
        <v>9.3</v>
      </c>
      <c r="S681" s="320">
        <f>IFERROR(__xludf.DUMMYFUNCTION("""COMPUTED_VALUE"""),0.0)</f>
        <v>0</v>
      </c>
      <c r="T681" s="320">
        <f>IFERROR(__xludf.DUMMYFUNCTION("""COMPUTED_VALUE"""),47.99)</f>
        <v>47.99</v>
      </c>
      <c r="U681" s="320">
        <f>IFERROR(__xludf.DUMMYFUNCTION("""COMPUTED_VALUE"""),50.08)</f>
        <v>50.08</v>
      </c>
      <c r="V681" s="320">
        <f>IFERROR(__xludf.DUMMYFUNCTION("""COMPUTED_VALUE"""),3.8799)</f>
        <v>3.8799</v>
      </c>
      <c r="W681" s="320">
        <f>IFERROR(__xludf.DUMMYFUNCTION("""COMPUTED_VALUE"""),0.0)</f>
        <v>0</v>
      </c>
      <c r="X681" s="320">
        <f>IFERROR(__xludf.DUMMYFUNCTION("""COMPUTED_VALUE"""),138.0)</f>
        <v>138</v>
      </c>
      <c r="Y681" s="320">
        <f>IFERROR(__xludf.DUMMYFUNCTION("""COMPUTED_VALUE"""),895.0)</f>
        <v>895</v>
      </c>
      <c r="Z681" s="320">
        <f>IFERROR(__xludf.DUMMYFUNCTION("""COMPUTED_VALUE"""),6159.0)</f>
        <v>6159</v>
      </c>
      <c r="AA681" s="320">
        <f>IFERROR(__xludf.DUMMYFUNCTION("""COMPUTED_VALUE"""),48.4243)</f>
        <v>48.4243</v>
      </c>
      <c r="AB681" s="320">
        <f>IFERROR(__xludf.DUMMYFUNCTION("""COMPUTED_VALUE"""),0.5294)</f>
        <v>0.5294</v>
      </c>
      <c r="AC681" s="320">
        <f>IFERROR(__xludf.DUMMYFUNCTION("""COMPUTED_VALUE"""),3.87)</f>
        <v>3.87</v>
      </c>
      <c r="AD681" s="320">
        <f>IFERROR(__xludf.DUMMYFUNCTION("""COMPUTED_VALUE"""),1.0)</f>
        <v>1</v>
      </c>
      <c r="AE681" s="320">
        <f>IFERROR(__xludf.DUMMYFUNCTION("""COMPUTED_VALUE"""),2.0)</f>
        <v>2</v>
      </c>
      <c r="AF681" s="320">
        <f>IFERROR(__xludf.DUMMYFUNCTION("""COMPUTED_VALUE"""),5.0)</f>
        <v>5</v>
      </c>
      <c r="AG681" s="320">
        <f>IFERROR(__xludf.DUMMYFUNCTION("""COMPUTED_VALUE"""),9.0)</f>
        <v>9</v>
      </c>
      <c r="AH681" s="320">
        <f>IFERROR(__xludf.DUMMYFUNCTION("""COMPUTED_VALUE"""),70.94)</f>
        <v>70.94</v>
      </c>
      <c r="AI681" s="320">
        <f>IFERROR(__xludf.DUMMYFUNCTION("""COMPUTED_VALUE"""),28.84)</f>
        <v>28.84</v>
      </c>
      <c r="AJ681" s="320">
        <f>IFERROR(__xludf.DUMMYFUNCTION("""COMPUTED_VALUE"""),8.45)</f>
        <v>8.45</v>
      </c>
      <c r="AK681" s="320">
        <f>IFERROR(__xludf.DUMMYFUNCTION("""COMPUTED_VALUE"""),0.2521)</f>
        <v>0.2521</v>
      </c>
      <c r="AL681" s="320">
        <f>IFERROR(__xludf.DUMMYFUNCTION("""COMPUTED_VALUE"""),19.39)</f>
        <v>19.39</v>
      </c>
      <c r="AM681" s="320">
        <f>IFERROR(__xludf.DUMMYFUNCTION("""COMPUTED_VALUE"""),19.3)</f>
        <v>19.3</v>
      </c>
      <c r="AN681" s="320">
        <f>IFERROR(__xludf.DUMMYFUNCTION("""COMPUTED_VALUE"""),65.5)</f>
        <v>65.5</v>
      </c>
      <c r="AO681" s="320">
        <f>IFERROR(__xludf.DUMMYFUNCTION("""COMPUTED_VALUE"""),12.7)</f>
        <v>12.7</v>
      </c>
    </row>
    <row r="682" ht="15.0" customHeight="1">
      <c r="A682" s="328">
        <f>IFERROR(__xludf.DUMMYFUNCTION("""COMPUTED_VALUE"""),46163.0)</f>
        <v>46163</v>
      </c>
      <c r="B682" s="319" t="str">
        <f>IFERROR(__xludf.DUMMYFUNCTION("""COMPUTED_VALUE"""),"C. 10-19")</f>
        <v>C. 10-19</v>
      </c>
      <c r="C682" s="320">
        <f>IFERROR(__xludf.DUMMYFUNCTION("""COMPUTED_VALUE"""),23516.0)</f>
        <v>23516</v>
      </c>
      <c r="D682" s="320">
        <f>IFERROR(__xludf.DUMMYFUNCTION("""COMPUTED_VALUE"""),23.68)</f>
        <v>23.68</v>
      </c>
      <c r="E682" s="320">
        <f>IFERROR(__xludf.DUMMYFUNCTION("""COMPUTED_VALUE"""),0.0)</f>
        <v>0</v>
      </c>
      <c r="F682" s="320">
        <f>IFERROR(__xludf.DUMMYFUNCTION("""COMPUTED_VALUE"""),0.0)</f>
        <v>0</v>
      </c>
      <c r="G682" s="320">
        <f>IFERROR(__xludf.DUMMYFUNCTION("""COMPUTED_VALUE"""),0.0)</f>
        <v>0</v>
      </c>
      <c r="H682" s="106"/>
      <c r="I682" s="320">
        <f>IFERROR(__xludf.DUMMYFUNCTION("""COMPUTED_VALUE"""),52.89)</f>
        <v>52.89</v>
      </c>
      <c r="J682" s="320">
        <f>IFERROR(__xludf.DUMMYFUNCTION("""COMPUTED_VALUE"""),24.86)</f>
        <v>24.86</v>
      </c>
      <c r="K682" s="320">
        <f>IFERROR(__xludf.DUMMYFUNCTION("""COMPUTED_VALUE"""),14.06)</f>
        <v>14.06</v>
      </c>
      <c r="L682" s="320">
        <f>IFERROR(__xludf.DUMMYFUNCTION("""COMPUTED_VALUE"""),0.5655)</f>
        <v>0.5655</v>
      </c>
      <c r="M682" s="320">
        <f>IFERROR(__xludf.DUMMYFUNCTION("""COMPUTED_VALUE"""),0.6329)</f>
        <v>0.6329</v>
      </c>
      <c r="N682" s="320">
        <f>IFERROR(__xludf.DUMMYFUNCTION("""COMPUTED_VALUE"""),0.4401)</f>
        <v>0.4401</v>
      </c>
      <c r="O682" s="320">
        <f>IFERROR(__xludf.DUMMYFUNCTION("""COMPUTED_VALUE"""),1.7683)</f>
        <v>1.7683</v>
      </c>
      <c r="P682" s="320">
        <f>IFERROR(__xludf.DUMMYFUNCTION("""COMPUTED_VALUE"""),102.03)</f>
        <v>102.03</v>
      </c>
      <c r="Q682" s="320">
        <f>IFERROR(__xludf.DUMMYFUNCTION("""COMPUTED_VALUE"""),78.64)</f>
        <v>78.64</v>
      </c>
      <c r="R682" s="320">
        <f>IFERROR(__xludf.DUMMYFUNCTION("""COMPUTED_VALUE"""),23.39)</f>
        <v>23.39</v>
      </c>
      <c r="S682" s="320">
        <f>IFERROR(__xludf.DUMMYFUNCTION("""COMPUTED_VALUE"""),0.0)</f>
        <v>0</v>
      </c>
      <c r="T682" s="320">
        <f>IFERROR(__xludf.DUMMYFUNCTION("""COMPUTED_VALUE"""),102.03)</f>
        <v>102.03</v>
      </c>
      <c r="U682" s="320">
        <f>IFERROR(__xludf.DUMMYFUNCTION("""COMPUTED_VALUE"""),97.39)</f>
        <v>97.39</v>
      </c>
      <c r="V682" s="320">
        <f>IFERROR(__xludf.DUMMYFUNCTION("""COMPUTED_VALUE"""),3.918)</f>
        <v>3.918</v>
      </c>
      <c r="W682" s="320">
        <f>IFERROR(__xludf.DUMMYFUNCTION("""COMPUTED_VALUE"""),0.0)</f>
        <v>0</v>
      </c>
      <c r="X682" s="320">
        <f>IFERROR(__xludf.DUMMYFUNCTION("""COMPUTED_VALUE"""),130.0)</f>
        <v>130</v>
      </c>
      <c r="Y682" s="320">
        <f>IFERROR(__xludf.DUMMYFUNCTION("""COMPUTED_VALUE"""),747.0)</f>
        <v>747</v>
      </c>
      <c r="Z682" s="320">
        <f>IFERROR(__xludf.DUMMYFUNCTION("""COMPUTED_VALUE"""),5861.0)</f>
        <v>5861</v>
      </c>
      <c r="AA682" s="320">
        <f>IFERROR(__xludf.DUMMYFUNCTION("""COMPUTED_VALUE"""),52.3036)</f>
        <v>52.3036</v>
      </c>
      <c r="AB682" s="320">
        <f>IFERROR(__xludf.DUMMYFUNCTION("""COMPUTED_VALUE"""),0.621)</f>
        <v>0.621</v>
      </c>
      <c r="AC682" s="320">
        <f>IFERROR(__xludf.DUMMYFUNCTION("""COMPUTED_VALUE"""),9.41)</f>
        <v>9.41</v>
      </c>
      <c r="AD682" s="320">
        <f>IFERROR(__xludf.DUMMYFUNCTION("""COMPUTED_VALUE"""),3.0)</f>
        <v>3</v>
      </c>
      <c r="AE682" s="320">
        <f>IFERROR(__xludf.DUMMYFUNCTION("""COMPUTED_VALUE"""),7.0)</f>
        <v>7</v>
      </c>
      <c r="AF682" s="320">
        <f>IFERROR(__xludf.DUMMYFUNCTION("""COMPUTED_VALUE"""),13.0)</f>
        <v>13</v>
      </c>
      <c r="AG682" s="320">
        <f>IFERROR(__xludf.DUMMYFUNCTION("""COMPUTED_VALUE"""),21.0)</f>
        <v>21</v>
      </c>
      <c r="AH682" s="320">
        <f>IFERROR(__xludf.DUMMYFUNCTION("""COMPUTED_VALUE"""),57.93)</f>
        <v>57.93</v>
      </c>
      <c r="AI682" s="320">
        <f>IFERROR(__xludf.DUMMYFUNCTION("""COMPUTED_VALUE"""),26.36)</f>
        <v>26.36</v>
      </c>
      <c r="AJ682" s="320">
        <f>IFERROR(__xludf.DUMMYFUNCTION("""COMPUTED_VALUE"""),5.27)</f>
        <v>5.27</v>
      </c>
      <c r="AK682" s="320">
        <f>IFERROR(__xludf.DUMMYFUNCTION("""COMPUTED_VALUE"""),0.1917)</f>
        <v>0.1917</v>
      </c>
      <c r="AL682" s="320">
        <f>IFERROR(__xludf.DUMMYFUNCTION("""COMPUTED_VALUE"""),20.51)</f>
        <v>20.51</v>
      </c>
      <c r="AM682" s="320">
        <f>IFERROR(__xludf.DUMMYFUNCTION("""COMPUTED_VALUE"""),58.13)</f>
        <v>58.13</v>
      </c>
      <c r="AN682" s="320">
        <f>IFERROR(__xludf.DUMMYFUNCTION("""COMPUTED_VALUE"""),75.2)</f>
        <v>75.2</v>
      </c>
      <c r="AO682" s="320">
        <f>IFERROR(__xludf.DUMMYFUNCTION("""COMPUTED_VALUE"""),15.42)</f>
        <v>15.42</v>
      </c>
    </row>
    <row r="683" ht="15.0" customHeight="1">
      <c r="A683" s="328">
        <f>IFERROR(__xludf.DUMMYFUNCTION("""COMPUTED_VALUE"""),46163.0)</f>
        <v>46163</v>
      </c>
      <c r="B683" s="319" t="str">
        <f>IFERROR(__xludf.DUMMYFUNCTION("""COMPUTED_VALUE"""),"D. 20-39")</f>
        <v>D. 20-39</v>
      </c>
      <c r="C683" s="320">
        <f>IFERROR(__xludf.DUMMYFUNCTION("""COMPUTED_VALUE"""),12381.0)</f>
        <v>12381</v>
      </c>
      <c r="D683" s="320">
        <f>IFERROR(__xludf.DUMMYFUNCTION("""COMPUTED_VALUE"""),12.46)</f>
        <v>12.46</v>
      </c>
      <c r="E683" s="320">
        <f>IFERROR(__xludf.DUMMYFUNCTION("""COMPUTED_VALUE"""),0.0)</f>
        <v>0</v>
      </c>
      <c r="F683" s="320">
        <f>IFERROR(__xludf.DUMMYFUNCTION("""COMPUTED_VALUE"""),0.0)</f>
        <v>0</v>
      </c>
      <c r="G683" s="320">
        <f>IFERROR(__xludf.DUMMYFUNCTION("""COMPUTED_VALUE"""),0.0)</f>
        <v>0</v>
      </c>
      <c r="H683" s="106"/>
      <c r="I683" s="320">
        <f>IFERROR(__xludf.DUMMYFUNCTION("""COMPUTED_VALUE"""),75.55)</f>
        <v>75.55</v>
      </c>
      <c r="J683" s="320">
        <f>IFERROR(__xludf.DUMMYFUNCTION("""COMPUTED_VALUE"""),37.88)</f>
        <v>37.88</v>
      </c>
      <c r="K683" s="320">
        <f>IFERROR(__xludf.DUMMYFUNCTION("""COMPUTED_VALUE"""),26.03)</f>
        <v>26.03</v>
      </c>
      <c r="L683" s="320">
        <f>IFERROR(__xludf.DUMMYFUNCTION("""COMPUTED_VALUE"""),0.6871)</f>
        <v>0.6871</v>
      </c>
      <c r="M683" s="320">
        <f>IFERROR(__xludf.DUMMYFUNCTION("""COMPUTED_VALUE"""),0.5111)</f>
        <v>0.5111</v>
      </c>
      <c r="N683" s="320">
        <f>IFERROR(__xludf.DUMMYFUNCTION("""COMPUTED_VALUE"""),0.3559)</f>
        <v>0.3559</v>
      </c>
      <c r="O683" s="320">
        <f>IFERROR(__xludf.DUMMYFUNCTION("""COMPUTED_VALUE"""),1.4554)</f>
        <v>1.4554</v>
      </c>
      <c r="P683" s="320">
        <f>IFERROR(__xludf.DUMMYFUNCTION("""COMPUTED_VALUE"""),187.72)</f>
        <v>187.72</v>
      </c>
      <c r="Q683" s="320">
        <f>IFERROR(__xludf.DUMMYFUNCTION("""COMPUTED_VALUE"""),142.92)</f>
        <v>142.92</v>
      </c>
      <c r="R683" s="320">
        <f>IFERROR(__xludf.DUMMYFUNCTION("""COMPUTED_VALUE"""),44.8)</f>
        <v>44.8</v>
      </c>
      <c r="S683" s="320">
        <f>IFERROR(__xludf.DUMMYFUNCTION("""COMPUTED_VALUE"""),0.0)</f>
        <v>0</v>
      </c>
      <c r="T683" s="320">
        <f>IFERROR(__xludf.DUMMYFUNCTION("""COMPUTED_VALUE"""),187.72)</f>
        <v>187.72</v>
      </c>
      <c r="U683" s="320">
        <f>IFERROR(__xludf.DUMMYFUNCTION("""COMPUTED_VALUE"""),166.4)</f>
        <v>166.4</v>
      </c>
      <c r="V683" s="320">
        <f>IFERROR(__xludf.DUMMYFUNCTION("""COMPUTED_VALUE"""),4.3924)</f>
        <v>4.3924</v>
      </c>
      <c r="W683" s="320">
        <f>IFERROR(__xludf.DUMMYFUNCTION("""COMPUTED_VALUE"""),0.0)</f>
        <v>0</v>
      </c>
      <c r="X683" s="320">
        <f>IFERROR(__xludf.DUMMYFUNCTION("""COMPUTED_VALUE"""),169.0)</f>
        <v>169</v>
      </c>
      <c r="Y683" s="320">
        <f>IFERROR(__xludf.DUMMYFUNCTION("""COMPUTED_VALUE"""),1042.0)</f>
        <v>1042</v>
      </c>
      <c r="Z683" s="320">
        <f>IFERROR(__xludf.DUMMYFUNCTION("""COMPUTED_VALUE"""),6856.0)</f>
        <v>6856</v>
      </c>
      <c r="AA683" s="320">
        <f>IFERROR(__xludf.DUMMYFUNCTION("""COMPUTED_VALUE"""),56.0694)</f>
        <v>56.0694</v>
      </c>
      <c r="AB683" s="320">
        <f>IFERROR(__xludf.DUMMYFUNCTION("""COMPUTED_VALUE"""),0.7398)</f>
        <v>0.7398</v>
      </c>
      <c r="AC683" s="320">
        <f>IFERROR(__xludf.DUMMYFUNCTION("""COMPUTED_VALUE"""),18.37)</f>
        <v>18.37</v>
      </c>
      <c r="AD683" s="320">
        <f>IFERROR(__xludf.DUMMYFUNCTION("""COMPUTED_VALUE"""),7.0)</f>
        <v>7</v>
      </c>
      <c r="AE683" s="320">
        <f>IFERROR(__xludf.DUMMYFUNCTION("""COMPUTED_VALUE"""),14.0)</f>
        <v>14</v>
      </c>
      <c r="AF683" s="320">
        <f>IFERROR(__xludf.DUMMYFUNCTION("""COMPUTED_VALUE"""),26.0)</f>
        <v>26</v>
      </c>
      <c r="AG683" s="320">
        <f>IFERROR(__xludf.DUMMYFUNCTION("""COMPUTED_VALUE"""),39.0)</f>
        <v>39</v>
      </c>
      <c r="AH683" s="320">
        <f>IFERROR(__xludf.DUMMYFUNCTION("""COMPUTED_VALUE"""),59.93)</f>
        <v>59.93</v>
      </c>
      <c r="AI683" s="320">
        <f>IFERROR(__xludf.DUMMYFUNCTION("""COMPUTED_VALUE"""),24.84)</f>
        <v>24.84</v>
      </c>
      <c r="AJ683" s="320">
        <f>IFERROR(__xludf.DUMMYFUNCTION("""COMPUTED_VALUE"""),8.54)</f>
        <v>8.54</v>
      </c>
      <c r="AK683" s="320">
        <f>IFERROR(__xludf.DUMMYFUNCTION("""COMPUTED_VALUE"""),0.1851)</f>
        <v>0.1851</v>
      </c>
      <c r="AL683" s="320">
        <f>IFERROR(__xludf.DUMMYFUNCTION("""COMPUTED_VALUE"""),20.41)</f>
        <v>20.41</v>
      </c>
      <c r="AM683" s="320">
        <f>IFERROR(__xludf.DUMMYFUNCTION("""COMPUTED_VALUE"""),122.51)</f>
        <v>122.51</v>
      </c>
      <c r="AN683" s="320">
        <f>IFERROR(__xludf.DUMMYFUNCTION("""COMPUTED_VALUE"""),78.42)</f>
        <v>78.42</v>
      </c>
      <c r="AO683" s="320">
        <f>IFERROR(__xludf.DUMMYFUNCTION("""COMPUTED_VALUE"""),16.01)</f>
        <v>16.01</v>
      </c>
    </row>
    <row r="684" ht="15.0" customHeight="1">
      <c r="A684" s="328">
        <f>IFERROR(__xludf.DUMMYFUNCTION("""COMPUTED_VALUE"""),46163.0)</f>
        <v>46163</v>
      </c>
      <c r="B684" s="319" t="str">
        <f>IFERROR(__xludf.DUMMYFUNCTION("""COMPUTED_VALUE"""),"E. 40-99")</f>
        <v>E. 40-99</v>
      </c>
      <c r="C684" s="320">
        <f>IFERROR(__xludf.DUMMYFUNCTION("""COMPUTED_VALUE"""),5115.0)</f>
        <v>5115</v>
      </c>
      <c r="D684" s="320">
        <f>IFERROR(__xludf.DUMMYFUNCTION("""COMPUTED_VALUE"""),5.15)</f>
        <v>5.15</v>
      </c>
      <c r="E684" s="320">
        <f>IFERROR(__xludf.DUMMYFUNCTION("""COMPUTED_VALUE"""),0.0)</f>
        <v>0</v>
      </c>
      <c r="F684" s="320">
        <f>IFERROR(__xludf.DUMMYFUNCTION("""COMPUTED_VALUE"""),0.0)</f>
        <v>0</v>
      </c>
      <c r="G684" s="320">
        <f>IFERROR(__xludf.DUMMYFUNCTION("""COMPUTED_VALUE"""),0.0)</f>
        <v>0</v>
      </c>
      <c r="H684" s="106"/>
      <c r="I684" s="320">
        <f>IFERROR(__xludf.DUMMYFUNCTION("""COMPUTED_VALUE"""),128.77)</f>
        <v>128.77</v>
      </c>
      <c r="J684" s="320">
        <f>IFERROR(__xludf.DUMMYFUNCTION("""COMPUTED_VALUE"""),69.59)</f>
        <v>69.59</v>
      </c>
      <c r="K684" s="320">
        <f>IFERROR(__xludf.DUMMYFUNCTION("""COMPUTED_VALUE"""),57.89)</f>
        <v>57.89</v>
      </c>
      <c r="L684" s="320">
        <f>IFERROR(__xludf.DUMMYFUNCTION("""COMPUTED_VALUE"""),0.8319)</f>
        <v>0.8319</v>
      </c>
      <c r="M684" s="320">
        <f>IFERROR(__xludf.DUMMYFUNCTION("""COMPUTED_VALUE"""),0.3552)</f>
        <v>0.3552</v>
      </c>
      <c r="N684" s="320">
        <f>IFERROR(__xludf.DUMMYFUNCTION("""COMPUTED_VALUE"""),0.2625)</f>
        <v>0.2625</v>
      </c>
      <c r="O684" s="320">
        <f>IFERROR(__xludf.DUMMYFUNCTION("""COMPUTED_VALUE"""),1.2021)</f>
        <v>1.2021</v>
      </c>
      <c r="P684" s="320">
        <f>IFERROR(__xludf.DUMMYFUNCTION("""COMPUTED_VALUE"""),439.97)</f>
        <v>439.97</v>
      </c>
      <c r="Q684" s="320">
        <f>IFERROR(__xludf.DUMMYFUNCTION("""COMPUTED_VALUE"""),339.67)</f>
        <v>339.67</v>
      </c>
      <c r="R684" s="320">
        <f>IFERROR(__xludf.DUMMYFUNCTION("""COMPUTED_VALUE"""),100.3)</f>
        <v>100.3</v>
      </c>
      <c r="S684" s="320">
        <f>IFERROR(__xludf.DUMMYFUNCTION("""COMPUTED_VALUE"""),0.0)</f>
        <v>0</v>
      </c>
      <c r="T684" s="320">
        <f>IFERROR(__xludf.DUMMYFUNCTION("""COMPUTED_VALUE"""),439.97)</f>
        <v>439.97</v>
      </c>
      <c r="U684" s="320">
        <f>IFERROR(__xludf.DUMMYFUNCTION("""COMPUTED_VALUE"""),334.51)</f>
        <v>334.51</v>
      </c>
      <c r="V684" s="320">
        <f>IFERROR(__xludf.DUMMYFUNCTION("""COMPUTED_VALUE"""),4.8069)</f>
        <v>4.8069</v>
      </c>
      <c r="W684" s="320">
        <f>IFERROR(__xludf.DUMMYFUNCTION("""COMPUTED_VALUE"""),0.0)</f>
        <v>0</v>
      </c>
      <c r="X684" s="320">
        <f>IFERROR(__xludf.DUMMYFUNCTION("""COMPUTED_VALUE"""),407.0)</f>
        <v>407</v>
      </c>
      <c r="Y684" s="320">
        <f>IFERROR(__xludf.DUMMYFUNCTION("""COMPUTED_VALUE"""),2738.0)</f>
        <v>2738</v>
      </c>
      <c r="Z684" s="320">
        <f>IFERROR(__xludf.DUMMYFUNCTION("""COMPUTED_VALUE"""),10953.0)</f>
        <v>10953</v>
      </c>
      <c r="AA684" s="320">
        <f>IFERROR(__xludf.DUMMYFUNCTION("""COMPUTED_VALUE"""),60.5183)</f>
        <v>60.5183</v>
      </c>
      <c r="AB684" s="320">
        <f>IFERROR(__xludf.DUMMYFUNCTION("""COMPUTED_VALUE"""),0.8382)</f>
        <v>0.8382</v>
      </c>
      <c r="AC684" s="320">
        <f>IFERROR(__xludf.DUMMYFUNCTION("""COMPUTED_VALUE"""),43.06)</f>
        <v>43.06</v>
      </c>
      <c r="AD684" s="320">
        <f>IFERROR(__xludf.DUMMYFUNCTION("""COMPUTED_VALUE"""),18.0)</f>
        <v>18</v>
      </c>
      <c r="AE684" s="320">
        <f>IFERROR(__xludf.DUMMYFUNCTION("""COMPUTED_VALUE"""),35.0)</f>
        <v>35</v>
      </c>
      <c r="AF684" s="320">
        <f>IFERROR(__xludf.DUMMYFUNCTION("""COMPUTED_VALUE"""),60.0)</f>
        <v>60</v>
      </c>
      <c r="AG684" s="320">
        <f>IFERROR(__xludf.DUMMYFUNCTION("""COMPUTED_VALUE"""),87.0)</f>
        <v>87</v>
      </c>
      <c r="AH684" s="320">
        <f>IFERROR(__xludf.DUMMYFUNCTION("""COMPUTED_VALUE"""),59.18)</f>
        <v>59.18</v>
      </c>
      <c r="AI684" s="320">
        <f>IFERROR(__xludf.DUMMYFUNCTION("""COMPUTED_VALUE"""),25.34)</f>
        <v>25.34</v>
      </c>
      <c r="AJ684" s="320">
        <f>IFERROR(__xludf.DUMMYFUNCTION("""COMPUTED_VALUE"""),6.9)</f>
        <v>6.9</v>
      </c>
      <c r="AK684" s="320">
        <f>IFERROR(__xludf.DUMMYFUNCTION("""COMPUTED_VALUE"""),0.1412)</f>
        <v>0.1412</v>
      </c>
      <c r="AL684" s="320">
        <f>IFERROR(__xludf.DUMMYFUNCTION("""COMPUTED_VALUE"""),20.93)</f>
        <v>20.93</v>
      </c>
      <c r="AM684" s="320">
        <f>IFERROR(__xludf.DUMMYFUNCTION("""COMPUTED_VALUE"""),318.74)</f>
        <v>318.74</v>
      </c>
      <c r="AN684" s="320">
        <f>IFERROR(__xludf.DUMMYFUNCTION("""COMPUTED_VALUE"""),83.17)</f>
        <v>83.17</v>
      </c>
      <c r="AO684" s="320">
        <f>IFERROR(__xludf.DUMMYFUNCTION("""COMPUTED_VALUE"""),17.41)</f>
        <v>17.41</v>
      </c>
    </row>
    <row r="685" ht="15.0" customHeight="1">
      <c r="A685" s="328">
        <f>IFERROR(__xludf.DUMMYFUNCTION("""COMPUTED_VALUE"""),46163.0)</f>
        <v>46163</v>
      </c>
      <c r="B685" s="319" t="str">
        <f>IFERROR(__xludf.DUMMYFUNCTION("""COMPUTED_VALUE"""),"F. 100+")</f>
        <v>F. 100+</v>
      </c>
      <c r="C685" s="320">
        <f>IFERROR(__xludf.DUMMYFUNCTION("""COMPUTED_VALUE"""),568.0)</f>
        <v>568</v>
      </c>
      <c r="D685" s="320">
        <f>IFERROR(__xludf.DUMMYFUNCTION("""COMPUTED_VALUE"""),0.57)</f>
        <v>0.57</v>
      </c>
      <c r="E685" s="320">
        <f>IFERROR(__xludf.DUMMYFUNCTION("""COMPUTED_VALUE"""),0.0)</f>
        <v>0</v>
      </c>
      <c r="F685" s="320">
        <f>IFERROR(__xludf.DUMMYFUNCTION("""COMPUTED_VALUE"""),0.0)</f>
        <v>0</v>
      </c>
      <c r="G685" s="320">
        <f>IFERROR(__xludf.DUMMYFUNCTION("""COMPUTED_VALUE"""),0.0)</f>
        <v>0</v>
      </c>
      <c r="H685" s="106"/>
      <c r="I685" s="320">
        <f>IFERROR(__xludf.DUMMYFUNCTION("""COMPUTED_VALUE"""),244.98)</f>
        <v>244.98</v>
      </c>
      <c r="J685" s="320">
        <f>IFERROR(__xludf.DUMMYFUNCTION("""COMPUTED_VALUE"""),140.51)</f>
        <v>140.51</v>
      </c>
      <c r="K685" s="320">
        <f>IFERROR(__xludf.DUMMYFUNCTION("""COMPUTED_VALUE"""),128.31)</f>
        <v>128.31</v>
      </c>
      <c r="L685" s="320">
        <f>IFERROR(__xludf.DUMMYFUNCTION("""COMPUTED_VALUE"""),0.9131)</f>
        <v>0.9131</v>
      </c>
      <c r="M685" s="320">
        <f>IFERROR(__xludf.DUMMYFUNCTION("""COMPUTED_VALUE"""),0.2538)</f>
        <v>0.2538</v>
      </c>
      <c r="N685" s="320">
        <f>IFERROR(__xludf.DUMMYFUNCTION("""COMPUTED_VALUE"""),0.2057)</f>
        <v>0.2057</v>
      </c>
      <c r="O685" s="320">
        <f>IFERROR(__xludf.DUMMYFUNCTION("""COMPUTED_VALUE"""),1.0951)</f>
        <v>1.0951</v>
      </c>
      <c r="P685" s="320">
        <f>IFERROR(__xludf.DUMMYFUNCTION("""COMPUTED_VALUE"""),865.79)</f>
        <v>865.79</v>
      </c>
      <c r="Q685" s="320">
        <f>IFERROR(__xludf.DUMMYFUNCTION("""COMPUTED_VALUE"""),644.79)</f>
        <v>644.79</v>
      </c>
      <c r="R685" s="320">
        <f>IFERROR(__xludf.DUMMYFUNCTION("""COMPUTED_VALUE"""),220.99)</f>
        <v>220.99</v>
      </c>
      <c r="S685" s="320">
        <f>IFERROR(__xludf.DUMMYFUNCTION("""COMPUTED_VALUE"""),0.0)</f>
        <v>0</v>
      </c>
      <c r="T685" s="320">
        <f>IFERROR(__xludf.DUMMYFUNCTION("""COMPUTED_VALUE"""),865.79)</f>
        <v>865.79</v>
      </c>
      <c r="U685" s="320">
        <f>IFERROR(__xludf.DUMMYFUNCTION("""COMPUTED_VALUE"""),646.21)</f>
        <v>646.21</v>
      </c>
      <c r="V685" s="320">
        <f>IFERROR(__xludf.DUMMYFUNCTION("""COMPUTED_VALUE"""),4.5989)</f>
        <v>4.5989</v>
      </c>
      <c r="W685" s="320">
        <f>IFERROR(__xludf.DUMMYFUNCTION("""COMPUTED_VALUE"""),0.0)</f>
        <v>0</v>
      </c>
      <c r="X685" s="320">
        <f>IFERROR(__xludf.DUMMYFUNCTION("""COMPUTED_VALUE"""),948.0)</f>
        <v>948</v>
      </c>
      <c r="Y685" s="320">
        <f>IFERROR(__xludf.DUMMYFUNCTION("""COMPUTED_VALUE"""),4176.0)</f>
        <v>4176</v>
      </c>
      <c r="Z685" s="320">
        <f>IFERROR(__xludf.DUMMYFUNCTION("""COMPUTED_VALUE"""),12955.0)</f>
        <v>12955</v>
      </c>
      <c r="AA685" s="320">
        <f>IFERROR(__xludf.DUMMYFUNCTION("""COMPUTED_VALUE"""),63.6204)</f>
        <v>63.6204</v>
      </c>
      <c r="AB685" s="320">
        <f>IFERROR(__xludf.DUMMYFUNCTION("""COMPUTED_VALUE"""),0.894)</f>
        <v>0.894</v>
      </c>
      <c r="AC685" s="320">
        <f>IFERROR(__xludf.DUMMYFUNCTION("""COMPUTED_VALUE"""),99.27)</f>
        <v>99.27</v>
      </c>
      <c r="AD685" s="320">
        <f>IFERROR(__xludf.DUMMYFUNCTION("""COMPUTED_VALUE"""),45.0)</f>
        <v>45</v>
      </c>
      <c r="AE685" s="320">
        <f>IFERROR(__xludf.DUMMYFUNCTION("""COMPUTED_VALUE"""),87.0)</f>
        <v>87</v>
      </c>
      <c r="AF685" s="320">
        <f>IFERROR(__xludf.DUMMYFUNCTION("""COMPUTED_VALUE"""),137.0)</f>
        <v>137</v>
      </c>
      <c r="AG685" s="320">
        <f>IFERROR(__xludf.DUMMYFUNCTION("""COMPUTED_VALUE"""),198.0)</f>
        <v>198</v>
      </c>
      <c r="AH685" s="320">
        <f>IFERROR(__xludf.DUMMYFUNCTION("""COMPUTED_VALUE"""),55.11)</f>
        <v>55.11</v>
      </c>
      <c r="AI685" s="320">
        <f>IFERROR(__xludf.DUMMYFUNCTION("""COMPUTED_VALUE"""),14.96)</f>
        <v>14.96</v>
      </c>
      <c r="AJ685" s="320">
        <f>IFERROR(__xludf.DUMMYFUNCTION("""COMPUTED_VALUE"""),1.94)</f>
        <v>1.94</v>
      </c>
      <c r="AK685" s="320">
        <f>IFERROR(__xludf.DUMMYFUNCTION("""COMPUTED_VALUE"""),0.0792)</f>
        <v>0.0792</v>
      </c>
      <c r="AL685" s="320">
        <f>IFERROR(__xludf.DUMMYFUNCTION("""COMPUTED_VALUE"""),23.08)</f>
        <v>23.08</v>
      </c>
      <c r="AM685" s="320">
        <f>IFERROR(__xludf.DUMMYFUNCTION("""COMPUTED_VALUE"""),621.71)</f>
        <v>621.71</v>
      </c>
      <c r="AN685" s="320">
        <f>IFERROR(__xludf.DUMMYFUNCTION("""COMPUTED_VALUE"""),84.66)</f>
        <v>84.66</v>
      </c>
      <c r="AO685" s="320">
        <f>IFERROR(__xludf.DUMMYFUNCTION("""COMPUTED_VALUE"""),19.54)</f>
        <v>19.54</v>
      </c>
    </row>
    <row r="686" ht="15.0" customHeight="1">
      <c r="A686" s="328">
        <f>IFERROR(__xludf.DUMMYFUNCTION("""COMPUTED_VALUE"""),46164.0)</f>
        <v>46164</v>
      </c>
      <c r="B686" s="319" t="str">
        <f>IFERROR(__xludf.DUMMYFUNCTION("""COMPUTED_VALUE"""),"A. 0")</f>
        <v>A. 0</v>
      </c>
      <c r="C686" s="320">
        <f>IFERROR(__xludf.DUMMYFUNCTION("""COMPUTED_VALUE"""),19630.0)</f>
        <v>19630</v>
      </c>
      <c r="D686" s="320">
        <f>IFERROR(__xludf.DUMMYFUNCTION("""COMPUTED_VALUE"""),20.28)</f>
        <v>20.28</v>
      </c>
      <c r="E686" s="320">
        <f>IFERROR(__xludf.DUMMYFUNCTION("""COMPUTED_VALUE"""),0.0)</f>
        <v>0</v>
      </c>
      <c r="F686" s="320">
        <f>IFERROR(__xludf.DUMMYFUNCTION("""COMPUTED_VALUE"""),0.0)</f>
        <v>0</v>
      </c>
      <c r="G686" s="320">
        <f>IFERROR(__xludf.DUMMYFUNCTION("""COMPUTED_VALUE"""),0.0)</f>
        <v>0</v>
      </c>
      <c r="H686" s="106"/>
      <c r="I686" s="320">
        <f>IFERROR(__xludf.DUMMYFUNCTION("""COMPUTED_VALUE"""),6.11)</f>
        <v>6.11</v>
      </c>
      <c r="J686" s="320">
        <f>IFERROR(__xludf.DUMMYFUNCTION("""COMPUTED_VALUE"""),2.47)</f>
        <v>2.47</v>
      </c>
      <c r="K686" s="320">
        <f>IFERROR(__xludf.DUMMYFUNCTION("""COMPUTED_VALUE"""),0.05)</f>
        <v>0.05</v>
      </c>
      <c r="L686" s="320">
        <f>IFERROR(__xludf.DUMMYFUNCTION("""COMPUTED_VALUE"""),0.0201)</f>
        <v>0.0201</v>
      </c>
      <c r="M686" s="320">
        <f>IFERROR(__xludf.DUMMYFUNCTION("""COMPUTED_VALUE"""),0.986)</f>
        <v>0.986</v>
      </c>
      <c r="N686" s="320">
        <f>IFERROR(__xludf.DUMMYFUNCTION("""COMPUTED_VALUE"""),0.8258)</f>
        <v>0.8258</v>
      </c>
      <c r="O686" s="320">
        <f>IFERROR(__xludf.DUMMYFUNCTION("""COMPUTED_VALUE"""),49.8261)</f>
        <v>49.8261</v>
      </c>
      <c r="P686" s="320">
        <f>IFERROR(__xludf.DUMMYFUNCTION("""COMPUTED_VALUE"""),25.28)</f>
        <v>25.28</v>
      </c>
      <c r="Q686" s="320">
        <f>IFERROR(__xludf.DUMMYFUNCTION("""COMPUTED_VALUE"""),25.19)</f>
        <v>25.19</v>
      </c>
      <c r="R686" s="320">
        <f>IFERROR(__xludf.DUMMYFUNCTION("""COMPUTED_VALUE"""),0.09)</f>
        <v>0.09</v>
      </c>
      <c r="S686" s="320">
        <f>IFERROR(__xludf.DUMMYFUNCTION("""COMPUTED_VALUE"""),0.0)</f>
        <v>0</v>
      </c>
      <c r="T686" s="320">
        <f>IFERROR(__xludf.DUMMYFUNCTION("""COMPUTED_VALUE"""),25.28)</f>
        <v>25.28</v>
      </c>
      <c r="U686" s="320">
        <f>IFERROR(__xludf.DUMMYFUNCTION("""COMPUTED_VALUE"""),2.08)</f>
        <v>2.08</v>
      </c>
      <c r="V686" s="320">
        <f>IFERROR(__xludf.DUMMYFUNCTION("""COMPUTED_VALUE"""),0.8435)</f>
        <v>0.8435</v>
      </c>
      <c r="W686" s="320">
        <f>IFERROR(__xludf.DUMMYFUNCTION("""COMPUTED_VALUE"""),0.0)</f>
        <v>0</v>
      </c>
      <c r="X686" s="320">
        <f>IFERROR(__xludf.DUMMYFUNCTION("""COMPUTED_VALUE"""),329.0)</f>
        <v>329</v>
      </c>
      <c r="Y686" s="320">
        <f>IFERROR(__xludf.DUMMYFUNCTION("""COMPUTED_VALUE"""),3999.0)</f>
        <v>3999</v>
      </c>
      <c r="Z686" s="320">
        <f>IFERROR(__xludf.DUMMYFUNCTION("""COMPUTED_VALUE"""),15504.0)</f>
        <v>15504</v>
      </c>
      <c r="AA686" s="320">
        <f>IFERROR(__xludf.DUMMYFUNCTION("""COMPUTED_VALUE"""),48.764)</f>
        <v>48.764</v>
      </c>
      <c r="AB686" s="320">
        <f>IFERROR(__xludf.DUMMYFUNCTION("""COMPUTED_VALUE"""),0.5366)</f>
        <v>0.5366</v>
      </c>
      <c r="AC686" s="106"/>
      <c r="AD686" s="106"/>
      <c r="AE686" s="106"/>
      <c r="AF686" s="106"/>
      <c r="AG686" s="106"/>
      <c r="AH686" s="320">
        <f>IFERROR(__xludf.DUMMYFUNCTION("""COMPUTED_VALUE"""),0.0)</f>
        <v>0</v>
      </c>
      <c r="AI686" s="320">
        <f>IFERROR(__xludf.DUMMYFUNCTION("""COMPUTED_VALUE"""),0.0)</f>
        <v>0</v>
      </c>
      <c r="AJ686" s="320">
        <f>IFERROR(__xludf.DUMMYFUNCTION("""COMPUTED_VALUE"""),0.0)</f>
        <v>0</v>
      </c>
      <c r="AK686" s="320">
        <f>IFERROR(__xludf.DUMMYFUNCTION("""COMPUTED_VALUE"""),0.3167)</f>
        <v>0.3167</v>
      </c>
      <c r="AL686" s="320">
        <f>IFERROR(__xludf.DUMMYFUNCTION("""COMPUTED_VALUE"""),17.01)</f>
        <v>17.01</v>
      </c>
      <c r="AM686" s="320">
        <f>IFERROR(__xludf.DUMMYFUNCTION("""COMPUTED_VALUE"""),8.18)</f>
        <v>8.18</v>
      </c>
      <c r="AN686" s="331"/>
      <c r="AO686" s="331"/>
    </row>
    <row r="687" ht="15.0" customHeight="1">
      <c r="A687" s="328">
        <f>IFERROR(__xludf.DUMMYFUNCTION("""COMPUTED_VALUE"""),46164.0)</f>
        <v>46164</v>
      </c>
      <c r="B687" s="319" t="str">
        <f>IFERROR(__xludf.DUMMYFUNCTION("""COMPUTED_VALUE"""),"B. 1-9")</f>
        <v>B. 1-9</v>
      </c>
      <c r="C687" s="320">
        <f>IFERROR(__xludf.DUMMYFUNCTION("""COMPUTED_VALUE"""),36116.0)</f>
        <v>36116</v>
      </c>
      <c r="D687" s="320">
        <f>IFERROR(__xludf.DUMMYFUNCTION("""COMPUTED_VALUE"""),37.31)</f>
        <v>37.31</v>
      </c>
      <c r="E687" s="320">
        <f>IFERROR(__xludf.DUMMYFUNCTION("""COMPUTED_VALUE"""),0.0)</f>
        <v>0</v>
      </c>
      <c r="F687" s="320">
        <f>IFERROR(__xludf.DUMMYFUNCTION("""COMPUTED_VALUE"""),0.0)</f>
        <v>0</v>
      </c>
      <c r="G687" s="320">
        <f>IFERROR(__xludf.DUMMYFUNCTION("""COMPUTED_VALUE"""),0.0)</f>
        <v>0</v>
      </c>
      <c r="H687" s="106"/>
      <c r="I687" s="320">
        <f>IFERROR(__xludf.DUMMYFUNCTION("""COMPUTED_VALUE"""),32.16)</f>
        <v>32.16</v>
      </c>
      <c r="J687" s="320">
        <f>IFERROR(__xludf.DUMMYFUNCTION("""COMPUTED_VALUE"""),14.56)</f>
        <v>14.56</v>
      </c>
      <c r="K687" s="320">
        <f>IFERROR(__xludf.DUMMYFUNCTION("""COMPUTED_VALUE"""),5.94)</f>
        <v>5.94</v>
      </c>
      <c r="L687" s="320">
        <f>IFERROR(__xludf.DUMMYFUNCTION("""COMPUTED_VALUE"""),0.4079)</f>
        <v>0.4079</v>
      </c>
      <c r="M687" s="320">
        <f>IFERROR(__xludf.DUMMYFUNCTION("""COMPUTED_VALUE"""),0.7599)</f>
        <v>0.7599</v>
      </c>
      <c r="N687" s="320">
        <f>IFERROR(__xludf.DUMMYFUNCTION("""COMPUTED_VALUE"""),0.551)</f>
        <v>0.551</v>
      </c>
      <c r="O687" s="320">
        <f>IFERROR(__xludf.DUMMYFUNCTION("""COMPUTED_VALUE"""),2.4515)</f>
        <v>2.4515</v>
      </c>
      <c r="P687" s="320">
        <f>IFERROR(__xludf.DUMMYFUNCTION("""COMPUTED_VALUE"""),60.8)</f>
        <v>60.8</v>
      </c>
      <c r="Q687" s="320">
        <f>IFERROR(__xludf.DUMMYFUNCTION("""COMPUTED_VALUE"""),50.65)</f>
        <v>50.65</v>
      </c>
      <c r="R687" s="320">
        <f>IFERROR(__xludf.DUMMYFUNCTION("""COMPUTED_VALUE"""),10.15)</f>
        <v>10.15</v>
      </c>
      <c r="S687" s="320">
        <f>IFERROR(__xludf.DUMMYFUNCTION("""COMPUTED_VALUE"""),0.0)</f>
        <v>0</v>
      </c>
      <c r="T687" s="320">
        <f>IFERROR(__xludf.DUMMYFUNCTION("""COMPUTED_VALUE"""),60.8)</f>
        <v>60.8</v>
      </c>
      <c r="U687" s="320">
        <f>IFERROR(__xludf.DUMMYFUNCTION("""COMPUTED_VALUE"""),55.4)</f>
        <v>55.4</v>
      </c>
      <c r="V687" s="320">
        <f>IFERROR(__xludf.DUMMYFUNCTION("""COMPUTED_VALUE"""),3.804)</f>
        <v>3.804</v>
      </c>
      <c r="W687" s="320">
        <f>IFERROR(__xludf.DUMMYFUNCTION("""COMPUTED_VALUE"""),0.0)</f>
        <v>0</v>
      </c>
      <c r="X687" s="320">
        <f>IFERROR(__xludf.DUMMYFUNCTION("""COMPUTED_VALUE"""),139.0)</f>
        <v>139</v>
      </c>
      <c r="Y687" s="320">
        <f>IFERROR(__xludf.DUMMYFUNCTION("""COMPUTED_VALUE"""),838.0)</f>
        <v>838</v>
      </c>
      <c r="Z687" s="320">
        <f>IFERROR(__xludf.DUMMYFUNCTION("""COMPUTED_VALUE"""),5938.0)</f>
        <v>5938</v>
      </c>
      <c r="AA687" s="320">
        <f>IFERROR(__xludf.DUMMYFUNCTION("""COMPUTED_VALUE"""),48.2513)</f>
        <v>48.2513</v>
      </c>
      <c r="AB687" s="320">
        <f>IFERROR(__xludf.DUMMYFUNCTION("""COMPUTED_VALUE"""),0.5248)</f>
        <v>0.5248</v>
      </c>
      <c r="AC687" s="320">
        <f>IFERROR(__xludf.DUMMYFUNCTION("""COMPUTED_VALUE"""),4.12)</f>
        <v>4.12</v>
      </c>
      <c r="AD687" s="320">
        <f>IFERROR(__xludf.DUMMYFUNCTION("""COMPUTED_VALUE"""),1.0)</f>
        <v>1</v>
      </c>
      <c r="AE687" s="320">
        <f>IFERROR(__xludf.DUMMYFUNCTION("""COMPUTED_VALUE"""),3.0)</f>
        <v>3</v>
      </c>
      <c r="AF687" s="320">
        <f>IFERROR(__xludf.DUMMYFUNCTION("""COMPUTED_VALUE"""),5.0)</f>
        <v>5</v>
      </c>
      <c r="AG687" s="320">
        <f>IFERROR(__xludf.DUMMYFUNCTION("""COMPUTED_VALUE"""),9.0)</f>
        <v>9</v>
      </c>
      <c r="AH687" s="320">
        <f>IFERROR(__xludf.DUMMYFUNCTION("""COMPUTED_VALUE"""),74.03)</f>
        <v>74.03</v>
      </c>
      <c r="AI687" s="320">
        <f>IFERROR(__xludf.DUMMYFUNCTION("""COMPUTED_VALUE"""),31.99)</f>
        <v>31.99</v>
      </c>
      <c r="AJ687" s="320">
        <f>IFERROR(__xludf.DUMMYFUNCTION("""COMPUTED_VALUE"""),9.27)</f>
        <v>9.27</v>
      </c>
      <c r="AK687" s="320">
        <f>IFERROR(__xludf.DUMMYFUNCTION("""COMPUTED_VALUE"""),0.2597)</f>
        <v>0.2597</v>
      </c>
      <c r="AL687" s="320">
        <f>IFERROR(__xludf.DUMMYFUNCTION("""COMPUTED_VALUE"""),20.6)</f>
        <v>20.6</v>
      </c>
      <c r="AM687" s="320">
        <f>IFERROR(__xludf.DUMMYFUNCTION("""COMPUTED_VALUE"""),30.05)</f>
        <v>30.05</v>
      </c>
      <c r="AN687" s="320">
        <f>IFERROR(__xludf.DUMMYFUNCTION("""COMPUTED_VALUE"""),65.68)</f>
        <v>65.68</v>
      </c>
      <c r="AO687" s="320">
        <f>IFERROR(__xludf.DUMMYFUNCTION("""COMPUTED_VALUE"""),13.53)</f>
        <v>13.53</v>
      </c>
    </row>
    <row r="688" ht="15.0" customHeight="1">
      <c r="A688" s="328">
        <f>IFERROR(__xludf.DUMMYFUNCTION("""COMPUTED_VALUE"""),46164.0)</f>
        <v>46164</v>
      </c>
      <c r="B688" s="319" t="str">
        <f>IFERROR(__xludf.DUMMYFUNCTION("""COMPUTED_VALUE"""),"C. 10-19")</f>
        <v>C. 10-19</v>
      </c>
      <c r="C688" s="320">
        <f>IFERROR(__xludf.DUMMYFUNCTION("""COMPUTED_VALUE"""),23038.0)</f>
        <v>23038</v>
      </c>
      <c r="D688" s="320">
        <f>IFERROR(__xludf.DUMMYFUNCTION("""COMPUTED_VALUE"""),23.8)</f>
        <v>23.8</v>
      </c>
      <c r="E688" s="320">
        <f>IFERROR(__xludf.DUMMYFUNCTION("""COMPUTED_VALUE"""),0.0)</f>
        <v>0</v>
      </c>
      <c r="F688" s="320">
        <f>IFERROR(__xludf.DUMMYFUNCTION("""COMPUTED_VALUE"""),0.0)</f>
        <v>0</v>
      </c>
      <c r="G688" s="320">
        <f>IFERROR(__xludf.DUMMYFUNCTION("""COMPUTED_VALUE"""),0.0)</f>
        <v>0</v>
      </c>
      <c r="H688" s="106"/>
      <c r="I688" s="320">
        <f>IFERROR(__xludf.DUMMYFUNCTION("""COMPUTED_VALUE"""),57.64)</f>
        <v>57.64</v>
      </c>
      <c r="J688" s="320">
        <f>IFERROR(__xludf.DUMMYFUNCTION("""COMPUTED_VALUE"""),27.45)</f>
        <v>27.45</v>
      </c>
      <c r="K688" s="320">
        <f>IFERROR(__xludf.DUMMYFUNCTION("""COMPUTED_VALUE"""),14.67)</f>
        <v>14.67</v>
      </c>
      <c r="L688" s="320">
        <f>IFERROR(__xludf.DUMMYFUNCTION("""COMPUTED_VALUE"""),0.5344)</f>
        <v>0.5344</v>
      </c>
      <c r="M688" s="320">
        <f>IFERROR(__xludf.DUMMYFUNCTION("""COMPUTED_VALUE"""),0.6523)</f>
        <v>0.6523</v>
      </c>
      <c r="N688" s="320">
        <f>IFERROR(__xludf.DUMMYFUNCTION("""COMPUTED_VALUE"""),0.447)</f>
        <v>0.447</v>
      </c>
      <c r="O688" s="320">
        <f>IFERROR(__xludf.DUMMYFUNCTION("""COMPUTED_VALUE"""),1.8711)</f>
        <v>1.8711</v>
      </c>
      <c r="P688" s="320">
        <f>IFERROR(__xludf.DUMMYFUNCTION("""COMPUTED_VALUE"""),108.63)</f>
        <v>108.63</v>
      </c>
      <c r="Q688" s="320">
        <f>IFERROR(__xludf.DUMMYFUNCTION("""COMPUTED_VALUE"""),83.58)</f>
        <v>83.58</v>
      </c>
      <c r="R688" s="320">
        <f>IFERROR(__xludf.DUMMYFUNCTION("""COMPUTED_VALUE"""),25.05)</f>
        <v>25.05</v>
      </c>
      <c r="S688" s="320">
        <f>IFERROR(__xludf.DUMMYFUNCTION("""COMPUTED_VALUE"""),0.0)</f>
        <v>0</v>
      </c>
      <c r="T688" s="320">
        <f>IFERROR(__xludf.DUMMYFUNCTION("""COMPUTED_VALUE"""),108.63)</f>
        <v>108.63</v>
      </c>
      <c r="U688" s="320">
        <f>IFERROR(__xludf.DUMMYFUNCTION("""COMPUTED_VALUE"""),103.31)</f>
        <v>103.31</v>
      </c>
      <c r="V688" s="320">
        <f>IFERROR(__xludf.DUMMYFUNCTION("""COMPUTED_VALUE"""),3.7636)</f>
        <v>3.7636</v>
      </c>
      <c r="W688" s="320">
        <f>IFERROR(__xludf.DUMMYFUNCTION("""COMPUTED_VALUE"""),0.0)</f>
        <v>0</v>
      </c>
      <c r="X688" s="320">
        <f>IFERROR(__xludf.DUMMYFUNCTION("""COMPUTED_VALUE"""),130.0)</f>
        <v>130</v>
      </c>
      <c r="Y688" s="320">
        <f>IFERROR(__xludf.DUMMYFUNCTION("""COMPUTED_VALUE"""),704.0)</f>
        <v>704</v>
      </c>
      <c r="Z688" s="320">
        <f>IFERROR(__xludf.DUMMYFUNCTION("""COMPUTED_VALUE"""),5231.0)</f>
        <v>5231</v>
      </c>
      <c r="AA688" s="320">
        <f>IFERROR(__xludf.DUMMYFUNCTION("""COMPUTED_VALUE"""),52.2662)</f>
        <v>52.2662</v>
      </c>
      <c r="AB688" s="320">
        <f>IFERROR(__xludf.DUMMYFUNCTION("""COMPUTED_VALUE"""),0.6286)</f>
        <v>0.6286</v>
      </c>
      <c r="AC688" s="320">
        <f>IFERROR(__xludf.DUMMYFUNCTION("""COMPUTED_VALUE"""),9.9)</f>
        <v>9.9</v>
      </c>
      <c r="AD688" s="320">
        <f>IFERROR(__xludf.DUMMYFUNCTION("""COMPUTED_VALUE"""),4.0)</f>
        <v>4</v>
      </c>
      <c r="AE688" s="320">
        <f>IFERROR(__xludf.DUMMYFUNCTION("""COMPUTED_VALUE"""),8.0)</f>
        <v>8</v>
      </c>
      <c r="AF688" s="320">
        <f>IFERROR(__xludf.DUMMYFUNCTION("""COMPUTED_VALUE"""),13.0)</f>
        <v>13</v>
      </c>
      <c r="AG688" s="320">
        <f>IFERROR(__xludf.DUMMYFUNCTION("""COMPUTED_VALUE"""),21.0)</f>
        <v>21</v>
      </c>
      <c r="AH688" s="320">
        <f>IFERROR(__xludf.DUMMYFUNCTION("""COMPUTED_VALUE"""),62.65)</f>
        <v>62.65</v>
      </c>
      <c r="AI688" s="320">
        <f>IFERROR(__xludf.DUMMYFUNCTION("""COMPUTED_VALUE"""),27.85)</f>
        <v>27.85</v>
      </c>
      <c r="AJ688" s="320">
        <f>IFERROR(__xludf.DUMMYFUNCTION("""COMPUTED_VALUE"""),5.59)</f>
        <v>5.59</v>
      </c>
      <c r="AK688" s="320">
        <f>IFERROR(__xludf.DUMMYFUNCTION("""COMPUTED_VALUE"""),0.2158)</f>
        <v>0.2158</v>
      </c>
      <c r="AL688" s="320">
        <f>IFERROR(__xludf.DUMMYFUNCTION("""COMPUTED_VALUE"""),21.77)</f>
        <v>21.77</v>
      </c>
      <c r="AM688" s="320">
        <f>IFERROR(__xludf.DUMMYFUNCTION("""COMPUTED_VALUE"""),61.81)</f>
        <v>61.81</v>
      </c>
      <c r="AN688" s="320">
        <f>IFERROR(__xludf.DUMMYFUNCTION("""COMPUTED_VALUE"""),75.32)</f>
        <v>75.32</v>
      </c>
      <c r="AO688" s="320">
        <f>IFERROR(__xludf.DUMMYFUNCTION("""COMPUTED_VALUE"""),16.4)</f>
        <v>16.4</v>
      </c>
    </row>
    <row r="689" ht="15.0" customHeight="1">
      <c r="A689" s="328">
        <f>IFERROR(__xludf.DUMMYFUNCTION("""COMPUTED_VALUE"""),46164.0)</f>
        <v>46164</v>
      </c>
      <c r="B689" s="319" t="str">
        <f>IFERROR(__xludf.DUMMYFUNCTION("""COMPUTED_VALUE"""),"D. 20-39")</f>
        <v>D. 20-39</v>
      </c>
      <c r="C689" s="320">
        <f>IFERROR(__xludf.DUMMYFUNCTION("""COMPUTED_VALUE"""),12430.0)</f>
        <v>12430</v>
      </c>
      <c r="D689" s="320">
        <f>IFERROR(__xludf.DUMMYFUNCTION("""COMPUTED_VALUE"""),12.84)</f>
        <v>12.84</v>
      </c>
      <c r="E689" s="320">
        <f>IFERROR(__xludf.DUMMYFUNCTION("""COMPUTED_VALUE"""),0.0)</f>
        <v>0</v>
      </c>
      <c r="F689" s="320">
        <f>IFERROR(__xludf.DUMMYFUNCTION("""COMPUTED_VALUE"""),0.0)</f>
        <v>0</v>
      </c>
      <c r="G689" s="320">
        <f>IFERROR(__xludf.DUMMYFUNCTION("""COMPUTED_VALUE"""),0.0)</f>
        <v>0</v>
      </c>
      <c r="H689" s="106"/>
      <c r="I689" s="320">
        <f>IFERROR(__xludf.DUMMYFUNCTION("""COMPUTED_VALUE"""),83.67)</f>
        <v>83.67</v>
      </c>
      <c r="J689" s="320">
        <f>IFERROR(__xludf.DUMMYFUNCTION("""COMPUTED_VALUE"""),42.03)</f>
        <v>42.03</v>
      </c>
      <c r="K689" s="320">
        <f>IFERROR(__xludf.DUMMYFUNCTION("""COMPUTED_VALUE"""),27.88)</f>
        <v>27.88</v>
      </c>
      <c r="L689" s="320">
        <f>IFERROR(__xludf.DUMMYFUNCTION("""COMPUTED_VALUE"""),0.6634)</f>
        <v>0.6634</v>
      </c>
      <c r="M689" s="320">
        <f>IFERROR(__xludf.DUMMYFUNCTION("""COMPUTED_VALUE"""),0.526)</f>
        <v>0.526</v>
      </c>
      <c r="N689" s="320">
        <f>IFERROR(__xludf.DUMMYFUNCTION("""COMPUTED_VALUE"""),0.3575)</f>
        <v>0.3575</v>
      </c>
      <c r="O689" s="320">
        <f>IFERROR(__xludf.DUMMYFUNCTION("""COMPUTED_VALUE"""),1.5074)</f>
        <v>1.5074</v>
      </c>
      <c r="P689" s="320">
        <f>IFERROR(__xludf.DUMMYFUNCTION("""COMPUTED_VALUE"""),173.39)</f>
        <v>173.39</v>
      </c>
      <c r="Q689" s="320">
        <f>IFERROR(__xludf.DUMMYFUNCTION("""COMPUTED_VALUE"""),125.28)</f>
        <v>125.28</v>
      </c>
      <c r="R689" s="320">
        <f>IFERROR(__xludf.DUMMYFUNCTION("""COMPUTED_VALUE"""),48.1)</f>
        <v>48.1</v>
      </c>
      <c r="S689" s="320">
        <f>IFERROR(__xludf.DUMMYFUNCTION("""COMPUTED_VALUE"""),0.63)</f>
        <v>0.63</v>
      </c>
      <c r="T689" s="320">
        <f>IFERROR(__xludf.DUMMYFUNCTION("""COMPUTED_VALUE"""),172.76)</f>
        <v>172.76</v>
      </c>
      <c r="U689" s="320">
        <f>IFERROR(__xludf.DUMMYFUNCTION("""COMPUTED_VALUE"""),171.98)</f>
        <v>171.98</v>
      </c>
      <c r="V689" s="320">
        <f>IFERROR(__xludf.DUMMYFUNCTION("""COMPUTED_VALUE"""),4.0915)</f>
        <v>4.0915</v>
      </c>
      <c r="W689" s="320">
        <f>IFERROR(__xludf.DUMMYFUNCTION("""COMPUTED_VALUE"""),0.36)</f>
        <v>0.36</v>
      </c>
      <c r="X689" s="320">
        <f>IFERROR(__xludf.DUMMYFUNCTION("""COMPUTED_VALUE"""),163.0)</f>
        <v>163</v>
      </c>
      <c r="Y689" s="320">
        <f>IFERROR(__xludf.DUMMYFUNCTION("""COMPUTED_VALUE"""),1100.0)</f>
        <v>1100</v>
      </c>
      <c r="Z689" s="320">
        <f>IFERROR(__xludf.DUMMYFUNCTION("""COMPUTED_VALUE"""),6954.0)</f>
        <v>6954</v>
      </c>
      <c r="AA689" s="320">
        <f>IFERROR(__xludf.DUMMYFUNCTION("""COMPUTED_VALUE"""),56.1477)</f>
        <v>56.1477</v>
      </c>
      <c r="AB689" s="320">
        <f>IFERROR(__xludf.DUMMYFUNCTION("""COMPUTED_VALUE"""),0.7452)</f>
        <v>0.7452</v>
      </c>
      <c r="AC689" s="320">
        <f>IFERROR(__xludf.DUMMYFUNCTION("""COMPUTED_VALUE"""),19.02)</f>
        <v>19.02</v>
      </c>
      <c r="AD689" s="320">
        <f>IFERROR(__xludf.DUMMYFUNCTION("""COMPUTED_VALUE"""),8.0)</f>
        <v>8</v>
      </c>
      <c r="AE689" s="320">
        <f>IFERROR(__xludf.DUMMYFUNCTION("""COMPUTED_VALUE"""),15.0)</f>
        <v>15</v>
      </c>
      <c r="AF689" s="320">
        <f>IFERROR(__xludf.DUMMYFUNCTION("""COMPUTED_VALUE"""),26.0)</f>
        <v>26</v>
      </c>
      <c r="AG689" s="320">
        <f>IFERROR(__xludf.DUMMYFUNCTION("""COMPUTED_VALUE"""),39.0)</f>
        <v>39</v>
      </c>
      <c r="AH689" s="320">
        <f>IFERROR(__xludf.DUMMYFUNCTION("""COMPUTED_VALUE"""),63.54)</f>
        <v>63.54</v>
      </c>
      <c r="AI689" s="320">
        <f>IFERROR(__xludf.DUMMYFUNCTION("""COMPUTED_VALUE"""),25.9)</f>
        <v>25.9</v>
      </c>
      <c r="AJ689" s="320">
        <f>IFERROR(__xludf.DUMMYFUNCTION("""COMPUTED_VALUE"""),8.41)</f>
        <v>8.41</v>
      </c>
      <c r="AK689" s="320">
        <f>IFERROR(__xludf.DUMMYFUNCTION("""COMPUTED_VALUE"""),0.2042)</f>
        <v>0.2042</v>
      </c>
      <c r="AL689" s="320">
        <f>IFERROR(__xludf.DUMMYFUNCTION("""COMPUTED_VALUE"""),21.3)</f>
        <v>21.3</v>
      </c>
      <c r="AM689" s="320">
        <f>IFERROR(__xludf.DUMMYFUNCTION("""COMPUTED_VALUE"""),103.98)</f>
        <v>103.98</v>
      </c>
      <c r="AN689" s="320">
        <f>IFERROR(__xludf.DUMMYFUNCTION("""COMPUTED_VALUE"""),78.11)</f>
        <v>78.11</v>
      </c>
      <c r="AO689" s="320">
        <f>IFERROR(__xludf.DUMMYFUNCTION("""COMPUTED_VALUE"""),16.64)</f>
        <v>16.64</v>
      </c>
    </row>
    <row r="690" ht="15.0" customHeight="1">
      <c r="A690" s="328">
        <f>IFERROR(__xludf.DUMMYFUNCTION("""COMPUTED_VALUE"""),46164.0)</f>
        <v>46164</v>
      </c>
      <c r="B690" s="319" t="str">
        <f>IFERROR(__xludf.DUMMYFUNCTION("""COMPUTED_VALUE"""),"E. 40-99")</f>
        <v>E. 40-99</v>
      </c>
      <c r="C690" s="320">
        <f>IFERROR(__xludf.DUMMYFUNCTION("""COMPUTED_VALUE"""),5018.0)</f>
        <v>5018</v>
      </c>
      <c r="D690" s="320">
        <f>IFERROR(__xludf.DUMMYFUNCTION("""COMPUTED_VALUE"""),5.18)</f>
        <v>5.18</v>
      </c>
      <c r="E690" s="320">
        <f>IFERROR(__xludf.DUMMYFUNCTION("""COMPUTED_VALUE"""),0.0)</f>
        <v>0</v>
      </c>
      <c r="F690" s="320">
        <f>IFERROR(__xludf.DUMMYFUNCTION("""COMPUTED_VALUE"""),0.0)</f>
        <v>0</v>
      </c>
      <c r="G690" s="320">
        <f>IFERROR(__xludf.DUMMYFUNCTION("""COMPUTED_VALUE"""),0.0)</f>
        <v>0</v>
      </c>
      <c r="H690" s="106"/>
      <c r="I690" s="320">
        <f>IFERROR(__xludf.DUMMYFUNCTION("""COMPUTED_VALUE"""),134.59)</f>
        <v>134.59</v>
      </c>
      <c r="J690" s="320">
        <f>IFERROR(__xludf.DUMMYFUNCTION("""COMPUTED_VALUE"""),71.18)</f>
        <v>71.18</v>
      </c>
      <c r="K690" s="320">
        <f>IFERROR(__xludf.DUMMYFUNCTION("""COMPUTED_VALUE"""),57.34)</f>
        <v>57.34</v>
      </c>
      <c r="L690" s="320">
        <f>IFERROR(__xludf.DUMMYFUNCTION("""COMPUTED_VALUE"""),0.8056)</f>
        <v>0.8056</v>
      </c>
      <c r="M690" s="320">
        <f>IFERROR(__xludf.DUMMYFUNCTION("""COMPUTED_VALUE"""),0.3766)</f>
        <v>0.3766</v>
      </c>
      <c r="N690" s="320">
        <f>IFERROR(__xludf.DUMMYFUNCTION("""COMPUTED_VALUE"""),0.2703)</f>
        <v>0.2703</v>
      </c>
      <c r="O690" s="320">
        <f>IFERROR(__xludf.DUMMYFUNCTION("""COMPUTED_VALUE"""),1.2413)</f>
        <v>1.2413</v>
      </c>
      <c r="P690" s="320">
        <f>IFERROR(__xludf.DUMMYFUNCTION("""COMPUTED_VALUE"""),313.41)</f>
        <v>313.41</v>
      </c>
      <c r="Q690" s="320">
        <f>IFERROR(__xludf.DUMMYFUNCTION("""COMPUTED_VALUE"""),215.63)</f>
        <v>215.63</v>
      </c>
      <c r="R690" s="320">
        <f>IFERROR(__xludf.DUMMYFUNCTION("""COMPUTED_VALUE"""),97.78)</f>
        <v>97.78</v>
      </c>
      <c r="S690" s="320">
        <f>IFERROR(__xludf.DUMMYFUNCTION("""COMPUTED_VALUE"""),0.0)</f>
        <v>0</v>
      </c>
      <c r="T690" s="320">
        <f>IFERROR(__xludf.DUMMYFUNCTION("""COMPUTED_VALUE"""),313.41)</f>
        <v>313.41</v>
      </c>
      <c r="U690" s="320">
        <f>IFERROR(__xludf.DUMMYFUNCTION("""COMPUTED_VALUE"""),316.98)</f>
        <v>316.98</v>
      </c>
      <c r="V690" s="320">
        <f>IFERROR(__xludf.DUMMYFUNCTION("""COMPUTED_VALUE"""),4.4531)</f>
        <v>4.4531</v>
      </c>
      <c r="W690" s="320">
        <f>IFERROR(__xludf.DUMMYFUNCTION("""COMPUTED_VALUE"""),0.0)</f>
        <v>0</v>
      </c>
      <c r="X690" s="320">
        <f>IFERROR(__xludf.DUMMYFUNCTION("""COMPUTED_VALUE"""),371.0)</f>
        <v>371</v>
      </c>
      <c r="Y690" s="320">
        <f>IFERROR(__xludf.DUMMYFUNCTION("""COMPUTED_VALUE"""),2754.0)</f>
        <v>2754</v>
      </c>
      <c r="Z690" s="320">
        <f>IFERROR(__xludf.DUMMYFUNCTION("""COMPUTED_VALUE"""),10602.0)</f>
        <v>10602</v>
      </c>
      <c r="AA690" s="320">
        <f>IFERROR(__xludf.DUMMYFUNCTION("""COMPUTED_VALUE"""),60.5697)</f>
        <v>60.5697</v>
      </c>
      <c r="AB690" s="320">
        <f>IFERROR(__xludf.DUMMYFUNCTION("""COMPUTED_VALUE"""),0.8539)</f>
        <v>0.8539</v>
      </c>
      <c r="AC690" s="320">
        <f>IFERROR(__xludf.DUMMYFUNCTION("""COMPUTED_VALUE"""),40.84)</f>
        <v>40.84</v>
      </c>
      <c r="AD690" s="320">
        <f>IFERROR(__xludf.DUMMYFUNCTION("""COMPUTED_VALUE"""),16.0)</f>
        <v>16</v>
      </c>
      <c r="AE690" s="320">
        <f>IFERROR(__xludf.DUMMYFUNCTION("""COMPUTED_VALUE"""),32.0)</f>
        <v>32</v>
      </c>
      <c r="AF690" s="320">
        <f>IFERROR(__xludf.DUMMYFUNCTION("""COMPUTED_VALUE"""),56.0)</f>
        <v>56</v>
      </c>
      <c r="AG690" s="320">
        <f>IFERROR(__xludf.DUMMYFUNCTION("""COMPUTED_VALUE"""),85.0)</f>
        <v>85</v>
      </c>
      <c r="AH690" s="320">
        <f>IFERROR(__xludf.DUMMYFUNCTION("""COMPUTED_VALUE"""),57.21)</f>
        <v>57.21</v>
      </c>
      <c r="AI690" s="320">
        <f>IFERROR(__xludf.DUMMYFUNCTION("""COMPUTED_VALUE"""),22.7)</f>
        <v>22.7</v>
      </c>
      <c r="AJ690" s="320">
        <f>IFERROR(__xludf.DUMMYFUNCTION("""COMPUTED_VALUE"""),5.98)</f>
        <v>5.98</v>
      </c>
      <c r="AK690" s="320">
        <f>IFERROR(__xludf.DUMMYFUNCTION("""COMPUTED_VALUE"""),0.156)</f>
        <v>0.156</v>
      </c>
      <c r="AL690" s="320">
        <f>IFERROR(__xludf.DUMMYFUNCTION("""COMPUTED_VALUE"""),21.98)</f>
        <v>21.98</v>
      </c>
      <c r="AM690" s="320">
        <f>IFERROR(__xludf.DUMMYFUNCTION("""COMPUTED_VALUE"""),193.65)</f>
        <v>193.65</v>
      </c>
      <c r="AN690" s="320">
        <f>IFERROR(__xludf.DUMMYFUNCTION("""COMPUTED_VALUE"""),82.93)</f>
        <v>82.93</v>
      </c>
      <c r="AO690" s="320">
        <f>IFERROR(__xludf.DUMMYFUNCTION("""COMPUTED_VALUE"""),18.23)</f>
        <v>18.23</v>
      </c>
    </row>
    <row r="691" ht="15.0" customHeight="1">
      <c r="A691" s="328">
        <f>IFERROR(__xludf.DUMMYFUNCTION("""COMPUTED_VALUE"""),46164.0)</f>
        <v>46164</v>
      </c>
      <c r="B691" s="319" t="str">
        <f>IFERROR(__xludf.DUMMYFUNCTION("""COMPUTED_VALUE"""),"F. 100+")</f>
        <v>F. 100+</v>
      </c>
      <c r="C691" s="320">
        <f>IFERROR(__xludf.DUMMYFUNCTION("""COMPUTED_VALUE"""),563.0)</f>
        <v>563</v>
      </c>
      <c r="D691" s="320">
        <f>IFERROR(__xludf.DUMMYFUNCTION("""COMPUTED_VALUE"""),0.58)</f>
        <v>0.58</v>
      </c>
      <c r="E691" s="320">
        <f>IFERROR(__xludf.DUMMYFUNCTION("""COMPUTED_VALUE"""),0.0)</f>
        <v>0</v>
      </c>
      <c r="F691" s="320">
        <f>IFERROR(__xludf.DUMMYFUNCTION("""COMPUTED_VALUE"""),0.0)</f>
        <v>0</v>
      </c>
      <c r="G691" s="320">
        <f>IFERROR(__xludf.DUMMYFUNCTION("""COMPUTED_VALUE"""),0.0)</f>
        <v>0</v>
      </c>
      <c r="H691" s="106"/>
      <c r="I691" s="320">
        <f>IFERROR(__xludf.DUMMYFUNCTION("""COMPUTED_VALUE"""),249.7)</f>
        <v>249.7</v>
      </c>
      <c r="J691" s="320">
        <f>IFERROR(__xludf.DUMMYFUNCTION("""COMPUTED_VALUE"""),141.18)</f>
        <v>141.18</v>
      </c>
      <c r="K691" s="320">
        <f>IFERROR(__xludf.DUMMYFUNCTION("""COMPUTED_VALUE"""),126.17)</f>
        <v>126.17</v>
      </c>
      <c r="L691" s="320">
        <f>IFERROR(__xludf.DUMMYFUNCTION("""COMPUTED_VALUE"""),0.8937)</f>
        <v>0.8937</v>
      </c>
      <c r="M691" s="320">
        <f>IFERROR(__xludf.DUMMYFUNCTION("""COMPUTED_VALUE"""),0.2693)</f>
        <v>0.2693</v>
      </c>
      <c r="N691" s="320">
        <f>IFERROR(__xludf.DUMMYFUNCTION("""COMPUTED_VALUE"""),0.2098)</f>
        <v>0.2098</v>
      </c>
      <c r="O691" s="320">
        <f>IFERROR(__xludf.DUMMYFUNCTION("""COMPUTED_VALUE"""),1.119)</f>
        <v>1.119</v>
      </c>
      <c r="P691" s="320">
        <f>IFERROR(__xludf.DUMMYFUNCTION("""COMPUTED_VALUE"""),634.8)</f>
        <v>634.8</v>
      </c>
      <c r="Q691" s="320">
        <f>IFERROR(__xludf.DUMMYFUNCTION("""COMPUTED_VALUE"""),412.38)</f>
        <v>412.38</v>
      </c>
      <c r="R691" s="320">
        <f>IFERROR(__xludf.DUMMYFUNCTION("""COMPUTED_VALUE"""),222.42)</f>
        <v>222.42</v>
      </c>
      <c r="S691" s="320">
        <f>IFERROR(__xludf.DUMMYFUNCTION("""COMPUTED_VALUE"""),0.0)</f>
        <v>0</v>
      </c>
      <c r="T691" s="320">
        <f>IFERROR(__xludf.DUMMYFUNCTION("""COMPUTED_VALUE"""),634.8)</f>
        <v>634.8</v>
      </c>
      <c r="U691" s="320">
        <f>IFERROR(__xludf.DUMMYFUNCTION("""COMPUTED_VALUE"""),698.22)</f>
        <v>698.22</v>
      </c>
      <c r="V691" s="320">
        <f>IFERROR(__xludf.DUMMYFUNCTION("""COMPUTED_VALUE"""),4.9455)</f>
        <v>4.9455</v>
      </c>
      <c r="W691" s="320">
        <f>IFERROR(__xludf.DUMMYFUNCTION("""COMPUTED_VALUE"""),0.0)</f>
        <v>0</v>
      </c>
      <c r="X691" s="320">
        <f>IFERROR(__xludf.DUMMYFUNCTION("""COMPUTED_VALUE"""),1064.0)</f>
        <v>1064</v>
      </c>
      <c r="Y691" s="320">
        <f>IFERROR(__xludf.DUMMYFUNCTION("""COMPUTED_VALUE"""),4481.0)</f>
        <v>4481</v>
      </c>
      <c r="Z691" s="320">
        <f>IFERROR(__xludf.DUMMYFUNCTION("""COMPUTED_VALUE"""),13719.0)</f>
        <v>13719</v>
      </c>
      <c r="AA691" s="320">
        <f>IFERROR(__xludf.DUMMYFUNCTION("""COMPUTED_VALUE"""),63.6729)</f>
        <v>63.6729</v>
      </c>
      <c r="AB691" s="320">
        <f>IFERROR(__xludf.DUMMYFUNCTION("""COMPUTED_VALUE"""),0.9159)</f>
        <v>0.9159</v>
      </c>
      <c r="AC691" s="320">
        <f>IFERROR(__xludf.DUMMYFUNCTION("""COMPUTED_VALUE"""),93.47)</f>
        <v>93.47</v>
      </c>
      <c r="AD691" s="320">
        <f>IFERROR(__xludf.DUMMYFUNCTION("""COMPUTED_VALUE"""),41.0)</f>
        <v>41</v>
      </c>
      <c r="AE691" s="320">
        <f>IFERROR(__xludf.DUMMYFUNCTION("""COMPUTED_VALUE"""),81.0)</f>
        <v>81</v>
      </c>
      <c r="AF691" s="320">
        <f>IFERROR(__xludf.DUMMYFUNCTION("""COMPUTED_VALUE"""),129.0)</f>
        <v>129</v>
      </c>
      <c r="AG691" s="320">
        <f>IFERROR(__xludf.DUMMYFUNCTION("""COMPUTED_VALUE"""),180.0)</f>
        <v>180</v>
      </c>
      <c r="AH691" s="320">
        <f>IFERROR(__xludf.DUMMYFUNCTION("""COMPUTED_VALUE"""),50.98)</f>
        <v>50.98</v>
      </c>
      <c r="AI691" s="320">
        <f>IFERROR(__xludf.DUMMYFUNCTION("""COMPUTED_VALUE"""),11.01)</f>
        <v>11.01</v>
      </c>
      <c r="AJ691" s="320">
        <f>IFERROR(__xludf.DUMMYFUNCTION("""COMPUTED_VALUE"""),1.78)</f>
        <v>1.78</v>
      </c>
      <c r="AK691" s="320">
        <f>IFERROR(__xludf.DUMMYFUNCTION("""COMPUTED_VALUE"""),0.1297)</f>
        <v>0.1297</v>
      </c>
      <c r="AL691" s="320">
        <f>IFERROR(__xludf.DUMMYFUNCTION("""COMPUTED_VALUE"""),23.5)</f>
        <v>23.5</v>
      </c>
      <c r="AM691" s="320">
        <f>IFERROR(__xludf.DUMMYFUNCTION("""COMPUTED_VALUE"""),388.88)</f>
        <v>388.88</v>
      </c>
      <c r="AN691" s="320">
        <f>IFERROR(__xludf.DUMMYFUNCTION("""COMPUTED_VALUE"""),85.03)</f>
        <v>85.03</v>
      </c>
      <c r="AO691" s="320">
        <f>IFERROR(__xludf.DUMMYFUNCTION("""COMPUTED_VALUE"""),19.98)</f>
        <v>19.98</v>
      </c>
    </row>
    <row r="692" ht="15.0" customHeight="1">
      <c r="A692" s="328">
        <f>IFERROR(__xludf.DUMMYFUNCTION("""COMPUTED_VALUE"""),46165.0)</f>
        <v>46165</v>
      </c>
      <c r="B692" s="319" t="str">
        <f>IFERROR(__xludf.DUMMYFUNCTION("""COMPUTED_VALUE"""),"A. 0")</f>
        <v>A. 0</v>
      </c>
      <c r="C692" s="320">
        <f>IFERROR(__xludf.DUMMYFUNCTION("""COMPUTED_VALUE"""),19819.0)</f>
        <v>19819</v>
      </c>
      <c r="D692" s="320">
        <f>IFERROR(__xludf.DUMMYFUNCTION("""COMPUTED_VALUE"""),20.93)</f>
        <v>20.93</v>
      </c>
      <c r="E692" s="320">
        <f>IFERROR(__xludf.DUMMYFUNCTION("""COMPUTED_VALUE"""),0.0)</f>
        <v>0</v>
      </c>
      <c r="F692" s="320">
        <f>IFERROR(__xludf.DUMMYFUNCTION("""COMPUTED_VALUE"""),0.0)</f>
        <v>0</v>
      </c>
      <c r="G692" s="320">
        <f>IFERROR(__xludf.DUMMYFUNCTION("""COMPUTED_VALUE"""),0.0)</f>
        <v>0</v>
      </c>
      <c r="H692" s="106"/>
      <c r="I692" s="320">
        <f>IFERROR(__xludf.DUMMYFUNCTION("""COMPUTED_VALUE"""),5.87)</f>
        <v>5.87</v>
      </c>
      <c r="J692" s="320">
        <f>IFERROR(__xludf.DUMMYFUNCTION("""COMPUTED_VALUE"""),2.39)</f>
        <v>2.39</v>
      </c>
      <c r="K692" s="320">
        <f>IFERROR(__xludf.DUMMYFUNCTION("""COMPUTED_VALUE"""),0.04)</f>
        <v>0.04</v>
      </c>
      <c r="L692" s="320">
        <f>IFERROR(__xludf.DUMMYFUNCTION("""COMPUTED_VALUE"""),0.0158)</f>
        <v>0.0158</v>
      </c>
      <c r="M692" s="320">
        <f>IFERROR(__xludf.DUMMYFUNCTION("""COMPUTED_VALUE"""),0.9881)</f>
        <v>0.9881</v>
      </c>
      <c r="N692" s="320">
        <f>IFERROR(__xludf.DUMMYFUNCTION("""COMPUTED_VALUE"""),0.8549)</f>
        <v>0.8549</v>
      </c>
      <c r="O692" s="320">
        <f>IFERROR(__xludf.DUMMYFUNCTION("""COMPUTED_VALUE"""),63.2848)</f>
        <v>63.2848</v>
      </c>
      <c r="P692" s="320">
        <f>IFERROR(__xludf.DUMMYFUNCTION("""COMPUTED_VALUE"""),24.38)</f>
        <v>24.38</v>
      </c>
      <c r="Q692" s="320">
        <f>IFERROR(__xludf.DUMMYFUNCTION("""COMPUTED_VALUE"""),24.25)</f>
        <v>24.25</v>
      </c>
      <c r="R692" s="320">
        <f>IFERROR(__xludf.DUMMYFUNCTION("""COMPUTED_VALUE"""),0.12)</f>
        <v>0.12</v>
      </c>
      <c r="S692" s="320">
        <f>IFERROR(__xludf.DUMMYFUNCTION("""COMPUTED_VALUE"""),0.0)</f>
        <v>0</v>
      </c>
      <c r="T692" s="320">
        <f>IFERROR(__xludf.DUMMYFUNCTION("""COMPUTED_VALUE"""),24.38)</f>
        <v>24.38</v>
      </c>
      <c r="U692" s="320">
        <f>IFERROR(__xludf.DUMMYFUNCTION("""COMPUTED_VALUE"""),2.47)</f>
        <v>2.47</v>
      </c>
      <c r="V692" s="320">
        <f>IFERROR(__xludf.DUMMYFUNCTION("""COMPUTED_VALUE"""),1.033)</f>
        <v>1.033</v>
      </c>
      <c r="W692" s="320">
        <f>IFERROR(__xludf.DUMMYFUNCTION("""COMPUTED_VALUE"""),0.0)</f>
        <v>0</v>
      </c>
      <c r="X692" s="320">
        <f>IFERROR(__xludf.DUMMYFUNCTION("""COMPUTED_VALUE"""),272.0)</f>
        <v>272</v>
      </c>
      <c r="Y692" s="320">
        <f>IFERROR(__xludf.DUMMYFUNCTION("""COMPUTED_VALUE"""),3471.0)</f>
        <v>3471</v>
      </c>
      <c r="Z692" s="320">
        <f>IFERROR(__xludf.DUMMYFUNCTION("""COMPUTED_VALUE"""),14551.0)</f>
        <v>14551</v>
      </c>
      <c r="AA692" s="320">
        <f>IFERROR(__xludf.DUMMYFUNCTION("""COMPUTED_VALUE"""),48.6051)</f>
        <v>48.6051</v>
      </c>
      <c r="AB692" s="320">
        <f>IFERROR(__xludf.DUMMYFUNCTION("""COMPUTED_VALUE"""),0.5313)</f>
        <v>0.5313</v>
      </c>
      <c r="AC692" s="106"/>
      <c r="AD692" s="106"/>
      <c r="AE692" s="106"/>
      <c r="AF692" s="106"/>
      <c r="AG692" s="106"/>
      <c r="AH692" s="320">
        <f>IFERROR(__xludf.DUMMYFUNCTION("""COMPUTED_VALUE"""),0.0)</f>
        <v>0</v>
      </c>
      <c r="AI692" s="320">
        <f>IFERROR(__xludf.DUMMYFUNCTION("""COMPUTED_VALUE"""),0.0)</f>
        <v>0</v>
      </c>
      <c r="AJ692" s="320">
        <f>IFERROR(__xludf.DUMMYFUNCTION("""COMPUTED_VALUE"""),0.0)</f>
        <v>0</v>
      </c>
      <c r="AK692" s="320">
        <f>IFERROR(__xludf.DUMMYFUNCTION("""COMPUTED_VALUE"""),0.3022)</f>
        <v>0.3022</v>
      </c>
      <c r="AL692" s="320">
        <f>IFERROR(__xludf.DUMMYFUNCTION("""COMPUTED_VALUE"""),17.88)</f>
        <v>17.88</v>
      </c>
      <c r="AM692" s="320">
        <f>IFERROR(__xludf.DUMMYFUNCTION("""COMPUTED_VALUE"""),6.38)</f>
        <v>6.38</v>
      </c>
      <c r="AN692" s="331"/>
      <c r="AO692" s="331"/>
    </row>
    <row r="693" ht="15.0" customHeight="1">
      <c r="A693" s="328">
        <f>IFERROR(__xludf.DUMMYFUNCTION("""COMPUTED_VALUE"""),46165.0)</f>
        <v>46165</v>
      </c>
      <c r="B693" s="319" t="str">
        <f>IFERROR(__xludf.DUMMYFUNCTION("""COMPUTED_VALUE"""),"B. 1-9")</f>
        <v>B. 1-9</v>
      </c>
      <c r="C693" s="320">
        <f>IFERROR(__xludf.DUMMYFUNCTION("""COMPUTED_VALUE"""),34775.0)</f>
        <v>34775</v>
      </c>
      <c r="D693" s="320">
        <f>IFERROR(__xludf.DUMMYFUNCTION("""COMPUTED_VALUE"""),36.72)</f>
        <v>36.72</v>
      </c>
      <c r="E693" s="320">
        <f>IFERROR(__xludf.DUMMYFUNCTION("""COMPUTED_VALUE"""),0.0)</f>
        <v>0</v>
      </c>
      <c r="F693" s="320">
        <f>IFERROR(__xludf.DUMMYFUNCTION("""COMPUTED_VALUE"""),0.0)</f>
        <v>0</v>
      </c>
      <c r="G693" s="320">
        <f>IFERROR(__xludf.DUMMYFUNCTION("""COMPUTED_VALUE"""),0.0)</f>
        <v>0</v>
      </c>
      <c r="H693" s="106"/>
      <c r="I693" s="320">
        <f>IFERROR(__xludf.DUMMYFUNCTION("""COMPUTED_VALUE"""),30.18)</f>
        <v>30.18</v>
      </c>
      <c r="J693" s="320">
        <f>IFERROR(__xludf.DUMMYFUNCTION("""COMPUTED_VALUE"""),13.62)</f>
        <v>13.62</v>
      </c>
      <c r="K693" s="320">
        <f>IFERROR(__xludf.DUMMYFUNCTION("""COMPUTED_VALUE"""),5.77)</f>
        <v>5.77</v>
      </c>
      <c r="L693" s="320">
        <f>IFERROR(__xludf.DUMMYFUNCTION("""COMPUTED_VALUE"""),0.4237)</f>
        <v>0.4237</v>
      </c>
      <c r="M693" s="320">
        <f>IFERROR(__xludf.DUMMYFUNCTION("""COMPUTED_VALUE"""),0.75)</f>
        <v>0.75</v>
      </c>
      <c r="N693" s="320">
        <f>IFERROR(__xludf.DUMMYFUNCTION("""COMPUTED_VALUE"""),0.5484)</f>
        <v>0.5484</v>
      </c>
      <c r="O693" s="320">
        <f>IFERROR(__xludf.DUMMYFUNCTION("""COMPUTED_VALUE"""),2.3603)</f>
        <v>2.3603</v>
      </c>
      <c r="P693" s="320">
        <f>IFERROR(__xludf.DUMMYFUNCTION("""COMPUTED_VALUE"""),54.8)</f>
        <v>54.8</v>
      </c>
      <c r="Q693" s="320">
        <f>IFERROR(__xludf.DUMMYFUNCTION("""COMPUTED_VALUE"""),45.01)</f>
        <v>45.01</v>
      </c>
      <c r="R693" s="320">
        <f>IFERROR(__xludf.DUMMYFUNCTION("""COMPUTED_VALUE"""),9.79)</f>
        <v>9.79</v>
      </c>
      <c r="S693" s="320">
        <f>IFERROR(__xludf.DUMMYFUNCTION("""COMPUTED_VALUE"""),0.0)</f>
        <v>0</v>
      </c>
      <c r="T693" s="320">
        <f>IFERROR(__xludf.DUMMYFUNCTION("""COMPUTED_VALUE"""),54.8)</f>
        <v>54.8</v>
      </c>
      <c r="U693" s="320">
        <f>IFERROR(__xludf.DUMMYFUNCTION("""COMPUTED_VALUE"""),55.09)</f>
        <v>55.09</v>
      </c>
      <c r="V693" s="320">
        <f>IFERROR(__xludf.DUMMYFUNCTION("""COMPUTED_VALUE"""),4.0438)</f>
        <v>4.0438</v>
      </c>
      <c r="W693" s="320">
        <f>IFERROR(__xludf.DUMMYFUNCTION("""COMPUTED_VALUE"""),0.0)</f>
        <v>0</v>
      </c>
      <c r="X693" s="320">
        <f>IFERROR(__xludf.DUMMYFUNCTION("""COMPUTED_VALUE"""),142.0)</f>
        <v>142</v>
      </c>
      <c r="Y693" s="320">
        <f>IFERROR(__xludf.DUMMYFUNCTION("""COMPUTED_VALUE"""),885.0)</f>
        <v>885</v>
      </c>
      <c r="Z693" s="320">
        <f>IFERROR(__xludf.DUMMYFUNCTION("""COMPUTED_VALUE"""),6056.0)</f>
        <v>6056</v>
      </c>
      <c r="AA693" s="320">
        <f>IFERROR(__xludf.DUMMYFUNCTION("""COMPUTED_VALUE"""),48.3075)</f>
        <v>48.3075</v>
      </c>
      <c r="AB693" s="320">
        <f>IFERROR(__xludf.DUMMYFUNCTION("""COMPUTED_VALUE"""),0.5276)</f>
        <v>0.5276</v>
      </c>
      <c r="AC693" s="320">
        <f>IFERROR(__xludf.DUMMYFUNCTION("""COMPUTED_VALUE"""),4.07)</f>
        <v>4.07</v>
      </c>
      <c r="AD693" s="320">
        <f>IFERROR(__xludf.DUMMYFUNCTION("""COMPUTED_VALUE"""),1.0)</f>
        <v>1</v>
      </c>
      <c r="AE693" s="320">
        <f>IFERROR(__xludf.DUMMYFUNCTION("""COMPUTED_VALUE"""),3.0)</f>
        <v>3</v>
      </c>
      <c r="AF693" s="320">
        <f>IFERROR(__xludf.DUMMYFUNCTION("""COMPUTED_VALUE"""),5.0)</f>
        <v>5</v>
      </c>
      <c r="AG693" s="320">
        <f>IFERROR(__xludf.DUMMYFUNCTION("""COMPUTED_VALUE"""),9.0)</f>
        <v>9</v>
      </c>
      <c r="AH693" s="320">
        <f>IFERROR(__xludf.DUMMYFUNCTION("""COMPUTED_VALUE"""),72.59)</f>
        <v>72.59</v>
      </c>
      <c r="AI693" s="320">
        <f>IFERROR(__xludf.DUMMYFUNCTION("""COMPUTED_VALUE"""),31.04)</f>
        <v>31.04</v>
      </c>
      <c r="AJ693" s="320">
        <f>IFERROR(__xludf.DUMMYFUNCTION("""COMPUTED_VALUE"""),9.48)</f>
        <v>9.48</v>
      </c>
      <c r="AK693" s="320">
        <f>IFERROR(__xludf.DUMMYFUNCTION("""COMPUTED_VALUE"""),0.2509)</f>
        <v>0.2509</v>
      </c>
      <c r="AL693" s="320">
        <f>IFERROR(__xludf.DUMMYFUNCTION("""COMPUTED_VALUE"""),22.51)</f>
        <v>22.51</v>
      </c>
      <c r="AM693" s="320">
        <f>IFERROR(__xludf.DUMMYFUNCTION("""COMPUTED_VALUE"""),22.5)</f>
        <v>22.5</v>
      </c>
      <c r="AN693" s="320">
        <f>IFERROR(__xludf.DUMMYFUNCTION("""COMPUTED_VALUE"""),65.17)</f>
        <v>65.17</v>
      </c>
      <c r="AO693" s="320">
        <f>IFERROR(__xludf.DUMMYFUNCTION("""COMPUTED_VALUE"""),14.67)</f>
        <v>14.67</v>
      </c>
    </row>
    <row r="694" ht="15.0" customHeight="1">
      <c r="A694" s="328">
        <f>IFERROR(__xludf.DUMMYFUNCTION("""COMPUTED_VALUE"""),46165.0)</f>
        <v>46165</v>
      </c>
      <c r="B694" s="319" t="str">
        <f>IFERROR(__xludf.DUMMYFUNCTION("""COMPUTED_VALUE"""),"C. 10-19")</f>
        <v>C. 10-19</v>
      </c>
      <c r="C694" s="320">
        <f>IFERROR(__xludf.DUMMYFUNCTION("""COMPUTED_VALUE"""),22341.0)</f>
        <v>22341</v>
      </c>
      <c r="D694" s="320">
        <f>IFERROR(__xludf.DUMMYFUNCTION("""COMPUTED_VALUE"""),23.59)</f>
        <v>23.59</v>
      </c>
      <c r="E694" s="320">
        <f>IFERROR(__xludf.DUMMYFUNCTION("""COMPUTED_VALUE"""),0.0)</f>
        <v>0</v>
      </c>
      <c r="F694" s="320">
        <f>IFERROR(__xludf.DUMMYFUNCTION("""COMPUTED_VALUE"""),0.0)</f>
        <v>0</v>
      </c>
      <c r="G694" s="320">
        <f>IFERROR(__xludf.DUMMYFUNCTION("""COMPUTED_VALUE"""),0.0)</f>
        <v>0</v>
      </c>
      <c r="H694" s="106"/>
      <c r="I694" s="320">
        <f>IFERROR(__xludf.DUMMYFUNCTION("""COMPUTED_VALUE"""),54.78)</f>
        <v>54.78</v>
      </c>
      <c r="J694" s="320">
        <f>IFERROR(__xludf.DUMMYFUNCTION("""COMPUTED_VALUE"""),25.73)</f>
        <v>25.73</v>
      </c>
      <c r="K694" s="320">
        <f>IFERROR(__xludf.DUMMYFUNCTION("""COMPUTED_VALUE"""),14.29)</f>
        <v>14.29</v>
      </c>
      <c r="L694" s="320">
        <f>IFERROR(__xludf.DUMMYFUNCTION("""COMPUTED_VALUE"""),0.5554)</f>
        <v>0.5554</v>
      </c>
      <c r="M694" s="320">
        <f>IFERROR(__xludf.DUMMYFUNCTION("""COMPUTED_VALUE"""),0.6402)</f>
        <v>0.6402</v>
      </c>
      <c r="N694" s="320">
        <f>IFERROR(__xludf.DUMMYFUNCTION("""COMPUTED_VALUE"""),0.4448)</f>
        <v>0.4448</v>
      </c>
      <c r="O694" s="320">
        <f>IFERROR(__xludf.DUMMYFUNCTION("""COMPUTED_VALUE"""),1.8006)</f>
        <v>1.8006</v>
      </c>
      <c r="P694" s="320">
        <f>IFERROR(__xludf.DUMMYFUNCTION("""COMPUTED_VALUE"""),104.62)</f>
        <v>104.62</v>
      </c>
      <c r="Q694" s="320">
        <f>IFERROR(__xludf.DUMMYFUNCTION("""COMPUTED_VALUE"""),80.3)</f>
        <v>80.3</v>
      </c>
      <c r="R694" s="320">
        <f>IFERROR(__xludf.DUMMYFUNCTION("""COMPUTED_VALUE"""),24.32)</f>
        <v>24.32</v>
      </c>
      <c r="S694" s="320">
        <f>IFERROR(__xludf.DUMMYFUNCTION("""COMPUTED_VALUE"""),0.0)</f>
        <v>0</v>
      </c>
      <c r="T694" s="320">
        <f>IFERROR(__xludf.DUMMYFUNCTION("""COMPUTED_VALUE"""),104.62)</f>
        <v>104.62</v>
      </c>
      <c r="U694" s="320">
        <f>IFERROR(__xludf.DUMMYFUNCTION("""COMPUTED_VALUE"""),102.48)</f>
        <v>102.48</v>
      </c>
      <c r="V694" s="320">
        <f>IFERROR(__xludf.DUMMYFUNCTION("""COMPUTED_VALUE"""),3.9826)</f>
        <v>3.9826</v>
      </c>
      <c r="W694" s="320">
        <f>IFERROR(__xludf.DUMMYFUNCTION("""COMPUTED_VALUE"""),0.0)</f>
        <v>0</v>
      </c>
      <c r="X694" s="320">
        <f>IFERROR(__xludf.DUMMYFUNCTION("""COMPUTED_VALUE"""),137.0)</f>
        <v>137</v>
      </c>
      <c r="Y694" s="320">
        <f>IFERROR(__xludf.DUMMYFUNCTION("""COMPUTED_VALUE"""),781.0)</f>
        <v>781</v>
      </c>
      <c r="Z694" s="320">
        <f>IFERROR(__xludf.DUMMYFUNCTION("""COMPUTED_VALUE"""),5585.0)</f>
        <v>5585</v>
      </c>
      <c r="AA694" s="320">
        <f>IFERROR(__xludf.DUMMYFUNCTION("""COMPUTED_VALUE"""),52.434)</f>
        <v>52.434</v>
      </c>
      <c r="AB694" s="320">
        <f>IFERROR(__xludf.DUMMYFUNCTION("""COMPUTED_VALUE"""),0.6389)</f>
        <v>0.6389</v>
      </c>
      <c r="AC694" s="320">
        <f>IFERROR(__xludf.DUMMYFUNCTION("""COMPUTED_VALUE"""),9.93)</f>
        <v>9.93</v>
      </c>
      <c r="AD694" s="320">
        <f>IFERROR(__xludf.DUMMYFUNCTION("""COMPUTED_VALUE"""),4.0)</f>
        <v>4</v>
      </c>
      <c r="AE694" s="320">
        <f>IFERROR(__xludf.DUMMYFUNCTION("""COMPUTED_VALUE"""),8.0)</f>
        <v>8</v>
      </c>
      <c r="AF694" s="320">
        <f>IFERROR(__xludf.DUMMYFUNCTION("""COMPUTED_VALUE"""),14.0)</f>
        <v>14</v>
      </c>
      <c r="AG694" s="320">
        <f>IFERROR(__xludf.DUMMYFUNCTION("""COMPUTED_VALUE"""),21.0)</f>
        <v>21</v>
      </c>
      <c r="AH694" s="320">
        <f>IFERROR(__xludf.DUMMYFUNCTION("""COMPUTED_VALUE"""),62.7)</f>
        <v>62.7</v>
      </c>
      <c r="AI694" s="320">
        <f>IFERROR(__xludf.DUMMYFUNCTION("""COMPUTED_VALUE"""),27.95)</f>
        <v>27.95</v>
      </c>
      <c r="AJ694" s="320">
        <f>IFERROR(__xludf.DUMMYFUNCTION("""COMPUTED_VALUE"""),5.7)</f>
        <v>5.7</v>
      </c>
      <c r="AK694" s="320">
        <f>IFERROR(__xludf.DUMMYFUNCTION("""COMPUTED_VALUE"""),0.2042)</f>
        <v>0.2042</v>
      </c>
      <c r="AL694" s="320">
        <f>IFERROR(__xludf.DUMMYFUNCTION("""COMPUTED_VALUE"""),23.81)</f>
        <v>23.81</v>
      </c>
      <c r="AM694" s="320">
        <f>IFERROR(__xludf.DUMMYFUNCTION("""COMPUTED_VALUE"""),56.5)</f>
        <v>56.5</v>
      </c>
      <c r="AN694" s="320">
        <f>IFERROR(__xludf.DUMMYFUNCTION("""COMPUTED_VALUE"""),75.01)</f>
        <v>75.01</v>
      </c>
      <c r="AO694" s="320">
        <f>IFERROR(__xludf.DUMMYFUNCTION("""COMPUTED_VALUE"""),17.86)</f>
        <v>17.86</v>
      </c>
    </row>
    <row r="695" ht="15.0" customHeight="1">
      <c r="A695" s="328">
        <f>IFERROR(__xludf.DUMMYFUNCTION("""COMPUTED_VALUE"""),46165.0)</f>
        <v>46165</v>
      </c>
      <c r="B695" s="319" t="str">
        <f>IFERROR(__xludf.DUMMYFUNCTION("""COMPUTED_VALUE"""),"D. 20-39")</f>
        <v>D. 20-39</v>
      </c>
      <c r="C695" s="320">
        <f>IFERROR(__xludf.DUMMYFUNCTION("""COMPUTED_VALUE"""),12144.0)</f>
        <v>12144</v>
      </c>
      <c r="D695" s="320">
        <f>IFERROR(__xludf.DUMMYFUNCTION("""COMPUTED_VALUE"""),12.82)</f>
        <v>12.82</v>
      </c>
      <c r="E695" s="320">
        <f>IFERROR(__xludf.DUMMYFUNCTION("""COMPUTED_VALUE"""),0.0)</f>
        <v>0</v>
      </c>
      <c r="F695" s="320">
        <f>IFERROR(__xludf.DUMMYFUNCTION("""COMPUTED_VALUE"""),0.0)</f>
        <v>0</v>
      </c>
      <c r="G695" s="320">
        <f>IFERROR(__xludf.DUMMYFUNCTION("""COMPUTED_VALUE"""),0.0)</f>
        <v>0</v>
      </c>
      <c r="H695" s="106"/>
      <c r="I695" s="320">
        <f>IFERROR(__xludf.DUMMYFUNCTION("""COMPUTED_VALUE"""),79.68)</f>
        <v>79.68</v>
      </c>
      <c r="J695" s="320">
        <f>IFERROR(__xludf.DUMMYFUNCTION("""COMPUTED_VALUE"""),39.76)</f>
        <v>39.76</v>
      </c>
      <c r="K695" s="320">
        <f>IFERROR(__xludf.DUMMYFUNCTION("""COMPUTED_VALUE"""),27.4)</f>
        <v>27.4</v>
      </c>
      <c r="L695" s="320">
        <f>IFERROR(__xludf.DUMMYFUNCTION("""COMPUTED_VALUE"""),0.689)</f>
        <v>0.689</v>
      </c>
      <c r="M695" s="320">
        <f>IFERROR(__xludf.DUMMYFUNCTION("""COMPUTED_VALUE"""),0.5076)</f>
        <v>0.5076</v>
      </c>
      <c r="N695" s="320">
        <f>IFERROR(__xludf.DUMMYFUNCTION("""COMPUTED_VALUE"""),0.3526)</f>
        <v>0.3526</v>
      </c>
      <c r="O695" s="320">
        <f>IFERROR(__xludf.DUMMYFUNCTION("""COMPUTED_VALUE"""),1.4514)</f>
        <v>1.4514</v>
      </c>
      <c r="P695" s="320">
        <f>IFERROR(__xludf.DUMMYFUNCTION("""COMPUTED_VALUE"""),178.19)</f>
        <v>178.19</v>
      </c>
      <c r="Q695" s="320">
        <f>IFERROR(__xludf.DUMMYFUNCTION("""COMPUTED_VALUE"""),131.46)</f>
        <v>131.46</v>
      </c>
      <c r="R695" s="320">
        <f>IFERROR(__xludf.DUMMYFUNCTION("""COMPUTED_VALUE"""),46.73)</f>
        <v>46.73</v>
      </c>
      <c r="S695" s="320">
        <f>IFERROR(__xludf.DUMMYFUNCTION("""COMPUTED_VALUE"""),0.0)</f>
        <v>0</v>
      </c>
      <c r="T695" s="320">
        <f>IFERROR(__xludf.DUMMYFUNCTION("""COMPUTED_VALUE"""),178.19)</f>
        <v>178.19</v>
      </c>
      <c r="U695" s="320">
        <f>IFERROR(__xludf.DUMMYFUNCTION("""COMPUTED_VALUE"""),172.34)</f>
        <v>172.34</v>
      </c>
      <c r="V695" s="320">
        <f>IFERROR(__xludf.DUMMYFUNCTION("""COMPUTED_VALUE"""),4.3341)</f>
        <v>4.3341</v>
      </c>
      <c r="W695" s="320">
        <f>IFERROR(__xludf.DUMMYFUNCTION("""COMPUTED_VALUE"""),0.0)</f>
        <v>0</v>
      </c>
      <c r="X695" s="320">
        <f>IFERROR(__xludf.DUMMYFUNCTION("""COMPUTED_VALUE"""),172.0)</f>
        <v>172</v>
      </c>
      <c r="Y695" s="320">
        <f>IFERROR(__xludf.DUMMYFUNCTION("""COMPUTED_VALUE"""),1135.0)</f>
        <v>1135</v>
      </c>
      <c r="Z695" s="320">
        <f>IFERROR(__xludf.DUMMYFUNCTION("""COMPUTED_VALUE"""),7072.0)</f>
        <v>7072</v>
      </c>
      <c r="AA695" s="320">
        <f>IFERROR(__xludf.DUMMYFUNCTION("""COMPUTED_VALUE"""),56.2198)</f>
        <v>56.2198</v>
      </c>
      <c r="AB695" s="320">
        <f>IFERROR(__xludf.DUMMYFUNCTION("""COMPUTED_VALUE"""),0.7527)</f>
        <v>0.7527</v>
      </c>
      <c r="AC695" s="320">
        <f>IFERROR(__xludf.DUMMYFUNCTION("""COMPUTED_VALUE"""),19.17)</f>
        <v>19.17</v>
      </c>
      <c r="AD695" s="320">
        <f>IFERROR(__xludf.DUMMYFUNCTION("""COMPUTED_VALUE"""),7.0)</f>
        <v>7</v>
      </c>
      <c r="AE695" s="320">
        <f>IFERROR(__xludf.DUMMYFUNCTION("""COMPUTED_VALUE"""),15.0)</f>
        <v>15</v>
      </c>
      <c r="AF695" s="320">
        <f>IFERROR(__xludf.DUMMYFUNCTION("""COMPUTED_VALUE"""),26.0)</f>
        <v>26</v>
      </c>
      <c r="AG695" s="320">
        <f>IFERROR(__xludf.DUMMYFUNCTION("""COMPUTED_VALUE"""),40.0)</f>
        <v>40</v>
      </c>
      <c r="AH695" s="320">
        <f>IFERROR(__xludf.DUMMYFUNCTION("""COMPUTED_VALUE"""),62.9)</f>
        <v>62.9</v>
      </c>
      <c r="AI695" s="320">
        <f>IFERROR(__xludf.DUMMYFUNCTION("""COMPUTED_VALUE"""),25.96)</f>
        <v>25.96</v>
      </c>
      <c r="AJ695" s="320">
        <f>IFERROR(__xludf.DUMMYFUNCTION("""COMPUTED_VALUE"""),9.1)</f>
        <v>9.1</v>
      </c>
      <c r="AK695" s="320">
        <f>IFERROR(__xludf.DUMMYFUNCTION("""COMPUTED_VALUE"""),0.1921)</f>
        <v>0.1921</v>
      </c>
      <c r="AL695" s="320">
        <f>IFERROR(__xludf.DUMMYFUNCTION("""COMPUTED_VALUE"""),23.46)</f>
        <v>23.46</v>
      </c>
      <c r="AM695" s="320">
        <f>IFERROR(__xludf.DUMMYFUNCTION("""COMPUTED_VALUE"""),108.0)</f>
        <v>108</v>
      </c>
      <c r="AN695" s="320">
        <f>IFERROR(__xludf.DUMMYFUNCTION("""COMPUTED_VALUE"""),77.5)</f>
        <v>77.5</v>
      </c>
      <c r="AO695" s="320">
        <f>IFERROR(__xludf.DUMMYFUNCTION("""COMPUTED_VALUE"""),18.18)</f>
        <v>18.18</v>
      </c>
    </row>
    <row r="696" ht="15.0" customHeight="1">
      <c r="A696" s="328">
        <f>IFERROR(__xludf.DUMMYFUNCTION("""COMPUTED_VALUE"""),46165.0)</f>
        <v>46165</v>
      </c>
      <c r="B696" s="319" t="str">
        <f>IFERROR(__xludf.DUMMYFUNCTION("""COMPUTED_VALUE"""),"E. 40-99")</f>
        <v>E. 40-99</v>
      </c>
      <c r="C696" s="320">
        <f>IFERROR(__xludf.DUMMYFUNCTION("""COMPUTED_VALUE"""),5073.0)</f>
        <v>5073</v>
      </c>
      <c r="D696" s="320">
        <f>IFERROR(__xludf.DUMMYFUNCTION("""COMPUTED_VALUE"""),5.36)</f>
        <v>5.36</v>
      </c>
      <c r="E696" s="320">
        <f>IFERROR(__xludf.DUMMYFUNCTION("""COMPUTED_VALUE"""),0.0)</f>
        <v>0</v>
      </c>
      <c r="F696" s="320">
        <f>IFERROR(__xludf.DUMMYFUNCTION("""COMPUTED_VALUE"""),0.0)</f>
        <v>0</v>
      </c>
      <c r="G696" s="320">
        <f>IFERROR(__xludf.DUMMYFUNCTION("""COMPUTED_VALUE"""),0.0)</f>
        <v>0</v>
      </c>
      <c r="H696" s="106"/>
      <c r="I696" s="320">
        <f>IFERROR(__xludf.DUMMYFUNCTION("""COMPUTED_VALUE"""),127.49)</f>
        <v>127.49</v>
      </c>
      <c r="J696" s="320">
        <f>IFERROR(__xludf.DUMMYFUNCTION("""COMPUTED_VALUE"""),68.01)</f>
        <v>68.01</v>
      </c>
      <c r="K696" s="320">
        <f>IFERROR(__xludf.DUMMYFUNCTION("""COMPUTED_VALUE"""),56.22)</f>
        <v>56.22</v>
      </c>
      <c r="L696" s="320">
        <f>IFERROR(__xludf.DUMMYFUNCTION("""COMPUTED_VALUE"""),0.8266)</f>
        <v>0.8266</v>
      </c>
      <c r="M696" s="320">
        <f>IFERROR(__xludf.DUMMYFUNCTION("""COMPUTED_VALUE"""),0.3605)</f>
        <v>0.3605</v>
      </c>
      <c r="N696" s="320">
        <f>IFERROR(__xludf.DUMMYFUNCTION("""COMPUTED_VALUE"""),0.2665)</f>
        <v>0.2665</v>
      </c>
      <c r="O696" s="320">
        <f>IFERROR(__xludf.DUMMYFUNCTION("""COMPUTED_VALUE"""),1.2098)</f>
        <v>1.2098</v>
      </c>
      <c r="P696" s="320">
        <f>IFERROR(__xludf.DUMMYFUNCTION("""COMPUTED_VALUE"""),359.75)</f>
        <v>359.75</v>
      </c>
      <c r="Q696" s="320">
        <f>IFERROR(__xludf.DUMMYFUNCTION("""COMPUTED_VALUE"""),263.12)</f>
        <v>263.12</v>
      </c>
      <c r="R696" s="320">
        <f>IFERROR(__xludf.DUMMYFUNCTION("""COMPUTED_VALUE"""),96.62)</f>
        <v>96.62</v>
      </c>
      <c r="S696" s="320">
        <f>IFERROR(__xludf.DUMMYFUNCTION("""COMPUTED_VALUE"""),0.0)</f>
        <v>0</v>
      </c>
      <c r="T696" s="320">
        <f>IFERROR(__xludf.DUMMYFUNCTION("""COMPUTED_VALUE"""),359.75)</f>
        <v>359.75</v>
      </c>
      <c r="U696" s="320">
        <f>IFERROR(__xludf.DUMMYFUNCTION("""COMPUTED_VALUE"""),321.57)</f>
        <v>321.57</v>
      </c>
      <c r="V696" s="320">
        <f>IFERROR(__xludf.DUMMYFUNCTION("""COMPUTED_VALUE"""),4.7282)</f>
        <v>4.7282</v>
      </c>
      <c r="W696" s="320">
        <f>IFERROR(__xludf.DUMMYFUNCTION("""COMPUTED_VALUE"""),0.0)</f>
        <v>0</v>
      </c>
      <c r="X696" s="320">
        <f>IFERROR(__xludf.DUMMYFUNCTION("""COMPUTED_VALUE"""),399.0)</f>
        <v>399</v>
      </c>
      <c r="Y696" s="320">
        <f>IFERROR(__xludf.DUMMYFUNCTION("""COMPUTED_VALUE"""),2893.0)</f>
        <v>2893</v>
      </c>
      <c r="Z696" s="320">
        <f>IFERROR(__xludf.DUMMYFUNCTION("""COMPUTED_VALUE"""),11444.0)</f>
        <v>11444</v>
      </c>
      <c r="AA696" s="320">
        <f>IFERROR(__xludf.DUMMYFUNCTION("""COMPUTED_VALUE"""),60.6678)</f>
        <v>60.6678</v>
      </c>
      <c r="AB696" s="320">
        <f>IFERROR(__xludf.DUMMYFUNCTION("""COMPUTED_VALUE"""),0.8575)</f>
        <v>0.8575</v>
      </c>
      <c r="AC696" s="320">
        <f>IFERROR(__xludf.DUMMYFUNCTION("""COMPUTED_VALUE"""),40.83)</f>
        <v>40.83</v>
      </c>
      <c r="AD696" s="320">
        <f>IFERROR(__xludf.DUMMYFUNCTION("""COMPUTED_VALUE"""),16.0)</f>
        <v>16</v>
      </c>
      <c r="AE696" s="320">
        <f>IFERROR(__xludf.DUMMYFUNCTION("""COMPUTED_VALUE"""),33.0)</f>
        <v>33</v>
      </c>
      <c r="AF696" s="320">
        <f>IFERROR(__xludf.DUMMYFUNCTION("""COMPUTED_VALUE"""),57.0)</f>
        <v>57</v>
      </c>
      <c r="AG696" s="320">
        <f>IFERROR(__xludf.DUMMYFUNCTION("""COMPUTED_VALUE"""),85.0)</f>
        <v>85</v>
      </c>
      <c r="AH696" s="320">
        <f>IFERROR(__xludf.DUMMYFUNCTION("""COMPUTED_VALUE"""),56.38)</f>
        <v>56.38</v>
      </c>
      <c r="AI696" s="320">
        <f>IFERROR(__xludf.DUMMYFUNCTION("""COMPUTED_VALUE"""),23.34)</f>
        <v>23.34</v>
      </c>
      <c r="AJ696" s="320">
        <f>IFERROR(__xludf.DUMMYFUNCTION("""COMPUTED_VALUE"""),5.91)</f>
        <v>5.91</v>
      </c>
      <c r="AK696" s="320">
        <f>IFERROR(__xludf.DUMMYFUNCTION("""COMPUTED_VALUE"""),0.1469)</f>
        <v>0.1469</v>
      </c>
      <c r="AL696" s="320">
        <f>IFERROR(__xludf.DUMMYFUNCTION("""COMPUTED_VALUE"""),23.77)</f>
        <v>23.77</v>
      </c>
      <c r="AM696" s="320">
        <f>IFERROR(__xludf.DUMMYFUNCTION("""COMPUTED_VALUE"""),239.35)</f>
        <v>239.35</v>
      </c>
      <c r="AN696" s="320">
        <f>IFERROR(__xludf.DUMMYFUNCTION("""COMPUTED_VALUE"""),81.76)</f>
        <v>81.76</v>
      </c>
      <c r="AO696" s="320">
        <f>IFERROR(__xludf.DUMMYFUNCTION("""COMPUTED_VALUE"""),19.43)</f>
        <v>19.43</v>
      </c>
    </row>
    <row r="697" ht="15.0" customHeight="1">
      <c r="A697" s="328">
        <f>IFERROR(__xludf.DUMMYFUNCTION("""COMPUTED_VALUE"""),46165.0)</f>
        <v>46165</v>
      </c>
      <c r="B697" s="319" t="str">
        <f>IFERROR(__xludf.DUMMYFUNCTION("""COMPUTED_VALUE"""),"F. 100+")</f>
        <v>F. 100+</v>
      </c>
      <c r="C697" s="320">
        <f>IFERROR(__xludf.DUMMYFUNCTION("""COMPUTED_VALUE"""),553.0)</f>
        <v>553</v>
      </c>
      <c r="D697" s="320">
        <f>IFERROR(__xludf.DUMMYFUNCTION("""COMPUTED_VALUE"""),0.58)</f>
        <v>0.58</v>
      </c>
      <c r="E697" s="320">
        <f>IFERROR(__xludf.DUMMYFUNCTION("""COMPUTED_VALUE"""),0.0)</f>
        <v>0</v>
      </c>
      <c r="F697" s="320">
        <f>IFERROR(__xludf.DUMMYFUNCTION("""COMPUTED_VALUE"""),0.0)</f>
        <v>0</v>
      </c>
      <c r="G697" s="320">
        <f>IFERROR(__xludf.DUMMYFUNCTION("""COMPUTED_VALUE"""),0.0)</f>
        <v>0</v>
      </c>
      <c r="H697" s="106"/>
      <c r="I697" s="320">
        <f>IFERROR(__xludf.DUMMYFUNCTION("""COMPUTED_VALUE"""),235.25)</f>
        <v>235.25</v>
      </c>
      <c r="J697" s="320">
        <f>IFERROR(__xludf.DUMMYFUNCTION("""COMPUTED_VALUE"""),135.76)</f>
        <v>135.76</v>
      </c>
      <c r="K697" s="320">
        <f>IFERROR(__xludf.DUMMYFUNCTION("""COMPUTED_VALUE"""),122.81)</f>
        <v>122.81</v>
      </c>
      <c r="L697" s="320">
        <f>IFERROR(__xludf.DUMMYFUNCTION("""COMPUTED_VALUE"""),0.9046)</f>
        <v>0.9046</v>
      </c>
      <c r="M697" s="320">
        <f>IFERROR(__xludf.DUMMYFUNCTION("""COMPUTED_VALUE"""),0.2582)</f>
        <v>0.2582</v>
      </c>
      <c r="N697" s="320">
        <f>IFERROR(__xludf.DUMMYFUNCTION("""COMPUTED_VALUE"""),0.2056)</f>
        <v>0.2056</v>
      </c>
      <c r="O697" s="320">
        <f>IFERROR(__xludf.DUMMYFUNCTION("""COMPUTED_VALUE"""),1.1055)</f>
        <v>1.1055</v>
      </c>
      <c r="P697" s="320">
        <f>IFERROR(__xludf.DUMMYFUNCTION("""COMPUTED_VALUE"""),719.76)</f>
        <v>719.76</v>
      </c>
      <c r="Q697" s="320">
        <f>IFERROR(__xludf.DUMMYFUNCTION("""COMPUTED_VALUE"""),508.75)</f>
        <v>508.75</v>
      </c>
      <c r="R697" s="320">
        <f>IFERROR(__xludf.DUMMYFUNCTION("""COMPUTED_VALUE"""),211.0)</f>
        <v>211</v>
      </c>
      <c r="S697" s="320">
        <f>IFERROR(__xludf.DUMMYFUNCTION("""COMPUTED_VALUE"""),0.0)</f>
        <v>0</v>
      </c>
      <c r="T697" s="320">
        <f>IFERROR(__xludf.DUMMYFUNCTION("""COMPUTED_VALUE"""),719.76)</f>
        <v>719.76</v>
      </c>
      <c r="U697" s="320">
        <f>IFERROR(__xludf.DUMMYFUNCTION("""COMPUTED_VALUE"""),626.58)</f>
        <v>626.58</v>
      </c>
      <c r="V697" s="320">
        <f>IFERROR(__xludf.DUMMYFUNCTION("""COMPUTED_VALUE"""),4.6153)</f>
        <v>4.6153</v>
      </c>
      <c r="W697" s="320">
        <f>IFERROR(__xludf.DUMMYFUNCTION("""COMPUTED_VALUE"""),0.0)</f>
        <v>0</v>
      </c>
      <c r="X697" s="320">
        <f>IFERROR(__xludf.DUMMYFUNCTION("""COMPUTED_VALUE"""),1243.0)</f>
        <v>1243</v>
      </c>
      <c r="Y697" s="320">
        <f>IFERROR(__xludf.DUMMYFUNCTION("""COMPUTED_VALUE"""),4496.0)</f>
        <v>4496</v>
      </c>
      <c r="Z697" s="320">
        <f>IFERROR(__xludf.DUMMYFUNCTION("""COMPUTED_VALUE"""),15006.0)</f>
        <v>15006</v>
      </c>
      <c r="AA697" s="320">
        <f>IFERROR(__xludf.DUMMYFUNCTION("""COMPUTED_VALUE"""),64.1126)</f>
        <v>64.1126</v>
      </c>
      <c r="AB697" s="320">
        <f>IFERROR(__xludf.DUMMYFUNCTION("""COMPUTED_VALUE"""),0.9308)</f>
        <v>0.9308</v>
      </c>
      <c r="AC697" s="320">
        <f>IFERROR(__xludf.DUMMYFUNCTION("""COMPUTED_VALUE"""),91.31)</f>
        <v>91.31</v>
      </c>
      <c r="AD697" s="320">
        <f>IFERROR(__xludf.DUMMYFUNCTION("""COMPUTED_VALUE"""),42.0)</f>
        <v>42</v>
      </c>
      <c r="AE697" s="320">
        <f>IFERROR(__xludf.DUMMYFUNCTION("""COMPUTED_VALUE"""),81.0)</f>
        <v>81</v>
      </c>
      <c r="AF697" s="320">
        <f>IFERROR(__xludf.DUMMYFUNCTION("""COMPUTED_VALUE"""),128.0)</f>
        <v>128</v>
      </c>
      <c r="AG697" s="320">
        <f>IFERROR(__xludf.DUMMYFUNCTION("""COMPUTED_VALUE"""),183.0)</f>
        <v>183</v>
      </c>
      <c r="AH697" s="320">
        <f>IFERROR(__xludf.DUMMYFUNCTION("""COMPUTED_VALUE"""),50.27)</f>
        <v>50.27</v>
      </c>
      <c r="AI697" s="320">
        <f>IFERROR(__xludf.DUMMYFUNCTION("""COMPUTED_VALUE"""),11.21)</f>
        <v>11.21</v>
      </c>
      <c r="AJ697" s="320">
        <f>IFERROR(__xludf.DUMMYFUNCTION("""COMPUTED_VALUE"""),0.54)</f>
        <v>0.54</v>
      </c>
      <c r="AK697" s="320">
        <f>IFERROR(__xludf.DUMMYFUNCTION("""COMPUTED_VALUE"""),0.0669)</f>
        <v>0.0669</v>
      </c>
      <c r="AL697" s="320">
        <f>IFERROR(__xludf.DUMMYFUNCTION("""COMPUTED_VALUE"""),25.32)</f>
        <v>25.32</v>
      </c>
      <c r="AM697" s="320">
        <f>IFERROR(__xludf.DUMMYFUNCTION("""COMPUTED_VALUE"""),483.44)</f>
        <v>483.44</v>
      </c>
      <c r="AN697" s="320">
        <f>IFERROR(__xludf.DUMMYFUNCTION("""COMPUTED_VALUE"""),86.05)</f>
        <v>86.05</v>
      </c>
      <c r="AO697" s="320">
        <f>IFERROR(__xludf.DUMMYFUNCTION("""COMPUTED_VALUE"""),21.79)</f>
        <v>21.79</v>
      </c>
    </row>
    <row r="698" ht="15.0" customHeight="1">
      <c r="A698" s="328">
        <f>IFERROR(__xludf.DUMMYFUNCTION("""COMPUTED_VALUE"""),46166.0)</f>
        <v>46166</v>
      </c>
      <c r="B698" s="319" t="str">
        <f>IFERROR(__xludf.DUMMYFUNCTION("""COMPUTED_VALUE"""),"A. 0")</f>
        <v>A. 0</v>
      </c>
      <c r="C698" s="320">
        <f>IFERROR(__xludf.DUMMYFUNCTION("""COMPUTED_VALUE"""),19438.0)</f>
        <v>19438</v>
      </c>
      <c r="D698" s="320">
        <f>IFERROR(__xludf.DUMMYFUNCTION("""COMPUTED_VALUE"""),20.37)</f>
        <v>20.37</v>
      </c>
      <c r="E698" s="320">
        <f>IFERROR(__xludf.DUMMYFUNCTION("""COMPUTED_VALUE"""),0.0)</f>
        <v>0</v>
      </c>
      <c r="F698" s="320">
        <f>IFERROR(__xludf.DUMMYFUNCTION("""COMPUTED_VALUE"""),0.0)</f>
        <v>0</v>
      </c>
      <c r="G698" s="320">
        <f>IFERROR(__xludf.DUMMYFUNCTION("""COMPUTED_VALUE"""),0.0)</f>
        <v>0</v>
      </c>
      <c r="H698" s="106"/>
      <c r="I698" s="320">
        <f>IFERROR(__xludf.DUMMYFUNCTION("""COMPUTED_VALUE"""),6.39)</f>
        <v>6.39</v>
      </c>
      <c r="J698" s="320">
        <f>IFERROR(__xludf.DUMMYFUNCTION("""COMPUTED_VALUE"""),2.64)</f>
        <v>2.64</v>
      </c>
      <c r="K698" s="320">
        <f>IFERROR(__xludf.DUMMYFUNCTION("""COMPUTED_VALUE"""),0.04)</f>
        <v>0.04</v>
      </c>
      <c r="L698" s="320">
        <f>IFERROR(__xludf.DUMMYFUNCTION("""COMPUTED_VALUE"""),0.0134)</f>
        <v>0.0134</v>
      </c>
      <c r="M698" s="320">
        <f>IFERROR(__xludf.DUMMYFUNCTION("""COMPUTED_VALUE"""),0.9904)</f>
        <v>0.9904</v>
      </c>
      <c r="N698" s="320">
        <f>IFERROR(__xludf.DUMMYFUNCTION("""COMPUTED_VALUE"""),0.8641)</f>
        <v>0.8641</v>
      </c>
      <c r="O698" s="320">
        <f>IFERROR(__xludf.DUMMYFUNCTION("""COMPUTED_VALUE"""),74.6376)</f>
        <v>74.6376</v>
      </c>
      <c r="P698" s="320">
        <f>IFERROR(__xludf.DUMMYFUNCTION("""COMPUTED_VALUE"""),22.26)</f>
        <v>22.26</v>
      </c>
      <c r="Q698" s="320">
        <f>IFERROR(__xludf.DUMMYFUNCTION("""COMPUTED_VALUE"""),22.13)</f>
        <v>22.13</v>
      </c>
      <c r="R698" s="320">
        <f>IFERROR(__xludf.DUMMYFUNCTION("""COMPUTED_VALUE"""),0.13)</f>
        <v>0.13</v>
      </c>
      <c r="S698" s="320">
        <f>IFERROR(__xludf.DUMMYFUNCTION("""COMPUTED_VALUE"""),0.0)</f>
        <v>0</v>
      </c>
      <c r="T698" s="320">
        <f>IFERROR(__xludf.DUMMYFUNCTION("""COMPUTED_VALUE"""),22.26)</f>
        <v>22.26</v>
      </c>
      <c r="U698" s="320">
        <f>IFERROR(__xludf.DUMMYFUNCTION("""COMPUTED_VALUE"""),1.88)</f>
        <v>1.88</v>
      </c>
      <c r="V698" s="320">
        <f>IFERROR(__xludf.DUMMYFUNCTION("""COMPUTED_VALUE"""),0.7128)</f>
        <v>0.7128</v>
      </c>
      <c r="W698" s="320">
        <f>IFERROR(__xludf.DUMMYFUNCTION("""COMPUTED_VALUE"""),0.0)</f>
        <v>0</v>
      </c>
      <c r="X698" s="320">
        <f>IFERROR(__xludf.DUMMYFUNCTION("""COMPUTED_VALUE"""),317.0)</f>
        <v>317</v>
      </c>
      <c r="Y698" s="320">
        <f>IFERROR(__xludf.DUMMYFUNCTION("""COMPUTED_VALUE"""),3796.0)</f>
        <v>3796</v>
      </c>
      <c r="Z698" s="320">
        <f>IFERROR(__xludf.DUMMYFUNCTION("""COMPUTED_VALUE"""),15389.0)</f>
        <v>15389</v>
      </c>
      <c r="AA698" s="320">
        <f>IFERROR(__xludf.DUMMYFUNCTION("""COMPUTED_VALUE"""),48.8026)</f>
        <v>48.8026</v>
      </c>
      <c r="AB698" s="320">
        <f>IFERROR(__xludf.DUMMYFUNCTION("""COMPUTED_VALUE"""),0.5402)</f>
        <v>0.5402</v>
      </c>
      <c r="AC698" s="106"/>
      <c r="AD698" s="106"/>
      <c r="AE698" s="106"/>
      <c r="AF698" s="106"/>
      <c r="AG698" s="106"/>
      <c r="AH698" s="320">
        <f>IFERROR(__xludf.DUMMYFUNCTION("""COMPUTED_VALUE"""),0.0)</f>
        <v>0</v>
      </c>
      <c r="AI698" s="320">
        <f>IFERROR(__xludf.DUMMYFUNCTION("""COMPUTED_VALUE"""),0.0)</f>
        <v>0</v>
      </c>
      <c r="AJ698" s="320">
        <f>IFERROR(__xludf.DUMMYFUNCTION("""COMPUTED_VALUE"""),0.0)</f>
        <v>0</v>
      </c>
      <c r="AK698" s="320">
        <f>IFERROR(__xludf.DUMMYFUNCTION("""COMPUTED_VALUE"""),0.2889)</f>
        <v>0.2889</v>
      </c>
      <c r="AL698" s="320">
        <f>IFERROR(__xludf.DUMMYFUNCTION("""COMPUTED_VALUE"""),17.87)</f>
        <v>17.87</v>
      </c>
      <c r="AM698" s="320">
        <f>IFERROR(__xludf.DUMMYFUNCTION("""COMPUTED_VALUE"""),4.26)</f>
        <v>4.26</v>
      </c>
      <c r="AN698" s="331"/>
      <c r="AO698" s="331"/>
    </row>
    <row r="699" ht="15.0" customHeight="1">
      <c r="A699" s="328">
        <f>IFERROR(__xludf.DUMMYFUNCTION("""COMPUTED_VALUE"""),46166.0)</f>
        <v>46166</v>
      </c>
      <c r="B699" s="319" t="str">
        <f>IFERROR(__xludf.DUMMYFUNCTION("""COMPUTED_VALUE"""),"B. 1-9")</f>
        <v>B. 1-9</v>
      </c>
      <c r="C699" s="320">
        <f>IFERROR(__xludf.DUMMYFUNCTION("""COMPUTED_VALUE"""),34851.0)</f>
        <v>34851</v>
      </c>
      <c r="D699" s="320">
        <f>IFERROR(__xludf.DUMMYFUNCTION("""COMPUTED_VALUE"""),36.53)</f>
        <v>36.53</v>
      </c>
      <c r="E699" s="320">
        <f>IFERROR(__xludf.DUMMYFUNCTION("""COMPUTED_VALUE"""),0.0)</f>
        <v>0</v>
      </c>
      <c r="F699" s="320">
        <f>IFERROR(__xludf.DUMMYFUNCTION("""COMPUTED_VALUE"""),0.0)</f>
        <v>0</v>
      </c>
      <c r="G699" s="320">
        <f>IFERROR(__xludf.DUMMYFUNCTION("""COMPUTED_VALUE"""),0.0)</f>
        <v>0</v>
      </c>
      <c r="H699" s="106"/>
      <c r="I699" s="320">
        <f>IFERROR(__xludf.DUMMYFUNCTION("""COMPUTED_VALUE"""),32.84)</f>
        <v>32.84</v>
      </c>
      <c r="J699" s="320">
        <f>IFERROR(__xludf.DUMMYFUNCTION("""COMPUTED_VALUE"""),15.12)</f>
        <v>15.12</v>
      </c>
      <c r="K699" s="320">
        <f>IFERROR(__xludf.DUMMYFUNCTION("""COMPUTED_VALUE"""),5.87)</f>
        <v>5.87</v>
      </c>
      <c r="L699" s="320">
        <f>IFERROR(__xludf.DUMMYFUNCTION("""COMPUTED_VALUE"""),0.3883)</f>
        <v>0.3883</v>
      </c>
      <c r="M699" s="320">
        <f>IFERROR(__xludf.DUMMYFUNCTION("""COMPUTED_VALUE"""),0.7728)</f>
        <v>0.7728</v>
      </c>
      <c r="N699" s="320">
        <f>IFERROR(__xludf.DUMMYFUNCTION("""COMPUTED_VALUE"""),0.5631)</f>
        <v>0.5631</v>
      </c>
      <c r="O699" s="320">
        <f>IFERROR(__xludf.DUMMYFUNCTION("""COMPUTED_VALUE"""),2.5752)</f>
        <v>2.5752</v>
      </c>
      <c r="P699" s="320">
        <f>IFERROR(__xludf.DUMMYFUNCTION("""COMPUTED_VALUE"""),50.03)</f>
        <v>50.03</v>
      </c>
      <c r="Q699" s="320">
        <f>IFERROR(__xludf.DUMMYFUNCTION("""COMPUTED_VALUE"""),39.97)</f>
        <v>39.97</v>
      </c>
      <c r="R699" s="320">
        <f>IFERROR(__xludf.DUMMYFUNCTION("""COMPUTED_VALUE"""),10.06)</f>
        <v>10.06</v>
      </c>
      <c r="S699" s="320">
        <f>IFERROR(__xludf.DUMMYFUNCTION("""COMPUTED_VALUE"""),0.0)</f>
        <v>0</v>
      </c>
      <c r="T699" s="320">
        <f>IFERROR(__xludf.DUMMYFUNCTION("""COMPUTED_VALUE"""),50.03)</f>
        <v>50.03</v>
      </c>
      <c r="U699" s="320">
        <f>IFERROR(__xludf.DUMMYFUNCTION("""COMPUTED_VALUE"""),53.15)</f>
        <v>53.15</v>
      </c>
      <c r="V699" s="320">
        <f>IFERROR(__xludf.DUMMYFUNCTION("""COMPUTED_VALUE"""),3.5145)</f>
        <v>3.5145</v>
      </c>
      <c r="W699" s="320">
        <f>IFERROR(__xludf.DUMMYFUNCTION("""COMPUTED_VALUE"""),0.0)</f>
        <v>0</v>
      </c>
      <c r="X699" s="320">
        <f>IFERROR(__xludf.DUMMYFUNCTION("""COMPUTED_VALUE"""),134.0)</f>
        <v>134</v>
      </c>
      <c r="Y699" s="320">
        <f>IFERROR(__xludf.DUMMYFUNCTION("""COMPUTED_VALUE"""),884.0)</f>
        <v>884</v>
      </c>
      <c r="Z699" s="320">
        <f>IFERROR(__xludf.DUMMYFUNCTION("""COMPUTED_VALUE"""),6079.0)</f>
        <v>6079</v>
      </c>
      <c r="AA699" s="320">
        <f>IFERROR(__xludf.DUMMYFUNCTION("""COMPUTED_VALUE"""),48.2333)</f>
        <v>48.2333</v>
      </c>
      <c r="AB699" s="320">
        <f>IFERROR(__xludf.DUMMYFUNCTION("""COMPUTED_VALUE"""),0.5269)</f>
        <v>0.5269</v>
      </c>
      <c r="AC699" s="320">
        <f>IFERROR(__xludf.DUMMYFUNCTION("""COMPUTED_VALUE"""),4.04)</f>
        <v>4.04</v>
      </c>
      <c r="AD699" s="320">
        <f>IFERROR(__xludf.DUMMYFUNCTION("""COMPUTED_VALUE"""),1.0)</f>
        <v>1</v>
      </c>
      <c r="AE699" s="320">
        <f>IFERROR(__xludf.DUMMYFUNCTION("""COMPUTED_VALUE"""),3.0)</f>
        <v>3</v>
      </c>
      <c r="AF699" s="320">
        <f>IFERROR(__xludf.DUMMYFUNCTION("""COMPUTED_VALUE"""),5.0)</f>
        <v>5</v>
      </c>
      <c r="AG699" s="320">
        <f>IFERROR(__xludf.DUMMYFUNCTION("""COMPUTED_VALUE"""),9.0)</f>
        <v>9</v>
      </c>
      <c r="AH699" s="320">
        <f>IFERROR(__xludf.DUMMYFUNCTION("""COMPUTED_VALUE"""),73.63)</f>
        <v>73.63</v>
      </c>
      <c r="AI699" s="320">
        <f>IFERROR(__xludf.DUMMYFUNCTION("""COMPUTED_VALUE"""),30.82)</f>
        <v>30.82</v>
      </c>
      <c r="AJ699" s="320">
        <f>IFERROR(__xludf.DUMMYFUNCTION("""COMPUTED_VALUE"""),8.64)</f>
        <v>8.64</v>
      </c>
      <c r="AK699" s="320">
        <f>IFERROR(__xludf.DUMMYFUNCTION("""COMPUTED_VALUE"""),0.254)</f>
        <v>0.254</v>
      </c>
      <c r="AL699" s="320">
        <f>IFERROR(__xludf.DUMMYFUNCTION("""COMPUTED_VALUE"""),21.68)</f>
        <v>21.68</v>
      </c>
      <c r="AM699" s="320">
        <f>IFERROR(__xludf.DUMMYFUNCTION("""COMPUTED_VALUE"""),18.28)</f>
        <v>18.28</v>
      </c>
      <c r="AN699" s="320">
        <f>IFERROR(__xludf.DUMMYFUNCTION("""COMPUTED_VALUE"""),64.8)</f>
        <v>64.8</v>
      </c>
      <c r="AO699" s="320">
        <f>IFERROR(__xludf.DUMMYFUNCTION("""COMPUTED_VALUE"""),14.05)</f>
        <v>14.05</v>
      </c>
    </row>
    <row r="700" ht="15.0" customHeight="1">
      <c r="A700" s="328">
        <f>IFERROR(__xludf.DUMMYFUNCTION("""COMPUTED_VALUE"""),46166.0)</f>
        <v>46166</v>
      </c>
      <c r="B700" s="319" t="str">
        <f>IFERROR(__xludf.DUMMYFUNCTION("""COMPUTED_VALUE"""),"C. 10-19")</f>
        <v>C. 10-19</v>
      </c>
      <c r="C700" s="320">
        <f>IFERROR(__xludf.DUMMYFUNCTION("""COMPUTED_VALUE"""),22793.0)</f>
        <v>22793</v>
      </c>
      <c r="D700" s="320">
        <f>IFERROR(__xludf.DUMMYFUNCTION("""COMPUTED_VALUE"""),23.89)</f>
        <v>23.89</v>
      </c>
      <c r="E700" s="320">
        <f>IFERROR(__xludf.DUMMYFUNCTION("""COMPUTED_VALUE"""),0.0)</f>
        <v>0</v>
      </c>
      <c r="F700" s="320">
        <f>IFERROR(__xludf.DUMMYFUNCTION("""COMPUTED_VALUE"""),0.0)</f>
        <v>0</v>
      </c>
      <c r="G700" s="320">
        <f>IFERROR(__xludf.DUMMYFUNCTION("""COMPUTED_VALUE"""),0.0)</f>
        <v>0</v>
      </c>
      <c r="H700" s="106"/>
      <c r="I700" s="320">
        <f>IFERROR(__xludf.DUMMYFUNCTION("""COMPUTED_VALUE"""),60.26)</f>
        <v>60.26</v>
      </c>
      <c r="J700" s="320">
        <f>IFERROR(__xludf.DUMMYFUNCTION("""COMPUTED_VALUE"""),28.78)</f>
        <v>28.78</v>
      </c>
      <c r="K700" s="320">
        <f>IFERROR(__xludf.DUMMYFUNCTION("""COMPUTED_VALUE"""),14.74)</f>
        <v>14.74</v>
      </c>
      <c r="L700" s="320">
        <f>IFERROR(__xludf.DUMMYFUNCTION("""COMPUTED_VALUE"""),0.5121)</f>
        <v>0.5121</v>
      </c>
      <c r="M700" s="320">
        <f>IFERROR(__xludf.DUMMYFUNCTION("""COMPUTED_VALUE"""),0.6709)</f>
        <v>0.6709</v>
      </c>
      <c r="N700" s="320">
        <f>IFERROR(__xludf.DUMMYFUNCTION("""COMPUTED_VALUE"""),0.4599)</f>
        <v>0.4599</v>
      </c>
      <c r="O700" s="320">
        <f>IFERROR(__xludf.DUMMYFUNCTION("""COMPUTED_VALUE"""),1.9526)</f>
        <v>1.9526</v>
      </c>
      <c r="P700" s="320">
        <f>IFERROR(__xludf.DUMMYFUNCTION("""COMPUTED_VALUE"""),89.04)</f>
        <v>89.04</v>
      </c>
      <c r="Q700" s="320">
        <f>IFERROR(__xludf.DUMMYFUNCTION("""COMPUTED_VALUE"""),63.85)</f>
        <v>63.85</v>
      </c>
      <c r="R700" s="320">
        <f>IFERROR(__xludf.DUMMYFUNCTION("""COMPUTED_VALUE"""),25.19)</f>
        <v>25.19</v>
      </c>
      <c r="S700" s="320">
        <f>IFERROR(__xludf.DUMMYFUNCTION("""COMPUTED_VALUE"""),0.0)</f>
        <v>0</v>
      </c>
      <c r="T700" s="320">
        <f>IFERROR(__xludf.DUMMYFUNCTION("""COMPUTED_VALUE"""),89.04)</f>
        <v>89.04</v>
      </c>
      <c r="U700" s="320">
        <f>IFERROR(__xludf.DUMMYFUNCTION("""COMPUTED_VALUE"""),99.3)</f>
        <v>99.3</v>
      </c>
      <c r="V700" s="320">
        <f>IFERROR(__xludf.DUMMYFUNCTION("""COMPUTED_VALUE"""),3.4507)</f>
        <v>3.4507</v>
      </c>
      <c r="W700" s="320">
        <f>IFERROR(__xludf.DUMMYFUNCTION("""COMPUTED_VALUE"""),0.0)</f>
        <v>0</v>
      </c>
      <c r="X700" s="320">
        <f>IFERROR(__xludf.DUMMYFUNCTION("""COMPUTED_VALUE"""),116.0)</f>
        <v>116</v>
      </c>
      <c r="Y700" s="320">
        <f>IFERROR(__xludf.DUMMYFUNCTION("""COMPUTED_VALUE"""),690.0)</f>
        <v>690</v>
      </c>
      <c r="Z700" s="320">
        <f>IFERROR(__xludf.DUMMYFUNCTION("""COMPUTED_VALUE"""),5168.0)</f>
        <v>5168</v>
      </c>
      <c r="AA700" s="320">
        <f>IFERROR(__xludf.DUMMYFUNCTION("""COMPUTED_VALUE"""),52.3824)</f>
        <v>52.3824</v>
      </c>
      <c r="AB700" s="320">
        <f>IFERROR(__xludf.DUMMYFUNCTION("""COMPUTED_VALUE"""),0.6386)</f>
        <v>0.6386</v>
      </c>
      <c r="AC700" s="320">
        <f>IFERROR(__xludf.DUMMYFUNCTION("""COMPUTED_VALUE"""),9.84)</f>
        <v>9.84</v>
      </c>
      <c r="AD700" s="320">
        <f>IFERROR(__xludf.DUMMYFUNCTION("""COMPUTED_VALUE"""),4.0)</f>
        <v>4</v>
      </c>
      <c r="AE700" s="320">
        <f>IFERROR(__xludf.DUMMYFUNCTION("""COMPUTED_VALUE"""),8.0)</f>
        <v>8</v>
      </c>
      <c r="AF700" s="320">
        <f>IFERROR(__xludf.DUMMYFUNCTION("""COMPUTED_VALUE"""),14.0)</f>
        <v>14</v>
      </c>
      <c r="AG700" s="320">
        <f>IFERROR(__xludf.DUMMYFUNCTION("""COMPUTED_VALUE"""),21.0)</f>
        <v>21</v>
      </c>
      <c r="AH700" s="320">
        <f>IFERROR(__xludf.DUMMYFUNCTION("""COMPUTED_VALUE"""),61.82)</f>
        <v>61.82</v>
      </c>
      <c r="AI700" s="320">
        <f>IFERROR(__xludf.DUMMYFUNCTION("""COMPUTED_VALUE"""),28.09)</f>
        <v>28.09</v>
      </c>
      <c r="AJ700" s="320">
        <f>IFERROR(__xludf.DUMMYFUNCTION("""COMPUTED_VALUE"""),5.52)</f>
        <v>5.52</v>
      </c>
      <c r="AK700" s="320">
        <f>IFERROR(__xludf.DUMMYFUNCTION("""COMPUTED_VALUE"""),0.2076)</f>
        <v>0.2076</v>
      </c>
      <c r="AL700" s="320">
        <f>IFERROR(__xludf.DUMMYFUNCTION("""COMPUTED_VALUE"""),22.13)</f>
        <v>22.13</v>
      </c>
      <c r="AM700" s="320">
        <f>IFERROR(__xludf.DUMMYFUNCTION("""COMPUTED_VALUE"""),41.72)</f>
        <v>41.72</v>
      </c>
      <c r="AN700" s="320">
        <f>IFERROR(__xludf.DUMMYFUNCTION("""COMPUTED_VALUE"""),74.52)</f>
        <v>74.52</v>
      </c>
      <c r="AO700" s="320">
        <f>IFERROR(__xludf.DUMMYFUNCTION("""COMPUTED_VALUE"""),16.49)</f>
        <v>16.49</v>
      </c>
    </row>
    <row r="701" ht="15.0" customHeight="1">
      <c r="A701" s="328">
        <f>IFERROR(__xludf.DUMMYFUNCTION("""COMPUTED_VALUE"""),46166.0)</f>
        <v>46166</v>
      </c>
      <c r="B701" s="319" t="str">
        <f>IFERROR(__xludf.DUMMYFUNCTION("""COMPUTED_VALUE"""),"D. 20-39")</f>
        <v>D. 20-39</v>
      </c>
      <c r="C701" s="320">
        <f>IFERROR(__xludf.DUMMYFUNCTION("""COMPUTED_VALUE"""),12559.0)</f>
        <v>12559</v>
      </c>
      <c r="D701" s="320">
        <f>IFERROR(__xludf.DUMMYFUNCTION("""COMPUTED_VALUE"""),13.16)</f>
        <v>13.16</v>
      </c>
      <c r="E701" s="320">
        <f>IFERROR(__xludf.DUMMYFUNCTION("""COMPUTED_VALUE"""),0.0)</f>
        <v>0</v>
      </c>
      <c r="F701" s="320">
        <f>IFERROR(__xludf.DUMMYFUNCTION("""COMPUTED_VALUE"""),0.0)</f>
        <v>0</v>
      </c>
      <c r="G701" s="320">
        <f>IFERROR(__xludf.DUMMYFUNCTION("""COMPUTED_VALUE"""),0.0)</f>
        <v>0</v>
      </c>
      <c r="H701" s="106"/>
      <c r="I701" s="320">
        <f>IFERROR(__xludf.DUMMYFUNCTION("""COMPUTED_VALUE"""),84.52)</f>
        <v>84.52</v>
      </c>
      <c r="J701" s="320">
        <f>IFERROR(__xludf.DUMMYFUNCTION("""COMPUTED_VALUE"""),42.59)</f>
        <v>42.59</v>
      </c>
      <c r="K701" s="320">
        <f>IFERROR(__xludf.DUMMYFUNCTION("""COMPUTED_VALUE"""),28.14)</f>
        <v>28.14</v>
      </c>
      <c r="L701" s="320">
        <f>IFERROR(__xludf.DUMMYFUNCTION("""COMPUTED_VALUE"""),0.6606)</f>
        <v>0.6606</v>
      </c>
      <c r="M701" s="320">
        <f>IFERROR(__xludf.DUMMYFUNCTION("""COMPUTED_VALUE"""),0.5285)</f>
        <v>0.5285</v>
      </c>
      <c r="N701" s="320">
        <f>IFERROR(__xludf.DUMMYFUNCTION("""COMPUTED_VALUE"""),0.3591)</f>
        <v>0.3591</v>
      </c>
      <c r="O701" s="320">
        <f>IFERROR(__xludf.DUMMYFUNCTION("""COMPUTED_VALUE"""),1.5137)</f>
        <v>1.5137</v>
      </c>
      <c r="P701" s="320">
        <f>IFERROR(__xludf.DUMMYFUNCTION("""COMPUTED_VALUE"""),146.89)</f>
        <v>146.89</v>
      </c>
      <c r="Q701" s="320">
        <f>IFERROR(__xludf.DUMMYFUNCTION("""COMPUTED_VALUE"""),98.55)</f>
        <v>98.55</v>
      </c>
      <c r="R701" s="320">
        <f>IFERROR(__xludf.DUMMYFUNCTION("""COMPUTED_VALUE"""),48.34)</f>
        <v>48.34</v>
      </c>
      <c r="S701" s="320">
        <f>IFERROR(__xludf.DUMMYFUNCTION("""COMPUTED_VALUE"""),0.0)</f>
        <v>0</v>
      </c>
      <c r="T701" s="320">
        <f>IFERROR(__xludf.DUMMYFUNCTION("""COMPUTED_VALUE"""),146.89)</f>
        <v>146.89</v>
      </c>
      <c r="U701" s="320">
        <f>IFERROR(__xludf.DUMMYFUNCTION("""COMPUTED_VALUE"""),169.1)</f>
        <v>169.1</v>
      </c>
      <c r="V701" s="320">
        <f>IFERROR(__xludf.DUMMYFUNCTION("""COMPUTED_VALUE"""),3.9705)</f>
        <v>3.9705</v>
      </c>
      <c r="W701" s="320">
        <f>IFERROR(__xludf.DUMMYFUNCTION("""COMPUTED_VALUE"""),0.0)</f>
        <v>0</v>
      </c>
      <c r="X701" s="320">
        <f>IFERROR(__xludf.DUMMYFUNCTION("""COMPUTED_VALUE"""),153.0)</f>
        <v>153</v>
      </c>
      <c r="Y701" s="320">
        <f>IFERROR(__xludf.DUMMYFUNCTION("""COMPUTED_VALUE"""),1090.0)</f>
        <v>1090</v>
      </c>
      <c r="Z701" s="320">
        <f>IFERROR(__xludf.DUMMYFUNCTION("""COMPUTED_VALUE"""),6592.0)</f>
        <v>6592</v>
      </c>
      <c r="AA701" s="320">
        <f>IFERROR(__xludf.DUMMYFUNCTION("""COMPUTED_VALUE"""),56.2252)</f>
        <v>56.2252</v>
      </c>
      <c r="AB701" s="320">
        <f>IFERROR(__xludf.DUMMYFUNCTION("""COMPUTED_VALUE"""),0.7545)</f>
        <v>0.7545</v>
      </c>
      <c r="AC701" s="320">
        <f>IFERROR(__xludf.DUMMYFUNCTION("""COMPUTED_VALUE"""),19.22)</f>
        <v>19.22</v>
      </c>
      <c r="AD701" s="320">
        <f>IFERROR(__xludf.DUMMYFUNCTION("""COMPUTED_VALUE"""),7.0)</f>
        <v>7</v>
      </c>
      <c r="AE701" s="320">
        <f>IFERROR(__xludf.DUMMYFUNCTION("""COMPUTED_VALUE"""),15.0)</f>
        <v>15</v>
      </c>
      <c r="AF701" s="320">
        <f>IFERROR(__xludf.DUMMYFUNCTION("""COMPUTED_VALUE"""),27.0)</f>
        <v>27</v>
      </c>
      <c r="AG701" s="320">
        <f>IFERROR(__xludf.DUMMYFUNCTION("""COMPUTED_VALUE"""),40.0)</f>
        <v>40</v>
      </c>
      <c r="AH701" s="320">
        <f>IFERROR(__xludf.DUMMYFUNCTION("""COMPUTED_VALUE"""),62.35)</f>
        <v>62.35</v>
      </c>
      <c r="AI701" s="320">
        <f>IFERROR(__xludf.DUMMYFUNCTION("""COMPUTED_VALUE"""),26.78)</f>
        <v>26.78</v>
      </c>
      <c r="AJ701" s="320">
        <f>IFERROR(__xludf.DUMMYFUNCTION("""COMPUTED_VALUE"""),9.12)</f>
        <v>9.12</v>
      </c>
      <c r="AK701" s="320">
        <f>IFERROR(__xludf.DUMMYFUNCTION("""COMPUTED_VALUE"""),0.2016)</f>
        <v>0.2016</v>
      </c>
      <c r="AL701" s="320">
        <f>IFERROR(__xludf.DUMMYFUNCTION("""COMPUTED_VALUE"""),22.01)</f>
        <v>22.01</v>
      </c>
      <c r="AM701" s="320">
        <f>IFERROR(__xludf.DUMMYFUNCTION("""COMPUTED_VALUE"""),76.55)</f>
        <v>76.55</v>
      </c>
      <c r="AN701" s="320">
        <f>IFERROR(__xludf.DUMMYFUNCTION("""COMPUTED_VALUE"""),76.31)</f>
        <v>76.31</v>
      </c>
      <c r="AO701" s="320">
        <f>IFERROR(__xludf.DUMMYFUNCTION("""COMPUTED_VALUE"""),16.8)</f>
        <v>16.8</v>
      </c>
    </row>
    <row r="702" ht="15.0" customHeight="1">
      <c r="A702" s="328">
        <f>IFERROR(__xludf.DUMMYFUNCTION("""COMPUTED_VALUE"""),46166.0)</f>
        <v>46166</v>
      </c>
      <c r="B702" s="319" t="str">
        <f>IFERROR(__xludf.DUMMYFUNCTION("""COMPUTED_VALUE"""),"E. 40-99")</f>
        <v>E. 40-99</v>
      </c>
      <c r="C702" s="320">
        <f>IFERROR(__xludf.DUMMYFUNCTION("""COMPUTED_VALUE"""),5190.0)</f>
        <v>5190</v>
      </c>
      <c r="D702" s="320">
        <f>IFERROR(__xludf.DUMMYFUNCTION("""COMPUTED_VALUE"""),5.44)</f>
        <v>5.44</v>
      </c>
      <c r="E702" s="320">
        <f>IFERROR(__xludf.DUMMYFUNCTION("""COMPUTED_VALUE"""),0.0)</f>
        <v>0</v>
      </c>
      <c r="F702" s="320">
        <f>IFERROR(__xludf.DUMMYFUNCTION("""COMPUTED_VALUE"""),0.0)</f>
        <v>0</v>
      </c>
      <c r="G702" s="320">
        <f>IFERROR(__xludf.DUMMYFUNCTION("""COMPUTED_VALUE"""),0.0)</f>
        <v>0</v>
      </c>
      <c r="H702" s="106"/>
      <c r="I702" s="320">
        <f>IFERROR(__xludf.DUMMYFUNCTION("""COMPUTED_VALUE"""),129.01)</f>
        <v>129.01</v>
      </c>
      <c r="J702" s="320">
        <f>IFERROR(__xludf.DUMMYFUNCTION("""COMPUTED_VALUE"""),69.69)</f>
        <v>69.69</v>
      </c>
      <c r="K702" s="320">
        <f>IFERROR(__xludf.DUMMYFUNCTION("""COMPUTED_VALUE"""),56.08)</f>
        <v>56.08</v>
      </c>
      <c r="L702" s="320">
        <f>IFERROR(__xludf.DUMMYFUNCTION("""COMPUTED_VALUE"""),0.8047)</f>
        <v>0.8047</v>
      </c>
      <c r="M702" s="320">
        <f>IFERROR(__xludf.DUMMYFUNCTION("""COMPUTED_VALUE"""),0.3778)</f>
        <v>0.3778</v>
      </c>
      <c r="N702" s="320">
        <f>IFERROR(__xludf.DUMMYFUNCTION("""COMPUTED_VALUE"""),0.2714)</f>
        <v>0.2714</v>
      </c>
      <c r="O702" s="320">
        <f>IFERROR(__xludf.DUMMYFUNCTION("""COMPUTED_VALUE"""),1.2427)</f>
        <v>1.2427</v>
      </c>
      <c r="P702" s="320">
        <f>IFERROR(__xludf.DUMMYFUNCTION("""COMPUTED_VALUE"""),270.83)</f>
        <v>270.83</v>
      </c>
      <c r="Q702" s="320">
        <f>IFERROR(__xludf.DUMMYFUNCTION("""COMPUTED_VALUE"""),174.83)</f>
        <v>174.83</v>
      </c>
      <c r="R702" s="320">
        <f>IFERROR(__xludf.DUMMYFUNCTION("""COMPUTED_VALUE"""),96.0)</f>
        <v>96</v>
      </c>
      <c r="S702" s="320">
        <f>IFERROR(__xludf.DUMMYFUNCTION("""COMPUTED_VALUE"""),0.0)</f>
        <v>0</v>
      </c>
      <c r="T702" s="320">
        <f>IFERROR(__xludf.DUMMYFUNCTION("""COMPUTED_VALUE"""),270.83)</f>
        <v>270.83</v>
      </c>
      <c r="U702" s="320">
        <f>IFERROR(__xludf.DUMMYFUNCTION("""COMPUTED_VALUE"""),303.98)</f>
        <v>303.98</v>
      </c>
      <c r="V702" s="320">
        <f>IFERROR(__xludf.DUMMYFUNCTION("""COMPUTED_VALUE"""),4.3616)</f>
        <v>4.3616</v>
      </c>
      <c r="W702" s="320">
        <f>IFERROR(__xludf.DUMMYFUNCTION("""COMPUTED_VALUE"""),0.0)</f>
        <v>0</v>
      </c>
      <c r="X702" s="320">
        <f>IFERROR(__xludf.DUMMYFUNCTION("""COMPUTED_VALUE"""),331.0)</f>
        <v>331</v>
      </c>
      <c r="Y702" s="320">
        <f>IFERROR(__xludf.DUMMYFUNCTION("""COMPUTED_VALUE"""),2743.0)</f>
        <v>2743</v>
      </c>
      <c r="Z702" s="320">
        <f>IFERROR(__xludf.DUMMYFUNCTION("""COMPUTED_VALUE"""),10229.0)</f>
        <v>10229</v>
      </c>
      <c r="AA702" s="320">
        <f>IFERROR(__xludf.DUMMYFUNCTION("""COMPUTED_VALUE"""),60.6879)</f>
        <v>60.6879</v>
      </c>
      <c r="AB702" s="320">
        <f>IFERROR(__xludf.DUMMYFUNCTION("""COMPUTED_VALUE"""),0.8596)</f>
        <v>0.8596</v>
      </c>
      <c r="AC702" s="320">
        <f>IFERROR(__xludf.DUMMYFUNCTION("""COMPUTED_VALUE"""),40.1)</f>
        <v>40.1</v>
      </c>
      <c r="AD702" s="320">
        <f>IFERROR(__xludf.DUMMYFUNCTION("""COMPUTED_VALUE"""),16.0)</f>
        <v>16</v>
      </c>
      <c r="AE702" s="320">
        <f>IFERROR(__xludf.DUMMYFUNCTION("""COMPUTED_VALUE"""),31.0)</f>
        <v>31</v>
      </c>
      <c r="AF702" s="320">
        <f>IFERROR(__xludf.DUMMYFUNCTION("""COMPUTED_VALUE"""),55.0)</f>
        <v>55</v>
      </c>
      <c r="AG702" s="320">
        <f>IFERROR(__xludf.DUMMYFUNCTION("""COMPUTED_VALUE"""),83.0)</f>
        <v>83</v>
      </c>
      <c r="AH702" s="320">
        <f>IFERROR(__xludf.DUMMYFUNCTION("""COMPUTED_VALUE"""),55.39)</f>
        <v>55.39</v>
      </c>
      <c r="AI702" s="320">
        <f>IFERROR(__xludf.DUMMYFUNCTION("""COMPUTED_VALUE"""),22.12)</f>
        <v>22.12</v>
      </c>
      <c r="AJ702" s="320">
        <f>IFERROR(__xludf.DUMMYFUNCTION("""COMPUTED_VALUE"""),5.74)</f>
        <v>5.74</v>
      </c>
      <c r="AK702" s="320">
        <f>IFERROR(__xludf.DUMMYFUNCTION("""COMPUTED_VALUE"""),0.1514)</f>
        <v>0.1514</v>
      </c>
      <c r="AL702" s="320">
        <f>IFERROR(__xludf.DUMMYFUNCTION("""COMPUTED_VALUE"""),22.37)</f>
        <v>22.37</v>
      </c>
      <c r="AM702" s="320">
        <f>IFERROR(__xludf.DUMMYFUNCTION("""COMPUTED_VALUE"""),152.46)</f>
        <v>152.46</v>
      </c>
      <c r="AN702" s="320">
        <f>IFERROR(__xludf.DUMMYFUNCTION("""COMPUTED_VALUE"""),81.14)</f>
        <v>81.14</v>
      </c>
      <c r="AO702" s="320">
        <f>IFERROR(__xludf.DUMMYFUNCTION("""COMPUTED_VALUE"""),18.15)</f>
        <v>18.15</v>
      </c>
    </row>
    <row r="703" ht="15.0" customHeight="1">
      <c r="A703" s="328">
        <f>IFERROR(__xludf.DUMMYFUNCTION("""COMPUTED_VALUE"""),46166.0)</f>
        <v>46166</v>
      </c>
      <c r="B703" s="319" t="str">
        <f>IFERROR(__xludf.DUMMYFUNCTION("""COMPUTED_VALUE"""),"F. 100+")</f>
        <v>F. 100+</v>
      </c>
      <c r="C703" s="320">
        <f>IFERROR(__xludf.DUMMYFUNCTION("""COMPUTED_VALUE"""),585.0)</f>
        <v>585</v>
      </c>
      <c r="D703" s="320">
        <f>IFERROR(__xludf.DUMMYFUNCTION("""COMPUTED_VALUE"""),0.61)</f>
        <v>0.61</v>
      </c>
      <c r="E703" s="320">
        <f>IFERROR(__xludf.DUMMYFUNCTION("""COMPUTED_VALUE"""),0.0)</f>
        <v>0</v>
      </c>
      <c r="F703" s="320">
        <f>IFERROR(__xludf.DUMMYFUNCTION("""COMPUTED_VALUE"""),0.0)</f>
        <v>0</v>
      </c>
      <c r="G703" s="320">
        <f>IFERROR(__xludf.DUMMYFUNCTION("""COMPUTED_VALUE"""),0.0)</f>
        <v>0</v>
      </c>
      <c r="H703" s="106"/>
      <c r="I703" s="320">
        <f>IFERROR(__xludf.DUMMYFUNCTION("""COMPUTED_VALUE"""),242.85)</f>
        <v>242.85</v>
      </c>
      <c r="J703" s="320">
        <f>IFERROR(__xludf.DUMMYFUNCTION("""COMPUTED_VALUE"""),142.29)</f>
        <v>142.29</v>
      </c>
      <c r="K703" s="320">
        <f>IFERROR(__xludf.DUMMYFUNCTION("""COMPUTED_VALUE"""),126.39)</f>
        <v>126.39</v>
      </c>
      <c r="L703" s="320">
        <f>IFERROR(__xludf.DUMMYFUNCTION("""COMPUTED_VALUE"""),0.8883)</f>
        <v>0.8883</v>
      </c>
      <c r="M703" s="320">
        <f>IFERROR(__xludf.DUMMYFUNCTION("""COMPUTED_VALUE"""),0.2713)</f>
        <v>0.2713</v>
      </c>
      <c r="N703" s="320">
        <f>IFERROR(__xludf.DUMMYFUNCTION("""COMPUTED_VALUE"""),0.2072)</f>
        <v>0.2072</v>
      </c>
      <c r="O703" s="320">
        <f>IFERROR(__xludf.DUMMYFUNCTION("""COMPUTED_VALUE"""),1.1258)</f>
        <v>1.1258</v>
      </c>
      <c r="P703" s="320">
        <f>IFERROR(__xludf.DUMMYFUNCTION("""COMPUTED_VALUE"""),543.77)</f>
        <v>543.77</v>
      </c>
      <c r="Q703" s="320">
        <f>IFERROR(__xludf.DUMMYFUNCTION("""COMPUTED_VALUE"""),322.77)</f>
        <v>322.77</v>
      </c>
      <c r="R703" s="320">
        <f>IFERROR(__xludf.DUMMYFUNCTION("""COMPUTED_VALUE"""),221.01)</f>
        <v>221.01</v>
      </c>
      <c r="S703" s="320">
        <f>IFERROR(__xludf.DUMMYFUNCTION("""COMPUTED_VALUE"""),0.0)</f>
        <v>0</v>
      </c>
      <c r="T703" s="320">
        <f>IFERROR(__xludf.DUMMYFUNCTION("""COMPUTED_VALUE"""),543.77)</f>
        <v>543.77</v>
      </c>
      <c r="U703" s="320">
        <f>IFERROR(__xludf.DUMMYFUNCTION("""COMPUTED_VALUE"""),621.62)</f>
        <v>621.62</v>
      </c>
      <c r="V703" s="320">
        <f>IFERROR(__xludf.DUMMYFUNCTION("""COMPUTED_VALUE"""),4.3689)</f>
        <v>4.3689</v>
      </c>
      <c r="W703" s="320">
        <f>IFERROR(__xludf.DUMMYFUNCTION("""COMPUTED_VALUE"""),0.0)</f>
        <v>0</v>
      </c>
      <c r="X703" s="320">
        <f>IFERROR(__xludf.DUMMYFUNCTION("""COMPUTED_VALUE"""),971.0)</f>
        <v>971</v>
      </c>
      <c r="Y703" s="320">
        <f>IFERROR(__xludf.DUMMYFUNCTION("""COMPUTED_VALUE"""),4303.0)</f>
        <v>4303</v>
      </c>
      <c r="Z703" s="320">
        <f>IFERROR(__xludf.DUMMYFUNCTION("""COMPUTED_VALUE"""),14151.0)</f>
        <v>14151</v>
      </c>
      <c r="AA703" s="320">
        <f>IFERROR(__xludf.DUMMYFUNCTION("""COMPUTED_VALUE"""),63.8456)</f>
        <v>63.8456</v>
      </c>
      <c r="AB703" s="320">
        <f>IFERROR(__xludf.DUMMYFUNCTION("""COMPUTED_VALUE"""),0.9166)</f>
        <v>0.9166</v>
      </c>
      <c r="AC703" s="320">
        <f>IFERROR(__xludf.DUMMYFUNCTION("""COMPUTED_VALUE"""),93.02)</f>
        <v>93.02</v>
      </c>
      <c r="AD703" s="320">
        <f>IFERROR(__xludf.DUMMYFUNCTION("""COMPUTED_VALUE"""),40.0)</f>
        <v>40</v>
      </c>
      <c r="AE703" s="320">
        <f>IFERROR(__xludf.DUMMYFUNCTION("""COMPUTED_VALUE"""),78.0)</f>
        <v>78</v>
      </c>
      <c r="AF703" s="320">
        <f>IFERROR(__xludf.DUMMYFUNCTION("""COMPUTED_VALUE"""),133.0)</f>
        <v>133</v>
      </c>
      <c r="AG703" s="320">
        <f>IFERROR(__xludf.DUMMYFUNCTION("""COMPUTED_VALUE"""),186.0)</f>
        <v>186</v>
      </c>
      <c r="AH703" s="320">
        <f>IFERROR(__xludf.DUMMYFUNCTION("""COMPUTED_VALUE"""),49.74)</f>
        <v>49.74</v>
      </c>
      <c r="AI703" s="320">
        <f>IFERROR(__xludf.DUMMYFUNCTION("""COMPUTED_VALUE"""),12.14)</f>
        <v>12.14</v>
      </c>
      <c r="AJ703" s="320">
        <f>IFERROR(__xludf.DUMMYFUNCTION("""COMPUTED_VALUE"""),2.05)</f>
        <v>2.05</v>
      </c>
      <c r="AK703" s="320">
        <f>IFERROR(__xludf.DUMMYFUNCTION("""COMPUTED_VALUE"""),0.0872)</f>
        <v>0.0872</v>
      </c>
      <c r="AL703" s="320">
        <f>IFERROR(__xludf.DUMMYFUNCTION("""COMPUTED_VALUE"""),22.21)</f>
        <v>22.21</v>
      </c>
      <c r="AM703" s="320">
        <f>IFERROR(__xludf.DUMMYFUNCTION("""COMPUTED_VALUE"""),300.56)</f>
        <v>300.56</v>
      </c>
      <c r="AN703" s="320">
        <f>IFERROR(__xludf.DUMMYFUNCTION("""COMPUTED_VALUE"""),82.76)</f>
        <v>82.76</v>
      </c>
      <c r="AO703" s="320">
        <f>IFERROR(__xludf.DUMMYFUNCTION("""COMPUTED_VALUE"""),18.38)</f>
        <v>18.38</v>
      </c>
    </row>
    <row r="704" ht="15.0" customHeight="1">
      <c r="A704" s="328">
        <f>IFERROR(__xludf.DUMMYFUNCTION("""COMPUTED_VALUE"""),46167.0)</f>
        <v>46167</v>
      </c>
      <c r="B704" s="319" t="str">
        <f>IFERROR(__xludf.DUMMYFUNCTION("""COMPUTED_VALUE"""),"A. 0")</f>
        <v>A. 0</v>
      </c>
      <c r="C704" s="320">
        <f>IFERROR(__xludf.DUMMYFUNCTION("""COMPUTED_VALUE"""),19043.0)</f>
        <v>19043</v>
      </c>
      <c r="D704" s="320">
        <f>IFERROR(__xludf.DUMMYFUNCTION("""COMPUTED_VALUE"""),18.65)</f>
        <v>18.65</v>
      </c>
      <c r="E704" s="320">
        <f>IFERROR(__xludf.DUMMYFUNCTION("""COMPUTED_VALUE"""),0.0)</f>
        <v>0</v>
      </c>
      <c r="F704" s="320">
        <f>IFERROR(__xludf.DUMMYFUNCTION("""COMPUTED_VALUE"""),0.0)</f>
        <v>0</v>
      </c>
      <c r="G704" s="320">
        <f>IFERROR(__xludf.DUMMYFUNCTION("""COMPUTED_VALUE"""),0.0)</f>
        <v>0</v>
      </c>
      <c r="H704" s="106"/>
      <c r="I704" s="320">
        <f>IFERROR(__xludf.DUMMYFUNCTION("""COMPUTED_VALUE"""),5.95)</f>
        <v>5.95</v>
      </c>
      <c r="J704" s="320">
        <f>IFERROR(__xludf.DUMMYFUNCTION("""COMPUTED_VALUE"""),2.49)</f>
        <v>2.49</v>
      </c>
      <c r="K704" s="320">
        <f>IFERROR(__xludf.DUMMYFUNCTION("""COMPUTED_VALUE"""),0.09)</f>
        <v>0.09</v>
      </c>
      <c r="L704" s="320">
        <f>IFERROR(__xludf.DUMMYFUNCTION("""COMPUTED_VALUE"""),0.0356)</f>
        <v>0.0356</v>
      </c>
      <c r="M704" s="320">
        <f>IFERROR(__xludf.DUMMYFUNCTION("""COMPUTED_VALUE"""),0.9711)</f>
        <v>0.9711</v>
      </c>
      <c r="N704" s="320">
        <f>IFERROR(__xludf.DUMMYFUNCTION("""COMPUTED_VALUE"""),0.7034)</f>
        <v>0.7034</v>
      </c>
      <c r="O704" s="320">
        <f>IFERROR(__xludf.DUMMYFUNCTION("""COMPUTED_VALUE"""),28.1045)</f>
        <v>28.1045</v>
      </c>
      <c r="P704" s="320">
        <f>IFERROR(__xludf.DUMMYFUNCTION("""COMPUTED_VALUE"""),32.63)</f>
        <v>32.63</v>
      </c>
      <c r="Q704" s="320">
        <f>IFERROR(__xludf.DUMMYFUNCTION("""COMPUTED_VALUE"""),32.51)</f>
        <v>32.51</v>
      </c>
      <c r="R704" s="320">
        <f>IFERROR(__xludf.DUMMYFUNCTION("""COMPUTED_VALUE"""),0.12)</f>
        <v>0.12</v>
      </c>
      <c r="S704" s="320">
        <f>IFERROR(__xludf.DUMMYFUNCTION("""COMPUTED_VALUE"""),0.0)</f>
        <v>0</v>
      </c>
      <c r="T704" s="320">
        <f>IFERROR(__xludf.DUMMYFUNCTION("""COMPUTED_VALUE"""),32.63)</f>
        <v>32.63</v>
      </c>
      <c r="U704" s="320">
        <f>IFERROR(__xludf.DUMMYFUNCTION("""COMPUTED_VALUE"""),2.17)</f>
        <v>2.17</v>
      </c>
      <c r="V704" s="320">
        <f>IFERROR(__xludf.DUMMYFUNCTION("""COMPUTED_VALUE"""),0.8747)</f>
        <v>0.8747</v>
      </c>
      <c r="W704" s="320">
        <f>IFERROR(__xludf.DUMMYFUNCTION("""COMPUTED_VALUE"""),0.0)</f>
        <v>0</v>
      </c>
      <c r="X704" s="320">
        <f>IFERROR(__xludf.DUMMYFUNCTION("""COMPUTED_VALUE"""),404.0)</f>
        <v>404</v>
      </c>
      <c r="Y704" s="320">
        <f>IFERROR(__xludf.DUMMYFUNCTION("""COMPUTED_VALUE"""),4449.0)</f>
        <v>4449</v>
      </c>
      <c r="Z704" s="320">
        <f>IFERROR(__xludf.DUMMYFUNCTION("""COMPUTED_VALUE"""),16442.0)</f>
        <v>16442</v>
      </c>
      <c r="AA704" s="320">
        <f>IFERROR(__xludf.DUMMYFUNCTION("""COMPUTED_VALUE"""),49.2375)</f>
        <v>49.2375</v>
      </c>
      <c r="AB704" s="320">
        <f>IFERROR(__xludf.DUMMYFUNCTION("""COMPUTED_VALUE"""),0.5453)</f>
        <v>0.5453</v>
      </c>
      <c r="AC704" s="106"/>
      <c r="AD704" s="106"/>
      <c r="AE704" s="106"/>
      <c r="AF704" s="106"/>
      <c r="AG704" s="106"/>
      <c r="AH704" s="320">
        <f>IFERROR(__xludf.DUMMYFUNCTION("""COMPUTED_VALUE"""),0.0)</f>
        <v>0</v>
      </c>
      <c r="AI704" s="320">
        <f>IFERROR(__xludf.DUMMYFUNCTION("""COMPUTED_VALUE"""),0.0)</f>
        <v>0</v>
      </c>
      <c r="AJ704" s="320">
        <f>IFERROR(__xludf.DUMMYFUNCTION("""COMPUTED_VALUE"""),0.0)</f>
        <v>0</v>
      </c>
      <c r="AK704" s="320">
        <f>IFERROR(__xludf.DUMMYFUNCTION("""COMPUTED_VALUE"""),0.2919)</f>
        <v>0.2919</v>
      </c>
      <c r="AL704" s="320">
        <f>IFERROR(__xludf.DUMMYFUNCTION("""COMPUTED_VALUE"""),16.51)</f>
        <v>16.51</v>
      </c>
      <c r="AM704" s="320">
        <f>IFERROR(__xludf.DUMMYFUNCTION("""COMPUTED_VALUE"""),16.0)</f>
        <v>16</v>
      </c>
      <c r="AN704" s="331"/>
      <c r="AO704" s="331"/>
    </row>
    <row r="705" ht="15.0" customHeight="1">
      <c r="A705" s="328">
        <f>IFERROR(__xludf.DUMMYFUNCTION("""COMPUTED_VALUE"""),46167.0)</f>
        <v>46167</v>
      </c>
      <c r="B705" s="319" t="str">
        <f>IFERROR(__xludf.DUMMYFUNCTION("""COMPUTED_VALUE"""),"B. 1-9")</f>
        <v>B. 1-9</v>
      </c>
      <c r="C705" s="320">
        <f>IFERROR(__xludf.DUMMYFUNCTION("""COMPUTED_VALUE"""),36429.0)</f>
        <v>36429</v>
      </c>
      <c r="D705" s="320">
        <f>IFERROR(__xludf.DUMMYFUNCTION("""COMPUTED_VALUE"""),35.68)</f>
        <v>35.68</v>
      </c>
      <c r="E705" s="320">
        <f>IFERROR(__xludf.DUMMYFUNCTION("""COMPUTED_VALUE"""),0.0)</f>
        <v>0</v>
      </c>
      <c r="F705" s="320">
        <f>IFERROR(__xludf.DUMMYFUNCTION("""COMPUTED_VALUE"""),0.0)</f>
        <v>0</v>
      </c>
      <c r="G705" s="320">
        <f>IFERROR(__xludf.DUMMYFUNCTION("""COMPUTED_VALUE"""),0.0)</f>
        <v>0</v>
      </c>
      <c r="H705" s="106"/>
      <c r="I705" s="320">
        <f>IFERROR(__xludf.DUMMYFUNCTION("""COMPUTED_VALUE"""),33.91)</f>
        <v>33.91</v>
      </c>
      <c r="J705" s="320">
        <f>IFERROR(__xludf.DUMMYFUNCTION("""COMPUTED_VALUE"""),15.46)</f>
        <v>15.46</v>
      </c>
      <c r="K705" s="320">
        <f>IFERROR(__xludf.DUMMYFUNCTION("""COMPUTED_VALUE"""),5.99)</f>
        <v>5.99</v>
      </c>
      <c r="L705" s="320">
        <f>IFERROR(__xludf.DUMMYFUNCTION("""COMPUTED_VALUE"""),0.3878)</f>
        <v>0.3878</v>
      </c>
      <c r="M705" s="320">
        <f>IFERROR(__xludf.DUMMYFUNCTION("""COMPUTED_VALUE"""),0.7776)</f>
        <v>0.7776</v>
      </c>
      <c r="N705" s="320">
        <f>IFERROR(__xludf.DUMMYFUNCTION("""COMPUTED_VALUE"""),0.5687)</f>
        <v>0.5687</v>
      </c>
      <c r="O705" s="320">
        <f>IFERROR(__xludf.DUMMYFUNCTION("""COMPUTED_VALUE"""),2.5787)</f>
        <v>2.5787</v>
      </c>
      <c r="P705" s="320">
        <f>IFERROR(__xludf.DUMMYFUNCTION("""COMPUTED_VALUE"""),74.31)</f>
        <v>74.31</v>
      </c>
      <c r="Q705" s="320">
        <f>IFERROR(__xludf.DUMMYFUNCTION("""COMPUTED_VALUE"""),64.45)</f>
        <v>64.45</v>
      </c>
      <c r="R705" s="320">
        <f>IFERROR(__xludf.DUMMYFUNCTION("""COMPUTED_VALUE"""),9.86)</f>
        <v>9.86</v>
      </c>
      <c r="S705" s="320">
        <f>IFERROR(__xludf.DUMMYFUNCTION("""COMPUTED_VALUE"""),0.0)</f>
        <v>0</v>
      </c>
      <c r="T705" s="320">
        <f>IFERROR(__xludf.DUMMYFUNCTION("""COMPUTED_VALUE"""),74.31)</f>
        <v>74.31</v>
      </c>
      <c r="U705" s="320">
        <f>IFERROR(__xludf.DUMMYFUNCTION("""COMPUTED_VALUE"""),61.92)</f>
        <v>61.92</v>
      </c>
      <c r="V705" s="320">
        <f>IFERROR(__xludf.DUMMYFUNCTION("""COMPUTED_VALUE"""),4.0056)</f>
        <v>4.0056</v>
      </c>
      <c r="W705" s="320">
        <f>IFERROR(__xludf.DUMMYFUNCTION("""COMPUTED_VALUE"""),0.0)</f>
        <v>0</v>
      </c>
      <c r="X705" s="320">
        <f>IFERROR(__xludf.DUMMYFUNCTION("""COMPUTED_VALUE"""),151.0)</f>
        <v>151</v>
      </c>
      <c r="Y705" s="320">
        <f>IFERROR(__xludf.DUMMYFUNCTION("""COMPUTED_VALUE"""),902.0)</f>
        <v>902</v>
      </c>
      <c r="Z705" s="320">
        <f>IFERROR(__xludf.DUMMYFUNCTION("""COMPUTED_VALUE"""),6119.0)</f>
        <v>6119</v>
      </c>
      <c r="AA705" s="320">
        <f>IFERROR(__xludf.DUMMYFUNCTION("""COMPUTED_VALUE"""),48.1768)</f>
        <v>48.1768</v>
      </c>
      <c r="AB705" s="320">
        <f>IFERROR(__xludf.DUMMYFUNCTION("""COMPUTED_VALUE"""),0.5116)</f>
        <v>0.5116</v>
      </c>
      <c r="AC705" s="320">
        <f>IFERROR(__xludf.DUMMYFUNCTION("""COMPUTED_VALUE"""),4.09)</f>
        <v>4.09</v>
      </c>
      <c r="AD705" s="320">
        <f>IFERROR(__xludf.DUMMYFUNCTION("""COMPUTED_VALUE"""),1.0)</f>
        <v>1</v>
      </c>
      <c r="AE705" s="320">
        <f>IFERROR(__xludf.DUMMYFUNCTION("""COMPUTED_VALUE"""),3.0)</f>
        <v>3</v>
      </c>
      <c r="AF705" s="320">
        <f>IFERROR(__xludf.DUMMYFUNCTION("""COMPUTED_VALUE"""),5.0)</f>
        <v>5</v>
      </c>
      <c r="AG705" s="320">
        <f>IFERROR(__xludf.DUMMYFUNCTION("""COMPUTED_VALUE"""),9.0)</f>
        <v>9</v>
      </c>
      <c r="AH705" s="320">
        <f>IFERROR(__xludf.DUMMYFUNCTION("""COMPUTED_VALUE"""),74.02)</f>
        <v>74.02</v>
      </c>
      <c r="AI705" s="320">
        <f>IFERROR(__xludf.DUMMYFUNCTION("""COMPUTED_VALUE"""),30.9)</f>
        <v>30.9</v>
      </c>
      <c r="AJ705" s="320">
        <f>IFERROR(__xludf.DUMMYFUNCTION("""COMPUTED_VALUE"""),8.8)</f>
        <v>8.8</v>
      </c>
      <c r="AK705" s="320">
        <f>IFERROR(__xludf.DUMMYFUNCTION("""COMPUTED_VALUE"""),0.2407)</f>
        <v>0.2407</v>
      </c>
      <c r="AL705" s="320">
        <f>IFERROR(__xludf.DUMMYFUNCTION("""COMPUTED_VALUE"""),18.66)</f>
        <v>18.66</v>
      </c>
      <c r="AM705" s="320">
        <f>IFERROR(__xludf.DUMMYFUNCTION("""COMPUTED_VALUE"""),45.79)</f>
        <v>45.79</v>
      </c>
      <c r="AN705" s="320">
        <f>IFERROR(__xludf.DUMMYFUNCTION("""COMPUTED_VALUE"""),64.77)</f>
        <v>64.77</v>
      </c>
      <c r="AO705" s="320">
        <f>IFERROR(__xludf.DUMMYFUNCTION("""COMPUTED_VALUE"""),12.09)</f>
        <v>12.09</v>
      </c>
    </row>
    <row r="706" ht="15.0" customHeight="1">
      <c r="A706" s="328">
        <f>IFERROR(__xludf.DUMMYFUNCTION("""COMPUTED_VALUE"""),46167.0)</f>
        <v>46167</v>
      </c>
      <c r="B706" s="319" t="str">
        <f>IFERROR(__xludf.DUMMYFUNCTION("""COMPUTED_VALUE"""),"C. 10-19")</f>
        <v>C. 10-19</v>
      </c>
      <c r="C706" s="320">
        <f>IFERROR(__xludf.DUMMYFUNCTION("""COMPUTED_VALUE"""),25522.0)</f>
        <v>25522</v>
      </c>
      <c r="D706" s="320">
        <f>IFERROR(__xludf.DUMMYFUNCTION("""COMPUTED_VALUE"""),25.0)</f>
        <v>25</v>
      </c>
      <c r="E706" s="320">
        <f>IFERROR(__xludf.DUMMYFUNCTION("""COMPUTED_VALUE"""),0.0)</f>
        <v>0</v>
      </c>
      <c r="F706" s="320">
        <f>IFERROR(__xludf.DUMMYFUNCTION("""COMPUTED_VALUE"""),0.0)</f>
        <v>0</v>
      </c>
      <c r="G706" s="320">
        <f>IFERROR(__xludf.DUMMYFUNCTION("""COMPUTED_VALUE"""),0.0)</f>
        <v>0</v>
      </c>
      <c r="H706" s="106"/>
      <c r="I706" s="320">
        <f>IFERROR(__xludf.DUMMYFUNCTION("""COMPUTED_VALUE"""),63.61)</f>
        <v>63.61</v>
      </c>
      <c r="J706" s="320">
        <f>IFERROR(__xludf.DUMMYFUNCTION("""COMPUTED_VALUE"""),30.02)</f>
        <v>30.02</v>
      </c>
      <c r="K706" s="320">
        <f>IFERROR(__xludf.DUMMYFUNCTION("""COMPUTED_VALUE"""),16.02)</f>
        <v>16.02</v>
      </c>
      <c r="L706" s="320">
        <f>IFERROR(__xludf.DUMMYFUNCTION("""COMPUTED_VALUE"""),0.5337)</f>
        <v>0.5337</v>
      </c>
      <c r="M706" s="320">
        <f>IFERROR(__xludf.DUMMYFUNCTION("""COMPUTED_VALUE"""),0.662)</f>
        <v>0.662</v>
      </c>
      <c r="N706" s="320">
        <f>IFERROR(__xludf.DUMMYFUNCTION("""COMPUTED_VALUE"""),0.4597)</f>
        <v>0.4597</v>
      </c>
      <c r="O706" s="320">
        <f>IFERROR(__xludf.DUMMYFUNCTION("""COMPUTED_VALUE"""),1.8738)</f>
        <v>1.8738</v>
      </c>
      <c r="P706" s="320">
        <f>IFERROR(__xludf.DUMMYFUNCTION("""COMPUTED_VALUE"""),138.21)</f>
        <v>138.21</v>
      </c>
      <c r="Q706" s="320">
        <f>IFERROR(__xludf.DUMMYFUNCTION("""COMPUTED_VALUE"""),113.15)</f>
        <v>113.15</v>
      </c>
      <c r="R706" s="320">
        <f>IFERROR(__xludf.DUMMYFUNCTION("""COMPUTED_VALUE"""),25.06)</f>
        <v>25.06</v>
      </c>
      <c r="S706" s="320">
        <f>IFERROR(__xludf.DUMMYFUNCTION("""COMPUTED_VALUE"""),0.0)</f>
        <v>0</v>
      </c>
      <c r="T706" s="320">
        <f>IFERROR(__xludf.DUMMYFUNCTION("""COMPUTED_VALUE"""),138.21)</f>
        <v>138.21</v>
      </c>
      <c r="U706" s="320">
        <f>IFERROR(__xludf.DUMMYFUNCTION("""COMPUTED_VALUE"""),122.87)</f>
        <v>122.87</v>
      </c>
      <c r="V706" s="320">
        <f>IFERROR(__xludf.DUMMYFUNCTION("""COMPUTED_VALUE"""),4.0935)</f>
        <v>4.0935</v>
      </c>
      <c r="W706" s="320">
        <f>IFERROR(__xludf.DUMMYFUNCTION("""COMPUTED_VALUE"""),0.0)</f>
        <v>0</v>
      </c>
      <c r="X706" s="320">
        <f>IFERROR(__xludf.DUMMYFUNCTION("""COMPUTED_VALUE"""),142.0)</f>
        <v>142</v>
      </c>
      <c r="Y706" s="320">
        <f>IFERROR(__xludf.DUMMYFUNCTION("""COMPUTED_VALUE"""),750.0)</f>
        <v>750</v>
      </c>
      <c r="Z706" s="320">
        <f>IFERROR(__xludf.DUMMYFUNCTION("""COMPUTED_VALUE"""),5750.0)</f>
        <v>5750</v>
      </c>
      <c r="AA706" s="320">
        <f>IFERROR(__xludf.DUMMYFUNCTION("""COMPUTED_VALUE"""),52.1896)</f>
        <v>52.1896</v>
      </c>
      <c r="AB706" s="320">
        <f>IFERROR(__xludf.DUMMYFUNCTION("""COMPUTED_VALUE"""),0.5856)</f>
        <v>0.5856</v>
      </c>
      <c r="AC706" s="320">
        <f>IFERROR(__xludf.DUMMYFUNCTION("""COMPUTED_VALUE"""),10.37)</f>
        <v>10.37</v>
      </c>
      <c r="AD706" s="320">
        <f>IFERROR(__xludf.DUMMYFUNCTION("""COMPUTED_VALUE"""),4.0)</f>
        <v>4</v>
      </c>
      <c r="AE706" s="320">
        <f>IFERROR(__xludf.DUMMYFUNCTION("""COMPUTED_VALUE"""),8.0)</f>
        <v>8</v>
      </c>
      <c r="AF706" s="320">
        <f>IFERROR(__xludf.DUMMYFUNCTION("""COMPUTED_VALUE"""),14.0)</f>
        <v>14</v>
      </c>
      <c r="AG706" s="320">
        <f>IFERROR(__xludf.DUMMYFUNCTION("""COMPUTED_VALUE"""),22.0)</f>
        <v>22</v>
      </c>
      <c r="AH706" s="320">
        <f>IFERROR(__xludf.DUMMYFUNCTION("""COMPUTED_VALUE"""),63.92)</f>
        <v>63.92</v>
      </c>
      <c r="AI706" s="320">
        <f>IFERROR(__xludf.DUMMYFUNCTION("""COMPUTED_VALUE"""),30.04)</f>
        <v>30.04</v>
      </c>
      <c r="AJ706" s="320">
        <f>IFERROR(__xludf.DUMMYFUNCTION("""COMPUTED_VALUE"""),6.75)</f>
        <v>6.75</v>
      </c>
      <c r="AK706" s="320">
        <f>IFERROR(__xludf.DUMMYFUNCTION("""COMPUTED_VALUE"""),0.1784)</f>
        <v>0.1784</v>
      </c>
      <c r="AL706" s="320">
        <f>IFERROR(__xludf.DUMMYFUNCTION("""COMPUTED_VALUE"""),19.6)</f>
        <v>19.6</v>
      </c>
      <c r="AM706" s="320">
        <f>IFERROR(__xludf.DUMMYFUNCTION("""COMPUTED_VALUE"""),93.54)</f>
        <v>93.54</v>
      </c>
      <c r="AN706" s="320">
        <f>IFERROR(__xludf.DUMMYFUNCTION("""COMPUTED_VALUE"""),72.35)</f>
        <v>72.35</v>
      </c>
      <c r="AO706" s="320">
        <f>IFERROR(__xludf.DUMMYFUNCTION("""COMPUTED_VALUE"""),14.18)</f>
        <v>14.18</v>
      </c>
    </row>
    <row r="707" ht="15.0" customHeight="1">
      <c r="A707" s="328">
        <f>IFERROR(__xludf.DUMMYFUNCTION("""COMPUTED_VALUE"""),46167.0)</f>
        <v>46167</v>
      </c>
      <c r="B707" s="319" t="str">
        <f>IFERROR(__xludf.DUMMYFUNCTION("""COMPUTED_VALUE"""),"D. 20-39")</f>
        <v>D. 20-39</v>
      </c>
      <c r="C707" s="320">
        <f>IFERROR(__xludf.DUMMYFUNCTION("""COMPUTED_VALUE"""),14595.0)</f>
        <v>14595</v>
      </c>
      <c r="D707" s="320">
        <f>IFERROR(__xludf.DUMMYFUNCTION("""COMPUTED_VALUE"""),14.3)</f>
        <v>14.3</v>
      </c>
      <c r="E707" s="320">
        <f>IFERROR(__xludf.DUMMYFUNCTION("""COMPUTED_VALUE"""),0.0)</f>
        <v>0</v>
      </c>
      <c r="F707" s="320">
        <f>IFERROR(__xludf.DUMMYFUNCTION("""COMPUTED_VALUE"""),0.0)</f>
        <v>0</v>
      </c>
      <c r="G707" s="320">
        <f>IFERROR(__xludf.DUMMYFUNCTION("""COMPUTED_VALUE"""),0.0)</f>
        <v>0</v>
      </c>
      <c r="H707" s="106"/>
      <c r="I707" s="320">
        <f>IFERROR(__xludf.DUMMYFUNCTION("""COMPUTED_VALUE"""),93.83)</f>
        <v>93.83</v>
      </c>
      <c r="J707" s="320">
        <f>IFERROR(__xludf.DUMMYFUNCTION("""COMPUTED_VALUE"""),47.31)</f>
        <v>47.31</v>
      </c>
      <c r="K707" s="320">
        <f>IFERROR(__xludf.DUMMYFUNCTION("""COMPUTED_VALUE"""),32.99)</f>
        <v>32.99</v>
      </c>
      <c r="L707" s="320">
        <f>IFERROR(__xludf.DUMMYFUNCTION("""COMPUTED_VALUE"""),0.6973)</f>
        <v>0.6973</v>
      </c>
      <c r="M707" s="320">
        <f>IFERROR(__xludf.DUMMYFUNCTION("""COMPUTED_VALUE"""),0.5003)</f>
        <v>0.5003</v>
      </c>
      <c r="N707" s="320">
        <f>IFERROR(__xludf.DUMMYFUNCTION("""COMPUTED_VALUE"""),0.3544)</f>
        <v>0.3544</v>
      </c>
      <c r="O707" s="320">
        <f>IFERROR(__xludf.DUMMYFUNCTION("""COMPUTED_VALUE"""),1.434)</f>
        <v>1.434</v>
      </c>
      <c r="P707" s="320">
        <f>IFERROR(__xludf.DUMMYFUNCTION("""COMPUTED_VALUE"""),243.43)</f>
        <v>243.43</v>
      </c>
      <c r="Q707" s="320">
        <f>IFERROR(__xludf.DUMMYFUNCTION("""COMPUTED_VALUE"""),193.74)</f>
        <v>193.74</v>
      </c>
      <c r="R707" s="320">
        <f>IFERROR(__xludf.DUMMYFUNCTION("""COMPUTED_VALUE"""),49.7)</f>
        <v>49.7</v>
      </c>
      <c r="S707" s="320">
        <f>IFERROR(__xludf.DUMMYFUNCTION("""COMPUTED_VALUE"""),0.0)</f>
        <v>0</v>
      </c>
      <c r="T707" s="320">
        <f>IFERROR(__xludf.DUMMYFUNCTION("""COMPUTED_VALUE"""),243.43)</f>
        <v>243.43</v>
      </c>
      <c r="U707" s="320">
        <f>IFERROR(__xludf.DUMMYFUNCTION("""COMPUTED_VALUE"""),218.16)</f>
        <v>218.16</v>
      </c>
      <c r="V707" s="320">
        <f>IFERROR(__xludf.DUMMYFUNCTION("""COMPUTED_VALUE"""),4.6113)</f>
        <v>4.6113</v>
      </c>
      <c r="W707" s="320">
        <f>IFERROR(__xludf.DUMMYFUNCTION("""COMPUTED_VALUE"""),0.0)</f>
        <v>0</v>
      </c>
      <c r="X707" s="320">
        <f>IFERROR(__xludf.DUMMYFUNCTION("""COMPUTED_VALUE"""),202.0)</f>
        <v>202</v>
      </c>
      <c r="Y707" s="320">
        <f>IFERROR(__xludf.DUMMYFUNCTION("""COMPUTED_VALUE"""),1212.0)</f>
        <v>1212</v>
      </c>
      <c r="Z707" s="320">
        <f>IFERROR(__xludf.DUMMYFUNCTION("""COMPUTED_VALUE"""),8037.0)</f>
        <v>8037</v>
      </c>
      <c r="AA707" s="320">
        <f>IFERROR(__xludf.DUMMYFUNCTION("""COMPUTED_VALUE"""),55.8209)</f>
        <v>55.8209</v>
      </c>
      <c r="AB707" s="320">
        <f>IFERROR(__xludf.DUMMYFUNCTION("""COMPUTED_VALUE"""),0.672)</f>
        <v>0.672</v>
      </c>
      <c r="AC707" s="320">
        <f>IFERROR(__xludf.DUMMYFUNCTION("""COMPUTED_VALUE"""),20.61)</f>
        <v>20.61</v>
      </c>
      <c r="AD707" s="320">
        <f>IFERROR(__xludf.DUMMYFUNCTION("""COMPUTED_VALUE"""),9.0)</f>
        <v>9</v>
      </c>
      <c r="AE707" s="320">
        <f>IFERROR(__xludf.DUMMYFUNCTION("""COMPUTED_VALUE"""),17.0)</f>
        <v>17</v>
      </c>
      <c r="AF707" s="320">
        <f>IFERROR(__xludf.DUMMYFUNCTION("""COMPUTED_VALUE"""),29.0)</f>
        <v>29</v>
      </c>
      <c r="AG707" s="320">
        <f>IFERROR(__xludf.DUMMYFUNCTION("""COMPUTED_VALUE"""),40.0)</f>
        <v>40</v>
      </c>
      <c r="AH707" s="320">
        <f>IFERROR(__xludf.DUMMYFUNCTION("""COMPUTED_VALUE"""),67.93)</f>
        <v>67.93</v>
      </c>
      <c r="AI707" s="320">
        <f>IFERROR(__xludf.DUMMYFUNCTION("""COMPUTED_VALUE"""),30.76)</f>
        <v>30.76</v>
      </c>
      <c r="AJ707" s="320">
        <f>IFERROR(__xludf.DUMMYFUNCTION("""COMPUTED_VALUE"""),8.4)</f>
        <v>8.4</v>
      </c>
      <c r="AK707" s="320">
        <f>IFERROR(__xludf.DUMMYFUNCTION("""COMPUTED_VALUE"""),0.1662)</f>
        <v>0.1662</v>
      </c>
      <c r="AL707" s="320">
        <f>IFERROR(__xludf.DUMMYFUNCTION("""COMPUTED_VALUE"""),19.96)</f>
        <v>19.96</v>
      </c>
      <c r="AM707" s="320">
        <f>IFERROR(__xludf.DUMMYFUNCTION("""COMPUTED_VALUE"""),173.78)</f>
        <v>173.78</v>
      </c>
      <c r="AN707" s="320">
        <f>IFERROR(__xludf.DUMMYFUNCTION("""COMPUTED_VALUE"""),71.49)</f>
        <v>71.49</v>
      </c>
      <c r="AO707" s="320">
        <f>IFERROR(__xludf.DUMMYFUNCTION("""COMPUTED_VALUE"""),14.27)</f>
        <v>14.27</v>
      </c>
    </row>
    <row r="708" ht="15.0" customHeight="1">
      <c r="A708" s="328">
        <f>IFERROR(__xludf.DUMMYFUNCTION("""COMPUTED_VALUE"""),46167.0)</f>
        <v>46167</v>
      </c>
      <c r="B708" s="319" t="str">
        <f>IFERROR(__xludf.DUMMYFUNCTION("""COMPUTED_VALUE"""),"E. 40-99")</f>
        <v>E. 40-99</v>
      </c>
      <c r="C708" s="320">
        <f>IFERROR(__xludf.DUMMYFUNCTION("""COMPUTED_VALUE"""),5898.0)</f>
        <v>5898</v>
      </c>
      <c r="D708" s="320">
        <f>IFERROR(__xludf.DUMMYFUNCTION("""COMPUTED_VALUE"""),5.78)</f>
        <v>5.78</v>
      </c>
      <c r="E708" s="320">
        <f>IFERROR(__xludf.DUMMYFUNCTION("""COMPUTED_VALUE"""),0.0)</f>
        <v>0</v>
      </c>
      <c r="F708" s="320">
        <f>IFERROR(__xludf.DUMMYFUNCTION("""COMPUTED_VALUE"""),0.0)</f>
        <v>0</v>
      </c>
      <c r="G708" s="320">
        <f>IFERROR(__xludf.DUMMYFUNCTION("""COMPUTED_VALUE"""),0.0)</f>
        <v>0</v>
      </c>
      <c r="H708" s="106"/>
      <c r="I708" s="320">
        <f>IFERROR(__xludf.DUMMYFUNCTION("""COMPUTED_VALUE"""),144.45)</f>
        <v>144.45</v>
      </c>
      <c r="J708" s="320">
        <f>IFERROR(__xludf.DUMMYFUNCTION("""COMPUTED_VALUE"""),78.92)</f>
        <v>78.92</v>
      </c>
      <c r="K708" s="320">
        <f>IFERROR(__xludf.DUMMYFUNCTION("""COMPUTED_VALUE"""),65.37)</f>
        <v>65.37</v>
      </c>
      <c r="L708" s="320">
        <f>IFERROR(__xludf.DUMMYFUNCTION("""COMPUTED_VALUE"""),0.8283)</f>
        <v>0.8283</v>
      </c>
      <c r="M708" s="320">
        <f>IFERROR(__xludf.DUMMYFUNCTION("""COMPUTED_VALUE"""),0.3554)</f>
        <v>0.3554</v>
      </c>
      <c r="N708" s="320">
        <f>IFERROR(__xludf.DUMMYFUNCTION("""COMPUTED_VALUE"""),0.2715)</f>
        <v>0.2715</v>
      </c>
      <c r="O708" s="320">
        <f>IFERROR(__xludf.DUMMYFUNCTION("""COMPUTED_VALUE"""),1.2072)</f>
        <v>1.2072</v>
      </c>
      <c r="P708" s="320">
        <f>IFERROR(__xludf.DUMMYFUNCTION("""COMPUTED_VALUE"""),443.9)</f>
        <v>443.9</v>
      </c>
      <c r="Q708" s="320">
        <f>IFERROR(__xludf.DUMMYFUNCTION("""COMPUTED_VALUE"""),345.0)</f>
        <v>345</v>
      </c>
      <c r="R708" s="320">
        <f>IFERROR(__xludf.DUMMYFUNCTION("""COMPUTED_VALUE"""),98.9)</f>
        <v>98.9</v>
      </c>
      <c r="S708" s="320">
        <f>IFERROR(__xludf.DUMMYFUNCTION("""COMPUTED_VALUE"""),0.0)</f>
        <v>0</v>
      </c>
      <c r="T708" s="320">
        <f>IFERROR(__xludf.DUMMYFUNCTION("""COMPUTED_VALUE"""),443.9)</f>
        <v>443.9</v>
      </c>
      <c r="U708" s="320">
        <f>IFERROR(__xludf.DUMMYFUNCTION("""COMPUTED_VALUE"""),377.41)</f>
        <v>377.41</v>
      </c>
      <c r="V708" s="320">
        <f>IFERROR(__xludf.DUMMYFUNCTION("""COMPUTED_VALUE"""),4.7824)</f>
        <v>4.7824</v>
      </c>
      <c r="W708" s="320">
        <f>IFERROR(__xludf.DUMMYFUNCTION("""COMPUTED_VALUE"""),0.0)</f>
        <v>0</v>
      </c>
      <c r="X708" s="320">
        <f>IFERROR(__xludf.DUMMYFUNCTION("""COMPUTED_VALUE"""),462.0)</f>
        <v>462</v>
      </c>
      <c r="Y708" s="320">
        <f>IFERROR(__xludf.DUMMYFUNCTION("""COMPUTED_VALUE"""),3222.0)</f>
        <v>3222</v>
      </c>
      <c r="Z708" s="320">
        <f>IFERROR(__xludf.DUMMYFUNCTION("""COMPUTED_VALUE"""),13309.0)</f>
        <v>13309</v>
      </c>
      <c r="AA708" s="320">
        <f>IFERROR(__xludf.DUMMYFUNCTION("""COMPUTED_VALUE"""),59.8564)</f>
        <v>59.8564</v>
      </c>
      <c r="AB708" s="320">
        <f>IFERROR(__xludf.DUMMYFUNCTION("""COMPUTED_VALUE"""),0.7582)</f>
        <v>0.7582</v>
      </c>
      <c r="AC708" s="320">
        <f>IFERROR(__xludf.DUMMYFUNCTION("""COMPUTED_VALUE"""),41.92)</f>
        <v>41.92</v>
      </c>
      <c r="AD708" s="320">
        <f>IFERROR(__xludf.DUMMYFUNCTION("""COMPUTED_VALUE"""),19.0)</f>
        <v>19</v>
      </c>
      <c r="AE708" s="320">
        <f>IFERROR(__xludf.DUMMYFUNCTION("""COMPUTED_VALUE"""),36.0)</f>
        <v>36</v>
      </c>
      <c r="AF708" s="320">
        <f>IFERROR(__xludf.DUMMYFUNCTION("""COMPUTED_VALUE"""),56.0)</f>
        <v>56</v>
      </c>
      <c r="AG708" s="320">
        <f>IFERROR(__xludf.DUMMYFUNCTION("""COMPUTED_VALUE"""),86.0)</f>
        <v>86</v>
      </c>
      <c r="AH708" s="320">
        <f>IFERROR(__xludf.DUMMYFUNCTION("""COMPUTED_VALUE"""),60.7)</f>
        <v>60.7</v>
      </c>
      <c r="AI708" s="320">
        <f>IFERROR(__xludf.DUMMYFUNCTION("""COMPUTED_VALUE"""),22.86)</f>
        <v>22.86</v>
      </c>
      <c r="AJ708" s="320">
        <f>IFERROR(__xludf.DUMMYFUNCTION("""COMPUTED_VALUE"""),6.27)</f>
        <v>6.27</v>
      </c>
      <c r="AK708" s="320">
        <f>IFERROR(__xludf.DUMMYFUNCTION("""COMPUTED_VALUE"""),0.1241)</f>
        <v>0.1241</v>
      </c>
      <c r="AL708" s="320">
        <f>IFERROR(__xludf.DUMMYFUNCTION("""COMPUTED_VALUE"""),20.67)</f>
        <v>20.67</v>
      </c>
      <c r="AM708" s="320">
        <f>IFERROR(__xludf.DUMMYFUNCTION("""COMPUTED_VALUE"""),324.33)</f>
        <v>324.33</v>
      </c>
      <c r="AN708" s="320">
        <f>IFERROR(__xludf.DUMMYFUNCTION("""COMPUTED_VALUE"""),74.98)</f>
        <v>74.98</v>
      </c>
      <c r="AO708" s="320">
        <f>IFERROR(__xludf.DUMMYFUNCTION("""COMPUTED_VALUE"""),15.5)</f>
        <v>15.5</v>
      </c>
    </row>
    <row r="709" ht="15.0" customHeight="1">
      <c r="A709" s="328">
        <f>IFERROR(__xludf.DUMMYFUNCTION("""COMPUTED_VALUE"""),46167.0)</f>
        <v>46167</v>
      </c>
      <c r="B709" s="319" t="str">
        <f>IFERROR(__xludf.DUMMYFUNCTION("""COMPUTED_VALUE"""),"F. 100+")</f>
        <v>F. 100+</v>
      </c>
      <c r="C709" s="320">
        <f>IFERROR(__xludf.DUMMYFUNCTION("""COMPUTED_VALUE"""),609.0)</f>
        <v>609</v>
      </c>
      <c r="D709" s="320">
        <f>IFERROR(__xludf.DUMMYFUNCTION("""COMPUTED_VALUE"""),0.6)</f>
        <v>0.6</v>
      </c>
      <c r="E709" s="320">
        <f>IFERROR(__xludf.DUMMYFUNCTION("""COMPUTED_VALUE"""),0.0)</f>
        <v>0</v>
      </c>
      <c r="F709" s="320">
        <f>IFERROR(__xludf.DUMMYFUNCTION("""COMPUTED_VALUE"""),0.0)</f>
        <v>0</v>
      </c>
      <c r="G709" s="320">
        <f>IFERROR(__xludf.DUMMYFUNCTION("""COMPUTED_VALUE"""),0.0)</f>
        <v>0</v>
      </c>
      <c r="H709" s="106"/>
      <c r="I709" s="320">
        <f>IFERROR(__xludf.DUMMYFUNCTION("""COMPUTED_VALUE"""),262.12)</f>
        <v>262.12</v>
      </c>
      <c r="J709" s="320">
        <f>IFERROR(__xludf.DUMMYFUNCTION("""COMPUTED_VALUE"""),151.5)</f>
        <v>151.5</v>
      </c>
      <c r="K709" s="320">
        <f>IFERROR(__xludf.DUMMYFUNCTION("""COMPUTED_VALUE"""),139.1)</f>
        <v>139.1</v>
      </c>
      <c r="L709" s="320">
        <f>IFERROR(__xludf.DUMMYFUNCTION("""COMPUTED_VALUE"""),0.9181)</f>
        <v>0.9181</v>
      </c>
      <c r="M709" s="320">
        <f>IFERROR(__xludf.DUMMYFUNCTION("""COMPUTED_VALUE"""),0.2436)</f>
        <v>0.2436</v>
      </c>
      <c r="N709" s="320">
        <f>IFERROR(__xludf.DUMMYFUNCTION("""COMPUTED_VALUE"""),0.1979)</f>
        <v>0.1979</v>
      </c>
      <c r="O709" s="320">
        <f>IFERROR(__xludf.DUMMYFUNCTION("""COMPUTED_VALUE"""),1.0892)</f>
        <v>1.0892</v>
      </c>
      <c r="P709" s="320">
        <f>IFERROR(__xludf.DUMMYFUNCTION("""COMPUTED_VALUE"""),854.18)</f>
        <v>854.18</v>
      </c>
      <c r="Q709" s="320">
        <f>IFERROR(__xludf.DUMMYFUNCTION("""COMPUTED_VALUE"""),610.86)</f>
        <v>610.86</v>
      </c>
      <c r="R709" s="320">
        <f>IFERROR(__xludf.DUMMYFUNCTION("""COMPUTED_VALUE"""),243.32)</f>
        <v>243.32</v>
      </c>
      <c r="S709" s="320">
        <f>IFERROR(__xludf.DUMMYFUNCTION("""COMPUTED_VALUE"""),0.0)</f>
        <v>0</v>
      </c>
      <c r="T709" s="320">
        <f>IFERROR(__xludf.DUMMYFUNCTION("""COMPUTED_VALUE"""),854.18)</f>
        <v>854.18</v>
      </c>
      <c r="U709" s="320">
        <f>IFERROR(__xludf.DUMMYFUNCTION("""COMPUTED_VALUE"""),750.99)</f>
        <v>750.99</v>
      </c>
      <c r="V709" s="320">
        <f>IFERROR(__xludf.DUMMYFUNCTION("""COMPUTED_VALUE"""),4.957)</f>
        <v>4.957</v>
      </c>
      <c r="W709" s="320">
        <f>IFERROR(__xludf.DUMMYFUNCTION("""COMPUTED_VALUE"""),0.0)</f>
        <v>0</v>
      </c>
      <c r="X709" s="320">
        <f>IFERROR(__xludf.DUMMYFUNCTION("""COMPUTED_VALUE"""),1225.0)</f>
        <v>1225</v>
      </c>
      <c r="Y709" s="320">
        <f>IFERROR(__xludf.DUMMYFUNCTION("""COMPUTED_VALUE"""),4748.0)</f>
        <v>4748</v>
      </c>
      <c r="Z709" s="320">
        <f>IFERROR(__xludf.DUMMYFUNCTION("""COMPUTED_VALUE"""),14761.0)</f>
        <v>14761</v>
      </c>
      <c r="AA709" s="320">
        <f>IFERROR(__xludf.DUMMYFUNCTION("""COMPUTED_VALUE"""),64.1213)</f>
        <v>64.1213</v>
      </c>
      <c r="AB709" s="320">
        <f>IFERROR(__xludf.DUMMYFUNCTION("""COMPUTED_VALUE"""),0.9095)</f>
        <v>0.9095</v>
      </c>
      <c r="AC709" s="320">
        <f>IFERROR(__xludf.DUMMYFUNCTION("""COMPUTED_VALUE"""),107.47)</f>
        <v>107.47</v>
      </c>
      <c r="AD709" s="320">
        <f>IFERROR(__xludf.DUMMYFUNCTION("""COMPUTED_VALUE"""),51.0)</f>
        <v>51</v>
      </c>
      <c r="AE709" s="320">
        <f>IFERROR(__xludf.DUMMYFUNCTION("""COMPUTED_VALUE"""),95.0)</f>
        <v>95</v>
      </c>
      <c r="AF709" s="320">
        <f>IFERROR(__xludf.DUMMYFUNCTION("""COMPUTED_VALUE"""),145.0)</f>
        <v>145</v>
      </c>
      <c r="AG709" s="320">
        <f>IFERROR(__xludf.DUMMYFUNCTION("""COMPUTED_VALUE"""),212.0)</f>
        <v>212</v>
      </c>
      <c r="AH709" s="320">
        <f>IFERROR(__xludf.DUMMYFUNCTION("""COMPUTED_VALUE"""),60.43)</f>
        <v>60.43</v>
      </c>
      <c r="AI709" s="320">
        <f>IFERROR(__xludf.DUMMYFUNCTION("""COMPUTED_VALUE"""),17.08)</f>
        <v>17.08</v>
      </c>
      <c r="AJ709" s="320">
        <f>IFERROR(__xludf.DUMMYFUNCTION("""COMPUTED_VALUE"""),2.3)</f>
        <v>2.3</v>
      </c>
      <c r="AK709" s="320">
        <f>IFERROR(__xludf.DUMMYFUNCTION("""COMPUTED_VALUE"""),0.0805)</f>
        <v>0.0805</v>
      </c>
      <c r="AL709" s="320">
        <f>IFERROR(__xludf.DUMMYFUNCTION("""COMPUTED_VALUE"""),21.09)</f>
        <v>21.09</v>
      </c>
      <c r="AM709" s="320">
        <f>IFERROR(__xludf.DUMMYFUNCTION("""COMPUTED_VALUE"""),589.77)</f>
        <v>589.77</v>
      </c>
      <c r="AN709" s="320">
        <f>IFERROR(__xludf.DUMMYFUNCTION("""COMPUTED_VALUE"""),84.19)</f>
        <v>84.19</v>
      </c>
      <c r="AO709" s="320">
        <f>IFERROR(__xludf.DUMMYFUNCTION("""COMPUTED_VALUE"""),17.76)</f>
        <v>17.76</v>
      </c>
    </row>
    <row r="710" ht="15.0" customHeight="1">
      <c r="A710" s="328">
        <f>IFERROR(__xludf.DUMMYFUNCTION("""COMPUTED_VALUE"""),46168.0)</f>
        <v>46168</v>
      </c>
      <c r="B710" s="319" t="str">
        <f>IFERROR(__xludf.DUMMYFUNCTION("""COMPUTED_VALUE"""),"A. 0")</f>
        <v>A. 0</v>
      </c>
      <c r="C710" s="320">
        <f>IFERROR(__xludf.DUMMYFUNCTION("""COMPUTED_VALUE"""),18197.0)</f>
        <v>18197</v>
      </c>
      <c r="D710" s="320">
        <f>IFERROR(__xludf.DUMMYFUNCTION("""COMPUTED_VALUE"""),17.98)</f>
        <v>17.98</v>
      </c>
      <c r="E710" s="320">
        <f>IFERROR(__xludf.DUMMYFUNCTION("""COMPUTED_VALUE"""),0.0)</f>
        <v>0</v>
      </c>
      <c r="F710" s="320">
        <f>IFERROR(__xludf.DUMMYFUNCTION("""COMPUTED_VALUE"""),0.0)</f>
        <v>0</v>
      </c>
      <c r="G710" s="320">
        <f>IFERROR(__xludf.DUMMYFUNCTION("""COMPUTED_VALUE"""),0.0)</f>
        <v>0</v>
      </c>
      <c r="H710" s="106"/>
      <c r="I710" s="320">
        <f>IFERROR(__xludf.DUMMYFUNCTION("""COMPUTED_VALUE"""),6.4)</f>
        <v>6.4</v>
      </c>
      <c r="J710" s="320">
        <f>IFERROR(__xludf.DUMMYFUNCTION("""COMPUTED_VALUE"""),2.62)</f>
        <v>2.62</v>
      </c>
      <c r="K710" s="320">
        <f>IFERROR(__xludf.DUMMYFUNCTION("""COMPUTED_VALUE"""),0.13)</f>
        <v>0.13</v>
      </c>
      <c r="L710" s="320">
        <f>IFERROR(__xludf.DUMMYFUNCTION("""COMPUTED_VALUE"""),0.0491)</f>
        <v>0.0491</v>
      </c>
      <c r="M710" s="320">
        <f>IFERROR(__xludf.DUMMYFUNCTION("""COMPUTED_VALUE"""),0.9597)</f>
        <v>0.9597</v>
      </c>
      <c r="N710" s="320">
        <f>IFERROR(__xludf.DUMMYFUNCTION("""COMPUTED_VALUE"""),0.6254)</f>
        <v>0.6254</v>
      </c>
      <c r="O710" s="320">
        <f>IFERROR(__xludf.DUMMYFUNCTION("""COMPUTED_VALUE"""),20.3477)</f>
        <v>20.3477</v>
      </c>
      <c r="P710" s="320">
        <f>IFERROR(__xludf.DUMMYFUNCTION("""COMPUTED_VALUE"""),36.48)</f>
        <v>36.48</v>
      </c>
      <c r="Q710" s="320">
        <f>IFERROR(__xludf.DUMMYFUNCTION("""COMPUTED_VALUE"""),36.39)</f>
        <v>36.39</v>
      </c>
      <c r="R710" s="320">
        <f>IFERROR(__xludf.DUMMYFUNCTION("""COMPUTED_VALUE"""),0.09)</f>
        <v>0.09</v>
      </c>
      <c r="S710" s="320">
        <f>IFERROR(__xludf.DUMMYFUNCTION("""COMPUTED_VALUE"""),0.0)</f>
        <v>0</v>
      </c>
      <c r="T710" s="320">
        <f>IFERROR(__xludf.DUMMYFUNCTION("""COMPUTED_VALUE"""),36.48)</f>
        <v>36.48</v>
      </c>
      <c r="U710" s="320">
        <f>IFERROR(__xludf.DUMMYFUNCTION("""COMPUTED_VALUE"""),2.37)</f>
        <v>2.37</v>
      </c>
      <c r="V710" s="320">
        <f>IFERROR(__xludf.DUMMYFUNCTION("""COMPUTED_VALUE"""),0.9026)</f>
        <v>0.9026</v>
      </c>
      <c r="W710" s="320">
        <f>IFERROR(__xludf.DUMMYFUNCTION("""COMPUTED_VALUE"""),0.0)</f>
        <v>0</v>
      </c>
      <c r="X710" s="320">
        <f>IFERROR(__xludf.DUMMYFUNCTION("""COMPUTED_VALUE"""),314.0)</f>
        <v>314</v>
      </c>
      <c r="Y710" s="320">
        <f>IFERROR(__xludf.DUMMYFUNCTION("""COMPUTED_VALUE"""),3947.0)</f>
        <v>3947</v>
      </c>
      <c r="Z710" s="320">
        <f>IFERROR(__xludf.DUMMYFUNCTION("""COMPUTED_VALUE"""),15392.0)</f>
        <v>15392</v>
      </c>
      <c r="AA710" s="320">
        <f>IFERROR(__xludf.DUMMYFUNCTION("""COMPUTED_VALUE"""),48.7634)</f>
        <v>48.7634</v>
      </c>
      <c r="AB710" s="320">
        <f>IFERROR(__xludf.DUMMYFUNCTION("""COMPUTED_VALUE"""),0.5278)</f>
        <v>0.5278</v>
      </c>
      <c r="AC710" s="106"/>
      <c r="AD710" s="106"/>
      <c r="AE710" s="106"/>
      <c r="AF710" s="106"/>
      <c r="AG710" s="106"/>
      <c r="AH710" s="320">
        <f>IFERROR(__xludf.DUMMYFUNCTION("""COMPUTED_VALUE"""),0.0)</f>
        <v>0</v>
      </c>
      <c r="AI710" s="320">
        <f>IFERROR(__xludf.DUMMYFUNCTION("""COMPUTED_VALUE"""),0.0)</f>
        <v>0</v>
      </c>
      <c r="AJ710" s="320">
        <f>IFERROR(__xludf.DUMMYFUNCTION("""COMPUTED_VALUE"""),0.0)</f>
        <v>0</v>
      </c>
      <c r="AK710" s="320">
        <f>IFERROR(__xludf.DUMMYFUNCTION("""COMPUTED_VALUE"""),0.2845)</f>
        <v>0.2845</v>
      </c>
      <c r="AL710" s="320">
        <f>IFERROR(__xludf.DUMMYFUNCTION("""COMPUTED_VALUE"""),22.12)</f>
        <v>22.12</v>
      </c>
      <c r="AM710" s="320">
        <f>IFERROR(__xludf.DUMMYFUNCTION("""COMPUTED_VALUE"""),14.27)</f>
        <v>14.27</v>
      </c>
      <c r="AN710" s="331"/>
      <c r="AO710" s="331"/>
    </row>
    <row r="711" ht="15.0" customHeight="1">
      <c r="A711" s="328">
        <f>IFERROR(__xludf.DUMMYFUNCTION("""COMPUTED_VALUE"""),46168.0)</f>
        <v>46168</v>
      </c>
      <c r="B711" s="319" t="str">
        <f>IFERROR(__xludf.DUMMYFUNCTION("""COMPUTED_VALUE"""),"B. 1-9")</f>
        <v>B. 1-9</v>
      </c>
      <c r="C711" s="320">
        <f>IFERROR(__xludf.DUMMYFUNCTION("""COMPUTED_VALUE"""),35628.0)</f>
        <v>35628</v>
      </c>
      <c r="D711" s="320">
        <f>IFERROR(__xludf.DUMMYFUNCTION("""COMPUTED_VALUE"""),35.21)</f>
        <v>35.21</v>
      </c>
      <c r="E711" s="320">
        <f>IFERROR(__xludf.DUMMYFUNCTION("""COMPUTED_VALUE"""),0.0)</f>
        <v>0</v>
      </c>
      <c r="F711" s="320">
        <f>IFERROR(__xludf.DUMMYFUNCTION("""COMPUTED_VALUE"""),0.0)</f>
        <v>0</v>
      </c>
      <c r="G711" s="320">
        <f>IFERROR(__xludf.DUMMYFUNCTION("""COMPUTED_VALUE"""),0.0)</f>
        <v>0</v>
      </c>
      <c r="H711" s="106"/>
      <c r="I711" s="320">
        <f>IFERROR(__xludf.DUMMYFUNCTION("""COMPUTED_VALUE"""),31.12)</f>
        <v>31.12</v>
      </c>
      <c r="J711" s="320">
        <f>IFERROR(__xludf.DUMMYFUNCTION("""COMPUTED_VALUE"""),14.2)</f>
        <v>14.2</v>
      </c>
      <c r="K711" s="320">
        <f>IFERROR(__xludf.DUMMYFUNCTION("""COMPUTED_VALUE"""),6.02)</f>
        <v>6.02</v>
      </c>
      <c r="L711" s="320">
        <f>IFERROR(__xludf.DUMMYFUNCTION("""COMPUTED_VALUE"""),0.4241)</f>
        <v>0.4241</v>
      </c>
      <c r="M711" s="320">
        <f>IFERROR(__xludf.DUMMYFUNCTION("""COMPUTED_VALUE"""),0.745)</f>
        <v>0.745</v>
      </c>
      <c r="N711" s="320">
        <f>IFERROR(__xludf.DUMMYFUNCTION("""COMPUTED_VALUE"""),0.5331)</f>
        <v>0.5331</v>
      </c>
      <c r="O711" s="320">
        <f>IFERROR(__xludf.DUMMYFUNCTION("""COMPUTED_VALUE"""),2.3581)</f>
        <v>2.3581</v>
      </c>
      <c r="P711" s="320">
        <f>IFERROR(__xludf.DUMMYFUNCTION("""COMPUTED_VALUE"""),74.44)</f>
        <v>74.44</v>
      </c>
      <c r="Q711" s="320">
        <f>IFERROR(__xludf.DUMMYFUNCTION("""COMPUTED_VALUE"""),64.01)</f>
        <v>64.01</v>
      </c>
      <c r="R711" s="320">
        <f>IFERROR(__xludf.DUMMYFUNCTION("""COMPUTED_VALUE"""),10.44)</f>
        <v>10.44</v>
      </c>
      <c r="S711" s="320">
        <f>IFERROR(__xludf.DUMMYFUNCTION("""COMPUTED_VALUE"""),0.01)</f>
        <v>0.01</v>
      </c>
      <c r="T711" s="320">
        <f>IFERROR(__xludf.DUMMYFUNCTION("""COMPUTED_VALUE"""),74.43)</f>
        <v>74.43</v>
      </c>
      <c r="U711" s="320">
        <f>IFERROR(__xludf.DUMMYFUNCTION("""COMPUTED_VALUE"""),57.88)</f>
        <v>57.88</v>
      </c>
      <c r="V711" s="320">
        <f>IFERROR(__xludf.DUMMYFUNCTION("""COMPUTED_VALUE"""),4.0752)</f>
        <v>4.0752</v>
      </c>
      <c r="W711" s="320">
        <f>IFERROR(__xludf.DUMMYFUNCTION("""COMPUTED_VALUE"""),0.01)</f>
        <v>0.01</v>
      </c>
      <c r="X711" s="320">
        <f>IFERROR(__xludf.DUMMYFUNCTION("""COMPUTED_VALUE"""),155.0)</f>
        <v>155</v>
      </c>
      <c r="Y711" s="320">
        <f>IFERROR(__xludf.DUMMYFUNCTION("""COMPUTED_VALUE"""),922.0)</f>
        <v>922</v>
      </c>
      <c r="Z711" s="320">
        <f>IFERROR(__xludf.DUMMYFUNCTION("""COMPUTED_VALUE"""),6289.0)</f>
        <v>6289</v>
      </c>
      <c r="AA711" s="320">
        <f>IFERROR(__xludf.DUMMYFUNCTION("""COMPUTED_VALUE"""),48.2074)</f>
        <v>48.2074</v>
      </c>
      <c r="AB711" s="320">
        <f>IFERROR(__xludf.DUMMYFUNCTION("""COMPUTED_VALUE"""),0.5173)</f>
        <v>0.5173</v>
      </c>
      <c r="AC711" s="320">
        <f>IFERROR(__xludf.DUMMYFUNCTION("""COMPUTED_VALUE"""),4.39)</f>
        <v>4.39</v>
      </c>
      <c r="AD711" s="320">
        <f>IFERROR(__xludf.DUMMYFUNCTION("""COMPUTED_VALUE"""),2.0)</f>
        <v>2</v>
      </c>
      <c r="AE711" s="320">
        <f>IFERROR(__xludf.DUMMYFUNCTION("""COMPUTED_VALUE"""),3.0)</f>
        <v>3</v>
      </c>
      <c r="AF711" s="320">
        <f>IFERROR(__xludf.DUMMYFUNCTION("""COMPUTED_VALUE"""),6.0)</f>
        <v>6</v>
      </c>
      <c r="AG711" s="320">
        <f>IFERROR(__xludf.DUMMYFUNCTION("""COMPUTED_VALUE"""),10.0)</f>
        <v>10</v>
      </c>
      <c r="AH711" s="320">
        <f>IFERROR(__xludf.DUMMYFUNCTION("""COMPUTED_VALUE"""),75.39)</f>
        <v>75.39</v>
      </c>
      <c r="AI711" s="320">
        <f>IFERROR(__xludf.DUMMYFUNCTION("""COMPUTED_VALUE"""),34.15)</f>
        <v>34.15</v>
      </c>
      <c r="AJ711" s="320">
        <f>IFERROR(__xludf.DUMMYFUNCTION("""COMPUTED_VALUE"""),10.74)</f>
        <v>10.74</v>
      </c>
      <c r="AK711" s="320">
        <f>IFERROR(__xludf.DUMMYFUNCTION("""COMPUTED_VALUE"""),0.2389)</f>
        <v>0.2389</v>
      </c>
      <c r="AL711" s="320">
        <f>IFERROR(__xludf.DUMMYFUNCTION("""COMPUTED_VALUE"""),28.06)</f>
        <v>28.06</v>
      </c>
      <c r="AM711" s="320">
        <f>IFERROR(__xludf.DUMMYFUNCTION("""COMPUTED_VALUE"""),35.95)</f>
        <v>35.95</v>
      </c>
      <c r="AN711" s="320">
        <f>IFERROR(__xludf.DUMMYFUNCTION("""COMPUTED_VALUE"""),64.42)</f>
        <v>64.42</v>
      </c>
      <c r="AO711" s="320">
        <f>IFERROR(__xludf.DUMMYFUNCTION("""COMPUTED_VALUE"""),18.08)</f>
        <v>18.08</v>
      </c>
    </row>
    <row r="712" ht="15.0" customHeight="1">
      <c r="A712" s="328">
        <f>IFERROR(__xludf.DUMMYFUNCTION("""COMPUTED_VALUE"""),46168.0)</f>
        <v>46168</v>
      </c>
      <c r="B712" s="319" t="str">
        <f>IFERROR(__xludf.DUMMYFUNCTION("""COMPUTED_VALUE"""),"C. 10-19")</f>
        <v>C. 10-19</v>
      </c>
      <c r="C712" s="320">
        <f>IFERROR(__xludf.DUMMYFUNCTION("""COMPUTED_VALUE"""),26342.0)</f>
        <v>26342</v>
      </c>
      <c r="D712" s="320">
        <f>IFERROR(__xludf.DUMMYFUNCTION("""COMPUTED_VALUE"""),26.03)</f>
        <v>26.03</v>
      </c>
      <c r="E712" s="320">
        <f>IFERROR(__xludf.DUMMYFUNCTION("""COMPUTED_VALUE"""),0.0)</f>
        <v>0</v>
      </c>
      <c r="F712" s="320">
        <f>IFERROR(__xludf.DUMMYFUNCTION("""COMPUTED_VALUE"""),0.0)</f>
        <v>0</v>
      </c>
      <c r="G712" s="320">
        <f>IFERROR(__xludf.DUMMYFUNCTION("""COMPUTED_VALUE"""),0.0)</f>
        <v>0</v>
      </c>
      <c r="H712" s="106"/>
      <c r="I712" s="320">
        <f>IFERROR(__xludf.DUMMYFUNCTION("""COMPUTED_VALUE"""),60.15)</f>
        <v>60.15</v>
      </c>
      <c r="J712" s="320">
        <f>IFERROR(__xludf.DUMMYFUNCTION("""COMPUTED_VALUE"""),28.79)</f>
        <v>28.79</v>
      </c>
      <c r="K712" s="320">
        <f>IFERROR(__xludf.DUMMYFUNCTION("""COMPUTED_VALUE"""),16.51)</f>
        <v>16.51</v>
      </c>
      <c r="L712" s="320">
        <f>IFERROR(__xludf.DUMMYFUNCTION("""COMPUTED_VALUE"""),0.5734)</f>
        <v>0.5734</v>
      </c>
      <c r="M712" s="320">
        <f>IFERROR(__xludf.DUMMYFUNCTION("""COMPUTED_VALUE"""),0.6203)</f>
        <v>0.6203</v>
      </c>
      <c r="N712" s="320">
        <f>IFERROR(__xludf.DUMMYFUNCTION("""COMPUTED_VALUE"""),0.4192)</f>
        <v>0.4192</v>
      </c>
      <c r="O712" s="320">
        <f>IFERROR(__xludf.DUMMYFUNCTION("""COMPUTED_VALUE"""),1.744)</f>
        <v>1.744</v>
      </c>
      <c r="P712" s="320">
        <f>IFERROR(__xludf.DUMMYFUNCTION("""COMPUTED_VALUE"""),138.78)</f>
        <v>138.78</v>
      </c>
      <c r="Q712" s="320">
        <f>IFERROR(__xludf.DUMMYFUNCTION("""COMPUTED_VALUE"""),112.52)</f>
        <v>112.52</v>
      </c>
      <c r="R712" s="320">
        <f>IFERROR(__xludf.DUMMYFUNCTION("""COMPUTED_VALUE"""),26.26)</f>
        <v>26.26</v>
      </c>
      <c r="S712" s="320">
        <f>IFERROR(__xludf.DUMMYFUNCTION("""COMPUTED_VALUE"""),0.0)</f>
        <v>0</v>
      </c>
      <c r="T712" s="320">
        <f>IFERROR(__xludf.DUMMYFUNCTION("""COMPUTED_VALUE"""),138.78)</f>
        <v>138.78</v>
      </c>
      <c r="U712" s="320">
        <f>IFERROR(__xludf.DUMMYFUNCTION("""COMPUTED_VALUE"""),116.36)</f>
        <v>116.36</v>
      </c>
      <c r="V712" s="320">
        <f>IFERROR(__xludf.DUMMYFUNCTION("""COMPUTED_VALUE"""),4.0424)</f>
        <v>4.0424</v>
      </c>
      <c r="W712" s="320">
        <f>IFERROR(__xludf.DUMMYFUNCTION("""COMPUTED_VALUE"""),0.0)</f>
        <v>0</v>
      </c>
      <c r="X712" s="320">
        <f>IFERROR(__xludf.DUMMYFUNCTION("""COMPUTED_VALUE"""),155.0)</f>
        <v>155</v>
      </c>
      <c r="Y712" s="320">
        <f>IFERROR(__xludf.DUMMYFUNCTION("""COMPUTED_VALUE"""),877.0)</f>
        <v>877</v>
      </c>
      <c r="Z712" s="320">
        <f>IFERROR(__xludf.DUMMYFUNCTION("""COMPUTED_VALUE"""),6574.0)</f>
        <v>6574</v>
      </c>
      <c r="AA712" s="320">
        <f>IFERROR(__xludf.DUMMYFUNCTION("""COMPUTED_VALUE"""),52.2143)</f>
        <v>52.2143</v>
      </c>
      <c r="AB712" s="320">
        <f>IFERROR(__xludf.DUMMYFUNCTION("""COMPUTED_VALUE"""),0.5951)</f>
        <v>0.5951</v>
      </c>
      <c r="AC712" s="320">
        <f>IFERROR(__xludf.DUMMYFUNCTION("""COMPUTED_VALUE"""),10.71)</f>
        <v>10.71</v>
      </c>
      <c r="AD712" s="320">
        <f>IFERROR(__xludf.DUMMYFUNCTION("""COMPUTED_VALUE"""),4.0)</f>
        <v>4</v>
      </c>
      <c r="AE712" s="320">
        <f>IFERROR(__xludf.DUMMYFUNCTION("""COMPUTED_VALUE"""),9.0)</f>
        <v>9</v>
      </c>
      <c r="AF712" s="320">
        <f>IFERROR(__xludf.DUMMYFUNCTION("""COMPUTED_VALUE"""),15.0)</f>
        <v>15</v>
      </c>
      <c r="AG712" s="320">
        <f>IFERROR(__xludf.DUMMYFUNCTION("""COMPUTED_VALUE"""),22.0)</f>
        <v>22</v>
      </c>
      <c r="AH712" s="320">
        <f>IFERROR(__xludf.DUMMYFUNCTION("""COMPUTED_VALUE"""),66.06)</f>
        <v>66.06</v>
      </c>
      <c r="AI712" s="320">
        <f>IFERROR(__xludf.DUMMYFUNCTION("""COMPUTED_VALUE"""),32.34)</f>
        <v>32.34</v>
      </c>
      <c r="AJ712" s="320">
        <f>IFERROR(__xludf.DUMMYFUNCTION("""COMPUTED_VALUE"""),6.73)</f>
        <v>6.73</v>
      </c>
      <c r="AK712" s="320">
        <f>IFERROR(__xludf.DUMMYFUNCTION("""COMPUTED_VALUE"""),0.1763)</f>
        <v>0.1763</v>
      </c>
      <c r="AL712" s="320">
        <f>IFERROR(__xludf.DUMMYFUNCTION("""COMPUTED_VALUE"""),28.42)</f>
        <v>28.42</v>
      </c>
      <c r="AM712" s="320">
        <f>IFERROR(__xludf.DUMMYFUNCTION("""COMPUTED_VALUE"""),84.1)</f>
        <v>84.1</v>
      </c>
      <c r="AN712" s="320">
        <f>IFERROR(__xludf.DUMMYFUNCTION("""COMPUTED_VALUE"""),71.93)</f>
        <v>71.93</v>
      </c>
      <c r="AO712" s="320">
        <f>IFERROR(__xludf.DUMMYFUNCTION("""COMPUTED_VALUE"""),20.44)</f>
        <v>20.44</v>
      </c>
    </row>
    <row r="713" ht="15.0" customHeight="1">
      <c r="A713" s="328">
        <f>IFERROR(__xludf.DUMMYFUNCTION("""COMPUTED_VALUE"""),46168.0)</f>
        <v>46168</v>
      </c>
      <c r="B713" s="319" t="str">
        <f>IFERROR(__xludf.DUMMYFUNCTION("""COMPUTED_VALUE"""),"D. 20-39")</f>
        <v>D. 20-39</v>
      </c>
      <c r="C713" s="320">
        <f>IFERROR(__xludf.DUMMYFUNCTION("""COMPUTED_VALUE"""),14798.0)</f>
        <v>14798</v>
      </c>
      <c r="D713" s="320">
        <f>IFERROR(__xludf.DUMMYFUNCTION("""COMPUTED_VALUE"""),14.62)</f>
        <v>14.62</v>
      </c>
      <c r="E713" s="320">
        <f>IFERROR(__xludf.DUMMYFUNCTION("""COMPUTED_VALUE"""),0.0)</f>
        <v>0</v>
      </c>
      <c r="F713" s="320">
        <f>IFERROR(__xludf.DUMMYFUNCTION("""COMPUTED_VALUE"""),0.0)</f>
        <v>0</v>
      </c>
      <c r="G713" s="320">
        <f>IFERROR(__xludf.DUMMYFUNCTION("""COMPUTED_VALUE"""),0.0)</f>
        <v>0</v>
      </c>
      <c r="H713" s="106"/>
      <c r="I713" s="320">
        <f>IFERROR(__xludf.DUMMYFUNCTION("""COMPUTED_VALUE"""),88.36)</f>
        <v>88.36</v>
      </c>
      <c r="J713" s="320">
        <f>IFERROR(__xludf.DUMMYFUNCTION("""COMPUTED_VALUE"""),45.51)</f>
        <v>45.51</v>
      </c>
      <c r="K713" s="320">
        <f>IFERROR(__xludf.DUMMYFUNCTION("""COMPUTED_VALUE"""),32.31)</f>
        <v>32.31</v>
      </c>
      <c r="L713" s="320">
        <f>IFERROR(__xludf.DUMMYFUNCTION("""COMPUTED_VALUE"""),0.7101)</f>
        <v>0.7101</v>
      </c>
      <c r="M713" s="320">
        <f>IFERROR(__xludf.DUMMYFUNCTION("""COMPUTED_VALUE"""),0.4809)</f>
        <v>0.4809</v>
      </c>
      <c r="N713" s="320">
        <f>IFERROR(__xludf.DUMMYFUNCTION("""COMPUTED_VALUE"""),0.3252)</f>
        <v>0.3252</v>
      </c>
      <c r="O713" s="320">
        <f>IFERROR(__xludf.DUMMYFUNCTION("""COMPUTED_VALUE"""),1.4083)</f>
        <v>1.4083</v>
      </c>
      <c r="P713" s="320">
        <f>IFERROR(__xludf.DUMMYFUNCTION("""COMPUTED_VALUE"""),251.5)</f>
        <v>251.5</v>
      </c>
      <c r="Q713" s="320">
        <f>IFERROR(__xludf.DUMMYFUNCTION("""COMPUTED_VALUE"""),201.96)</f>
        <v>201.96</v>
      </c>
      <c r="R713" s="320">
        <f>IFERROR(__xludf.DUMMYFUNCTION("""COMPUTED_VALUE"""),49.54)</f>
        <v>49.54</v>
      </c>
      <c r="S713" s="320">
        <f>IFERROR(__xludf.DUMMYFUNCTION("""COMPUTED_VALUE"""),0.3)</f>
        <v>0.3</v>
      </c>
      <c r="T713" s="320">
        <f>IFERROR(__xludf.DUMMYFUNCTION("""COMPUTED_VALUE"""),251.2)</f>
        <v>251.2</v>
      </c>
      <c r="U713" s="320">
        <f>IFERROR(__xludf.DUMMYFUNCTION("""COMPUTED_VALUE"""),206.46)</f>
        <v>206.46</v>
      </c>
      <c r="V713" s="320">
        <f>IFERROR(__xludf.DUMMYFUNCTION("""COMPUTED_VALUE"""),4.5368)</f>
        <v>4.5368</v>
      </c>
      <c r="W713" s="320">
        <f>IFERROR(__xludf.DUMMYFUNCTION("""COMPUTED_VALUE"""),0.12)</f>
        <v>0.12</v>
      </c>
      <c r="X713" s="320">
        <f>IFERROR(__xludf.DUMMYFUNCTION("""COMPUTED_VALUE"""),225.0)</f>
        <v>225</v>
      </c>
      <c r="Y713" s="320">
        <f>IFERROR(__xludf.DUMMYFUNCTION("""COMPUTED_VALUE"""),1276.0)</f>
        <v>1276</v>
      </c>
      <c r="Z713" s="320">
        <f>IFERROR(__xludf.DUMMYFUNCTION("""COMPUTED_VALUE"""),7686.0)</f>
        <v>7686</v>
      </c>
      <c r="AA713" s="320">
        <f>IFERROR(__xludf.DUMMYFUNCTION("""COMPUTED_VALUE"""),55.8701)</f>
        <v>55.8701</v>
      </c>
      <c r="AB713" s="320">
        <f>IFERROR(__xludf.DUMMYFUNCTION("""COMPUTED_VALUE"""),0.6969)</f>
        <v>0.6969</v>
      </c>
      <c r="AC713" s="320">
        <f>IFERROR(__xludf.DUMMYFUNCTION("""COMPUTED_VALUE"""),19.93)</f>
        <v>19.93</v>
      </c>
      <c r="AD713" s="320">
        <f>IFERROR(__xludf.DUMMYFUNCTION("""COMPUTED_VALUE"""),9.0)</f>
        <v>9</v>
      </c>
      <c r="AE713" s="320">
        <f>IFERROR(__xludf.DUMMYFUNCTION("""COMPUTED_VALUE"""),16.0)</f>
        <v>16</v>
      </c>
      <c r="AF713" s="320">
        <f>IFERROR(__xludf.DUMMYFUNCTION("""COMPUTED_VALUE"""),28.0)</f>
        <v>28</v>
      </c>
      <c r="AG713" s="320">
        <f>IFERROR(__xludf.DUMMYFUNCTION("""COMPUTED_VALUE"""),40.0)</f>
        <v>40</v>
      </c>
      <c r="AH713" s="320">
        <f>IFERROR(__xludf.DUMMYFUNCTION("""COMPUTED_VALUE"""),67.05)</f>
        <v>67.05</v>
      </c>
      <c r="AI713" s="320">
        <f>IFERROR(__xludf.DUMMYFUNCTION("""COMPUTED_VALUE"""),28.63)</f>
        <v>28.63</v>
      </c>
      <c r="AJ713" s="320">
        <f>IFERROR(__xludf.DUMMYFUNCTION("""COMPUTED_VALUE"""),8.84)</f>
        <v>8.84</v>
      </c>
      <c r="AK713" s="320">
        <f>IFERROR(__xludf.DUMMYFUNCTION("""COMPUTED_VALUE"""),0.1684)</f>
        <v>0.1684</v>
      </c>
      <c r="AL713" s="320">
        <f>IFERROR(__xludf.DUMMYFUNCTION("""COMPUTED_VALUE"""),28.22)</f>
        <v>28.22</v>
      </c>
      <c r="AM713" s="320">
        <f>IFERROR(__xludf.DUMMYFUNCTION("""COMPUTED_VALUE"""),173.75)</f>
        <v>173.75</v>
      </c>
      <c r="AN713" s="320">
        <f>IFERROR(__xludf.DUMMYFUNCTION("""COMPUTED_VALUE"""),72.9)</f>
        <v>72.9</v>
      </c>
      <c r="AO713" s="320">
        <f>IFERROR(__xludf.DUMMYFUNCTION("""COMPUTED_VALUE"""),20.57)</f>
        <v>20.57</v>
      </c>
    </row>
    <row r="714" ht="15.0" customHeight="1">
      <c r="A714" s="328">
        <f>IFERROR(__xludf.DUMMYFUNCTION("""COMPUTED_VALUE"""),46168.0)</f>
        <v>46168</v>
      </c>
      <c r="B714" s="319" t="str">
        <f>IFERROR(__xludf.DUMMYFUNCTION("""COMPUTED_VALUE"""),"E. 40-99")</f>
        <v>E. 40-99</v>
      </c>
      <c r="C714" s="320">
        <f>IFERROR(__xludf.DUMMYFUNCTION("""COMPUTED_VALUE"""),5595.0)</f>
        <v>5595</v>
      </c>
      <c r="D714" s="320">
        <f>IFERROR(__xludf.DUMMYFUNCTION("""COMPUTED_VALUE"""),5.53)</f>
        <v>5.53</v>
      </c>
      <c r="E714" s="320">
        <f>IFERROR(__xludf.DUMMYFUNCTION("""COMPUTED_VALUE"""),0.0)</f>
        <v>0</v>
      </c>
      <c r="F714" s="320">
        <f>IFERROR(__xludf.DUMMYFUNCTION("""COMPUTED_VALUE"""),0.0)</f>
        <v>0</v>
      </c>
      <c r="G714" s="320">
        <f>IFERROR(__xludf.DUMMYFUNCTION("""COMPUTED_VALUE"""),0.0)</f>
        <v>0</v>
      </c>
      <c r="H714" s="106"/>
      <c r="I714" s="320">
        <f>IFERROR(__xludf.DUMMYFUNCTION("""COMPUTED_VALUE"""),132.57)</f>
        <v>132.57</v>
      </c>
      <c r="J714" s="320">
        <f>IFERROR(__xludf.DUMMYFUNCTION("""COMPUTED_VALUE"""),72.96)</f>
        <v>72.96</v>
      </c>
      <c r="K714" s="320">
        <f>IFERROR(__xludf.DUMMYFUNCTION("""COMPUTED_VALUE"""),60.09)</f>
        <v>60.09</v>
      </c>
      <c r="L714" s="320">
        <f>IFERROR(__xludf.DUMMYFUNCTION("""COMPUTED_VALUE"""),0.8235)</f>
        <v>0.8235</v>
      </c>
      <c r="M714" s="320">
        <f>IFERROR(__xludf.DUMMYFUNCTION("""COMPUTED_VALUE"""),0.3593)</f>
        <v>0.3593</v>
      </c>
      <c r="N714" s="320">
        <f>IFERROR(__xludf.DUMMYFUNCTION("""COMPUTED_VALUE"""),0.2605)</f>
        <v>0.2605</v>
      </c>
      <c r="O714" s="320">
        <f>IFERROR(__xludf.DUMMYFUNCTION("""COMPUTED_VALUE"""),1.2143)</f>
        <v>1.2143</v>
      </c>
      <c r="P714" s="320">
        <f>IFERROR(__xludf.DUMMYFUNCTION("""COMPUTED_VALUE"""),503.79)</f>
        <v>503.79</v>
      </c>
      <c r="Q714" s="320">
        <f>IFERROR(__xludf.DUMMYFUNCTION("""COMPUTED_VALUE"""),397.76)</f>
        <v>397.76</v>
      </c>
      <c r="R714" s="320">
        <f>IFERROR(__xludf.DUMMYFUNCTION("""COMPUTED_VALUE"""),106.03)</f>
        <v>106.03</v>
      </c>
      <c r="S714" s="320">
        <f>IFERROR(__xludf.DUMMYFUNCTION("""COMPUTED_VALUE"""),0.0)</f>
        <v>0</v>
      </c>
      <c r="T714" s="320">
        <f>IFERROR(__xludf.DUMMYFUNCTION("""COMPUTED_VALUE"""),503.79)</f>
        <v>503.79</v>
      </c>
      <c r="U714" s="320">
        <f>IFERROR(__xludf.DUMMYFUNCTION("""COMPUTED_VALUE"""),380.2)</f>
        <v>380.2</v>
      </c>
      <c r="V714" s="320">
        <f>IFERROR(__xludf.DUMMYFUNCTION("""COMPUTED_VALUE"""),5.2108)</f>
        <v>5.2108</v>
      </c>
      <c r="W714" s="320">
        <f>IFERROR(__xludf.DUMMYFUNCTION("""COMPUTED_VALUE"""),0.0)</f>
        <v>0</v>
      </c>
      <c r="X714" s="320">
        <f>IFERROR(__xludf.DUMMYFUNCTION("""COMPUTED_VALUE"""),511.0)</f>
        <v>511</v>
      </c>
      <c r="Y714" s="320">
        <f>IFERROR(__xludf.DUMMYFUNCTION("""COMPUTED_VALUE"""),2903.0)</f>
        <v>2903</v>
      </c>
      <c r="Z714" s="320">
        <f>IFERROR(__xludf.DUMMYFUNCTION("""COMPUTED_VALUE"""),10907.0)</f>
        <v>10907</v>
      </c>
      <c r="AA714" s="320">
        <f>IFERROR(__xludf.DUMMYFUNCTION("""COMPUTED_VALUE"""),60.5229)</f>
        <v>60.5229</v>
      </c>
      <c r="AB714" s="320">
        <f>IFERROR(__xludf.DUMMYFUNCTION("""COMPUTED_VALUE"""),0.8456)</f>
        <v>0.8456</v>
      </c>
      <c r="AC714" s="320">
        <f>IFERROR(__xludf.DUMMYFUNCTION("""COMPUTED_VALUE"""),43.71)</f>
        <v>43.71</v>
      </c>
      <c r="AD714" s="320">
        <f>IFERROR(__xludf.DUMMYFUNCTION("""COMPUTED_VALUE"""),19.0)</f>
        <v>19</v>
      </c>
      <c r="AE714" s="320">
        <f>IFERROR(__xludf.DUMMYFUNCTION("""COMPUTED_VALUE"""),37.0)</f>
        <v>37</v>
      </c>
      <c r="AF714" s="320">
        <f>IFERROR(__xludf.DUMMYFUNCTION("""COMPUTED_VALUE"""),59.0)</f>
        <v>59</v>
      </c>
      <c r="AG714" s="320">
        <f>IFERROR(__xludf.DUMMYFUNCTION("""COMPUTED_VALUE"""),86.0)</f>
        <v>86</v>
      </c>
      <c r="AH714" s="320">
        <f>IFERROR(__xludf.DUMMYFUNCTION("""COMPUTED_VALUE"""),62.5)</f>
        <v>62.5</v>
      </c>
      <c r="AI714" s="320">
        <f>IFERROR(__xludf.DUMMYFUNCTION("""COMPUTED_VALUE"""),25.04)</f>
        <v>25.04</v>
      </c>
      <c r="AJ714" s="320">
        <f>IFERROR(__xludf.DUMMYFUNCTION("""COMPUTED_VALUE"""),6.31)</f>
        <v>6.31</v>
      </c>
      <c r="AK714" s="320">
        <f>IFERROR(__xludf.DUMMYFUNCTION("""COMPUTED_VALUE"""),0.1353)</f>
        <v>0.1353</v>
      </c>
      <c r="AL714" s="320">
        <f>IFERROR(__xludf.DUMMYFUNCTION("""COMPUTED_VALUE"""),28.8)</f>
        <v>28.8</v>
      </c>
      <c r="AM714" s="320">
        <f>IFERROR(__xludf.DUMMYFUNCTION("""COMPUTED_VALUE"""),368.96)</f>
        <v>368.96</v>
      </c>
      <c r="AN714" s="320">
        <f>IFERROR(__xludf.DUMMYFUNCTION("""COMPUTED_VALUE"""),80.73)</f>
        <v>80.73</v>
      </c>
      <c r="AO714" s="320">
        <f>IFERROR(__xludf.DUMMYFUNCTION("""COMPUTED_VALUE"""),23.25)</f>
        <v>23.25</v>
      </c>
    </row>
    <row r="715" ht="15.0" customHeight="1">
      <c r="A715" s="328">
        <f>IFERROR(__xludf.DUMMYFUNCTION("""COMPUTED_VALUE"""),46168.0)</f>
        <v>46168</v>
      </c>
      <c r="B715" s="319" t="str">
        <f>IFERROR(__xludf.DUMMYFUNCTION("""COMPUTED_VALUE"""),"F. 100+")</f>
        <v>F. 100+</v>
      </c>
      <c r="C715" s="320">
        <f>IFERROR(__xludf.DUMMYFUNCTION("""COMPUTED_VALUE"""),640.0)</f>
        <v>640</v>
      </c>
      <c r="D715" s="320">
        <f>IFERROR(__xludf.DUMMYFUNCTION("""COMPUTED_VALUE"""),0.63)</f>
        <v>0.63</v>
      </c>
      <c r="E715" s="320">
        <f>IFERROR(__xludf.DUMMYFUNCTION("""COMPUTED_VALUE"""),0.0)</f>
        <v>0</v>
      </c>
      <c r="F715" s="320">
        <f>IFERROR(__xludf.DUMMYFUNCTION("""COMPUTED_VALUE"""),0.0)</f>
        <v>0</v>
      </c>
      <c r="G715" s="320">
        <f>IFERROR(__xludf.DUMMYFUNCTION("""COMPUTED_VALUE"""),0.0)</f>
        <v>0</v>
      </c>
      <c r="H715" s="106"/>
      <c r="I715" s="320">
        <f>IFERROR(__xludf.DUMMYFUNCTION("""COMPUTED_VALUE"""),243.24)</f>
        <v>243.24</v>
      </c>
      <c r="J715" s="320">
        <f>IFERROR(__xludf.DUMMYFUNCTION("""COMPUTED_VALUE"""),142.68)</f>
        <v>142.68</v>
      </c>
      <c r="K715" s="320">
        <f>IFERROR(__xludf.DUMMYFUNCTION("""COMPUTED_VALUE"""),129.95)</f>
        <v>129.95</v>
      </c>
      <c r="L715" s="320">
        <f>IFERROR(__xludf.DUMMYFUNCTION("""COMPUTED_VALUE"""),0.9108)</f>
        <v>0.9108</v>
      </c>
      <c r="M715" s="320">
        <f>IFERROR(__xludf.DUMMYFUNCTION("""COMPUTED_VALUE"""),0.2488)</f>
        <v>0.2488</v>
      </c>
      <c r="N715" s="320">
        <f>IFERROR(__xludf.DUMMYFUNCTION("""COMPUTED_VALUE"""),0.1984)</f>
        <v>0.1984</v>
      </c>
      <c r="O715" s="320">
        <f>IFERROR(__xludf.DUMMYFUNCTION("""COMPUTED_VALUE"""),1.0979)</f>
        <v>1.0979</v>
      </c>
      <c r="P715" s="320">
        <f>IFERROR(__xludf.DUMMYFUNCTION("""COMPUTED_VALUE"""),1055.09)</f>
        <v>1055.09</v>
      </c>
      <c r="Q715" s="320">
        <f>IFERROR(__xludf.DUMMYFUNCTION("""COMPUTED_VALUE"""),819.7)</f>
        <v>819.7</v>
      </c>
      <c r="R715" s="320">
        <f>IFERROR(__xludf.DUMMYFUNCTION("""COMPUTED_VALUE"""),235.39)</f>
        <v>235.39</v>
      </c>
      <c r="S715" s="320">
        <f>IFERROR(__xludf.DUMMYFUNCTION("""COMPUTED_VALUE"""),0.0)</f>
        <v>0</v>
      </c>
      <c r="T715" s="320">
        <f>IFERROR(__xludf.DUMMYFUNCTION("""COMPUTED_VALUE"""),1055.09)</f>
        <v>1055.09</v>
      </c>
      <c r="U715" s="320">
        <f>IFERROR(__xludf.DUMMYFUNCTION("""COMPUTED_VALUE"""),807.58)</f>
        <v>807.58</v>
      </c>
      <c r="V715" s="320">
        <f>IFERROR(__xludf.DUMMYFUNCTION("""COMPUTED_VALUE"""),5.6603)</f>
        <v>5.6603</v>
      </c>
      <c r="W715" s="320">
        <f>IFERROR(__xludf.DUMMYFUNCTION("""COMPUTED_VALUE"""),0.0)</f>
        <v>0</v>
      </c>
      <c r="X715" s="320">
        <f>IFERROR(__xludf.DUMMYFUNCTION("""COMPUTED_VALUE"""),1336.0)</f>
        <v>1336</v>
      </c>
      <c r="Y715" s="320">
        <f>IFERROR(__xludf.DUMMYFUNCTION("""COMPUTED_VALUE"""),4647.0)</f>
        <v>4647</v>
      </c>
      <c r="Z715" s="320">
        <f>IFERROR(__xludf.DUMMYFUNCTION("""COMPUTED_VALUE"""),12356.0)</f>
        <v>12356</v>
      </c>
      <c r="AA715" s="320">
        <f>IFERROR(__xludf.DUMMYFUNCTION("""COMPUTED_VALUE"""),64.1626)</f>
        <v>64.1626</v>
      </c>
      <c r="AB715" s="320">
        <f>IFERROR(__xludf.DUMMYFUNCTION("""COMPUTED_VALUE"""),0.9223)</f>
        <v>0.9223</v>
      </c>
      <c r="AC715" s="320">
        <f>IFERROR(__xludf.DUMMYFUNCTION("""COMPUTED_VALUE"""),100.25)</f>
        <v>100.25</v>
      </c>
      <c r="AD715" s="320">
        <f>IFERROR(__xludf.DUMMYFUNCTION("""COMPUTED_VALUE"""),49.0)</f>
        <v>49</v>
      </c>
      <c r="AE715" s="320">
        <f>IFERROR(__xludf.DUMMYFUNCTION("""COMPUTED_VALUE"""),92.0)</f>
        <v>92</v>
      </c>
      <c r="AF715" s="320">
        <f>IFERROR(__xludf.DUMMYFUNCTION("""COMPUTED_VALUE"""),136.0)</f>
        <v>136</v>
      </c>
      <c r="AG715" s="320">
        <f>IFERROR(__xludf.DUMMYFUNCTION("""COMPUTED_VALUE"""),185.0)</f>
        <v>185</v>
      </c>
      <c r="AH715" s="320">
        <f>IFERROR(__xludf.DUMMYFUNCTION("""COMPUTED_VALUE"""),57.5)</f>
        <v>57.5</v>
      </c>
      <c r="AI715" s="320">
        <f>IFERROR(__xludf.DUMMYFUNCTION("""COMPUTED_VALUE"""),11.72)</f>
        <v>11.72</v>
      </c>
      <c r="AJ715" s="320">
        <f>IFERROR(__xludf.DUMMYFUNCTION("""COMPUTED_VALUE"""),1.56)</f>
        <v>1.56</v>
      </c>
      <c r="AK715" s="320">
        <f>IFERROR(__xludf.DUMMYFUNCTION("""COMPUTED_VALUE"""),0.1)</f>
        <v>0.1</v>
      </c>
      <c r="AL715" s="320">
        <f>IFERROR(__xludf.DUMMYFUNCTION("""COMPUTED_VALUE"""),26.77)</f>
        <v>26.77</v>
      </c>
      <c r="AM715" s="320">
        <f>IFERROR(__xludf.DUMMYFUNCTION("""COMPUTED_VALUE"""),792.93)</f>
        <v>792.93</v>
      </c>
      <c r="AN715" s="320">
        <f>IFERROR(__xludf.DUMMYFUNCTION("""COMPUTED_VALUE"""),83.79)</f>
        <v>83.79</v>
      </c>
      <c r="AO715" s="320">
        <f>IFERROR(__xludf.DUMMYFUNCTION("""COMPUTED_VALUE"""),22.43)</f>
        <v>22.43</v>
      </c>
    </row>
    <row r="716" ht="15.0" customHeight="1">
      <c r="A716" s="328">
        <f>IFERROR(__xludf.DUMMYFUNCTION("""COMPUTED_VALUE"""),46169.0)</f>
        <v>46169</v>
      </c>
      <c r="B716" s="319" t="str">
        <f>IFERROR(__xludf.DUMMYFUNCTION("""COMPUTED_VALUE"""),"A. 0")</f>
        <v>A. 0</v>
      </c>
      <c r="C716" s="320">
        <f>IFERROR(__xludf.DUMMYFUNCTION("""COMPUTED_VALUE"""),18638.0)</f>
        <v>18638</v>
      </c>
      <c r="D716" s="320">
        <f>IFERROR(__xludf.DUMMYFUNCTION("""COMPUTED_VALUE"""),18.78)</f>
        <v>18.78</v>
      </c>
      <c r="E716" s="320">
        <f>IFERROR(__xludf.DUMMYFUNCTION("""COMPUTED_VALUE"""),0.0)</f>
        <v>0</v>
      </c>
      <c r="F716" s="320">
        <f>IFERROR(__xludf.DUMMYFUNCTION("""COMPUTED_VALUE"""),0.0)</f>
        <v>0</v>
      </c>
      <c r="G716" s="320">
        <f>IFERROR(__xludf.DUMMYFUNCTION("""COMPUTED_VALUE"""),0.0)</f>
        <v>0</v>
      </c>
      <c r="H716" s="106"/>
      <c r="I716" s="320">
        <f>IFERROR(__xludf.DUMMYFUNCTION("""COMPUTED_VALUE"""),6.73)</f>
        <v>6.73</v>
      </c>
      <c r="J716" s="320">
        <f>IFERROR(__xludf.DUMMYFUNCTION("""COMPUTED_VALUE"""),2.83)</f>
        <v>2.83</v>
      </c>
      <c r="K716" s="320">
        <f>IFERROR(__xludf.DUMMYFUNCTION("""COMPUTED_VALUE"""),0.05)</f>
        <v>0.05</v>
      </c>
      <c r="L716" s="320">
        <f>IFERROR(__xludf.DUMMYFUNCTION("""COMPUTED_VALUE"""),0.0175)</f>
        <v>0.0175</v>
      </c>
      <c r="M716" s="320">
        <f>IFERROR(__xludf.DUMMYFUNCTION("""COMPUTED_VALUE"""),0.9863)</f>
        <v>0.9863</v>
      </c>
      <c r="N716" s="320">
        <f>IFERROR(__xludf.DUMMYFUNCTION("""COMPUTED_VALUE"""),0.8096)</f>
        <v>0.8096</v>
      </c>
      <c r="O716" s="320">
        <f>IFERROR(__xludf.DUMMYFUNCTION("""COMPUTED_VALUE"""),57.2405)</f>
        <v>57.2405</v>
      </c>
      <c r="P716" s="320">
        <f>IFERROR(__xludf.DUMMYFUNCTION("""COMPUTED_VALUE"""),25.42)</f>
        <v>25.42</v>
      </c>
      <c r="Q716" s="320">
        <f>IFERROR(__xludf.DUMMYFUNCTION("""COMPUTED_VALUE"""),25.31)</f>
        <v>25.31</v>
      </c>
      <c r="R716" s="320">
        <f>IFERROR(__xludf.DUMMYFUNCTION("""COMPUTED_VALUE"""),0.12)</f>
        <v>0.12</v>
      </c>
      <c r="S716" s="320">
        <f>IFERROR(__xludf.DUMMYFUNCTION("""COMPUTED_VALUE"""),0.0)</f>
        <v>0</v>
      </c>
      <c r="T716" s="320">
        <f>IFERROR(__xludf.DUMMYFUNCTION("""COMPUTED_VALUE"""),25.42)</f>
        <v>25.42</v>
      </c>
      <c r="U716" s="320">
        <f>IFERROR(__xludf.DUMMYFUNCTION("""COMPUTED_VALUE"""),1.96)</f>
        <v>1.96</v>
      </c>
      <c r="V716" s="320">
        <f>IFERROR(__xludf.DUMMYFUNCTION("""COMPUTED_VALUE"""),0.6899)</f>
        <v>0.6899</v>
      </c>
      <c r="W716" s="320">
        <f>IFERROR(__xludf.DUMMYFUNCTION("""COMPUTED_VALUE"""),0.0)</f>
        <v>0</v>
      </c>
      <c r="X716" s="320">
        <f>IFERROR(__xludf.DUMMYFUNCTION("""COMPUTED_VALUE"""),292.0)</f>
        <v>292</v>
      </c>
      <c r="Y716" s="320">
        <f>IFERROR(__xludf.DUMMYFUNCTION("""COMPUTED_VALUE"""),3896.0)</f>
        <v>3896</v>
      </c>
      <c r="Z716" s="320">
        <f>IFERROR(__xludf.DUMMYFUNCTION("""COMPUTED_VALUE"""),15412.0)</f>
        <v>15412</v>
      </c>
      <c r="AA716" s="320">
        <f>IFERROR(__xludf.DUMMYFUNCTION("""COMPUTED_VALUE"""),48.8229)</f>
        <v>48.8229</v>
      </c>
      <c r="AB716" s="320">
        <f>IFERROR(__xludf.DUMMYFUNCTION("""COMPUTED_VALUE"""),0.5303)</f>
        <v>0.5303</v>
      </c>
      <c r="AC716" s="106"/>
      <c r="AD716" s="106"/>
      <c r="AE716" s="106"/>
      <c r="AF716" s="106"/>
      <c r="AG716" s="106"/>
      <c r="AH716" s="320">
        <f>IFERROR(__xludf.DUMMYFUNCTION("""COMPUTED_VALUE"""),0.0)</f>
        <v>0</v>
      </c>
      <c r="AI716" s="320">
        <f>IFERROR(__xludf.DUMMYFUNCTION("""COMPUTED_VALUE"""),0.0)</f>
        <v>0</v>
      </c>
      <c r="AJ716" s="320">
        <f>IFERROR(__xludf.DUMMYFUNCTION("""COMPUTED_VALUE"""),0.0)</f>
        <v>0</v>
      </c>
      <c r="AK716" s="106"/>
      <c r="AL716" s="320">
        <f>IFERROR(__xludf.DUMMYFUNCTION("""COMPUTED_VALUE"""),18.23)</f>
        <v>18.23</v>
      </c>
      <c r="AM716" s="320">
        <f>IFERROR(__xludf.DUMMYFUNCTION("""COMPUTED_VALUE"""),7.07)</f>
        <v>7.07</v>
      </c>
      <c r="AN716" s="106"/>
      <c r="AO716" s="106"/>
    </row>
    <row r="717" ht="15.0" customHeight="1">
      <c r="A717" s="328">
        <f>IFERROR(__xludf.DUMMYFUNCTION("""COMPUTED_VALUE"""),46169.0)</f>
        <v>46169</v>
      </c>
      <c r="B717" s="319" t="str">
        <f>IFERROR(__xludf.DUMMYFUNCTION("""COMPUTED_VALUE"""),"B. 1-9")</f>
        <v>B. 1-9</v>
      </c>
      <c r="C717" s="320">
        <f>IFERROR(__xludf.DUMMYFUNCTION("""COMPUTED_VALUE"""),34783.0)</f>
        <v>34783</v>
      </c>
      <c r="D717" s="320">
        <f>IFERROR(__xludf.DUMMYFUNCTION("""COMPUTED_VALUE"""),35.05)</f>
        <v>35.05</v>
      </c>
      <c r="E717" s="320">
        <f>IFERROR(__xludf.DUMMYFUNCTION("""COMPUTED_VALUE"""),0.0)</f>
        <v>0</v>
      </c>
      <c r="F717" s="320">
        <f>IFERROR(__xludf.DUMMYFUNCTION("""COMPUTED_VALUE"""),0.0)</f>
        <v>0</v>
      </c>
      <c r="G717" s="320">
        <f>IFERROR(__xludf.DUMMYFUNCTION("""COMPUTED_VALUE"""),0.0)</f>
        <v>0</v>
      </c>
      <c r="H717" s="106"/>
      <c r="I717" s="320">
        <f>IFERROR(__xludf.DUMMYFUNCTION("""COMPUTED_VALUE"""),32.52)</f>
        <v>32.52</v>
      </c>
      <c r="J717" s="320">
        <f>IFERROR(__xludf.DUMMYFUNCTION("""COMPUTED_VALUE"""),15.07)</f>
        <v>15.07</v>
      </c>
      <c r="K717" s="320">
        <f>IFERROR(__xludf.DUMMYFUNCTION("""COMPUTED_VALUE"""),5.96)</f>
        <v>5.96</v>
      </c>
      <c r="L717" s="320">
        <f>IFERROR(__xludf.DUMMYFUNCTION("""COMPUTED_VALUE"""),0.3954)</f>
        <v>0.3954</v>
      </c>
      <c r="M717" s="320">
        <f>IFERROR(__xludf.DUMMYFUNCTION("""COMPUTED_VALUE"""),0.7624)</f>
        <v>0.7624</v>
      </c>
      <c r="N717" s="320">
        <f>IFERROR(__xludf.DUMMYFUNCTION("""COMPUTED_VALUE"""),0.5428)</f>
        <v>0.5428</v>
      </c>
      <c r="O717" s="320">
        <f>IFERROR(__xludf.DUMMYFUNCTION("""COMPUTED_VALUE"""),2.5291)</f>
        <v>2.5291</v>
      </c>
      <c r="P717" s="320">
        <f>IFERROR(__xludf.DUMMYFUNCTION("""COMPUTED_VALUE"""),55.13)</f>
        <v>55.13</v>
      </c>
      <c r="Q717" s="320">
        <f>IFERROR(__xludf.DUMMYFUNCTION("""COMPUTED_VALUE"""),44.75)</f>
        <v>44.75</v>
      </c>
      <c r="R717" s="320">
        <f>IFERROR(__xludf.DUMMYFUNCTION("""COMPUTED_VALUE"""),10.37)</f>
        <v>10.37</v>
      </c>
      <c r="S717" s="320">
        <f>IFERROR(__xludf.DUMMYFUNCTION("""COMPUTED_VALUE"""),0.0)</f>
        <v>0</v>
      </c>
      <c r="T717" s="320">
        <f>IFERROR(__xludf.DUMMYFUNCTION("""COMPUTED_VALUE"""),55.13)</f>
        <v>55.13</v>
      </c>
      <c r="U717" s="320">
        <f>IFERROR(__xludf.DUMMYFUNCTION("""COMPUTED_VALUE"""),53.16)</f>
        <v>53.16</v>
      </c>
      <c r="V717" s="320">
        <f>IFERROR(__xludf.DUMMYFUNCTION("""COMPUTED_VALUE"""),3.5276)</f>
        <v>3.5276</v>
      </c>
      <c r="W717" s="320">
        <f>IFERROR(__xludf.DUMMYFUNCTION("""COMPUTED_VALUE"""),0.0)</f>
        <v>0</v>
      </c>
      <c r="X717" s="320">
        <f>IFERROR(__xludf.DUMMYFUNCTION("""COMPUTED_VALUE"""),146.0)</f>
        <v>146</v>
      </c>
      <c r="Y717" s="320">
        <f>IFERROR(__xludf.DUMMYFUNCTION("""COMPUTED_VALUE"""),958.0)</f>
        <v>958</v>
      </c>
      <c r="Z717" s="320">
        <f>IFERROR(__xludf.DUMMYFUNCTION("""COMPUTED_VALUE"""),6614.0)</f>
        <v>6614</v>
      </c>
      <c r="AA717" s="320">
        <f>IFERROR(__xludf.DUMMYFUNCTION("""COMPUTED_VALUE"""),48.327)</f>
        <v>48.327</v>
      </c>
      <c r="AB717" s="320">
        <f>IFERROR(__xludf.DUMMYFUNCTION("""COMPUTED_VALUE"""),0.5247)</f>
        <v>0.5247</v>
      </c>
      <c r="AC717" s="320">
        <f>IFERROR(__xludf.DUMMYFUNCTION("""COMPUTED_VALUE"""),4.24)</f>
        <v>4.24</v>
      </c>
      <c r="AD717" s="320">
        <f>IFERROR(__xludf.DUMMYFUNCTION("""COMPUTED_VALUE"""),1.0)</f>
        <v>1</v>
      </c>
      <c r="AE717" s="320">
        <f>IFERROR(__xludf.DUMMYFUNCTION("""COMPUTED_VALUE"""),3.0)</f>
        <v>3</v>
      </c>
      <c r="AF717" s="320">
        <f>IFERROR(__xludf.DUMMYFUNCTION("""COMPUTED_VALUE"""),6.0)</f>
        <v>6</v>
      </c>
      <c r="AG717" s="320">
        <f>IFERROR(__xludf.DUMMYFUNCTION("""COMPUTED_VALUE"""),9.0)</f>
        <v>9</v>
      </c>
      <c r="AH717" s="320">
        <f>IFERROR(__xludf.DUMMYFUNCTION("""COMPUTED_VALUE"""),74.57)</f>
        <v>74.57</v>
      </c>
      <c r="AI717" s="320">
        <f>IFERROR(__xludf.DUMMYFUNCTION("""COMPUTED_VALUE"""),32.64)</f>
        <v>32.64</v>
      </c>
      <c r="AJ717" s="320">
        <f>IFERROR(__xludf.DUMMYFUNCTION("""COMPUTED_VALUE"""),9.84)</f>
        <v>9.84</v>
      </c>
      <c r="AK717" s="106"/>
      <c r="AL717" s="320">
        <f>IFERROR(__xludf.DUMMYFUNCTION("""COMPUTED_VALUE"""),23.09)</f>
        <v>23.09</v>
      </c>
      <c r="AM717" s="320">
        <f>IFERROR(__xludf.DUMMYFUNCTION("""COMPUTED_VALUE"""),21.67)</f>
        <v>21.67</v>
      </c>
      <c r="AN717" s="320">
        <f>IFERROR(__xludf.DUMMYFUNCTION("""COMPUTED_VALUE"""),64.25)</f>
        <v>64.25</v>
      </c>
      <c r="AO717" s="320">
        <f>IFERROR(__xludf.DUMMYFUNCTION("""COMPUTED_VALUE"""),14.84)</f>
        <v>14.84</v>
      </c>
    </row>
    <row r="718" ht="15.0" customHeight="1">
      <c r="A718" s="328">
        <f>IFERROR(__xludf.DUMMYFUNCTION("""COMPUTED_VALUE"""),46169.0)</f>
        <v>46169</v>
      </c>
      <c r="B718" s="319" t="str">
        <f>IFERROR(__xludf.DUMMYFUNCTION("""COMPUTED_VALUE"""),"C. 10-19")</f>
        <v>C. 10-19</v>
      </c>
      <c r="C718" s="320">
        <f>IFERROR(__xludf.DUMMYFUNCTION("""COMPUTED_VALUE"""),25622.0)</f>
        <v>25622</v>
      </c>
      <c r="D718" s="320">
        <f>IFERROR(__xludf.DUMMYFUNCTION("""COMPUTED_VALUE"""),25.82)</f>
        <v>25.82</v>
      </c>
      <c r="E718" s="320">
        <f>IFERROR(__xludf.DUMMYFUNCTION("""COMPUTED_VALUE"""),0.0)</f>
        <v>0</v>
      </c>
      <c r="F718" s="320">
        <f>IFERROR(__xludf.DUMMYFUNCTION("""COMPUTED_VALUE"""),0.0)</f>
        <v>0</v>
      </c>
      <c r="G718" s="320">
        <f>IFERROR(__xludf.DUMMYFUNCTION("""COMPUTED_VALUE"""),0.0)</f>
        <v>0</v>
      </c>
      <c r="H718" s="106"/>
      <c r="I718" s="320">
        <f>IFERROR(__xludf.DUMMYFUNCTION("""COMPUTED_VALUE"""),60.56)</f>
        <v>60.56</v>
      </c>
      <c r="J718" s="320">
        <f>IFERROR(__xludf.DUMMYFUNCTION("""COMPUTED_VALUE"""),29.55)</f>
        <v>29.55</v>
      </c>
      <c r="K718" s="320">
        <f>IFERROR(__xludf.DUMMYFUNCTION("""COMPUTED_VALUE"""),15.65)</f>
        <v>15.65</v>
      </c>
      <c r="L718" s="320">
        <f>IFERROR(__xludf.DUMMYFUNCTION("""COMPUTED_VALUE"""),0.5297)</f>
        <v>0.5297</v>
      </c>
      <c r="M718" s="320">
        <f>IFERROR(__xludf.DUMMYFUNCTION("""COMPUTED_VALUE"""),0.6488)</f>
        <v>0.6488</v>
      </c>
      <c r="N718" s="320">
        <f>IFERROR(__xludf.DUMMYFUNCTION("""COMPUTED_VALUE"""),0.4262)</f>
        <v>0.4262</v>
      </c>
      <c r="O718" s="320">
        <f>IFERROR(__xludf.DUMMYFUNCTION("""COMPUTED_VALUE"""),1.8878)</f>
        <v>1.8878</v>
      </c>
      <c r="P718" s="320">
        <f>IFERROR(__xludf.DUMMYFUNCTION("""COMPUTED_VALUE"""),93.0)</f>
        <v>93</v>
      </c>
      <c r="Q718" s="320">
        <f>IFERROR(__xludf.DUMMYFUNCTION("""COMPUTED_VALUE"""),67.35)</f>
        <v>67.35</v>
      </c>
      <c r="R718" s="320">
        <f>IFERROR(__xludf.DUMMYFUNCTION("""COMPUTED_VALUE"""),25.65)</f>
        <v>25.65</v>
      </c>
      <c r="S718" s="320">
        <f>IFERROR(__xludf.DUMMYFUNCTION("""COMPUTED_VALUE"""),0.0)</f>
        <v>0</v>
      </c>
      <c r="T718" s="320">
        <f>IFERROR(__xludf.DUMMYFUNCTION("""COMPUTED_VALUE"""),93.0)</f>
        <v>93</v>
      </c>
      <c r="U718" s="320">
        <f>IFERROR(__xludf.DUMMYFUNCTION("""COMPUTED_VALUE"""),99.34)</f>
        <v>99.34</v>
      </c>
      <c r="V718" s="320">
        <f>IFERROR(__xludf.DUMMYFUNCTION("""COMPUTED_VALUE"""),3.3616)</f>
        <v>3.3616</v>
      </c>
      <c r="W718" s="320">
        <f>IFERROR(__xludf.DUMMYFUNCTION("""COMPUTED_VALUE"""),0.0)</f>
        <v>0</v>
      </c>
      <c r="X718" s="320">
        <f>IFERROR(__xludf.DUMMYFUNCTION("""COMPUTED_VALUE"""),125.0)</f>
        <v>125</v>
      </c>
      <c r="Y718" s="320">
        <f>IFERROR(__xludf.DUMMYFUNCTION("""COMPUTED_VALUE"""),789.0)</f>
        <v>789</v>
      </c>
      <c r="Z718" s="320">
        <f>IFERROR(__xludf.DUMMYFUNCTION("""COMPUTED_VALUE"""),6042.0)</f>
        <v>6042</v>
      </c>
      <c r="AA718" s="320">
        <f>IFERROR(__xludf.DUMMYFUNCTION("""COMPUTED_VALUE"""),52.2181)</f>
        <v>52.2181</v>
      </c>
      <c r="AB718" s="320">
        <f>IFERROR(__xludf.DUMMYFUNCTION("""COMPUTED_VALUE"""),0.6107)</f>
        <v>0.6107</v>
      </c>
      <c r="AC718" s="320">
        <f>IFERROR(__xludf.DUMMYFUNCTION("""COMPUTED_VALUE"""),9.67)</f>
        <v>9.67</v>
      </c>
      <c r="AD718" s="320">
        <f>IFERROR(__xludf.DUMMYFUNCTION("""COMPUTED_VALUE"""),4.0)</f>
        <v>4</v>
      </c>
      <c r="AE718" s="320">
        <f>IFERROR(__xludf.DUMMYFUNCTION("""COMPUTED_VALUE"""),8.0)</f>
        <v>8</v>
      </c>
      <c r="AF718" s="320">
        <f>IFERROR(__xludf.DUMMYFUNCTION("""COMPUTED_VALUE"""),13.0)</f>
        <v>13</v>
      </c>
      <c r="AG718" s="320">
        <f>IFERROR(__xludf.DUMMYFUNCTION("""COMPUTED_VALUE"""),20.0)</f>
        <v>20</v>
      </c>
      <c r="AH718" s="320">
        <f>IFERROR(__xludf.DUMMYFUNCTION("""COMPUTED_VALUE"""),61.28)</f>
        <v>61.28</v>
      </c>
      <c r="AI718" s="320">
        <f>IFERROR(__xludf.DUMMYFUNCTION("""COMPUTED_VALUE"""),27.5)</f>
        <v>27.5</v>
      </c>
      <c r="AJ718" s="320">
        <f>IFERROR(__xludf.DUMMYFUNCTION("""COMPUTED_VALUE"""),5.16)</f>
        <v>5.16</v>
      </c>
      <c r="AK718" s="106"/>
      <c r="AL718" s="320">
        <f>IFERROR(__xludf.DUMMYFUNCTION("""COMPUTED_VALUE"""),22.87)</f>
        <v>22.87</v>
      </c>
      <c r="AM718" s="320">
        <f>IFERROR(__xludf.DUMMYFUNCTION("""COMPUTED_VALUE"""),44.48)</f>
        <v>44.48</v>
      </c>
      <c r="AN718" s="320">
        <f>IFERROR(__xludf.DUMMYFUNCTION("""COMPUTED_VALUE"""),72.99)</f>
        <v>72.99</v>
      </c>
      <c r="AO718" s="320">
        <f>IFERROR(__xludf.DUMMYFUNCTION("""COMPUTED_VALUE"""),16.69)</f>
        <v>16.69</v>
      </c>
    </row>
    <row r="719" ht="15.0" customHeight="1">
      <c r="A719" s="328">
        <f>IFERROR(__xludf.DUMMYFUNCTION("""COMPUTED_VALUE"""),46169.0)</f>
        <v>46169</v>
      </c>
      <c r="B719" s="319" t="str">
        <f>IFERROR(__xludf.DUMMYFUNCTION("""COMPUTED_VALUE"""),"D. 20-39")</f>
        <v>D. 20-39</v>
      </c>
      <c r="C719" s="320">
        <f>IFERROR(__xludf.DUMMYFUNCTION("""COMPUTED_VALUE"""),13974.0)</f>
        <v>13974</v>
      </c>
      <c r="D719" s="320">
        <f>IFERROR(__xludf.DUMMYFUNCTION("""COMPUTED_VALUE"""),14.08)</f>
        <v>14.08</v>
      </c>
      <c r="E719" s="320">
        <f>IFERROR(__xludf.DUMMYFUNCTION("""COMPUTED_VALUE"""),0.0)</f>
        <v>0</v>
      </c>
      <c r="F719" s="320">
        <f>IFERROR(__xludf.DUMMYFUNCTION("""COMPUTED_VALUE"""),0.0)</f>
        <v>0</v>
      </c>
      <c r="G719" s="320">
        <f>IFERROR(__xludf.DUMMYFUNCTION("""COMPUTED_VALUE"""),0.0)</f>
        <v>0</v>
      </c>
      <c r="H719" s="106"/>
      <c r="I719" s="320">
        <f>IFERROR(__xludf.DUMMYFUNCTION("""COMPUTED_VALUE"""),82.14)</f>
        <v>82.14</v>
      </c>
      <c r="J719" s="320">
        <f>IFERROR(__xludf.DUMMYFUNCTION("""COMPUTED_VALUE"""),42.18)</f>
        <v>42.18</v>
      </c>
      <c r="K719" s="320">
        <f>IFERROR(__xludf.DUMMYFUNCTION("""COMPUTED_VALUE"""),27.57)</f>
        <v>27.57</v>
      </c>
      <c r="L719" s="320">
        <f>IFERROR(__xludf.DUMMYFUNCTION("""COMPUTED_VALUE"""),0.6537)</f>
        <v>0.6537</v>
      </c>
      <c r="M719" s="320">
        <f>IFERROR(__xludf.DUMMYFUNCTION("""COMPUTED_VALUE"""),0.53)</f>
        <v>0.53</v>
      </c>
      <c r="N719" s="320">
        <f>IFERROR(__xludf.DUMMYFUNCTION("""COMPUTED_VALUE"""),0.3523)</f>
        <v>0.3523</v>
      </c>
      <c r="O719" s="320">
        <f>IFERROR(__xludf.DUMMYFUNCTION("""COMPUTED_VALUE"""),1.5299)</f>
        <v>1.5299</v>
      </c>
      <c r="P719" s="320">
        <f>IFERROR(__xludf.DUMMYFUNCTION("""COMPUTED_VALUE"""),143.85)</f>
        <v>143.85</v>
      </c>
      <c r="Q719" s="320">
        <f>IFERROR(__xludf.DUMMYFUNCTION("""COMPUTED_VALUE"""),96.04)</f>
        <v>96.04</v>
      </c>
      <c r="R719" s="320">
        <f>IFERROR(__xludf.DUMMYFUNCTION("""COMPUTED_VALUE"""),47.82)</f>
        <v>47.82</v>
      </c>
      <c r="S719" s="320">
        <f>IFERROR(__xludf.DUMMYFUNCTION("""COMPUTED_VALUE"""),0.0)</f>
        <v>0</v>
      </c>
      <c r="T719" s="320">
        <f>IFERROR(__xludf.DUMMYFUNCTION("""COMPUTED_VALUE"""),143.85)</f>
        <v>143.85</v>
      </c>
      <c r="U719" s="320">
        <f>IFERROR(__xludf.DUMMYFUNCTION("""COMPUTED_VALUE"""),168.71)</f>
        <v>168.71</v>
      </c>
      <c r="V719" s="320">
        <f>IFERROR(__xludf.DUMMYFUNCTION("""COMPUTED_VALUE"""),3.9993)</f>
        <v>3.9993</v>
      </c>
      <c r="W719" s="320">
        <f>IFERROR(__xludf.DUMMYFUNCTION("""COMPUTED_VALUE"""),0.0)</f>
        <v>0</v>
      </c>
      <c r="X719" s="320">
        <f>IFERROR(__xludf.DUMMYFUNCTION("""COMPUTED_VALUE"""),157.0)</f>
        <v>157</v>
      </c>
      <c r="Y719" s="320">
        <f>IFERROR(__xludf.DUMMYFUNCTION("""COMPUTED_VALUE"""),1035.0)</f>
        <v>1035</v>
      </c>
      <c r="Z719" s="320">
        <f>IFERROR(__xludf.DUMMYFUNCTION("""COMPUTED_VALUE"""),6743.0)</f>
        <v>6743</v>
      </c>
      <c r="AA719" s="320">
        <f>IFERROR(__xludf.DUMMYFUNCTION("""COMPUTED_VALUE"""),56.242)</f>
        <v>56.242</v>
      </c>
      <c r="AB719" s="320">
        <f>IFERROR(__xludf.DUMMYFUNCTION("""COMPUTED_VALUE"""),0.7523)</f>
        <v>0.7523</v>
      </c>
      <c r="AC719" s="320">
        <f>IFERROR(__xludf.DUMMYFUNCTION("""COMPUTED_VALUE"""),18.69)</f>
        <v>18.69</v>
      </c>
      <c r="AD719" s="320">
        <f>IFERROR(__xludf.DUMMYFUNCTION("""COMPUTED_VALUE"""),8.0)</f>
        <v>8</v>
      </c>
      <c r="AE719" s="320">
        <f>IFERROR(__xludf.DUMMYFUNCTION("""COMPUTED_VALUE"""),15.0)</f>
        <v>15</v>
      </c>
      <c r="AF719" s="320">
        <f>IFERROR(__xludf.DUMMYFUNCTION("""COMPUTED_VALUE"""),26.0)</f>
        <v>26</v>
      </c>
      <c r="AG719" s="320">
        <f>IFERROR(__xludf.DUMMYFUNCTION("""COMPUTED_VALUE"""),39.0)</f>
        <v>39</v>
      </c>
      <c r="AH719" s="320">
        <f>IFERROR(__xludf.DUMMYFUNCTION("""COMPUTED_VALUE"""),62.17)</f>
        <v>62.17</v>
      </c>
      <c r="AI719" s="320">
        <f>IFERROR(__xludf.DUMMYFUNCTION("""COMPUTED_VALUE"""),25.73)</f>
        <v>25.73</v>
      </c>
      <c r="AJ719" s="320">
        <f>IFERROR(__xludf.DUMMYFUNCTION("""COMPUTED_VALUE"""),8.02)</f>
        <v>8.02</v>
      </c>
      <c r="AK719" s="106"/>
      <c r="AL719" s="320">
        <f>IFERROR(__xludf.DUMMYFUNCTION("""COMPUTED_VALUE"""),22.29)</f>
        <v>22.29</v>
      </c>
      <c r="AM719" s="320">
        <f>IFERROR(__xludf.DUMMYFUNCTION("""COMPUTED_VALUE"""),73.75)</f>
        <v>73.75</v>
      </c>
      <c r="AN719" s="320">
        <f>IFERROR(__xludf.DUMMYFUNCTION("""COMPUTED_VALUE"""),76.35)</f>
        <v>76.35</v>
      </c>
      <c r="AO719" s="320">
        <f>IFERROR(__xludf.DUMMYFUNCTION("""COMPUTED_VALUE"""),17.02)</f>
        <v>17.02</v>
      </c>
    </row>
    <row r="720" ht="15.0" customHeight="1">
      <c r="A720" s="328">
        <f>IFERROR(__xludf.DUMMYFUNCTION("""COMPUTED_VALUE"""),46169.0)</f>
        <v>46169</v>
      </c>
      <c r="B720" s="319" t="str">
        <f>IFERROR(__xludf.DUMMYFUNCTION("""COMPUTED_VALUE"""),"E. 40-99")</f>
        <v>E. 40-99</v>
      </c>
      <c r="C720" s="320">
        <f>IFERROR(__xludf.DUMMYFUNCTION("""COMPUTED_VALUE"""),5588.0)</f>
        <v>5588</v>
      </c>
      <c r="D720" s="320">
        <f>IFERROR(__xludf.DUMMYFUNCTION("""COMPUTED_VALUE"""),5.63)</f>
        <v>5.63</v>
      </c>
      <c r="E720" s="320">
        <f>IFERROR(__xludf.DUMMYFUNCTION("""COMPUTED_VALUE"""),0.0)</f>
        <v>0</v>
      </c>
      <c r="F720" s="320">
        <f>IFERROR(__xludf.DUMMYFUNCTION("""COMPUTED_VALUE"""),0.0)</f>
        <v>0</v>
      </c>
      <c r="G720" s="320">
        <f>IFERROR(__xludf.DUMMYFUNCTION("""COMPUTED_VALUE"""),0.0)</f>
        <v>0</v>
      </c>
      <c r="H720" s="106"/>
      <c r="I720" s="320">
        <f>IFERROR(__xludf.DUMMYFUNCTION("""COMPUTED_VALUE"""),128.94)</f>
        <v>128.94</v>
      </c>
      <c r="J720" s="320">
        <f>IFERROR(__xludf.DUMMYFUNCTION("""COMPUTED_VALUE"""),70.55)</f>
        <v>70.55</v>
      </c>
      <c r="K720" s="320">
        <f>IFERROR(__xludf.DUMMYFUNCTION("""COMPUTED_VALUE"""),56.04)</f>
        <v>56.04</v>
      </c>
      <c r="L720" s="320">
        <f>IFERROR(__xludf.DUMMYFUNCTION("""COMPUTED_VALUE"""),0.7944)</f>
        <v>0.7944</v>
      </c>
      <c r="M720" s="320">
        <f>IFERROR(__xludf.DUMMYFUNCTION("""COMPUTED_VALUE"""),0.384)</f>
        <v>0.384</v>
      </c>
      <c r="N720" s="320">
        <f>IFERROR(__xludf.DUMMYFUNCTION("""COMPUTED_VALUE"""),0.2693)</f>
        <v>0.2693</v>
      </c>
      <c r="O720" s="320">
        <f>IFERROR(__xludf.DUMMYFUNCTION("""COMPUTED_VALUE"""),1.2588)</f>
        <v>1.2588</v>
      </c>
      <c r="P720" s="320">
        <f>IFERROR(__xludf.DUMMYFUNCTION("""COMPUTED_VALUE"""),263.42)</f>
        <v>263.42</v>
      </c>
      <c r="Q720" s="320">
        <f>IFERROR(__xludf.DUMMYFUNCTION("""COMPUTED_VALUE"""),164.49)</f>
        <v>164.49</v>
      </c>
      <c r="R720" s="320">
        <f>IFERROR(__xludf.DUMMYFUNCTION("""COMPUTED_VALUE"""),98.93)</f>
        <v>98.93</v>
      </c>
      <c r="S720" s="320">
        <f>IFERROR(__xludf.DUMMYFUNCTION("""COMPUTED_VALUE"""),0.0)</f>
        <v>0</v>
      </c>
      <c r="T720" s="320">
        <f>IFERROR(__xludf.DUMMYFUNCTION("""COMPUTED_VALUE"""),263.42)</f>
        <v>263.42</v>
      </c>
      <c r="U720" s="320">
        <f>IFERROR(__xludf.DUMMYFUNCTION("""COMPUTED_VALUE"""),321.13)</f>
        <v>321.13</v>
      </c>
      <c r="V720" s="320">
        <f>IFERROR(__xludf.DUMMYFUNCTION("""COMPUTED_VALUE"""),4.5521)</f>
        <v>4.5521</v>
      </c>
      <c r="W720" s="320">
        <f>IFERROR(__xludf.DUMMYFUNCTION("""COMPUTED_VALUE"""),0.0)</f>
        <v>0</v>
      </c>
      <c r="X720" s="320">
        <f>IFERROR(__xludf.DUMMYFUNCTION("""COMPUTED_VALUE"""),397.0)</f>
        <v>397</v>
      </c>
      <c r="Y720" s="320">
        <f>IFERROR(__xludf.DUMMYFUNCTION("""COMPUTED_VALUE"""),2545.0)</f>
        <v>2545</v>
      </c>
      <c r="Z720" s="320">
        <f>IFERROR(__xludf.DUMMYFUNCTION("""COMPUTED_VALUE"""),10395.0)</f>
        <v>10395</v>
      </c>
      <c r="AA720" s="320">
        <f>IFERROR(__xludf.DUMMYFUNCTION("""COMPUTED_VALUE"""),60.5631)</f>
        <v>60.5631</v>
      </c>
      <c r="AB720" s="320">
        <f>IFERROR(__xludf.DUMMYFUNCTION("""COMPUTED_VALUE"""),0.864)</f>
        <v>0.864</v>
      </c>
      <c r="AC720" s="320">
        <f>IFERROR(__xludf.DUMMYFUNCTION("""COMPUTED_VALUE"""),40.31)</f>
        <v>40.31</v>
      </c>
      <c r="AD720" s="320">
        <f>IFERROR(__xludf.DUMMYFUNCTION("""COMPUTED_VALUE"""),16.0)</f>
        <v>16</v>
      </c>
      <c r="AE720" s="320">
        <f>IFERROR(__xludf.DUMMYFUNCTION("""COMPUTED_VALUE"""),33.0)</f>
        <v>33</v>
      </c>
      <c r="AF720" s="320">
        <f>IFERROR(__xludf.DUMMYFUNCTION("""COMPUTED_VALUE"""),56.0)</f>
        <v>56</v>
      </c>
      <c r="AG720" s="320">
        <f>IFERROR(__xludf.DUMMYFUNCTION("""COMPUTED_VALUE"""),82.0)</f>
        <v>82</v>
      </c>
      <c r="AH720" s="320">
        <f>IFERROR(__xludf.DUMMYFUNCTION("""COMPUTED_VALUE"""),56.64)</f>
        <v>56.64</v>
      </c>
      <c r="AI720" s="320">
        <f>IFERROR(__xludf.DUMMYFUNCTION("""COMPUTED_VALUE"""),22.3)</f>
        <v>22.3</v>
      </c>
      <c r="AJ720" s="320">
        <f>IFERROR(__xludf.DUMMYFUNCTION("""COMPUTED_VALUE"""),5.15)</f>
        <v>5.15</v>
      </c>
      <c r="AK720" s="106"/>
      <c r="AL720" s="320">
        <f>IFERROR(__xludf.DUMMYFUNCTION("""COMPUTED_VALUE"""),22.51)</f>
        <v>22.51</v>
      </c>
      <c r="AM720" s="320">
        <f>IFERROR(__xludf.DUMMYFUNCTION("""COMPUTED_VALUE"""),141.98)</f>
        <v>141.98</v>
      </c>
      <c r="AN720" s="320">
        <f>IFERROR(__xludf.DUMMYFUNCTION("""COMPUTED_VALUE"""),81.87)</f>
        <v>81.87</v>
      </c>
      <c r="AO720" s="320">
        <f>IFERROR(__xludf.DUMMYFUNCTION("""COMPUTED_VALUE"""),18.43)</f>
        <v>18.43</v>
      </c>
    </row>
    <row r="721" ht="15.0" customHeight="1">
      <c r="A721" s="328">
        <f>IFERROR(__xludf.DUMMYFUNCTION("""COMPUTED_VALUE"""),46169.0)</f>
        <v>46169</v>
      </c>
      <c r="B721" s="319" t="str">
        <f>IFERROR(__xludf.DUMMYFUNCTION("""COMPUTED_VALUE"""),"F. 100+")</f>
        <v>F. 100+</v>
      </c>
      <c r="C721" s="320">
        <f>IFERROR(__xludf.DUMMYFUNCTION("""COMPUTED_VALUE"""),646.0)</f>
        <v>646</v>
      </c>
      <c r="D721" s="320">
        <f>IFERROR(__xludf.DUMMYFUNCTION("""COMPUTED_VALUE"""),0.65)</f>
        <v>0.65</v>
      </c>
      <c r="E721" s="320">
        <f>IFERROR(__xludf.DUMMYFUNCTION("""COMPUTED_VALUE"""),0.0)</f>
        <v>0</v>
      </c>
      <c r="F721" s="320">
        <f>IFERROR(__xludf.DUMMYFUNCTION("""COMPUTED_VALUE"""),0.0)</f>
        <v>0</v>
      </c>
      <c r="G721" s="320">
        <f>IFERROR(__xludf.DUMMYFUNCTION("""COMPUTED_VALUE"""),0.0)</f>
        <v>0</v>
      </c>
      <c r="H721" s="106"/>
      <c r="I721" s="320">
        <f>IFERROR(__xludf.DUMMYFUNCTION("""COMPUTED_VALUE"""),240.98)</f>
        <v>240.98</v>
      </c>
      <c r="J721" s="320">
        <f>IFERROR(__xludf.DUMMYFUNCTION("""COMPUTED_VALUE"""),140.28)</f>
        <v>140.28</v>
      </c>
      <c r="K721" s="320">
        <f>IFERROR(__xludf.DUMMYFUNCTION("""COMPUTED_VALUE"""),125.89)</f>
        <v>125.89</v>
      </c>
      <c r="L721" s="320">
        <f>IFERROR(__xludf.DUMMYFUNCTION("""COMPUTED_VALUE"""),0.8974)</f>
        <v>0.8974</v>
      </c>
      <c r="M721" s="320">
        <f>IFERROR(__xludf.DUMMYFUNCTION("""COMPUTED_VALUE"""),0.2645)</f>
        <v>0.2645</v>
      </c>
      <c r="N721" s="320">
        <f>IFERROR(__xludf.DUMMYFUNCTION("""COMPUTED_VALUE"""),0.2061)</f>
        <v>0.2061</v>
      </c>
      <c r="O721" s="320">
        <f>IFERROR(__xludf.DUMMYFUNCTION("""COMPUTED_VALUE"""),1.1143)</f>
        <v>1.1143</v>
      </c>
      <c r="P721" s="320">
        <f>IFERROR(__xludf.DUMMYFUNCTION("""COMPUTED_VALUE"""),547.57)</f>
        <v>547.57</v>
      </c>
      <c r="Q721" s="320">
        <f>IFERROR(__xludf.DUMMYFUNCTION("""COMPUTED_VALUE"""),320.43)</f>
        <v>320.43</v>
      </c>
      <c r="R721" s="320">
        <f>IFERROR(__xludf.DUMMYFUNCTION("""COMPUTED_VALUE"""),227.14)</f>
        <v>227.14</v>
      </c>
      <c r="S721" s="320">
        <f>IFERROR(__xludf.DUMMYFUNCTION("""COMPUTED_VALUE"""),0.0)</f>
        <v>0</v>
      </c>
      <c r="T721" s="320">
        <f>IFERROR(__xludf.DUMMYFUNCTION("""COMPUTED_VALUE"""),547.57)</f>
        <v>547.57</v>
      </c>
      <c r="U721" s="320">
        <f>IFERROR(__xludf.DUMMYFUNCTION("""COMPUTED_VALUE"""),724.3)</f>
        <v>724.3</v>
      </c>
      <c r="V721" s="320">
        <f>IFERROR(__xludf.DUMMYFUNCTION("""COMPUTED_VALUE"""),5.1632)</f>
        <v>5.1632</v>
      </c>
      <c r="W721" s="320">
        <f>IFERROR(__xludf.DUMMYFUNCTION("""COMPUTED_VALUE"""),0.0)</f>
        <v>0</v>
      </c>
      <c r="X721" s="320">
        <f>IFERROR(__xludf.DUMMYFUNCTION("""COMPUTED_VALUE"""),1103.0)</f>
        <v>1103</v>
      </c>
      <c r="Y721" s="320">
        <f>IFERROR(__xludf.DUMMYFUNCTION("""COMPUTED_VALUE"""),4393.0)</f>
        <v>4393</v>
      </c>
      <c r="Z721" s="320">
        <f>IFERROR(__xludf.DUMMYFUNCTION("""COMPUTED_VALUE"""),12177.0)</f>
        <v>12177</v>
      </c>
      <c r="AA721" s="320">
        <f>IFERROR(__xludf.DUMMYFUNCTION("""COMPUTED_VALUE"""),64.5192)</f>
        <v>64.5192</v>
      </c>
      <c r="AB721" s="320">
        <f>IFERROR(__xludf.DUMMYFUNCTION("""COMPUTED_VALUE"""),0.9269)</f>
        <v>0.9269</v>
      </c>
      <c r="AC721" s="320">
        <f>IFERROR(__xludf.DUMMYFUNCTION("""COMPUTED_VALUE"""),93.79)</f>
        <v>93.79</v>
      </c>
      <c r="AD721" s="320">
        <f>IFERROR(__xludf.DUMMYFUNCTION("""COMPUTED_VALUE"""),36.0)</f>
        <v>36</v>
      </c>
      <c r="AE721" s="320">
        <f>IFERROR(__xludf.DUMMYFUNCTION("""COMPUTED_VALUE"""),78.0)</f>
        <v>78</v>
      </c>
      <c r="AF721" s="320">
        <f>IFERROR(__xludf.DUMMYFUNCTION("""COMPUTED_VALUE"""),130.0)</f>
        <v>130</v>
      </c>
      <c r="AG721" s="320">
        <f>IFERROR(__xludf.DUMMYFUNCTION("""COMPUTED_VALUE"""),191.0)</f>
        <v>191</v>
      </c>
      <c r="AH721" s="320">
        <f>IFERROR(__xludf.DUMMYFUNCTION("""COMPUTED_VALUE"""),48.76)</f>
        <v>48.76</v>
      </c>
      <c r="AI721" s="320">
        <f>IFERROR(__xludf.DUMMYFUNCTION("""COMPUTED_VALUE"""),13.31)</f>
        <v>13.31</v>
      </c>
      <c r="AJ721" s="320">
        <f>IFERROR(__xludf.DUMMYFUNCTION("""COMPUTED_VALUE"""),1.86)</f>
        <v>1.86</v>
      </c>
      <c r="AK721" s="106"/>
      <c r="AL721" s="320">
        <f>IFERROR(__xludf.DUMMYFUNCTION("""COMPUTED_VALUE"""),25.34)</f>
        <v>25.34</v>
      </c>
      <c r="AM721" s="320">
        <f>IFERROR(__xludf.DUMMYFUNCTION("""COMPUTED_VALUE"""),295.09)</f>
        <v>295.09</v>
      </c>
      <c r="AN721" s="320">
        <f>IFERROR(__xludf.DUMMYFUNCTION("""COMPUTED_VALUE"""),85.71)</f>
        <v>85.71</v>
      </c>
      <c r="AO721" s="320">
        <f>IFERROR(__xludf.DUMMYFUNCTION("""COMPUTED_VALUE"""),21.72)</f>
        <v>21.72</v>
      </c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2.57"/>
    <col customWidth="1" min="3" max="3" width="7.14"/>
    <col customWidth="1" min="4" max="4" width="10.86"/>
    <col customWidth="1" min="5" max="5" width="13.14"/>
    <col customWidth="1" min="6" max="6" width="7.14"/>
    <col customWidth="1" min="7" max="7" width="14.0"/>
    <col customWidth="1" min="8" max="8" width="8.0"/>
    <col customWidth="1" min="9" max="9" width="19.86"/>
    <col customWidth="1" min="10" max="10" width="17.71"/>
    <col customWidth="1" min="11" max="11" width="18.86"/>
    <col customWidth="1" min="12" max="12" width="9.29"/>
    <col customWidth="1" min="13" max="13" width="9.43"/>
    <col customWidth="1" min="14" max="14" width="10.0"/>
    <col customWidth="1" min="15" max="15" width="8.0"/>
    <col customWidth="1" min="16" max="16" width="16.57"/>
    <col customWidth="1" min="17" max="17" width="27.57"/>
    <col customWidth="1" min="18" max="18" width="16.43"/>
    <col customWidth="1" min="19" max="19" width="16.29"/>
    <col customWidth="1" min="20" max="20" width="16.14"/>
    <col customWidth="1" min="21" max="21" width="12.86"/>
    <col customWidth="1" min="22" max="22" width="20.71"/>
    <col customWidth="1" min="23" max="23" width="20.86"/>
    <col customWidth="1" min="24" max="26" width="15.0"/>
    <col customWidth="1" min="27" max="27" width="22.29"/>
    <col customWidth="1" min="28" max="28" width="19.86"/>
    <col customWidth="1" min="29" max="29" width="15.29"/>
    <col customWidth="1" min="30" max="33" width="15.71"/>
    <col customWidth="1" min="34" max="36" width="25.14"/>
    <col customWidth="1" min="37" max="41" width="13.71"/>
  </cols>
  <sheetData>
    <row r="1" ht="15.0" customHeight="1">
      <c r="A1" s="319" t="s">
        <v>222</v>
      </c>
      <c r="B1" s="319" t="s">
        <v>223</v>
      </c>
      <c r="C1" s="319" t="s">
        <v>224</v>
      </c>
      <c r="D1" s="319" t="s">
        <v>166</v>
      </c>
      <c r="E1" s="319" t="s">
        <v>157</v>
      </c>
      <c r="F1" s="319" t="s">
        <v>159</v>
      </c>
      <c r="G1" s="319" t="s">
        <v>169</v>
      </c>
      <c r="H1" s="319" t="s">
        <v>225</v>
      </c>
      <c r="I1" s="319" t="s">
        <v>226</v>
      </c>
      <c r="J1" s="319" t="s">
        <v>227</v>
      </c>
      <c r="K1" s="319" t="s">
        <v>228</v>
      </c>
      <c r="L1" s="319" t="s">
        <v>173</v>
      </c>
      <c r="M1" s="319" t="s">
        <v>229</v>
      </c>
      <c r="N1" s="319" t="s">
        <v>230</v>
      </c>
      <c r="O1" s="319" t="s">
        <v>231</v>
      </c>
      <c r="P1" s="319" t="s">
        <v>232</v>
      </c>
      <c r="Q1" s="319" t="s">
        <v>233</v>
      </c>
      <c r="R1" s="319" t="s">
        <v>234</v>
      </c>
      <c r="S1" s="319" t="s">
        <v>235</v>
      </c>
      <c r="T1" s="319" t="s">
        <v>236</v>
      </c>
      <c r="U1" s="319" t="s">
        <v>237</v>
      </c>
      <c r="V1" s="319" t="s">
        <v>171</v>
      </c>
      <c r="W1" s="319" t="s">
        <v>172</v>
      </c>
      <c r="X1" s="319" t="s">
        <v>238</v>
      </c>
      <c r="Y1" s="319" t="s">
        <v>239</v>
      </c>
      <c r="Z1" s="319" t="s">
        <v>240</v>
      </c>
      <c r="AA1" s="319" t="s">
        <v>241</v>
      </c>
      <c r="AB1" s="319" t="s">
        <v>242</v>
      </c>
      <c r="AC1" s="319" t="s">
        <v>243</v>
      </c>
      <c r="AD1" s="319" t="s">
        <v>244</v>
      </c>
      <c r="AE1" s="319" t="s">
        <v>245</v>
      </c>
      <c r="AF1" s="319" t="s">
        <v>246</v>
      </c>
      <c r="AG1" s="319" t="s">
        <v>247</v>
      </c>
      <c r="AH1" s="319" t="s">
        <v>248</v>
      </c>
      <c r="AI1" s="319" t="s">
        <v>249</v>
      </c>
      <c r="AJ1" s="319" t="s">
        <v>250</v>
      </c>
      <c r="AK1" s="319" t="s">
        <v>251</v>
      </c>
      <c r="AL1" s="319" t="s">
        <v>252</v>
      </c>
      <c r="AM1" s="319" t="s">
        <v>253</v>
      </c>
      <c r="AN1" s="319" t="s">
        <v>254</v>
      </c>
      <c r="AO1" s="319" t="s">
        <v>255</v>
      </c>
    </row>
    <row r="2" ht="15.0" customHeight="1">
      <c r="A2" s="330">
        <f>IFERROR(__xludf.DUMMYFUNCTION("filter(data_raw_seg_cp_pst!B2:AP2000, data_raw_seg_cp_pst!A2:A2000=""Payer"")"),46050.0)</f>
        <v>46050</v>
      </c>
      <c r="B2" s="319" t="str">
        <f>IFERROR(__xludf.DUMMYFUNCTION("""COMPUTED_VALUE"""),"A. 0")</f>
        <v>A. 0</v>
      </c>
      <c r="C2" s="320">
        <f>IFERROR(__xludf.DUMMYFUNCTION("""COMPUTED_VALUE"""),17888.0)</f>
        <v>17888</v>
      </c>
      <c r="D2" s="320">
        <f>IFERROR(__xludf.DUMMYFUNCTION("""COMPUTED_VALUE"""),21.08)</f>
        <v>21.08</v>
      </c>
      <c r="E2" s="320">
        <f>IFERROR(__xludf.DUMMYFUNCTION("""COMPUTED_VALUE"""),251.18)</f>
        <v>251.18</v>
      </c>
      <c r="F2" s="320">
        <f>IFERROR(__xludf.DUMMYFUNCTION("""COMPUTED_VALUE"""),0.014)</f>
        <v>0.014</v>
      </c>
      <c r="G2" s="320">
        <f>IFERROR(__xludf.DUMMYFUNCTION("""COMPUTED_VALUE"""),0.15)</f>
        <v>0.15</v>
      </c>
      <c r="H2" s="320">
        <f>IFERROR(__xludf.DUMMYFUNCTION("""COMPUTED_VALUE"""),9.303)</f>
        <v>9.303</v>
      </c>
      <c r="I2" s="320">
        <f>IFERROR(__xludf.DUMMYFUNCTION("""COMPUTED_VALUE"""),6.59)</f>
        <v>6.59</v>
      </c>
      <c r="J2" s="320">
        <f>IFERROR(__xludf.DUMMYFUNCTION("""COMPUTED_VALUE"""),3.12)</f>
        <v>3.12</v>
      </c>
      <c r="K2" s="320">
        <f>IFERROR(__xludf.DUMMYFUNCTION("""COMPUTED_VALUE"""),0.03)</f>
        <v>0.03</v>
      </c>
      <c r="L2" s="320">
        <f>IFERROR(__xludf.DUMMYFUNCTION("""COMPUTED_VALUE"""),0.0086)</f>
        <v>0.0086</v>
      </c>
      <c r="M2" s="320">
        <f>IFERROR(__xludf.DUMMYFUNCTION("""COMPUTED_VALUE"""),0.992)</f>
        <v>0.992</v>
      </c>
      <c r="N2" s="320">
        <f>IFERROR(__xludf.DUMMYFUNCTION("""COMPUTED_VALUE"""),0.8792)</f>
        <v>0.8792</v>
      </c>
      <c r="O2" s="320">
        <f>IFERROR(__xludf.DUMMYFUNCTION("""COMPUTED_VALUE"""),116.9455)</f>
        <v>116.9455</v>
      </c>
      <c r="P2" s="320">
        <f>IFERROR(__xludf.DUMMYFUNCTION("""COMPUTED_VALUE"""),23.46)</f>
        <v>23.46</v>
      </c>
      <c r="Q2" s="320">
        <f>IFERROR(__xludf.DUMMYFUNCTION("""COMPUTED_VALUE"""),23.41)</f>
        <v>23.41</v>
      </c>
      <c r="R2" s="320">
        <f>IFERROR(__xludf.DUMMYFUNCTION("""COMPUTED_VALUE"""),0.06)</f>
        <v>0.06</v>
      </c>
      <c r="S2" s="320">
        <f>IFERROR(__xludf.DUMMYFUNCTION("""COMPUTED_VALUE"""),1.08)</f>
        <v>1.08</v>
      </c>
      <c r="T2" s="320">
        <f>IFERROR(__xludf.DUMMYFUNCTION("""COMPUTED_VALUE"""),22.38)</f>
        <v>22.38</v>
      </c>
      <c r="U2" s="320">
        <f>IFERROR(__xludf.DUMMYFUNCTION("""COMPUTED_VALUE"""),2.31)</f>
        <v>2.31</v>
      </c>
      <c r="V2" s="320">
        <f>IFERROR(__xludf.DUMMYFUNCTION("""COMPUTED_VALUE"""),0.7413)</f>
        <v>0.7413</v>
      </c>
      <c r="W2" s="320">
        <f>IFERROR(__xludf.DUMMYFUNCTION("""COMPUTED_VALUE"""),4.59)</f>
        <v>4.59</v>
      </c>
      <c r="X2" s="320">
        <f>IFERROR(__xludf.DUMMYFUNCTION("""COMPUTED_VALUE"""),136.0)</f>
        <v>136</v>
      </c>
      <c r="Y2" s="320">
        <f>IFERROR(__xludf.DUMMYFUNCTION("""COMPUTED_VALUE"""),874.0)</f>
        <v>874</v>
      </c>
      <c r="Z2" s="320">
        <f>IFERROR(__xludf.DUMMYFUNCTION("""COMPUTED_VALUE"""),6410.0)</f>
        <v>6410</v>
      </c>
      <c r="AA2" s="320">
        <f>IFERROR(__xludf.DUMMYFUNCTION("""COMPUTED_VALUE"""),49.5847)</f>
        <v>49.5847</v>
      </c>
      <c r="AB2" s="320">
        <f>IFERROR(__xludf.DUMMYFUNCTION("""COMPUTED_VALUE"""),0.5199)</f>
        <v>0.5199</v>
      </c>
      <c r="AC2" s="106"/>
      <c r="AD2" s="106"/>
      <c r="AE2" s="106"/>
      <c r="AF2" s="106"/>
      <c r="AG2" s="106"/>
      <c r="AH2" s="320">
        <f>IFERROR(__xludf.DUMMYFUNCTION("""COMPUTED_VALUE"""),0.0)</f>
        <v>0</v>
      </c>
      <c r="AI2" s="320">
        <f>IFERROR(__xludf.DUMMYFUNCTION("""COMPUTED_VALUE"""),0.0)</f>
        <v>0</v>
      </c>
      <c r="AJ2" s="320">
        <f>IFERROR(__xludf.DUMMYFUNCTION("""COMPUTED_VALUE"""),0.0)</f>
        <v>0</v>
      </c>
      <c r="AK2" s="320">
        <f>IFERROR(__xludf.DUMMYFUNCTION("""COMPUTED_VALUE"""),0.2806)</f>
        <v>0.2806</v>
      </c>
      <c r="AL2" s="320">
        <f>IFERROR(__xludf.DUMMYFUNCTION("""COMPUTED_VALUE"""),15.32)</f>
        <v>15.32</v>
      </c>
      <c r="AM2" s="320">
        <f>IFERROR(__xludf.DUMMYFUNCTION("""COMPUTED_VALUE"""),8.08)</f>
        <v>8.08</v>
      </c>
      <c r="AN2" s="331"/>
      <c r="AO2" s="331"/>
    </row>
    <row r="3" ht="15.0" customHeight="1">
      <c r="A3" s="330">
        <f>IFERROR(__xludf.DUMMYFUNCTION("""COMPUTED_VALUE"""),46050.0)</f>
        <v>46050</v>
      </c>
      <c r="B3" s="319" t="str">
        <f>IFERROR(__xludf.DUMMYFUNCTION("""COMPUTED_VALUE"""),"B. 1-9")</f>
        <v>B. 1-9</v>
      </c>
      <c r="C3" s="320">
        <f>IFERROR(__xludf.DUMMYFUNCTION("""COMPUTED_VALUE"""),39036.0)</f>
        <v>39036</v>
      </c>
      <c r="D3" s="320">
        <f>IFERROR(__xludf.DUMMYFUNCTION("""COMPUTED_VALUE"""),46.0)</f>
        <v>46</v>
      </c>
      <c r="E3" s="320">
        <f>IFERROR(__xludf.DUMMYFUNCTION("""COMPUTED_VALUE"""),6773.09)</f>
        <v>6773.09</v>
      </c>
      <c r="F3" s="320">
        <f>IFERROR(__xludf.DUMMYFUNCTION("""COMPUTED_VALUE"""),0.1735)</f>
        <v>0.1735</v>
      </c>
      <c r="G3" s="320">
        <f>IFERROR(__xludf.DUMMYFUNCTION("""COMPUTED_VALUE"""),4.58)</f>
        <v>4.58</v>
      </c>
      <c r="H3" s="320">
        <f>IFERROR(__xludf.DUMMYFUNCTION("""COMPUTED_VALUE"""),3.786)</f>
        <v>3.786</v>
      </c>
      <c r="I3" s="320">
        <f>IFERROR(__xludf.DUMMYFUNCTION("""COMPUTED_VALUE"""),29.33)</f>
        <v>29.33</v>
      </c>
      <c r="J3" s="320">
        <f>IFERROR(__xludf.DUMMYFUNCTION("""COMPUTED_VALUE"""),15.83)</f>
        <v>15.83</v>
      </c>
      <c r="K3" s="320">
        <f>IFERROR(__xludf.DUMMYFUNCTION("""COMPUTED_VALUE"""),4.14)</f>
        <v>4.14</v>
      </c>
      <c r="L3" s="320">
        <f>IFERROR(__xludf.DUMMYFUNCTION("""COMPUTED_VALUE"""),0.2619)</f>
        <v>0.2619</v>
      </c>
      <c r="M3" s="320">
        <f>IFERROR(__xludf.DUMMYFUNCTION("""COMPUTED_VALUE"""),0.8003)</f>
        <v>0.8003</v>
      </c>
      <c r="N3" s="320">
        <f>IFERROR(__xludf.DUMMYFUNCTION("""COMPUTED_VALUE"""),0.5733)</f>
        <v>0.5733</v>
      </c>
      <c r="O3" s="320">
        <f>IFERROR(__xludf.DUMMYFUNCTION("""COMPUTED_VALUE"""),3.818)</f>
        <v>3.818</v>
      </c>
      <c r="P3" s="320">
        <f>IFERROR(__xludf.DUMMYFUNCTION("""COMPUTED_VALUE"""),54.8)</f>
        <v>54.8</v>
      </c>
      <c r="Q3" s="320">
        <f>IFERROR(__xludf.DUMMYFUNCTION("""COMPUTED_VALUE"""),46.48)</f>
        <v>46.48</v>
      </c>
      <c r="R3" s="320">
        <f>IFERROR(__xludf.DUMMYFUNCTION("""COMPUTED_VALUE"""),8.32)</f>
        <v>8.32</v>
      </c>
      <c r="S3" s="320">
        <f>IFERROR(__xludf.DUMMYFUNCTION("""COMPUTED_VALUE"""),12.22)</f>
        <v>12.22</v>
      </c>
      <c r="T3" s="320">
        <f>IFERROR(__xludf.DUMMYFUNCTION("""COMPUTED_VALUE"""),42.58)</f>
        <v>42.58</v>
      </c>
      <c r="U3" s="320">
        <f>IFERROR(__xludf.DUMMYFUNCTION("""COMPUTED_VALUE"""),59.61)</f>
        <v>59.61</v>
      </c>
      <c r="V3" s="320">
        <f>IFERROR(__xludf.DUMMYFUNCTION("""COMPUTED_VALUE"""),3.767)</f>
        <v>3.767</v>
      </c>
      <c r="W3" s="320">
        <f>IFERROR(__xludf.DUMMYFUNCTION("""COMPUTED_VALUE"""),22.31)</f>
        <v>22.31</v>
      </c>
      <c r="X3" s="320">
        <f>IFERROR(__xludf.DUMMYFUNCTION("""COMPUTED_VALUE"""),85.0)</f>
        <v>85</v>
      </c>
      <c r="Y3" s="320">
        <f>IFERROR(__xludf.DUMMYFUNCTION("""COMPUTED_VALUE"""),199.0)</f>
        <v>199</v>
      </c>
      <c r="Z3" s="320">
        <f>IFERROR(__xludf.DUMMYFUNCTION("""COMPUTED_VALUE"""),778.0)</f>
        <v>778</v>
      </c>
      <c r="AA3" s="320">
        <f>IFERROR(__xludf.DUMMYFUNCTION("""COMPUTED_VALUE"""),50.15)</f>
        <v>50.15</v>
      </c>
      <c r="AB3" s="320">
        <f>IFERROR(__xludf.DUMMYFUNCTION("""COMPUTED_VALUE"""),0.4828)</f>
        <v>0.4828</v>
      </c>
      <c r="AC3" s="320">
        <f>IFERROR(__xludf.DUMMYFUNCTION("""COMPUTED_VALUE"""),2.66)</f>
        <v>2.66</v>
      </c>
      <c r="AD3" s="320">
        <f>IFERROR(__xludf.DUMMYFUNCTION("""COMPUTED_VALUE"""),1.0)</f>
        <v>1</v>
      </c>
      <c r="AE3" s="320">
        <f>IFERROR(__xludf.DUMMYFUNCTION("""COMPUTED_VALUE"""),2.0)</f>
        <v>2</v>
      </c>
      <c r="AF3" s="320">
        <f>IFERROR(__xludf.DUMMYFUNCTION("""COMPUTED_VALUE"""),4.0)</f>
        <v>4</v>
      </c>
      <c r="AG3" s="320">
        <f>IFERROR(__xludf.DUMMYFUNCTION("""COMPUTED_VALUE"""),6.0)</f>
        <v>6</v>
      </c>
      <c r="AH3" s="320">
        <f>IFERROR(__xludf.DUMMYFUNCTION("""COMPUTED_VALUE"""),63.22)</f>
        <v>63.22</v>
      </c>
      <c r="AI3" s="320">
        <f>IFERROR(__xludf.DUMMYFUNCTION("""COMPUTED_VALUE"""),17.12)</f>
        <v>17.12</v>
      </c>
      <c r="AJ3" s="320">
        <f>IFERROR(__xludf.DUMMYFUNCTION("""COMPUTED_VALUE"""),0.0)</f>
        <v>0</v>
      </c>
      <c r="AK3" s="320">
        <f>IFERROR(__xludf.DUMMYFUNCTION("""COMPUTED_VALUE"""),0.2265)</f>
        <v>0.2265</v>
      </c>
      <c r="AL3" s="320">
        <f>IFERROR(__xludf.DUMMYFUNCTION("""COMPUTED_VALUE"""),17.98)</f>
        <v>17.98</v>
      </c>
      <c r="AM3" s="320">
        <f>IFERROR(__xludf.DUMMYFUNCTION("""COMPUTED_VALUE"""),28.5)</f>
        <v>28.5</v>
      </c>
      <c r="AN3" s="320">
        <f>IFERROR(__xludf.DUMMYFUNCTION("""COMPUTED_VALUE"""),14.29)</f>
        <v>14.29</v>
      </c>
      <c r="AO3" s="320">
        <f>IFERROR(__xludf.DUMMYFUNCTION("""COMPUTED_VALUE"""),2.57)</f>
        <v>2.57</v>
      </c>
    </row>
    <row r="4" ht="15.0" customHeight="1">
      <c r="A4" s="330">
        <f>IFERROR(__xludf.DUMMYFUNCTION("""COMPUTED_VALUE"""),46050.0)</f>
        <v>46050</v>
      </c>
      <c r="B4" s="319" t="str">
        <f>IFERROR(__xludf.DUMMYFUNCTION("""COMPUTED_VALUE"""),"C. 10-19")</f>
        <v>C. 10-19</v>
      </c>
      <c r="C4" s="320">
        <f>IFERROR(__xludf.DUMMYFUNCTION("""COMPUTED_VALUE"""),14221.0)</f>
        <v>14221</v>
      </c>
      <c r="D4" s="320">
        <f>IFERROR(__xludf.DUMMYFUNCTION("""COMPUTED_VALUE"""),16.76)</f>
        <v>16.76</v>
      </c>
      <c r="E4" s="320">
        <f>IFERROR(__xludf.DUMMYFUNCTION("""COMPUTED_VALUE"""),13958.11)</f>
        <v>13958.11</v>
      </c>
      <c r="F4" s="320">
        <f>IFERROR(__xludf.DUMMYFUNCTION("""COMPUTED_VALUE"""),0.9815)</f>
        <v>0.9815</v>
      </c>
      <c r="G4" s="320">
        <f>IFERROR(__xludf.DUMMYFUNCTION("""COMPUTED_VALUE"""),22.08)</f>
        <v>22.08</v>
      </c>
      <c r="H4" s="320">
        <f>IFERROR(__xludf.DUMMYFUNCTION("""COMPUTED_VALUE"""),4.4453)</f>
        <v>4.4453</v>
      </c>
      <c r="I4" s="320">
        <f>IFERROR(__xludf.DUMMYFUNCTION("""COMPUTED_VALUE"""),62.89)</f>
        <v>62.89</v>
      </c>
      <c r="J4" s="320">
        <f>IFERROR(__xludf.DUMMYFUNCTION("""COMPUTED_VALUE"""),36.14)</f>
        <v>36.14</v>
      </c>
      <c r="K4" s="320">
        <f>IFERROR(__xludf.DUMMYFUNCTION("""COMPUTED_VALUE"""),13.84)</f>
        <v>13.84</v>
      </c>
      <c r="L4" s="320">
        <f>IFERROR(__xludf.DUMMYFUNCTION("""COMPUTED_VALUE"""),0.3829)</f>
        <v>0.3829</v>
      </c>
      <c r="M4" s="320">
        <f>IFERROR(__xludf.DUMMYFUNCTION("""COMPUTED_VALUE"""),0.6748)</f>
        <v>0.6748</v>
      </c>
      <c r="N4" s="320">
        <f>IFERROR(__xludf.DUMMYFUNCTION("""COMPUTED_VALUE"""),0.4007)</f>
        <v>0.4007</v>
      </c>
      <c r="O4" s="320">
        <f>IFERROR(__xludf.DUMMYFUNCTION("""COMPUTED_VALUE"""),2.6118)</f>
        <v>2.6118</v>
      </c>
      <c r="P4" s="320">
        <f>IFERROR(__xludf.DUMMYFUNCTION("""COMPUTED_VALUE"""),149.82)</f>
        <v>149.82</v>
      </c>
      <c r="Q4" s="320">
        <f>IFERROR(__xludf.DUMMYFUNCTION("""COMPUTED_VALUE"""),121.38)</f>
        <v>121.38</v>
      </c>
      <c r="R4" s="320">
        <f>IFERROR(__xludf.DUMMYFUNCTION("""COMPUTED_VALUE"""),28.44)</f>
        <v>28.44</v>
      </c>
      <c r="S4" s="320">
        <f>IFERROR(__xludf.DUMMYFUNCTION("""COMPUTED_VALUE"""),66.54)</f>
        <v>66.54</v>
      </c>
      <c r="T4" s="320">
        <f>IFERROR(__xludf.DUMMYFUNCTION("""COMPUTED_VALUE"""),83.29)</f>
        <v>83.29</v>
      </c>
      <c r="U4" s="320">
        <f>IFERROR(__xludf.DUMMYFUNCTION("""COMPUTED_VALUE"""),169.63)</f>
        <v>169.63</v>
      </c>
      <c r="V4" s="320">
        <f>IFERROR(__xludf.DUMMYFUNCTION("""COMPUTED_VALUE"""),4.6936)</f>
        <v>4.6936</v>
      </c>
      <c r="W4" s="320">
        <f>IFERROR(__xludf.DUMMYFUNCTION("""COMPUTED_VALUE"""),44.41)</f>
        <v>44.41</v>
      </c>
      <c r="X4" s="320">
        <f>IFERROR(__xludf.DUMMYFUNCTION("""COMPUTED_VALUE"""),85.0)</f>
        <v>85</v>
      </c>
      <c r="Y4" s="320">
        <f>IFERROR(__xludf.DUMMYFUNCTION("""COMPUTED_VALUE"""),205.0)</f>
        <v>205</v>
      </c>
      <c r="Z4" s="320">
        <f>IFERROR(__xludf.DUMMYFUNCTION("""COMPUTED_VALUE"""),789.0)</f>
        <v>789</v>
      </c>
      <c r="AA4" s="320">
        <f>IFERROR(__xludf.DUMMYFUNCTION("""COMPUTED_VALUE"""),52.03)</f>
        <v>52.03</v>
      </c>
      <c r="AB4" s="320">
        <f>IFERROR(__xludf.DUMMYFUNCTION("""COMPUTED_VALUE"""),0.5195)</f>
        <v>0.5195</v>
      </c>
      <c r="AC4" s="320">
        <f>IFERROR(__xludf.DUMMYFUNCTION("""COMPUTED_VALUE"""),8.54)</f>
        <v>8.54</v>
      </c>
      <c r="AD4" s="320">
        <f>IFERROR(__xludf.DUMMYFUNCTION("""COMPUTED_VALUE"""),5.0)</f>
        <v>5</v>
      </c>
      <c r="AE4" s="320">
        <f>IFERROR(__xludf.DUMMYFUNCTION("""COMPUTED_VALUE"""),8.0)</f>
        <v>8</v>
      </c>
      <c r="AF4" s="320">
        <f>IFERROR(__xludf.DUMMYFUNCTION("""COMPUTED_VALUE"""),12.0)</f>
        <v>12</v>
      </c>
      <c r="AG4" s="320">
        <f>IFERROR(__xludf.DUMMYFUNCTION("""COMPUTED_VALUE"""),15.0)</f>
        <v>15</v>
      </c>
      <c r="AH4" s="320">
        <f>IFERROR(__xludf.DUMMYFUNCTION("""COMPUTED_VALUE"""),66.87)</f>
        <v>66.87</v>
      </c>
      <c r="AI4" s="320">
        <f>IFERROR(__xludf.DUMMYFUNCTION("""COMPUTED_VALUE"""),21.6)</f>
        <v>21.6</v>
      </c>
      <c r="AJ4" s="320">
        <f>IFERROR(__xludf.DUMMYFUNCTION("""COMPUTED_VALUE"""),0.0)</f>
        <v>0</v>
      </c>
      <c r="AK4" s="320">
        <f>IFERROR(__xludf.DUMMYFUNCTION("""COMPUTED_VALUE"""),0.1982)</f>
        <v>0.1982</v>
      </c>
      <c r="AL4" s="320">
        <f>IFERROR(__xludf.DUMMYFUNCTION("""COMPUTED_VALUE"""),21.69)</f>
        <v>21.69</v>
      </c>
      <c r="AM4" s="320">
        <f>IFERROR(__xludf.DUMMYFUNCTION("""COMPUTED_VALUE"""),99.69)</f>
        <v>99.69</v>
      </c>
      <c r="AN4" s="320">
        <f>IFERROR(__xludf.DUMMYFUNCTION("""COMPUTED_VALUE"""),14.29)</f>
        <v>14.29</v>
      </c>
      <c r="AO4" s="320">
        <f>IFERROR(__xludf.DUMMYFUNCTION("""COMPUTED_VALUE"""),3.1)</f>
        <v>3.1</v>
      </c>
    </row>
    <row r="5" ht="15.0" customHeight="1">
      <c r="A5" s="330">
        <f>IFERROR(__xludf.DUMMYFUNCTION("""COMPUTED_VALUE"""),46050.0)</f>
        <v>46050</v>
      </c>
      <c r="B5" s="319" t="str">
        <f>IFERROR(__xludf.DUMMYFUNCTION("""COMPUTED_VALUE"""),"D. 20-39")</f>
        <v>D. 20-39</v>
      </c>
      <c r="C5" s="320">
        <f>IFERROR(__xludf.DUMMYFUNCTION("""COMPUTED_VALUE"""),9083.0)</f>
        <v>9083</v>
      </c>
      <c r="D5" s="320">
        <f>IFERROR(__xludf.DUMMYFUNCTION("""COMPUTED_VALUE"""),10.7)</f>
        <v>10.7</v>
      </c>
      <c r="E5" s="320">
        <f>IFERROR(__xludf.DUMMYFUNCTION("""COMPUTED_VALUE"""),21312.93)</f>
        <v>21312.93</v>
      </c>
      <c r="F5" s="320">
        <f>IFERROR(__xludf.DUMMYFUNCTION("""COMPUTED_VALUE"""),2.3465)</f>
        <v>2.3465</v>
      </c>
      <c r="G5" s="320">
        <f>IFERROR(__xludf.DUMMYFUNCTION("""COMPUTED_VALUE"""),37.88)</f>
        <v>37.88</v>
      </c>
      <c r="H5" s="320">
        <f>IFERROR(__xludf.DUMMYFUNCTION("""COMPUTED_VALUE"""),6.1938)</f>
        <v>6.1938</v>
      </c>
      <c r="I5" s="320">
        <f>IFERROR(__xludf.DUMMYFUNCTION("""COMPUTED_VALUE"""),89.79)</f>
        <v>89.79</v>
      </c>
      <c r="J5" s="320">
        <f>IFERROR(__xludf.DUMMYFUNCTION("""COMPUTED_VALUE"""),53.59)</f>
        <v>53.59</v>
      </c>
      <c r="K5" s="320">
        <f>IFERROR(__xludf.DUMMYFUNCTION("""COMPUTED_VALUE"""),27.23)</f>
        <v>27.23</v>
      </c>
      <c r="L5" s="320">
        <f>IFERROR(__xludf.DUMMYFUNCTION("""COMPUTED_VALUE"""),0.5081)</f>
        <v>0.5081</v>
      </c>
      <c r="M5" s="320">
        <f>IFERROR(__xludf.DUMMYFUNCTION("""COMPUTED_VALUE"""),0.5579)</f>
        <v>0.5579</v>
      </c>
      <c r="N5" s="320">
        <f>IFERROR(__xludf.DUMMYFUNCTION("""COMPUTED_VALUE"""),0.3124)</f>
        <v>0.3124</v>
      </c>
      <c r="O5" s="320">
        <f>IFERROR(__xludf.DUMMYFUNCTION("""COMPUTED_VALUE"""),1.968)</f>
        <v>1.968</v>
      </c>
      <c r="P5" s="320">
        <f>IFERROR(__xludf.DUMMYFUNCTION("""COMPUTED_VALUE"""),289.41)</f>
        <v>289.41</v>
      </c>
      <c r="Q5" s="320">
        <f>IFERROR(__xludf.DUMMYFUNCTION("""COMPUTED_VALUE"""),232.45)</f>
        <v>232.45</v>
      </c>
      <c r="R5" s="320">
        <f>IFERROR(__xludf.DUMMYFUNCTION("""COMPUTED_VALUE"""),56.95)</f>
        <v>56.95</v>
      </c>
      <c r="S5" s="320">
        <f>IFERROR(__xludf.DUMMYFUNCTION("""COMPUTED_VALUE"""),155.52)</f>
        <v>155.52</v>
      </c>
      <c r="T5" s="320">
        <f>IFERROR(__xludf.DUMMYFUNCTION("""COMPUTED_VALUE"""),133.88)</f>
        <v>133.88</v>
      </c>
      <c r="U5" s="320">
        <f>IFERROR(__xludf.DUMMYFUNCTION("""COMPUTED_VALUE"""),328.06)</f>
        <v>328.06</v>
      </c>
      <c r="V5" s="320">
        <f>IFERROR(__xludf.DUMMYFUNCTION("""COMPUTED_VALUE"""),6.1215)</f>
        <v>6.1215</v>
      </c>
      <c r="W5" s="320">
        <f>IFERROR(__xludf.DUMMYFUNCTION("""COMPUTED_VALUE"""),53.74)</f>
        <v>53.74</v>
      </c>
      <c r="X5" s="320">
        <f>IFERROR(__xludf.DUMMYFUNCTION("""COMPUTED_VALUE"""),84.0)</f>
        <v>84</v>
      </c>
      <c r="Y5" s="320">
        <f>IFERROR(__xludf.DUMMYFUNCTION("""COMPUTED_VALUE"""),198.0)</f>
        <v>198</v>
      </c>
      <c r="Z5" s="320">
        <f>IFERROR(__xludf.DUMMYFUNCTION("""COMPUTED_VALUE"""),677.0)</f>
        <v>677</v>
      </c>
      <c r="AA5" s="320">
        <f>IFERROR(__xludf.DUMMYFUNCTION("""COMPUTED_VALUE"""),53.4531)</f>
        <v>53.4531</v>
      </c>
      <c r="AB5" s="320">
        <f>IFERROR(__xludf.DUMMYFUNCTION("""COMPUTED_VALUE"""),0.583)</f>
        <v>0.583</v>
      </c>
      <c r="AC5" s="320">
        <f>IFERROR(__xludf.DUMMYFUNCTION("""COMPUTED_VALUE"""),17.28)</f>
        <v>17.28</v>
      </c>
      <c r="AD5" s="320">
        <f>IFERROR(__xludf.DUMMYFUNCTION("""COMPUTED_VALUE"""),9.0)</f>
        <v>9</v>
      </c>
      <c r="AE5" s="320">
        <f>IFERROR(__xludf.DUMMYFUNCTION("""COMPUTED_VALUE"""),17.0)</f>
        <v>17</v>
      </c>
      <c r="AF5" s="320">
        <f>IFERROR(__xludf.DUMMYFUNCTION("""COMPUTED_VALUE"""),24.0)</f>
        <v>24</v>
      </c>
      <c r="AG5" s="320">
        <f>IFERROR(__xludf.DUMMYFUNCTION("""COMPUTED_VALUE"""),31.0)</f>
        <v>31</v>
      </c>
      <c r="AH5" s="320">
        <f>IFERROR(__xludf.DUMMYFUNCTION("""COMPUTED_VALUE"""),67.76)</f>
        <v>67.76</v>
      </c>
      <c r="AI5" s="320">
        <f>IFERROR(__xludf.DUMMYFUNCTION("""COMPUTED_VALUE"""),21.07)</f>
        <v>21.07</v>
      </c>
      <c r="AJ5" s="320">
        <f>IFERROR(__xludf.DUMMYFUNCTION("""COMPUTED_VALUE"""),0.0)</f>
        <v>0</v>
      </c>
      <c r="AK5" s="320">
        <f>IFERROR(__xludf.DUMMYFUNCTION("""COMPUTED_VALUE"""),0.1788)</f>
        <v>0.1788</v>
      </c>
      <c r="AL5" s="320">
        <f>IFERROR(__xludf.DUMMYFUNCTION("""COMPUTED_VALUE"""),23.42)</f>
        <v>23.42</v>
      </c>
      <c r="AM5" s="320">
        <f>IFERROR(__xludf.DUMMYFUNCTION("""COMPUTED_VALUE"""),209.04)</f>
        <v>209.04</v>
      </c>
      <c r="AN5" s="320">
        <f>IFERROR(__xludf.DUMMYFUNCTION("""COMPUTED_VALUE"""),14.29)</f>
        <v>14.29</v>
      </c>
      <c r="AO5" s="320">
        <f>IFERROR(__xludf.DUMMYFUNCTION("""COMPUTED_VALUE"""),3.35)</f>
        <v>3.35</v>
      </c>
    </row>
    <row r="6" ht="15.0" customHeight="1">
      <c r="A6" s="330">
        <f>IFERROR(__xludf.DUMMYFUNCTION("""COMPUTED_VALUE"""),46050.0)</f>
        <v>46050</v>
      </c>
      <c r="B6" s="319" t="str">
        <f>IFERROR(__xludf.DUMMYFUNCTION("""COMPUTED_VALUE"""),"E. 40-99")</f>
        <v>E. 40-99</v>
      </c>
      <c r="C6" s="320">
        <f>IFERROR(__xludf.DUMMYFUNCTION("""COMPUTED_VALUE"""),3955.0)</f>
        <v>3955</v>
      </c>
      <c r="D6" s="320">
        <f>IFERROR(__xludf.DUMMYFUNCTION("""COMPUTED_VALUE"""),4.66)</f>
        <v>4.66</v>
      </c>
      <c r="E6" s="320">
        <f>IFERROR(__xludf.DUMMYFUNCTION("""COMPUTED_VALUE"""),26498.23)</f>
        <v>26498.23</v>
      </c>
      <c r="F6" s="320">
        <f>IFERROR(__xludf.DUMMYFUNCTION("""COMPUTED_VALUE"""),6.6999)</f>
        <v>6.6999</v>
      </c>
      <c r="G6" s="320">
        <f>IFERROR(__xludf.DUMMYFUNCTION("""COMPUTED_VALUE"""),51.83)</f>
        <v>51.83</v>
      </c>
      <c r="H6" s="320">
        <f>IFERROR(__xludf.DUMMYFUNCTION("""COMPUTED_VALUE"""),12.926)</f>
        <v>12.926</v>
      </c>
      <c r="I6" s="320">
        <f>IFERROR(__xludf.DUMMYFUNCTION("""COMPUTED_VALUE"""),146.39)</f>
        <v>146.39</v>
      </c>
      <c r="J6" s="320">
        <f>IFERROR(__xludf.DUMMYFUNCTION("""COMPUTED_VALUE"""),90.37)</f>
        <v>90.37</v>
      </c>
      <c r="K6" s="320">
        <f>IFERROR(__xludf.DUMMYFUNCTION("""COMPUTED_VALUE"""),57.23)</f>
        <v>57.23</v>
      </c>
      <c r="L6" s="320">
        <f>IFERROR(__xludf.DUMMYFUNCTION("""COMPUTED_VALUE"""),0.6332)</f>
        <v>0.6332</v>
      </c>
      <c r="M6" s="320">
        <f>IFERROR(__xludf.DUMMYFUNCTION("""COMPUTED_VALUE"""),0.4466)</f>
        <v>0.4466</v>
      </c>
      <c r="N6" s="320">
        <f>IFERROR(__xludf.DUMMYFUNCTION("""COMPUTED_VALUE"""),0.2517)</f>
        <v>0.2517</v>
      </c>
      <c r="O6" s="320">
        <f>IFERROR(__xludf.DUMMYFUNCTION("""COMPUTED_VALUE"""),1.5793)</f>
        <v>1.5793</v>
      </c>
      <c r="P6" s="320">
        <f>IFERROR(__xludf.DUMMYFUNCTION("""COMPUTED_VALUE"""),656.03)</f>
        <v>656.03</v>
      </c>
      <c r="Q6" s="320">
        <f>IFERROR(__xludf.DUMMYFUNCTION("""COMPUTED_VALUE"""),535.52)</f>
        <v>535.52</v>
      </c>
      <c r="R6" s="320">
        <f>IFERROR(__xludf.DUMMYFUNCTION("""COMPUTED_VALUE"""),120.51)</f>
        <v>120.51</v>
      </c>
      <c r="S6" s="320">
        <f>IFERROR(__xludf.DUMMYFUNCTION("""COMPUTED_VALUE"""),421.53)</f>
        <v>421.53</v>
      </c>
      <c r="T6" s="320">
        <f>IFERROR(__xludf.DUMMYFUNCTION("""COMPUTED_VALUE"""),234.5)</f>
        <v>234.5</v>
      </c>
      <c r="U6" s="320">
        <f>IFERROR(__xludf.DUMMYFUNCTION("""COMPUTED_VALUE"""),713.83)</f>
        <v>713.83</v>
      </c>
      <c r="V6" s="320">
        <f>IFERROR(__xludf.DUMMYFUNCTION("""COMPUTED_VALUE"""),7.8987)</f>
        <v>7.8987</v>
      </c>
      <c r="W6" s="320">
        <f>IFERROR(__xludf.DUMMYFUNCTION("""COMPUTED_VALUE"""),64.25)</f>
        <v>64.25</v>
      </c>
      <c r="X6" s="320">
        <f>IFERROR(__xludf.DUMMYFUNCTION("""COMPUTED_VALUE"""),91.0)</f>
        <v>91</v>
      </c>
      <c r="Y6" s="320">
        <f>IFERROR(__xludf.DUMMYFUNCTION("""COMPUTED_VALUE"""),265.0)</f>
        <v>265</v>
      </c>
      <c r="Z6" s="320">
        <f>IFERROR(__xludf.DUMMYFUNCTION("""COMPUTED_VALUE"""),891.0)</f>
        <v>891</v>
      </c>
      <c r="AA6" s="320">
        <f>IFERROR(__xludf.DUMMYFUNCTION("""COMPUTED_VALUE"""),55.9011)</f>
        <v>55.9011</v>
      </c>
      <c r="AB6" s="320">
        <f>IFERROR(__xludf.DUMMYFUNCTION("""COMPUTED_VALUE"""),0.691)</f>
        <v>0.691</v>
      </c>
      <c r="AC6" s="320">
        <f>IFERROR(__xludf.DUMMYFUNCTION("""COMPUTED_VALUE"""),36.35)</f>
        <v>36.35</v>
      </c>
      <c r="AD6" s="320">
        <f>IFERROR(__xludf.DUMMYFUNCTION("""COMPUTED_VALUE"""),17.0)</f>
        <v>17</v>
      </c>
      <c r="AE6" s="320">
        <f>IFERROR(__xludf.DUMMYFUNCTION("""COMPUTED_VALUE"""),35.0)</f>
        <v>35</v>
      </c>
      <c r="AF6" s="320">
        <f>IFERROR(__xludf.DUMMYFUNCTION("""COMPUTED_VALUE"""),50.0)</f>
        <v>50</v>
      </c>
      <c r="AG6" s="320">
        <f>IFERROR(__xludf.DUMMYFUNCTION("""COMPUTED_VALUE"""),67.0)</f>
        <v>67</v>
      </c>
      <c r="AH6" s="320">
        <f>IFERROR(__xludf.DUMMYFUNCTION("""COMPUTED_VALUE"""),58.89)</f>
        <v>58.89</v>
      </c>
      <c r="AI6" s="320">
        <f>IFERROR(__xludf.DUMMYFUNCTION("""COMPUTED_VALUE"""),14.87)</f>
        <v>14.87</v>
      </c>
      <c r="AJ6" s="320">
        <f>IFERROR(__xludf.DUMMYFUNCTION("""COMPUTED_VALUE"""),0.0)</f>
        <v>0</v>
      </c>
      <c r="AK6" s="320">
        <f>IFERROR(__xludf.DUMMYFUNCTION("""COMPUTED_VALUE"""),0.1697)</f>
        <v>0.1697</v>
      </c>
      <c r="AL6" s="320">
        <f>IFERROR(__xludf.DUMMYFUNCTION("""COMPUTED_VALUE"""),23.28)</f>
        <v>23.28</v>
      </c>
      <c r="AM6" s="320">
        <f>IFERROR(__xludf.DUMMYFUNCTION("""COMPUTED_VALUE"""),512.24)</f>
        <v>512.24</v>
      </c>
      <c r="AN6" s="320">
        <f>IFERROR(__xludf.DUMMYFUNCTION("""COMPUTED_VALUE"""),14.29)</f>
        <v>14.29</v>
      </c>
      <c r="AO6" s="320">
        <f>IFERROR(__xludf.DUMMYFUNCTION("""COMPUTED_VALUE"""),3.33)</f>
        <v>3.33</v>
      </c>
    </row>
    <row r="7" ht="15.0" customHeight="1">
      <c r="A7" s="330">
        <f>IFERROR(__xludf.DUMMYFUNCTION("""COMPUTED_VALUE"""),46050.0)</f>
        <v>46050</v>
      </c>
      <c r="B7" s="319" t="str">
        <f>IFERROR(__xludf.DUMMYFUNCTION("""COMPUTED_VALUE"""),"F. 100+")</f>
        <v>F. 100+</v>
      </c>
      <c r="C7" s="320">
        <f>IFERROR(__xludf.DUMMYFUNCTION("""COMPUTED_VALUE"""),671.0)</f>
        <v>671</v>
      </c>
      <c r="D7" s="320">
        <f>IFERROR(__xludf.DUMMYFUNCTION("""COMPUTED_VALUE"""),0.79)</f>
        <v>0.79</v>
      </c>
      <c r="E7" s="320">
        <f>IFERROR(__xludf.DUMMYFUNCTION("""COMPUTED_VALUE"""),11149.1)</f>
        <v>11149.1</v>
      </c>
      <c r="F7" s="320">
        <f>IFERROR(__xludf.DUMMYFUNCTION("""COMPUTED_VALUE"""),16.6156)</f>
        <v>16.6156</v>
      </c>
      <c r="G7" s="320">
        <f>IFERROR(__xludf.DUMMYFUNCTION("""COMPUTED_VALUE"""),57.53)</f>
        <v>57.53</v>
      </c>
      <c r="H7" s="320">
        <f>IFERROR(__xludf.DUMMYFUNCTION("""COMPUTED_VALUE"""),28.8837)</f>
        <v>28.8837</v>
      </c>
      <c r="I7" s="320">
        <f>IFERROR(__xludf.DUMMYFUNCTION("""COMPUTED_VALUE"""),277.53)</f>
        <v>277.53</v>
      </c>
      <c r="J7" s="320">
        <f>IFERROR(__xludf.DUMMYFUNCTION("""COMPUTED_VALUE"""),176.25)</f>
        <v>176.25</v>
      </c>
      <c r="K7" s="320">
        <f>IFERROR(__xludf.DUMMYFUNCTION("""COMPUTED_VALUE"""),142.94)</f>
        <v>142.94</v>
      </c>
      <c r="L7" s="320">
        <f>IFERROR(__xludf.DUMMYFUNCTION("""COMPUTED_VALUE"""),0.811)</f>
        <v>0.811</v>
      </c>
      <c r="M7" s="320">
        <f>IFERROR(__xludf.DUMMYFUNCTION("""COMPUTED_VALUE"""),0.2817)</f>
        <v>0.2817</v>
      </c>
      <c r="N7" s="320">
        <f>IFERROR(__xludf.DUMMYFUNCTION("""COMPUTED_VALUE"""),0.1803)</f>
        <v>0.1803</v>
      </c>
      <c r="O7" s="320">
        <f>IFERROR(__xludf.DUMMYFUNCTION("""COMPUTED_VALUE"""),1.2331)</f>
        <v>1.2331</v>
      </c>
      <c r="P7" s="320">
        <f>IFERROR(__xludf.DUMMYFUNCTION("""COMPUTED_VALUE"""),1504.73)</f>
        <v>1504.73</v>
      </c>
      <c r="Q7" s="320">
        <f>IFERROR(__xludf.DUMMYFUNCTION("""COMPUTED_VALUE"""),1202.94)</f>
        <v>1202.94</v>
      </c>
      <c r="R7" s="320">
        <f>IFERROR(__xludf.DUMMYFUNCTION("""COMPUTED_VALUE"""),301.79)</f>
        <v>301.79</v>
      </c>
      <c r="S7" s="320">
        <f>IFERROR(__xludf.DUMMYFUNCTION("""COMPUTED_VALUE"""),1002.82)</f>
        <v>1002.82</v>
      </c>
      <c r="T7" s="320">
        <f>IFERROR(__xludf.DUMMYFUNCTION("""COMPUTED_VALUE"""),501.91)</f>
        <v>501.91</v>
      </c>
      <c r="U7" s="320">
        <f>IFERROR(__xludf.DUMMYFUNCTION("""COMPUTED_VALUE"""),1615.42)</f>
        <v>1615.42</v>
      </c>
      <c r="V7" s="320">
        <f>IFERROR(__xludf.DUMMYFUNCTION("""COMPUTED_VALUE"""),9.1654)</f>
        <v>9.1654</v>
      </c>
      <c r="W7" s="320">
        <f>IFERROR(__xludf.DUMMYFUNCTION("""COMPUTED_VALUE"""),66.64)</f>
        <v>66.64</v>
      </c>
      <c r="X7" s="320">
        <f>IFERROR(__xludf.DUMMYFUNCTION("""COMPUTED_VALUE"""),135.0)</f>
        <v>135</v>
      </c>
      <c r="Y7" s="320">
        <f>IFERROR(__xludf.DUMMYFUNCTION("""COMPUTED_VALUE"""),450.0)</f>
        <v>450</v>
      </c>
      <c r="Z7" s="320">
        <f>IFERROR(__xludf.DUMMYFUNCTION("""COMPUTED_VALUE"""),2069.0)</f>
        <v>2069</v>
      </c>
      <c r="AA7" s="320">
        <f>IFERROR(__xludf.DUMMYFUNCTION("""COMPUTED_VALUE"""),58.9396)</f>
        <v>58.9396</v>
      </c>
      <c r="AB7" s="320">
        <f>IFERROR(__xludf.DUMMYFUNCTION("""COMPUTED_VALUE"""),0.8098)</f>
        <v>0.8098</v>
      </c>
      <c r="AC7" s="320">
        <f>IFERROR(__xludf.DUMMYFUNCTION("""COMPUTED_VALUE"""),92.46)</f>
        <v>92.46</v>
      </c>
      <c r="AD7" s="320">
        <f>IFERROR(__xludf.DUMMYFUNCTION("""COMPUTED_VALUE"""),44.0)</f>
        <v>44</v>
      </c>
      <c r="AE7" s="320">
        <f>IFERROR(__xludf.DUMMYFUNCTION("""COMPUTED_VALUE"""),97.0)</f>
        <v>97</v>
      </c>
      <c r="AF7" s="320">
        <f>IFERROR(__xludf.DUMMYFUNCTION("""COMPUTED_VALUE"""),125.0)</f>
        <v>125</v>
      </c>
      <c r="AG7" s="320">
        <f>IFERROR(__xludf.DUMMYFUNCTION("""COMPUTED_VALUE"""),161.0)</f>
        <v>161</v>
      </c>
      <c r="AH7" s="320">
        <f>IFERROR(__xludf.DUMMYFUNCTION("""COMPUTED_VALUE"""),58.27)</f>
        <v>58.27</v>
      </c>
      <c r="AI7" s="320">
        <f>IFERROR(__xludf.DUMMYFUNCTION("""COMPUTED_VALUE"""),7.3)</f>
        <v>7.3</v>
      </c>
      <c r="AJ7" s="320">
        <f>IFERROR(__xludf.DUMMYFUNCTION("""COMPUTED_VALUE"""),1.04)</f>
        <v>1.04</v>
      </c>
      <c r="AK7" s="320">
        <f>IFERROR(__xludf.DUMMYFUNCTION("""COMPUTED_VALUE"""),0.1237)</f>
        <v>0.1237</v>
      </c>
      <c r="AL7" s="320">
        <f>IFERROR(__xludf.DUMMYFUNCTION("""COMPUTED_VALUE"""),21.39)</f>
        <v>21.39</v>
      </c>
      <c r="AM7" s="320">
        <f>IFERROR(__xludf.DUMMYFUNCTION("""COMPUTED_VALUE"""),1181.55)</f>
        <v>1181.55</v>
      </c>
      <c r="AN7" s="320">
        <f>IFERROR(__xludf.DUMMYFUNCTION("""COMPUTED_VALUE"""),14.29)</f>
        <v>14.29</v>
      </c>
      <c r="AO7" s="320">
        <f>IFERROR(__xludf.DUMMYFUNCTION("""COMPUTED_VALUE"""),3.06)</f>
        <v>3.06</v>
      </c>
    </row>
    <row r="8" ht="15.0" customHeight="1">
      <c r="A8" s="330">
        <f>IFERROR(__xludf.DUMMYFUNCTION("""COMPUTED_VALUE"""),46051.0)</f>
        <v>46051</v>
      </c>
      <c r="B8" s="319" t="str">
        <f>IFERROR(__xludf.DUMMYFUNCTION("""COMPUTED_VALUE"""),"A. 0")</f>
        <v>A. 0</v>
      </c>
      <c r="C8" s="320">
        <f>IFERROR(__xludf.DUMMYFUNCTION("""COMPUTED_VALUE"""),18485.0)</f>
        <v>18485</v>
      </c>
      <c r="D8" s="320">
        <f>IFERROR(__xludf.DUMMYFUNCTION("""COMPUTED_VALUE"""),22.2)</f>
        <v>22.2</v>
      </c>
      <c r="E8" s="320">
        <f>IFERROR(__xludf.DUMMYFUNCTION("""COMPUTED_VALUE"""),97.78)</f>
        <v>97.78</v>
      </c>
      <c r="F8" s="320">
        <f>IFERROR(__xludf.DUMMYFUNCTION("""COMPUTED_VALUE"""),0.0053)</f>
        <v>0.0053</v>
      </c>
      <c r="G8" s="320">
        <f>IFERROR(__xludf.DUMMYFUNCTION("""COMPUTED_VALUE"""),0.15)</f>
        <v>0.15</v>
      </c>
      <c r="H8" s="320">
        <f>IFERROR(__xludf.DUMMYFUNCTION("""COMPUTED_VALUE"""),3.6215)</f>
        <v>3.6215</v>
      </c>
      <c r="I8" s="320">
        <f>IFERROR(__xludf.DUMMYFUNCTION("""COMPUTED_VALUE"""),6.32)</f>
        <v>6.32</v>
      </c>
      <c r="J8" s="320">
        <f>IFERROR(__xludf.DUMMYFUNCTION("""COMPUTED_VALUE"""),3.02)</f>
        <v>3.02</v>
      </c>
      <c r="K8" s="320">
        <f>IFERROR(__xludf.DUMMYFUNCTION("""COMPUTED_VALUE"""),0.05)</f>
        <v>0.05</v>
      </c>
      <c r="L8" s="320">
        <f>IFERROR(__xludf.DUMMYFUNCTION("""COMPUTED_VALUE"""),0.0153)</f>
        <v>0.0153</v>
      </c>
      <c r="M8" s="320">
        <f>IFERROR(__xludf.DUMMYFUNCTION("""COMPUTED_VALUE"""),0.9854)</f>
        <v>0.9854</v>
      </c>
      <c r="N8" s="320">
        <f>IFERROR(__xludf.DUMMYFUNCTION("""COMPUTED_VALUE"""),0.784)</f>
        <v>0.784</v>
      </c>
      <c r="O8" s="320">
        <f>IFERROR(__xludf.DUMMYFUNCTION("""COMPUTED_VALUE"""),65.4614)</f>
        <v>65.4614</v>
      </c>
      <c r="P8" s="320">
        <f>IFERROR(__xludf.DUMMYFUNCTION("""COMPUTED_VALUE"""),23.63)</f>
        <v>23.63</v>
      </c>
      <c r="Q8" s="320">
        <f>IFERROR(__xludf.DUMMYFUNCTION("""COMPUTED_VALUE"""),23.57)</f>
        <v>23.57</v>
      </c>
      <c r="R8" s="320">
        <f>IFERROR(__xludf.DUMMYFUNCTION("""COMPUTED_VALUE"""),0.06)</f>
        <v>0.06</v>
      </c>
      <c r="S8" s="320">
        <f>IFERROR(__xludf.DUMMYFUNCTION("""COMPUTED_VALUE"""),0.51)</f>
        <v>0.51</v>
      </c>
      <c r="T8" s="320">
        <f>IFERROR(__xludf.DUMMYFUNCTION("""COMPUTED_VALUE"""),23.13)</f>
        <v>23.13</v>
      </c>
      <c r="U8" s="320">
        <f>IFERROR(__xludf.DUMMYFUNCTION("""COMPUTED_VALUE"""),2.27)</f>
        <v>2.27</v>
      </c>
      <c r="V8" s="320">
        <f>IFERROR(__xludf.DUMMYFUNCTION("""COMPUTED_VALUE"""),0.7504)</f>
        <v>0.7504</v>
      </c>
      <c r="W8" s="320">
        <f>IFERROR(__xludf.DUMMYFUNCTION("""COMPUTED_VALUE"""),2.14)</f>
        <v>2.14</v>
      </c>
      <c r="X8" s="320">
        <f>IFERROR(__xludf.DUMMYFUNCTION("""COMPUTED_VALUE"""),124.0)</f>
        <v>124</v>
      </c>
      <c r="Y8" s="320">
        <f>IFERROR(__xludf.DUMMYFUNCTION("""COMPUTED_VALUE"""),803.0)</f>
        <v>803</v>
      </c>
      <c r="Z8" s="320">
        <f>IFERROR(__xludf.DUMMYFUNCTION("""COMPUTED_VALUE"""),6185.0)</f>
        <v>6185</v>
      </c>
      <c r="AA8" s="320">
        <f>IFERROR(__xludf.DUMMYFUNCTION("""COMPUTED_VALUE"""),49.3397)</f>
        <v>49.3397</v>
      </c>
      <c r="AB8" s="320">
        <f>IFERROR(__xludf.DUMMYFUNCTION("""COMPUTED_VALUE"""),0.507)</f>
        <v>0.507</v>
      </c>
      <c r="AC8" s="106"/>
      <c r="AD8" s="106"/>
      <c r="AE8" s="106"/>
      <c r="AF8" s="106"/>
      <c r="AG8" s="106"/>
      <c r="AH8" s="320">
        <f>IFERROR(__xludf.DUMMYFUNCTION("""COMPUTED_VALUE"""),0.0)</f>
        <v>0</v>
      </c>
      <c r="AI8" s="320">
        <f>IFERROR(__xludf.DUMMYFUNCTION("""COMPUTED_VALUE"""),0.0)</f>
        <v>0</v>
      </c>
      <c r="AJ8" s="320">
        <f>IFERROR(__xludf.DUMMYFUNCTION("""COMPUTED_VALUE"""),0.0)</f>
        <v>0</v>
      </c>
      <c r="AK8" s="320">
        <f>IFERROR(__xludf.DUMMYFUNCTION("""COMPUTED_VALUE"""),0.2899)</f>
        <v>0.2899</v>
      </c>
      <c r="AL8" s="320">
        <f>IFERROR(__xludf.DUMMYFUNCTION("""COMPUTED_VALUE"""),15.77)</f>
        <v>15.77</v>
      </c>
      <c r="AM8" s="320">
        <f>IFERROR(__xludf.DUMMYFUNCTION("""COMPUTED_VALUE"""),7.8)</f>
        <v>7.8</v>
      </c>
      <c r="AN8" s="331"/>
      <c r="AO8" s="331"/>
    </row>
    <row r="9" ht="15.0" customHeight="1">
      <c r="A9" s="330">
        <f>IFERROR(__xludf.DUMMYFUNCTION("""COMPUTED_VALUE"""),46051.0)</f>
        <v>46051</v>
      </c>
      <c r="B9" s="319" t="str">
        <f>IFERROR(__xludf.DUMMYFUNCTION("""COMPUTED_VALUE"""),"B. 1-9")</f>
        <v>B. 1-9</v>
      </c>
      <c r="C9" s="320">
        <f>IFERROR(__xludf.DUMMYFUNCTION("""COMPUTED_VALUE"""),37144.0)</f>
        <v>37144</v>
      </c>
      <c r="D9" s="320">
        <f>IFERROR(__xludf.DUMMYFUNCTION("""COMPUTED_VALUE"""),44.61)</f>
        <v>44.61</v>
      </c>
      <c r="E9" s="320">
        <f>IFERROR(__xludf.DUMMYFUNCTION("""COMPUTED_VALUE"""),7740.79)</f>
        <v>7740.79</v>
      </c>
      <c r="F9" s="320">
        <f>IFERROR(__xludf.DUMMYFUNCTION("""COMPUTED_VALUE"""),0.2084)</f>
        <v>0.2084</v>
      </c>
      <c r="G9" s="320">
        <f>IFERROR(__xludf.DUMMYFUNCTION("""COMPUTED_VALUE"""),5.6)</f>
        <v>5.6</v>
      </c>
      <c r="H9" s="320">
        <f>IFERROR(__xludf.DUMMYFUNCTION("""COMPUTED_VALUE"""),3.7233)</f>
        <v>3.7233</v>
      </c>
      <c r="I9" s="320">
        <f>IFERROR(__xludf.DUMMYFUNCTION("""COMPUTED_VALUE"""),27.59)</f>
        <v>27.59</v>
      </c>
      <c r="J9" s="320">
        <f>IFERROR(__xludf.DUMMYFUNCTION("""COMPUTED_VALUE"""),14.77)</f>
        <v>14.77</v>
      </c>
      <c r="K9" s="320">
        <f>IFERROR(__xludf.DUMMYFUNCTION("""COMPUTED_VALUE"""),4.43)</f>
        <v>4.43</v>
      </c>
      <c r="L9" s="320">
        <f>IFERROR(__xludf.DUMMYFUNCTION("""COMPUTED_VALUE"""),0.3002)</f>
        <v>0.3002</v>
      </c>
      <c r="M9" s="320">
        <f>IFERROR(__xludf.DUMMYFUNCTION("""COMPUTED_VALUE"""),0.7701)</f>
        <v>0.7701</v>
      </c>
      <c r="N9" s="320">
        <f>IFERROR(__xludf.DUMMYFUNCTION("""COMPUTED_VALUE"""),0.5462)</f>
        <v>0.5462</v>
      </c>
      <c r="O9" s="320">
        <f>IFERROR(__xludf.DUMMYFUNCTION("""COMPUTED_VALUE"""),3.3315)</f>
        <v>3.3315</v>
      </c>
      <c r="P9" s="320">
        <f>IFERROR(__xludf.DUMMYFUNCTION("""COMPUTED_VALUE"""),60.82)</f>
        <v>60.82</v>
      </c>
      <c r="Q9" s="320">
        <f>IFERROR(__xludf.DUMMYFUNCTION("""COMPUTED_VALUE"""),51.81)</f>
        <v>51.81</v>
      </c>
      <c r="R9" s="320">
        <f>IFERROR(__xludf.DUMMYFUNCTION("""COMPUTED_VALUE"""),9.01)</f>
        <v>9.01</v>
      </c>
      <c r="S9" s="320">
        <f>IFERROR(__xludf.DUMMYFUNCTION("""COMPUTED_VALUE"""),15.11)</f>
        <v>15.11</v>
      </c>
      <c r="T9" s="320">
        <f>IFERROR(__xludf.DUMMYFUNCTION("""COMPUTED_VALUE"""),45.71)</f>
        <v>45.71</v>
      </c>
      <c r="U9" s="320">
        <f>IFERROR(__xludf.DUMMYFUNCTION("""COMPUTED_VALUE"""),63.22)</f>
        <v>63.22</v>
      </c>
      <c r="V9" s="320">
        <f>IFERROR(__xludf.DUMMYFUNCTION("""COMPUTED_VALUE"""),4.2803)</f>
        <v>4.2803</v>
      </c>
      <c r="W9" s="320">
        <f>IFERROR(__xludf.DUMMYFUNCTION("""COMPUTED_VALUE"""),24.84)</f>
        <v>24.84</v>
      </c>
      <c r="X9" s="320">
        <f>IFERROR(__xludf.DUMMYFUNCTION("""COMPUTED_VALUE"""),86.0)</f>
        <v>86</v>
      </c>
      <c r="Y9" s="320">
        <f>IFERROR(__xludf.DUMMYFUNCTION("""COMPUTED_VALUE"""),198.0)</f>
        <v>198</v>
      </c>
      <c r="Z9" s="320">
        <f>IFERROR(__xludf.DUMMYFUNCTION("""COMPUTED_VALUE"""),773.0)</f>
        <v>773</v>
      </c>
      <c r="AA9" s="320">
        <f>IFERROR(__xludf.DUMMYFUNCTION("""COMPUTED_VALUE"""),49.9568)</f>
        <v>49.9568</v>
      </c>
      <c r="AB9" s="320">
        <f>IFERROR(__xludf.DUMMYFUNCTION("""COMPUTED_VALUE"""),0.4683)</f>
        <v>0.4683</v>
      </c>
      <c r="AC9" s="320">
        <f>IFERROR(__xludf.DUMMYFUNCTION("""COMPUTED_VALUE"""),2.92)</f>
        <v>2.92</v>
      </c>
      <c r="AD9" s="320">
        <f>IFERROR(__xludf.DUMMYFUNCTION("""COMPUTED_VALUE"""),1.0)</f>
        <v>1</v>
      </c>
      <c r="AE9" s="320">
        <f>IFERROR(__xludf.DUMMYFUNCTION("""COMPUTED_VALUE"""),2.0)</f>
        <v>2</v>
      </c>
      <c r="AF9" s="320">
        <f>IFERROR(__xludf.DUMMYFUNCTION("""COMPUTED_VALUE"""),4.0)</f>
        <v>4</v>
      </c>
      <c r="AG9" s="320">
        <f>IFERROR(__xludf.DUMMYFUNCTION("""COMPUTED_VALUE"""),6.0)</f>
        <v>6</v>
      </c>
      <c r="AH9" s="320">
        <f>IFERROR(__xludf.DUMMYFUNCTION("""COMPUTED_VALUE"""),62.71)</f>
        <v>62.71</v>
      </c>
      <c r="AI9" s="320">
        <f>IFERROR(__xludf.DUMMYFUNCTION("""COMPUTED_VALUE"""),19.94)</f>
        <v>19.94</v>
      </c>
      <c r="AJ9" s="320">
        <f>IFERROR(__xludf.DUMMYFUNCTION("""COMPUTED_VALUE"""),2.89)</f>
        <v>2.89</v>
      </c>
      <c r="AK9" s="320">
        <f>IFERROR(__xludf.DUMMYFUNCTION("""COMPUTED_VALUE"""),0.2393)</f>
        <v>0.2393</v>
      </c>
      <c r="AL9" s="320">
        <f>IFERROR(__xludf.DUMMYFUNCTION("""COMPUTED_VALUE"""),19.49)</f>
        <v>19.49</v>
      </c>
      <c r="AM9" s="320">
        <f>IFERROR(__xludf.DUMMYFUNCTION("""COMPUTED_VALUE"""),32.32)</f>
        <v>32.32</v>
      </c>
      <c r="AN9" s="320">
        <f>IFERROR(__xludf.DUMMYFUNCTION("""COMPUTED_VALUE"""),23.6)</f>
        <v>23.6</v>
      </c>
      <c r="AO9" s="320">
        <f>IFERROR(__xludf.DUMMYFUNCTION("""COMPUTED_VALUE"""),4.6)</f>
        <v>4.6</v>
      </c>
    </row>
    <row r="10" ht="15.0" customHeight="1">
      <c r="A10" s="330">
        <f>IFERROR(__xludf.DUMMYFUNCTION("""COMPUTED_VALUE"""),46051.0)</f>
        <v>46051</v>
      </c>
      <c r="B10" s="319" t="str">
        <f>IFERROR(__xludf.DUMMYFUNCTION("""COMPUTED_VALUE"""),"C. 10-19")</f>
        <v>C. 10-19</v>
      </c>
      <c r="C10" s="320">
        <f>IFERROR(__xludf.DUMMYFUNCTION("""COMPUTED_VALUE"""),15137.0)</f>
        <v>15137</v>
      </c>
      <c r="D10" s="320">
        <f>IFERROR(__xludf.DUMMYFUNCTION("""COMPUTED_VALUE"""),18.18)</f>
        <v>18.18</v>
      </c>
      <c r="E10" s="320">
        <f>IFERROR(__xludf.DUMMYFUNCTION("""COMPUTED_VALUE"""),15464.93)</f>
        <v>15464.93</v>
      </c>
      <c r="F10" s="320">
        <f>IFERROR(__xludf.DUMMYFUNCTION("""COMPUTED_VALUE"""),1.0217)</f>
        <v>1.0217</v>
      </c>
      <c r="G10" s="320">
        <f>IFERROR(__xludf.DUMMYFUNCTION("""COMPUTED_VALUE"""),21.31)</f>
        <v>21.31</v>
      </c>
      <c r="H10" s="320">
        <f>IFERROR(__xludf.DUMMYFUNCTION("""COMPUTED_VALUE"""),4.7938)</f>
        <v>4.7938</v>
      </c>
      <c r="I10" s="320">
        <f>IFERROR(__xludf.DUMMYFUNCTION("""COMPUTED_VALUE"""),54.55)</f>
        <v>54.55</v>
      </c>
      <c r="J10" s="320">
        <f>IFERROR(__xludf.DUMMYFUNCTION("""COMPUTED_VALUE"""),30.82)</f>
        <v>30.82</v>
      </c>
      <c r="K10" s="320">
        <f>IFERROR(__xludf.DUMMYFUNCTION("""COMPUTED_VALUE"""),13.49)</f>
        <v>13.49</v>
      </c>
      <c r="L10" s="320">
        <f>IFERROR(__xludf.DUMMYFUNCTION("""COMPUTED_VALUE"""),0.4377)</f>
        <v>0.4377</v>
      </c>
      <c r="M10" s="320">
        <f>IFERROR(__xludf.DUMMYFUNCTION("""COMPUTED_VALUE"""),0.6292)</f>
        <v>0.6292</v>
      </c>
      <c r="N10" s="320">
        <f>IFERROR(__xludf.DUMMYFUNCTION("""COMPUTED_VALUE"""),0.3715)</f>
        <v>0.3715</v>
      </c>
      <c r="O10" s="320">
        <f>IFERROR(__xludf.DUMMYFUNCTION("""COMPUTED_VALUE"""),2.2849)</f>
        <v>2.2849</v>
      </c>
      <c r="P10" s="320">
        <f>IFERROR(__xludf.DUMMYFUNCTION("""COMPUTED_VALUE"""),169.18)</f>
        <v>169.18</v>
      </c>
      <c r="Q10" s="320">
        <f>IFERROR(__xludf.DUMMYFUNCTION("""COMPUTED_VALUE"""),141.53)</f>
        <v>141.53</v>
      </c>
      <c r="R10" s="320">
        <f>IFERROR(__xludf.DUMMYFUNCTION("""COMPUTED_VALUE"""),27.65)</f>
        <v>27.65</v>
      </c>
      <c r="S10" s="320">
        <f>IFERROR(__xludf.DUMMYFUNCTION("""COMPUTED_VALUE"""),68.63)</f>
        <v>68.63</v>
      </c>
      <c r="T10" s="320">
        <f>IFERROR(__xludf.DUMMYFUNCTION("""COMPUTED_VALUE"""),100.55)</f>
        <v>100.55</v>
      </c>
      <c r="U10" s="320">
        <f>IFERROR(__xludf.DUMMYFUNCTION("""COMPUTED_VALUE"""),173.53)</f>
        <v>173.53</v>
      </c>
      <c r="V10" s="320">
        <f>IFERROR(__xludf.DUMMYFUNCTION("""COMPUTED_VALUE"""),5.6306)</f>
        <v>5.6306</v>
      </c>
      <c r="W10" s="320">
        <f>IFERROR(__xludf.DUMMYFUNCTION("""COMPUTED_VALUE"""),40.57)</f>
        <v>40.57</v>
      </c>
      <c r="X10" s="320">
        <f>IFERROR(__xludf.DUMMYFUNCTION("""COMPUTED_VALUE"""),88.0)</f>
        <v>88</v>
      </c>
      <c r="Y10" s="320">
        <f>IFERROR(__xludf.DUMMYFUNCTION("""COMPUTED_VALUE"""),213.0)</f>
        <v>213</v>
      </c>
      <c r="Z10" s="320">
        <f>IFERROR(__xludf.DUMMYFUNCTION("""COMPUTED_VALUE"""),781.0)</f>
        <v>781</v>
      </c>
      <c r="AA10" s="320">
        <f>IFERROR(__xludf.DUMMYFUNCTION("""COMPUTED_VALUE"""),52.3347)</f>
        <v>52.3347</v>
      </c>
      <c r="AB10" s="320">
        <f>IFERROR(__xludf.DUMMYFUNCTION("""COMPUTED_VALUE"""),0.5374)</f>
        <v>0.5374</v>
      </c>
      <c r="AC10" s="320">
        <f>IFERROR(__xludf.DUMMYFUNCTION("""COMPUTED_VALUE"""),8.74)</f>
        <v>8.74</v>
      </c>
      <c r="AD10" s="320">
        <f>IFERROR(__xludf.DUMMYFUNCTION("""COMPUTED_VALUE"""),3.0)</f>
        <v>3</v>
      </c>
      <c r="AE10" s="320">
        <f>IFERROR(__xludf.DUMMYFUNCTION("""COMPUTED_VALUE"""),7.0)</f>
        <v>7</v>
      </c>
      <c r="AF10" s="320">
        <f>IFERROR(__xludf.DUMMYFUNCTION("""COMPUTED_VALUE"""),13.0)</f>
        <v>13</v>
      </c>
      <c r="AG10" s="320">
        <f>IFERROR(__xludf.DUMMYFUNCTION("""COMPUTED_VALUE"""),18.0)</f>
        <v>18</v>
      </c>
      <c r="AH10" s="320">
        <f>IFERROR(__xludf.DUMMYFUNCTION("""COMPUTED_VALUE"""),60.62)</f>
        <v>60.62</v>
      </c>
      <c r="AI10" s="320">
        <f>IFERROR(__xludf.DUMMYFUNCTION("""COMPUTED_VALUE"""),24.59)</f>
        <v>24.59</v>
      </c>
      <c r="AJ10" s="320">
        <f>IFERROR(__xludf.DUMMYFUNCTION("""COMPUTED_VALUE"""),2.0)</f>
        <v>2</v>
      </c>
      <c r="AK10" s="320">
        <f>IFERROR(__xludf.DUMMYFUNCTION("""COMPUTED_VALUE"""),0.1947)</f>
        <v>0.1947</v>
      </c>
      <c r="AL10" s="320">
        <f>IFERROR(__xludf.DUMMYFUNCTION("""COMPUTED_VALUE"""),21.61)</f>
        <v>21.61</v>
      </c>
      <c r="AM10" s="320">
        <f>IFERROR(__xludf.DUMMYFUNCTION("""COMPUTED_VALUE"""),119.92)</f>
        <v>119.92</v>
      </c>
      <c r="AN10" s="320">
        <f>IFERROR(__xludf.DUMMYFUNCTION("""COMPUTED_VALUE"""),25.09)</f>
        <v>25.09</v>
      </c>
      <c r="AO10" s="320">
        <f>IFERROR(__xludf.DUMMYFUNCTION("""COMPUTED_VALUE"""),5.42)</f>
        <v>5.42</v>
      </c>
    </row>
    <row r="11" ht="15.0" customHeight="1">
      <c r="A11" s="330">
        <f>IFERROR(__xludf.DUMMYFUNCTION("""COMPUTED_VALUE"""),46051.0)</f>
        <v>46051</v>
      </c>
      <c r="B11" s="319" t="str">
        <f>IFERROR(__xludf.DUMMYFUNCTION("""COMPUTED_VALUE"""),"D. 20-39")</f>
        <v>D. 20-39</v>
      </c>
      <c r="C11" s="320">
        <f>IFERROR(__xludf.DUMMYFUNCTION("""COMPUTED_VALUE"""),8454.0)</f>
        <v>8454</v>
      </c>
      <c r="D11" s="320">
        <f>IFERROR(__xludf.DUMMYFUNCTION("""COMPUTED_VALUE"""),10.15)</f>
        <v>10.15</v>
      </c>
      <c r="E11" s="320">
        <f>IFERROR(__xludf.DUMMYFUNCTION("""COMPUTED_VALUE"""),20397.89)</f>
        <v>20397.89</v>
      </c>
      <c r="F11" s="320">
        <f>IFERROR(__xludf.DUMMYFUNCTION("""COMPUTED_VALUE"""),2.4128)</f>
        <v>2.4128</v>
      </c>
      <c r="G11" s="320">
        <f>IFERROR(__xludf.DUMMYFUNCTION("""COMPUTED_VALUE"""),34.21)</f>
        <v>34.21</v>
      </c>
      <c r="H11" s="320">
        <f>IFERROR(__xludf.DUMMYFUNCTION("""COMPUTED_VALUE"""),7.0532)</f>
        <v>7.0532</v>
      </c>
      <c r="I11" s="320">
        <f>IFERROR(__xludf.DUMMYFUNCTION("""COMPUTED_VALUE"""),81.0)</f>
        <v>81</v>
      </c>
      <c r="J11" s="320">
        <f>IFERROR(__xludf.DUMMYFUNCTION("""COMPUTED_VALUE"""),47.64)</f>
        <v>47.64</v>
      </c>
      <c r="K11" s="320">
        <f>IFERROR(__xludf.DUMMYFUNCTION("""COMPUTED_VALUE"""),26.5)</f>
        <v>26.5</v>
      </c>
      <c r="L11" s="320">
        <f>IFERROR(__xludf.DUMMYFUNCTION("""COMPUTED_VALUE"""),0.5562)</f>
        <v>0.5562</v>
      </c>
      <c r="M11" s="320">
        <f>IFERROR(__xludf.DUMMYFUNCTION("""COMPUTED_VALUE"""),0.5201)</f>
        <v>0.5201</v>
      </c>
      <c r="N11" s="320">
        <f>IFERROR(__xludf.DUMMYFUNCTION("""COMPUTED_VALUE"""),0.293)</f>
        <v>0.293</v>
      </c>
      <c r="O11" s="320">
        <f>IFERROR(__xludf.DUMMYFUNCTION("""COMPUTED_VALUE"""),1.7979)</f>
        <v>1.7979</v>
      </c>
      <c r="P11" s="320">
        <f>IFERROR(__xludf.DUMMYFUNCTION("""COMPUTED_VALUE"""),345.88)</f>
        <v>345.88</v>
      </c>
      <c r="Q11" s="320">
        <f>IFERROR(__xludf.DUMMYFUNCTION("""COMPUTED_VALUE"""),290.34)</f>
        <v>290.34</v>
      </c>
      <c r="R11" s="320">
        <f>IFERROR(__xludf.DUMMYFUNCTION("""COMPUTED_VALUE"""),55.54)</f>
        <v>55.54</v>
      </c>
      <c r="S11" s="320">
        <f>IFERROR(__xludf.DUMMYFUNCTION("""COMPUTED_VALUE"""),158.17)</f>
        <v>158.17</v>
      </c>
      <c r="T11" s="320">
        <f>IFERROR(__xludf.DUMMYFUNCTION("""COMPUTED_VALUE"""),187.71)</f>
        <v>187.71</v>
      </c>
      <c r="U11" s="320">
        <f>IFERROR(__xludf.DUMMYFUNCTION("""COMPUTED_VALUE"""),351.02)</f>
        <v>351.02</v>
      </c>
      <c r="V11" s="320">
        <f>IFERROR(__xludf.DUMMYFUNCTION("""COMPUTED_VALUE"""),7.3682)</f>
        <v>7.3682</v>
      </c>
      <c r="W11" s="320">
        <f>IFERROR(__xludf.DUMMYFUNCTION("""COMPUTED_VALUE"""),45.73)</f>
        <v>45.73</v>
      </c>
      <c r="X11" s="320">
        <f>IFERROR(__xludf.DUMMYFUNCTION("""COMPUTED_VALUE"""),92.0)</f>
        <v>92</v>
      </c>
      <c r="Y11" s="320">
        <f>IFERROR(__xludf.DUMMYFUNCTION("""COMPUTED_VALUE"""),238.0)</f>
        <v>238</v>
      </c>
      <c r="Z11" s="320">
        <f>IFERROR(__xludf.DUMMYFUNCTION("""COMPUTED_VALUE"""),753.0)</f>
        <v>753</v>
      </c>
      <c r="AA11" s="320">
        <f>IFERROR(__xludf.DUMMYFUNCTION("""COMPUTED_VALUE"""),54.3342)</f>
        <v>54.3342</v>
      </c>
      <c r="AB11" s="320">
        <f>IFERROR(__xludf.DUMMYFUNCTION("""COMPUTED_VALUE"""),0.6283)</f>
        <v>0.6283</v>
      </c>
      <c r="AC11" s="320">
        <f>IFERROR(__xludf.DUMMYFUNCTION("""COMPUTED_VALUE"""),17.84)</f>
        <v>17.84</v>
      </c>
      <c r="AD11" s="320">
        <f>IFERROR(__xludf.DUMMYFUNCTION("""COMPUTED_VALUE"""),7.0)</f>
        <v>7</v>
      </c>
      <c r="AE11" s="320">
        <f>IFERROR(__xludf.DUMMYFUNCTION("""COMPUTED_VALUE"""),15.0)</f>
        <v>15</v>
      </c>
      <c r="AF11" s="320">
        <f>IFERROR(__xludf.DUMMYFUNCTION("""COMPUTED_VALUE"""),25.0)</f>
        <v>25</v>
      </c>
      <c r="AG11" s="320">
        <f>IFERROR(__xludf.DUMMYFUNCTION("""COMPUTED_VALUE"""),36.0)</f>
        <v>36</v>
      </c>
      <c r="AH11" s="320">
        <f>IFERROR(__xludf.DUMMYFUNCTION("""COMPUTED_VALUE"""),63.24)</f>
        <v>63.24</v>
      </c>
      <c r="AI11" s="320">
        <f>IFERROR(__xludf.DUMMYFUNCTION("""COMPUTED_VALUE"""),24.95)</f>
        <v>24.95</v>
      </c>
      <c r="AJ11" s="320">
        <f>IFERROR(__xludf.DUMMYFUNCTION("""COMPUTED_VALUE"""),4.57)</f>
        <v>4.57</v>
      </c>
      <c r="AK11" s="320">
        <f>IFERROR(__xludf.DUMMYFUNCTION("""COMPUTED_VALUE"""),0.1922)</f>
        <v>0.1922</v>
      </c>
      <c r="AL11" s="320">
        <f>IFERROR(__xludf.DUMMYFUNCTION("""COMPUTED_VALUE"""),22.71)</f>
        <v>22.71</v>
      </c>
      <c r="AM11" s="320">
        <f>IFERROR(__xludf.DUMMYFUNCTION("""COMPUTED_VALUE"""),267.64)</f>
        <v>267.64</v>
      </c>
      <c r="AN11" s="320">
        <f>IFERROR(__xludf.DUMMYFUNCTION("""COMPUTED_VALUE"""),24.97)</f>
        <v>24.97</v>
      </c>
      <c r="AO11" s="320">
        <f>IFERROR(__xludf.DUMMYFUNCTION("""COMPUTED_VALUE"""),5.67)</f>
        <v>5.67</v>
      </c>
    </row>
    <row r="12" ht="15.0" customHeight="1">
      <c r="A12" s="330">
        <f>IFERROR(__xludf.DUMMYFUNCTION("""COMPUTED_VALUE"""),46051.0)</f>
        <v>46051</v>
      </c>
      <c r="B12" s="319" t="str">
        <f>IFERROR(__xludf.DUMMYFUNCTION("""COMPUTED_VALUE"""),"E. 40-99")</f>
        <v>E. 40-99</v>
      </c>
      <c r="C12" s="320">
        <f>IFERROR(__xludf.DUMMYFUNCTION("""COMPUTED_VALUE"""),3567.0)</f>
        <v>3567</v>
      </c>
      <c r="D12" s="320">
        <f>IFERROR(__xludf.DUMMYFUNCTION("""COMPUTED_VALUE"""),4.28)</f>
        <v>4.28</v>
      </c>
      <c r="E12" s="320">
        <f>IFERROR(__xludf.DUMMYFUNCTION("""COMPUTED_VALUE"""),20455.52)</f>
        <v>20455.52</v>
      </c>
      <c r="F12" s="320">
        <f>IFERROR(__xludf.DUMMYFUNCTION("""COMPUTED_VALUE"""),5.7347)</f>
        <v>5.7347</v>
      </c>
      <c r="G12" s="320">
        <f>IFERROR(__xludf.DUMMYFUNCTION("""COMPUTED_VALUE"""),43.37)</f>
        <v>43.37</v>
      </c>
      <c r="H12" s="320">
        <f>IFERROR(__xludf.DUMMYFUNCTION("""COMPUTED_VALUE"""),13.2227)</f>
        <v>13.2227</v>
      </c>
      <c r="I12" s="320">
        <f>IFERROR(__xludf.DUMMYFUNCTION("""COMPUTED_VALUE"""),131.37)</f>
        <v>131.37</v>
      </c>
      <c r="J12" s="320">
        <f>IFERROR(__xludf.DUMMYFUNCTION("""COMPUTED_VALUE"""),82.03)</f>
        <v>82.03</v>
      </c>
      <c r="K12" s="320">
        <f>IFERROR(__xludf.DUMMYFUNCTION("""COMPUTED_VALUE"""),57.52)</f>
        <v>57.52</v>
      </c>
      <c r="L12" s="320">
        <f>IFERROR(__xludf.DUMMYFUNCTION("""COMPUTED_VALUE"""),0.7012)</f>
        <v>0.7012</v>
      </c>
      <c r="M12" s="320">
        <f>IFERROR(__xludf.DUMMYFUNCTION("""COMPUTED_VALUE"""),0.3905)</f>
        <v>0.3905</v>
      </c>
      <c r="N12" s="320">
        <f>IFERROR(__xludf.DUMMYFUNCTION("""COMPUTED_VALUE"""),0.2273)</f>
        <v>0.2273</v>
      </c>
      <c r="O12" s="320">
        <f>IFERROR(__xludf.DUMMYFUNCTION("""COMPUTED_VALUE"""),1.4262)</f>
        <v>1.4262</v>
      </c>
      <c r="P12" s="320">
        <f>IFERROR(__xludf.DUMMYFUNCTION("""COMPUTED_VALUE"""),753.88)</f>
        <v>753.88</v>
      </c>
      <c r="Q12" s="320">
        <f>IFERROR(__xludf.DUMMYFUNCTION("""COMPUTED_VALUE"""),632.78)</f>
        <v>632.78</v>
      </c>
      <c r="R12" s="320">
        <f>IFERROR(__xludf.DUMMYFUNCTION("""COMPUTED_VALUE"""),121.1)</f>
        <v>121.1</v>
      </c>
      <c r="S12" s="320">
        <f>IFERROR(__xludf.DUMMYFUNCTION("""COMPUTED_VALUE"""),357.15)</f>
        <v>357.15</v>
      </c>
      <c r="T12" s="320">
        <f>IFERROR(__xludf.DUMMYFUNCTION("""COMPUTED_VALUE"""),396.73)</f>
        <v>396.73</v>
      </c>
      <c r="U12" s="320">
        <f>IFERROR(__xludf.DUMMYFUNCTION("""COMPUTED_VALUE"""),754.49)</f>
        <v>754.49</v>
      </c>
      <c r="V12" s="320">
        <f>IFERROR(__xludf.DUMMYFUNCTION("""COMPUTED_VALUE"""),9.1977)</f>
        <v>9.1977</v>
      </c>
      <c r="W12" s="320">
        <f>IFERROR(__xludf.DUMMYFUNCTION("""COMPUTED_VALUE"""),47.38)</f>
        <v>47.38</v>
      </c>
      <c r="X12" s="320">
        <f>IFERROR(__xludf.DUMMYFUNCTION("""COMPUTED_VALUE"""),109.0)</f>
        <v>109</v>
      </c>
      <c r="Y12" s="320">
        <f>IFERROR(__xludf.DUMMYFUNCTION("""COMPUTED_VALUE"""),370.0)</f>
        <v>370</v>
      </c>
      <c r="Z12" s="320">
        <f>IFERROR(__xludf.DUMMYFUNCTION("""COMPUTED_VALUE"""),1050.0)</f>
        <v>1050</v>
      </c>
      <c r="AA12" s="320">
        <f>IFERROR(__xludf.DUMMYFUNCTION("""COMPUTED_VALUE"""),57.1059)</f>
        <v>57.1059</v>
      </c>
      <c r="AB12" s="320">
        <f>IFERROR(__xludf.DUMMYFUNCTION("""COMPUTED_VALUE"""),0.7406)</f>
        <v>0.7406</v>
      </c>
      <c r="AC12" s="320">
        <f>IFERROR(__xludf.DUMMYFUNCTION("""COMPUTED_VALUE"""),39.36)</f>
        <v>39.36</v>
      </c>
      <c r="AD12" s="320">
        <f>IFERROR(__xludf.DUMMYFUNCTION("""COMPUTED_VALUE"""),17.0)</f>
        <v>17</v>
      </c>
      <c r="AE12" s="320">
        <f>IFERROR(__xludf.DUMMYFUNCTION("""COMPUTED_VALUE"""),36.0)</f>
        <v>36</v>
      </c>
      <c r="AF12" s="320">
        <f>IFERROR(__xludf.DUMMYFUNCTION("""COMPUTED_VALUE"""),55.0)</f>
        <v>55</v>
      </c>
      <c r="AG12" s="320">
        <f>IFERROR(__xludf.DUMMYFUNCTION("""COMPUTED_VALUE"""),75.0)</f>
        <v>75</v>
      </c>
      <c r="AH12" s="320">
        <f>IFERROR(__xludf.DUMMYFUNCTION("""COMPUTED_VALUE"""),60.19)</f>
        <v>60.19</v>
      </c>
      <c r="AI12" s="320">
        <f>IFERROR(__xludf.DUMMYFUNCTION("""COMPUTED_VALUE"""),20.63)</f>
        <v>20.63</v>
      </c>
      <c r="AJ12" s="320">
        <f>IFERROR(__xludf.DUMMYFUNCTION("""COMPUTED_VALUE"""),2.94)</f>
        <v>2.94</v>
      </c>
      <c r="AK12" s="320">
        <f>IFERROR(__xludf.DUMMYFUNCTION("""COMPUTED_VALUE"""),0.1856)</f>
        <v>0.1856</v>
      </c>
      <c r="AL12" s="320">
        <f>IFERROR(__xludf.DUMMYFUNCTION("""COMPUTED_VALUE"""),20.59)</f>
        <v>20.59</v>
      </c>
      <c r="AM12" s="320">
        <f>IFERROR(__xludf.DUMMYFUNCTION("""COMPUTED_VALUE"""),612.18)</f>
        <v>612.18</v>
      </c>
      <c r="AN12" s="320">
        <f>IFERROR(__xludf.DUMMYFUNCTION("""COMPUTED_VALUE"""),25.26)</f>
        <v>25.26</v>
      </c>
      <c r="AO12" s="320">
        <f>IFERROR(__xludf.DUMMYFUNCTION("""COMPUTED_VALUE"""),5.2)</f>
        <v>5.2</v>
      </c>
    </row>
    <row r="13" ht="15.0" customHeight="1">
      <c r="A13" s="330">
        <f>IFERROR(__xludf.DUMMYFUNCTION("""COMPUTED_VALUE"""),46051.0)</f>
        <v>46051</v>
      </c>
      <c r="B13" s="319" t="str">
        <f>IFERROR(__xludf.DUMMYFUNCTION("""COMPUTED_VALUE"""),"F. 100+")</f>
        <v>F. 100+</v>
      </c>
      <c r="C13" s="320">
        <f>IFERROR(__xludf.DUMMYFUNCTION("""COMPUTED_VALUE"""),477.0)</f>
        <v>477</v>
      </c>
      <c r="D13" s="320">
        <f>IFERROR(__xludf.DUMMYFUNCTION("""COMPUTED_VALUE"""),0.57)</f>
        <v>0.57</v>
      </c>
      <c r="E13" s="320">
        <f>IFERROR(__xludf.DUMMYFUNCTION("""COMPUTED_VALUE"""),5312.45)</f>
        <v>5312.45</v>
      </c>
      <c r="F13" s="320">
        <f>IFERROR(__xludf.DUMMYFUNCTION("""COMPUTED_VALUE"""),11.1372)</f>
        <v>11.1372</v>
      </c>
      <c r="G13" s="320">
        <f>IFERROR(__xludf.DUMMYFUNCTION("""COMPUTED_VALUE"""),45.07)</f>
        <v>45.07</v>
      </c>
      <c r="H13" s="320">
        <f>IFERROR(__xludf.DUMMYFUNCTION("""COMPUTED_VALUE"""),24.7091)</f>
        <v>24.7091</v>
      </c>
      <c r="I13" s="320">
        <f>IFERROR(__xludf.DUMMYFUNCTION("""COMPUTED_VALUE"""),244.28)</f>
        <v>244.28</v>
      </c>
      <c r="J13" s="320">
        <f>IFERROR(__xludf.DUMMYFUNCTION("""COMPUTED_VALUE"""),162.02)</f>
        <v>162.02</v>
      </c>
      <c r="K13" s="320">
        <f>IFERROR(__xludf.DUMMYFUNCTION("""COMPUTED_VALUE"""),133.92)</f>
        <v>133.92</v>
      </c>
      <c r="L13" s="320">
        <f>IFERROR(__xludf.DUMMYFUNCTION("""COMPUTED_VALUE"""),0.8266)</f>
        <v>0.8266</v>
      </c>
      <c r="M13" s="320">
        <f>IFERROR(__xludf.DUMMYFUNCTION("""COMPUTED_VALUE"""),0.2667)</f>
        <v>0.2667</v>
      </c>
      <c r="N13" s="320">
        <f>IFERROR(__xludf.DUMMYFUNCTION("""COMPUTED_VALUE"""),0.1683)</f>
        <v>0.1683</v>
      </c>
      <c r="O13" s="320">
        <f>IFERROR(__xludf.DUMMYFUNCTION("""COMPUTED_VALUE"""),1.2098)</f>
        <v>1.2098</v>
      </c>
      <c r="P13" s="320">
        <f>IFERROR(__xludf.DUMMYFUNCTION("""COMPUTED_VALUE"""),1484.61)</f>
        <v>1484.61</v>
      </c>
      <c r="Q13" s="320">
        <f>IFERROR(__xludf.DUMMYFUNCTION("""COMPUTED_VALUE"""),1203.09)</f>
        <v>1203.09</v>
      </c>
      <c r="R13" s="320">
        <f>IFERROR(__xludf.DUMMYFUNCTION("""COMPUTED_VALUE"""),281.52)</f>
        <v>281.52</v>
      </c>
      <c r="S13" s="320">
        <f>IFERROR(__xludf.DUMMYFUNCTION("""COMPUTED_VALUE"""),680.86)</f>
        <v>680.86</v>
      </c>
      <c r="T13" s="320">
        <f>IFERROR(__xludf.DUMMYFUNCTION("""COMPUTED_VALUE"""),803.75)</f>
        <v>803.75</v>
      </c>
      <c r="U13" s="320">
        <f>IFERROR(__xludf.DUMMYFUNCTION("""COMPUTED_VALUE"""),1485.95)</f>
        <v>1485.95</v>
      </c>
      <c r="V13" s="320">
        <f>IFERROR(__xludf.DUMMYFUNCTION("""COMPUTED_VALUE"""),9.1714)</f>
        <v>9.1714</v>
      </c>
      <c r="W13" s="320">
        <f>IFERROR(__xludf.DUMMYFUNCTION("""COMPUTED_VALUE"""),45.86)</f>
        <v>45.86</v>
      </c>
      <c r="X13" s="320">
        <f>IFERROR(__xludf.DUMMYFUNCTION("""COMPUTED_VALUE"""),171.0)</f>
        <v>171</v>
      </c>
      <c r="Y13" s="320">
        <f>IFERROR(__xludf.DUMMYFUNCTION("""COMPUTED_VALUE"""),661.0)</f>
        <v>661</v>
      </c>
      <c r="Z13" s="320">
        <f>IFERROR(__xludf.DUMMYFUNCTION("""COMPUTED_VALUE"""),2455.0)</f>
        <v>2455</v>
      </c>
      <c r="AA13" s="320">
        <f>IFERROR(__xludf.DUMMYFUNCTION("""COMPUTED_VALUE"""),60.7389)</f>
        <v>60.7389</v>
      </c>
      <c r="AB13" s="320">
        <f>IFERROR(__xludf.DUMMYFUNCTION("""COMPUTED_VALUE"""),0.8254)</f>
        <v>0.8254</v>
      </c>
      <c r="AC13" s="320">
        <f>IFERROR(__xludf.DUMMYFUNCTION("""COMPUTED_VALUE"""),93.21)</f>
        <v>93.21</v>
      </c>
      <c r="AD13" s="320">
        <f>IFERROR(__xludf.DUMMYFUNCTION("""COMPUTED_VALUE"""),41.0)</f>
        <v>41</v>
      </c>
      <c r="AE13" s="320">
        <f>IFERROR(__xludf.DUMMYFUNCTION("""COMPUTED_VALUE"""),83.0)</f>
        <v>83</v>
      </c>
      <c r="AF13" s="320">
        <f>IFERROR(__xludf.DUMMYFUNCTION("""COMPUTED_VALUE"""),129.0)</f>
        <v>129</v>
      </c>
      <c r="AG13" s="320">
        <f>IFERROR(__xludf.DUMMYFUNCTION("""COMPUTED_VALUE"""),177.0)</f>
        <v>177</v>
      </c>
      <c r="AH13" s="320">
        <f>IFERROR(__xludf.DUMMYFUNCTION("""COMPUTED_VALUE"""),53.67)</f>
        <v>53.67</v>
      </c>
      <c r="AI13" s="320">
        <f>IFERROR(__xludf.DUMMYFUNCTION("""COMPUTED_VALUE"""),10.48)</f>
        <v>10.48</v>
      </c>
      <c r="AJ13" s="320">
        <f>IFERROR(__xludf.DUMMYFUNCTION("""COMPUTED_VALUE"""),1.47)</f>
        <v>1.47</v>
      </c>
      <c r="AK13" s="320">
        <f>IFERROR(__xludf.DUMMYFUNCTION("""COMPUTED_VALUE"""),0.1384)</f>
        <v>0.1384</v>
      </c>
      <c r="AL13" s="320">
        <f>IFERROR(__xludf.DUMMYFUNCTION("""COMPUTED_VALUE"""),18.63)</f>
        <v>18.63</v>
      </c>
      <c r="AM13" s="320">
        <f>IFERROR(__xludf.DUMMYFUNCTION("""COMPUTED_VALUE"""),1184.46)</f>
        <v>1184.46</v>
      </c>
      <c r="AN13" s="320">
        <f>IFERROR(__xludf.DUMMYFUNCTION("""COMPUTED_VALUE"""),25.7)</f>
        <v>25.7</v>
      </c>
      <c r="AO13" s="320">
        <f>IFERROR(__xludf.DUMMYFUNCTION("""COMPUTED_VALUE"""),4.79)</f>
        <v>4.79</v>
      </c>
    </row>
    <row r="14" ht="15.0" customHeight="1">
      <c r="A14" s="330">
        <f>IFERROR(__xludf.DUMMYFUNCTION("""COMPUTED_VALUE"""),46052.0)</f>
        <v>46052</v>
      </c>
      <c r="B14" s="319" t="str">
        <f>IFERROR(__xludf.DUMMYFUNCTION("""COMPUTED_VALUE"""),"A. 0")</f>
        <v>A. 0</v>
      </c>
      <c r="C14" s="320">
        <f>IFERROR(__xludf.DUMMYFUNCTION("""COMPUTED_VALUE"""),16316.0)</f>
        <v>16316</v>
      </c>
      <c r="D14" s="320">
        <f>IFERROR(__xludf.DUMMYFUNCTION("""COMPUTED_VALUE"""),20.06)</f>
        <v>20.06</v>
      </c>
      <c r="E14" s="320">
        <f>IFERROR(__xludf.DUMMYFUNCTION("""COMPUTED_VALUE"""),249.96)</f>
        <v>249.96</v>
      </c>
      <c r="F14" s="320">
        <f>IFERROR(__xludf.DUMMYFUNCTION("""COMPUTED_VALUE"""),0.0153)</f>
        <v>0.0153</v>
      </c>
      <c r="G14" s="320">
        <f>IFERROR(__xludf.DUMMYFUNCTION("""COMPUTED_VALUE"""),0.37)</f>
        <v>0.37</v>
      </c>
      <c r="H14" s="320">
        <f>IFERROR(__xludf.DUMMYFUNCTION("""COMPUTED_VALUE"""),4.0977)</f>
        <v>4.0977</v>
      </c>
      <c r="I14" s="320">
        <f>IFERROR(__xludf.DUMMYFUNCTION("""COMPUTED_VALUE"""),6.0)</f>
        <v>6</v>
      </c>
      <c r="J14" s="320">
        <f>IFERROR(__xludf.DUMMYFUNCTION("""COMPUTED_VALUE"""),2.69)</f>
        <v>2.69</v>
      </c>
      <c r="K14" s="320">
        <f>IFERROR(__xludf.DUMMYFUNCTION("""COMPUTED_VALUE"""),0.08)</f>
        <v>0.08</v>
      </c>
      <c r="L14" s="320">
        <f>IFERROR(__xludf.DUMMYFUNCTION("""COMPUTED_VALUE"""),0.0284)</f>
        <v>0.0284</v>
      </c>
      <c r="M14" s="320">
        <f>IFERROR(__xludf.DUMMYFUNCTION("""COMPUTED_VALUE"""),0.9733)</f>
        <v>0.9733</v>
      </c>
      <c r="N14" s="320">
        <f>IFERROR(__xludf.DUMMYFUNCTION("""COMPUTED_VALUE"""),0.6991)</f>
        <v>0.6991</v>
      </c>
      <c r="O14" s="320">
        <f>IFERROR(__xludf.DUMMYFUNCTION("""COMPUTED_VALUE"""),35.2241)</f>
        <v>35.2241</v>
      </c>
      <c r="P14" s="320">
        <f>IFERROR(__xludf.DUMMYFUNCTION("""COMPUTED_VALUE"""),30.15)</f>
        <v>30.15</v>
      </c>
      <c r="Q14" s="320">
        <f>IFERROR(__xludf.DUMMYFUNCTION("""COMPUTED_VALUE"""),30.08)</f>
        <v>30.08</v>
      </c>
      <c r="R14" s="320">
        <f>IFERROR(__xludf.DUMMYFUNCTION("""COMPUTED_VALUE"""),0.07)</f>
        <v>0.07</v>
      </c>
      <c r="S14" s="320">
        <f>IFERROR(__xludf.DUMMYFUNCTION("""COMPUTED_VALUE"""),1.2)</f>
        <v>1.2</v>
      </c>
      <c r="T14" s="320">
        <f>IFERROR(__xludf.DUMMYFUNCTION("""COMPUTED_VALUE"""),28.95)</f>
        <v>28.95</v>
      </c>
      <c r="U14" s="320">
        <f>IFERROR(__xludf.DUMMYFUNCTION("""COMPUTED_VALUE"""),2.41)</f>
        <v>2.41</v>
      </c>
      <c r="V14" s="320">
        <f>IFERROR(__xludf.DUMMYFUNCTION("""COMPUTED_VALUE"""),0.8973)</f>
        <v>0.8973</v>
      </c>
      <c r="W14" s="320">
        <f>IFERROR(__xludf.DUMMYFUNCTION("""COMPUTED_VALUE"""),3.99)</f>
        <v>3.99</v>
      </c>
      <c r="X14" s="320">
        <f>IFERROR(__xludf.DUMMYFUNCTION("""COMPUTED_VALUE"""),157.0)</f>
        <v>157</v>
      </c>
      <c r="Y14" s="320">
        <f>IFERROR(__xludf.DUMMYFUNCTION("""COMPUTED_VALUE"""),1042.0)</f>
        <v>1042</v>
      </c>
      <c r="Z14" s="320">
        <f>IFERROR(__xludf.DUMMYFUNCTION("""COMPUTED_VALUE"""),6701.0)</f>
        <v>6701</v>
      </c>
      <c r="AA14" s="320">
        <f>IFERROR(__xludf.DUMMYFUNCTION("""COMPUTED_VALUE"""),49.55)</f>
        <v>49.55</v>
      </c>
      <c r="AB14" s="320">
        <f>IFERROR(__xludf.DUMMYFUNCTION("""COMPUTED_VALUE"""),0.5204)</f>
        <v>0.5204</v>
      </c>
      <c r="AC14" s="106"/>
      <c r="AD14" s="106"/>
      <c r="AE14" s="106"/>
      <c r="AF14" s="106"/>
      <c r="AG14" s="106"/>
      <c r="AH14" s="320">
        <f>IFERROR(__xludf.DUMMYFUNCTION("""COMPUTED_VALUE"""),0.0)</f>
        <v>0</v>
      </c>
      <c r="AI14" s="320">
        <f>IFERROR(__xludf.DUMMYFUNCTION("""COMPUTED_VALUE"""),0.0)</f>
        <v>0</v>
      </c>
      <c r="AJ14" s="320">
        <f>IFERROR(__xludf.DUMMYFUNCTION("""COMPUTED_VALUE"""),0.0)</f>
        <v>0</v>
      </c>
      <c r="AK14" s="320">
        <f>IFERROR(__xludf.DUMMYFUNCTION("""COMPUTED_VALUE"""),0.3073)</f>
        <v>0.3073</v>
      </c>
      <c r="AL14" s="320">
        <f>IFERROR(__xludf.DUMMYFUNCTION("""COMPUTED_VALUE"""),16.62)</f>
        <v>16.62</v>
      </c>
      <c r="AM14" s="320">
        <f>IFERROR(__xludf.DUMMYFUNCTION("""COMPUTED_VALUE"""),13.46)</f>
        <v>13.46</v>
      </c>
      <c r="AN14" s="331"/>
      <c r="AO14" s="331"/>
    </row>
    <row r="15" ht="15.0" customHeight="1">
      <c r="A15" s="330">
        <f>IFERROR(__xludf.DUMMYFUNCTION("""COMPUTED_VALUE"""),46052.0)</f>
        <v>46052</v>
      </c>
      <c r="B15" s="319" t="str">
        <f>IFERROR(__xludf.DUMMYFUNCTION("""COMPUTED_VALUE"""),"B. 1-9")</f>
        <v>B. 1-9</v>
      </c>
      <c r="C15" s="320">
        <f>IFERROR(__xludf.DUMMYFUNCTION("""COMPUTED_VALUE"""),36001.0)</f>
        <v>36001</v>
      </c>
      <c r="D15" s="320">
        <f>IFERROR(__xludf.DUMMYFUNCTION("""COMPUTED_VALUE"""),44.26)</f>
        <v>44.26</v>
      </c>
      <c r="E15" s="320">
        <f>IFERROR(__xludf.DUMMYFUNCTION("""COMPUTED_VALUE"""),9303.97)</f>
        <v>9303.97</v>
      </c>
      <c r="F15" s="320">
        <f>IFERROR(__xludf.DUMMYFUNCTION("""COMPUTED_VALUE"""),0.2584)</f>
        <v>0.2584</v>
      </c>
      <c r="G15" s="320">
        <f>IFERROR(__xludf.DUMMYFUNCTION("""COMPUTED_VALUE"""),6.63)</f>
        <v>6.63</v>
      </c>
      <c r="H15" s="320">
        <f>IFERROR(__xludf.DUMMYFUNCTION("""COMPUTED_VALUE"""),3.8994)</f>
        <v>3.8994</v>
      </c>
      <c r="I15" s="320">
        <f>IFERROR(__xludf.DUMMYFUNCTION("""COMPUTED_VALUE"""),31.38)</f>
        <v>31.38</v>
      </c>
      <c r="J15" s="320">
        <f>IFERROR(__xludf.DUMMYFUNCTION("""COMPUTED_VALUE"""),16.83)</f>
        <v>16.83</v>
      </c>
      <c r="K15" s="320">
        <f>IFERROR(__xludf.DUMMYFUNCTION("""COMPUTED_VALUE"""),5.06)</f>
        <v>5.06</v>
      </c>
      <c r="L15" s="320">
        <f>IFERROR(__xludf.DUMMYFUNCTION("""COMPUTED_VALUE"""),0.3005)</f>
        <v>0.3005</v>
      </c>
      <c r="M15" s="320">
        <f>IFERROR(__xludf.DUMMYFUNCTION("""COMPUTED_VALUE"""),0.7696)</f>
        <v>0.7696</v>
      </c>
      <c r="N15" s="320">
        <f>IFERROR(__xludf.DUMMYFUNCTION("""COMPUTED_VALUE"""),0.5326)</f>
        <v>0.5326</v>
      </c>
      <c r="O15" s="320">
        <f>IFERROR(__xludf.DUMMYFUNCTION("""COMPUTED_VALUE"""),3.3278)</f>
        <v>3.3278</v>
      </c>
      <c r="P15" s="320">
        <f>IFERROR(__xludf.DUMMYFUNCTION("""COMPUTED_VALUE"""),85.92)</f>
        <v>85.92</v>
      </c>
      <c r="Q15" s="320">
        <f>IFERROR(__xludf.DUMMYFUNCTION("""COMPUTED_VALUE"""),75.47)</f>
        <v>75.47</v>
      </c>
      <c r="R15" s="320">
        <f>IFERROR(__xludf.DUMMYFUNCTION("""COMPUTED_VALUE"""),10.45)</f>
        <v>10.45</v>
      </c>
      <c r="S15" s="320">
        <f>IFERROR(__xludf.DUMMYFUNCTION("""COMPUTED_VALUE"""),17.44)</f>
        <v>17.44</v>
      </c>
      <c r="T15" s="320">
        <f>IFERROR(__xludf.DUMMYFUNCTION("""COMPUTED_VALUE"""),68.48)</f>
        <v>68.48</v>
      </c>
      <c r="U15" s="320">
        <f>IFERROR(__xludf.DUMMYFUNCTION("""COMPUTED_VALUE"""),78.44)</f>
        <v>78.44</v>
      </c>
      <c r="V15" s="320">
        <f>IFERROR(__xludf.DUMMYFUNCTION("""COMPUTED_VALUE"""),4.662)</f>
        <v>4.662</v>
      </c>
      <c r="W15" s="320">
        <f>IFERROR(__xludf.DUMMYFUNCTION("""COMPUTED_VALUE"""),20.3)</f>
        <v>20.3</v>
      </c>
      <c r="X15" s="320">
        <f>IFERROR(__xludf.DUMMYFUNCTION("""COMPUTED_VALUE"""),90.0)</f>
        <v>90</v>
      </c>
      <c r="Y15" s="320">
        <f>IFERROR(__xludf.DUMMYFUNCTION("""COMPUTED_VALUE"""),217.0)</f>
        <v>217</v>
      </c>
      <c r="Z15" s="320">
        <f>IFERROR(__xludf.DUMMYFUNCTION("""COMPUTED_VALUE"""),823.0)</f>
        <v>823</v>
      </c>
      <c r="AA15" s="320">
        <f>IFERROR(__xludf.DUMMYFUNCTION("""COMPUTED_VALUE"""),49.6773)</f>
        <v>49.6773</v>
      </c>
      <c r="AB15" s="320">
        <f>IFERROR(__xludf.DUMMYFUNCTION("""COMPUTED_VALUE"""),0.4618)</f>
        <v>0.4618</v>
      </c>
      <c r="AC15" s="320">
        <f>IFERROR(__xludf.DUMMYFUNCTION("""COMPUTED_VALUE"""),3.29)</f>
        <v>3.29</v>
      </c>
      <c r="AD15" s="320">
        <f>IFERROR(__xludf.DUMMYFUNCTION("""COMPUTED_VALUE"""),1.0)</f>
        <v>1</v>
      </c>
      <c r="AE15" s="320">
        <f>IFERROR(__xludf.DUMMYFUNCTION("""COMPUTED_VALUE"""),2.0)</f>
        <v>2</v>
      </c>
      <c r="AF15" s="320">
        <f>IFERROR(__xludf.DUMMYFUNCTION("""COMPUTED_VALUE"""),4.0)</f>
        <v>4</v>
      </c>
      <c r="AG15" s="320">
        <f>IFERROR(__xludf.DUMMYFUNCTION("""COMPUTED_VALUE"""),7.0)</f>
        <v>7</v>
      </c>
      <c r="AH15" s="320">
        <f>IFERROR(__xludf.DUMMYFUNCTION("""COMPUTED_VALUE"""),67.54)</f>
        <v>67.54</v>
      </c>
      <c r="AI15" s="320">
        <f>IFERROR(__xludf.DUMMYFUNCTION("""COMPUTED_VALUE"""),23.84)</f>
        <v>23.84</v>
      </c>
      <c r="AJ15" s="320">
        <f>IFERROR(__xludf.DUMMYFUNCTION("""COMPUTED_VALUE"""),4.66)</f>
        <v>4.66</v>
      </c>
      <c r="AK15" s="320">
        <f>IFERROR(__xludf.DUMMYFUNCTION("""COMPUTED_VALUE"""),0.2435)</f>
        <v>0.2435</v>
      </c>
      <c r="AL15" s="320">
        <f>IFERROR(__xludf.DUMMYFUNCTION("""COMPUTED_VALUE"""),20.48)</f>
        <v>20.48</v>
      </c>
      <c r="AM15" s="320">
        <f>IFERROR(__xludf.DUMMYFUNCTION("""COMPUTED_VALUE"""),54.98)</f>
        <v>54.98</v>
      </c>
      <c r="AN15" s="320">
        <f>IFERROR(__xludf.DUMMYFUNCTION("""COMPUTED_VALUE"""),32.51)</f>
        <v>32.51</v>
      </c>
      <c r="AO15" s="320">
        <f>IFERROR(__xludf.DUMMYFUNCTION("""COMPUTED_VALUE"""),6.66)</f>
        <v>6.66</v>
      </c>
    </row>
    <row r="16" ht="15.0" customHeight="1">
      <c r="A16" s="330">
        <f>IFERROR(__xludf.DUMMYFUNCTION("""COMPUTED_VALUE"""),46052.0)</f>
        <v>46052</v>
      </c>
      <c r="B16" s="319" t="str">
        <f>IFERROR(__xludf.DUMMYFUNCTION("""COMPUTED_VALUE"""),"C. 10-19")</f>
        <v>C. 10-19</v>
      </c>
      <c r="C16" s="320">
        <f>IFERROR(__xludf.DUMMYFUNCTION("""COMPUTED_VALUE"""),16246.0)</f>
        <v>16246</v>
      </c>
      <c r="D16" s="320">
        <f>IFERROR(__xludf.DUMMYFUNCTION("""COMPUTED_VALUE"""),19.97)</f>
        <v>19.97</v>
      </c>
      <c r="E16" s="320">
        <f>IFERROR(__xludf.DUMMYFUNCTION("""COMPUTED_VALUE"""),17800.97)</f>
        <v>17800.97</v>
      </c>
      <c r="F16" s="320">
        <f>IFERROR(__xludf.DUMMYFUNCTION("""COMPUTED_VALUE"""),1.0957)</f>
        <v>1.0957</v>
      </c>
      <c r="G16" s="320">
        <f>IFERROR(__xludf.DUMMYFUNCTION("""COMPUTED_VALUE"""),21.96)</f>
        <v>21.96</v>
      </c>
      <c r="H16" s="320">
        <f>IFERROR(__xludf.DUMMYFUNCTION("""COMPUTED_VALUE"""),4.9891)</f>
        <v>4.9891</v>
      </c>
      <c r="I16" s="320">
        <f>IFERROR(__xludf.DUMMYFUNCTION("""COMPUTED_VALUE"""),62.12)</f>
        <v>62.12</v>
      </c>
      <c r="J16" s="320">
        <f>IFERROR(__xludf.DUMMYFUNCTION("""COMPUTED_VALUE"""),35.38)</f>
        <v>35.38</v>
      </c>
      <c r="K16" s="320">
        <f>IFERROR(__xludf.DUMMYFUNCTION("""COMPUTED_VALUE"""),14.46)</f>
        <v>14.46</v>
      </c>
      <c r="L16" s="320">
        <f>IFERROR(__xludf.DUMMYFUNCTION("""COMPUTED_VALUE"""),0.4088)</f>
        <v>0.4088</v>
      </c>
      <c r="M16" s="320">
        <f>IFERROR(__xludf.DUMMYFUNCTION("""COMPUTED_VALUE"""),0.6557)</f>
        <v>0.6557</v>
      </c>
      <c r="N16" s="320">
        <f>IFERROR(__xludf.DUMMYFUNCTION("""COMPUTED_VALUE"""),0.3839)</f>
        <v>0.3839</v>
      </c>
      <c r="O16" s="320">
        <f>IFERROR(__xludf.DUMMYFUNCTION("""COMPUTED_VALUE"""),2.4465)</f>
        <v>2.4465</v>
      </c>
      <c r="P16" s="320">
        <f>IFERROR(__xludf.DUMMYFUNCTION("""COMPUTED_VALUE"""),196.21)</f>
        <v>196.21</v>
      </c>
      <c r="Q16" s="320">
        <f>IFERROR(__xludf.DUMMYFUNCTION("""COMPUTED_VALUE"""),165.86)</f>
        <v>165.86</v>
      </c>
      <c r="R16" s="320">
        <f>IFERROR(__xludf.DUMMYFUNCTION("""COMPUTED_VALUE"""),30.36)</f>
        <v>30.36</v>
      </c>
      <c r="S16" s="320">
        <f>IFERROR(__xludf.DUMMYFUNCTION("""COMPUTED_VALUE"""),74.88)</f>
        <v>74.88</v>
      </c>
      <c r="T16" s="320">
        <f>IFERROR(__xludf.DUMMYFUNCTION("""COMPUTED_VALUE"""),121.33)</f>
        <v>121.33</v>
      </c>
      <c r="U16" s="320">
        <f>IFERROR(__xludf.DUMMYFUNCTION("""COMPUTED_VALUE"""),195.54)</f>
        <v>195.54</v>
      </c>
      <c r="V16" s="320">
        <f>IFERROR(__xludf.DUMMYFUNCTION("""COMPUTED_VALUE"""),5.5272)</f>
        <v>5.5272</v>
      </c>
      <c r="W16" s="320">
        <f>IFERROR(__xludf.DUMMYFUNCTION("""COMPUTED_VALUE"""),38.16)</f>
        <v>38.16</v>
      </c>
      <c r="X16" s="320">
        <f>IFERROR(__xludf.DUMMYFUNCTION("""COMPUTED_VALUE"""),86.0)</f>
        <v>86</v>
      </c>
      <c r="Y16" s="320">
        <f>IFERROR(__xludf.DUMMYFUNCTION("""COMPUTED_VALUE"""),208.0)</f>
        <v>208</v>
      </c>
      <c r="Z16" s="320">
        <f>IFERROR(__xludf.DUMMYFUNCTION("""COMPUTED_VALUE"""),663.0)</f>
        <v>663</v>
      </c>
      <c r="AA16" s="320">
        <f>IFERROR(__xludf.DUMMYFUNCTION("""COMPUTED_VALUE"""),52.2394)</f>
        <v>52.2394</v>
      </c>
      <c r="AB16" s="320">
        <f>IFERROR(__xludf.DUMMYFUNCTION("""COMPUTED_VALUE"""),0.5275)</f>
        <v>0.5275</v>
      </c>
      <c r="AC16" s="320">
        <f>IFERROR(__xludf.DUMMYFUNCTION("""COMPUTED_VALUE"""),9.16)</f>
        <v>9.16</v>
      </c>
      <c r="AD16" s="320">
        <f>IFERROR(__xludf.DUMMYFUNCTION("""COMPUTED_VALUE"""),4.0)</f>
        <v>4</v>
      </c>
      <c r="AE16" s="320">
        <f>IFERROR(__xludf.DUMMYFUNCTION("""COMPUTED_VALUE"""),7.0)</f>
        <v>7</v>
      </c>
      <c r="AF16" s="320">
        <f>IFERROR(__xludf.DUMMYFUNCTION("""COMPUTED_VALUE"""),13.0)</f>
        <v>13</v>
      </c>
      <c r="AG16" s="320">
        <f>IFERROR(__xludf.DUMMYFUNCTION("""COMPUTED_VALUE"""),19.0)</f>
        <v>19</v>
      </c>
      <c r="AH16" s="320">
        <f>IFERROR(__xludf.DUMMYFUNCTION("""COMPUTED_VALUE"""),60.78)</f>
        <v>60.78</v>
      </c>
      <c r="AI16" s="320">
        <f>IFERROR(__xludf.DUMMYFUNCTION("""COMPUTED_VALUE"""),26.22)</f>
        <v>26.22</v>
      </c>
      <c r="AJ16" s="320">
        <f>IFERROR(__xludf.DUMMYFUNCTION("""COMPUTED_VALUE"""),3.38)</f>
        <v>3.38</v>
      </c>
      <c r="AK16" s="320">
        <f>IFERROR(__xludf.DUMMYFUNCTION("""COMPUTED_VALUE"""),0.2039)</f>
        <v>0.2039</v>
      </c>
      <c r="AL16" s="320">
        <f>IFERROR(__xludf.DUMMYFUNCTION("""COMPUTED_VALUE"""),22.21)</f>
        <v>22.21</v>
      </c>
      <c r="AM16" s="320">
        <f>IFERROR(__xludf.DUMMYFUNCTION("""COMPUTED_VALUE"""),143.64)</f>
        <v>143.64</v>
      </c>
      <c r="AN16" s="320">
        <f>IFERROR(__xludf.DUMMYFUNCTION("""COMPUTED_VALUE"""),35.22)</f>
        <v>35.22</v>
      </c>
      <c r="AO16" s="320">
        <f>IFERROR(__xludf.DUMMYFUNCTION("""COMPUTED_VALUE"""),7.82)</f>
        <v>7.82</v>
      </c>
    </row>
    <row r="17" ht="15.0" customHeight="1">
      <c r="A17" s="330">
        <f>IFERROR(__xludf.DUMMYFUNCTION("""COMPUTED_VALUE"""),46052.0)</f>
        <v>46052</v>
      </c>
      <c r="B17" s="319" t="str">
        <f>IFERROR(__xludf.DUMMYFUNCTION("""COMPUTED_VALUE"""),"D. 20-39")</f>
        <v>D. 20-39</v>
      </c>
      <c r="C17" s="320">
        <f>IFERROR(__xludf.DUMMYFUNCTION("""COMPUTED_VALUE"""),8877.0)</f>
        <v>8877</v>
      </c>
      <c r="D17" s="320">
        <f>IFERROR(__xludf.DUMMYFUNCTION("""COMPUTED_VALUE"""),10.91)</f>
        <v>10.91</v>
      </c>
      <c r="E17" s="320">
        <f>IFERROR(__xludf.DUMMYFUNCTION("""COMPUTED_VALUE"""),23358.34)</f>
        <v>23358.34</v>
      </c>
      <c r="F17" s="320">
        <f>IFERROR(__xludf.DUMMYFUNCTION("""COMPUTED_VALUE"""),2.6313)</f>
        <v>2.6313</v>
      </c>
      <c r="G17" s="320">
        <f>IFERROR(__xludf.DUMMYFUNCTION("""COMPUTED_VALUE"""),34.79)</f>
        <v>34.79</v>
      </c>
      <c r="H17" s="320">
        <f>IFERROR(__xludf.DUMMYFUNCTION("""COMPUTED_VALUE"""),7.5642)</f>
        <v>7.5642</v>
      </c>
      <c r="I17" s="320">
        <f>IFERROR(__xludf.DUMMYFUNCTION("""COMPUTED_VALUE"""),91.84)</f>
        <v>91.84</v>
      </c>
      <c r="J17" s="320">
        <f>IFERROR(__xludf.DUMMYFUNCTION("""COMPUTED_VALUE"""),53.81)</f>
        <v>53.81</v>
      </c>
      <c r="K17" s="320">
        <f>IFERROR(__xludf.DUMMYFUNCTION("""COMPUTED_VALUE"""),27.91)</f>
        <v>27.91</v>
      </c>
      <c r="L17" s="320">
        <f>IFERROR(__xludf.DUMMYFUNCTION("""COMPUTED_VALUE"""),0.5186)</f>
        <v>0.5186</v>
      </c>
      <c r="M17" s="320">
        <f>IFERROR(__xludf.DUMMYFUNCTION("""COMPUTED_VALUE"""),0.5518)</f>
        <v>0.5518</v>
      </c>
      <c r="N17" s="320">
        <f>IFERROR(__xludf.DUMMYFUNCTION("""COMPUTED_VALUE"""),0.3072)</f>
        <v>0.3072</v>
      </c>
      <c r="O17" s="320">
        <f>IFERROR(__xludf.DUMMYFUNCTION("""COMPUTED_VALUE"""),1.9284)</f>
        <v>1.9284</v>
      </c>
      <c r="P17" s="320">
        <f>IFERROR(__xludf.DUMMYFUNCTION("""COMPUTED_VALUE"""),352.99)</f>
        <v>352.99</v>
      </c>
      <c r="Q17" s="320">
        <f>IFERROR(__xludf.DUMMYFUNCTION("""COMPUTED_VALUE"""),294.07)</f>
        <v>294.07</v>
      </c>
      <c r="R17" s="320">
        <f>IFERROR(__xludf.DUMMYFUNCTION("""COMPUTED_VALUE"""),58.93)</f>
        <v>58.93</v>
      </c>
      <c r="S17" s="320">
        <f>IFERROR(__xludf.DUMMYFUNCTION("""COMPUTED_VALUE"""),171.79)</f>
        <v>171.79</v>
      </c>
      <c r="T17" s="320">
        <f>IFERROR(__xludf.DUMMYFUNCTION("""COMPUTED_VALUE"""),181.2)</f>
        <v>181.2</v>
      </c>
      <c r="U17" s="320">
        <f>IFERROR(__xludf.DUMMYFUNCTION("""COMPUTED_VALUE"""),358.86)</f>
        <v>358.86</v>
      </c>
      <c r="V17" s="320">
        <f>IFERROR(__xludf.DUMMYFUNCTION("""COMPUTED_VALUE"""),6.6688)</f>
        <v>6.6688</v>
      </c>
      <c r="W17" s="320">
        <f>IFERROR(__xludf.DUMMYFUNCTION("""COMPUTED_VALUE"""),48.67)</f>
        <v>48.67</v>
      </c>
      <c r="X17" s="320">
        <f>IFERROR(__xludf.DUMMYFUNCTION("""COMPUTED_VALUE"""),91.0)</f>
        <v>91</v>
      </c>
      <c r="Y17" s="320">
        <f>IFERROR(__xludf.DUMMYFUNCTION("""COMPUTED_VALUE"""),234.0)</f>
        <v>234</v>
      </c>
      <c r="Z17" s="320">
        <f>IFERROR(__xludf.DUMMYFUNCTION("""COMPUTED_VALUE"""),761.0)</f>
        <v>761</v>
      </c>
      <c r="AA17" s="320">
        <f>IFERROR(__xludf.DUMMYFUNCTION("""COMPUTED_VALUE"""),54.1685)</f>
        <v>54.1685</v>
      </c>
      <c r="AB17" s="320">
        <f>IFERROR(__xludf.DUMMYFUNCTION("""COMPUTED_VALUE"""),0.635)</f>
        <v>0.635</v>
      </c>
      <c r="AC17" s="320">
        <f>IFERROR(__xludf.DUMMYFUNCTION("""COMPUTED_VALUE"""),17.73)</f>
        <v>17.73</v>
      </c>
      <c r="AD17" s="320">
        <f>IFERROR(__xludf.DUMMYFUNCTION("""COMPUTED_VALUE"""),7.0)</f>
        <v>7</v>
      </c>
      <c r="AE17" s="320">
        <f>IFERROR(__xludf.DUMMYFUNCTION("""COMPUTED_VALUE"""),14.0)</f>
        <v>14</v>
      </c>
      <c r="AF17" s="320">
        <f>IFERROR(__xludf.DUMMYFUNCTION("""COMPUTED_VALUE"""),25.0)</f>
        <v>25</v>
      </c>
      <c r="AG17" s="320">
        <f>IFERROR(__xludf.DUMMYFUNCTION("""COMPUTED_VALUE"""),36.0)</f>
        <v>36</v>
      </c>
      <c r="AH17" s="320">
        <f>IFERROR(__xludf.DUMMYFUNCTION("""COMPUTED_VALUE"""),60.44)</f>
        <v>60.44</v>
      </c>
      <c r="AI17" s="320">
        <f>IFERROR(__xludf.DUMMYFUNCTION("""COMPUTED_VALUE"""),24.45)</f>
        <v>24.45</v>
      </c>
      <c r="AJ17" s="320">
        <f>IFERROR(__xludf.DUMMYFUNCTION("""COMPUTED_VALUE"""),6.12)</f>
        <v>6.12</v>
      </c>
      <c r="AK17" s="320">
        <f>IFERROR(__xludf.DUMMYFUNCTION("""COMPUTED_VALUE"""),0.2069)</f>
        <v>0.2069</v>
      </c>
      <c r="AL17" s="320">
        <f>IFERROR(__xludf.DUMMYFUNCTION("""COMPUTED_VALUE"""),22.51)</f>
        <v>22.51</v>
      </c>
      <c r="AM17" s="320">
        <f>IFERROR(__xludf.DUMMYFUNCTION("""COMPUTED_VALUE"""),271.55)</f>
        <v>271.55</v>
      </c>
      <c r="AN17" s="320">
        <f>IFERROR(__xludf.DUMMYFUNCTION("""COMPUTED_VALUE"""),35.36)</f>
        <v>35.36</v>
      </c>
      <c r="AO17" s="320">
        <f>IFERROR(__xludf.DUMMYFUNCTION("""COMPUTED_VALUE"""),7.96)</f>
        <v>7.96</v>
      </c>
    </row>
    <row r="18" ht="15.0" customHeight="1">
      <c r="A18" s="330">
        <f>IFERROR(__xludf.DUMMYFUNCTION("""COMPUTED_VALUE"""),46052.0)</f>
        <v>46052</v>
      </c>
      <c r="B18" s="319" t="str">
        <f>IFERROR(__xludf.DUMMYFUNCTION("""COMPUTED_VALUE"""),"E. 40-99")</f>
        <v>E. 40-99</v>
      </c>
      <c r="C18" s="320">
        <f>IFERROR(__xludf.DUMMYFUNCTION("""COMPUTED_VALUE"""),3502.0)</f>
        <v>3502</v>
      </c>
      <c r="D18" s="320">
        <f>IFERROR(__xludf.DUMMYFUNCTION("""COMPUTED_VALUE"""),4.31)</f>
        <v>4.31</v>
      </c>
      <c r="E18" s="320">
        <f>IFERROR(__xludf.DUMMYFUNCTION("""COMPUTED_VALUE"""),22079.9)</f>
        <v>22079.9</v>
      </c>
      <c r="F18" s="320">
        <f>IFERROR(__xludf.DUMMYFUNCTION("""COMPUTED_VALUE"""),6.3049)</f>
        <v>6.3049</v>
      </c>
      <c r="G18" s="320">
        <f>IFERROR(__xludf.DUMMYFUNCTION("""COMPUTED_VALUE"""),45.95)</f>
        <v>45.95</v>
      </c>
      <c r="H18" s="320">
        <f>IFERROR(__xludf.DUMMYFUNCTION("""COMPUTED_VALUE"""),13.7227)</f>
        <v>13.7227</v>
      </c>
      <c r="I18" s="320">
        <f>IFERROR(__xludf.DUMMYFUNCTION("""COMPUTED_VALUE"""),138.19)</f>
        <v>138.19</v>
      </c>
      <c r="J18" s="320">
        <f>IFERROR(__xludf.DUMMYFUNCTION("""COMPUTED_VALUE"""),84.08)</f>
        <v>84.08</v>
      </c>
      <c r="K18" s="320">
        <f>IFERROR(__xludf.DUMMYFUNCTION("""COMPUTED_VALUE"""),56.02)</f>
        <v>56.02</v>
      </c>
      <c r="L18" s="320">
        <f>IFERROR(__xludf.DUMMYFUNCTION("""COMPUTED_VALUE"""),0.6663)</f>
        <v>0.6663</v>
      </c>
      <c r="M18" s="320">
        <f>IFERROR(__xludf.DUMMYFUNCTION("""COMPUTED_VALUE"""),0.421)</f>
        <v>0.421</v>
      </c>
      <c r="N18" s="320">
        <f>IFERROR(__xludf.DUMMYFUNCTION("""COMPUTED_VALUE"""),0.2415)</f>
        <v>0.2415</v>
      </c>
      <c r="O18" s="320">
        <f>IFERROR(__xludf.DUMMYFUNCTION("""COMPUTED_VALUE"""),1.5009)</f>
        <v>1.5009</v>
      </c>
      <c r="P18" s="320">
        <f>IFERROR(__xludf.DUMMYFUNCTION("""COMPUTED_VALUE"""),707.32)</f>
        <v>707.32</v>
      </c>
      <c r="Q18" s="320">
        <f>IFERROR(__xludf.DUMMYFUNCTION("""COMPUTED_VALUE"""),588.91)</f>
        <v>588.91</v>
      </c>
      <c r="R18" s="320">
        <f>IFERROR(__xludf.DUMMYFUNCTION("""COMPUTED_VALUE"""),118.41)</f>
        <v>118.41</v>
      </c>
      <c r="S18" s="320">
        <f>IFERROR(__xludf.DUMMYFUNCTION("""COMPUTED_VALUE"""),410.4)</f>
        <v>410.4</v>
      </c>
      <c r="T18" s="320">
        <f>IFERROR(__xludf.DUMMYFUNCTION("""COMPUTED_VALUE"""),296.92)</f>
        <v>296.92</v>
      </c>
      <c r="U18" s="320">
        <f>IFERROR(__xludf.DUMMYFUNCTION("""COMPUTED_VALUE"""),730.14)</f>
        <v>730.14</v>
      </c>
      <c r="V18" s="320">
        <f>IFERROR(__xludf.DUMMYFUNCTION("""COMPUTED_VALUE"""),8.6834)</f>
        <v>8.6834</v>
      </c>
      <c r="W18" s="320">
        <f>IFERROR(__xludf.DUMMYFUNCTION("""COMPUTED_VALUE"""),58.02)</f>
        <v>58.02</v>
      </c>
      <c r="X18" s="320">
        <f>IFERROR(__xludf.DUMMYFUNCTION("""COMPUTED_VALUE"""),104.0)</f>
        <v>104</v>
      </c>
      <c r="Y18" s="320">
        <f>IFERROR(__xludf.DUMMYFUNCTION("""COMPUTED_VALUE"""),321.0)</f>
        <v>321</v>
      </c>
      <c r="Z18" s="320">
        <f>IFERROR(__xludf.DUMMYFUNCTION("""COMPUTED_VALUE"""),1075.0)</f>
        <v>1075</v>
      </c>
      <c r="AA18" s="320">
        <f>IFERROR(__xludf.DUMMYFUNCTION("""COMPUTED_VALUE"""),57.3905)</f>
        <v>57.3905</v>
      </c>
      <c r="AB18" s="320">
        <f>IFERROR(__xludf.DUMMYFUNCTION("""COMPUTED_VALUE"""),0.7606)</f>
        <v>0.7606</v>
      </c>
      <c r="AC18" s="320">
        <f>IFERROR(__xludf.DUMMYFUNCTION("""COMPUTED_VALUE"""),36.58)</f>
        <v>36.58</v>
      </c>
      <c r="AD18" s="320">
        <f>IFERROR(__xludf.DUMMYFUNCTION("""COMPUTED_VALUE"""),14.0)</f>
        <v>14</v>
      </c>
      <c r="AE18" s="320">
        <f>IFERROR(__xludf.DUMMYFUNCTION("""COMPUTED_VALUE"""),30.0)</f>
        <v>30</v>
      </c>
      <c r="AF18" s="320">
        <f>IFERROR(__xludf.DUMMYFUNCTION("""COMPUTED_VALUE"""),51.0)</f>
        <v>51</v>
      </c>
      <c r="AG18" s="320">
        <f>IFERROR(__xludf.DUMMYFUNCTION("""COMPUTED_VALUE"""),76.0)</f>
        <v>76</v>
      </c>
      <c r="AH18" s="320">
        <f>IFERROR(__xludf.DUMMYFUNCTION("""COMPUTED_VALUE"""),52.77)</f>
        <v>52.77</v>
      </c>
      <c r="AI18" s="320">
        <f>IFERROR(__xludf.DUMMYFUNCTION("""COMPUTED_VALUE"""),18.73)</f>
        <v>18.73</v>
      </c>
      <c r="AJ18" s="320">
        <f>IFERROR(__xludf.DUMMYFUNCTION("""COMPUTED_VALUE"""),3.66)</f>
        <v>3.66</v>
      </c>
      <c r="AK18" s="320">
        <f>IFERROR(__xludf.DUMMYFUNCTION("""COMPUTED_VALUE"""),0.2027)</f>
        <v>0.2027</v>
      </c>
      <c r="AL18" s="320">
        <f>IFERROR(__xludf.DUMMYFUNCTION("""COMPUTED_VALUE"""),21.08)</f>
        <v>21.08</v>
      </c>
      <c r="AM18" s="320">
        <f>IFERROR(__xludf.DUMMYFUNCTION("""COMPUTED_VALUE"""),567.83)</f>
        <v>567.83</v>
      </c>
      <c r="AN18" s="320">
        <f>IFERROR(__xludf.DUMMYFUNCTION("""COMPUTED_VALUE"""),35.69)</f>
        <v>35.69</v>
      </c>
      <c r="AO18" s="320">
        <f>IFERROR(__xludf.DUMMYFUNCTION("""COMPUTED_VALUE"""),7.52)</f>
        <v>7.52</v>
      </c>
    </row>
    <row r="19" ht="15.0" customHeight="1">
      <c r="A19" s="330">
        <f>IFERROR(__xludf.DUMMYFUNCTION("""COMPUTED_VALUE"""),46052.0)</f>
        <v>46052</v>
      </c>
      <c r="B19" s="319" t="str">
        <f>IFERROR(__xludf.DUMMYFUNCTION("""COMPUTED_VALUE"""),"F. 100+")</f>
        <v>F. 100+</v>
      </c>
      <c r="C19" s="320">
        <f>IFERROR(__xludf.DUMMYFUNCTION("""COMPUTED_VALUE"""),403.0)</f>
        <v>403</v>
      </c>
      <c r="D19" s="320">
        <f>IFERROR(__xludf.DUMMYFUNCTION("""COMPUTED_VALUE"""),0.5)</f>
        <v>0.5</v>
      </c>
      <c r="E19" s="320">
        <f>IFERROR(__xludf.DUMMYFUNCTION("""COMPUTED_VALUE"""),5011.96)</f>
        <v>5011.96</v>
      </c>
      <c r="F19" s="320">
        <f>IFERROR(__xludf.DUMMYFUNCTION("""COMPUTED_VALUE"""),12.4366)</f>
        <v>12.4366</v>
      </c>
      <c r="G19" s="320">
        <f>IFERROR(__xludf.DUMMYFUNCTION("""COMPUTED_VALUE"""),46.15)</f>
        <v>46.15</v>
      </c>
      <c r="H19" s="320">
        <f>IFERROR(__xludf.DUMMYFUNCTION("""COMPUTED_VALUE"""),26.946)</f>
        <v>26.946</v>
      </c>
      <c r="I19" s="320">
        <f>IFERROR(__xludf.DUMMYFUNCTION("""COMPUTED_VALUE"""),260.15)</f>
        <v>260.15</v>
      </c>
      <c r="J19" s="320">
        <f>IFERROR(__xludf.DUMMYFUNCTION("""COMPUTED_VALUE"""),168.37)</f>
        <v>168.37</v>
      </c>
      <c r="K19" s="320">
        <f>IFERROR(__xludf.DUMMYFUNCTION("""COMPUTED_VALUE"""),136.51)</f>
        <v>136.51</v>
      </c>
      <c r="L19" s="320">
        <f>IFERROR(__xludf.DUMMYFUNCTION("""COMPUTED_VALUE"""),0.8107)</f>
        <v>0.8107</v>
      </c>
      <c r="M19" s="320">
        <f>IFERROR(__xludf.DUMMYFUNCTION("""COMPUTED_VALUE"""),0.2829)</f>
        <v>0.2829</v>
      </c>
      <c r="N19" s="320">
        <f>IFERROR(__xludf.DUMMYFUNCTION("""COMPUTED_VALUE"""),0.1803)</f>
        <v>0.1803</v>
      </c>
      <c r="O19" s="320">
        <f>IFERROR(__xludf.DUMMYFUNCTION("""COMPUTED_VALUE"""),1.2335)</f>
        <v>1.2335</v>
      </c>
      <c r="P19" s="320">
        <f>IFERROR(__xludf.DUMMYFUNCTION("""COMPUTED_VALUE"""),1402.15)</f>
        <v>1402.15</v>
      </c>
      <c r="Q19" s="320">
        <f>IFERROR(__xludf.DUMMYFUNCTION("""COMPUTED_VALUE"""),1115.91)</f>
        <v>1115.91</v>
      </c>
      <c r="R19" s="320">
        <f>IFERROR(__xludf.DUMMYFUNCTION("""COMPUTED_VALUE"""),286.24)</f>
        <v>286.24</v>
      </c>
      <c r="S19" s="320">
        <f>IFERROR(__xludf.DUMMYFUNCTION("""COMPUTED_VALUE"""),771.55)</f>
        <v>771.55</v>
      </c>
      <c r="T19" s="320">
        <f>IFERROR(__xludf.DUMMYFUNCTION("""COMPUTED_VALUE"""),630.6)</f>
        <v>630.6</v>
      </c>
      <c r="U19" s="320">
        <f>IFERROR(__xludf.DUMMYFUNCTION("""COMPUTED_VALUE"""),1500.37)</f>
        <v>1500.37</v>
      </c>
      <c r="V19" s="320">
        <f>IFERROR(__xludf.DUMMYFUNCTION("""COMPUTED_VALUE"""),8.9109)</f>
        <v>8.9109</v>
      </c>
      <c r="W19" s="320">
        <f>IFERROR(__xludf.DUMMYFUNCTION("""COMPUTED_VALUE"""),55.03)</f>
        <v>55.03</v>
      </c>
      <c r="X19" s="320">
        <f>IFERROR(__xludf.DUMMYFUNCTION("""COMPUTED_VALUE"""),146.0)</f>
        <v>146</v>
      </c>
      <c r="Y19" s="320">
        <f>IFERROR(__xludf.DUMMYFUNCTION("""COMPUTED_VALUE"""),570.0)</f>
        <v>570</v>
      </c>
      <c r="Z19" s="320">
        <f>IFERROR(__xludf.DUMMYFUNCTION("""COMPUTED_VALUE"""),2463.0)</f>
        <v>2463</v>
      </c>
      <c r="AA19" s="320">
        <f>IFERROR(__xludf.DUMMYFUNCTION("""COMPUTED_VALUE"""),61.6161)</f>
        <v>61.6161</v>
      </c>
      <c r="AB19" s="320">
        <f>IFERROR(__xludf.DUMMYFUNCTION("""COMPUTED_VALUE"""),0.8362)</f>
        <v>0.8362</v>
      </c>
      <c r="AC19" s="320">
        <f>IFERROR(__xludf.DUMMYFUNCTION("""COMPUTED_VALUE"""),89.04)</f>
        <v>89.04</v>
      </c>
      <c r="AD19" s="320">
        <f>IFERROR(__xludf.DUMMYFUNCTION("""COMPUTED_VALUE"""),32.0)</f>
        <v>32</v>
      </c>
      <c r="AE19" s="320">
        <f>IFERROR(__xludf.DUMMYFUNCTION("""COMPUTED_VALUE"""),75.0)</f>
        <v>75</v>
      </c>
      <c r="AF19" s="320">
        <f>IFERROR(__xludf.DUMMYFUNCTION("""COMPUTED_VALUE"""),126.0)</f>
        <v>126</v>
      </c>
      <c r="AG19" s="320">
        <f>IFERROR(__xludf.DUMMYFUNCTION("""COMPUTED_VALUE"""),183.0)</f>
        <v>183</v>
      </c>
      <c r="AH19" s="320">
        <f>IFERROR(__xludf.DUMMYFUNCTION("""COMPUTED_VALUE"""),46.9)</f>
        <v>46.9</v>
      </c>
      <c r="AI19" s="320">
        <f>IFERROR(__xludf.DUMMYFUNCTION("""COMPUTED_VALUE"""),12.16)</f>
        <v>12.16</v>
      </c>
      <c r="AJ19" s="320">
        <f>IFERROR(__xludf.DUMMYFUNCTION("""COMPUTED_VALUE"""),1.74)</f>
        <v>1.74</v>
      </c>
      <c r="AK19" s="320">
        <f>IFERROR(__xludf.DUMMYFUNCTION("""COMPUTED_VALUE"""),0.1315)</f>
        <v>0.1315</v>
      </c>
      <c r="AL19" s="320">
        <f>IFERROR(__xludf.DUMMYFUNCTION("""COMPUTED_VALUE"""),20.45)</f>
        <v>20.45</v>
      </c>
      <c r="AM19" s="320">
        <f>IFERROR(__xludf.DUMMYFUNCTION("""COMPUTED_VALUE"""),1095.47)</f>
        <v>1095.47</v>
      </c>
      <c r="AN19" s="320">
        <f>IFERROR(__xludf.DUMMYFUNCTION("""COMPUTED_VALUE"""),35.81)</f>
        <v>35.81</v>
      </c>
      <c r="AO19" s="320">
        <f>IFERROR(__xludf.DUMMYFUNCTION("""COMPUTED_VALUE"""),7.32)</f>
        <v>7.32</v>
      </c>
    </row>
    <row r="20" ht="15.0" customHeight="1">
      <c r="A20" s="330">
        <f>IFERROR(__xludf.DUMMYFUNCTION("""COMPUTED_VALUE"""),46053.0)</f>
        <v>46053</v>
      </c>
      <c r="B20" s="319" t="str">
        <f>IFERROR(__xludf.DUMMYFUNCTION("""COMPUTED_VALUE"""),"A. 0")</f>
        <v>A. 0</v>
      </c>
      <c r="C20" s="320">
        <f>IFERROR(__xludf.DUMMYFUNCTION("""COMPUTED_VALUE"""),16854.0)</f>
        <v>16854</v>
      </c>
      <c r="D20" s="320">
        <f>IFERROR(__xludf.DUMMYFUNCTION("""COMPUTED_VALUE"""),20.85)</f>
        <v>20.85</v>
      </c>
      <c r="E20" s="320">
        <f>IFERROR(__xludf.DUMMYFUNCTION("""COMPUTED_VALUE"""),164.08)</f>
        <v>164.08</v>
      </c>
      <c r="F20" s="320">
        <f>IFERROR(__xludf.DUMMYFUNCTION("""COMPUTED_VALUE"""),0.0097)</f>
        <v>0.0097</v>
      </c>
      <c r="G20" s="320">
        <f>IFERROR(__xludf.DUMMYFUNCTION("""COMPUTED_VALUE"""),0.2)</f>
        <v>0.2</v>
      </c>
      <c r="H20" s="320">
        <f>IFERROR(__xludf.DUMMYFUNCTION("""COMPUTED_VALUE"""),4.8259)</f>
        <v>4.8259</v>
      </c>
      <c r="I20" s="320">
        <f>IFERROR(__xludf.DUMMYFUNCTION("""COMPUTED_VALUE"""),6.15)</f>
        <v>6.15</v>
      </c>
      <c r="J20" s="320">
        <f>IFERROR(__xludf.DUMMYFUNCTION("""COMPUTED_VALUE"""),2.83)</f>
        <v>2.83</v>
      </c>
      <c r="K20" s="320">
        <f>IFERROR(__xludf.DUMMYFUNCTION("""COMPUTED_VALUE"""),0.09)</f>
        <v>0.09</v>
      </c>
      <c r="L20" s="320">
        <f>IFERROR(__xludf.DUMMYFUNCTION("""COMPUTED_VALUE"""),0.0335)</f>
        <v>0.0335</v>
      </c>
      <c r="M20" s="320">
        <f>IFERROR(__xludf.DUMMYFUNCTION("""COMPUTED_VALUE"""),0.9682)</f>
        <v>0.9682</v>
      </c>
      <c r="N20" s="320">
        <f>IFERROR(__xludf.DUMMYFUNCTION("""COMPUTED_VALUE"""),0.6471)</f>
        <v>0.6471</v>
      </c>
      <c r="O20" s="320">
        <f>IFERROR(__xludf.DUMMYFUNCTION("""COMPUTED_VALUE"""),29.8562)</f>
        <v>29.8562</v>
      </c>
      <c r="P20" s="320">
        <f>IFERROR(__xludf.DUMMYFUNCTION("""COMPUTED_VALUE"""),26.28)</f>
        <v>26.28</v>
      </c>
      <c r="Q20" s="320">
        <f>IFERROR(__xludf.DUMMYFUNCTION("""COMPUTED_VALUE"""),26.21)</f>
        <v>26.21</v>
      </c>
      <c r="R20" s="320">
        <f>IFERROR(__xludf.DUMMYFUNCTION("""COMPUTED_VALUE"""),0.08)</f>
        <v>0.08</v>
      </c>
      <c r="S20" s="320">
        <f>IFERROR(__xludf.DUMMYFUNCTION("""COMPUTED_VALUE"""),0.76)</f>
        <v>0.76</v>
      </c>
      <c r="T20" s="320">
        <f>IFERROR(__xludf.DUMMYFUNCTION("""COMPUTED_VALUE"""),25.52)</f>
        <v>25.52</v>
      </c>
      <c r="U20" s="320">
        <f>IFERROR(__xludf.DUMMYFUNCTION("""COMPUTED_VALUE"""),2.62)</f>
        <v>2.62</v>
      </c>
      <c r="V20" s="320">
        <f>IFERROR(__xludf.DUMMYFUNCTION("""COMPUTED_VALUE"""),0.9238)</f>
        <v>0.9238</v>
      </c>
      <c r="W20" s="320">
        <f>IFERROR(__xludf.DUMMYFUNCTION("""COMPUTED_VALUE"""),2.89)</f>
        <v>2.89</v>
      </c>
      <c r="X20" s="320">
        <f>IFERROR(__xludf.DUMMYFUNCTION("""COMPUTED_VALUE"""),136.0)</f>
        <v>136</v>
      </c>
      <c r="Y20" s="320">
        <f>IFERROR(__xludf.DUMMYFUNCTION("""COMPUTED_VALUE"""),889.0)</f>
        <v>889</v>
      </c>
      <c r="Z20" s="320">
        <f>IFERROR(__xludf.DUMMYFUNCTION("""COMPUTED_VALUE"""),6246.0)</f>
        <v>6246</v>
      </c>
      <c r="AA20" s="320">
        <f>IFERROR(__xludf.DUMMYFUNCTION("""COMPUTED_VALUE"""),49.3724)</f>
        <v>49.3724</v>
      </c>
      <c r="AB20" s="320">
        <f>IFERROR(__xludf.DUMMYFUNCTION("""COMPUTED_VALUE"""),0.5039)</f>
        <v>0.5039</v>
      </c>
      <c r="AC20" s="106"/>
      <c r="AD20" s="106"/>
      <c r="AE20" s="106"/>
      <c r="AF20" s="106"/>
      <c r="AG20" s="106"/>
      <c r="AH20" s="320">
        <f>IFERROR(__xludf.DUMMYFUNCTION("""COMPUTED_VALUE"""),0.0)</f>
        <v>0</v>
      </c>
      <c r="AI20" s="320">
        <f>IFERROR(__xludf.DUMMYFUNCTION("""COMPUTED_VALUE"""),0.0)</f>
        <v>0</v>
      </c>
      <c r="AJ20" s="320">
        <f>IFERROR(__xludf.DUMMYFUNCTION("""COMPUTED_VALUE"""),0.0)</f>
        <v>0</v>
      </c>
      <c r="AK20" s="320">
        <f>IFERROR(__xludf.DUMMYFUNCTION("""COMPUTED_VALUE"""),0.2862)</f>
        <v>0.2862</v>
      </c>
      <c r="AL20" s="320">
        <f>IFERROR(__xludf.DUMMYFUNCTION("""COMPUTED_VALUE"""),16.96)</f>
        <v>16.96</v>
      </c>
      <c r="AM20" s="320">
        <f>IFERROR(__xludf.DUMMYFUNCTION("""COMPUTED_VALUE"""),9.24)</f>
        <v>9.24</v>
      </c>
      <c r="AN20" s="331"/>
      <c r="AO20" s="331"/>
    </row>
    <row r="21" ht="15.75" customHeight="1">
      <c r="A21" s="330">
        <f>IFERROR(__xludf.DUMMYFUNCTION("""COMPUTED_VALUE"""),46053.0)</f>
        <v>46053</v>
      </c>
      <c r="B21" s="319" t="str">
        <f>IFERROR(__xludf.DUMMYFUNCTION("""COMPUTED_VALUE"""),"B. 1-9")</f>
        <v>B. 1-9</v>
      </c>
      <c r="C21" s="320">
        <f>IFERROR(__xludf.DUMMYFUNCTION("""COMPUTED_VALUE"""),34565.0)</f>
        <v>34565</v>
      </c>
      <c r="D21" s="320">
        <f>IFERROR(__xludf.DUMMYFUNCTION("""COMPUTED_VALUE"""),42.75)</f>
        <v>42.75</v>
      </c>
      <c r="E21" s="320">
        <f>IFERROR(__xludf.DUMMYFUNCTION("""COMPUTED_VALUE"""),8600.32)</f>
        <v>8600.32</v>
      </c>
      <c r="F21" s="320">
        <f>IFERROR(__xludf.DUMMYFUNCTION("""COMPUTED_VALUE"""),0.2488)</f>
        <v>0.2488</v>
      </c>
      <c r="G21" s="320">
        <f>IFERROR(__xludf.DUMMYFUNCTION("""COMPUTED_VALUE"""),6.71)</f>
        <v>6.71</v>
      </c>
      <c r="H21" s="320">
        <f>IFERROR(__xludf.DUMMYFUNCTION("""COMPUTED_VALUE"""),3.7086)</f>
        <v>3.7086</v>
      </c>
      <c r="I21" s="320">
        <f>IFERROR(__xludf.DUMMYFUNCTION("""COMPUTED_VALUE"""),30.42)</f>
        <v>30.42</v>
      </c>
      <c r="J21" s="320">
        <f>IFERROR(__xludf.DUMMYFUNCTION("""COMPUTED_VALUE"""),16.38)</f>
        <v>16.38</v>
      </c>
      <c r="K21" s="320">
        <f>IFERROR(__xludf.DUMMYFUNCTION("""COMPUTED_VALUE"""),5.18)</f>
        <v>5.18</v>
      </c>
      <c r="L21" s="320">
        <f>IFERROR(__xludf.DUMMYFUNCTION("""COMPUTED_VALUE"""),0.3162)</f>
        <v>0.3162</v>
      </c>
      <c r="M21" s="320">
        <f>IFERROR(__xludf.DUMMYFUNCTION("""COMPUTED_VALUE"""),0.7558)</f>
        <v>0.7558</v>
      </c>
      <c r="N21" s="320">
        <f>IFERROR(__xludf.DUMMYFUNCTION("""COMPUTED_VALUE"""),0.5164)</f>
        <v>0.5164</v>
      </c>
      <c r="O21" s="320">
        <f>IFERROR(__xludf.DUMMYFUNCTION("""COMPUTED_VALUE"""),3.1624)</f>
        <v>3.1624</v>
      </c>
      <c r="P21" s="320">
        <f>IFERROR(__xludf.DUMMYFUNCTION("""COMPUTED_VALUE"""),74.15)</f>
        <v>74.15</v>
      </c>
      <c r="Q21" s="320">
        <f>IFERROR(__xludf.DUMMYFUNCTION("""COMPUTED_VALUE"""),63.59)</f>
        <v>63.59</v>
      </c>
      <c r="R21" s="320">
        <f>IFERROR(__xludf.DUMMYFUNCTION("""COMPUTED_VALUE"""),10.56)</f>
        <v>10.56</v>
      </c>
      <c r="S21" s="320">
        <f>IFERROR(__xludf.DUMMYFUNCTION("""COMPUTED_VALUE"""),18.19)</f>
        <v>18.19</v>
      </c>
      <c r="T21" s="320">
        <f>IFERROR(__xludf.DUMMYFUNCTION("""COMPUTED_VALUE"""),55.95)</f>
        <v>55.95</v>
      </c>
      <c r="U21" s="320">
        <f>IFERROR(__xludf.DUMMYFUNCTION("""COMPUTED_VALUE"""),77.08)</f>
        <v>77.08</v>
      </c>
      <c r="V21" s="320">
        <f>IFERROR(__xludf.DUMMYFUNCTION("""COMPUTED_VALUE"""),4.7062)</f>
        <v>4.7062</v>
      </c>
      <c r="W21" s="320">
        <f>IFERROR(__xludf.DUMMYFUNCTION("""COMPUTED_VALUE"""),24.54)</f>
        <v>24.54</v>
      </c>
      <c r="X21" s="320">
        <f>IFERROR(__xludf.DUMMYFUNCTION("""COMPUTED_VALUE"""),87.0)</f>
        <v>87</v>
      </c>
      <c r="Y21" s="320">
        <f>IFERROR(__xludf.DUMMYFUNCTION("""COMPUTED_VALUE"""),207.0)</f>
        <v>207</v>
      </c>
      <c r="Z21" s="320">
        <f>IFERROR(__xludf.DUMMYFUNCTION("""COMPUTED_VALUE"""),823.0)</f>
        <v>823</v>
      </c>
      <c r="AA21" s="320">
        <f>IFERROR(__xludf.DUMMYFUNCTION("""COMPUTED_VALUE"""),49.5163)</f>
        <v>49.5163</v>
      </c>
      <c r="AB21" s="320">
        <f>IFERROR(__xludf.DUMMYFUNCTION("""COMPUTED_VALUE"""),0.4594)</f>
        <v>0.4594</v>
      </c>
      <c r="AC21" s="320">
        <f>IFERROR(__xludf.DUMMYFUNCTION("""COMPUTED_VALUE"""),3.41)</f>
        <v>3.41</v>
      </c>
      <c r="AD21" s="320">
        <f>IFERROR(__xludf.DUMMYFUNCTION("""COMPUTED_VALUE"""),1.0)</f>
        <v>1</v>
      </c>
      <c r="AE21" s="320">
        <f>IFERROR(__xludf.DUMMYFUNCTION("""COMPUTED_VALUE"""),2.0)</f>
        <v>2</v>
      </c>
      <c r="AF21" s="320">
        <f>IFERROR(__xludf.DUMMYFUNCTION("""COMPUTED_VALUE"""),4.0)</f>
        <v>4</v>
      </c>
      <c r="AG21" s="320">
        <f>IFERROR(__xludf.DUMMYFUNCTION("""COMPUTED_VALUE"""),8.0)</f>
        <v>8</v>
      </c>
      <c r="AH21" s="320">
        <f>IFERROR(__xludf.DUMMYFUNCTION("""COMPUTED_VALUE"""),66.52)</f>
        <v>66.52</v>
      </c>
      <c r="AI21" s="320">
        <f>IFERROR(__xludf.DUMMYFUNCTION("""COMPUTED_VALUE"""),24.54)</f>
        <v>24.54</v>
      </c>
      <c r="AJ21" s="320">
        <f>IFERROR(__xludf.DUMMYFUNCTION("""COMPUTED_VALUE"""),5.91)</f>
        <v>5.91</v>
      </c>
      <c r="AK21" s="320">
        <f>IFERROR(__xludf.DUMMYFUNCTION("""COMPUTED_VALUE"""),0.2362)</f>
        <v>0.2362</v>
      </c>
      <c r="AL21" s="320">
        <f>IFERROR(__xludf.DUMMYFUNCTION("""COMPUTED_VALUE"""),22.12)</f>
        <v>22.12</v>
      </c>
      <c r="AM21" s="320">
        <f>IFERROR(__xludf.DUMMYFUNCTION("""COMPUTED_VALUE"""),41.47)</f>
        <v>41.47</v>
      </c>
      <c r="AN21" s="320">
        <f>IFERROR(__xludf.DUMMYFUNCTION("""COMPUTED_VALUE"""),40.92)</f>
        <v>40.92</v>
      </c>
      <c r="AO21" s="320">
        <f>IFERROR(__xludf.DUMMYFUNCTION("""COMPUTED_VALUE"""),9.05)</f>
        <v>9.05</v>
      </c>
    </row>
    <row r="22" ht="15.75" customHeight="1">
      <c r="A22" s="330">
        <f>IFERROR(__xludf.DUMMYFUNCTION("""COMPUTED_VALUE"""),46053.0)</f>
        <v>46053</v>
      </c>
      <c r="B22" s="319" t="str">
        <f>IFERROR(__xludf.DUMMYFUNCTION("""COMPUTED_VALUE"""),"C. 10-19")</f>
        <v>C. 10-19</v>
      </c>
      <c r="C22" s="320">
        <f>IFERROR(__xludf.DUMMYFUNCTION("""COMPUTED_VALUE"""),16594.0)</f>
        <v>16594</v>
      </c>
      <c r="D22" s="320">
        <f>IFERROR(__xludf.DUMMYFUNCTION("""COMPUTED_VALUE"""),20.52)</f>
        <v>20.52</v>
      </c>
      <c r="E22" s="320">
        <f>IFERROR(__xludf.DUMMYFUNCTION("""COMPUTED_VALUE"""),17731.1)</f>
        <v>17731.1</v>
      </c>
      <c r="F22" s="320">
        <f>IFERROR(__xludf.DUMMYFUNCTION("""COMPUTED_VALUE"""),1.0685)</f>
        <v>1.0685</v>
      </c>
      <c r="G22" s="320">
        <f>IFERROR(__xludf.DUMMYFUNCTION("""COMPUTED_VALUE"""),21.42)</f>
        <v>21.42</v>
      </c>
      <c r="H22" s="320">
        <f>IFERROR(__xludf.DUMMYFUNCTION("""COMPUTED_VALUE"""),4.9891)</f>
        <v>4.9891</v>
      </c>
      <c r="I22" s="320">
        <f>IFERROR(__xludf.DUMMYFUNCTION("""COMPUTED_VALUE"""),57.85)</f>
        <v>57.85</v>
      </c>
      <c r="J22" s="320">
        <f>IFERROR(__xludf.DUMMYFUNCTION("""COMPUTED_VALUE"""),32.77)</f>
        <v>32.77</v>
      </c>
      <c r="K22" s="320">
        <f>IFERROR(__xludf.DUMMYFUNCTION("""COMPUTED_VALUE"""),14.08)</f>
        <v>14.08</v>
      </c>
      <c r="L22" s="320">
        <f>IFERROR(__xludf.DUMMYFUNCTION("""COMPUTED_VALUE"""),0.4298)</f>
        <v>0.4298</v>
      </c>
      <c r="M22" s="320">
        <f>IFERROR(__xludf.DUMMYFUNCTION("""COMPUTED_VALUE"""),0.6374)</f>
        <v>0.6374</v>
      </c>
      <c r="N22" s="320">
        <f>IFERROR(__xludf.DUMMYFUNCTION("""COMPUTED_VALUE"""),0.374)</f>
        <v>0.374</v>
      </c>
      <c r="O22" s="320">
        <f>IFERROR(__xludf.DUMMYFUNCTION("""COMPUTED_VALUE"""),2.3267)</f>
        <v>2.3267</v>
      </c>
      <c r="P22" s="320">
        <f>IFERROR(__xludf.DUMMYFUNCTION("""COMPUTED_VALUE"""),178.28)</f>
        <v>178.28</v>
      </c>
      <c r="Q22" s="320">
        <f>IFERROR(__xludf.DUMMYFUNCTION("""COMPUTED_VALUE"""),148.9)</f>
        <v>148.9</v>
      </c>
      <c r="R22" s="320">
        <f>IFERROR(__xludf.DUMMYFUNCTION("""COMPUTED_VALUE"""),29.38)</f>
        <v>29.38</v>
      </c>
      <c r="S22" s="320">
        <f>IFERROR(__xludf.DUMMYFUNCTION("""COMPUTED_VALUE"""),72.02)</f>
        <v>72.02</v>
      </c>
      <c r="T22" s="320">
        <f>IFERROR(__xludf.DUMMYFUNCTION("""COMPUTED_VALUE"""),106.26)</f>
        <v>106.26</v>
      </c>
      <c r="U22" s="320">
        <f>IFERROR(__xludf.DUMMYFUNCTION("""COMPUTED_VALUE"""),189.84)</f>
        <v>189.84</v>
      </c>
      <c r="V22" s="320">
        <f>IFERROR(__xludf.DUMMYFUNCTION("""COMPUTED_VALUE"""),5.794)</f>
        <v>5.794</v>
      </c>
      <c r="W22" s="320">
        <f>IFERROR(__xludf.DUMMYFUNCTION("""COMPUTED_VALUE"""),40.4)</f>
        <v>40.4</v>
      </c>
      <c r="X22" s="320">
        <f>IFERROR(__xludf.DUMMYFUNCTION("""COMPUTED_VALUE"""),84.0)</f>
        <v>84</v>
      </c>
      <c r="Y22" s="320">
        <f>IFERROR(__xludf.DUMMYFUNCTION("""COMPUTED_VALUE"""),202.0)</f>
        <v>202</v>
      </c>
      <c r="Z22" s="320">
        <f>IFERROR(__xludf.DUMMYFUNCTION("""COMPUTED_VALUE"""),710.0)</f>
        <v>710</v>
      </c>
      <c r="AA22" s="320">
        <f>IFERROR(__xludf.DUMMYFUNCTION("""COMPUTED_VALUE"""),52.1974)</f>
        <v>52.1974</v>
      </c>
      <c r="AB22" s="320">
        <f>IFERROR(__xludf.DUMMYFUNCTION("""COMPUTED_VALUE"""),0.5419)</f>
        <v>0.5419</v>
      </c>
      <c r="AC22" s="320">
        <f>IFERROR(__xludf.DUMMYFUNCTION("""COMPUTED_VALUE"""),9.18)</f>
        <v>9.18</v>
      </c>
      <c r="AD22" s="320">
        <f>IFERROR(__xludf.DUMMYFUNCTION("""COMPUTED_VALUE"""),3.0)</f>
        <v>3</v>
      </c>
      <c r="AE22" s="320">
        <f>IFERROR(__xludf.DUMMYFUNCTION("""COMPUTED_VALUE"""),7.0)</f>
        <v>7</v>
      </c>
      <c r="AF22" s="320">
        <f>IFERROR(__xludf.DUMMYFUNCTION("""COMPUTED_VALUE"""),13.0)</f>
        <v>13</v>
      </c>
      <c r="AG22" s="320">
        <f>IFERROR(__xludf.DUMMYFUNCTION("""COMPUTED_VALUE"""),20.0)</f>
        <v>20</v>
      </c>
      <c r="AH22" s="320">
        <f>IFERROR(__xludf.DUMMYFUNCTION("""COMPUTED_VALUE"""),58.48)</f>
        <v>58.48</v>
      </c>
      <c r="AI22" s="320">
        <f>IFERROR(__xludf.DUMMYFUNCTION("""COMPUTED_VALUE"""),25.99)</f>
        <v>25.99</v>
      </c>
      <c r="AJ22" s="320">
        <f>IFERROR(__xludf.DUMMYFUNCTION("""COMPUTED_VALUE"""),4.45)</f>
        <v>4.45</v>
      </c>
      <c r="AK22" s="320">
        <f>IFERROR(__xludf.DUMMYFUNCTION("""COMPUTED_VALUE"""),0.201)</f>
        <v>0.201</v>
      </c>
      <c r="AL22" s="320">
        <f>IFERROR(__xludf.DUMMYFUNCTION("""COMPUTED_VALUE"""),23.64)</f>
        <v>23.64</v>
      </c>
      <c r="AM22" s="320">
        <f>IFERROR(__xludf.DUMMYFUNCTION("""COMPUTED_VALUE"""),125.26)</f>
        <v>125.26</v>
      </c>
      <c r="AN22" s="320">
        <f>IFERROR(__xludf.DUMMYFUNCTION("""COMPUTED_VALUE"""),44.83)</f>
        <v>44.83</v>
      </c>
      <c r="AO22" s="320">
        <f>IFERROR(__xludf.DUMMYFUNCTION("""COMPUTED_VALUE"""),10.6)</f>
        <v>10.6</v>
      </c>
    </row>
    <row r="23" ht="15.75" customHeight="1">
      <c r="A23" s="330">
        <f>IFERROR(__xludf.DUMMYFUNCTION("""COMPUTED_VALUE"""),46053.0)</f>
        <v>46053</v>
      </c>
      <c r="B23" s="319" t="str">
        <f>IFERROR(__xludf.DUMMYFUNCTION("""COMPUTED_VALUE"""),"D. 20-39")</f>
        <v>D. 20-39</v>
      </c>
      <c r="C23" s="320">
        <f>IFERROR(__xludf.DUMMYFUNCTION("""COMPUTED_VALUE"""),8897.0)</f>
        <v>8897</v>
      </c>
      <c r="D23" s="320">
        <f>IFERROR(__xludf.DUMMYFUNCTION("""COMPUTED_VALUE"""),11.0)</f>
        <v>11</v>
      </c>
      <c r="E23" s="320">
        <f>IFERROR(__xludf.DUMMYFUNCTION("""COMPUTED_VALUE"""),24260.92)</f>
        <v>24260.92</v>
      </c>
      <c r="F23" s="320">
        <f>IFERROR(__xludf.DUMMYFUNCTION("""COMPUTED_VALUE"""),2.7269)</f>
        <v>2.7269</v>
      </c>
      <c r="G23" s="320">
        <f>IFERROR(__xludf.DUMMYFUNCTION("""COMPUTED_VALUE"""),33.94)</f>
        <v>33.94</v>
      </c>
      <c r="H23" s="320">
        <f>IFERROR(__xludf.DUMMYFUNCTION("""COMPUTED_VALUE"""),8.0334)</f>
        <v>8.0334</v>
      </c>
      <c r="I23" s="320">
        <f>IFERROR(__xludf.DUMMYFUNCTION("""COMPUTED_VALUE"""),85.89)</f>
        <v>85.89</v>
      </c>
      <c r="J23" s="320">
        <f>IFERROR(__xludf.DUMMYFUNCTION("""COMPUTED_VALUE"""),50.34)</f>
        <v>50.34</v>
      </c>
      <c r="K23" s="320">
        <f>IFERROR(__xludf.DUMMYFUNCTION("""COMPUTED_VALUE"""),27.2)</f>
        <v>27.2</v>
      </c>
      <c r="L23" s="320">
        <f>IFERROR(__xludf.DUMMYFUNCTION("""COMPUTED_VALUE"""),0.5403)</f>
        <v>0.5403</v>
      </c>
      <c r="M23" s="320">
        <f>IFERROR(__xludf.DUMMYFUNCTION("""COMPUTED_VALUE"""),0.5344)</f>
        <v>0.5344</v>
      </c>
      <c r="N23" s="320">
        <f>IFERROR(__xludf.DUMMYFUNCTION("""COMPUTED_VALUE"""),0.3022)</f>
        <v>0.3022</v>
      </c>
      <c r="O23" s="320">
        <f>IFERROR(__xludf.DUMMYFUNCTION("""COMPUTED_VALUE"""),1.8509)</f>
        <v>1.8509</v>
      </c>
      <c r="P23" s="320">
        <f>IFERROR(__xludf.DUMMYFUNCTION("""COMPUTED_VALUE"""),353.36)</f>
        <v>353.36</v>
      </c>
      <c r="Q23" s="320">
        <f>IFERROR(__xludf.DUMMYFUNCTION("""COMPUTED_VALUE"""),296.26)</f>
        <v>296.26</v>
      </c>
      <c r="R23" s="320">
        <f>IFERROR(__xludf.DUMMYFUNCTION("""COMPUTED_VALUE"""),57.11)</f>
        <v>57.11</v>
      </c>
      <c r="S23" s="320">
        <f>IFERROR(__xludf.DUMMYFUNCTION("""COMPUTED_VALUE"""),175.54)</f>
        <v>175.54</v>
      </c>
      <c r="T23" s="320">
        <f>IFERROR(__xludf.DUMMYFUNCTION("""COMPUTED_VALUE"""),177.82)</f>
        <v>177.82</v>
      </c>
      <c r="U23" s="320">
        <f>IFERROR(__xludf.DUMMYFUNCTION("""COMPUTED_VALUE"""),365.49)</f>
        <v>365.49</v>
      </c>
      <c r="V23" s="320">
        <f>IFERROR(__xludf.DUMMYFUNCTION("""COMPUTED_VALUE"""),7.2603)</f>
        <v>7.2603</v>
      </c>
      <c r="W23" s="320">
        <f>IFERROR(__xludf.DUMMYFUNCTION("""COMPUTED_VALUE"""),49.68)</f>
        <v>49.68</v>
      </c>
      <c r="X23" s="320">
        <f>IFERROR(__xludf.DUMMYFUNCTION("""COMPUTED_VALUE"""),90.0)</f>
        <v>90</v>
      </c>
      <c r="Y23" s="320">
        <f>IFERROR(__xludf.DUMMYFUNCTION("""COMPUTED_VALUE"""),235.0)</f>
        <v>235</v>
      </c>
      <c r="Z23" s="320">
        <f>IFERROR(__xludf.DUMMYFUNCTION("""COMPUTED_VALUE"""),765.0)</f>
        <v>765</v>
      </c>
      <c r="AA23" s="320">
        <f>IFERROR(__xludf.DUMMYFUNCTION("""COMPUTED_VALUE"""),54.1706)</f>
        <v>54.1706</v>
      </c>
      <c r="AB23" s="320">
        <f>IFERROR(__xludf.DUMMYFUNCTION("""COMPUTED_VALUE"""),0.6507)</f>
        <v>0.6507</v>
      </c>
      <c r="AC23" s="320">
        <f>IFERROR(__xludf.DUMMYFUNCTION("""COMPUTED_VALUE"""),17.68)</f>
        <v>17.68</v>
      </c>
      <c r="AD23" s="320">
        <f>IFERROR(__xludf.DUMMYFUNCTION("""COMPUTED_VALUE"""),6.0)</f>
        <v>6</v>
      </c>
      <c r="AE23" s="320">
        <f>IFERROR(__xludf.DUMMYFUNCTION("""COMPUTED_VALUE"""),14.0)</f>
        <v>14</v>
      </c>
      <c r="AF23" s="320">
        <f>IFERROR(__xludf.DUMMYFUNCTION("""COMPUTED_VALUE"""),25.0)</f>
        <v>25</v>
      </c>
      <c r="AG23" s="320">
        <f>IFERROR(__xludf.DUMMYFUNCTION("""COMPUTED_VALUE"""),37.0)</f>
        <v>37</v>
      </c>
      <c r="AH23" s="320">
        <f>IFERROR(__xludf.DUMMYFUNCTION("""COMPUTED_VALUE"""),58.55)</f>
        <v>58.55</v>
      </c>
      <c r="AI23" s="320">
        <f>IFERROR(__xludf.DUMMYFUNCTION("""COMPUTED_VALUE"""),24.15)</f>
        <v>24.15</v>
      </c>
      <c r="AJ23" s="320">
        <f>IFERROR(__xludf.DUMMYFUNCTION("""COMPUTED_VALUE"""),6.7)</f>
        <v>6.7</v>
      </c>
      <c r="AK23" s="320">
        <f>IFERROR(__xludf.DUMMYFUNCTION("""COMPUTED_VALUE"""),0.2093)</f>
        <v>0.2093</v>
      </c>
      <c r="AL23" s="320">
        <f>IFERROR(__xludf.DUMMYFUNCTION("""COMPUTED_VALUE"""),22.48)</f>
        <v>22.48</v>
      </c>
      <c r="AM23" s="320">
        <f>IFERROR(__xludf.DUMMYFUNCTION("""COMPUTED_VALUE"""),273.78)</f>
        <v>273.78</v>
      </c>
      <c r="AN23" s="320">
        <f>IFERROR(__xludf.DUMMYFUNCTION("""COMPUTED_VALUE"""),44.41)</f>
        <v>44.41</v>
      </c>
      <c r="AO23" s="320">
        <f>IFERROR(__xludf.DUMMYFUNCTION("""COMPUTED_VALUE"""),9.98)</f>
        <v>9.98</v>
      </c>
    </row>
    <row r="24" ht="15.75" customHeight="1">
      <c r="A24" s="330">
        <f>IFERROR(__xludf.DUMMYFUNCTION("""COMPUTED_VALUE"""),46053.0)</f>
        <v>46053</v>
      </c>
      <c r="B24" s="319" t="str">
        <f>IFERROR(__xludf.DUMMYFUNCTION("""COMPUTED_VALUE"""),"E. 40-99")</f>
        <v>E. 40-99</v>
      </c>
      <c r="C24" s="320">
        <f>IFERROR(__xludf.DUMMYFUNCTION("""COMPUTED_VALUE"""),3537.0)</f>
        <v>3537</v>
      </c>
      <c r="D24" s="320">
        <f>IFERROR(__xludf.DUMMYFUNCTION("""COMPUTED_VALUE"""),4.37)</f>
        <v>4.37</v>
      </c>
      <c r="E24" s="320">
        <f>IFERROR(__xludf.DUMMYFUNCTION("""COMPUTED_VALUE"""),21574.1)</f>
        <v>21574.1</v>
      </c>
      <c r="F24" s="320">
        <f>IFERROR(__xludf.DUMMYFUNCTION("""COMPUTED_VALUE"""),6.0995)</f>
        <v>6.0995</v>
      </c>
      <c r="G24" s="320">
        <f>IFERROR(__xludf.DUMMYFUNCTION("""COMPUTED_VALUE"""),44.25)</f>
        <v>44.25</v>
      </c>
      <c r="H24" s="320">
        <f>IFERROR(__xludf.DUMMYFUNCTION("""COMPUTED_VALUE"""),13.7854)</f>
        <v>13.7854</v>
      </c>
      <c r="I24" s="320">
        <f>IFERROR(__xludf.DUMMYFUNCTION("""COMPUTED_VALUE"""),132.25)</f>
        <v>132.25</v>
      </c>
      <c r="J24" s="320">
        <f>IFERROR(__xludf.DUMMYFUNCTION("""COMPUTED_VALUE"""),81.45)</f>
        <v>81.45</v>
      </c>
      <c r="K24" s="320">
        <f>IFERROR(__xludf.DUMMYFUNCTION("""COMPUTED_VALUE"""),56.48)</f>
        <v>56.48</v>
      </c>
      <c r="L24" s="320">
        <f>IFERROR(__xludf.DUMMYFUNCTION("""COMPUTED_VALUE"""),0.6934)</f>
        <v>0.6934</v>
      </c>
      <c r="M24" s="320">
        <f>IFERROR(__xludf.DUMMYFUNCTION("""COMPUTED_VALUE"""),0.3976)</f>
        <v>0.3976</v>
      </c>
      <c r="N24" s="320">
        <f>IFERROR(__xludf.DUMMYFUNCTION("""COMPUTED_VALUE"""),0.2314)</f>
        <v>0.2314</v>
      </c>
      <c r="O24" s="320">
        <f>IFERROR(__xludf.DUMMYFUNCTION("""COMPUTED_VALUE"""),1.4421)</f>
        <v>1.4421</v>
      </c>
      <c r="P24" s="320">
        <f>IFERROR(__xludf.DUMMYFUNCTION("""COMPUTED_VALUE"""),719.09)</f>
        <v>719.09</v>
      </c>
      <c r="Q24" s="320">
        <f>IFERROR(__xludf.DUMMYFUNCTION("""COMPUTED_VALUE"""),599.97)</f>
        <v>599.97</v>
      </c>
      <c r="R24" s="320">
        <f>IFERROR(__xludf.DUMMYFUNCTION("""COMPUTED_VALUE"""),119.12)</f>
        <v>119.12</v>
      </c>
      <c r="S24" s="320">
        <f>IFERROR(__xludf.DUMMYFUNCTION("""COMPUTED_VALUE"""),380.86)</f>
        <v>380.86</v>
      </c>
      <c r="T24" s="320">
        <f>IFERROR(__xludf.DUMMYFUNCTION("""COMPUTED_VALUE"""),338.23)</f>
        <v>338.23</v>
      </c>
      <c r="U24" s="320">
        <f>IFERROR(__xludf.DUMMYFUNCTION("""COMPUTED_VALUE"""),744.67)</f>
        <v>744.67</v>
      </c>
      <c r="V24" s="320">
        <f>IFERROR(__xludf.DUMMYFUNCTION("""COMPUTED_VALUE"""),9.1426)</f>
        <v>9.1426</v>
      </c>
      <c r="W24" s="320">
        <f>IFERROR(__xludf.DUMMYFUNCTION("""COMPUTED_VALUE"""),52.96)</f>
        <v>52.96</v>
      </c>
      <c r="X24" s="320">
        <f>IFERROR(__xludf.DUMMYFUNCTION("""COMPUTED_VALUE"""),108.0)</f>
        <v>108</v>
      </c>
      <c r="Y24" s="320">
        <f>IFERROR(__xludf.DUMMYFUNCTION("""COMPUTED_VALUE"""),365.0)</f>
        <v>365</v>
      </c>
      <c r="Z24" s="320">
        <f>IFERROR(__xludf.DUMMYFUNCTION("""COMPUTED_VALUE"""),1111.0)</f>
        <v>1111</v>
      </c>
      <c r="AA24" s="320">
        <f>IFERROR(__xludf.DUMMYFUNCTION("""COMPUTED_VALUE"""),57.2982)</f>
        <v>57.2982</v>
      </c>
      <c r="AB24" s="320">
        <f>IFERROR(__xludf.DUMMYFUNCTION("""COMPUTED_VALUE"""),0.7521)</f>
        <v>0.7521</v>
      </c>
      <c r="AC24" s="320">
        <f>IFERROR(__xludf.DUMMYFUNCTION("""COMPUTED_VALUE"""),37.84)</f>
        <v>37.84</v>
      </c>
      <c r="AD24" s="320">
        <f>IFERROR(__xludf.DUMMYFUNCTION("""COMPUTED_VALUE"""),13.0)</f>
        <v>13</v>
      </c>
      <c r="AE24" s="320">
        <f>IFERROR(__xludf.DUMMYFUNCTION("""COMPUTED_VALUE"""),30.0)</f>
        <v>30</v>
      </c>
      <c r="AF24" s="320">
        <f>IFERROR(__xludf.DUMMYFUNCTION("""COMPUTED_VALUE"""),53.0)</f>
        <v>53</v>
      </c>
      <c r="AG24" s="320">
        <f>IFERROR(__xludf.DUMMYFUNCTION("""COMPUTED_VALUE"""),79.0)</f>
        <v>79</v>
      </c>
      <c r="AH24" s="320">
        <f>IFERROR(__xludf.DUMMYFUNCTION("""COMPUTED_VALUE"""),54.11)</f>
        <v>54.11</v>
      </c>
      <c r="AI24" s="320">
        <f>IFERROR(__xludf.DUMMYFUNCTION("""COMPUTED_VALUE"""),20.02)</f>
        <v>20.02</v>
      </c>
      <c r="AJ24" s="320">
        <f>IFERROR(__xludf.DUMMYFUNCTION("""COMPUTED_VALUE"""),4.69)</f>
        <v>4.69</v>
      </c>
      <c r="AK24" s="320">
        <f>IFERROR(__xludf.DUMMYFUNCTION("""COMPUTED_VALUE"""),0.1889)</f>
        <v>0.1889</v>
      </c>
      <c r="AL24" s="320">
        <f>IFERROR(__xludf.DUMMYFUNCTION("""COMPUTED_VALUE"""),22.63)</f>
        <v>22.63</v>
      </c>
      <c r="AM24" s="320">
        <f>IFERROR(__xludf.DUMMYFUNCTION("""COMPUTED_VALUE"""),577.34)</f>
        <v>577.34</v>
      </c>
      <c r="AN24" s="320">
        <f>IFERROR(__xludf.DUMMYFUNCTION("""COMPUTED_VALUE"""),44.34)</f>
        <v>44.34</v>
      </c>
      <c r="AO24" s="320">
        <f>IFERROR(__xludf.DUMMYFUNCTION("""COMPUTED_VALUE"""),10.03)</f>
        <v>10.03</v>
      </c>
    </row>
    <row r="25" ht="15.75" customHeight="1">
      <c r="A25" s="330">
        <f>IFERROR(__xludf.DUMMYFUNCTION("""COMPUTED_VALUE"""),46053.0)</f>
        <v>46053</v>
      </c>
      <c r="B25" s="319" t="str">
        <f>IFERROR(__xludf.DUMMYFUNCTION("""COMPUTED_VALUE"""),"F. 100+")</f>
        <v>F. 100+</v>
      </c>
      <c r="C25" s="320">
        <f>IFERROR(__xludf.DUMMYFUNCTION("""COMPUTED_VALUE"""),405.0)</f>
        <v>405</v>
      </c>
      <c r="D25" s="320">
        <f>IFERROR(__xludf.DUMMYFUNCTION("""COMPUTED_VALUE"""),0.5)</f>
        <v>0.5</v>
      </c>
      <c r="E25" s="320">
        <f>IFERROR(__xludf.DUMMYFUNCTION("""COMPUTED_VALUE"""),5354.15)</f>
        <v>5354.15</v>
      </c>
      <c r="F25" s="320">
        <f>IFERROR(__xludf.DUMMYFUNCTION("""COMPUTED_VALUE"""),13.2201)</f>
        <v>13.2201</v>
      </c>
      <c r="G25" s="320">
        <f>IFERROR(__xludf.DUMMYFUNCTION("""COMPUTED_VALUE"""),43.46)</f>
        <v>43.46</v>
      </c>
      <c r="H25" s="320">
        <f>IFERROR(__xludf.DUMMYFUNCTION("""COMPUTED_VALUE"""),30.4213)</f>
        <v>30.4213</v>
      </c>
      <c r="I25" s="320">
        <f>IFERROR(__xludf.DUMMYFUNCTION("""COMPUTED_VALUE"""),263.53)</f>
        <v>263.53</v>
      </c>
      <c r="J25" s="320">
        <f>IFERROR(__xludf.DUMMYFUNCTION("""COMPUTED_VALUE"""),172.32)</f>
        <v>172.32</v>
      </c>
      <c r="K25" s="320">
        <f>IFERROR(__xludf.DUMMYFUNCTION("""COMPUTED_VALUE"""),142.42)</f>
        <v>142.42</v>
      </c>
      <c r="L25" s="320">
        <f>IFERROR(__xludf.DUMMYFUNCTION("""COMPUTED_VALUE"""),0.8265)</f>
        <v>0.8265</v>
      </c>
      <c r="M25" s="320">
        <f>IFERROR(__xludf.DUMMYFUNCTION("""COMPUTED_VALUE"""),0.2637)</f>
        <v>0.2637</v>
      </c>
      <c r="N25" s="320">
        <f>IFERROR(__xludf.DUMMYFUNCTION("""COMPUTED_VALUE"""),0.1701)</f>
        <v>0.1701</v>
      </c>
      <c r="O25" s="320">
        <f>IFERROR(__xludf.DUMMYFUNCTION("""COMPUTED_VALUE"""),1.2099)</f>
        <v>1.2099</v>
      </c>
      <c r="P25" s="320">
        <f>IFERROR(__xludf.DUMMYFUNCTION("""COMPUTED_VALUE"""),1565.42)</f>
        <v>1565.42</v>
      </c>
      <c r="Q25" s="320">
        <f>IFERROR(__xludf.DUMMYFUNCTION("""COMPUTED_VALUE"""),1265.32)</f>
        <v>1265.32</v>
      </c>
      <c r="R25" s="320">
        <f>IFERROR(__xludf.DUMMYFUNCTION("""COMPUTED_VALUE"""),300.1)</f>
        <v>300.1</v>
      </c>
      <c r="S25" s="320">
        <f>IFERROR(__xludf.DUMMYFUNCTION("""COMPUTED_VALUE"""),848.46)</f>
        <v>848.46</v>
      </c>
      <c r="T25" s="320">
        <f>IFERROR(__xludf.DUMMYFUNCTION("""COMPUTED_VALUE"""),716.96)</f>
        <v>716.96</v>
      </c>
      <c r="U25" s="320">
        <f>IFERROR(__xludf.DUMMYFUNCTION("""COMPUTED_VALUE"""),1598.27)</f>
        <v>1598.27</v>
      </c>
      <c r="V25" s="320">
        <f>IFERROR(__xludf.DUMMYFUNCTION("""COMPUTED_VALUE"""),9.2752)</f>
        <v>9.2752</v>
      </c>
      <c r="W25" s="320">
        <f>IFERROR(__xludf.DUMMYFUNCTION("""COMPUTED_VALUE"""),54.2)</f>
        <v>54.2</v>
      </c>
      <c r="X25" s="320">
        <f>IFERROR(__xludf.DUMMYFUNCTION("""COMPUTED_VALUE"""),192.0)</f>
        <v>192</v>
      </c>
      <c r="Y25" s="320">
        <f>IFERROR(__xludf.DUMMYFUNCTION("""COMPUTED_VALUE"""),720.0)</f>
        <v>720</v>
      </c>
      <c r="Z25" s="320">
        <f>IFERROR(__xludf.DUMMYFUNCTION("""COMPUTED_VALUE"""),2174.0)</f>
        <v>2174</v>
      </c>
      <c r="AA25" s="320">
        <f>IFERROR(__xludf.DUMMYFUNCTION("""COMPUTED_VALUE"""),61.2481)</f>
        <v>61.2481</v>
      </c>
      <c r="AB25" s="320">
        <f>IFERROR(__xludf.DUMMYFUNCTION("""COMPUTED_VALUE"""),0.8417)</f>
        <v>0.8417</v>
      </c>
      <c r="AC25" s="320">
        <f>IFERROR(__xludf.DUMMYFUNCTION("""COMPUTED_VALUE"""),91.64)</f>
        <v>91.64</v>
      </c>
      <c r="AD25" s="320">
        <f>IFERROR(__xludf.DUMMYFUNCTION("""COMPUTED_VALUE"""),30.0)</f>
        <v>30</v>
      </c>
      <c r="AE25" s="320">
        <f>IFERROR(__xludf.DUMMYFUNCTION("""COMPUTED_VALUE"""),74.0)</f>
        <v>74</v>
      </c>
      <c r="AF25" s="320">
        <f>IFERROR(__xludf.DUMMYFUNCTION("""COMPUTED_VALUE"""),125.0)</f>
        <v>125</v>
      </c>
      <c r="AG25" s="320">
        <f>IFERROR(__xludf.DUMMYFUNCTION("""COMPUTED_VALUE"""),183.0)</f>
        <v>183</v>
      </c>
      <c r="AH25" s="320">
        <f>IFERROR(__xludf.DUMMYFUNCTION("""COMPUTED_VALUE"""),47.9)</f>
        <v>47.9</v>
      </c>
      <c r="AI25" s="320">
        <f>IFERROR(__xludf.DUMMYFUNCTION("""COMPUTED_VALUE"""),12.1)</f>
        <v>12.1</v>
      </c>
      <c r="AJ25" s="320">
        <f>IFERROR(__xludf.DUMMYFUNCTION("""COMPUTED_VALUE"""),3.95)</f>
        <v>3.95</v>
      </c>
      <c r="AK25" s="320">
        <f>IFERROR(__xludf.DUMMYFUNCTION("""COMPUTED_VALUE"""),0.1531)</f>
        <v>0.1531</v>
      </c>
      <c r="AL25" s="320">
        <f>IFERROR(__xludf.DUMMYFUNCTION("""COMPUTED_VALUE"""),22.26)</f>
        <v>22.26</v>
      </c>
      <c r="AM25" s="320">
        <f>IFERROR(__xludf.DUMMYFUNCTION("""COMPUTED_VALUE"""),1243.06)</f>
        <v>1243.06</v>
      </c>
      <c r="AN25" s="320">
        <f>IFERROR(__xludf.DUMMYFUNCTION("""COMPUTED_VALUE"""),42.86)</f>
        <v>42.86</v>
      </c>
      <c r="AO25" s="320">
        <f>IFERROR(__xludf.DUMMYFUNCTION("""COMPUTED_VALUE"""),9.54)</f>
        <v>9.54</v>
      </c>
    </row>
    <row r="26" ht="15.75" customHeight="1">
      <c r="A26" s="330">
        <f>IFERROR(__xludf.DUMMYFUNCTION("""COMPUTED_VALUE"""),46054.0)</f>
        <v>46054</v>
      </c>
      <c r="B26" s="319" t="str">
        <f>IFERROR(__xludf.DUMMYFUNCTION("""COMPUTED_VALUE"""),"A. 0")</f>
        <v>A. 0</v>
      </c>
      <c r="C26" s="320">
        <f>IFERROR(__xludf.DUMMYFUNCTION("""COMPUTED_VALUE"""),17004.0)</f>
        <v>17004</v>
      </c>
      <c r="D26" s="320">
        <f>IFERROR(__xludf.DUMMYFUNCTION("""COMPUTED_VALUE"""),20.78)</f>
        <v>20.78</v>
      </c>
      <c r="E26" s="320">
        <f>IFERROR(__xludf.DUMMYFUNCTION("""COMPUTED_VALUE"""),141.0)</f>
        <v>141</v>
      </c>
      <c r="F26" s="320">
        <f>IFERROR(__xludf.DUMMYFUNCTION("""COMPUTED_VALUE"""),0.0083)</f>
        <v>0.0083</v>
      </c>
      <c r="G26" s="320">
        <f>IFERROR(__xludf.DUMMYFUNCTION("""COMPUTED_VALUE"""),0.2)</f>
        <v>0.2</v>
      </c>
      <c r="H26" s="320">
        <f>IFERROR(__xludf.DUMMYFUNCTION("""COMPUTED_VALUE"""),4.1471)</f>
        <v>4.1471</v>
      </c>
      <c r="I26" s="320">
        <f>IFERROR(__xludf.DUMMYFUNCTION("""COMPUTED_VALUE"""),6.53)</f>
        <v>6.53</v>
      </c>
      <c r="J26" s="320">
        <f>IFERROR(__xludf.DUMMYFUNCTION("""COMPUTED_VALUE"""),3.01)</f>
        <v>3.01</v>
      </c>
      <c r="K26" s="320">
        <f>IFERROR(__xludf.DUMMYFUNCTION("""COMPUTED_VALUE"""),0.07)</f>
        <v>0.07</v>
      </c>
      <c r="L26" s="320">
        <f>IFERROR(__xludf.DUMMYFUNCTION("""COMPUTED_VALUE"""),0.0219)</f>
        <v>0.0219</v>
      </c>
      <c r="M26" s="320">
        <f>IFERROR(__xludf.DUMMYFUNCTION("""COMPUTED_VALUE"""),0.9804)</f>
        <v>0.9804</v>
      </c>
      <c r="N26" s="320">
        <f>IFERROR(__xludf.DUMMYFUNCTION("""COMPUTED_VALUE"""),0.7523)</f>
        <v>0.7523</v>
      </c>
      <c r="O26" s="320">
        <f>IFERROR(__xludf.DUMMYFUNCTION("""COMPUTED_VALUE"""),45.5824)</f>
        <v>45.5824</v>
      </c>
      <c r="P26" s="320">
        <f>IFERROR(__xludf.DUMMYFUNCTION("""COMPUTED_VALUE"""),23.67)</f>
        <v>23.67</v>
      </c>
      <c r="Q26" s="320">
        <f>IFERROR(__xludf.DUMMYFUNCTION("""COMPUTED_VALUE"""),23.6)</f>
        <v>23.6</v>
      </c>
      <c r="R26" s="320">
        <f>IFERROR(__xludf.DUMMYFUNCTION("""COMPUTED_VALUE"""),0.07)</f>
        <v>0.07</v>
      </c>
      <c r="S26" s="320">
        <f>IFERROR(__xludf.DUMMYFUNCTION("""COMPUTED_VALUE"""),0.73)</f>
        <v>0.73</v>
      </c>
      <c r="T26" s="320">
        <f>IFERROR(__xludf.DUMMYFUNCTION("""COMPUTED_VALUE"""),22.94)</f>
        <v>22.94</v>
      </c>
      <c r="U26" s="320">
        <f>IFERROR(__xludf.DUMMYFUNCTION("""COMPUTED_VALUE"""),2.4)</f>
        <v>2.4</v>
      </c>
      <c r="V26" s="320">
        <f>IFERROR(__xludf.DUMMYFUNCTION("""COMPUTED_VALUE"""),0.7961)</f>
        <v>0.7961</v>
      </c>
      <c r="W26" s="320">
        <f>IFERROR(__xludf.DUMMYFUNCTION("""COMPUTED_VALUE"""),3.09)</f>
        <v>3.09</v>
      </c>
      <c r="X26" s="320">
        <f>IFERROR(__xludf.DUMMYFUNCTION("""COMPUTED_VALUE"""),133.0)</f>
        <v>133</v>
      </c>
      <c r="Y26" s="320">
        <f>IFERROR(__xludf.DUMMYFUNCTION("""COMPUTED_VALUE"""),922.0)</f>
        <v>922</v>
      </c>
      <c r="Z26" s="320">
        <f>IFERROR(__xludf.DUMMYFUNCTION("""COMPUTED_VALUE"""),6354.0)</f>
        <v>6354</v>
      </c>
      <c r="AA26" s="320">
        <f>IFERROR(__xludf.DUMMYFUNCTION("""COMPUTED_VALUE"""),49.623)</f>
        <v>49.623</v>
      </c>
      <c r="AB26" s="320">
        <f>IFERROR(__xludf.DUMMYFUNCTION("""COMPUTED_VALUE"""),0.5286)</f>
        <v>0.5286</v>
      </c>
      <c r="AC26" s="106"/>
      <c r="AD26" s="106"/>
      <c r="AE26" s="106"/>
      <c r="AF26" s="106"/>
      <c r="AG26" s="106"/>
      <c r="AH26" s="320">
        <f>IFERROR(__xludf.DUMMYFUNCTION("""COMPUTED_VALUE"""),0.0)</f>
        <v>0</v>
      </c>
      <c r="AI26" s="320">
        <f>IFERROR(__xludf.DUMMYFUNCTION("""COMPUTED_VALUE"""),0.0)</f>
        <v>0</v>
      </c>
      <c r="AJ26" s="320">
        <f>IFERROR(__xludf.DUMMYFUNCTION("""COMPUTED_VALUE"""),0.0)</f>
        <v>0</v>
      </c>
      <c r="AK26" s="320">
        <f>IFERROR(__xludf.DUMMYFUNCTION("""COMPUTED_VALUE"""),0.2965)</f>
        <v>0.2965</v>
      </c>
      <c r="AL26" s="320">
        <f>IFERROR(__xludf.DUMMYFUNCTION("""COMPUTED_VALUE"""),16.97)</f>
        <v>16.97</v>
      </c>
      <c r="AM26" s="320">
        <f>IFERROR(__xludf.DUMMYFUNCTION("""COMPUTED_VALUE"""),6.63)</f>
        <v>6.63</v>
      </c>
      <c r="AN26" s="331"/>
      <c r="AO26" s="331"/>
    </row>
    <row r="27" ht="15.75" customHeight="1">
      <c r="A27" s="330">
        <f>IFERROR(__xludf.DUMMYFUNCTION("""COMPUTED_VALUE"""),46054.0)</f>
        <v>46054</v>
      </c>
      <c r="B27" s="319" t="str">
        <f>IFERROR(__xludf.DUMMYFUNCTION("""COMPUTED_VALUE"""),"B. 1-9")</f>
        <v>B. 1-9</v>
      </c>
      <c r="C27" s="320">
        <f>IFERROR(__xludf.DUMMYFUNCTION("""COMPUTED_VALUE"""),34431.0)</f>
        <v>34431</v>
      </c>
      <c r="D27" s="320">
        <f>IFERROR(__xludf.DUMMYFUNCTION("""COMPUTED_VALUE"""),42.08)</f>
        <v>42.08</v>
      </c>
      <c r="E27" s="320">
        <f>IFERROR(__xludf.DUMMYFUNCTION("""COMPUTED_VALUE"""),8407.32)</f>
        <v>8407.32</v>
      </c>
      <c r="F27" s="320">
        <f>IFERROR(__xludf.DUMMYFUNCTION("""COMPUTED_VALUE"""),0.2442)</f>
        <v>0.2442</v>
      </c>
      <c r="G27" s="320">
        <f>IFERROR(__xludf.DUMMYFUNCTION("""COMPUTED_VALUE"""),6.97)</f>
        <v>6.97</v>
      </c>
      <c r="H27" s="320">
        <f>IFERROR(__xludf.DUMMYFUNCTION("""COMPUTED_VALUE"""),3.5045)</f>
        <v>3.5045</v>
      </c>
      <c r="I27" s="320">
        <f>IFERROR(__xludf.DUMMYFUNCTION("""COMPUTED_VALUE"""),33.97)</f>
        <v>33.97</v>
      </c>
      <c r="J27" s="320">
        <f>IFERROR(__xludf.DUMMYFUNCTION("""COMPUTED_VALUE"""),18.68)</f>
        <v>18.68</v>
      </c>
      <c r="K27" s="320">
        <f>IFERROR(__xludf.DUMMYFUNCTION("""COMPUTED_VALUE"""),5.29)</f>
        <v>5.29</v>
      </c>
      <c r="L27" s="320">
        <f>IFERROR(__xludf.DUMMYFUNCTION("""COMPUTED_VALUE"""),0.2834)</f>
        <v>0.2834</v>
      </c>
      <c r="M27" s="320">
        <f>IFERROR(__xludf.DUMMYFUNCTION("""COMPUTED_VALUE"""),0.7795)</f>
        <v>0.7795</v>
      </c>
      <c r="N27" s="320">
        <f>IFERROR(__xludf.DUMMYFUNCTION("""COMPUTED_VALUE"""),0.5312)</f>
        <v>0.5312</v>
      </c>
      <c r="O27" s="320">
        <f>IFERROR(__xludf.DUMMYFUNCTION("""COMPUTED_VALUE"""),3.528)</f>
        <v>3.528</v>
      </c>
      <c r="P27" s="320">
        <f>IFERROR(__xludf.DUMMYFUNCTION("""COMPUTED_VALUE"""),66.02)</f>
        <v>66.02</v>
      </c>
      <c r="Q27" s="320">
        <f>IFERROR(__xludf.DUMMYFUNCTION("""COMPUTED_VALUE"""),55.14)</f>
        <v>55.14</v>
      </c>
      <c r="R27" s="320">
        <f>IFERROR(__xludf.DUMMYFUNCTION("""COMPUTED_VALUE"""),10.88)</f>
        <v>10.88</v>
      </c>
      <c r="S27" s="320">
        <f>IFERROR(__xludf.DUMMYFUNCTION("""COMPUTED_VALUE"""),17.89)</f>
        <v>17.89</v>
      </c>
      <c r="T27" s="320">
        <f>IFERROR(__xludf.DUMMYFUNCTION("""COMPUTED_VALUE"""),48.12)</f>
        <v>48.12</v>
      </c>
      <c r="U27" s="320">
        <f>IFERROR(__xludf.DUMMYFUNCTION("""COMPUTED_VALUE"""),74.84)</f>
        <v>74.84</v>
      </c>
      <c r="V27" s="320">
        <f>IFERROR(__xludf.DUMMYFUNCTION("""COMPUTED_VALUE"""),4.0069)</f>
        <v>4.0069</v>
      </c>
      <c r="W27" s="320">
        <f>IFERROR(__xludf.DUMMYFUNCTION("""COMPUTED_VALUE"""),27.1)</f>
        <v>27.1</v>
      </c>
      <c r="X27" s="320">
        <f>IFERROR(__xludf.DUMMYFUNCTION("""COMPUTED_VALUE"""),85.0)</f>
        <v>85</v>
      </c>
      <c r="Y27" s="320">
        <f>IFERROR(__xludf.DUMMYFUNCTION("""COMPUTED_VALUE"""),198.0)</f>
        <v>198</v>
      </c>
      <c r="Z27" s="320">
        <f>IFERROR(__xludf.DUMMYFUNCTION("""COMPUTED_VALUE"""),807.0)</f>
        <v>807</v>
      </c>
      <c r="AA27" s="320">
        <f>IFERROR(__xludf.DUMMYFUNCTION("""COMPUTED_VALUE"""),49.3728)</f>
        <v>49.3728</v>
      </c>
      <c r="AB27" s="320">
        <f>IFERROR(__xludf.DUMMYFUNCTION("""COMPUTED_VALUE"""),0.4497)</f>
        <v>0.4497</v>
      </c>
      <c r="AC27" s="320">
        <f>IFERROR(__xludf.DUMMYFUNCTION("""COMPUTED_VALUE"""),3.4)</f>
        <v>3.4</v>
      </c>
      <c r="AD27" s="320">
        <f>IFERROR(__xludf.DUMMYFUNCTION("""COMPUTED_VALUE"""),1.0)</f>
        <v>1</v>
      </c>
      <c r="AE27" s="320">
        <f>IFERROR(__xludf.DUMMYFUNCTION("""COMPUTED_VALUE"""),2.0)</f>
        <v>2</v>
      </c>
      <c r="AF27" s="320">
        <f>IFERROR(__xludf.DUMMYFUNCTION("""COMPUTED_VALUE"""),4.0)</f>
        <v>4</v>
      </c>
      <c r="AG27" s="320">
        <f>IFERROR(__xludf.DUMMYFUNCTION("""COMPUTED_VALUE"""),8.0)</f>
        <v>8</v>
      </c>
      <c r="AH27" s="320">
        <f>IFERROR(__xludf.DUMMYFUNCTION("""COMPUTED_VALUE"""),66.57)</f>
        <v>66.57</v>
      </c>
      <c r="AI27" s="320">
        <f>IFERROR(__xludf.DUMMYFUNCTION("""COMPUTED_VALUE"""),23.74)</f>
        <v>23.74</v>
      </c>
      <c r="AJ27" s="320">
        <f>IFERROR(__xludf.DUMMYFUNCTION("""COMPUTED_VALUE"""),5.79)</f>
        <v>5.79</v>
      </c>
      <c r="AK27" s="320">
        <f>IFERROR(__xludf.DUMMYFUNCTION("""COMPUTED_VALUE"""),0.2492)</f>
        <v>0.2492</v>
      </c>
      <c r="AL27" s="320">
        <f>IFERROR(__xludf.DUMMYFUNCTION("""COMPUTED_VALUE"""),20.64)</f>
        <v>20.64</v>
      </c>
      <c r="AM27" s="320">
        <f>IFERROR(__xludf.DUMMYFUNCTION("""COMPUTED_VALUE"""),34.5)</f>
        <v>34.5</v>
      </c>
      <c r="AN27" s="320">
        <f>IFERROR(__xludf.DUMMYFUNCTION("""COMPUTED_VALUE"""),49.45)</f>
        <v>49.45</v>
      </c>
      <c r="AO27" s="320">
        <f>IFERROR(__xludf.DUMMYFUNCTION("""COMPUTED_VALUE"""),10.21)</f>
        <v>10.21</v>
      </c>
    </row>
    <row r="28" ht="15.75" customHeight="1">
      <c r="A28" s="330">
        <f>IFERROR(__xludf.DUMMYFUNCTION("""COMPUTED_VALUE"""),46054.0)</f>
        <v>46054</v>
      </c>
      <c r="B28" s="319" t="str">
        <f>IFERROR(__xludf.DUMMYFUNCTION("""COMPUTED_VALUE"""),"C. 10-19")</f>
        <v>C. 10-19</v>
      </c>
      <c r="C28" s="320">
        <f>IFERROR(__xludf.DUMMYFUNCTION("""COMPUTED_VALUE"""),17013.0)</f>
        <v>17013</v>
      </c>
      <c r="D28" s="320">
        <f>IFERROR(__xludf.DUMMYFUNCTION("""COMPUTED_VALUE"""),20.79)</f>
        <v>20.79</v>
      </c>
      <c r="E28" s="320">
        <f>IFERROR(__xludf.DUMMYFUNCTION("""COMPUTED_VALUE"""),18685.11)</f>
        <v>18685.11</v>
      </c>
      <c r="F28" s="320">
        <f>IFERROR(__xludf.DUMMYFUNCTION("""COMPUTED_VALUE"""),1.0983)</f>
        <v>1.0983</v>
      </c>
      <c r="G28" s="320">
        <f>IFERROR(__xludf.DUMMYFUNCTION("""COMPUTED_VALUE"""),21.75)</f>
        <v>21.75</v>
      </c>
      <c r="H28" s="320">
        <f>IFERROR(__xludf.DUMMYFUNCTION("""COMPUTED_VALUE"""),5.05)</f>
        <v>5.05</v>
      </c>
      <c r="I28" s="320">
        <f>IFERROR(__xludf.DUMMYFUNCTION("""COMPUTED_VALUE"""),63.9)</f>
        <v>63.9</v>
      </c>
      <c r="J28" s="320">
        <f>IFERROR(__xludf.DUMMYFUNCTION("""COMPUTED_VALUE"""),36.71)</f>
        <v>36.71</v>
      </c>
      <c r="K28" s="320">
        <f>IFERROR(__xludf.DUMMYFUNCTION("""COMPUTED_VALUE"""),14.16)</f>
        <v>14.16</v>
      </c>
      <c r="L28" s="320">
        <f>IFERROR(__xludf.DUMMYFUNCTION("""COMPUTED_VALUE"""),0.3858)</f>
        <v>0.3858</v>
      </c>
      <c r="M28" s="320">
        <f>IFERROR(__xludf.DUMMYFUNCTION("""COMPUTED_VALUE"""),0.6719)</f>
        <v>0.6719</v>
      </c>
      <c r="N28" s="320">
        <f>IFERROR(__xludf.DUMMYFUNCTION("""COMPUTED_VALUE"""),0.3946)</f>
        <v>0.3946</v>
      </c>
      <c r="O28" s="320">
        <f>IFERROR(__xludf.DUMMYFUNCTION("""COMPUTED_VALUE"""),2.5918)</f>
        <v>2.5918</v>
      </c>
      <c r="P28" s="320">
        <f>IFERROR(__xludf.DUMMYFUNCTION("""COMPUTED_VALUE"""),159.46)</f>
        <v>159.46</v>
      </c>
      <c r="Q28" s="320">
        <f>IFERROR(__xludf.DUMMYFUNCTION("""COMPUTED_VALUE"""),129.91)</f>
        <v>129.91</v>
      </c>
      <c r="R28" s="320">
        <f>IFERROR(__xludf.DUMMYFUNCTION("""COMPUTED_VALUE"""),29.55)</f>
        <v>29.55</v>
      </c>
      <c r="S28" s="320">
        <f>IFERROR(__xludf.DUMMYFUNCTION("""COMPUTED_VALUE"""),74.73)</f>
        <v>74.73</v>
      </c>
      <c r="T28" s="320">
        <f>IFERROR(__xludf.DUMMYFUNCTION("""COMPUTED_VALUE"""),84.74)</f>
        <v>84.74</v>
      </c>
      <c r="U28" s="320">
        <f>IFERROR(__xludf.DUMMYFUNCTION("""COMPUTED_VALUE"""),177.98)</f>
        <v>177.98</v>
      </c>
      <c r="V28" s="320">
        <f>IFERROR(__xludf.DUMMYFUNCTION("""COMPUTED_VALUE"""),4.8485)</f>
        <v>4.8485</v>
      </c>
      <c r="W28" s="320">
        <f>IFERROR(__xludf.DUMMYFUNCTION("""COMPUTED_VALUE"""),46.86)</f>
        <v>46.86</v>
      </c>
      <c r="X28" s="320">
        <f>IFERROR(__xludf.DUMMYFUNCTION("""COMPUTED_VALUE"""),81.0)</f>
        <v>81</v>
      </c>
      <c r="Y28" s="320">
        <f>IFERROR(__xludf.DUMMYFUNCTION("""COMPUTED_VALUE"""),176.0)</f>
        <v>176</v>
      </c>
      <c r="Z28" s="320">
        <f>IFERROR(__xludf.DUMMYFUNCTION("""COMPUTED_VALUE"""),649.0)</f>
        <v>649</v>
      </c>
      <c r="AA28" s="320">
        <f>IFERROR(__xludf.DUMMYFUNCTION("""COMPUTED_VALUE"""),52.1684)</f>
        <v>52.1684</v>
      </c>
      <c r="AB28" s="320">
        <f>IFERROR(__xludf.DUMMYFUNCTION("""COMPUTED_VALUE"""),0.543)</f>
        <v>0.543</v>
      </c>
      <c r="AC28" s="320">
        <f>IFERROR(__xludf.DUMMYFUNCTION("""COMPUTED_VALUE"""),8.78)</f>
        <v>8.78</v>
      </c>
      <c r="AD28" s="320">
        <f>IFERROR(__xludf.DUMMYFUNCTION("""COMPUTED_VALUE"""),3.0)</f>
        <v>3</v>
      </c>
      <c r="AE28" s="320">
        <f>IFERROR(__xludf.DUMMYFUNCTION("""COMPUTED_VALUE"""),6.0)</f>
        <v>6</v>
      </c>
      <c r="AF28" s="320">
        <f>IFERROR(__xludf.DUMMYFUNCTION("""COMPUTED_VALUE"""),12.0)</f>
        <v>12</v>
      </c>
      <c r="AG28" s="320">
        <f>IFERROR(__xludf.DUMMYFUNCTION("""COMPUTED_VALUE"""),19.0)</f>
        <v>19</v>
      </c>
      <c r="AH28" s="320">
        <f>IFERROR(__xludf.DUMMYFUNCTION("""COMPUTED_VALUE"""),55.39)</f>
        <v>55.39</v>
      </c>
      <c r="AI28" s="320">
        <f>IFERROR(__xludf.DUMMYFUNCTION("""COMPUTED_VALUE"""),23.91)</f>
        <v>23.91</v>
      </c>
      <c r="AJ28" s="320">
        <f>IFERROR(__xludf.DUMMYFUNCTION("""COMPUTED_VALUE"""),4.23)</f>
        <v>4.23</v>
      </c>
      <c r="AK28" s="320">
        <f>IFERROR(__xludf.DUMMYFUNCTION("""COMPUTED_VALUE"""),0.2132)</f>
        <v>0.2132</v>
      </c>
      <c r="AL28" s="320">
        <f>IFERROR(__xludf.DUMMYFUNCTION("""COMPUTED_VALUE"""),21.33)</f>
        <v>21.33</v>
      </c>
      <c r="AM28" s="320">
        <f>IFERROR(__xludf.DUMMYFUNCTION("""COMPUTED_VALUE"""),108.58)</f>
        <v>108.58</v>
      </c>
      <c r="AN28" s="320">
        <f>IFERROR(__xludf.DUMMYFUNCTION("""COMPUTED_VALUE"""),54.4)</f>
        <v>54.4</v>
      </c>
      <c r="AO28" s="320">
        <f>IFERROR(__xludf.DUMMYFUNCTION("""COMPUTED_VALUE"""),11.6)</f>
        <v>11.6</v>
      </c>
    </row>
    <row r="29" ht="15.75" customHeight="1">
      <c r="A29" s="330">
        <f>IFERROR(__xludf.DUMMYFUNCTION("""COMPUTED_VALUE"""),46054.0)</f>
        <v>46054</v>
      </c>
      <c r="B29" s="319" t="str">
        <f>IFERROR(__xludf.DUMMYFUNCTION("""COMPUTED_VALUE"""),"D. 20-39")</f>
        <v>D. 20-39</v>
      </c>
      <c r="C29" s="320">
        <f>IFERROR(__xludf.DUMMYFUNCTION("""COMPUTED_VALUE"""),9223.0)</f>
        <v>9223</v>
      </c>
      <c r="D29" s="320">
        <f>IFERROR(__xludf.DUMMYFUNCTION("""COMPUTED_VALUE"""),11.27)</f>
        <v>11.27</v>
      </c>
      <c r="E29" s="320">
        <f>IFERROR(__xludf.DUMMYFUNCTION("""COMPUTED_VALUE"""),26085.53)</f>
        <v>26085.53</v>
      </c>
      <c r="F29" s="320">
        <f>IFERROR(__xludf.DUMMYFUNCTION("""COMPUTED_VALUE"""),2.8283)</f>
        <v>2.8283</v>
      </c>
      <c r="G29" s="320">
        <f>IFERROR(__xludf.DUMMYFUNCTION("""COMPUTED_VALUE"""),34.53)</f>
        <v>34.53</v>
      </c>
      <c r="H29" s="320">
        <f>IFERROR(__xludf.DUMMYFUNCTION("""COMPUTED_VALUE"""),8.1901)</f>
        <v>8.1901</v>
      </c>
      <c r="I29" s="320">
        <f>IFERROR(__xludf.DUMMYFUNCTION("""COMPUTED_VALUE"""),92.86)</f>
        <v>92.86</v>
      </c>
      <c r="J29" s="320">
        <f>IFERROR(__xludf.DUMMYFUNCTION("""COMPUTED_VALUE"""),55.15)</f>
        <v>55.15</v>
      </c>
      <c r="K29" s="320">
        <f>IFERROR(__xludf.DUMMYFUNCTION("""COMPUTED_VALUE"""),27.79)</f>
        <v>27.79</v>
      </c>
      <c r="L29" s="320">
        <f>IFERROR(__xludf.DUMMYFUNCTION("""COMPUTED_VALUE"""),0.5038)</f>
        <v>0.5038</v>
      </c>
      <c r="M29" s="320">
        <f>IFERROR(__xludf.DUMMYFUNCTION("""COMPUTED_VALUE"""),0.5628)</f>
        <v>0.5628</v>
      </c>
      <c r="N29" s="320">
        <f>IFERROR(__xludf.DUMMYFUNCTION("""COMPUTED_VALUE"""),0.3122)</f>
        <v>0.3122</v>
      </c>
      <c r="O29" s="320">
        <f>IFERROR(__xludf.DUMMYFUNCTION("""COMPUTED_VALUE"""),1.9849)</f>
        <v>1.9849</v>
      </c>
      <c r="P29" s="320">
        <f>IFERROR(__xludf.DUMMYFUNCTION("""COMPUTED_VALUE"""),319.98)</f>
        <v>319.98</v>
      </c>
      <c r="Q29" s="320">
        <f>IFERROR(__xludf.DUMMYFUNCTION("""COMPUTED_VALUE"""),261.71)</f>
        <v>261.71</v>
      </c>
      <c r="R29" s="320">
        <f>IFERROR(__xludf.DUMMYFUNCTION("""COMPUTED_VALUE"""),58.27)</f>
        <v>58.27</v>
      </c>
      <c r="S29" s="320">
        <f>IFERROR(__xludf.DUMMYFUNCTION("""COMPUTED_VALUE"""),181.64)</f>
        <v>181.64</v>
      </c>
      <c r="T29" s="320">
        <f>IFERROR(__xludf.DUMMYFUNCTION("""COMPUTED_VALUE"""),138.34)</f>
        <v>138.34</v>
      </c>
      <c r="U29" s="320">
        <f>IFERROR(__xludf.DUMMYFUNCTION("""COMPUTED_VALUE"""),350.73)</f>
        <v>350.73</v>
      </c>
      <c r="V29" s="320">
        <f>IFERROR(__xludf.DUMMYFUNCTION("""COMPUTED_VALUE"""),6.359)</f>
        <v>6.359</v>
      </c>
      <c r="W29" s="320">
        <f>IFERROR(__xludf.DUMMYFUNCTION("""COMPUTED_VALUE"""),56.77)</f>
        <v>56.77</v>
      </c>
      <c r="X29" s="320">
        <f>IFERROR(__xludf.DUMMYFUNCTION("""COMPUTED_VALUE"""),85.0)</f>
        <v>85</v>
      </c>
      <c r="Y29" s="320">
        <f>IFERROR(__xludf.DUMMYFUNCTION("""COMPUTED_VALUE"""),210.0)</f>
        <v>210</v>
      </c>
      <c r="Z29" s="320">
        <f>IFERROR(__xludf.DUMMYFUNCTION("""COMPUTED_VALUE"""),759.0)</f>
        <v>759</v>
      </c>
      <c r="AA29" s="320">
        <f>IFERROR(__xludf.DUMMYFUNCTION("""COMPUTED_VALUE"""),54.2145)</f>
        <v>54.2145</v>
      </c>
      <c r="AB29" s="320">
        <f>IFERROR(__xludf.DUMMYFUNCTION("""COMPUTED_VALUE"""),0.6527)</f>
        <v>0.6527</v>
      </c>
      <c r="AC29" s="320">
        <f>IFERROR(__xludf.DUMMYFUNCTION("""COMPUTED_VALUE"""),17.35)</f>
        <v>17.35</v>
      </c>
      <c r="AD29" s="320">
        <f>IFERROR(__xludf.DUMMYFUNCTION("""COMPUTED_VALUE"""),6.0)</f>
        <v>6</v>
      </c>
      <c r="AE29" s="320">
        <f>IFERROR(__xludf.DUMMYFUNCTION("""COMPUTED_VALUE"""),13.0)</f>
        <v>13</v>
      </c>
      <c r="AF29" s="320">
        <f>IFERROR(__xludf.DUMMYFUNCTION("""COMPUTED_VALUE"""),24.0)</f>
        <v>24</v>
      </c>
      <c r="AG29" s="320">
        <f>IFERROR(__xludf.DUMMYFUNCTION("""COMPUTED_VALUE"""),37.0)</f>
        <v>37</v>
      </c>
      <c r="AH29" s="320">
        <f>IFERROR(__xludf.DUMMYFUNCTION("""COMPUTED_VALUE"""),55.51)</f>
        <v>55.51</v>
      </c>
      <c r="AI29" s="320">
        <f>IFERROR(__xludf.DUMMYFUNCTION("""COMPUTED_VALUE"""),23.43)</f>
        <v>23.43</v>
      </c>
      <c r="AJ29" s="320">
        <f>IFERROR(__xludf.DUMMYFUNCTION("""COMPUTED_VALUE"""),7.36)</f>
        <v>7.36</v>
      </c>
      <c r="AK29" s="320">
        <f>IFERROR(__xludf.DUMMYFUNCTION("""COMPUTED_VALUE"""),0.2217)</f>
        <v>0.2217</v>
      </c>
      <c r="AL29" s="320">
        <f>IFERROR(__xludf.DUMMYFUNCTION("""COMPUTED_VALUE"""),20.99)</f>
        <v>20.99</v>
      </c>
      <c r="AM29" s="320">
        <f>IFERROR(__xludf.DUMMYFUNCTION("""COMPUTED_VALUE"""),240.72)</f>
        <v>240.72</v>
      </c>
      <c r="AN29" s="320">
        <f>IFERROR(__xludf.DUMMYFUNCTION("""COMPUTED_VALUE"""),54.08)</f>
        <v>54.08</v>
      </c>
      <c r="AO29" s="320">
        <f>IFERROR(__xludf.DUMMYFUNCTION("""COMPUTED_VALUE"""),11.35)</f>
        <v>11.35</v>
      </c>
    </row>
    <row r="30" ht="15.75" customHeight="1">
      <c r="A30" s="330">
        <f>IFERROR(__xludf.DUMMYFUNCTION("""COMPUTED_VALUE"""),46054.0)</f>
        <v>46054</v>
      </c>
      <c r="B30" s="319" t="str">
        <f>IFERROR(__xludf.DUMMYFUNCTION("""COMPUTED_VALUE"""),"E. 40-99")</f>
        <v>E. 40-99</v>
      </c>
      <c r="C30" s="320">
        <f>IFERROR(__xludf.DUMMYFUNCTION("""COMPUTED_VALUE"""),3686.0)</f>
        <v>3686</v>
      </c>
      <c r="D30" s="320">
        <f>IFERROR(__xludf.DUMMYFUNCTION("""COMPUTED_VALUE"""),4.5)</f>
        <v>4.5</v>
      </c>
      <c r="E30" s="320">
        <f>IFERROR(__xludf.DUMMYFUNCTION("""COMPUTED_VALUE"""),24652.26)</f>
        <v>24652.26</v>
      </c>
      <c r="F30" s="320">
        <f>IFERROR(__xludf.DUMMYFUNCTION("""COMPUTED_VALUE"""),6.6881)</f>
        <v>6.6881</v>
      </c>
      <c r="G30" s="320">
        <f>IFERROR(__xludf.DUMMYFUNCTION("""COMPUTED_VALUE"""),45.17)</f>
        <v>45.17</v>
      </c>
      <c r="H30" s="320">
        <f>IFERROR(__xludf.DUMMYFUNCTION("""COMPUTED_VALUE"""),14.8062)</f>
        <v>14.8062</v>
      </c>
      <c r="I30" s="320">
        <f>IFERROR(__xludf.DUMMYFUNCTION("""COMPUTED_VALUE"""),135.5)</f>
        <v>135.5</v>
      </c>
      <c r="J30" s="320">
        <f>IFERROR(__xludf.DUMMYFUNCTION("""COMPUTED_VALUE"""),84.03)</f>
        <v>84.03</v>
      </c>
      <c r="K30" s="320">
        <f>IFERROR(__xludf.DUMMYFUNCTION("""COMPUTED_VALUE"""),56.21)</f>
        <v>56.21</v>
      </c>
      <c r="L30" s="320">
        <f>IFERROR(__xludf.DUMMYFUNCTION("""COMPUTED_VALUE"""),0.669)</f>
        <v>0.669</v>
      </c>
      <c r="M30" s="320">
        <f>IFERROR(__xludf.DUMMYFUNCTION("""COMPUTED_VALUE"""),0.417)</f>
        <v>0.417</v>
      </c>
      <c r="N30" s="320">
        <f>IFERROR(__xludf.DUMMYFUNCTION("""COMPUTED_VALUE"""),0.2358)</f>
        <v>0.2358</v>
      </c>
      <c r="O30" s="320">
        <f>IFERROR(__xludf.DUMMYFUNCTION("""COMPUTED_VALUE"""),1.4949)</f>
        <v>1.4949</v>
      </c>
      <c r="P30" s="320">
        <f>IFERROR(__xludf.DUMMYFUNCTION("""COMPUTED_VALUE"""),667.14)</f>
        <v>667.14</v>
      </c>
      <c r="Q30" s="320">
        <f>IFERROR(__xludf.DUMMYFUNCTION("""COMPUTED_VALUE"""),549.04)</f>
        <v>549.04</v>
      </c>
      <c r="R30" s="320">
        <f>IFERROR(__xludf.DUMMYFUNCTION("""COMPUTED_VALUE"""),118.1)</f>
        <v>118.1</v>
      </c>
      <c r="S30" s="320">
        <f>IFERROR(__xludf.DUMMYFUNCTION("""COMPUTED_VALUE"""),409.58)</f>
        <v>409.58</v>
      </c>
      <c r="T30" s="320">
        <f>IFERROR(__xludf.DUMMYFUNCTION("""COMPUTED_VALUE"""),257.56)</f>
        <v>257.56</v>
      </c>
      <c r="U30" s="320">
        <f>IFERROR(__xludf.DUMMYFUNCTION("""COMPUTED_VALUE"""),731.84)</f>
        <v>731.84</v>
      </c>
      <c r="V30" s="320">
        <f>IFERROR(__xludf.DUMMYFUNCTION("""COMPUTED_VALUE"""),8.7094)</f>
        <v>8.7094</v>
      </c>
      <c r="W30" s="320">
        <f>IFERROR(__xludf.DUMMYFUNCTION("""COMPUTED_VALUE"""),61.39)</f>
        <v>61.39</v>
      </c>
      <c r="X30" s="320">
        <f>IFERROR(__xludf.DUMMYFUNCTION("""COMPUTED_VALUE"""),98.0)</f>
        <v>98</v>
      </c>
      <c r="Y30" s="320">
        <f>IFERROR(__xludf.DUMMYFUNCTION("""COMPUTED_VALUE"""),327.0)</f>
        <v>327</v>
      </c>
      <c r="Z30" s="320">
        <f>IFERROR(__xludf.DUMMYFUNCTION("""COMPUTED_VALUE"""),1129.0)</f>
        <v>1129</v>
      </c>
      <c r="AA30" s="320">
        <f>IFERROR(__xludf.DUMMYFUNCTION("""COMPUTED_VALUE"""),57.4474)</f>
        <v>57.4474</v>
      </c>
      <c r="AB30" s="320">
        <f>IFERROR(__xludf.DUMMYFUNCTION("""COMPUTED_VALUE"""),0.7711)</f>
        <v>0.7711</v>
      </c>
      <c r="AC30" s="320">
        <f>IFERROR(__xludf.DUMMYFUNCTION("""COMPUTED_VALUE"""),36.95)</f>
        <v>36.95</v>
      </c>
      <c r="AD30" s="320">
        <f>IFERROR(__xludf.DUMMYFUNCTION("""COMPUTED_VALUE"""),12.0)</f>
        <v>12</v>
      </c>
      <c r="AE30" s="320">
        <f>IFERROR(__xludf.DUMMYFUNCTION("""COMPUTED_VALUE"""),28.0)</f>
        <v>28</v>
      </c>
      <c r="AF30" s="320">
        <f>IFERROR(__xludf.DUMMYFUNCTION("""COMPUTED_VALUE"""),52.0)</f>
        <v>52</v>
      </c>
      <c r="AG30" s="320">
        <f>IFERROR(__xludf.DUMMYFUNCTION("""COMPUTED_VALUE"""),78.0)</f>
        <v>78</v>
      </c>
      <c r="AH30" s="320">
        <f>IFERROR(__xludf.DUMMYFUNCTION("""COMPUTED_VALUE"""),51.87)</f>
        <v>51.87</v>
      </c>
      <c r="AI30" s="320">
        <f>IFERROR(__xludf.DUMMYFUNCTION("""COMPUTED_VALUE"""),19.83)</f>
        <v>19.83</v>
      </c>
      <c r="AJ30" s="320">
        <f>IFERROR(__xludf.DUMMYFUNCTION("""COMPUTED_VALUE"""),4.83)</f>
        <v>4.83</v>
      </c>
      <c r="AK30" s="320">
        <f>IFERROR(__xludf.DUMMYFUNCTION("""COMPUTED_VALUE"""),0.2238)</f>
        <v>0.2238</v>
      </c>
      <c r="AL30" s="320">
        <f>IFERROR(__xludf.DUMMYFUNCTION("""COMPUTED_VALUE"""),21.6)</f>
        <v>21.6</v>
      </c>
      <c r="AM30" s="320">
        <f>IFERROR(__xludf.DUMMYFUNCTION("""COMPUTED_VALUE"""),527.44)</f>
        <v>527.44</v>
      </c>
      <c r="AN30" s="320">
        <f>IFERROR(__xludf.DUMMYFUNCTION("""COMPUTED_VALUE"""),53.16)</f>
        <v>53.16</v>
      </c>
      <c r="AO30" s="320">
        <f>IFERROR(__xludf.DUMMYFUNCTION("""COMPUTED_VALUE"""),11.48)</f>
        <v>11.48</v>
      </c>
    </row>
    <row r="31" ht="15.75" customHeight="1">
      <c r="A31" s="330">
        <f>IFERROR(__xludf.DUMMYFUNCTION("""COMPUTED_VALUE"""),46054.0)</f>
        <v>46054</v>
      </c>
      <c r="B31" s="319" t="str">
        <f>IFERROR(__xludf.DUMMYFUNCTION("""COMPUTED_VALUE"""),"F. 100+")</f>
        <v>F. 100+</v>
      </c>
      <c r="C31" s="320">
        <f>IFERROR(__xludf.DUMMYFUNCTION("""COMPUTED_VALUE"""),472.0)</f>
        <v>472</v>
      </c>
      <c r="D31" s="320">
        <f>IFERROR(__xludf.DUMMYFUNCTION("""COMPUTED_VALUE"""),0.58)</f>
        <v>0.58</v>
      </c>
      <c r="E31" s="320">
        <f>IFERROR(__xludf.DUMMYFUNCTION("""COMPUTED_VALUE"""),5112.26)</f>
        <v>5112.26</v>
      </c>
      <c r="F31" s="320">
        <f>IFERROR(__xludf.DUMMYFUNCTION("""COMPUTED_VALUE"""),10.8311)</f>
        <v>10.8311</v>
      </c>
      <c r="G31" s="320">
        <f>IFERROR(__xludf.DUMMYFUNCTION("""COMPUTED_VALUE"""),44.92)</f>
        <v>44.92</v>
      </c>
      <c r="H31" s="320">
        <f>IFERROR(__xludf.DUMMYFUNCTION("""COMPUTED_VALUE"""),24.1144)</f>
        <v>24.1144</v>
      </c>
      <c r="I31" s="320">
        <f>IFERROR(__xludf.DUMMYFUNCTION("""COMPUTED_VALUE"""),267.93)</f>
        <v>267.93</v>
      </c>
      <c r="J31" s="320">
        <f>IFERROR(__xludf.DUMMYFUNCTION("""COMPUTED_VALUE"""),179.23)</f>
        <v>179.23</v>
      </c>
      <c r="K31" s="320">
        <f>IFERROR(__xludf.DUMMYFUNCTION("""COMPUTED_VALUE"""),144.9)</f>
        <v>144.9</v>
      </c>
      <c r="L31" s="320">
        <f>IFERROR(__xludf.DUMMYFUNCTION("""COMPUTED_VALUE"""),0.8085)</f>
        <v>0.8085</v>
      </c>
      <c r="M31" s="320">
        <f>IFERROR(__xludf.DUMMYFUNCTION("""COMPUTED_VALUE"""),0.2666)</f>
        <v>0.2666</v>
      </c>
      <c r="N31" s="320">
        <f>IFERROR(__xludf.DUMMYFUNCTION("""COMPUTED_VALUE"""),0.1596)</f>
        <v>0.1596</v>
      </c>
      <c r="O31" s="320">
        <f>IFERROR(__xludf.DUMMYFUNCTION("""COMPUTED_VALUE"""),1.2369)</f>
        <v>1.2369</v>
      </c>
      <c r="P31" s="320">
        <f>IFERROR(__xludf.DUMMYFUNCTION("""COMPUTED_VALUE"""),1295.45)</f>
        <v>1295.45</v>
      </c>
      <c r="Q31" s="320">
        <f>IFERROR(__xludf.DUMMYFUNCTION("""COMPUTED_VALUE"""),990.63)</f>
        <v>990.63</v>
      </c>
      <c r="R31" s="320">
        <f>IFERROR(__xludf.DUMMYFUNCTION("""COMPUTED_VALUE"""),304.82)</f>
        <v>304.82</v>
      </c>
      <c r="S31" s="320">
        <f>IFERROR(__xludf.DUMMYFUNCTION("""COMPUTED_VALUE"""),696.82)</f>
        <v>696.82</v>
      </c>
      <c r="T31" s="320">
        <f>IFERROR(__xludf.DUMMYFUNCTION("""COMPUTED_VALUE"""),598.63)</f>
        <v>598.63</v>
      </c>
      <c r="U31" s="320">
        <f>IFERROR(__xludf.DUMMYFUNCTION("""COMPUTED_VALUE"""),1361.44)</f>
        <v>1361.44</v>
      </c>
      <c r="V31" s="320">
        <f>IFERROR(__xludf.DUMMYFUNCTION("""COMPUTED_VALUE"""),7.5961)</f>
        <v>7.5961</v>
      </c>
      <c r="W31" s="320">
        <f>IFERROR(__xludf.DUMMYFUNCTION("""COMPUTED_VALUE"""),53.79)</f>
        <v>53.79</v>
      </c>
      <c r="X31" s="320">
        <f>IFERROR(__xludf.DUMMYFUNCTION("""COMPUTED_VALUE"""),129.0)</f>
        <v>129</v>
      </c>
      <c r="Y31" s="320">
        <f>IFERROR(__xludf.DUMMYFUNCTION("""COMPUTED_VALUE"""),539.0)</f>
        <v>539</v>
      </c>
      <c r="Z31" s="320">
        <f>IFERROR(__xludf.DUMMYFUNCTION("""COMPUTED_VALUE"""),1958.0)</f>
        <v>1958</v>
      </c>
      <c r="AA31" s="320">
        <f>IFERROR(__xludf.DUMMYFUNCTION("""COMPUTED_VALUE"""),61.3922)</f>
        <v>61.3922</v>
      </c>
      <c r="AB31" s="320">
        <f>IFERROR(__xludf.DUMMYFUNCTION("""COMPUTED_VALUE"""),0.8263)</f>
        <v>0.8263</v>
      </c>
      <c r="AC31" s="320">
        <f>IFERROR(__xludf.DUMMYFUNCTION("""COMPUTED_VALUE"""),91.75)</f>
        <v>91.75</v>
      </c>
      <c r="AD31" s="320">
        <f>IFERROR(__xludf.DUMMYFUNCTION("""COMPUTED_VALUE"""),29.0)</f>
        <v>29</v>
      </c>
      <c r="AE31" s="320">
        <f>IFERROR(__xludf.DUMMYFUNCTION("""COMPUTED_VALUE"""),78.0)</f>
        <v>78</v>
      </c>
      <c r="AF31" s="320">
        <f>IFERROR(__xludf.DUMMYFUNCTION("""COMPUTED_VALUE"""),129.0)</f>
        <v>129</v>
      </c>
      <c r="AG31" s="320">
        <f>IFERROR(__xludf.DUMMYFUNCTION("""COMPUTED_VALUE"""),173.0)</f>
        <v>173</v>
      </c>
      <c r="AH31" s="320">
        <f>IFERROR(__xludf.DUMMYFUNCTION("""COMPUTED_VALUE"""),48.73)</f>
        <v>48.73</v>
      </c>
      <c r="AI31" s="320">
        <f>IFERROR(__xludf.DUMMYFUNCTION("""COMPUTED_VALUE"""),9.32)</f>
        <v>9.32</v>
      </c>
      <c r="AJ31" s="320">
        <f>IFERROR(__xludf.DUMMYFUNCTION("""COMPUTED_VALUE"""),2.97)</f>
        <v>2.97</v>
      </c>
      <c r="AK31" s="320">
        <f>IFERROR(__xludf.DUMMYFUNCTION("""COMPUTED_VALUE"""),0.1992)</f>
        <v>0.1992</v>
      </c>
      <c r="AL31" s="320">
        <f>IFERROR(__xludf.DUMMYFUNCTION("""COMPUTED_VALUE"""),20.16)</f>
        <v>20.16</v>
      </c>
      <c r="AM31" s="320">
        <f>IFERROR(__xludf.DUMMYFUNCTION("""COMPUTED_VALUE"""),970.47)</f>
        <v>970.47</v>
      </c>
      <c r="AN31" s="320">
        <f>IFERROR(__xludf.DUMMYFUNCTION("""COMPUTED_VALUE"""),47.49)</f>
        <v>47.49</v>
      </c>
      <c r="AO31" s="320">
        <f>IFERROR(__xludf.DUMMYFUNCTION("""COMPUTED_VALUE"""),9.57)</f>
        <v>9.57</v>
      </c>
    </row>
    <row r="32" ht="15.75" customHeight="1">
      <c r="A32" s="330">
        <f>IFERROR(__xludf.DUMMYFUNCTION("""COMPUTED_VALUE"""),46055.0)</f>
        <v>46055</v>
      </c>
      <c r="B32" s="319" t="str">
        <f>IFERROR(__xludf.DUMMYFUNCTION("""COMPUTED_VALUE"""),"A. 0")</f>
        <v>A. 0</v>
      </c>
      <c r="C32" s="320">
        <f>IFERROR(__xludf.DUMMYFUNCTION("""COMPUTED_VALUE"""),16645.0)</f>
        <v>16645</v>
      </c>
      <c r="D32" s="320">
        <f>IFERROR(__xludf.DUMMYFUNCTION("""COMPUTED_VALUE"""),19.9)</f>
        <v>19.9</v>
      </c>
      <c r="E32" s="320">
        <f>IFERROR(__xludf.DUMMYFUNCTION("""COMPUTED_VALUE"""),216.91)</f>
        <v>216.91</v>
      </c>
      <c r="F32" s="320">
        <f>IFERROR(__xludf.DUMMYFUNCTION("""COMPUTED_VALUE"""),0.013)</f>
        <v>0.013</v>
      </c>
      <c r="G32" s="320">
        <f>IFERROR(__xludf.DUMMYFUNCTION("""COMPUTED_VALUE"""),0.28)</f>
        <v>0.28</v>
      </c>
      <c r="H32" s="320">
        <f>IFERROR(__xludf.DUMMYFUNCTION("""COMPUTED_VALUE"""),4.7154)</f>
        <v>4.7154</v>
      </c>
      <c r="I32" s="320">
        <f>IFERROR(__xludf.DUMMYFUNCTION("""COMPUTED_VALUE"""),5.61)</f>
        <v>5.61</v>
      </c>
      <c r="J32" s="320">
        <f>IFERROR(__xludf.DUMMYFUNCTION("""COMPUTED_VALUE"""),2.51)</f>
        <v>2.51</v>
      </c>
      <c r="K32" s="320">
        <f>IFERROR(__xludf.DUMMYFUNCTION("""COMPUTED_VALUE"""),0.09)</f>
        <v>0.09</v>
      </c>
      <c r="L32" s="320">
        <f>IFERROR(__xludf.DUMMYFUNCTION("""COMPUTED_VALUE"""),0.0346)</f>
        <v>0.0346</v>
      </c>
      <c r="M32" s="320">
        <f>IFERROR(__xludf.DUMMYFUNCTION("""COMPUTED_VALUE"""),0.9688)</f>
        <v>0.9688</v>
      </c>
      <c r="N32" s="320">
        <f>IFERROR(__xludf.DUMMYFUNCTION("""COMPUTED_VALUE"""),0.6906)</f>
        <v>0.6906</v>
      </c>
      <c r="O32" s="320">
        <f>IFERROR(__xludf.DUMMYFUNCTION("""COMPUTED_VALUE"""),28.8846)</f>
        <v>28.8846</v>
      </c>
      <c r="P32" s="320">
        <f>IFERROR(__xludf.DUMMYFUNCTION("""COMPUTED_VALUE"""),36.49)</f>
        <v>36.49</v>
      </c>
      <c r="Q32" s="320">
        <f>IFERROR(__xludf.DUMMYFUNCTION("""COMPUTED_VALUE"""),36.41)</f>
        <v>36.41</v>
      </c>
      <c r="R32" s="320">
        <f>IFERROR(__xludf.DUMMYFUNCTION("""COMPUTED_VALUE"""),0.09)</f>
        <v>0.09</v>
      </c>
      <c r="S32" s="320">
        <f>IFERROR(__xludf.DUMMYFUNCTION("""COMPUTED_VALUE"""),1.01)</f>
        <v>1.01</v>
      </c>
      <c r="T32" s="320">
        <f>IFERROR(__xludf.DUMMYFUNCTION("""COMPUTED_VALUE"""),35.48)</f>
        <v>35.48</v>
      </c>
      <c r="U32" s="320">
        <f>IFERROR(__xludf.DUMMYFUNCTION("""COMPUTED_VALUE"""),2.9)</f>
        <v>2.9</v>
      </c>
      <c r="V32" s="320">
        <f>IFERROR(__xludf.DUMMYFUNCTION("""COMPUTED_VALUE"""),1.1532)</f>
        <v>1.1532</v>
      </c>
      <c r="W32" s="320">
        <f>IFERROR(__xludf.DUMMYFUNCTION("""COMPUTED_VALUE"""),2.77)</f>
        <v>2.77</v>
      </c>
      <c r="X32" s="320">
        <f>IFERROR(__xludf.DUMMYFUNCTION("""COMPUTED_VALUE"""),179.0)</f>
        <v>179</v>
      </c>
      <c r="Y32" s="320">
        <f>IFERROR(__xludf.DUMMYFUNCTION("""COMPUTED_VALUE"""),1092.0)</f>
        <v>1092</v>
      </c>
      <c r="Z32" s="320">
        <f>IFERROR(__xludf.DUMMYFUNCTION("""COMPUTED_VALUE"""),7189.0)</f>
        <v>7189</v>
      </c>
      <c r="AA32" s="320">
        <f>IFERROR(__xludf.DUMMYFUNCTION("""COMPUTED_VALUE"""),49.5913)</f>
        <v>49.5913</v>
      </c>
      <c r="AB32" s="320">
        <f>IFERROR(__xludf.DUMMYFUNCTION("""COMPUTED_VALUE"""),0.5307)</f>
        <v>0.5307</v>
      </c>
      <c r="AC32" s="106"/>
      <c r="AD32" s="106"/>
      <c r="AE32" s="106"/>
      <c r="AF32" s="106"/>
      <c r="AG32" s="106"/>
      <c r="AH32" s="320">
        <f>IFERROR(__xludf.DUMMYFUNCTION("""COMPUTED_VALUE"""),0.0)</f>
        <v>0</v>
      </c>
      <c r="AI32" s="320">
        <f>IFERROR(__xludf.DUMMYFUNCTION("""COMPUTED_VALUE"""),0.0)</f>
        <v>0</v>
      </c>
      <c r="AJ32" s="320">
        <f>IFERROR(__xludf.DUMMYFUNCTION("""COMPUTED_VALUE"""),0.0)</f>
        <v>0</v>
      </c>
      <c r="AK32" s="320">
        <f>IFERROR(__xludf.DUMMYFUNCTION("""COMPUTED_VALUE"""),0.2894)</f>
        <v>0.2894</v>
      </c>
      <c r="AL32" s="320">
        <f>IFERROR(__xludf.DUMMYFUNCTION("""COMPUTED_VALUE"""),15.61)</f>
        <v>15.61</v>
      </c>
      <c r="AM32" s="320">
        <f>IFERROR(__xludf.DUMMYFUNCTION("""COMPUTED_VALUE"""),20.79)</f>
        <v>20.79</v>
      </c>
      <c r="AN32" s="331"/>
      <c r="AO32" s="331"/>
    </row>
    <row r="33" ht="15.75" customHeight="1">
      <c r="A33" s="330">
        <f>IFERROR(__xludf.DUMMYFUNCTION("""COMPUTED_VALUE"""),46055.0)</f>
        <v>46055</v>
      </c>
      <c r="B33" s="319" t="str">
        <f>IFERROR(__xludf.DUMMYFUNCTION("""COMPUTED_VALUE"""),"B. 1-9")</f>
        <v>B. 1-9</v>
      </c>
      <c r="C33" s="320">
        <f>IFERROR(__xludf.DUMMYFUNCTION("""COMPUTED_VALUE"""),35026.0)</f>
        <v>35026</v>
      </c>
      <c r="D33" s="320">
        <f>IFERROR(__xludf.DUMMYFUNCTION("""COMPUTED_VALUE"""),41.88)</f>
        <v>41.88</v>
      </c>
      <c r="E33" s="320">
        <f>IFERROR(__xludf.DUMMYFUNCTION("""COMPUTED_VALUE"""),7629.53)</f>
        <v>7629.53</v>
      </c>
      <c r="F33" s="320">
        <f>IFERROR(__xludf.DUMMYFUNCTION("""COMPUTED_VALUE"""),0.2178)</f>
        <v>0.2178</v>
      </c>
      <c r="G33" s="320">
        <f>IFERROR(__xludf.DUMMYFUNCTION("""COMPUTED_VALUE"""),6.27)</f>
        <v>6.27</v>
      </c>
      <c r="H33" s="320">
        <f>IFERROR(__xludf.DUMMYFUNCTION("""COMPUTED_VALUE"""),3.4759)</f>
        <v>3.4759</v>
      </c>
      <c r="I33" s="320">
        <f>IFERROR(__xludf.DUMMYFUNCTION("""COMPUTED_VALUE"""),34.57)</f>
        <v>34.57</v>
      </c>
      <c r="J33" s="320">
        <f>IFERROR(__xludf.DUMMYFUNCTION("""COMPUTED_VALUE"""),18.61)</f>
        <v>18.61</v>
      </c>
      <c r="K33" s="320">
        <f>IFERROR(__xludf.DUMMYFUNCTION("""COMPUTED_VALUE"""),5.45)</f>
        <v>5.45</v>
      </c>
      <c r="L33" s="320">
        <f>IFERROR(__xludf.DUMMYFUNCTION("""COMPUTED_VALUE"""),0.2931)</f>
        <v>0.2931</v>
      </c>
      <c r="M33" s="320">
        <f>IFERROR(__xludf.DUMMYFUNCTION("""COMPUTED_VALUE"""),0.7771)</f>
        <v>0.7771</v>
      </c>
      <c r="N33" s="320">
        <f>IFERROR(__xludf.DUMMYFUNCTION("""COMPUTED_VALUE"""),0.5333)</f>
        <v>0.5333</v>
      </c>
      <c r="O33" s="320">
        <f>IFERROR(__xludf.DUMMYFUNCTION("""COMPUTED_VALUE"""),3.4114)</f>
        <v>3.4114</v>
      </c>
      <c r="P33" s="320">
        <f>IFERROR(__xludf.DUMMYFUNCTION("""COMPUTED_VALUE"""),99.65)</f>
        <v>99.65</v>
      </c>
      <c r="Q33" s="320">
        <f>IFERROR(__xludf.DUMMYFUNCTION("""COMPUTED_VALUE"""),88.77)</f>
        <v>88.77</v>
      </c>
      <c r="R33" s="320">
        <f>IFERROR(__xludf.DUMMYFUNCTION("""COMPUTED_VALUE"""),10.88)</f>
        <v>10.88</v>
      </c>
      <c r="S33" s="320">
        <f>IFERROR(__xludf.DUMMYFUNCTION("""COMPUTED_VALUE"""),16.6)</f>
        <v>16.6</v>
      </c>
      <c r="T33" s="320">
        <f>IFERROR(__xludf.DUMMYFUNCTION("""COMPUTED_VALUE"""),83.05)</f>
        <v>83.05</v>
      </c>
      <c r="U33" s="320">
        <f>IFERROR(__xludf.DUMMYFUNCTION("""COMPUTED_VALUE"""),89.95)</f>
        <v>89.95</v>
      </c>
      <c r="V33" s="320">
        <f>IFERROR(__xludf.DUMMYFUNCTION("""COMPUTED_VALUE"""),4.8339)</f>
        <v>4.8339</v>
      </c>
      <c r="W33" s="320">
        <f>IFERROR(__xludf.DUMMYFUNCTION("""COMPUTED_VALUE"""),16.66)</f>
        <v>16.66</v>
      </c>
      <c r="X33" s="320">
        <f>IFERROR(__xludf.DUMMYFUNCTION("""COMPUTED_VALUE"""),95.0)</f>
        <v>95</v>
      </c>
      <c r="Y33" s="320">
        <f>IFERROR(__xludf.DUMMYFUNCTION("""COMPUTED_VALUE"""),217.0)</f>
        <v>217</v>
      </c>
      <c r="Z33" s="320">
        <f>IFERROR(__xludf.DUMMYFUNCTION("""COMPUTED_VALUE"""),828.0)</f>
        <v>828</v>
      </c>
      <c r="AA33" s="320">
        <f>IFERROR(__xludf.DUMMYFUNCTION("""COMPUTED_VALUE"""),49.2719)</f>
        <v>49.2719</v>
      </c>
      <c r="AB33" s="320">
        <f>IFERROR(__xludf.DUMMYFUNCTION("""COMPUTED_VALUE"""),0.4376)</f>
        <v>0.4376</v>
      </c>
      <c r="AC33" s="320">
        <f>IFERROR(__xludf.DUMMYFUNCTION("""COMPUTED_VALUE"""),3.48)</f>
        <v>3.48</v>
      </c>
      <c r="AD33" s="320">
        <f>IFERROR(__xludf.DUMMYFUNCTION("""COMPUTED_VALUE"""),1.0)</f>
        <v>1</v>
      </c>
      <c r="AE33" s="320">
        <f>IFERROR(__xludf.DUMMYFUNCTION("""COMPUTED_VALUE"""),2.0)</f>
        <v>2</v>
      </c>
      <c r="AF33" s="320">
        <f>IFERROR(__xludf.DUMMYFUNCTION("""COMPUTED_VALUE"""),4.0)</f>
        <v>4</v>
      </c>
      <c r="AG33" s="320">
        <f>IFERROR(__xludf.DUMMYFUNCTION("""COMPUTED_VALUE"""),8.0)</f>
        <v>8</v>
      </c>
      <c r="AH33" s="320">
        <f>IFERROR(__xludf.DUMMYFUNCTION("""COMPUTED_VALUE"""),67.4)</f>
        <v>67.4</v>
      </c>
      <c r="AI33" s="320">
        <f>IFERROR(__xludf.DUMMYFUNCTION("""COMPUTED_VALUE"""),24.12)</f>
        <v>24.12</v>
      </c>
      <c r="AJ33" s="320">
        <f>IFERROR(__xludf.DUMMYFUNCTION("""COMPUTED_VALUE"""),6.36)</f>
        <v>6.36</v>
      </c>
      <c r="AK33" s="320">
        <f>IFERROR(__xludf.DUMMYFUNCTION("""COMPUTED_VALUE"""),0.2211)</f>
        <v>0.2211</v>
      </c>
      <c r="AL33" s="320">
        <f>IFERROR(__xludf.DUMMYFUNCTION("""COMPUTED_VALUE"""),18.7)</f>
        <v>18.7</v>
      </c>
      <c r="AM33" s="320">
        <f>IFERROR(__xludf.DUMMYFUNCTION("""COMPUTED_VALUE"""),70.07)</f>
        <v>70.07</v>
      </c>
      <c r="AN33" s="320">
        <f>IFERROR(__xludf.DUMMYFUNCTION("""COMPUTED_VALUE"""),58.22)</f>
        <v>58.22</v>
      </c>
      <c r="AO33" s="320">
        <f>IFERROR(__xludf.DUMMYFUNCTION("""COMPUTED_VALUE"""),10.89)</f>
        <v>10.89</v>
      </c>
    </row>
    <row r="34" ht="15.75" customHeight="1">
      <c r="A34" s="330">
        <f>IFERROR(__xludf.DUMMYFUNCTION("""COMPUTED_VALUE"""),46055.0)</f>
        <v>46055</v>
      </c>
      <c r="B34" s="319" t="str">
        <f>IFERROR(__xludf.DUMMYFUNCTION("""COMPUTED_VALUE"""),"C. 10-19")</f>
        <v>C. 10-19</v>
      </c>
      <c r="C34" s="320">
        <f>IFERROR(__xludf.DUMMYFUNCTION("""COMPUTED_VALUE"""),18075.0)</f>
        <v>18075</v>
      </c>
      <c r="D34" s="320">
        <f>IFERROR(__xludf.DUMMYFUNCTION("""COMPUTED_VALUE"""),21.61)</f>
        <v>21.61</v>
      </c>
      <c r="E34" s="320">
        <f>IFERROR(__xludf.DUMMYFUNCTION("""COMPUTED_VALUE"""),17210.25)</f>
        <v>17210.25</v>
      </c>
      <c r="F34" s="320">
        <f>IFERROR(__xludf.DUMMYFUNCTION("""COMPUTED_VALUE"""),0.9522)</f>
        <v>0.9522</v>
      </c>
      <c r="G34" s="320">
        <f>IFERROR(__xludf.DUMMYFUNCTION("""COMPUTED_VALUE"""),18.84)</f>
        <v>18.84</v>
      </c>
      <c r="H34" s="320">
        <f>IFERROR(__xludf.DUMMYFUNCTION("""COMPUTED_VALUE"""),5.0544)</f>
        <v>5.0544</v>
      </c>
      <c r="I34" s="320">
        <f>IFERROR(__xludf.DUMMYFUNCTION("""COMPUTED_VALUE"""),62.64)</f>
        <v>62.64</v>
      </c>
      <c r="J34" s="320">
        <f>IFERROR(__xludf.DUMMYFUNCTION("""COMPUTED_VALUE"""),35.4)</f>
        <v>35.4</v>
      </c>
      <c r="K34" s="320">
        <f>IFERROR(__xludf.DUMMYFUNCTION("""COMPUTED_VALUE"""),14.3)</f>
        <v>14.3</v>
      </c>
      <c r="L34" s="320">
        <f>IFERROR(__xludf.DUMMYFUNCTION("""COMPUTED_VALUE"""),0.404)</f>
        <v>0.404</v>
      </c>
      <c r="M34" s="320">
        <f>IFERROR(__xludf.DUMMYFUNCTION("""COMPUTED_VALUE"""),0.662)</f>
        <v>0.662</v>
      </c>
      <c r="N34" s="320">
        <f>IFERROR(__xludf.DUMMYFUNCTION("""COMPUTED_VALUE"""),0.3913)</f>
        <v>0.3913</v>
      </c>
      <c r="O34" s="320">
        <f>IFERROR(__xludf.DUMMYFUNCTION("""COMPUTED_VALUE"""),2.475)</f>
        <v>2.475</v>
      </c>
      <c r="P34" s="320">
        <f>IFERROR(__xludf.DUMMYFUNCTION("""COMPUTED_VALUE"""),203.6)</f>
        <v>203.6</v>
      </c>
      <c r="Q34" s="320">
        <f>IFERROR(__xludf.DUMMYFUNCTION("""COMPUTED_VALUE"""),174.81)</f>
        <v>174.81</v>
      </c>
      <c r="R34" s="320">
        <f>IFERROR(__xludf.DUMMYFUNCTION("""COMPUTED_VALUE"""),28.8)</f>
        <v>28.8</v>
      </c>
      <c r="S34" s="320">
        <f>IFERROR(__xludf.DUMMYFUNCTION("""COMPUTED_VALUE"""),63.97)</f>
        <v>63.97</v>
      </c>
      <c r="T34" s="320">
        <f>IFERROR(__xludf.DUMMYFUNCTION("""COMPUTED_VALUE"""),139.63)</f>
        <v>139.63</v>
      </c>
      <c r="U34" s="320">
        <f>IFERROR(__xludf.DUMMYFUNCTION("""COMPUTED_VALUE"""),199.95)</f>
        <v>199.95</v>
      </c>
      <c r="V34" s="320">
        <f>IFERROR(__xludf.DUMMYFUNCTION("""COMPUTED_VALUE"""),5.6487)</f>
        <v>5.6487</v>
      </c>
      <c r="W34" s="320">
        <f>IFERROR(__xludf.DUMMYFUNCTION("""COMPUTED_VALUE"""),31.42)</f>
        <v>31.42</v>
      </c>
      <c r="X34" s="320">
        <f>IFERROR(__xludf.DUMMYFUNCTION("""COMPUTED_VALUE"""),88.0)</f>
        <v>88</v>
      </c>
      <c r="Y34" s="320">
        <f>IFERROR(__xludf.DUMMYFUNCTION("""COMPUTED_VALUE"""),200.0)</f>
        <v>200</v>
      </c>
      <c r="Z34" s="320">
        <f>IFERROR(__xludf.DUMMYFUNCTION("""COMPUTED_VALUE"""),646.0)</f>
        <v>646</v>
      </c>
      <c r="AA34" s="320">
        <f>IFERROR(__xludf.DUMMYFUNCTION("""COMPUTED_VALUE"""),52.1698)</f>
        <v>52.1698</v>
      </c>
      <c r="AB34" s="320">
        <f>IFERROR(__xludf.DUMMYFUNCTION("""COMPUTED_VALUE"""),0.5185)</f>
        <v>0.5185</v>
      </c>
      <c r="AC34" s="320">
        <f>IFERROR(__xludf.DUMMYFUNCTION("""COMPUTED_VALUE"""),8.85)</f>
        <v>8.85</v>
      </c>
      <c r="AD34" s="320">
        <f>IFERROR(__xludf.DUMMYFUNCTION("""COMPUTED_VALUE"""),3.0)</f>
        <v>3</v>
      </c>
      <c r="AE34" s="320">
        <f>IFERROR(__xludf.DUMMYFUNCTION("""COMPUTED_VALUE"""),6.0)</f>
        <v>6</v>
      </c>
      <c r="AF34" s="320">
        <f>IFERROR(__xludf.DUMMYFUNCTION("""COMPUTED_VALUE"""),12.0)</f>
        <v>12</v>
      </c>
      <c r="AG34" s="320">
        <f>IFERROR(__xludf.DUMMYFUNCTION("""COMPUTED_VALUE"""),19.0)</f>
        <v>19</v>
      </c>
      <c r="AH34" s="320">
        <f>IFERROR(__xludf.DUMMYFUNCTION("""COMPUTED_VALUE"""),54.15)</f>
        <v>54.15</v>
      </c>
      <c r="AI34" s="320">
        <f>IFERROR(__xludf.DUMMYFUNCTION("""COMPUTED_VALUE"""),24.4)</f>
        <v>24.4</v>
      </c>
      <c r="AJ34" s="320">
        <f>IFERROR(__xludf.DUMMYFUNCTION("""COMPUTED_VALUE"""),4.72)</f>
        <v>4.72</v>
      </c>
      <c r="AK34" s="320">
        <f>IFERROR(__xludf.DUMMYFUNCTION("""COMPUTED_VALUE"""),0.1763)</f>
        <v>0.1763</v>
      </c>
      <c r="AL34" s="320">
        <f>IFERROR(__xludf.DUMMYFUNCTION("""COMPUTED_VALUE"""),19.12)</f>
        <v>19.12</v>
      </c>
      <c r="AM34" s="320">
        <f>IFERROR(__xludf.DUMMYFUNCTION("""COMPUTED_VALUE"""),155.69)</f>
        <v>155.69</v>
      </c>
      <c r="AN34" s="320">
        <f>IFERROR(__xludf.DUMMYFUNCTION("""COMPUTED_VALUE"""),63.79)</f>
        <v>63.79</v>
      </c>
      <c r="AO34" s="320">
        <f>IFERROR(__xludf.DUMMYFUNCTION("""COMPUTED_VALUE"""),12.2)</f>
        <v>12.2</v>
      </c>
    </row>
    <row r="35" ht="15.75" customHeight="1">
      <c r="A35" s="330">
        <f>IFERROR(__xludf.DUMMYFUNCTION("""COMPUTED_VALUE"""),46055.0)</f>
        <v>46055</v>
      </c>
      <c r="B35" s="319" t="str">
        <f>IFERROR(__xludf.DUMMYFUNCTION("""COMPUTED_VALUE"""),"D. 20-39")</f>
        <v>D. 20-39</v>
      </c>
      <c r="C35" s="320">
        <f>IFERROR(__xludf.DUMMYFUNCTION("""COMPUTED_VALUE"""),9488.0)</f>
        <v>9488</v>
      </c>
      <c r="D35" s="320">
        <f>IFERROR(__xludf.DUMMYFUNCTION("""COMPUTED_VALUE"""),11.34)</f>
        <v>11.34</v>
      </c>
      <c r="E35" s="320">
        <f>IFERROR(__xludf.DUMMYFUNCTION("""COMPUTED_VALUE"""),23461.22)</f>
        <v>23461.22</v>
      </c>
      <c r="F35" s="320">
        <f>IFERROR(__xludf.DUMMYFUNCTION("""COMPUTED_VALUE"""),2.4727)</f>
        <v>2.4727</v>
      </c>
      <c r="G35" s="320">
        <f>IFERROR(__xludf.DUMMYFUNCTION("""COMPUTED_VALUE"""),30.55)</f>
        <v>30.55</v>
      </c>
      <c r="H35" s="320">
        <f>IFERROR(__xludf.DUMMYFUNCTION("""COMPUTED_VALUE"""),8.0929)</f>
        <v>8.0929</v>
      </c>
      <c r="I35" s="320">
        <f>IFERROR(__xludf.DUMMYFUNCTION("""COMPUTED_VALUE"""),89.52)</f>
        <v>89.52</v>
      </c>
      <c r="J35" s="320">
        <f>IFERROR(__xludf.DUMMYFUNCTION("""COMPUTED_VALUE"""),52.75)</f>
        <v>52.75</v>
      </c>
      <c r="K35" s="320">
        <f>IFERROR(__xludf.DUMMYFUNCTION("""COMPUTED_VALUE"""),28.37)</f>
        <v>28.37</v>
      </c>
      <c r="L35" s="320">
        <f>IFERROR(__xludf.DUMMYFUNCTION("""COMPUTED_VALUE"""),0.5378)</f>
        <v>0.5378</v>
      </c>
      <c r="M35" s="320">
        <f>IFERROR(__xludf.DUMMYFUNCTION("""COMPUTED_VALUE"""),0.5395)</f>
        <v>0.5395</v>
      </c>
      <c r="N35" s="320">
        <f>IFERROR(__xludf.DUMMYFUNCTION("""COMPUTED_VALUE"""),0.3041)</f>
        <v>0.3041</v>
      </c>
      <c r="O35" s="320">
        <f>IFERROR(__xludf.DUMMYFUNCTION("""COMPUTED_VALUE"""),1.8593)</f>
        <v>1.8593</v>
      </c>
      <c r="P35" s="320">
        <f>IFERROR(__xludf.DUMMYFUNCTION("""COMPUTED_VALUE"""),387.03)</f>
        <v>387.03</v>
      </c>
      <c r="Q35" s="320">
        <f>IFERROR(__xludf.DUMMYFUNCTION("""COMPUTED_VALUE"""),329.79)</f>
        <v>329.79</v>
      </c>
      <c r="R35" s="320">
        <f>IFERROR(__xludf.DUMMYFUNCTION("""COMPUTED_VALUE"""),57.24)</f>
        <v>57.24</v>
      </c>
      <c r="S35" s="320">
        <f>IFERROR(__xludf.DUMMYFUNCTION("""COMPUTED_VALUE"""),160.98)</f>
        <v>160.98</v>
      </c>
      <c r="T35" s="320">
        <f>IFERROR(__xludf.DUMMYFUNCTION("""COMPUTED_VALUE"""),226.06)</f>
        <v>226.06</v>
      </c>
      <c r="U35" s="320">
        <f>IFERROR(__xludf.DUMMYFUNCTION("""COMPUTED_VALUE"""),394.19)</f>
        <v>394.19</v>
      </c>
      <c r="V35" s="320">
        <f>IFERROR(__xludf.DUMMYFUNCTION("""COMPUTED_VALUE"""),7.4732)</f>
        <v>7.4732</v>
      </c>
      <c r="W35" s="320">
        <f>IFERROR(__xludf.DUMMYFUNCTION("""COMPUTED_VALUE"""),41.59)</f>
        <v>41.59</v>
      </c>
      <c r="X35" s="320">
        <f>IFERROR(__xludf.DUMMYFUNCTION("""COMPUTED_VALUE"""),94.0)</f>
        <v>94</v>
      </c>
      <c r="Y35" s="320">
        <f>IFERROR(__xludf.DUMMYFUNCTION("""COMPUTED_VALUE"""),259.0)</f>
        <v>259</v>
      </c>
      <c r="Z35" s="320">
        <f>IFERROR(__xludf.DUMMYFUNCTION("""COMPUTED_VALUE"""),854.0)</f>
        <v>854</v>
      </c>
      <c r="AA35" s="320">
        <f>IFERROR(__xludf.DUMMYFUNCTION("""COMPUTED_VALUE"""),54.1675)</f>
        <v>54.1675</v>
      </c>
      <c r="AB35" s="320">
        <f>IFERROR(__xludf.DUMMYFUNCTION("""COMPUTED_VALUE"""),0.6151)</f>
        <v>0.6151</v>
      </c>
      <c r="AC35" s="320">
        <f>IFERROR(__xludf.DUMMYFUNCTION("""COMPUTED_VALUE"""),17.53)</f>
        <v>17.53</v>
      </c>
      <c r="AD35" s="320">
        <f>IFERROR(__xludf.DUMMYFUNCTION("""COMPUTED_VALUE"""),6.0)</f>
        <v>6</v>
      </c>
      <c r="AE35" s="320">
        <f>IFERROR(__xludf.DUMMYFUNCTION("""COMPUTED_VALUE"""),13.0)</f>
        <v>13</v>
      </c>
      <c r="AF35" s="320">
        <f>IFERROR(__xludf.DUMMYFUNCTION("""COMPUTED_VALUE"""),25.0)</f>
        <v>25</v>
      </c>
      <c r="AG35" s="320">
        <f>IFERROR(__xludf.DUMMYFUNCTION("""COMPUTED_VALUE"""),37.0)</f>
        <v>37</v>
      </c>
      <c r="AH35" s="320">
        <f>IFERROR(__xludf.DUMMYFUNCTION("""COMPUTED_VALUE"""),57.2)</f>
        <v>57.2</v>
      </c>
      <c r="AI35" s="320">
        <f>IFERROR(__xludf.DUMMYFUNCTION("""COMPUTED_VALUE"""),24.72)</f>
        <v>24.72</v>
      </c>
      <c r="AJ35" s="320">
        <f>IFERROR(__xludf.DUMMYFUNCTION("""COMPUTED_VALUE"""),6.39)</f>
        <v>6.39</v>
      </c>
      <c r="AK35" s="320">
        <f>IFERROR(__xludf.DUMMYFUNCTION("""COMPUTED_VALUE"""),0.1819)</f>
        <v>0.1819</v>
      </c>
      <c r="AL35" s="320">
        <f>IFERROR(__xludf.DUMMYFUNCTION("""COMPUTED_VALUE"""),18.9)</f>
        <v>18.9</v>
      </c>
      <c r="AM35" s="320">
        <f>IFERROR(__xludf.DUMMYFUNCTION("""COMPUTED_VALUE"""),310.89)</f>
        <v>310.89</v>
      </c>
      <c r="AN35" s="320">
        <f>IFERROR(__xludf.DUMMYFUNCTION("""COMPUTED_VALUE"""),63.07)</f>
        <v>63.07</v>
      </c>
      <c r="AO35" s="320">
        <f>IFERROR(__xludf.DUMMYFUNCTION("""COMPUTED_VALUE"""),11.92)</f>
        <v>11.92</v>
      </c>
    </row>
    <row r="36" ht="15.75" customHeight="1">
      <c r="A36" s="330">
        <f>IFERROR(__xludf.DUMMYFUNCTION("""COMPUTED_VALUE"""),46055.0)</f>
        <v>46055</v>
      </c>
      <c r="B36" s="319" t="str">
        <f>IFERROR(__xludf.DUMMYFUNCTION("""COMPUTED_VALUE"""),"E. 40-99")</f>
        <v>E. 40-99</v>
      </c>
      <c r="C36" s="320">
        <f>IFERROR(__xludf.DUMMYFUNCTION("""COMPUTED_VALUE"""),3984.0)</f>
        <v>3984</v>
      </c>
      <c r="D36" s="320">
        <f>IFERROR(__xludf.DUMMYFUNCTION("""COMPUTED_VALUE"""),4.76)</f>
        <v>4.76</v>
      </c>
      <c r="E36" s="320">
        <f>IFERROR(__xludf.DUMMYFUNCTION("""COMPUTED_VALUE"""),24418.38)</f>
        <v>24418.38</v>
      </c>
      <c r="F36" s="320">
        <f>IFERROR(__xludf.DUMMYFUNCTION("""COMPUTED_VALUE"""),6.1291)</f>
        <v>6.1291</v>
      </c>
      <c r="G36" s="320">
        <f>IFERROR(__xludf.DUMMYFUNCTION("""COMPUTED_VALUE"""),42.12)</f>
        <v>42.12</v>
      </c>
      <c r="H36" s="320">
        <f>IFERROR(__xludf.DUMMYFUNCTION("""COMPUTED_VALUE"""),14.5521)</f>
        <v>14.5521</v>
      </c>
      <c r="I36" s="320">
        <f>IFERROR(__xludf.DUMMYFUNCTION("""COMPUTED_VALUE"""),143.28)</f>
        <v>143.28</v>
      </c>
      <c r="J36" s="320">
        <f>IFERROR(__xludf.DUMMYFUNCTION("""COMPUTED_VALUE"""),87.96)</f>
        <v>87.96</v>
      </c>
      <c r="K36" s="320">
        <f>IFERROR(__xludf.DUMMYFUNCTION("""COMPUTED_VALUE"""),60.76)</f>
        <v>60.76</v>
      </c>
      <c r="L36" s="320">
        <f>IFERROR(__xludf.DUMMYFUNCTION("""COMPUTED_VALUE"""),0.6908)</f>
        <v>0.6908</v>
      </c>
      <c r="M36" s="320">
        <f>IFERROR(__xludf.DUMMYFUNCTION("""COMPUTED_VALUE"""),0.4023)</f>
        <v>0.4023</v>
      </c>
      <c r="N36" s="320">
        <f>IFERROR(__xludf.DUMMYFUNCTION("""COMPUTED_VALUE"""),0.2303)</f>
        <v>0.2303</v>
      </c>
      <c r="O36" s="320">
        <f>IFERROR(__xludf.DUMMYFUNCTION("""COMPUTED_VALUE"""),1.4475)</f>
        <v>1.4475</v>
      </c>
      <c r="P36" s="320">
        <f>IFERROR(__xludf.DUMMYFUNCTION("""COMPUTED_VALUE"""),799.48)</f>
        <v>799.48</v>
      </c>
      <c r="Q36" s="320">
        <f>IFERROR(__xludf.DUMMYFUNCTION("""COMPUTED_VALUE"""),686.61)</f>
        <v>686.61</v>
      </c>
      <c r="R36" s="320">
        <f>IFERROR(__xludf.DUMMYFUNCTION("""COMPUTED_VALUE"""),112.87)</f>
        <v>112.87</v>
      </c>
      <c r="S36" s="320">
        <f>IFERROR(__xludf.DUMMYFUNCTION("""COMPUTED_VALUE"""),394.46)</f>
        <v>394.46</v>
      </c>
      <c r="T36" s="320">
        <f>IFERROR(__xludf.DUMMYFUNCTION("""COMPUTED_VALUE"""),405.02)</f>
        <v>405.02</v>
      </c>
      <c r="U36" s="320">
        <f>IFERROR(__xludf.DUMMYFUNCTION("""COMPUTED_VALUE"""),810.47)</f>
        <v>810.47</v>
      </c>
      <c r="V36" s="320">
        <f>IFERROR(__xludf.DUMMYFUNCTION("""COMPUTED_VALUE"""),9.2142)</f>
        <v>9.2142</v>
      </c>
      <c r="W36" s="320">
        <f>IFERROR(__xludf.DUMMYFUNCTION("""COMPUTED_VALUE"""),49.34)</f>
        <v>49.34</v>
      </c>
      <c r="X36" s="320">
        <f>IFERROR(__xludf.DUMMYFUNCTION("""COMPUTED_VALUE"""),124.0)</f>
        <v>124</v>
      </c>
      <c r="Y36" s="320">
        <f>IFERROR(__xludf.DUMMYFUNCTION("""COMPUTED_VALUE"""),432.0)</f>
        <v>432</v>
      </c>
      <c r="Z36" s="320">
        <f>IFERROR(__xludf.DUMMYFUNCTION("""COMPUTED_VALUE"""),1404.0)</f>
        <v>1404</v>
      </c>
      <c r="AA36" s="320">
        <f>IFERROR(__xludf.DUMMYFUNCTION("""COMPUTED_VALUE"""),57.3162)</f>
        <v>57.3162</v>
      </c>
      <c r="AB36" s="320">
        <f>IFERROR(__xludf.DUMMYFUNCTION("""COMPUTED_VALUE"""),0.664)</f>
        <v>0.664</v>
      </c>
      <c r="AC36" s="320">
        <f>IFERROR(__xludf.DUMMYFUNCTION("""COMPUTED_VALUE"""),35.7)</f>
        <v>35.7</v>
      </c>
      <c r="AD36" s="320">
        <f>IFERROR(__xludf.DUMMYFUNCTION("""COMPUTED_VALUE"""),13.0)</f>
        <v>13</v>
      </c>
      <c r="AE36" s="320">
        <f>IFERROR(__xludf.DUMMYFUNCTION("""COMPUTED_VALUE"""),30.0)</f>
        <v>30</v>
      </c>
      <c r="AF36" s="320">
        <f>IFERROR(__xludf.DUMMYFUNCTION("""COMPUTED_VALUE"""),47.0)</f>
        <v>47</v>
      </c>
      <c r="AG36" s="320">
        <f>IFERROR(__xludf.DUMMYFUNCTION("""COMPUTED_VALUE"""),75.0)</f>
        <v>75</v>
      </c>
      <c r="AH36" s="320">
        <f>IFERROR(__xludf.DUMMYFUNCTION("""COMPUTED_VALUE"""),52.31)</f>
        <v>52.31</v>
      </c>
      <c r="AI36" s="320">
        <f>IFERROR(__xludf.DUMMYFUNCTION("""COMPUTED_VALUE"""),17.49)</f>
        <v>17.49</v>
      </c>
      <c r="AJ36" s="320">
        <f>IFERROR(__xludf.DUMMYFUNCTION("""COMPUTED_VALUE"""),4.32)</f>
        <v>4.32</v>
      </c>
      <c r="AK36" s="320">
        <f>IFERROR(__xludf.DUMMYFUNCTION("""COMPUTED_VALUE"""),0.1604)</f>
        <v>0.1604</v>
      </c>
      <c r="AL36" s="320">
        <f>IFERROR(__xludf.DUMMYFUNCTION("""COMPUTED_VALUE"""),19.09)</f>
        <v>19.09</v>
      </c>
      <c r="AM36" s="320">
        <f>IFERROR(__xludf.DUMMYFUNCTION("""COMPUTED_VALUE"""),667.52)</f>
        <v>667.52</v>
      </c>
      <c r="AN36" s="320">
        <f>IFERROR(__xludf.DUMMYFUNCTION("""COMPUTED_VALUE"""),59.15)</f>
        <v>59.15</v>
      </c>
      <c r="AO36" s="320">
        <f>IFERROR(__xludf.DUMMYFUNCTION("""COMPUTED_VALUE"""),11.29)</f>
        <v>11.29</v>
      </c>
    </row>
    <row r="37" ht="15.75" customHeight="1">
      <c r="A37" s="330">
        <f>IFERROR(__xludf.DUMMYFUNCTION("""COMPUTED_VALUE"""),46055.0)</f>
        <v>46055</v>
      </c>
      <c r="B37" s="319" t="str">
        <f>IFERROR(__xludf.DUMMYFUNCTION("""COMPUTED_VALUE"""),"F. 100+")</f>
        <v>F. 100+</v>
      </c>
      <c r="C37" s="320">
        <f>IFERROR(__xludf.DUMMYFUNCTION("""COMPUTED_VALUE"""),424.0)</f>
        <v>424</v>
      </c>
      <c r="D37" s="320">
        <f>IFERROR(__xludf.DUMMYFUNCTION("""COMPUTED_VALUE"""),0.51)</f>
        <v>0.51</v>
      </c>
      <c r="E37" s="320">
        <f>IFERROR(__xludf.DUMMYFUNCTION("""COMPUTED_VALUE"""),3336.32)</f>
        <v>3336.32</v>
      </c>
      <c r="F37" s="320">
        <f>IFERROR(__xludf.DUMMYFUNCTION("""COMPUTED_VALUE"""),7.8687)</f>
        <v>7.8687</v>
      </c>
      <c r="G37" s="320">
        <f>IFERROR(__xludf.DUMMYFUNCTION("""COMPUTED_VALUE"""),37.26)</f>
        <v>37.26</v>
      </c>
      <c r="H37" s="320">
        <f>IFERROR(__xludf.DUMMYFUNCTION("""COMPUTED_VALUE"""),21.1159)</f>
        <v>21.1159</v>
      </c>
      <c r="I37" s="320">
        <f>IFERROR(__xludf.DUMMYFUNCTION("""COMPUTED_VALUE"""),253.26)</f>
        <v>253.26</v>
      </c>
      <c r="J37" s="320">
        <f>IFERROR(__xludf.DUMMYFUNCTION("""COMPUTED_VALUE"""),166.32)</f>
        <v>166.32</v>
      </c>
      <c r="K37" s="320">
        <f>IFERROR(__xludf.DUMMYFUNCTION("""COMPUTED_VALUE"""),137.23)</f>
        <v>137.23</v>
      </c>
      <c r="L37" s="320">
        <f>IFERROR(__xludf.DUMMYFUNCTION("""COMPUTED_VALUE"""),0.8251)</f>
        <v>0.8251</v>
      </c>
      <c r="M37" s="320">
        <f>IFERROR(__xludf.DUMMYFUNCTION("""COMPUTED_VALUE"""),0.2541)</f>
        <v>0.2541</v>
      </c>
      <c r="N37" s="320">
        <f>IFERROR(__xludf.DUMMYFUNCTION("""COMPUTED_VALUE"""),0.1564)</f>
        <v>0.1564</v>
      </c>
      <c r="O37" s="320">
        <f>IFERROR(__xludf.DUMMYFUNCTION("""COMPUTED_VALUE"""),1.2119)</f>
        <v>1.2119</v>
      </c>
      <c r="P37" s="320">
        <f>IFERROR(__xludf.DUMMYFUNCTION("""COMPUTED_VALUE"""),1307.25)</f>
        <v>1307.25</v>
      </c>
      <c r="Q37" s="320">
        <f>IFERROR(__xludf.DUMMYFUNCTION("""COMPUTED_VALUE"""),1021.29)</f>
        <v>1021.29</v>
      </c>
      <c r="R37" s="320">
        <f>IFERROR(__xludf.DUMMYFUNCTION("""COMPUTED_VALUE"""),285.96)</f>
        <v>285.96</v>
      </c>
      <c r="S37" s="320">
        <f>IFERROR(__xludf.DUMMYFUNCTION("""COMPUTED_VALUE"""),506.62)</f>
        <v>506.62</v>
      </c>
      <c r="T37" s="320">
        <f>IFERROR(__xludf.DUMMYFUNCTION("""COMPUTED_VALUE"""),800.63)</f>
        <v>800.63</v>
      </c>
      <c r="U37" s="320">
        <f>IFERROR(__xludf.DUMMYFUNCTION("""COMPUTED_VALUE"""),1284.43)</f>
        <v>1284.43</v>
      </c>
      <c r="V37" s="320">
        <f>IFERROR(__xludf.DUMMYFUNCTION("""COMPUTED_VALUE"""),7.7229)</f>
        <v>7.7229</v>
      </c>
      <c r="W37" s="320">
        <f>IFERROR(__xludf.DUMMYFUNCTION("""COMPUTED_VALUE"""),38.75)</f>
        <v>38.75</v>
      </c>
      <c r="X37" s="320">
        <f>IFERROR(__xludf.DUMMYFUNCTION("""COMPUTED_VALUE"""),196.0)</f>
        <v>196</v>
      </c>
      <c r="Y37" s="320">
        <f>IFERROR(__xludf.DUMMYFUNCTION("""COMPUTED_VALUE"""),657.0)</f>
        <v>657</v>
      </c>
      <c r="Z37" s="320">
        <f>IFERROR(__xludf.DUMMYFUNCTION("""COMPUTED_VALUE"""),2164.0)</f>
        <v>2164</v>
      </c>
      <c r="AA37" s="320">
        <f>IFERROR(__xludf.DUMMYFUNCTION("""COMPUTED_VALUE"""),62.6051)</f>
        <v>62.6051</v>
      </c>
      <c r="AB37" s="320">
        <f>IFERROR(__xludf.DUMMYFUNCTION("""COMPUTED_VALUE"""),0.8327)</f>
        <v>0.8327</v>
      </c>
      <c r="AC37" s="320">
        <f>IFERROR(__xludf.DUMMYFUNCTION("""COMPUTED_VALUE"""),92.5)</f>
        <v>92.5</v>
      </c>
      <c r="AD37" s="320">
        <f>IFERROR(__xludf.DUMMYFUNCTION("""COMPUTED_VALUE"""),29.0)</f>
        <v>29</v>
      </c>
      <c r="AE37" s="320">
        <f>IFERROR(__xludf.DUMMYFUNCTION("""COMPUTED_VALUE"""),70.0)</f>
        <v>70</v>
      </c>
      <c r="AF37" s="320">
        <f>IFERROR(__xludf.DUMMYFUNCTION("""COMPUTED_VALUE"""),138.0)</f>
        <v>138</v>
      </c>
      <c r="AG37" s="320">
        <f>IFERROR(__xludf.DUMMYFUNCTION("""COMPUTED_VALUE"""),209.0)</f>
        <v>209</v>
      </c>
      <c r="AH37" s="320">
        <f>IFERROR(__xludf.DUMMYFUNCTION("""COMPUTED_VALUE"""),45.05)</f>
        <v>45.05</v>
      </c>
      <c r="AI37" s="320">
        <f>IFERROR(__xludf.DUMMYFUNCTION("""COMPUTED_VALUE"""),16.27)</f>
        <v>16.27</v>
      </c>
      <c r="AJ37" s="320">
        <f>IFERROR(__xludf.DUMMYFUNCTION("""COMPUTED_VALUE"""),3.07)</f>
        <v>3.07</v>
      </c>
      <c r="AK37" s="320">
        <f>IFERROR(__xludf.DUMMYFUNCTION("""COMPUTED_VALUE"""),0.1415)</f>
        <v>0.1415</v>
      </c>
      <c r="AL37" s="320">
        <f>IFERROR(__xludf.DUMMYFUNCTION("""COMPUTED_VALUE"""),19.83)</f>
        <v>19.83</v>
      </c>
      <c r="AM37" s="320">
        <f>IFERROR(__xludf.DUMMYFUNCTION("""COMPUTED_VALUE"""),1001.46)</f>
        <v>1001.46</v>
      </c>
      <c r="AN37" s="320">
        <f>IFERROR(__xludf.DUMMYFUNCTION("""COMPUTED_VALUE"""),60.34)</f>
        <v>60.34</v>
      </c>
      <c r="AO37" s="320">
        <f>IFERROR(__xludf.DUMMYFUNCTION("""COMPUTED_VALUE"""),11.97)</f>
        <v>11.97</v>
      </c>
    </row>
    <row r="38" ht="15.75" customHeight="1">
      <c r="A38" s="330">
        <f>IFERROR(__xludf.DUMMYFUNCTION("""COMPUTED_VALUE"""),46056.0)</f>
        <v>46056</v>
      </c>
      <c r="B38" s="319" t="str">
        <f>IFERROR(__xludf.DUMMYFUNCTION("""COMPUTED_VALUE"""),"A. 0")</f>
        <v>A. 0</v>
      </c>
      <c r="C38" s="320">
        <f>IFERROR(__xludf.DUMMYFUNCTION("""COMPUTED_VALUE"""),15767.0)</f>
        <v>15767</v>
      </c>
      <c r="D38" s="320">
        <f>IFERROR(__xludf.DUMMYFUNCTION("""COMPUTED_VALUE"""),18.87)</f>
        <v>18.87</v>
      </c>
      <c r="E38" s="320">
        <f>IFERROR(__xludf.DUMMYFUNCTION("""COMPUTED_VALUE"""),513.85)</f>
        <v>513.85</v>
      </c>
      <c r="F38" s="320">
        <f>IFERROR(__xludf.DUMMYFUNCTION("""COMPUTED_VALUE"""),0.0326)</f>
        <v>0.0326</v>
      </c>
      <c r="G38" s="320">
        <f>IFERROR(__xludf.DUMMYFUNCTION("""COMPUTED_VALUE"""),1.09)</f>
        <v>1.09</v>
      </c>
      <c r="H38" s="320">
        <f>IFERROR(__xludf.DUMMYFUNCTION("""COMPUTED_VALUE"""),2.9875)</f>
        <v>2.9875</v>
      </c>
      <c r="I38" s="320">
        <f>IFERROR(__xludf.DUMMYFUNCTION("""COMPUTED_VALUE"""),5.89)</f>
        <v>5.89</v>
      </c>
      <c r="J38" s="320">
        <f>IFERROR(__xludf.DUMMYFUNCTION("""COMPUTED_VALUE"""),2.66)</f>
        <v>2.66</v>
      </c>
      <c r="K38" s="320">
        <f>IFERROR(__xludf.DUMMYFUNCTION("""COMPUTED_VALUE"""),0.06)</f>
        <v>0.06</v>
      </c>
      <c r="L38" s="320">
        <f>IFERROR(__xludf.DUMMYFUNCTION("""COMPUTED_VALUE"""),0.0242)</f>
        <v>0.0242</v>
      </c>
      <c r="M38" s="320">
        <f>IFERROR(__xludf.DUMMYFUNCTION("""COMPUTED_VALUE"""),0.9766)</f>
        <v>0.9766</v>
      </c>
      <c r="N38" s="320">
        <f>IFERROR(__xludf.DUMMYFUNCTION("""COMPUTED_VALUE"""),0.7226)</f>
        <v>0.7226</v>
      </c>
      <c r="O38" s="320">
        <f>IFERROR(__xludf.DUMMYFUNCTION("""COMPUTED_VALUE"""),41.3176)</f>
        <v>41.3176</v>
      </c>
      <c r="P38" s="320">
        <f>IFERROR(__xludf.DUMMYFUNCTION("""COMPUTED_VALUE"""),35.27)</f>
        <v>35.27</v>
      </c>
      <c r="Q38" s="320">
        <f>IFERROR(__xludf.DUMMYFUNCTION("""COMPUTED_VALUE"""),35.21)</f>
        <v>35.21</v>
      </c>
      <c r="R38" s="320">
        <f>IFERROR(__xludf.DUMMYFUNCTION("""COMPUTED_VALUE"""),0.05)</f>
        <v>0.05</v>
      </c>
      <c r="S38" s="320">
        <f>IFERROR(__xludf.DUMMYFUNCTION("""COMPUTED_VALUE"""),1.07)</f>
        <v>1.07</v>
      </c>
      <c r="T38" s="320">
        <f>IFERROR(__xludf.DUMMYFUNCTION("""COMPUTED_VALUE"""),34.2)</f>
        <v>34.2</v>
      </c>
      <c r="U38" s="320">
        <f>IFERROR(__xludf.DUMMYFUNCTION("""COMPUTED_VALUE"""),2.31)</f>
        <v>2.31</v>
      </c>
      <c r="V38" s="320">
        <f>IFERROR(__xludf.DUMMYFUNCTION("""COMPUTED_VALUE"""),0.87)</f>
        <v>0.87</v>
      </c>
      <c r="W38" s="320">
        <f>IFERROR(__xludf.DUMMYFUNCTION("""COMPUTED_VALUE"""),3.03)</f>
        <v>3.03</v>
      </c>
      <c r="X38" s="320">
        <f>IFERROR(__xludf.DUMMYFUNCTION("""COMPUTED_VALUE"""),163.0)</f>
        <v>163</v>
      </c>
      <c r="Y38" s="320">
        <f>IFERROR(__xludf.DUMMYFUNCTION("""COMPUTED_VALUE"""),948.0)</f>
        <v>948</v>
      </c>
      <c r="Z38" s="320">
        <f>IFERROR(__xludf.DUMMYFUNCTION("""COMPUTED_VALUE"""),6707.0)</f>
        <v>6707</v>
      </c>
      <c r="AA38" s="320">
        <f>IFERROR(__xludf.DUMMYFUNCTION("""COMPUTED_VALUE"""),49.3604)</f>
        <v>49.3604</v>
      </c>
      <c r="AB38" s="320">
        <f>IFERROR(__xludf.DUMMYFUNCTION("""COMPUTED_VALUE"""),0.5055)</f>
        <v>0.5055</v>
      </c>
      <c r="AC38" s="106"/>
      <c r="AD38" s="106"/>
      <c r="AE38" s="106"/>
      <c r="AF38" s="106"/>
      <c r="AG38" s="106"/>
      <c r="AH38" s="320">
        <f>IFERROR(__xludf.DUMMYFUNCTION("""COMPUTED_VALUE"""),0.0)</f>
        <v>0</v>
      </c>
      <c r="AI38" s="320">
        <f>IFERROR(__xludf.DUMMYFUNCTION("""COMPUTED_VALUE"""),0.0)</f>
        <v>0</v>
      </c>
      <c r="AJ38" s="320">
        <f>IFERROR(__xludf.DUMMYFUNCTION("""COMPUTED_VALUE"""),0.0)</f>
        <v>0</v>
      </c>
      <c r="AK38" s="320">
        <f>IFERROR(__xludf.DUMMYFUNCTION("""COMPUTED_VALUE"""),0.2887)</f>
        <v>0.2887</v>
      </c>
      <c r="AL38" s="320">
        <f>IFERROR(__xludf.DUMMYFUNCTION("""COMPUTED_VALUE"""),17.94)</f>
        <v>17.94</v>
      </c>
      <c r="AM38" s="320">
        <f>IFERROR(__xludf.DUMMYFUNCTION("""COMPUTED_VALUE"""),17.27)</f>
        <v>17.27</v>
      </c>
      <c r="AN38" s="331"/>
      <c r="AO38" s="331"/>
    </row>
    <row r="39" ht="15.75" customHeight="1">
      <c r="A39" s="330">
        <f>IFERROR(__xludf.DUMMYFUNCTION("""COMPUTED_VALUE"""),46056.0)</f>
        <v>46056</v>
      </c>
      <c r="B39" s="319" t="str">
        <f>IFERROR(__xludf.DUMMYFUNCTION("""COMPUTED_VALUE"""),"B. 1-9")</f>
        <v>B. 1-9</v>
      </c>
      <c r="C39" s="320">
        <f>IFERROR(__xludf.DUMMYFUNCTION("""COMPUTED_VALUE"""),34491.0)</f>
        <v>34491</v>
      </c>
      <c r="D39" s="320">
        <f>IFERROR(__xludf.DUMMYFUNCTION("""COMPUTED_VALUE"""),41.28)</f>
        <v>41.28</v>
      </c>
      <c r="E39" s="320">
        <f>IFERROR(__xludf.DUMMYFUNCTION("""COMPUTED_VALUE"""),11588.64)</f>
        <v>11588.64</v>
      </c>
      <c r="F39" s="320">
        <f>IFERROR(__xludf.DUMMYFUNCTION("""COMPUTED_VALUE"""),0.336)</f>
        <v>0.336</v>
      </c>
      <c r="G39" s="320">
        <f>IFERROR(__xludf.DUMMYFUNCTION("""COMPUTED_VALUE"""),9.29)</f>
        <v>9.29</v>
      </c>
      <c r="H39" s="320">
        <f>IFERROR(__xludf.DUMMYFUNCTION("""COMPUTED_VALUE"""),3.6169)</f>
        <v>3.6169</v>
      </c>
      <c r="I39" s="320">
        <f>IFERROR(__xludf.DUMMYFUNCTION("""COMPUTED_VALUE"""),32.39)</f>
        <v>32.39</v>
      </c>
      <c r="J39" s="320">
        <f>IFERROR(__xludf.DUMMYFUNCTION("""COMPUTED_VALUE"""),17.27)</f>
        <v>17.27</v>
      </c>
      <c r="K39" s="320">
        <f>IFERROR(__xludf.DUMMYFUNCTION("""COMPUTED_VALUE"""),5.82)</f>
        <v>5.82</v>
      </c>
      <c r="L39" s="320">
        <f>IFERROR(__xludf.DUMMYFUNCTION("""COMPUTED_VALUE"""),0.3367)</f>
        <v>0.3367</v>
      </c>
      <c r="M39" s="320">
        <f>IFERROR(__xludf.DUMMYFUNCTION("""COMPUTED_VALUE"""),0.7384)</f>
        <v>0.7384</v>
      </c>
      <c r="N39" s="320">
        <f>IFERROR(__xludf.DUMMYFUNCTION("""COMPUTED_VALUE"""),0.4856)</f>
        <v>0.4856</v>
      </c>
      <c r="O39" s="320">
        <f>IFERROR(__xludf.DUMMYFUNCTION("""COMPUTED_VALUE"""),2.9699)</f>
        <v>2.9699</v>
      </c>
      <c r="P39" s="320">
        <f>IFERROR(__xludf.DUMMYFUNCTION("""COMPUTED_VALUE"""),95.9)</f>
        <v>95.9</v>
      </c>
      <c r="Q39" s="320">
        <f>IFERROR(__xludf.DUMMYFUNCTION("""COMPUTED_VALUE"""),83.8)</f>
        <v>83.8</v>
      </c>
      <c r="R39" s="320">
        <f>IFERROR(__xludf.DUMMYFUNCTION("""COMPUTED_VALUE"""),12.09)</f>
        <v>12.09</v>
      </c>
      <c r="S39" s="320">
        <f>IFERROR(__xludf.DUMMYFUNCTION("""COMPUTED_VALUE"""),19.3)</f>
        <v>19.3</v>
      </c>
      <c r="T39" s="320">
        <f>IFERROR(__xludf.DUMMYFUNCTION("""COMPUTED_VALUE"""),76.6)</f>
        <v>76.6</v>
      </c>
      <c r="U39" s="320">
        <f>IFERROR(__xludf.DUMMYFUNCTION("""COMPUTED_VALUE"""),87.12)</f>
        <v>87.12</v>
      </c>
      <c r="V39" s="320">
        <f>IFERROR(__xludf.DUMMYFUNCTION("""COMPUTED_VALUE"""),5.0438)</f>
        <v>5.0438</v>
      </c>
      <c r="W39" s="320">
        <f>IFERROR(__xludf.DUMMYFUNCTION("""COMPUTED_VALUE"""),20.12)</f>
        <v>20.12</v>
      </c>
      <c r="X39" s="320">
        <f>IFERROR(__xludf.DUMMYFUNCTION("""COMPUTED_VALUE"""),93.0)</f>
        <v>93</v>
      </c>
      <c r="Y39" s="320">
        <f>IFERROR(__xludf.DUMMYFUNCTION("""COMPUTED_VALUE"""),232.0)</f>
        <v>232</v>
      </c>
      <c r="Z39" s="320">
        <f>IFERROR(__xludf.DUMMYFUNCTION("""COMPUTED_VALUE"""),915.0)</f>
        <v>915</v>
      </c>
      <c r="AA39" s="320">
        <f>IFERROR(__xludf.DUMMYFUNCTION("""COMPUTED_VALUE"""),49.1099)</f>
        <v>49.1099</v>
      </c>
      <c r="AB39" s="320">
        <f>IFERROR(__xludf.DUMMYFUNCTION("""COMPUTED_VALUE"""),0.4424)</f>
        <v>0.4424</v>
      </c>
      <c r="AC39" s="320">
        <f>IFERROR(__xludf.DUMMYFUNCTION("""COMPUTED_VALUE"""),4.03)</f>
        <v>4.03</v>
      </c>
      <c r="AD39" s="320">
        <f>IFERROR(__xludf.DUMMYFUNCTION("""COMPUTED_VALUE"""),1.0)</f>
        <v>1</v>
      </c>
      <c r="AE39" s="320">
        <f>IFERROR(__xludf.DUMMYFUNCTION("""COMPUTED_VALUE"""),2.0)</f>
        <v>2</v>
      </c>
      <c r="AF39" s="320">
        <f>IFERROR(__xludf.DUMMYFUNCTION("""COMPUTED_VALUE"""),5.0)</f>
        <v>5</v>
      </c>
      <c r="AG39" s="320">
        <f>IFERROR(__xludf.DUMMYFUNCTION("""COMPUTED_VALUE"""),9.0)</f>
        <v>9</v>
      </c>
      <c r="AH39" s="320">
        <f>IFERROR(__xludf.DUMMYFUNCTION("""COMPUTED_VALUE"""),70.39)</f>
        <v>70.39</v>
      </c>
      <c r="AI39" s="320">
        <f>IFERROR(__xludf.DUMMYFUNCTION("""COMPUTED_VALUE"""),29.89)</f>
        <v>29.89</v>
      </c>
      <c r="AJ39" s="320">
        <f>IFERROR(__xludf.DUMMYFUNCTION("""COMPUTED_VALUE"""),9.44)</f>
        <v>9.44</v>
      </c>
      <c r="AK39" s="320">
        <f>IFERROR(__xludf.DUMMYFUNCTION("""COMPUTED_VALUE"""),0.2252)</f>
        <v>0.2252</v>
      </c>
      <c r="AL39" s="320">
        <f>IFERROR(__xludf.DUMMYFUNCTION("""COMPUTED_VALUE"""),21.51)</f>
        <v>21.51</v>
      </c>
      <c r="AM39" s="320">
        <f>IFERROR(__xludf.DUMMYFUNCTION("""COMPUTED_VALUE"""),62.29)</f>
        <v>62.29</v>
      </c>
      <c r="AN39" s="320">
        <f>IFERROR(__xludf.DUMMYFUNCTION("""COMPUTED_VALUE"""),66.8)</f>
        <v>66.8</v>
      </c>
      <c r="AO39" s="320">
        <f>IFERROR(__xludf.DUMMYFUNCTION("""COMPUTED_VALUE"""),14.37)</f>
        <v>14.37</v>
      </c>
    </row>
    <row r="40" ht="15.75" customHeight="1">
      <c r="A40" s="330">
        <f>IFERROR(__xludf.DUMMYFUNCTION("""COMPUTED_VALUE"""),46056.0)</f>
        <v>46056</v>
      </c>
      <c r="B40" s="319" t="str">
        <f>IFERROR(__xludf.DUMMYFUNCTION("""COMPUTED_VALUE"""),"C. 10-19")</f>
        <v>C. 10-19</v>
      </c>
      <c r="C40" s="320">
        <f>IFERROR(__xludf.DUMMYFUNCTION("""COMPUTED_VALUE"""),19135.0)</f>
        <v>19135</v>
      </c>
      <c r="D40" s="320">
        <f>IFERROR(__xludf.DUMMYFUNCTION("""COMPUTED_VALUE"""),22.9)</f>
        <v>22.9</v>
      </c>
      <c r="E40" s="320">
        <f>IFERROR(__xludf.DUMMYFUNCTION("""COMPUTED_VALUE"""),25211.18)</f>
        <v>25211.18</v>
      </c>
      <c r="F40" s="320">
        <f>IFERROR(__xludf.DUMMYFUNCTION("""COMPUTED_VALUE"""),1.3175)</f>
        <v>1.3175</v>
      </c>
      <c r="G40" s="320">
        <f>IFERROR(__xludf.DUMMYFUNCTION("""COMPUTED_VALUE"""),25.92)</f>
        <v>25.92</v>
      </c>
      <c r="H40" s="320">
        <f>IFERROR(__xludf.DUMMYFUNCTION("""COMPUTED_VALUE"""),5.0829)</f>
        <v>5.0829</v>
      </c>
      <c r="I40" s="320">
        <f>IFERROR(__xludf.DUMMYFUNCTION("""COMPUTED_VALUE"""),61.6)</f>
        <v>61.6</v>
      </c>
      <c r="J40" s="320">
        <f>IFERROR(__xludf.DUMMYFUNCTION("""COMPUTED_VALUE"""),34.97)</f>
        <v>34.97</v>
      </c>
      <c r="K40" s="320">
        <f>IFERROR(__xludf.DUMMYFUNCTION("""COMPUTED_VALUE"""),16.15)</f>
        <v>16.15</v>
      </c>
      <c r="L40" s="320">
        <f>IFERROR(__xludf.DUMMYFUNCTION("""COMPUTED_VALUE"""),0.4618)</f>
        <v>0.4618</v>
      </c>
      <c r="M40" s="320">
        <f>IFERROR(__xludf.DUMMYFUNCTION("""COMPUTED_VALUE"""),0.6073)</f>
        <v>0.6073</v>
      </c>
      <c r="N40" s="320">
        <f>IFERROR(__xludf.DUMMYFUNCTION("""COMPUTED_VALUE"""),0.3399)</f>
        <v>0.3399</v>
      </c>
      <c r="O40" s="320">
        <f>IFERROR(__xludf.DUMMYFUNCTION("""COMPUTED_VALUE"""),2.1652)</f>
        <v>2.1652</v>
      </c>
      <c r="P40" s="320">
        <f>IFERROR(__xludf.DUMMYFUNCTION("""COMPUTED_VALUE"""),220.79)</f>
        <v>220.79</v>
      </c>
      <c r="Q40" s="320">
        <f>IFERROR(__xludf.DUMMYFUNCTION("""COMPUTED_VALUE"""),188.05)</f>
        <v>188.05</v>
      </c>
      <c r="R40" s="320">
        <f>IFERROR(__xludf.DUMMYFUNCTION("""COMPUTED_VALUE"""),32.75)</f>
        <v>32.75</v>
      </c>
      <c r="S40" s="320">
        <f>IFERROR(__xludf.DUMMYFUNCTION("""COMPUTED_VALUE"""),75.69)</f>
        <v>75.69</v>
      </c>
      <c r="T40" s="320">
        <f>IFERROR(__xludf.DUMMYFUNCTION("""COMPUTED_VALUE"""),145.11)</f>
        <v>145.11</v>
      </c>
      <c r="U40" s="320">
        <f>IFERROR(__xludf.DUMMYFUNCTION("""COMPUTED_VALUE"""),203.45)</f>
        <v>203.45</v>
      </c>
      <c r="V40" s="320">
        <f>IFERROR(__xludf.DUMMYFUNCTION("""COMPUTED_VALUE"""),5.8182)</f>
        <v>5.8182</v>
      </c>
      <c r="W40" s="320">
        <f>IFERROR(__xludf.DUMMYFUNCTION("""COMPUTED_VALUE"""),34.28)</f>
        <v>34.28</v>
      </c>
      <c r="X40" s="320">
        <f>IFERROR(__xludf.DUMMYFUNCTION("""COMPUTED_VALUE"""),91.0)</f>
        <v>91</v>
      </c>
      <c r="Y40" s="320">
        <f>IFERROR(__xludf.DUMMYFUNCTION("""COMPUTED_VALUE"""),233.0)</f>
        <v>233</v>
      </c>
      <c r="Z40" s="320">
        <f>IFERROR(__xludf.DUMMYFUNCTION("""COMPUTED_VALUE"""),777.0)</f>
        <v>777</v>
      </c>
      <c r="AA40" s="320">
        <f>IFERROR(__xludf.DUMMYFUNCTION("""COMPUTED_VALUE"""),52.1464)</f>
        <v>52.1464</v>
      </c>
      <c r="AB40" s="320">
        <f>IFERROR(__xludf.DUMMYFUNCTION("""COMPUTED_VALUE"""),0.5264)</f>
        <v>0.5264</v>
      </c>
      <c r="AC40" s="320">
        <f>IFERROR(__xludf.DUMMYFUNCTION("""COMPUTED_VALUE"""),10.29)</f>
        <v>10.29</v>
      </c>
      <c r="AD40" s="320">
        <f>IFERROR(__xludf.DUMMYFUNCTION("""COMPUTED_VALUE"""),3.0)</f>
        <v>3</v>
      </c>
      <c r="AE40" s="320">
        <f>IFERROR(__xludf.DUMMYFUNCTION("""COMPUTED_VALUE"""),8.0)</f>
        <v>8</v>
      </c>
      <c r="AF40" s="320">
        <f>IFERROR(__xludf.DUMMYFUNCTION("""COMPUTED_VALUE"""),14.0)</f>
        <v>14</v>
      </c>
      <c r="AG40" s="320">
        <f>IFERROR(__xludf.DUMMYFUNCTION("""COMPUTED_VALUE"""),22.0)</f>
        <v>22</v>
      </c>
      <c r="AH40" s="320">
        <f>IFERROR(__xludf.DUMMYFUNCTION("""COMPUTED_VALUE"""),61.56)</f>
        <v>61.56</v>
      </c>
      <c r="AI40" s="320">
        <f>IFERROR(__xludf.DUMMYFUNCTION("""COMPUTED_VALUE"""),30.31)</f>
        <v>30.31</v>
      </c>
      <c r="AJ40" s="320">
        <f>IFERROR(__xludf.DUMMYFUNCTION("""COMPUTED_VALUE"""),6.98)</f>
        <v>6.98</v>
      </c>
      <c r="AK40" s="320">
        <f>IFERROR(__xludf.DUMMYFUNCTION("""COMPUTED_VALUE"""),0.1819)</f>
        <v>0.1819</v>
      </c>
      <c r="AL40" s="320">
        <f>IFERROR(__xludf.DUMMYFUNCTION("""COMPUTED_VALUE"""),24.27)</f>
        <v>24.27</v>
      </c>
      <c r="AM40" s="320">
        <f>IFERROR(__xludf.DUMMYFUNCTION("""COMPUTED_VALUE"""),163.78)</f>
        <v>163.78</v>
      </c>
      <c r="AN40" s="320">
        <f>IFERROR(__xludf.DUMMYFUNCTION("""COMPUTED_VALUE"""),73.2)</f>
        <v>73.2</v>
      </c>
      <c r="AO40" s="320">
        <f>IFERROR(__xludf.DUMMYFUNCTION("""COMPUTED_VALUE"""),17.77)</f>
        <v>17.77</v>
      </c>
    </row>
    <row r="41" ht="15.75" customHeight="1">
      <c r="A41" s="330">
        <f>IFERROR(__xludf.DUMMYFUNCTION("""COMPUTED_VALUE"""),46056.0)</f>
        <v>46056</v>
      </c>
      <c r="B41" s="319" t="str">
        <f>IFERROR(__xludf.DUMMYFUNCTION("""COMPUTED_VALUE"""),"D. 20-39")</f>
        <v>D. 20-39</v>
      </c>
      <c r="C41" s="320">
        <f>IFERROR(__xludf.DUMMYFUNCTION("""COMPUTED_VALUE"""),10094.0)</f>
        <v>10094</v>
      </c>
      <c r="D41" s="320">
        <f>IFERROR(__xludf.DUMMYFUNCTION("""COMPUTED_VALUE"""),12.08)</f>
        <v>12.08</v>
      </c>
      <c r="E41" s="320">
        <f>IFERROR(__xludf.DUMMYFUNCTION("""COMPUTED_VALUE"""),27264.96)</f>
        <v>27264.96</v>
      </c>
      <c r="F41" s="320">
        <f>IFERROR(__xludf.DUMMYFUNCTION("""COMPUTED_VALUE"""),2.7011)</f>
        <v>2.7011</v>
      </c>
      <c r="G41" s="320">
        <f>IFERROR(__xludf.DUMMYFUNCTION("""COMPUTED_VALUE"""),37.13)</f>
        <v>37.13</v>
      </c>
      <c r="H41" s="320">
        <f>IFERROR(__xludf.DUMMYFUNCTION("""COMPUTED_VALUE"""),7.2745)</f>
        <v>7.2745</v>
      </c>
      <c r="I41" s="320">
        <f>IFERROR(__xludf.DUMMYFUNCTION("""COMPUTED_VALUE"""),91.97)</f>
        <v>91.97</v>
      </c>
      <c r="J41" s="320">
        <f>IFERROR(__xludf.DUMMYFUNCTION("""COMPUTED_VALUE"""),54.42)</f>
        <v>54.42</v>
      </c>
      <c r="K41" s="320">
        <f>IFERROR(__xludf.DUMMYFUNCTION("""COMPUTED_VALUE"""),31.27)</f>
        <v>31.27</v>
      </c>
      <c r="L41" s="320">
        <f>IFERROR(__xludf.DUMMYFUNCTION("""COMPUTED_VALUE"""),0.5746)</f>
        <v>0.5746</v>
      </c>
      <c r="M41" s="320">
        <f>IFERROR(__xludf.DUMMYFUNCTION("""COMPUTED_VALUE"""),0.5019)</f>
        <v>0.5019</v>
      </c>
      <c r="N41" s="320">
        <f>IFERROR(__xludf.DUMMYFUNCTION("""COMPUTED_VALUE"""),0.2722)</f>
        <v>0.2722</v>
      </c>
      <c r="O41" s="320">
        <f>IFERROR(__xludf.DUMMYFUNCTION("""COMPUTED_VALUE"""),1.7403)</f>
        <v>1.7403</v>
      </c>
      <c r="P41" s="320">
        <f>IFERROR(__xludf.DUMMYFUNCTION("""COMPUTED_VALUE"""),420.89)</f>
        <v>420.89</v>
      </c>
      <c r="Q41" s="320">
        <f>IFERROR(__xludf.DUMMYFUNCTION("""COMPUTED_VALUE"""),359.51)</f>
        <v>359.51</v>
      </c>
      <c r="R41" s="320">
        <f>IFERROR(__xludf.DUMMYFUNCTION("""COMPUTED_VALUE"""),61.38)</f>
        <v>61.38</v>
      </c>
      <c r="S41" s="320">
        <f>IFERROR(__xludf.DUMMYFUNCTION("""COMPUTED_VALUE"""),158.69)</f>
        <v>158.69</v>
      </c>
      <c r="T41" s="320">
        <f>IFERROR(__xludf.DUMMYFUNCTION("""COMPUTED_VALUE"""),262.2)</f>
        <v>262.2</v>
      </c>
      <c r="U41" s="320">
        <f>IFERROR(__xludf.DUMMYFUNCTION("""COMPUTED_VALUE"""),387.91)</f>
        <v>387.91</v>
      </c>
      <c r="V41" s="320">
        <f>IFERROR(__xludf.DUMMYFUNCTION("""COMPUTED_VALUE"""),7.1281)</f>
        <v>7.1281</v>
      </c>
      <c r="W41" s="320">
        <f>IFERROR(__xludf.DUMMYFUNCTION("""COMPUTED_VALUE"""),37.7)</f>
        <v>37.7</v>
      </c>
      <c r="X41" s="320">
        <f>IFERROR(__xludf.DUMMYFUNCTION("""COMPUTED_VALUE"""),99.0)</f>
        <v>99</v>
      </c>
      <c r="Y41" s="320">
        <f>IFERROR(__xludf.DUMMYFUNCTION("""COMPUTED_VALUE"""),291.0)</f>
        <v>291</v>
      </c>
      <c r="Z41" s="320">
        <f>IFERROR(__xludf.DUMMYFUNCTION("""COMPUTED_VALUE"""),884.0)</f>
        <v>884</v>
      </c>
      <c r="AA41" s="320">
        <f>IFERROR(__xludf.DUMMYFUNCTION("""COMPUTED_VALUE"""),54.3574)</f>
        <v>54.3574</v>
      </c>
      <c r="AB41" s="320">
        <f>IFERROR(__xludf.DUMMYFUNCTION("""COMPUTED_VALUE"""),0.6167)</f>
        <v>0.6167</v>
      </c>
      <c r="AC41" s="320">
        <f>IFERROR(__xludf.DUMMYFUNCTION("""COMPUTED_VALUE"""),19.07)</f>
        <v>19.07</v>
      </c>
      <c r="AD41" s="320">
        <f>IFERROR(__xludf.DUMMYFUNCTION("""COMPUTED_VALUE"""),7.0)</f>
        <v>7</v>
      </c>
      <c r="AE41" s="320">
        <f>IFERROR(__xludf.DUMMYFUNCTION("""COMPUTED_VALUE"""),15.0)</f>
        <v>15</v>
      </c>
      <c r="AF41" s="320">
        <f>IFERROR(__xludf.DUMMYFUNCTION("""COMPUTED_VALUE"""),27.0)</f>
        <v>27</v>
      </c>
      <c r="AG41" s="320">
        <f>IFERROR(__xludf.DUMMYFUNCTION("""COMPUTED_VALUE"""),40.0)</f>
        <v>40</v>
      </c>
      <c r="AH41" s="320">
        <f>IFERROR(__xludf.DUMMYFUNCTION("""COMPUTED_VALUE"""),61.04)</f>
        <v>61.04</v>
      </c>
      <c r="AI41" s="320">
        <f>IFERROR(__xludf.DUMMYFUNCTION("""COMPUTED_VALUE"""),27.14)</f>
        <v>27.14</v>
      </c>
      <c r="AJ41" s="320">
        <f>IFERROR(__xludf.DUMMYFUNCTION("""COMPUTED_VALUE"""),9.04)</f>
        <v>9.04</v>
      </c>
      <c r="AK41" s="320">
        <f>IFERROR(__xludf.DUMMYFUNCTION("""COMPUTED_VALUE"""),0.1798)</f>
        <v>0.1798</v>
      </c>
      <c r="AL41" s="320">
        <f>IFERROR(__xludf.DUMMYFUNCTION("""COMPUTED_VALUE"""),25.06)</f>
        <v>25.06</v>
      </c>
      <c r="AM41" s="320">
        <f>IFERROR(__xludf.DUMMYFUNCTION("""COMPUTED_VALUE"""),334.45)</f>
        <v>334.45</v>
      </c>
      <c r="AN41" s="320">
        <f>IFERROR(__xludf.DUMMYFUNCTION("""COMPUTED_VALUE"""),72.51)</f>
        <v>72.51</v>
      </c>
      <c r="AO41" s="320">
        <f>IFERROR(__xludf.DUMMYFUNCTION("""COMPUTED_VALUE"""),18.17)</f>
        <v>18.17</v>
      </c>
    </row>
    <row r="42" ht="15.75" customHeight="1">
      <c r="A42" s="330">
        <f>IFERROR(__xludf.DUMMYFUNCTION("""COMPUTED_VALUE"""),46056.0)</f>
        <v>46056</v>
      </c>
      <c r="B42" s="319" t="str">
        <f>IFERROR(__xludf.DUMMYFUNCTION("""COMPUTED_VALUE"""),"E. 40-99")</f>
        <v>E. 40-99</v>
      </c>
      <c r="C42" s="320">
        <f>IFERROR(__xludf.DUMMYFUNCTION("""COMPUTED_VALUE"""),3644.0)</f>
        <v>3644</v>
      </c>
      <c r="D42" s="320">
        <f>IFERROR(__xludf.DUMMYFUNCTION("""COMPUTED_VALUE"""),4.36)</f>
        <v>4.36</v>
      </c>
      <c r="E42" s="320">
        <f>IFERROR(__xludf.DUMMYFUNCTION("""COMPUTED_VALUE"""),18600.64)</f>
        <v>18600.64</v>
      </c>
      <c r="F42" s="320">
        <f>IFERROR(__xludf.DUMMYFUNCTION("""COMPUTED_VALUE"""),5.1045)</f>
        <v>5.1045</v>
      </c>
      <c r="G42" s="320">
        <f>IFERROR(__xludf.DUMMYFUNCTION("""COMPUTED_VALUE"""),43.19)</f>
        <v>43.19</v>
      </c>
      <c r="H42" s="320">
        <f>IFERROR(__xludf.DUMMYFUNCTION("""COMPUTED_VALUE"""),11.8174)</f>
        <v>11.8174</v>
      </c>
      <c r="I42" s="320">
        <f>IFERROR(__xludf.DUMMYFUNCTION("""COMPUTED_VALUE"""),137.59)</f>
        <v>137.59</v>
      </c>
      <c r="J42" s="320">
        <f>IFERROR(__xludf.DUMMYFUNCTION("""COMPUTED_VALUE"""),85.44)</f>
        <v>85.44</v>
      </c>
      <c r="K42" s="320">
        <f>IFERROR(__xludf.DUMMYFUNCTION("""COMPUTED_VALUE"""),59.44)</f>
        <v>59.44</v>
      </c>
      <c r="L42" s="320">
        <f>IFERROR(__xludf.DUMMYFUNCTION("""COMPUTED_VALUE"""),0.6957)</f>
        <v>0.6957</v>
      </c>
      <c r="M42" s="320">
        <f>IFERROR(__xludf.DUMMYFUNCTION("""COMPUTED_VALUE"""),0.3953)</f>
        <v>0.3953</v>
      </c>
      <c r="N42" s="320">
        <f>IFERROR(__xludf.DUMMYFUNCTION("""COMPUTED_VALUE"""),0.2248)</f>
        <v>0.2248</v>
      </c>
      <c r="O42" s="320">
        <f>IFERROR(__xludf.DUMMYFUNCTION("""COMPUTED_VALUE"""),1.4374)</f>
        <v>1.4374</v>
      </c>
      <c r="P42" s="320">
        <f>IFERROR(__xludf.DUMMYFUNCTION("""COMPUTED_VALUE"""),817.01)</f>
        <v>817.01</v>
      </c>
      <c r="Q42" s="320">
        <f>IFERROR(__xludf.DUMMYFUNCTION("""COMPUTED_VALUE"""),693.41)</f>
        <v>693.41</v>
      </c>
      <c r="R42" s="320">
        <f>IFERROR(__xludf.DUMMYFUNCTION("""COMPUTED_VALUE"""),123.59)</f>
        <v>123.59</v>
      </c>
      <c r="S42" s="320">
        <f>IFERROR(__xludf.DUMMYFUNCTION("""COMPUTED_VALUE"""),310.0)</f>
        <v>310</v>
      </c>
      <c r="T42" s="320">
        <f>IFERROR(__xludf.DUMMYFUNCTION("""COMPUTED_VALUE"""),507.01)</f>
        <v>507.01</v>
      </c>
      <c r="U42" s="320">
        <f>IFERROR(__xludf.DUMMYFUNCTION("""COMPUTED_VALUE"""),757.66)</f>
        <v>757.66</v>
      </c>
      <c r="V42" s="320">
        <f>IFERROR(__xludf.DUMMYFUNCTION("""COMPUTED_VALUE"""),8.868)</f>
        <v>8.868</v>
      </c>
      <c r="W42" s="320">
        <f>IFERROR(__xludf.DUMMYFUNCTION("""COMPUTED_VALUE"""),37.94)</f>
        <v>37.94</v>
      </c>
      <c r="X42" s="320">
        <f>IFERROR(__xludf.DUMMYFUNCTION("""COMPUTED_VALUE"""),137.0)</f>
        <v>137</v>
      </c>
      <c r="Y42" s="320">
        <f>IFERROR(__xludf.DUMMYFUNCTION("""COMPUTED_VALUE"""),488.0)</f>
        <v>488</v>
      </c>
      <c r="Z42" s="320">
        <f>IFERROR(__xludf.DUMMYFUNCTION("""COMPUTED_VALUE"""),1296.0)</f>
        <v>1296</v>
      </c>
      <c r="AA42" s="320">
        <f>IFERROR(__xludf.DUMMYFUNCTION("""COMPUTED_VALUE"""),57.6256)</f>
        <v>57.6256</v>
      </c>
      <c r="AB42" s="320">
        <f>IFERROR(__xludf.DUMMYFUNCTION("""COMPUTED_VALUE"""),0.7439)</f>
        <v>0.7439</v>
      </c>
      <c r="AC42" s="320">
        <f>IFERROR(__xludf.DUMMYFUNCTION("""COMPUTED_VALUE"""),39.34)</f>
        <v>39.34</v>
      </c>
      <c r="AD42" s="320">
        <f>IFERROR(__xludf.DUMMYFUNCTION("""COMPUTED_VALUE"""),15.0)</f>
        <v>15</v>
      </c>
      <c r="AE42" s="320">
        <f>IFERROR(__xludf.DUMMYFUNCTION("""COMPUTED_VALUE"""),31.0)</f>
        <v>31</v>
      </c>
      <c r="AF42" s="320">
        <f>IFERROR(__xludf.DUMMYFUNCTION("""COMPUTED_VALUE"""),54.0)</f>
        <v>54</v>
      </c>
      <c r="AG42" s="320">
        <f>IFERROR(__xludf.DUMMYFUNCTION("""COMPUTED_VALUE"""),82.0)</f>
        <v>82</v>
      </c>
      <c r="AH42" s="320">
        <f>IFERROR(__xludf.DUMMYFUNCTION("""COMPUTED_VALUE"""),54.64)</f>
        <v>54.64</v>
      </c>
      <c r="AI42" s="320">
        <f>IFERROR(__xludf.DUMMYFUNCTION("""COMPUTED_VALUE"""),21.62)</f>
        <v>21.62</v>
      </c>
      <c r="AJ42" s="320">
        <f>IFERROR(__xludf.DUMMYFUNCTION("""COMPUTED_VALUE"""),5.6)</f>
        <v>5.6</v>
      </c>
      <c r="AK42" s="320">
        <f>IFERROR(__xludf.DUMMYFUNCTION("""COMPUTED_VALUE"""),0.1608)</f>
        <v>0.1608</v>
      </c>
      <c r="AL42" s="320">
        <f>IFERROR(__xludf.DUMMYFUNCTION("""COMPUTED_VALUE"""),25.64)</f>
        <v>25.64</v>
      </c>
      <c r="AM42" s="320">
        <f>IFERROR(__xludf.DUMMYFUNCTION("""COMPUTED_VALUE"""),667.77)</f>
        <v>667.77</v>
      </c>
      <c r="AN42" s="320">
        <f>IFERROR(__xludf.DUMMYFUNCTION("""COMPUTED_VALUE"""),74.15)</f>
        <v>74.15</v>
      </c>
      <c r="AO42" s="320">
        <f>IFERROR(__xludf.DUMMYFUNCTION("""COMPUTED_VALUE"""),19.01)</f>
        <v>19.01</v>
      </c>
    </row>
    <row r="43" ht="15.75" customHeight="1">
      <c r="A43" s="330">
        <f>IFERROR(__xludf.DUMMYFUNCTION("""COMPUTED_VALUE"""),46056.0)</f>
        <v>46056</v>
      </c>
      <c r="B43" s="319" t="str">
        <f>IFERROR(__xludf.DUMMYFUNCTION("""COMPUTED_VALUE"""),"F. 100+")</f>
        <v>F. 100+</v>
      </c>
      <c r="C43" s="320">
        <f>IFERROR(__xludf.DUMMYFUNCTION("""COMPUTED_VALUE"""),428.0)</f>
        <v>428</v>
      </c>
      <c r="D43" s="320">
        <f>IFERROR(__xludf.DUMMYFUNCTION("""COMPUTED_VALUE"""),0.51)</f>
        <v>0.51</v>
      </c>
      <c r="E43" s="320">
        <f>IFERROR(__xludf.DUMMYFUNCTION("""COMPUTED_VALUE"""),3389.22)</f>
        <v>3389.22</v>
      </c>
      <c r="F43" s="320">
        <f>IFERROR(__xludf.DUMMYFUNCTION("""COMPUTED_VALUE"""),7.9187)</f>
        <v>7.9187</v>
      </c>
      <c r="G43" s="320">
        <f>IFERROR(__xludf.DUMMYFUNCTION("""COMPUTED_VALUE"""),46.03)</f>
        <v>46.03</v>
      </c>
      <c r="H43" s="320">
        <f>IFERROR(__xludf.DUMMYFUNCTION("""COMPUTED_VALUE"""),17.2042)</f>
        <v>17.2042</v>
      </c>
      <c r="I43" s="320">
        <f>IFERROR(__xludf.DUMMYFUNCTION("""COMPUTED_VALUE"""),251.45)</f>
        <v>251.45</v>
      </c>
      <c r="J43" s="320">
        <f>IFERROR(__xludf.DUMMYFUNCTION("""COMPUTED_VALUE"""),164.29)</f>
        <v>164.29</v>
      </c>
      <c r="K43" s="320">
        <f>IFERROR(__xludf.DUMMYFUNCTION("""COMPUTED_VALUE"""),138.11)</f>
        <v>138.11</v>
      </c>
      <c r="L43" s="320">
        <f>IFERROR(__xludf.DUMMYFUNCTION("""COMPUTED_VALUE"""),0.8407)</f>
        <v>0.8407</v>
      </c>
      <c r="M43" s="320">
        <f>IFERROR(__xludf.DUMMYFUNCTION("""COMPUTED_VALUE"""),0.2513)</f>
        <v>0.2513</v>
      </c>
      <c r="N43" s="320">
        <f>IFERROR(__xludf.DUMMYFUNCTION("""COMPUTED_VALUE"""),0.1609)</f>
        <v>0.1609</v>
      </c>
      <c r="O43" s="320">
        <f>IFERROR(__xludf.DUMMYFUNCTION("""COMPUTED_VALUE"""),1.1895)</f>
        <v>1.1895</v>
      </c>
      <c r="P43" s="320">
        <f>IFERROR(__xludf.DUMMYFUNCTION("""COMPUTED_VALUE"""),1536.69)</f>
        <v>1536.69</v>
      </c>
      <c r="Q43" s="320">
        <f>IFERROR(__xludf.DUMMYFUNCTION("""COMPUTED_VALUE"""),1244.68)</f>
        <v>1244.68</v>
      </c>
      <c r="R43" s="320">
        <f>IFERROR(__xludf.DUMMYFUNCTION("""COMPUTED_VALUE"""),292.01)</f>
        <v>292.01</v>
      </c>
      <c r="S43" s="320">
        <f>IFERROR(__xludf.DUMMYFUNCTION("""COMPUTED_VALUE"""),457.27)</f>
        <v>457.27</v>
      </c>
      <c r="T43" s="320">
        <f>IFERROR(__xludf.DUMMYFUNCTION("""COMPUTED_VALUE"""),1079.43)</f>
        <v>1079.43</v>
      </c>
      <c r="U43" s="320">
        <f>IFERROR(__xludf.DUMMYFUNCTION("""COMPUTED_VALUE"""),1414.37)</f>
        <v>1414.37</v>
      </c>
      <c r="V43" s="320">
        <f>IFERROR(__xludf.DUMMYFUNCTION("""COMPUTED_VALUE"""),8.6089)</f>
        <v>8.6089</v>
      </c>
      <c r="W43" s="320">
        <f>IFERROR(__xludf.DUMMYFUNCTION("""COMPUTED_VALUE"""),29.76)</f>
        <v>29.76</v>
      </c>
      <c r="X43" s="320">
        <f>IFERROR(__xludf.DUMMYFUNCTION("""COMPUTED_VALUE"""),212.0)</f>
        <v>212</v>
      </c>
      <c r="Y43" s="320">
        <f>IFERROR(__xludf.DUMMYFUNCTION("""COMPUTED_VALUE"""),844.0)</f>
        <v>844</v>
      </c>
      <c r="Z43" s="320">
        <f>IFERROR(__xludf.DUMMYFUNCTION("""COMPUTED_VALUE"""),2716.0)</f>
        <v>2716</v>
      </c>
      <c r="AA43" s="320">
        <f>IFERROR(__xludf.DUMMYFUNCTION("""COMPUTED_VALUE"""),62.4363)</f>
        <v>62.4363</v>
      </c>
      <c r="AB43" s="320">
        <f>IFERROR(__xludf.DUMMYFUNCTION("""COMPUTED_VALUE"""),0.8302)</f>
        <v>0.8302</v>
      </c>
      <c r="AC43" s="320">
        <f>IFERROR(__xludf.DUMMYFUNCTION("""COMPUTED_VALUE"""),95.31)</f>
        <v>95.31</v>
      </c>
      <c r="AD43" s="320">
        <f>IFERROR(__xludf.DUMMYFUNCTION("""COMPUTED_VALUE"""),41.0)</f>
        <v>41</v>
      </c>
      <c r="AE43" s="320">
        <f>IFERROR(__xludf.DUMMYFUNCTION("""COMPUTED_VALUE"""),88.0)</f>
        <v>88</v>
      </c>
      <c r="AF43" s="320">
        <f>IFERROR(__xludf.DUMMYFUNCTION("""COMPUTED_VALUE"""),129.0)</f>
        <v>129</v>
      </c>
      <c r="AG43" s="320">
        <f>IFERROR(__xludf.DUMMYFUNCTION("""COMPUTED_VALUE"""),177.0)</f>
        <v>177</v>
      </c>
      <c r="AH43" s="320">
        <f>IFERROR(__xludf.DUMMYFUNCTION("""COMPUTED_VALUE"""),55.14)</f>
        <v>55.14</v>
      </c>
      <c r="AI43" s="320">
        <f>IFERROR(__xludf.DUMMYFUNCTION("""COMPUTED_VALUE"""),10.51)</f>
        <v>10.51</v>
      </c>
      <c r="AJ43" s="320">
        <f>IFERROR(__xludf.DUMMYFUNCTION("""COMPUTED_VALUE"""),2.34)</f>
        <v>2.34</v>
      </c>
      <c r="AK43" s="320">
        <f>IFERROR(__xludf.DUMMYFUNCTION("""COMPUTED_VALUE"""),0.1542)</f>
        <v>0.1542</v>
      </c>
      <c r="AL43" s="320">
        <f>IFERROR(__xludf.DUMMYFUNCTION("""COMPUTED_VALUE"""),24.98)</f>
        <v>24.98</v>
      </c>
      <c r="AM43" s="320">
        <f>IFERROR(__xludf.DUMMYFUNCTION("""COMPUTED_VALUE"""),1219.71)</f>
        <v>1219.71</v>
      </c>
      <c r="AN43" s="320">
        <f>IFERROR(__xludf.DUMMYFUNCTION("""COMPUTED_VALUE"""),71.6)</f>
        <v>71.6</v>
      </c>
      <c r="AO43" s="320">
        <f>IFERROR(__xludf.DUMMYFUNCTION("""COMPUTED_VALUE"""),17.89)</f>
        <v>17.89</v>
      </c>
    </row>
    <row r="44" ht="15.75" customHeight="1">
      <c r="A44" s="330">
        <f>IFERROR(__xludf.DUMMYFUNCTION("""COMPUTED_VALUE"""),46057.0)</f>
        <v>46057</v>
      </c>
      <c r="B44" s="319" t="str">
        <f>IFERROR(__xludf.DUMMYFUNCTION("""COMPUTED_VALUE"""),"A. 0")</f>
        <v>A. 0</v>
      </c>
      <c r="C44" s="320">
        <f>IFERROR(__xludf.DUMMYFUNCTION("""COMPUTED_VALUE"""),16342.0)</f>
        <v>16342</v>
      </c>
      <c r="D44" s="320">
        <f>IFERROR(__xludf.DUMMYFUNCTION("""COMPUTED_VALUE"""),19.92)</f>
        <v>19.92</v>
      </c>
      <c r="E44" s="320">
        <f>IFERROR(__xludf.DUMMYFUNCTION("""COMPUTED_VALUE"""),277.85)</f>
        <v>277.85</v>
      </c>
      <c r="F44" s="320">
        <f>IFERROR(__xludf.DUMMYFUNCTION("""COMPUTED_VALUE"""),0.017)</f>
        <v>0.017</v>
      </c>
      <c r="G44" s="320">
        <f>IFERROR(__xludf.DUMMYFUNCTION("""COMPUTED_VALUE"""),0.59)</f>
        <v>0.59</v>
      </c>
      <c r="H44" s="320">
        <f>IFERROR(__xludf.DUMMYFUNCTION("""COMPUTED_VALUE"""),2.8644)</f>
        <v>2.8644</v>
      </c>
      <c r="I44" s="320">
        <f>IFERROR(__xludf.DUMMYFUNCTION("""COMPUTED_VALUE"""),6.46)</f>
        <v>6.46</v>
      </c>
      <c r="J44" s="320">
        <f>IFERROR(__xludf.DUMMYFUNCTION("""COMPUTED_VALUE"""),2.97)</f>
        <v>2.97</v>
      </c>
      <c r="K44" s="320">
        <f>IFERROR(__xludf.DUMMYFUNCTION("""COMPUTED_VALUE"""),0.05)</f>
        <v>0.05</v>
      </c>
      <c r="L44" s="320">
        <f>IFERROR(__xludf.DUMMYFUNCTION("""COMPUTED_VALUE"""),0.0178)</f>
        <v>0.0178</v>
      </c>
      <c r="M44" s="320">
        <f>IFERROR(__xludf.DUMMYFUNCTION("""COMPUTED_VALUE"""),0.9831)</f>
        <v>0.9831</v>
      </c>
      <c r="N44" s="320">
        <f>IFERROR(__xludf.DUMMYFUNCTION("""COMPUTED_VALUE"""),0.7746)</f>
        <v>0.7746</v>
      </c>
      <c r="O44" s="320">
        <f>IFERROR(__xludf.DUMMYFUNCTION("""COMPUTED_VALUE"""),56.2046)</f>
        <v>56.2046</v>
      </c>
      <c r="P44" s="320">
        <f>IFERROR(__xludf.DUMMYFUNCTION("""COMPUTED_VALUE"""),25.44)</f>
        <v>25.44</v>
      </c>
      <c r="Q44" s="320">
        <f>IFERROR(__xludf.DUMMYFUNCTION("""COMPUTED_VALUE"""),25.35)</f>
        <v>25.35</v>
      </c>
      <c r="R44" s="320">
        <f>IFERROR(__xludf.DUMMYFUNCTION("""COMPUTED_VALUE"""),0.09)</f>
        <v>0.09</v>
      </c>
      <c r="S44" s="320">
        <f>IFERROR(__xludf.DUMMYFUNCTION("""COMPUTED_VALUE"""),1.01)</f>
        <v>1.01</v>
      </c>
      <c r="T44" s="320">
        <f>IFERROR(__xludf.DUMMYFUNCTION("""COMPUTED_VALUE"""),24.43)</f>
        <v>24.43</v>
      </c>
      <c r="U44" s="320">
        <f>IFERROR(__xludf.DUMMYFUNCTION("""COMPUTED_VALUE"""),2.42)</f>
        <v>2.42</v>
      </c>
      <c r="V44" s="320">
        <f>IFERROR(__xludf.DUMMYFUNCTION("""COMPUTED_VALUE"""),0.8135)</f>
        <v>0.8135</v>
      </c>
      <c r="W44" s="320">
        <f>IFERROR(__xludf.DUMMYFUNCTION("""COMPUTED_VALUE"""),3.97)</f>
        <v>3.97</v>
      </c>
      <c r="X44" s="320">
        <f>IFERROR(__xludf.DUMMYFUNCTION("""COMPUTED_VALUE"""),147.0)</f>
        <v>147</v>
      </c>
      <c r="Y44" s="320">
        <f>IFERROR(__xludf.DUMMYFUNCTION("""COMPUTED_VALUE"""),973.0)</f>
        <v>973</v>
      </c>
      <c r="Z44" s="320">
        <f>IFERROR(__xludf.DUMMYFUNCTION("""COMPUTED_VALUE"""),6965.0)</f>
        <v>6965</v>
      </c>
      <c r="AA44" s="320">
        <f>IFERROR(__xludf.DUMMYFUNCTION("""COMPUTED_VALUE"""),49.6008)</f>
        <v>49.6008</v>
      </c>
      <c r="AB44" s="320">
        <f>IFERROR(__xludf.DUMMYFUNCTION("""COMPUTED_VALUE"""),0.5177)</f>
        <v>0.5177</v>
      </c>
      <c r="AC44" s="106"/>
      <c r="AD44" s="106"/>
      <c r="AE44" s="106"/>
      <c r="AF44" s="106"/>
      <c r="AG44" s="106"/>
      <c r="AH44" s="320">
        <f>IFERROR(__xludf.DUMMYFUNCTION("""COMPUTED_VALUE"""),0.0)</f>
        <v>0</v>
      </c>
      <c r="AI44" s="320">
        <f>IFERROR(__xludf.DUMMYFUNCTION("""COMPUTED_VALUE"""),0.0)</f>
        <v>0</v>
      </c>
      <c r="AJ44" s="320">
        <f>IFERROR(__xludf.DUMMYFUNCTION("""COMPUTED_VALUE"""),0.0)</f>
        <v>0</v>
      </c>
      <c r="AK44" s="320">
        <f>IFERROR(__xludf.DUMMYFUNCTION("""COMPUTED_VALUE"""),0.2777)</f>
        <v>0.2777</v>
      </c>
      <c r="AL44" s="320">
        <f>IFERROR(__xludf.DUMMYFUNCTION("""COMPUTED_VALUE"""),15.28)</f>
        <v>15.28</v>
      </c>
      <c r="AM44" s="320">
        <f>IFERROR(__xludf.DUMMYFUNCTION("""COMPUTED_VALUE"""),10.07)</f>
        <v>10.07</v>
      </c>
      <c r="AN44" s="331"/>
      <c r="AO44" s="331"/>
    </row>
    <row r="45" ht="15.75" customHeight="1">
      <c r="A45" s="330">
        <f>IFERROR(__xludf.DUMMYFUNCTION("""COMPUTED_VALUE"""),46057.0)</f>
        <v>46057</v>
      </c>
      <c r="B45" s="319" t="str">
        <f>IFERROR(__xludf.DUMMYFUNCTION("""COMPUTED_VALUE"""),"B. 1-9")</f>
        <v>B. 1-9</v>
      </c>
      <c r="C45" s="320">
        <f>IFERROR(__xludf.DUMMYFUNCTION("""COMPUTED_VALUE"""),33380.0)</f>
        <v>33380</v>
      </c>
      <c r="D45" s="320">
        <f>IFERROR(__xludf.DUMMYFUNCTION("""COMPUTED_VALUE"""),40.69)</f>
        <v>40.69</v>
      </c>
      <c r="E45" s="320">
        <f>IFERROR(__xludf.DUMMYFUNCTION("""COMPUTED_VALUE"""),9495.16)</f>
        <v>9495.16</v>
      </c>
      <c r="F45" s="320">
        <f>IFERROR(__xludf.DUMMYFUNCTION("""COMPUTED_VALUE"""),0.2845)</f>
        <v>0.2845</v>
      </c>
      <c r="G45" s="320">
        <f>IFERROR(__xludf.DUMMYFUNCTION("""COMPUTED_VALUE"""),7.7)</f>
        <v>7.7</v>
      </c>
      <c r="H45" s="320">
        <f>IFERROR(__xludf.DUMMYFUNCTION("""COMPUTED_VALUE"""),3.6961)</f>
        <v>3.6961</v>
      </c>
      <c r="I45" s="320">
        <f>IFERROR(__xludf.DUMMYFUNCTION("""COMPUTED_VALUE"""),33.43)</f>
        <v>33.43</v>
      </c>
      <c r="J45" s="320">
        <f>IFERROR(__xludf.DUMMYFUNCTION("""COMPUTED_VALUE"""),18.2)</f>
        <v>18.2</v>
      </c>
      <c r="K45" s="320">
        <f>IFERROR(__xludf.DUMMYFUNCTION("""COMPUTED_VALUE"""),5.5)</f>
        <v>5.5</v>
      </c>
      <c r="L45" s="320">
        <f>IFERROR(__xludf.DUMMYFUNCTION("""COMPUTED_VALUE"""),0.3024)</f>
        <v>0.3024</v>
      </c>
      <c r="M45" s="320">
        <f>IFERROR(__xludf.DUMMYFUNCTION("""COMPUTED_VALUE"""),0.7644)</f>
        <v>0.7644</v>
      </c>
      <c r="N45" s="320">
        <f>IFERROR(__xludf.DUMMYFUNCTION("""COMPUTED_VALUE"""),0.5046)</f>
        <v>0.5046</v>
      </c>
      <c r="O45" s="320">
        <f>IFERROR(__xludf.DUMMYFUNCTION("""COMPUTED_VALUE"""),3.3064)</f>
        <v>3.3064</v>
      </c>
      <c r="P45" s="320">
        <f>IFERROR(__xludf.DUMMYFUNCTION("""COMPUTED_VALUE"""),74.09)</f>
        <v>74.09</v>
      </c>
      <c r="Q45" s="320">
        <f>IFERROR(__xludf.DUMMYFUNCTION("""COMPUTED_VALUE"""),62.59)</f>
        <v>62.59</v>
      </c>
      <c r="R45" s="320">
        <f>IFERROR(__xludf.DUMMYFUNCTION("""COMPUTED_VALUE"""),11.5)</f>
        <v>11.5</v>
      </c>
      <c r="S45" s="320">
        <f>IFERROR(__xludf.DUMMYFUNCTION("""COMPUTED_VALUE"""),17.24)</f>
        <v>17.24</v>
      </c>
      <c r="T45" s="320">
        <f>IFERROR(__xludf.DUMMYFUNCTION("""COMPUTED_VALUE"""),56.85)</f>
        <v>56.85</v>
      </c>
      <c r="U45" s="320">
        <f>IFERROR(__xludf.DUMMYFUNCTION("""COMPUTED_VALUE"""),76.86)</f>
        <v>76.86</v>
      </c>
      <c r="V45" s="320">
        <f>IFERROR(__xludf.DUMMYFUNCTION("""COMPUTED_VALUE"""),4.224)</f>
        <v>4.224</v>
      </c>
      <c r="W45" s="320">
        <f>IFERROR(__xludf.DUMMYFUNCTION("""COMPUTED_VALUE"""),23.26)</f>
        <v>23.26</v>
      </c>
      <c r="X45" s="320">
        <f>IFERROR(__xludf.DUMMYFUNCTION("""COMPUTED_VALUE"""),89.0)</f>
        <v>89</v>
      </c>
      <c r="Y45" s="320">
        <f>IFERROR(__xludf.DUMMYFUNCTION("""COMPUTED_VALUE"""),218.0)</f>
        <v>218</v>
      </c>
      <c r="Z45" s="320">
        <f>IFERROR(__xludf.DUMMYFUNCTION("""COMPUTED_VALUE"""),872.0)</f>
        <v>872</v>
      </c>
      <c r="AA45" s="320">
        <f>IFERROR(__xludf.DUMMYFUNCTION("""COMPUTED_VALUE"""),49.1452)</f>
        <v>49.1452</v>
      </c>
      <c r="AB45" s="320">
        <f>IFERROR(__xludf.DUMMYFUNCTION("""COMPUTED_VALUE"""),0.4436)</f>
        <v>0.4436</v>
      </c>
      <c r="AC45" s="320">
        <f>IFERROR(__xludf.DUMMYFUNCTION("""COMPUTED_VALUE"""),3.72)</f>
        <v>3.72</v>
      </c>
      <c r="AD45" s="320">
        <f>IFERROR(__xludf.DUMMYFUNCTION("""COMPUTED_VALUE"""),1.0)</f>
        <v>1</v>
      </c>
      <c r="AE45" s="320">
        <f>IFERROR(__xludf.DUMMYFUNCTION("""COMPUTED_VALUE"""),2.0)</f>
        <v>2</v>
      </c>
      <c r="AF45" s="320">
        <f>IFERROR(__xludf.DUMMYFUNCTION("""COMPUTED_VALUE"""),5.0)</f>
        <v>5</v>
      </c>
      <c r="AG45" s="320">
        <f>IFERROR(__xludf.DUMMYFUNCTION("""COMPUTED_VALUE"""),8.0)</f>
        <v>8</v>
      </c>
      <c r="AH45" s="320">
        <f>IFERROR(__xludf.DUMMYFUNCTION("""COMPUTED_VALUE"""),67.94)</f>
        <v>67.94</v>
      </c>
      <c r="AI45" s="320">
        <f>IFERROR(__xludf.DUMMYFUNCTION("""COMPUTED_VALUE"""),26.81)</f>
        <v>26.81</v>
      </c>
      <c r="AJ45" s="320">
        <f>IFERROR(__xludf.DUMMYFUNCTION("""COMPUTED_VALUE"""),7.91)</f>
        <v>7.91</v>
      </c>
      <c r="AK45" s="320">
        <f>IFERROR(__xludf.DUMMYFUNCTION("""COMPUTED_VALUE"""),0.2215)</f>
        <v>0.2215</v>
      </c>
      <c r="AL45" s="320">
        <f>IFERROR(__xludf.DUMMYFUNCTION("""COMPUTED_VALUE"""),19.97)</f>
        <v>19.97</v>
      </c>
      <c r="AM45" s="320">
        <f>IFERROR(__xludf.DUMMYFUNCTION("""COMPUTED_VALUE"""),42.61)</f>
        <v>42.61</v>
      </c>
      <c r="AN45" s="320">
        <f>IFERROR(__xludf.DUMMYFUNCTION("""COMPUTED_VALUE"""),67.38)</f>
        <v>67.38</v>
      </c>
      <c r="AO45" s="320">
        <f>IFERROR(__xludf.DUMMYFUNCTION("""COMPUTED_VALUE"""),13.46)</f>
        <v>13.46</v>
      </c>
    </row>
    <row r="46" ht="15.75" customHeight="1">
      <c r="A46" s="330">
        <f>IFERROR(__xludf.DUMMYFUNCTION("""COMPUTED_VALUE"""),46057.0)</f>
        <v>46057</v>
      </c>
      <c r="B46" s="319" t="str">
        <f>IFERROR(__xludf.DUMMYFUNCTION("""COMPUTED_VALUE"""),"C. 10-19")</f>
        <v>C. 10-19</v>
      </c>
      <c r="C46" s="320">
        <f>IFERROR(__xludf.DUMMYFUNCTION("""COMPUTED_VALUE"""),18541.0)</f>
        <v>18541</v>
      </c>
      <c r="D46" s="320">
        <f>IFERROR(__xludf.DUMMYFUNCTION("""COMPUTED_VALUE"""),22.6)</f>
        <v>22.6</v>
      </c>
      <c r="E46" s="320">
        <f>IFERROR(__xludf.DUMMYFUNCTION("""COMPUTED_VALUE"""),20832.22)</f>
        <v>20832.22</v>
      </c>
      <c r="F46" s="320">
        <f>IFERROR(__xludf.DUMMYFUNCTION("""COMPUTED_VALUE"""),1.1236)</f>
        <v>1.1236</v>
      </c>
      <c r="G46" s="320">
        <f>IFERROR(__xludf.DUMMYFUNCTION("""COMPUTED_VALUE"""),22.23)</f>
        <v>22.23</v>
      </c>
      <c r="H46" s="320">
        <f>IFERROR(__xludf.DUMMYFUNCTION("""COMPUTED_VALUE"""),5.0551)</f>
        <v>5.0551</v>
      </c>
      <c r="I46" s="320">
        <f>IFERROR(__xludf.DUMMYFUNCTION("""COMPUTED_VALUE"""),62.7)</f>
        <v>62.7</v>
      </c>
      <c r="J46" s="320">
        <f>IFERROR(__xludf.DUMMYFUNCTION("""COMPUTED_VALUE"""),36.27)</f>
        <v>36.27</v>
      </c>
      <c r="K46" s="320">
        <f>IFERROR(__xludf.DUMMYFUNCTION("""COMPUTED_VALUE"""),15.09)</f>
        <v>15.09</v>
      </c>
      <c r="L46" s="320">
        <f>IFERROR(__xludf.DUMMYFUNCTION("""COMPUTED_VALUE"""),0.4161)</f>
        <v>0.4161</v>
      </c>
      <c r="M46" s="320">
        <f>IFERROR(__xludf.DUMMYFUNCTION("""COMPUTED_VALUE"""),0.6429)</f>
        <v>0.6429</v>
      </c>
      <c r="N46" s="320">
        <f>IFERROR(__xludf.DUMMYFUNCTION("""COMPUTED_VALUE"""),0.3556)</f>
        <v>0.3556</v>
      </c>
      <c r="O46" s="320">
        <f>IFERROR(__xludf.DUMMYFUNCTION("""COMPUTED_VALUE"""),2.4033)</f>
        <v>2.4033</v>
      </c>
      <c r="P46" s="320">
        <f>IFERROR(__xludf.DUMMYFUNCTION("""COMPUTED_VALUE"""),166.28)</f>
        <v>166.28</v>
      </c>
      <c r="Q46" s="320">
        <f>IFERROR(__xludf.DUMMYFUNCTION("""COMPUTED_VALUE"""),136.37)</f>
        <v>136.37</v>
      </c>
      <c r="R46" s="320">
        <f>IFERROR(__xludf.DUMMYFUNCTION("""COMPUTED_VALUE"""),29.9)</f>
        <v>29.9</v>
      </c>
      <c r="S46" s="320">
        <f>IFERROR(__xludf.DUMMYFUNCTION("""COMPUTED_VALUE"""),67.16)</f>
        <v>67.16</v>
      </c>
      <c r="T46" s="320">
        <f>IFERROR(__xludf.DUMMYFUNCTION("""COMPUTED_VALUE"""),99.11)</f>
        <v>99.11</v>
      </c>
      <c r="U46" s="320">
        <f>IFERROR(__xludf.DUMMYFUNCTION("""COMPUTED_VALUE"""),174.36)</f>
        <v>174.36</v>
      </c>
      <c r="V46" s="320">
        <f>IFERROR(__xludf.DUMMYFUNCTION("""COMPUTED_VALUE"""),4.8065)</f>
        <v>4.8065</v>
      </c>
      <c r="W46" s="320">
        <f>IFERROR(__xludf.DUMMYFUNCTION("""COMPUTED_VALUE"""),40.39)</f>
        <v>40.39</v>
      </c>
      <c r="X46" s="320">
        <f>IFERROR(__xludf.DUMMYFUNCTION("""COMPUTED_VALUE"""),86.0)</f>
        <v>86</v>
      </c>
      <c r="Y46" s="320">
        <f>IFERROR(__xludf.DUMMYFUNCTION("""COMPUTED_VALUE"""),204.0)</f>
        <v>204</v>
      </c>
      <c r="Z46" s="320">
        <f>IFERROR(__xludf.DUMMYFUNCTION("""COMPUTED_VALUE"""),718.0)</f>
        <v>718</v>
      </c>
      <c r="AA46" s="320">
        <f>IFERROR(__xludf.DUMMYFUNCTION("""COMPUTED_VALUE"""),52.2589)</f>
        <v>52.2589</v>
      </c>
      <c r="AB46" s="320">
        <f>IFERROR(__xludf.DUMMYFUNCTION("""COMPUTED_VALUE"""),0.5362)</f>
        <v>0.5362</v>
      </c>
      <c r="AC46" s="320">
        <f>IFERROR(__xludf.DUMMYFUNCTION("""COMPUTED_VALUE"""),9.13)</f>
        <v>9.13</v>
      </c>
      <c r="AD46" s="320">
        <f>IFERROR(__xludf.DUMMYFUNCTION("""COMPUTED_VALUE"""),3.0)</f>
        <v>3</v>
      </c>
      <c r="AE46" s="320">
        <f>IFERROR(__xludf.DUMMYFUNCTION("""COMPUTED_VALUE"""),6.0)</f>
        <v>6</v>
      </c>
      <c r="AF46" s="320">
        <f>IFERROR(__xludf.DUMMYFUNCTION("""COMPUTED_VALUE"""),13.0)</f>
        <v>13</v>
      </c>
      <c r="AG46" s="320">
        <f>IFERROR(__xludf.DUMMYFUNCTION("""COMPUTED_VALUE"""),20.0)</f>
        <v>20</v>
      </c>
      <c r="AH46" s="320">
        <f>IFERROR(__xludf.DUMMYFUNCTION("""COMPUTED_VALUE"""),55.61)</f>
        <v>55.61</v>
      </c>
      <c r="AI46" s="320">
        <f>IFERROR(__xludf.DUMMYFUNCTION("""COMPUTED_VALUE"""),25.33)</f>
        <v>25.33</v>
      </c>
      <c r="AJ46" s="320">
        <f>IFERROR(__xludf.DUMMYFUNCTION("""COMPUTED_VALUE"""),5.52)</f>
        <v>5.52</v>
      </c>
      <c r="AK46" s="320">
        <f>IFERROR(__xludf.DUMMYFUNCTION("""COMPUTED_VALUE"""),0.1824)</f>
        <v>0.1824</v>
      </c>
      <c r="AL46" s="320">
        <f>IFERROR(__xludf.DUMMYFUNCTION("""COMPUTED_VALUE"""),21.09)</f>
        <v>21.09</v>
      </c>
      <c r="AM46" s="320">
        <f>IFERROR(__xludf.DUMMYFUNCTION("""COMPUTED_VALUE"""),115.29)</f>
        <v>115.29</v>
      </c>
      <c r="AN46" s="320">
        <f>IFERROR(__xludf.DUMMYFUNCTION("""COMPUTED_VALUE"""),74.13)</f>
        <v>74.13</v>
      </c>
      <c r="AO46" s="320">
        <f>IFERROR(__xludf.DUMMYFUNCTION("""COMPUTED_VALUE"""),15.63)</f>
        <v>15.63</v>
      </c>
    </row>
    <row r="47" ht="15.75" customHeight="1">
      <c r="A47" s="330">
        <f>IFERROR(__xludf.DUMMYFUNCTION("""COMPUTED_VALUE"""),46057.0)</f>
        <v>46057</v>
      </c>
      <c r="B47" s="319" t="str">
        <f>IFERROR(__xludf.DUMMYFUNCTION("""COMPUTED_VALUE"""),"D. 20-39")</f>
        <v>D. 20-39</v>
      </c>
      <c r="C47" s="320">
        <f>IFERROR(__xludf.DUMMYFUNCTION("""COMPUTED_VALUE"""),9611.0)</f>
        <v>9611</v>
      </c>
      <c r="D47" s="320">
        <f>IFERROR(__xludf.DUMMYFUNCTION("""COMPUTED_VALUE"""),11.72)</f>
        <v>11.72</v>
      </c>
      <c r="E47" s="320">
        <f>IFERROR(__xludf.DUMMYFUNCTION("""COMPUTED_VALUE"""),23046.03)</f>
        <v>23046.03</v>
      </c>
      <c r="F47" s="320">
        <f>IFERROR(__xludf.DUMMYFUNCTION("""COMPUTED_VALUE"""),2.3979)</f>
        <v>2.3979</v>
      </c>
      <c r="G47" s="320">
        <f>IFERROR(__xludf.DUMMYFUNCTION("""COMPUTED_VALUE"""),31.92)</f>
        <v>31.92</v>
      </c>
      <c r="H47" s="320">
        <f>IFERROR(__xludf.DUMMYFUNCTION("""COMPUTED_VALUE"""),7.5117)</f>
        <v>7.5117</v>
      </c>
      <c r="I47" s="320">
        <f>IFERROR(__xludf.DUMMYFUNCTION("""COMPUTED_VALUE"""),85.88)</f>
        <v>85.88</v>
      </c>
      <c r="J47" s="320">
        <f>IFERROR(__xludf.DUMMYFUNCTION("""COMPUTED_VALUE"""),51.13)</f>
        <v>51.13</v>
      </c>
      <c r="K47" s="320">
        <f>IFERROR(__xludf.DUMMYFUNCTION("""COMPUTED_VALUE"""),26.8)</f>
        <v>26.8</v>
      </c>
      <c r="L47" s="320">
        <f>IFERROR(__xludf.DUMMYFUNCTION("""COMPUTED_VALUE"""),0.5241)</f>
        <v>0.5241</v>
      </c>
      <c r="M47" s="320">
        <f>IFERROR(__xludf.DUMMYFUNCTION("""COMPUTED_VALUE"""),0.5447)</f>
        <v>0.5447</v>
      </c>
      <c r="N47" s="320">
        <f>IFERROR(__xludf.DUMMYFUNCTION("""COMPUTED_VALUE"""),0.2956)</f>
        <v>0.2956</v>
      </c>
      <c r="O47" s="320">
        <f>IFERROR(__xludf.DUMMYFUNCTION("""COMPUTED_VALUE"""),1.908)</f>
        <v>1.908</v>
      </c>
      <c r="P47" s="320">
        <f>IFERROR(__xludf.DUMMYFUNCTION("""COMPUTED_VALUE"""),297.71)</f>
        <v>297.71</v>
      </c>
      <c r="Q47" s="320">
        <f>IFERROR(__xludf.DUMMYFUNCTION("""COMPUTED_VALUE"""),241.83)</f>
        <v>241.83</v>
      </c>
      <c r="R47" s="320">
        <f>IFERROR(__xludf.DUMMYFUNCTION("""COMPUTED_VALUE"""),55.88)</f>
        <v>55.88</v>
      </c>
      <c r="S47" s="320">
        <f>IFERROR(__xludf.DUMMYFUNCTION("""COMPUTED_VALUE"""),144.19)</f>
        <v>144.19</v>
      </c>
      <c r="T47" s="320">
        <f>IFERROR(__xludf.DUMMYFUNCTION("""COMPUTED_VALUE"""),153.52)</f>
        <v>153.52</v>
      </c>
      <c r="U47" s="320">
        <f>IFERROR(__xludf.DUMMYFUNCTION("""COMPUTED_VALUE"""),320.51)</f>
        <v>320.51</v>
      </c>
      <c r="V47" s="320">
        <f>IFERROR(__xludf.DUMMYFUNCTION("""COMPUTED_VALUE"""),6.2685)</f>
        <v>6.2685</v>
      </c>
      <c r="W47" s="320">
        <f>IFERROR(__xludf.DUMMYFUNCTION("""COMPUTED_VALUE"""),48.43)</f>
        <v>48.43</v>
      </c>
      <c r="X47" s="320">
        <f>IFERROR(__xludf.DUMMYFUNCTION("""COMPUTED_VALUE"""),89.0)</f>
        <v>89</v>
      </c>
      <c r="Y47" s="320">
        <f>IFERROR(__xludf.DUMMYFUNCTION("""COMPUTED_VALUE"""),229.0)</f>
        <v>229</v>
      </c>
      <c r="Z47" s="320">
        <f>IFERROR(__xludf.DUMMYFUNCTION("""COMPUTED_VALUE"""),793.0)</f>
        <v>793</v>
      </c>
      <c r="AA47" s="320">
        <f>IFERROR(__xludf.DUMMYFUNCTION("""COMPUTED_VALUE"""),54.3484)</f>
        <v>54.3484</v>
      </c>
      <c r="AB47" s="320">
        <f>IFERROR(__xludf.DUMMYFUNCTION("""COMPUTED_VALUE"""),0.6608)</f>
        <v>0.6608</v>
      </c>
      <c r="AC47" s="320">
        <f>IFERROR(__xludf.DUMMYFUNCTION("""COMPUTED_VALUE"""),17.28)</f>
        <v>17.28</v>
      </c>
      <c r="AD47" s="320">
        <f>IFERROR(__xludf.DUMMYFUNCTION("""COMPUTED_VALUE"""),6.0)</f>
        <v>6</v>
      </c>
      <c r="AE47" s="320">
        <f>IFERROR(__xludf.DUMMYFUNCTION("""COMPUTED_VALUE"""),12.0)</f>
        <v>12</v>
      </c>
      <c r="AF47" s="320">
        <f>IFERROR(__xludf.DUMMYFUNCTION("""COMPUTED_VALUE"""),24.0)</f>
        <v>24</v>
      </c>
      <c r="AG47" s="320">
        <f>IFERROR(__xludf.DUMMYFUNCTION("""COMPUTED_VALUE"""),38.0)</f>
        <v>38</v>
      </c>
      <c r="AH47" s="320">
        <f>IFERROR(__xludf.DUMMYFUNCTION("""COMPUTED_VALUE"""),54.84)</f>
        <v>54.84</v>
      </c>
      <c r="AI47" s="320">
        <f>IFERROR(__xludf.DUMMYFUNCTION("""COMPUTED_VALUE"""),23.43)</f>
        <v>23.43</v>
      </c>
      <c r="AJ47" s="320">
        <f>IFERROR(__xludf.DUMMYFUNCTION("""COMPUTED_VALUE"""),7.62)</f>
        <v>7.62</v>
      </c>
      <c r="AK47" s="320">
        <f>IFERROR(__xludf.DUMMYFUNCTION("""COMPUTED_VALUE"""),0.1871)</f>
        <v>0.1871</v>
      </c>
      <c r="AL47" s="320">
        <f>IFERROR(__xludf.DUMMYFUNCTION("""COMPUTED_VALUE"""),21.52)</f>
        <v>21.52</v>
      </c>
      <c r="AM47" s="320">
        <f>IFERROR(__xludf.DUMMYFUNCTION("""COMPUTED_VALUE"""),220.31)</f>
        <v>220.31</v>
      </c>
      <c r="AN47" s="320">
        <f>IFERROR(__xludf.DUMMYFUNCTION("""COMPUTED_VALUE"""),74.9)</f>
        <v>74.9</v>
      </c>
      <c r="AO47" s="320">
        <f>IFERROR(__xludf.DUMMYFUNCTION("""COMPUTED_VALUE"""),16.12)</f>
        <v>16.12</v>
      </c>
    </row>
    <row r="48" ht="15.75" customHeight="1">
      <c r="A48" s="330">
        <f>IFERROR(__xludf.DUMMYFUNCTION("""COMPUTED_VALUE"""),46057.0)</f>
        <v>46057</v>
      </c>
      <c r="B48" s="319" t="str">
        <f>IFERROR(__xludf.DUMMYFUNCTION("""COMPUTED_VALUE"""),"E. 40-99")</f>
        <v>E. 40-99</v>
      </c>
      <c r="C48" s="320">
        <f>IFERROR(__xludf.DUMMYFUNCTION("""COMPUTED_VALUE"""),3739.0)</f>
        <v>3739</v>
      </c>
      <c r="D48" s="320">
        <f>IFERROR(__xludf.DUMMYFUNCTION("""COMPUTED_VALUE"""),4.56)</f>
        <v>4.56</v>
      </c>
      <c r="E48" s="320">
        <f>IFERROR(__xludf.DUMMYFUNCTION("""COMPUTED_VALUE"""),20090.0)</f>
        <v>20090</v>
      </c>
      <c r="F48" s="320">
        <f>IFERROR(__xludf.DUMMYFUNCTION("""COMPUTED_VALUE"""),5.3731)</f>
        <v>5.3731</v>
      </c>
      <c r="G48" s="320">
        <f>IFERROR(__xludf.DUMMYFUNCTION("""COMPUTED_VALUE"""),42.12)</f>
        <v>42.12</v>
      </c>
      <c r="H48" s="320">
        <f>IFERROR(__xludf.DUMMYFUNCTION("""COMPUTED_VALUE"""),12.7556)</f>
        <v>12.7556</v>
      </c>
      <c r="I48" s="320">
        <f>IFERROR(__xludf.DUMMYFUNCTION("""COMPUTED_VALUE"""),132.48)</f>
        <v>132.48</v>
      </c>
      <c r="J48" s="320">
        <f>IFERROR(__xludf.DUMMYFUNCTION("""COMPUTED_VALUE"""),82.36)</f>
        <v>82.36</v>
      </c>
      <c r="K48" s="320">
        <f>IFERROR(__xludf.DUMMYFUNCTION("""COMPUTED_VALUE"""),54.9)</f>
        <v>54.9</v>
      </c>
      <c r="L48" s="320">
        <f>IFERROR(__xludf.DUMMYFUNCTION("""COMPUTED_VALUE"""),0.6666)</f>
        <v>0.6666</v>
      </c>
      <c r="M48" s="320">
        <f>IFERROR(__xludf.DUMMYFUNCTION("""COMPUTED_VALUE"""),0.4174)</f>
        <v>0.4174</v>
      </c>
      <c r="N48" s="320">
        <f>IFERROR(__xludf.DUMMYFUNCTION("""COMPUTED_VALUE"""),0.2318)</f>
        <v>0.2318</v>
      </c>
      <c r="O48" s="320">
        <f>IFERROR(__xludf.DUMMYFUNCTION("""COMPUTED_VALUE"""),1.5001)</f>
        <v>1.5001</v>
      </c>
      <c r="P48" s="320">
        <f>IFERROR(__xludf.DUMMYFUNCTION("""COMPUTED_VALUE"""),609.04)</f>
        <v>609.04</v>
      </c>
      <c r="Q48" s="320">
        <f>IFERROR(__xludf.DUMMYFUNCTION("""COMPUTED_VALUE"""),494.1)</f>
        <v>494.1</v>
      </c>
      <c r="R48" s="320">
        <f>IFERROR(__xludf.DUMMYFUNCTION("""COMPUTED_VALUE"""),114.94)</f>
        <v>114.94</v>
      </c>
      <c r="S48" s="320">
        <f>IFERROR(__xludf.DUMMYFUNCTION("""COMPUTED_VALUE"""),326.51)</f>
        <v>326.51</v>
      </c>
      <c r="T48" s="320">
        <f>IFERROR(__xludf.DUMMYFUNCTION("""COMPUTED_VALUE"""),282.52)</f>
        <v>282.52</v>
      </c>
      <c r="U48" s="320">
        <f>IFERROR(__xludf.DUMMYFUNCTION("""COMPUTED_VALUE"""),661.14)</f>
        <v>661.14</v>
      </c>
      <c r="V48" s="320">
        <f>IFERROR(__xludf.DUMMYFUNCTION("""COMPUTED_VALUE"""),8.0278)</f>
        <v>8.0278</v>
      </c>
      <c r="W48" s="320">
        <f>IFERROR(__xludf.DUMMYFUNCTION("""COMPUTED_VALUE"""),53.61)</f>
        <v>53.61</v>
      </c>
      <c r="X48" s="320">
        <f>IFERROR(__xludf.DUMMYFUNCTION("""COMPUTED_VALUE"""),106.0)</f>
        <v>106</v>
      </c>
      <c r="Y48" s="320">
        <f>IFERROR(__xludf.DUMMYFUNCTION("""COMPUTED_VALUE"""),379.0)</f>
        <v>379</v>
      </c>
      <c r="Z48" s="320">
        <f>IFERROR(__xludf.DUMMYFUNCTION("""COMPUTED_VALUE"""),1134.0)</f>
        <v>1134</v>
      </c>
      <c r="AA48" s="320">
        <f>IFERROR(__xludf.DUMMYFUNCTION("""COMPUTED_VALUE"""),57.6417)</f>
        <v>57.6417</v>
      </c>
      <c r="AB48" s="320">
        <f>IFERROR(__xludf.DUMMYFUNCTION("""COMPUTED_VALUE"""),0.7756)</f>
        <v>0.7756</v>
      </c>
      <c r="AC48" s="320">
        <f>IFERROR(__xludf.DUMMYFUNCTION("""COMPUTED_VALUE"""),36.95)</f>
        <v>36.95</v>
      </c>
      <c r="AD48" s="320">
        <f>IFERROR(__xludf.DUMMYFUNCTION("""COMPUTED_VALUE"""),12.0)</f>
        <v>12</v>
      </c>
      <c r="AE48" s="320">
        <f>IFERROR(__xludf.DUMMYFUNCTION("""COMPUTED_VALUE"""),28.0)</f>
        <v>28</v>
      </c>
      <c r="AF48" s="320">
        <f>IFERROR(__xludf.DUMMYFUNCTION("""COMPUTED_VALUE"""),52.0)</f>
        <v>52</v>
      </c>
      <c r="AG48" s="320">
        <f>IFERROR(__xludf.DUMMYFUNCTION("""COMPUTED_VALUE"""),82.0)</f>
        <v>82</v>
      </c>
      <c r="AH48" s="320">
        <f>IFERROR(__xludf.DUMMYFUNCTION("""COMPUTED_VALUE"""),50.41)</f>
        <v>50.41</v>
      </c>
      <c r="AI48" s="320">
        <f>IFERROR(__xludf.DUMMYFUNCTION("""COMPUTED_VALUE"""),19.68)</f>
        <v>19.68</v>
      </c>
      <c r="AJ48" s="320">
        <f>IFERROR(__xludf.DUMMYFUNCTION("""COMPUTED_VALUE"""),5.7)</f>
        <v>5.7</v>
      </c>
      <c r="AK48" s="320">
        <f>IFERROR(__xludf.DUMMYFUNCTION("""COMPUTED_VALUE"""),0.1765)</f>
        <v>0.1765</v>
      </c>
      <c r="AL48" s="320">
        <f>IFERROR(__xludf.DUMMYFUNCTION("""COMPUTED_VALUE"""),20.53)</f>
        <v>20.53</v>
      </c>
      <c r="AM48" s="320">
        <f>IFERROR(__xludf.DUMMYFUNCTION("""COMPUTED_VALUE"""),473.57)</f>
        <v>473.57</v>
      </c>
      <c r="AN48" s="320">
        <f>IFERROR(__xludf.DUMMYFUNCTION("""COMPUTED_VALUE"""),74.89)</f>
        <v>74.89</v>
      </c>
      <c r="AO48" s="320">
        <f>IFERROR(__xludf.DUMMYFUNCTION("""COMPUTED_VALUE"""),15.37)</f>
        <v>15.37</v>
      </c>
    </row>
    <row r="49" ht="15.75" customHeight="1">
      <c r="A49" s="330">
        <f>IFERROR(__xludf.DUMMYFUNCTION("""COMPUTED_VALUE"""),46057.0)</f>
        <v>46057</v>
      </c>
      <c r="B49" s="319" t="str">
        <f>IFERROR(__xludf.DUMMYFUNCTION("""COMPUTED_VALUE"""),"F. 100+")</f>
        <v>F. 100+</v>
      </c>
      <c r="C49" s="320">
        <f>IFERROR(__xludf.DUMMYFUNCTION("""COMPUTED_VALUE"""),427.0)</f>
        <v>427</v>
      </c>
      <c r="D49" s="320">
        <f>IFERROR(__xludf.DUMMYFUNCTION("""COMPUTED_VALUE"""),0.52)</f>
        <v>0.52</v>
      </c>
      <c r="E49" s="320">
        <f>IFERROR(__xludf.DUMMYFUNCTION("""COMPUTED_VALUE"""),3656.28)</f>
        <v>3656.28</v>
      </c>
      <c r="F49" s="320">
        <f>IFERROR(__xludf.DUMMYFUNCTION("""COMPUTED_VALUE"""),8.5627)</f>
        <v>8.5627</v>
      </c>
      <c r="G49" s="320">
        <f>IFERROR(__xludf.DUMMYFUNCTION("""COMPUTED_VALUE"""),47.54)</f>
        <v>47.54</v>
      </c>
      <c r="H49" s="320">
        <f>IFERROR(__xludf.DUMMYFUNCTION("""COMPUTED_VALUE"""),18.0112)</f>
        <v>18.0112</v>
      </c>
      <c r="I49" s="320">
        <f>IFERROR(__xludf.DUMMYFUNCTION("""COMPUTED_VALUE"""),252.99)</f>
        <v>252.99</v>
      </c>
      <c r="J49" s="320">
        <f>IFERROR(__xludf.DUMMYFUNCTION("""COMPUTED_VALUE"""),164.22)</f>
        <v>164.22</v>
      </c>
      <c r="K49" s="320">
        <f>IFERROR(__xludf.DUMMYFUNCTION("""COMPUTED_VALUE"""),132.32)</f>
        <v>132.32</v>
      </c>
      <c r="L49" s="320">
        <f>IFERROR(__xludf.DUMMYFUNCTION("""COMPUTED_VALUE"""),0.8057)</f>
        <v>0.8057</v>
      </c>
      <c r="M49" s="320">
        <f>IFERROR(__xludf.DUMMYFUNCTION("""COMPUTED_VALUE"""),0.2795)</f>
        <v>0.2795</v>
      </c>
      <c r="N49" s="320">
        <f>IFERROR(__xludf.DUMMYFUNCTION("""COMPUTED_VALUE"""),0.1727)</f>
        <v>0.1727</v>
      </c>
      <c r="O49" s="320">
        <f>IFERROR(__xludf.DUMMYFUNCTION("""COMPUTED_VALUE"""),1.2411)</f>
        <v>1.2411</v>
      </c>
      <c r="P49" s="320">
        <f>IFERROR(__xludf.DUMMYFUNCTION("""COMPUTED_VALUE"""),1143.08)</f>
        <v>1143.08</v>
      </c>
      <c r="Q49" s="320">
        <f>IFERROR(__xludf.DUMMYFUNCTION("""COMPUTED_VALUE"""),864.78)</f>
        <v>864.78</v>
      </c>
      <c r="R49" s="320">
        <f>IFERROR(__xludf.DUMMYFUNCTION("""COMPUTED_VALUE"""),278.3)</f>
        <v>278.3</v>
      </c>
      <c r="S49" s="320">
        <f>IFERROR(__xludf.DUMMYFUNCTION("""COMPUTED_VALUE"""),543.33)</f>
        <v>543.33</v>
      </c>
      <c r="T49" s="320">
        <f>IFERROR(__xludf.DUMMYFUNCTION("""COMPUTED_VALUE"""),599.75)</f>
        <v>599.75</v>
      </c>
      <c r="U49" s="320">
        <f>IFERROR(__xludf.DUMMYFUNCTION("""COMPUTED_VALUE"""),1288.17)</f>
        <v>1288.17</v>
      </c>
      <c r="V49" s="320">
        <f>IFERROR(__xludf.DUMMYFUNCTION("""COMPUTED_VALUE"""),7.844)</f>
        <v>7.844</v>
      </c>
      <c r="W49" s="320">
        <f>IFERROR(__xludf.DUMMYFUNCTION("""COMPUTED_VALUE"""),47.53)</f>
        <v>47.53</v>
      </c>
      <c r="X49" s="320">
        <f>IFERROR(__xludf.DUMMYFUNCTION("""COMPUTED_VALUE"""),145.0)</f>
        <v>145</v>
      </c>
      <c r="Y49" s="320">
        <f>IFERROR(__xludf.DUMMYFUNCTION("""COMPUTED_VALUE"""),653.0)</f>
        <v>653</v>
      </c>
      <c r="Z49" s="320">
        <f>IFERROR(__xludf.DUMMYFUNCTION("""COMPUTED_VALUE"""),2525.0)</f>
        <v>2525</v>
      </c>
      <c r="AA49" s="320">
        <f>IFERROR(__xludf.DUMMYFUNCTION("""COMPUTED_VALUE"""),62.5966)</f>
        <v>62.5966</v>
      </c>
      <c r="AB49" s="320">
        <f>IFERROR(__xludf.DUMMYFUNCTION("""COMPUTED_VALUE"""),0.8611)</f>
        <v>0.8611</v>
      </c>
      <c r="AC49" s="320">
        <f>IFERROR(__xludf.DUMMYFUNCTION("""COMPUTED_VALUE"""),83.65)</f>
        <v>83.65</v>
      </c>
      <c r="AD49" s="320">
        <f>IFERROR(__xludf.DUMMYFUNCTION("""COMPUTED_VALUE"""),32.0)</f>
        <v>32</v>
      </c>
      <c r="AE49" s="320">
        <f>IFERROR(__xludf.DUMMYFUNCTION("""COMPUTED_VALUE"""),70.0)</f>
        <v>70</v>
      </c>
      <c r="AF49" s="320">
        <f>IFERROR(__xludf.DUMMYFUNCTION("""COMPUTED_VALUE"""),120.0)</f>
        <v>120</v>
      </c>
      <c r="AG49" s="320">
        <f>IFERROR(__xludf.DUMMYFUNCTION("""COMPUTED_VALUE"""),167.0)</f>
        <v>167</v>
      </c>
      <c r="AH49" s="320">
        <f>IFERROR(__xludf.DUMMYFUNCTION("""COMPUTED_VALUE"""),42.86)</f>
        <v>42.86</v>
      </c>
      <c r="AI49" s="320">
        <f>IFERROR(__xludf.DUMMYFUNCTION("""COMPUTED_VALUE"""),9.37)</f>
        <v>9.37</v>
      </c>
      <c r="AJ49" s="320">
        <f>IFERROR(__xludf.DUMMYFUNCTION("""COMPUTED_VALUE"""),0.7)</f>
        <v>0.7</v>
      </c>
      <c r="AK49" s="320">
        <f>IFERROR(__xludf.DUMMYFUNCTION("""COMPUTED_VALUE"""),0.0984)</f>
        <v>0.0984</v>
      </c>
      <c r="AL49" s="320">
        <f>IFERROR(__xludf.DUMMYFUNCTION("""COMPUTED_VALUE"""),22.72)</f>
        <v>22.72</v>
      </c>
      <c r="AM49" s="320">
        <f>IFERROR(__xludf.DUMMYFUNCTION("""COMPUTED_VALUE"""),842.06)</f>
        <v>842.06</v>
      </c>
      <c r="AN49" s="320">
        <f>IFERROR(__xludf.DUMMYFUNCTION("""COMPUTED_VALUE"""),71.09)</f>
        <v>71.09</v>
      </c>
      <c r="AO49" s="320">
        <f>IFERROR(__xludf.DUMMYFUNCTION("""COMPUTED_VALUE"""),16.15)</f>
        <v>16.15</v>
      </c>
    </row>
    <row r="50" ht="15.75" customHeight="1">
      <c r="A50" s="330">
        <f>IFERROR(__xludf.DUMMYFUNCTION("""COMPUTED_VALUE"""),46058.0)</f>
        <v>46058</v>
      </c>
      <c r="B50" s="319" t="str">
        <f>IFERROR(__xludf.DUMMYFUNCTION("""COMPUTED_VALUE"""),"A. 0")</f>
        <v>A. 0</v>
      </c>
      <c r="C50" s="320">
        <f>IFERROR(__xludf.DUMMYFUNCTION("""COMPUTED_VALUE"""),17547.0)</f>
        <v>17547</v>
      </c>
      <c r="D50" s="320">
        <f>IFERROR(__xludf.DUMMYFUNCTION("""COMPUTED_VALUE"""),21.54)</f>
        <v>21.54</v>
      </c>
      <c r="E50" s="320">
        <f>IFERROR(__xludf.DUMMYFUNCTION("""COMPUTED_VALUE"""),275.81)</f>
        <v>275.81</v>
      </c>
      <c r="F50" s="320">
        <f>IFERROR(__xludf.DUMMYFUNCTION("""COMPUTED_VALUE"""),0.0157)</f>
        <v>0.0157</v>
      </c>
      <c r="G50" s="320">
        <f>IFERROR(__xludf.DUMMYFUNCTION("""COMPUTED_VALUE"""),0.31)</f>
        <v>0.31</v>
      </c>
      <c r="H50" s="320">
        <f>IFERROR(__xludf.DUMMYFUNCTION("""COMPUTED_VALUE"""),5.1076)</f>
        <v>5.1076</v>
      </c>
      <c r="I50" s="320">
        <f>IFERROR(__xludf.DUMMYFUNCTION("""COMPUTED_VALUE"""),6.78)</f>
        <v>6.78</v>
      </c>
      <c r="J50" s="320">
        <f>IFERROR(__xludf.DUMMYFUNCTION("""COMPUTED_VALUE"""),3.09)</f>
        <v>3.09</v>
      </c>
      <c r="K50" s="320">
        <f>IFERROR(__xludf.DUMMYFUNCTION("""COMPUTED_VALUE"""),0.08)</f>
        <v>0.08</v>
      </c>
      <c r="L50" s="320">
        <f>IFERROR(__xludf.DUMMYFUNCTION("""COMPUTED_VALUE"""),0.0274)</f>
        <v>0.0274</v>
      </c>
      <c r="M50" s="320">
        <f>IFERROR(__xludf.DUMMYFUNCTION("""COMPUTED_VALUE"""),0.9749)</f>
        <v>0.9749</v>
      </c>
      <c r="N50" s="320">
        <f>IFERROR(__xludf.DUMMYFUNCTION("""COMPUTED_VALUE"""),0.703)</f>
        <v>0.703</v>
      </c>
      <c r="O50" s="320">
        <f>IFERROR(__xludf.DUMMYFUNCTION("""COMPUTED_VALUE"""),36.4718)</f>
        <v>36.4718</v>
      </c>
      <c r="P50" s="320">
        <f>IFERROR(__xludf.DUMMYFUNCTION("""COMPUTED_VALUE"""),23.67)</f>
        <v>23.67</v>
      </c>
      <c r="Q50" s="320">
        <f>IFERROR(__xludf.DUMMYFUNCTION("""COMPUTED_VALUE"""),23.6)</f>
        <v>23.6</v>
      </c>
      <c r="R50" s="320">
        <f>IFERROR(__xludf.DUMMYFUNCTION("""COMPUTED_VALUE"""),0.07)</f>
        <v>0.07</v>
      </c>
      <c r="S50" s="320">
        <f>IFERROR(__xludf.DUMMYFUNCTION("""COMPUTED_VALUE"""),1.05)</f>
        <v>1.05</v>
      </c>
      <c r="T50" s="320">
        <f>IFERROR(__xludf.DUMMYFUNCTION("""COMPUTED_VALUE"""),22.62)</f>
        <v>22.62</v>
      </c>
      <c r="U50" s="320">
        <f>IFERROR(__xludf.DUMMYFUNCTION("""COMPUTED_VALUE"""),2.57)</f>
        <v>2.57</v>
      </c>
      <c r="V50" s="320">
        <f>IFERROR(__xludf.DUMMYFUNCTION("""COMPUTED_VALUE"""),0.8301)</f>
        <v>0.8301</v>
      </c>
      <c r="W50" s="320">
        <f>IFERROR(__xludf.DUMMYFUNCTION("""COMPUTED_VALUE"""),4.42)</f>
        <v>4.42</v>
      </c>
      <c r="X50" s="320">
        <f>IFERROR(__xludf.DUMMYFUNCTION("""COMPUTED_VALUE"""),133.0)</f>
        <v>133</v>
      </c>
      <c r="Y50" s="320">
        <f>IFERROR(__xludf.DUMMYFUNCTION("""COMPUTED_VALUE"""),863.0)</f>
        <v>863</v>
      </c>
      <c r="Z50" s="320">
        <f>IFERROR(__xludf.DUMMYFUNCTION("""COMPUTED_VALUE"""),6405.0)</f>
        <v>6405</v>
      </c>
      <c r="AA50" s="320">
        <f>IFERROR(__xludf.DUMMYFUNCTION("""COMPUTED_VALUE"""),49.486)</f>
        <v>49.486</v>
      </c>
      <c r="AB50" s="320">
        <f>IFERROR(__xludf.DUMMYFUNCTION("""COMPUTED_VALUE"""),0.509)</f>
        <v>0.509</v>
      </c>
      <c r="AC50" s="106"/>
      <c r="AD50" s="106"/>
      <c r="AE50" s="106"/>
      <c r="AF50" s="106"/>
      <c r="AG50" s="106"/>
      <c r="AH50" s="320">
        <f>IFERROR(__xludf.DUMMYFUNCTION("""COMPUTED_VALUE"""),0.0)</f>
        <v>0</v>
      </c>
      <c r="AI50" s="320">
        <f>IFERROR(__xludf.DUMMYFUNCTION("""COMPUTED_VALUE"""),0.0)</f>
        <v>0</v>
      </c>
      <c r="AJ50" s="320">
        <f>IFERROR(__xludf.DUMMYFUNCTION("""COMPUTED_VALUE"""),0.0)</f>
        <v>0</v>
      </c>
      <c r="AK50" s="320">
        <f>IFERROR(__xludf.DUMMYFUNCTION("""COMPUTED_VALUE"""),0.2823)</f>
        <v>0.2823</v>
      </c>
      <c r="AL50" s="320">
        <f>IFERROR(__xludf.DUMMYFUNCTION("""COMPUTED_VALUE"""),15.59)</f>
        <v>15.59</v>
      </c>
      <c r="AM50" s="320">
        <f>IFERROR(__xludf.DUMMYFUNCTION("""COMPUTED_VALUE"""),8.01)</f>
        <v>8.01</v>
      </c>
      <c r="AN50" s="331"/>
      <c r="AO50" s="331"/>
    </row>
    <row r="51" ht="15.75" customHeight="1">
      <c r="A51" s="330">
        <f>IFERROR(__xludf.DUMMYFUNCTION("""COMPUTED_VALUE"""),46058.0)</f>
        <v>46058</v>
      </c>
      <c r="B51" s="319" t="str">
        <f>IFERROR(__xludf.DUMMYFUNCTION("""COMPUTED_VALUE"""),"B. 1-9")</f>
        <v>B. 1-9</v>
      </c>
      <c r="C51" s="320">
        <f>IFERROR(__xludf.DUMMYFUNCTION("""COMPUTED_VALUE"""),32279.0)</f>
        <v>32279</v>
      </c>
      <c r="D51" s="320">
        <f>IFERROR(__xludf.DUMMYFUNCTION("""COMPUTED_VALUE"""),39.63)</f>
        <v>39.63</v>
      </c>
      <c r="E51" s="320">
        <f>IFERROR(__xludf.DUMMYFUNCTION("""COMPUTED_VALUE"""),8326.82)</f>
        <v>8326.82</v>
      </c>
      <c r="F51" s="320">
        <f>IFERROR(__xludf.DUMMYFUNCTION("""COMPUTED_VALUE"""),0.258)</f>
        <v>0.258</v>
      </c>
      <c r="G51" s="320">
        <f>IFERROR(__xludf.DUMMYFUNCTION("""COMPUTED_VALUE"""),7.47)</f>
        <v>7.47</v>
      </c>
      <c r="H51" s="320">
        <f>IFERROR(__xludf.DUMMYFUNCTION("""COMPUTED_VALUE"""),3.4551)</f>
        <v>3.4551</v>
      </c>
      <c r="I51" s="320">
        <f>IFERROR(__xludf.DUMMYFUNCTION("""COMPUTED_VALUE"""),29.75)</f>
        <v>29.75</v>
      </c>
      <c r="J51" s="320">
        <f>IFERROR(__xludf.DUMMYFUNCTION("""COMPUTED_VALUE"""),15.98)</f>
        <v>15.98</v>
      </c>
      <c r="K51" s="320">
        <f>IFERROR(__xludf.DUMMYFUNCTION("""COMPUTED_VALUE"""),5.18)</f>
        <v>5.18</v>
      </c>
      <c r="L51" s="320">
        <f>IFERROR(__xludf.DUMMYFUNCTION("""COMPUTED_VALUE"""),0.3239)</f>
        <v>0.3239</v>
      </c>
      <c r="M51" s="320">
        <f>IFERROR(__xludf.DUMMYFUNCTION("""COMPUTED_VALUE"""),0.7487)</f>
        <v>0.7487</v>
      </c>
      <c r="N51" s="320">
        <f>IFERROR(__xludf.DUMMYFUNCTION("""COMPUTED_VALUE"""),0.4997)</f>
        <v>0.4997</v>
      </c>
      <c r="O51" s="320">
        <f>IFERROR(__xludf.DUMMYFUNCTION("""COMPUTED_VALUE"""),3.0876)</f>
        <v>3.0876</v>
      </c>
      <c r="P51" s="320">
        <f>IFERROR(__xludf.DUMMYFUNCTION("""COMPUTED_VALUE"""),67.66)</f>
        <v>67.66</v>
      </c>
      <c r="Q51" s="320">
        <f>IFERROR(__xludf.DUMMYFUNCTION("""COMPUTED_VALUE"""),56.75)</f>
        <v>56.75</v>
      </c>
      <c r="R51" s="320">
        <f>IFERROR(__xludf.DUMMYFUNCTION("""COMPUTED_VALUE"""),10.92)</f>
        <v>10.92</v>
      </c>
      <c r="S51" s="320">
        <f>IFERROR(__xludf.DUMMYFUNCTION("""COMPUTED_VALUE"""),16.06)</f>
        <v>16.06</v>
      </c>
      <c r="T51" s="320">
        <f>IFERROR(__xludf.DUMMYFUNCTION("""COMPUTED_VALUE"""),51.6)</f>
        <v>51.6</v>
      </c>
      <c r="U51" s="320">
        <f>IFERROR(__xludf.DUMMYFUNCTION("""COMPUTED_VALUE"""),71.39)</f>
        <v>71.39</v>
      </c>
      <c r="V51" s="320">
        <f>IFERROR(__xludf.DUMMYFUNCTION("""COMPUTED_VALUE"""),4.4663)</f>
        <v>4.4663</v>
      </c>
      <c r="W51" s="320">
        <f>IFERROR(__xludf.DUMMYFUNCTION("""COMPUTED_VALUE"""),23.74)</f>
        <v>23.74</v>
      </c>
      <c r="X51" s="320">
        <f>IFERROR(__xludf.DUMMYFUNCTION("""COMPUTED_VALUE"""),86.0)</f>
        <v>86</v>
      </c>
      <c r="Y51" s="320">
        <f>IFERROR(__xludf.DUMMYFUNCTION("""COMPUTED_VALUE"""),206.0)</f>
        <v>206</v>
      </c>
      <c r="Z51" s="320">
        <f>IFERROR(__xludf.DUMMYFUNCTION("""COMPUTED_VALUE"""),863.0)</f>
        <v>863</v>
      </c>
      <c r="AA51" s="320">
        <f>IFERROR(__xludf.DUMMYFUNCTION("""COMPUTED_VALUE"""),49.2713)</f>
        <v>49.2713</v>
      </c>
      <c r="AB51" s="320">
        <f>IFERROR(__xludf.DUMMYFUNCTION("""COMPUTED_VALUE"""),0.4482)</f>
        <v>0.4482</v>
      </c>
      <c r="AC51" s="320">
        <f>IFERROR(__xludf.DUMMYFUNCTION("""COMPUTED_VALUE"""),3.56)</f>
        <v>3.56</v>
      </c>
      <c r="AD51" s="320">
        <f>IFERROR(__xludf.DUMMYFUNCTION("""COMPUTED_VALUE"""),1.0)</f>
        <v>1</v>
      </c>
      <c r="AE51" s="320">
        <f>IFERROR(__xludf.DUMMYFUNCTION("""COMPUTED_VALUE"""),2.0)</f>
        <v>2</v>
      </c>
      <c r="AF51" s="320">
        <f>IFERROR(__xludf.DUMMYFUNCTION("""COMPUTED_VALUE"""),5.0)</f>
        <v>5</v>
      </c>
      <c r="AG51" s="320">
        <f>IFERROR(__xludf.DUMMYFUNCTION("""COMPUTED_VALUE"""),8.0)</f>
        <v>8</v>
      </c>
      <c r="AH51" s="320">
        <f>IFERROR(__xludf.DUMMYFUNCTION("""COMPUTED_VALUE"""),66.06)</f>
        <v>66.06</v>
      </c>
      <c r="AI51" s="320">
        <f>IFERROR(__xludf.DUMMYFUNCTION("""COMPUTED_VALUE"""),25.27)</f>
        <v>25.27</v>
      </c>
      <c r="AJ51" s="320">
        <f>IFERROR(__xludf.DUMMYFUNCTION("""COMPUTED_VALUE"""),7.3)</f>
        <v>7.3</v>
      </c>
      <c r="AK51" s="320">
        <f>IFERROR(__xludf.DUMMYFUNCTION("""COMPUTED_VALUE"""),0.2379)</f>
        <v>0.2379</v>
      </c>
      <c r="AL51" s="320">
        <f>IFERROR(__xludf.DUMMYFUNCTION("""COMPUTED_VALUE"""),20.4)</f>
        <v>20.4</v>
      </c>
      <c r="AM51" s="320">
        <f>IFERROR(__xludf.DUMMYFUNCTION("""COMPUTED_VALUE"""),36.34)</f>
        <v>36.34</v>
      </c>
      <c r="AN51" s="320">
        <f>IFERROR(__xludf.DUMMYFUNCTION("""COMPUTED_VALUE"""),67.82)</f>
        <v>67.82</v>
      </c>
      <c r="AO51" s="320">
        <f>IFERROR(__xludf.DUMMYFUNCTION("""COMPUTED_VALUE"""),13.84)</f>
        <v>13.84</v>
      </c>
    </row>
    <row r="52" ht="15.75" customHeight="1">
      <c r="A52" s="330">
        <f>IFERROR(__xludf.DUMMYFUNCTION("""COMPUTED_VALUE"""),46058.0)</f>
        <v>46058</v>
      </c>
      <c r="B52" s="319" t="str">
        <f>IFERROR(__xludf.DUMMYFUNCTION("""COMPUTED_VALUE"""),"C. 10-19")</f>
        <v>C. 10-19</v>
      </c>
      <c r="C52" s="320">
        <f>IFERROR(__xludf.DUMMYFUNCTION("""COMPUTED_VALUE"""),17952.0)</f>
        <v>17952</v>
      </c>
      <c r="D52" s="320">
        <f>IFERROR(__xludf.DUMMYFUNCTION("""COMPUTED_VALUE"""),22.04)</f>
        <v>22.04</v>
      </c>
      <c r="E52" s="320">
        <f>IFERROR(__xludf.DUMMYFUNCTION("""COMPUTED_VALUE"""),17359.63)</f>
        <v>17359.63</v>
      </c>
      <c r="F52" s="320">
        <f>IFERROR(__xludf.DUMMYFUNCTION("""COMPUTED_VALUE"""),0.967)</f>
        <v>0.967</v>
      </c>
      <c r="G52" s="320">
        <f>IFERROR(__xludf.DUMMYFUNCTION("""COMPUTED_VALUE"""),20.39)</f>
        <v>20.39</v>
      </c>
      <c r="H52" s="320">
        <f>IFERROR(__xludf.DUMMYFUNCTION("""COMPUTED_VALUE"""),4.7418)</f>
        <v>4.7418</v>
      </c>
      <c r="I52" s="320">
        <f>IFERROR(__xludf.DUMMYFUNCTION("""COMPUTED_VALUE"""),54.85)</f>
        <v>54.85</v>
      </c>
      <c r="J52" s="320">
        <f>IFERROR(__xludf.DUMMYFUNCTION("""COMPUTED_VALUE"""),31.18)</f>
        <v>31.18</v>
      </c>
      <c r="K52" s="320">
        <f>IFERROR(__xludf.DUMMYFUNCTION("""COMPUTED_VALUE"""),13.5)</f>
        <v>13.5</v>
      </c>
      <c r="L52" s="320">
        <f>IFERROR(__xludf.DUMMYFUNCTION("""COMPUTED_VALUE"""),0.433)</f>
        <v>0.433</v>
      </c>
      <c r="M52" s="320">
        <f>IFERROR(__xludf.DUMMYFUNCTION("""COMPUTED_VALUE"""),0.6314)</f>
        <v>0.6314</v>
      </c>
      <c r="N52" s="320">
        <f>IFERROR(__xludf.DUMMYFUNCTION("""COMPUTED_VALUE"""),0.359)</f>
        <v>0.359</v>
      </c>
      <c r="O52" s="320">
        <f>IFERROR(__xludf.DUMMYFUNCTION("""COMPUTED_VALUE"""),2.3097)</f>
        <v>2.3097</v>
      </c>
      <c r="P52" s="320">
        <f>IFERROR(__xludf.DUMMYFUNCTION("""COMPUTED_VALUE"""),155.72)</f>
        <v>155.72</v>
      </c>
      <c r="Q52" s="320">
        <f>IFERROR(__xludf.DUMMYFUNCTION("""COMPUTED_VALUE"""),127.97)</f>
        <v>127.97</v>
      </c>
      <c r="R52" s="320">
        <f>IFERROR(__xludf.DUMMYFUNCTION("""COMPUTED_VALUE"""),27.75)</f>
        <v>27.75</v>
      </c>
      <c r="S52" s="320">
        <f>IFERROR(__xludf.DUMMYFUNCTION("""COMPUTED_VALUE"""),59.68)</f>
        <v>59.68</v>
      </c>
      <c r="T52" s="320">
        <f>IFERROR(__xludf.DUMMYFUNCTION("""COMPUTED_VALUE"""),96.04)</f>
        <v>96.04</v>
      </c>
      <c r="U52" s="320">
        <f>IFERROR(__xludf.DUMMYFUNCTION("""COMPUTED_VALUE"""),160.75)</f>
        <v>160.75</v>
      </c>
      <c r="V52" s="320">
        <f>IFERROR(__xludf.DUMMYFUNCTION("""COMPUTED_VALUE"""),5.1548)</f>
        <v>5.1548</v>
      </c>
      <c r="W52" s="320">
        <f>IFERROR(__xludf.DUMMYFUNCTION("""COMPUTED_VALUE"""),38.32)</f>
        <v>38.32</v>
      </c>
      <c r="X52" s="320">
        <f>IFERROR(__xludf.DUMMYFUNCTION("""COMPUTED_VALUE"""),84.0)</f>
        <v>84</v>
      </c>
      <c r="Y52" s="320">
        <f>IFERROR(__xludf.DUMMYFUNCTION("""COMPUTED_VALUE"""),195.0)</f>
        <v>195</v>
      </c>
      <c r="Z52" s="320">
        <f>IFERROR(__xludf.DUMMYFUNCTION("""COMPUTED_VALUE"""),705.0)</f>
        <v>705</v>
      </c>
      <c r="AA52" s="320">
        <f>IFERROR(__xludf.DUMMYFUNCTION("""COMPUTED_VALUE"""),52.2774)</f>
        <v>52.2774</v>
      </c>
      <c r="AB52" s="320">
        <f>IFERROR(__xludf.DUMMYFUNCTION("""COMPUTED_VALUE"""),0.5468)</f>
        <v>0.5468</v>
      </c>
      <c r="AC52" s="320">
        <f>IFERROR(__xludf.DUMMYFUNCTION("""COMPUTED_VALUE"""),8.63)</f>
        <v>8.63</v>
      </c>
      <c r="AD52" s="320">
        <f>IFERROR(__xludf.DUMMYFUNCTION("""COMPUTED_VALUE"""),3.0)</f>
        <v>3</v>
      </c>
      <c r="AE52" s="320">
        <f>IFERROR(__xludf.DUMMYFUNCTION("""COMPUTED_VALUE"""),6.0)</f>
        <v>6</v>
      </c>
      <c r="AF52" s="320">
        <f>IFERROR(__xludf.DUMMYFUNCTION("""COMPUTED_VALUE"""),12.0)</f>
        <v>12</v>
      </c>
      <c r="AG52" s="320">
        <f>IFERROR(__xludf.DUMMYFUNCTION("""COMPUTED_VALUE"""),19.0)</f>
        <v>19</v>
      </c>
      <c r="AH52" s="320">
        <f>IFERROR(__xludf.DUMMYFUNCTION("""COMPUTED_VALUE"""),53.55)</f>
        <v>53.55</v>
      </c>
      <c r="AI52" s="320">
        <f>IFERROR(__xludf.DUMMYFUNCTION("""COMPUTED_VALUE"""),23.46)</f>
        <v>23.46</v>
      </c>
      <c r="AJ52" s="320">
        <f>IFERROR(__xludf.DUMMYFUNCTION("""COMPUTED_VALUE"""),4.37)</f>
        <v>4.37</v>
      </c>
      <c r="AK52" s="320">
        <f>IFERROR(__xludf.DUMMYFUNCTION("""COMPUTED_VALUE"""),0.195)</f>
        <v>0.195</v>
      </c>
      <c r="AL52" s="320">
        <f>IFERROR(__xludf.DUMMYFUNCTION("""COMPUTED_VALUE"""),21.12)</f>
        <v>21.12</v>
      </c>
      <c r="AM52" s="320">
        <f>IFERROR(__xludf.DUMMYFUNCTION("""COMPUTED_VALUE"""),106.86)</f>
        <v>106.86</v>
      </c>
      <c r="AN52" s="320">
        <f>IFERROR(__xludf.DUMMYFUNCTION("""COMPUTED_VALUE"""),74.54)</f>
        <v>74.54</v>
      </c>
      <c r="AO52" s="320">
        <f>IFERROR(__xludf.DUMMYFUNCTION("""COMPUTED_VALUE"""),15.74)</f>
        <v>15.74</v>
      </c>
    </row>
    <row r="53" ht="15.75" customHeight="1">
      <c r="A53" s="330">
        <f>IFERROR(__xludf.DUMMYFUNCTION("""COMPUTED_VALUE"""),46058.0)</f>
        <v>46058</v>
      </c>
      <c r="B53" s="319" t="str">
        <f>IFERROR(__xludf.DUMMYFUNCTION("""COMPUTED_VALUE"""),"D. 20-39")</f>
        <v>D. 20-39</v>
      </c>
      <c r="C53" s="320">
        <f>IFERROR(__xludf.DUMMYFUNCTION("""COMPUTED_VALUE"""),9510.0)</f>
        <v>9510</v>
      </c>
      <c r="D53" s="320">
        <f>IFERROR(__xludf.DUMMYFUNCTION("""COMPUTED_VALUE"""),11.68)</f>
        <v>11.68</v>
      </c>
      <c r="E53" s="320">
        <f>IFERROR(__xludf.DUMMYFUNCTION("""COMPUTED_VALUE"""),22702.26)</f>
        <v>22702.26</v>
      </c>
      <c r="F53" s="320">
        <f>IFERROR(__xludf.DUMMYFUNCTION("""COMPUTED_VALUE"""),2.3872)</f>
        <v>2.3872</v>
      </c>
      <c r="G53" s="320">
        <f>IFERROR(__xludf.DUMMYFUNCTION("""COMPUTED_VALUE"""),31.35)</f>
        <v>31.35</v>
      </c>
      <c r="H53" s="320">
        <f>IFERROR(__xludf.DUMMYFUNCTION("""COMPUTED_VALUE"""),7.6157)</f>
        <v>7.6157</v>
      </c>
      <c r="I53" s="320">
        <f>IFERROR(__xludf.DUMMYFUNCTION("""COMPUTED_VALUE"""),81.11)</f>
        <v>81.11</v>
      </c>
      <c r="J53" s="320">
        <f>IFERROR(__xludf.DUMMYFUNCTION("""COMPUTED_VALUE"""),47.94)</f>
        <v>47.94</v>
      </c>
      <c r="K53" s="320">
        <f>IFERROR(__xludf.DUMMYFUNCTION("""COMPUTED_VALUE"""),25.37)</f>
        <v>25.37</v>
      </c>
      <c r="L53" s="320">
        <f>IFERROR(__xludf.DUMMYFUNCTION("""COMPUTED_VALUE"""),0.5292)</f>
        <v>0.5292</v>
      </c>
      <c r="M53" s="320">
        <f>IFERROR(__xludf.DUMMYFUNCTION("""COMPUTED_VALUE"""),0.5425)</f>
        <v>0.5425</v>
      </c>
      <c r="N53" s="320">
        <f>IFERROR(__xludf.DUMMYFUNCTION("""COMPUTED_VALUE"""),0.3006)</f>
        <v>0.3006</v>
      </c>
      <c r="O53" s="320">
        <f>IFERROR(__xludf.DUMMYFUNCTION("""COMPUTED_VALUE"""),1.8896)</f>
        <v>1.8896</v>
      </c>
      <c r="P53" s="320">
        <f>IFERROR(__xludf.DUMMYFUNCTION("""COMPUTED_VALUE"""),310.65)</f>
        <v>310.65</v>
      </c>
      <c r="Q53" s="320">
        <f>IFERROR(__xludf.DUMMYFUNCTION("""COMPUTED_VALUE"""),257.2)</f>
        <v>257.2</v>
      </c>
      <c r="R53" s="320">
        <f>IFERROR(__xludf.DUMMYFUNCTION("""COMPUTED_VALUE"""),53.45)</f>
        <v>53.45</v>
      </c>
      <c r="S53" s="320">
        <f>IFERROR(__xludf.DUMMYFUNCTION("""COMPUTED_VALUE"""),145.26)</f>
        <v>145.26</v>
      </c>
      <c r="T53" s="320">
        <f>IFERROR(__xludf.DUMMYFUNCTION("""COMPUTED_VALUE"""),165.39)</f>
        <v>165.39</v>
      </c>
      <c r="U53" s="320">
        <f>IFERROR(__xludf.DUMMYFUNCTION("""COMPUTED_VALUE"""),317.28)</f>
        <v>317.28</v>
      </c>
      <c r="V53" s="320">
        <f>IFERROR(__xludf.DUMMYFUNCTION("""COMPUTED_VALUE"""),6.618)</f>
        <v>6.618</v>
      </c>
      <c r="W53" s="320">
        <f>IFERROR(__xludf.DUMMYFUNCTION("""COMPUTED_VALUE"""),46.76)</f>
        <v>46.76</v>
      </c>
      <c r="X53" s="320">
        <f>IFERROR(__xludf.DUMMYFUNCTION("""COMPUTED_VALUE"""),87.0)</f>
        <v>87</v>
      </c>
      <c r="Y53" s="320">
        <f>IFERROR(__xludf.DUMMYFUNCTION("""COMPUTED_VALUE"""),232.0)</f>
        <v>232</v>
      </c>
      <c r="Z53" s="320">
        <f>IFERROR(__xludf.DUMMYFUNCTION("""COMPUTED_VALUE"""),766.0)</f>
        <v>766</v>
      </c>
      <c r="AA53" s="320">
        <f>IFERROR(__xludf.DUMMYFUNCTION("""COMPUTED_VALUE"""),54.3488)</f>
        <v>54.3488</v>
      </c>
      <c r="AB53" s="320">
        <f>IFERROR(__xludf.DUMMYFUNCTION("""COMPUTED_VALUE"""),0.6555)</f>
        <v>0.6555</v>
      </c>
      <c r="AC53" s="320">
        <f>IFERROR(__xludf.DUMMYFUNCTION("""COMPUTED_VALUE"""),16.5)</f>
        <v>16.5</v>
      </c>
      <c r="AD53" s="320">
        <f>IFERROR(__xludf.DUMMYFUNCTION("""COMPUTED_VALUE"""),5.0)</f>
        <v>5</v>
      </c>
      <c r="AE53" s="320">
        <f>IFERROR(__xludf.DUMMYFUNCTION("""COMPUTED_VALUE"""),12.0)</f>
        <v>12</v>
      </c>
      <c r="AF53" s="320">
        <f>IFERROR(__xludf.DUMMYFUNCTION("""COMPUTED_VALUE"""),23.0)</f>
        <v>23</v>
      </c>
      <c r="AG53" s="320">
        <f>IFERROR(__xludf.DUMMYFUNCTION("""COMPUTED_VALUE"""),36.0)</f>
        <v>36</v>
      </c>
      <c r="AH53" s="320">
        <f>IFERROR(__xludf.DUMMYFUNCTION("""COMPUTED_VALUE"""),53.49)</f>
        <v>53.49</v>
      </c>
      <c r="AI53" s="320">
        <f>IFERROR(__xludf.DUMMYFUNCTION("""COMPUTED_VALUE"""),21.61)</f>
        <v>21.61</v>
      </c>
      <c r="AJ53" s="320">
        <f>IFERROR(__xludf.DUMMYFUNCTION("""COMPUTED_VALUE"""),6.62)</f>
        <v>6.62</v>
      </c>
      <c r="AK53" s="320">
        <f>IFERROR(__xludf.DUMMYFUNCTION("""COMPUTED_VALUE"""),0.2007)</f>
        <v>0.2007</v>
      </c>
      <c r="AL53" s="320">
        <f>IFERROR(__xludf.DUMMYFUNCTION("""COMPUTED_VALUE"""),20.58)</f>
        <v>20.58</v>
      </c>
      <c r="AM53" s="320">
        <f>IFERROR(__xludf.DUMMYFUNCTION("""COMPUTED_VALUE"""),236.61)</f>
        <v>236.61</v>
      </c>
      <c r="AN53" s="320">
        <f>IFERROR(__xludf.DUMMYFUNCTION("""COMPUTED_VALUE"""),75.09)</f>
        <v>75.09</v>
      </c>
      <c r="AO53" s="320">
        <f>IFERROR(__xludf.DUMMYFUNCTION("""COMPUTED_VALUE"""),15.45)</f>
        <v>15.45</v>
      </c>
    </row>
    <row r="54" ht="15.75" customHeight="1">
      <c r="A54" s="330">
        <f>IFERROR(__xludf.DUMMYFUNCTION("""COMPUTED_VALUE"""),46058.0)</f>
        <v>46058</v>
      </c>
      <c r="B54" s="319" t="str">
        <f>IFERROR(__xludf.DUMMYFUNCTION("""COMPUTED_VALUE"""),"E. 40-99")</f>
        <v>E. 40-99</v>
      </c>
      <c r="C54" s="320">
        <f>IFERROR(__xludf.DUMMYFUNCTION("""COMPUTED_VALUE"""),3725.0)</f>
        <v>3725</v>
      </c>
      <c r="D54" s="320">
        <f>IFERROR(__xludf.DUMMYFUNCTION("""COMPUTED_VALUE"""),4.57)</f>
        <v>4.57</v>
      </c>
      <c r="E54" s="320">
        <f>IFERROR(__xludf.DUMMYFUNCTION("""COMPUTED_VALUE"""),19896.93)</f>
        <v>19896.93</v>
      </c>
      <c r="F54" s="320">
        <f>IFERROR(__xludf.DUMMYFUNCTION("""COMPUTED_VALUE"""),5.3415)</f>
        <v>5.3415</v>
      </c>
      <c r="G54" s="320">
        <f>IFERROR(__xludf.DUMMYFUNCTION("""COMPUTED_VALUE"""),40.11)</f>
        <v>40.11</v>
      </c>
      <c r="H54" s="320">
        <f>IFERROR(__xludf.DUMMYFUNCTION("""COMPUTED_VALUE"""),13.3179)</f>
        <v>13.3179</v>
      </c>
      <c r="I54" s="320">
        <f>IFERROR(__xludf.DUMMYFUNCTION("""COMPUTED_VALUE"""),127.5)</f>
        <v>127.5</v>
      </c>
      <c r="J54" s="320">
        <f>IFERROR(__xludf.DUMMYFUNCTION("""COMPUTED_VALUE"""),78.96)</f>
        <v>78.96</v>
      </c>
      <c r="K54" s="320">
        <f>IFERROR(__xludf.DUMMYFUNCTION("""COMPUTED_VALUE"""),53.34)</f>
        <v>53.34</v>
      </c>
      <c r="L54" s="320">
        <f>IFERROR(__xludf.DUMMYFUNCTION("""COMPUTED_VALUE"""),0.6756)</f>
        <v>0.6756</v>
      </c>
      <c r="M54" s="320">
        <f>IFERROR(__xludf.DUMMYFUNCTION("""COMPUTED_VALUE"""),0.4119)</f>
        <v>0.4119</v>
      </c>
      <c r="N54" s="320">
        <f>IFERROR(__xludf.DUMMYFUNCTION("""COMPUTED_VALUE"""),0.2366)</f>
        <v>0.2366</v>
      </c>
      <c r="O54" s="320">
        <f>IFERROR(__xludf.DUMMYFUNCTION("""COMPUTED_VALUE"""),1.4803)</f>
        <v>1.4803</v>
      </c>
      <c r="P54" s="320">
        <f>IFERROR(__xludf.DUMMYFUNCTION("""COMPUTED_VALUE"""),647.06)</f>
        <v>647.06</v>
      </c>
      <c r="Q54" s="320">
        <f>IFERROR(__xludf.DUMMYFUNCTION("""COMPUTED_VALUE"""),534.26)</f>
        <v>534.26</v>
      </c>
      <c r="R54" s="320">
        <f>IFERROR(__xludf.DUMMYFUNCTION("""COMPUTED_VALUE"""),112.8)</f>
        <v>112.8</v>
      </c>
      <c r="S54" s="320">
        <f>IFERROR(__xludf.DUMMYFUNCTION("""COMPUTED_VALUE"""),327.03)</f>
        <v>327.03</v>
      </c>
      <c r="T54" s="320">
        <f>IFERROR(__xludf.DUMMYFUNCTION("""COMPUTED_VALUE"""),320.03)</f>
        <v>320.03</v>
      </c>
      <c r="U54" s="320">
        <f>IFERROR(__xludf.DUMMYFUNCTION("""COMPUTED_VALUE"""),666.19)</f>
        <v>666.19</v>
      </c>
      <c r="V54" s="320">
        <f>IFERROR(__xludf.DUMMYFUNCTION("""COMPUTED_VALUE"""),8.4366)</f>
        <v>8.4366</v>
      </c>
      <c r="W54" s="320">
        <f>IFERROR(__xludf.DUMMYFUNCTION("""COMPUTED_VALUE"""),50.54)</f>
        <v>50.54</v>
      </c>
      <c r="X54" s="320">
        <f>IFERROR(__xludf.DUMMYFUNCTION("""COMPUTED_VALUE"""),104.0)</f>
        <v>104</v>
      </c>
      <c r="Y54" s="320">
        <f>IFERROR(__xludf.DUMMYFUNCTION("""COMPUTED_VALUE"""),337.0)</f>
        <v>337</v>
      </c>
      <c r="Z54" s="320">
        <f>IFERROR(__xludf.DUMMYFUNCTION("""COMPUTED_VALUE"""),1146.0)</f>
        <v>1146</v>
      </c>
      <c r="AA54" s="320">
        <f>IFERROR(__xludf.DUMMYFUNCTION("""COMPUTED_VALUE"""),57.7772)</f>
        <v>57.7772</v>
      </c>
      <c r="AB54" s="320">
        <f>IFERROR(__xludf.DUMMYFUNCTION("""COMPUTED_VALUE"""),0.7554)</f>
        <v>0.7554</v>
      </c>
      <c r="AC54" s="320">
        <f>IFERROR(__xludf.DUMMYFUNCTION("""COMPUTED_VALUE"""),35.03)</f>
        <v>35.03</v>
      </c>
      <c r="AD54" s="320">
        <f>IFERROR(__xludf.DUMMYFUNCTION("""COMPUTED_VALUE"""),12.0)</f>
        <v>12</v>
      </c>
      <c r="AE54" s="320">
        <f>IFERROR(__xludf.DUMMYFUNCTION("""COMPUTED_VALUE"""),26.0)</f>
        <v>26</v>
      </c>
      <c r="AF54" s="320">
        <f>IFERROR(__xludf.DUMMYFUNCTION("""COMPUTED_VALUE"""),49.0)</f>
        <v>49</v>
      </c>
      <c r="AG54" s="320">
        <f>IFERROR(__xludf.DUMMYFUNCTION("""COMPUTED_VALUE"""),77.0)</f>
        <v>77</v>
      </c>
      <c r="AH54" s="320">
        <f>IFERROR(__xludf.DUMMYFUNCTION("""COMPUTED_VALUE"""),48.32)</f>
        <v>48.32</v>
      </c>
      <c r="AI54" s="320">
        <f>IFERROR(__xludf.DUMMYFUNCTION("""COMPUTED_VALUE"""),17.77)</f>
        <v>17.77</v>
      </c>
      <c r="AJ54" s="320">
        <f>IFERROR(__xludf.DUMMYFUNCTION("""COMPUTED_VALUE"""),4.97)</f>
        <v>4.97</v>
      </c>
      <c r="AK54" s="320">
        <f>IFERROR(__xludf.DUMMYFUNCTION("""COMPUTED_VALUE"""),0.1699)</f>
        <v>0.1699</v>
      </c>
      <c r="AL54" s="320">
        <f>IFERROR(__xludf.DUMMYFUNCTION("""COMPUTED_VALUE"""),20.04)</f>
        <v>20.04</v>
      </c>
      <c r="AM54" s="320">
        <f>IFERROR(__xludf.DUMMYFUNCTION("""COMPUTED_VALUE"""),514.22)</f>
        <v>514.22</v>
      </c>
      <c r="AN54" s="320">
        <f>IFERROR(__xludf.DUMMYFUNCTION("""COMPUTED_VALUE"""),75.92)</f>
        <v>75.92</v>
      </c>
      <c r="AO54" s="320">
        <f>IFERROR(__xludf.DUMMYFUNCTION("""COMPUTED_VALUE"""),15.21)</f>
        <v>15.21</v>
      </c>
    </row>
    <row r="55" ht="15.75" customHeight="1">
      <c r="A55" s="330">
        <f>IFERROR(__xludf.DUMMYFUNCTION("""COMPUTED_VALUE"""),46058.0)</f>
        <v>46058</v>
      </c>
      <c r="B55" s="319" t="str">
        <f>IFERROR(__xludf.DUMMYFUNCTION("""COMPUTED_VALUE"""),"F. 100+")</f>
        <v>F. 100+</v>
      </c>
      <c r="C55" s="320">
        <f>IFERROR(__xludf.DUMMYFUNCTION("""COMPUTED_VALUE"""),441.0)</f>
        <v>441</v>
      </c>
      <c r="D55" s="320">
        <f>IFERROR(__xludf.DUMMYFUNCTION("""COMPUTED_VALUE"""),0.54)</f>
        <v>0.54</v>
      </c>
      <c r="E55" s="320">
        <f>IFERROR(__xludf.DUMMYFUNCTION("""COMPUTED_VALUE"""),3792.9)</f>
        <v>3792.9</v>
      </c>
      <c r="F55" s="320">
        <f>IFERROR(__xludf.DUMMYFUNCTION("""COMPUTED_VALUE"""),8.6007)</f>
        <v>8.6007</v>
      </c>
      <c r="G55" s="320">
        <f>IFERROR(__xludf.DUMMYFUNCTION("""COMPUTED_VALUE"""),42.18)</f>
        <v>42.18</v>
      </c>
      <c r="H55" s="320">
        <f>IFERROR(__xludf.DUMMYFUNCTION("""COMPUTED_VALUE"""),20.3919)</f>
        <v>20.3919</v>
      </c>
      <c r="I55" s="320">
        <f>IFERROR(__xludf.DUMMYFUNCTION("""COMPUTED_VALUE"""),235.89)</f>
        <v>235.89</v>
      </c>
      <c r="J55" s="320">
        <f>IFERROR(__xludf.DUMMYFUNCTION("""COMPUTED_VALUE"""),153.53)</f>
        <v>153.53</v>
      </c>
      <c r="K55" s="320">
        <f>IFERROR(__xludf.DUMMYFUNCTION("""COMPUTED_VALUE"""),123.89)</f>
        <v>123.89</v>
      </c>
      <c r="L55" s="320">
        <f>IFERROR(__xludf.DUMMYFUNCTION("""COMPUTED_VALUE"""),0.807)</f>
        <v>0.807</v>
      </c>
      <c r="M55" s="320">
        <f>IFERROR(__xludf.DUMMYFUNCTION("""COMPUTED_VALUE"""),0.2779)</f>
        <v>0.2779</v>
      </c>
      <c r="N55" s="320">
        <f>IFERROR(__xludf.DUMMYFUNCTION("""COMPUTED_VALUE"""),0.1718)</f>
        <v>0.1718</v>
      </c>
      <c r="O55" s="320">
        <f>IFERROR(__xludf.DUMMYFUNCTION("""COMPUTED_VALUE"""),1.2392)</f>
        <v>1.2392</v>
      </c>
      <c r="P55" s="320">
        <f>IFERROR(__xludf.DUMMYFUNCTION("""COMPUTED_VALUE"""),1186.01)</f>
        <v>1186.01</v>
      </c>
      <c r="Q55" s="320">
        <f>IFERROR(__xludf.DUMMYFUNCTION("""COMPUTED_VALUE"""),923.63)</f>
        <v>923.63</v>
      </c>
      <c r="R55" s="320">
        <f>IFERROR(__xludf.DUMMYFUNCTION("""COMPUTED_VALUE"""),262.38)</f>
        <v>262.38</v>
      </c>
      <c r="S55" s="320">
        <f>IFERROR(__xludf.DUMMYFUNCTION("""COMPUTED_VALUE"""),557.18)</f>
        <v>557.18</v>
      </c>
      <c r="T55" s="320">
        <f>IFERROR(__xludf.DUMMYFUNCTION("""COMPUTED_VALUE"""),628.83)</f>
        <v>628.83</v>
      </c>
      <c r="U55" s="320">
        <f>IFERROR(__xludf.DUMMYFUNCTION("""COMPUTED_VALUE"""),1212.02)</f>
        <v>1212.02</v>
      </c>
      <c r="V55" s="320">
        <f>IFERROR(__xludf.DUMMYFUNCTION("""COMPUTED_VALUE"""),7.8942)</f>
        <v>7.8942</v>
      </c>
      <c r="W55" s="320">
        <f>IFERROR(__xludf.DUMMYFUNCTION("""COMPUTED_VALUE"""),46.98)</f>
        <v>46.98</v>
      </c>
      <c r="X55" s="320">
        <f>IFERROR(__xludf.DUMMYFUNCTION("""COMPUTED_VALUE"""),173.0)</f>
        <v>173</v>
      </c>
      <c r="Y55" s="320">
        <f>IFERROR(__xludf.DUMMYFUNCTION("""COMPUTED_VALUE"""),664.0)</f>
        <v>664</v>
      </c>
      <c r="Z55" s="320">
        <f>IFERROR(__xludf.DUMMYFUNCTION("""COMPUTED_VALUE"""),3046.0)</f>
        <v>3046</v>
      </c>
      <c r="AA55" s="320">
        <f>IFERROR(__xludf.DUMMYFUNCTION("""COMPUTED_VALUE"""),62.5964)</f>
        <v>62.5964</v>
      </c>
      <c r="AB55" s="320">
        <f>IFERROR(__xludf.DUMMYFUNCTION("""COMPUTED_VALUE"""),0.84)</f>
        <v>0.84</v>
      </c>
      <c r="AC55" s="320">
        <f>IFERROR(__xludf.DUMMYFUNCTION("""COMPUTED_VALUE"""),79.67)</f>
        <v>79.67</v>
      </c>
      <c r="AD55" s="320">
        <f>IFERROR(__xludf.DUMMYFUNCTION("""COMPUTED_VALUE"""),26.0)</f>
        <v>26</v>
      </c>
      <c r="AE55" s="320">
        <f>IFERROR(__xludf.DUMMYFUNCTION("""COMPUTED_VALUE"""),59.0)</f>
        <v>59</v>
      </c>
      <c r="AF55" s="320">
        <f>IFERROR(__xludf.DUMMYFUNCTION("""COMPUTED_VALUE"""),110.0)</f>
        <v>110</v>
      </c>
      <c r="AG55" s="320">
        <f>IFERROR(__xludf.DUMMYFUNCTION("""COMPUTED_VALUE"""),171.0)</f>
        <v>171</v>
      </c>
      <c r="AH55" s="320">
        <f>IFERROR(__xludf.DUMMYFUNCTION("""COMPUTED_VALUE"""),37.41)</f>
        <v>37.41</v>
      </c>
      <c r="AI55" s="320">
        <f>IFERROR(__xludf.DUMMYFUNCTION("""COMPUTED_VALUE"""),9.3)</f>
        <v>9.3</v>
      </c>
      <c r="AJ55" s="320">
        <f>IFERROR(__xludf.DUMMYFUNCTION("""COMPUTED_VALUE"""),2.27)</f>
        <v>2.27</v>
      </c>
      <c r="AK55" s="320">
        <f>IFERROR(__xludf.DUMMYFUNCTION("""COMPUTED_VALUE"""),0.1156)</f>
        <v>0.1156</v>
      </c>
      <c r="AL55" s="320">
        <f>IFERROR(__xludf.DUMMYFUNCTION("""COMPUTED_VALUE"""),22.11)</f>
        <v>22.11</v>
      </c>
      <c r="AM55" s="320">
        <f>IFERROR(__xludf.DUMMYFUNCTION("""COMPUTED_VALUE"""),901.52)</f>
        <v>901.52</v>
      </c>
      <c r="AN55" s="320">
        <f>IFERROR(__xludf.DUMMYFUNCTION("""COMPUTED_VALUE"""),72.72)</f>
        <v>72.72</v>
      </c>
      <c r="AO55" s="320">
        <f>IFERROR(__xludf.DUMMYFUNCTION("""COMPUTED_VALUE"""),16.08)</f>
        <v>16.08</v>
      </c>
    </row>
    <row r="56" ht="15.75" customHeight="1">
      <c r="A56" s="330">
        <f>IFERROR(__xludf.DUMMYFUNCTION("""COMPUTED_VALUE"""),46059.0)</f>
        <v>46059</v>
      </c>
      <c r="B56" s="319" t="str">
        <f>IFERROR(__xludf.DUMMYFUNCTION("""COMPUTED_VALUE"""),"A. 0")</f>
        <v>A. 0</v>
      </c>
      <c r="C56" s="320">
        <f>IFERROR(__xludf.DUMMYFUNCTION("""COMPUTED_VALUE"""),15353.0)</f>
        <v>15353</v>
      </c>
      <c r="D56" s="320">
        <f>IFERROR(__xludf.DUMMYFUNCTION("""COMPUTED_VALUE"""),19.2)</f>
        <v>19.2</v>
      </c>
      <c r="E56" s="320">
        <f>IFERROR(__xludf.DUMMYFUNCTION("""COMPUTED_VALUE"""),308.59)</f>
        <v>308.59</v>
      </c>
      <c r="F56" s="320">
        <f>IFERROR(__xludf.DUMMYFUNCTION("""COMPUTED_VALUE"""),0.0201)</f>
        <v>0.0201</v>
      </c>
      <c r="G56" s="320">
        <f>IFERROR(__xludf.DUMMYFUNCTION("""COMPUTED_VALUE"""),0.44)</f>
        <v>0.44</v>
      </c>
      <c r="H56" s="320">
        <f>IFERROR(__xludf.DUMMYFUNCTION("""COMPUTED_VALUE"""),4.6058)</f>
        <v>4.6058</v>
      </c>
      <c r="I56" s="320">
        <f>IFERROR(__xludf.DUMMYFUNCTION("""COMPUTED_VALUE"""),5.55)</f>
        <v>5.55</v>
      </c>
      <c r="J56" s="320">
        <f>IFERROR(__xludf.DUMMYFUNCTION("""COMPUTED_VALUE"""),2.42)</f>
        <v>2.42</v>
      </c>
      <c r="K56" s="320">
        <f>IFERROR(__xludf.DUMMYFUNCTION("""COMPUTED_VALUE"""),0.06)</f>
        <v>0.06</v>
      </c>
      <c r="L56" s="320">
        <f>IFERROR(__xludf.DUMMYFUNCTION("""COMPUTED_VALUE"""),0.0247)</f>
        <v>0.0247</v>
      </c>
      <c r="M56" s="320">
        <f>IFERROR(__xludf.DUMMYFUNCTION("""COMPUTED_VALUE"""),0.9778)</f>
        <v>0.9778</v>
      </c>
      <c r="N56" s="320">
        <f>IFERROR(__xludf.DUMMYFUNCTION("""COMPUTED_VALUE"""),0.7594)</f>
        <v>0.7594</v>
      </c>
      <c r="O56" s="320">
        <f>IFERROR(__xludf.DUMMYFUNCTION("""COMPUTED_VALUE"""),40.4457)</f>
        <v>40.4457</v>
      </c>
      <c r="P56" s="320">
        <f>IFERROR(__xludf.DUMMYFUNCTION("""COMPUTED_VALUE"""),31.76)</f>
        <v>31.76</v>
      </c>
      <c r="Q56" s="320">
        <f>IFERROR(__xludf.DUMMYFUNCTION("""COMPUTED_VALUE"""),31.68)</f>
        <v>31.68</v>
      </c>
      <c r="R56" s="320">
        <f>IFERROR(__xludf.DUMMYFUNCTION("""COMPUTED_VALUE"""),0.08)</f>
        <v>0.08</v>
      </c>
      <c r="S56" s="320">
        <f>IFERROR(__xludf.DUMMYFUNCTION("""COMPUTED_VALUE"""),1.35)</f>
        <v>1.35</v>
      </c>
      <c r="T56" s="320">
        <f>IFERROR(__xludf.DUMMYFUNCTION("""COMPUTED_VALUE"""),30.42)</f>
        <v>30.42</v>
      </c>
      <c r="U56" s="320">
        <f>IFERROR(__xludf.DUMMYFUNCTION("""COMPUTED_VALUE"""),2.31)</f>
        <v>2.31</v>
      </c>
      <c r="V56" s="320">
        <f>IFERROR(__xludf.DUMMYFUNCTION("""COMPUTED_VALUE"""),0.9514)</f>
        <v>0.9514</v>
      </c>
      <c r="W56" s="320">
        <f>IFERROR(__xludf.DUMMYFUNCTION("""COMPUTED_VALUE"""),4.23)</f>
        <v>4.23</v>
      </c>
      <c r="X56" s="320">
        <f>IFERROR(__xludf.DUMMYFUNCTION("""COMPUTED_VALUE"""),177.0)</f>
        <v>177</v>
      </c>
      <c r="Y56" s="320">
        <f>IFERROR(__xludf.DUMMYFUNCTION("""COMPUTED_VALUE"""),1150.0)</f>
        <v>1150</v>
      </c>
      <c r="Z56" s="320">
        <f>IFERROR(__xludf.DUMMYFUNCTION("""COMPUTED_VALUE"""),7347.0)</f>
        <v>7347</v>
      </c>
      <c r="AA56" s="320">
        <f>IFERROR(__xludf.DUMMYFUNCTION("""COMPUTED_VALUE"""),49.687)</f>
        <v>49.687</v>
      </c>
      <c r="AB56" s="320">
        <f>IFERROR(__xludf.DUMMYFUNCTION("""COMPUTED_VALUE"""),0.5226)</f>
        <v>0.5226</v>
      </c>
      <c r="AC56" s="106"/>
      <c r="AD56" s="106"/>
      <c r="AE56" s="106"/>
      <c r="AF56" s="106"/>
      <c r="AG56" s="106"/>
      <c r="AH56" s="320">
        <f>IFERROR(__xludf.DUMMYFUNCTION("""COMPUTED_VALUE"""),0.0)</f>
        <v>0</v>
      </c>
      <c r="AI56" s="320">
        <f>IFERROR(__xludf.DUMMYFUNCTION("""COMPUTED_VALUE"""),0.0)</f>
        <v>0</v>
      </c>
      <c r="AJ56" s="320">
        <f>IFERROR(__xludf.DUMMYFUNCTION("""COMPUTED_VALUE"""),0.0)</f>
        <v>0</v>
      </c>
      <c r="AK56" s="320">
        <f>IFERROR(__xludf.DUMMYFUNCTION("""COMPUTED_VALUE"""),0.3044)</f>
        <v>0.3044</v>
      </c>
      <c r="AL56" s="320">
        <f>IFERROR(__xludf.DUMMYFUNCTION("""COMPUTED_VALUE"""),16.7)</f>
        <v>16.7</v>
      </c>
      <c r="AM56" s="320">
        <f>IFERROR(__xludf.DUMMYFUNCTION("""COMPUTED_VALUE"""),14.98)</f>
        <v>14.98</v>
      </c>
      <c r="AN56" s="331"/>
      <c r="AO56" s="331"/>
    </row>
    <row r="57" ht="15.75" customHeight="1">
      <c r="A57" s="330">
        <f>IFERROR(__xludf.DUMMYFUNCTION("""COMPUTED_VALUE"""),46059.0)</f>
        <v>46059</v>
      </c>
      <c r="B57" s="319" t="str">
        <f>IFERROR(__xludf.DUMMYFUNCTION("""COMPUTED_VALUE"""),"B. 1-9")</f>
        <v>B. 1-9</v>
      </c>
      <c r="C57" s="320">
        <f>IFERROR(__xludf.DUMMYFUNCTION("""COMPUTED_VALUE"""),32580.0)</f>
        <v>32580</v>
      </c>
      <c r="D57" s="320">
        <f>IFERROR(__xludf.DUMMYFUNCTION("""COMPUTED_VALUE"""),40.75)</f>
        <v>40.75</v>
      </c>
      <c r="E57" s="320">
        <f>IFERROR(__xludf.DUMMYFUNCTION("""COMPUTED_VALUE"""),8843.54)</f>
        <v>8843.54</v>
      </c>
      <c r="F57" s="320">
        <f>IFERROR(__xludf.DUMMYFUNCTION("""COMPUTED_VALUE"""),0.2714)</f>
        <v>0.2714</v>
      </c>
      <c r="G57" s="320">
        <f>IFERROR(__xludf.DUMMYFUNCTION("""COMPUTED_VALUE"""),7.51)</f>
        <v>7.51</v>
      </c>
      <c r="H57" s="320">
        <f>IFERROR(__xludf.DUMMYFUNCTION("""COMPUTED_VALUE"""),3.614)</f>
        <v>3.614</v>
      </c>
      <c r="I57" s="320">
        <f>IFERROR(__xludf.DUMMYFUNCTION("""COMPUTED_VALUE"""),33.41)</f>
        <v>33.41</v>
      </c>
      <c r="J57" s="320">
        <f>IFERROR(__xludf.DUMMYFUNCTION("""COMPUTED_VALUE"""),17.95)</f>
        <v>17.95</v>
      </c>
      <c r="K57" s="320">
        <f>IFERROR(__xludf.DUMMYFUNCTION("""COMPUTED_VALUE"""),5.83)</f>
        <v>5.83</v>
      </c>
      <c r="L57" s="320">
        <f>IFERROR(__xludf.DUMMYFUNCTION("""COMPUTED_VALUE"""),0.3247)</f>
        <v>0.3247</v>
      </c>
      <c r="M57" s="320">
        <f>IFERROR(__xludf.DUMMYFUNCTION("""COMPUTED_VALUE"""),0.7463)</f>
        <v>0.7463</v>
      </c>
      <c r="N57" s="320">
        <f>IFERROR(__xludf.DUMMYFUNCTION("""COMPUTED_VALUE"""),0.4941)</f>
        <v>0.4941</v>
      </c>
      <c r="O57" s="320">
        <f>IFERROR(__xludf.DUMMYFUNCTION("""COMPUTED_VALUE"""),3.0796)</f>
        <v>3.0796</v>
      </c>
      <c r="P57" s="320">
        <f>IFERROR(__xludf.DUMMYFUNCTION("""COMPUTED_VALUE"""),91.63)</f>
        <v>91.63</v>
      </c>
      <c r="Q57" s="320">
        <f>IFERROR(__xludf.DUMMYFUNCTION("""COMPUTED_VALUE"""),79.49)</f>
        <v>79.49</v>
      </c>
      <c r="R57" s="320">
        <f>IFERROR(__xludf.DUMMYFUNCTION("""COMPUTED_VALUE"""),12.14)</f>
        <v>12.14</v>
      </c>
      <c r="S57" s="320">
        <f>IFERROR(__xludf.DUMMYFUNCTION("""COMPUTED_VALUE"""),17.7)</f>
        <v>17.7</v>
      </c>
      <c r="T57" s="320">
        <f>IFERROR(__xludf.DUMMYFUNCTION("""COMPUTED_VALUE"""),73.93)</f>
        <v>73.93</v>
      </c>
      <c r="U57" s="320">
        <f>IFERROR(__xludf.DUMMYFUNCTION("""COMPUTED_VALUE"""),84.84)</f>
        <v>84.84</v>
      </c>
      <c r="V57" s="320">
        <f>IFERROR(__xludf.DUMMYFUNCTION("""COMPUTED_VALUE"""),4.7269)</f>
        <v>4.7269</v>
      </c>
      <c r="W57" s="320">
        <f>IFERROR(__xludf.DUMMYFUNCTION("""COMPUTED_VALUE"""),19.31)</f>
        <v>19.31</v>
      </c>
      <c r="X57" s="320">
        <f>IFERROR(__xludf.DUMMYFUNCTION("""COMPUTED_VALUE"""),91.0)</f>
        <v>91</v>
      </c>
      <c r="Y57" s="320">
        <f>IFERROR(__xludf.DUMMYFUNCTION("""COMPUTED_VALUE"""),219.0)</f>
        <v>219</v>
      </c>
      <c r="Z57" s="320">
        <f>IFERROR(__xludf.DUMMYFUNCTION("""COMPUTED_VALUE"""),852.0)</f>
        <v>852</v>
      </c>
      <c r="AA57" s="320">
        <f>IFERROR(__xludf.DUMMYFUNCTION("""COMPUTED_VALUE"""),49.2615)</f>
        <v>49.2615</v>
      </c>
      <c r="AB57" s="320">
        <f>IFERROR(__xludf.DUMMYFUNCTION("""COMPUTED_VALUE"""),0.4442)</f>
        <v>0.4442</v>
      </c>
      <c r="AC57" s="320">
        <f>IFERROR(__xludf.DUMMYFUNCTION("""COMPUTED_VALUE"""),3.83)</f>
        <v>3.83</v>
      </c>
      <c r="AD57" s="320">
        <f>IFERROR(__xludf.DUMMYFUNCTION("""COMPUTED_VALUE"""),1.0)</f>
        <v>1</v>
      </c>
      <c r="AE57" s="320">
        <f>IFERROR(__xludf.DUMMYFUNCTION("""COMPUTED_VALUE"""),2.0)</f>
        <v>2</v>
      </c>
      <c r="AF57" s="320">
        <f>IFERROR(__xludf.DUMMYFUNCTION("""COMPUTED_VALUE"""),5.0)</f>
        <v>5</v>
      </c>
      <c r="AG57" s="320">
        <f>IFERROR(__xludf.DUMMYFUNCTION("""COMPUTED_VALUE"""),9.0)</f>
        <v>9</v>
      </c>
      <c r="AH57" s="320">
        <f>IFERROR(__xludf.DUMMYFUNCTION("""COMPUTED_VALUE"""),70.22)</f>
        <v>70.22</v>
      </c>
      <c r="AI57" s="320">
        <f>IFERROR(__xludf.DUMMYFUNCTION("""COMPUTED_VALUE"""),28.34)</f>
        <v>28.34</v>
      </c>
      <c r="AJ57" s="320">
        <f>IFERROR(__xludf.DUMMYFUNCTION("""COMPUTED_VALUE"""),8.08)</f>
        <v>8.08</v>
      </c>
      <c r="AK57" s="320">
        <f>IFERROR(__xludf.DUMMYFUNCTION("""COMPUTED_VALUE"""),0.2404)</f>
        <v>0.2404</v>
      </c>
      <c r="AL57" s="320">
        <f>IFERROR(__xludf.DUMMYFUNCTION("""COMPUTED_VALUE"""),21.19)</f>
        <v>21.19</v>
      </c>
      <c r="AM57" s="320">
        <f>IFERROR(__xludf.DUMMYFUNCTION("""COMPUTED_VALUE"""),58.29)</f>
        <v>58.29</v>
      </c>
      <c r="AN57" s="320">
        <f>IFERROR(__xludf.DUMMYFUNCTION("""COMPUTED_VALUE"""),67.93)</f>
        <v>67.93</v>
      </c>
      <c r="AO57" s="320">
        <f>IFERROR(__xludf.DUMMYFUNCTION("""COMPUTED_VALUE"""),14.39)</f>
        <v>14.39</v>
      </c>
    </row>
    <row r="58" ht="15.75" customHeight="1">
      <c r="A58" s="330">
        <f>IFERROR(__xludf.DUMMYFUNCTION("""COMPUTED_VALUE"""),46059.0)</f>
        <v>46059</v>
      </c>
      <c r="B58" s="319" t="str">
        <f>IFERROR(__xludf.DUMMYFUNCTION("""COMPUTED_VALUE"""),"C. 10-19")</f>
        <v>C. 10-19</v>
      </c>
      <c r="C58" s="320">
        <f>IFERROR(__xludf.DUMMYFUNCTION("""COMPUTED_VALUE"""),18193.0)</f>
        <v>18193</v>
      </c>
      <c r="D58" s="320">
        <f>IFERROR(__xludf.DUMMYFUNCTION("""COMPUTED_VALUE"""),22.76)</f>
        <v>22.76</v>
      </c>
      <c r="E58" s="320">
        <f>IFERROR(__xludf.DUMMYFUNCTION("""COMPUTED_VALUE"""),18475.63)</f>
        <v>18475.63</v>
      </c>
      <c r="F58" s="320">
        <f>IFERROR(__xludf.DUMMYFUNCTION("""COMPUTED_VALUE"""),1.0155)</f>
        <v>1.0155</v>
      </c>
      <c r="G58" s="320">
        <f>IFERROR(__xludf.DUMMYFUNCTION("""COMPUTED_VALUE"""),20.65)</f>
        <v>20.65</v>
      </c>
      <c r="H58" s="320">
        <f>IFERROR(__xludf.DUMMYFUNCTION("""COMPUTED_VALUE"""),4.9177)</f>
        <v>4.9177</v>
      </c>
      <c r="I58" s="320">
        <f>IFERROR(__xludf.DUMMYFUNCTION("""COMPUTED_VALUE"""),60.36)</f>
        <v>60.36</v>
      </c>
      <c r="J58" s="320">
        <f>IFERROR(__xludf.DUMMYFUNCTION("""COMPUTED_VALUE"""),34.24)</f>
        <v>34.24</v>
      </c>
      <c r="K58" s="320">
        <f>IFERROR(__xludf.DUMMYFUNCTION("""COMPUTED_VALUE"""),14.21)</f>
        <v>14.21</v>
      </c>
      <c r="L58" s="320">
        <f>IFERROR(__xludf.DUMMYFUNCTION("""COMPUTED_VALUE"""),0.4151)</f>
        <v>0.4151</v>
      </c>
      <c r="M58" s="320">
        <f>IFERROR(__xludf.DUMMYFUNCTION("""COMPUTED_VALUE"""),0.6487)</f>
        <v>0.6487</v>
      </c>
      <c r="N58" s="320">
        <f>IFERROR(__xludf.DUMMYFUNCTION("""COMPUTED_VALUE"""),0.3776)</f>
        <v>0.3776</v>
      </c>
      <c r="O58" s="320">
        <f>IFERROR(__xludf.DUMMYFUNCTION("""COMPUTED_VALUE"""),2.4089)</f>
        <v>2.4089</v>
      </c>
      <c r="P58" s="320">
        <f>IFERROR(__xludf.DUMMYFUNCTION("""COMPUTED_VALUE"""),181.86)</f>
        <v>181.86</v>
      </c>
      <c r="Q58" s="320">
        <f>IFERROR(__xludf.DUMMYFUNCTION("""COMPUTED_VALUE"""),152.01)</f>
        <v>152.01</v>
      </c>
      <c r="R58" s="320">
        <f>IFERROR(__xludf.DUMMYFUNCTION("""COMPUTED_VALUE"""),29.85)</f>
        <v>29.85</v>
      </c>
      <c r="S58" s="320">
        <f>IFERROR(__xludf.DUMMYFUNCTION("""COMPUTED_VALUE"""),63.51)</f>
        <v>63.51</v>
      </c>
      <c r="T58" s="320">
        <f>IFERROR(__xludf.DUMMYFUNCTION("""COMPUTED_VALUE"""),118.34)</f>
        <v>118.34</v>
      </c>
      <c r="U58" s="320">
        <f>IFERROR(__xludf.DUMMYFUNCTION("""COMPUTED_VALUE"""),179.81)</f>
        <v>179.81</v>
      </c>
      <c r="V58" s="320">
        <f>IFERROR(__xludf.DUMMYFUNCTION("""COMPUTED_VALUE"""),5.2516)</f>
        <v>5.2516</v>
      </c>
      <c r="W58" s="320">
        <f>IFERROR(__xludf.DUMMYFUNCTION("""COMPUTED_VALUE"""),34.93)</f>
        <v>34.93</v>
      </c>
      <c r="X58" s="320">
        <f>IFERROR(__xludf.DUMMYFUNCTION("""COMPUTED_VALUE"""),87.0)</f>
        <v>87</v>
      </c>
      <c r="Y58" s="320">
        <f>IFERROR(__xludf.DUMMYFUNCTION("""COMPUTED_VALUE"""),206.0)</f>
        <v>206</v>
      </c>
      <c r="Z58" s="320">
        <f>IFERROR(__xludf.DUMMYFUNCTION("""COMPUTED_VALUE"""),686.0)</f>
        <v>686</v>
      </c>
      <c r="AA58" s="320">
        <f>IFERROR(__xludf.DUMMYFUNCTION("""COMPUTED_VALUE"""),52.2036)</f>
        <v>52.2036</v>
      </c>
      <c r="AB58" s="320">
        <f>IFERROR(__xludf.DUMMYFUNCTION("""COMPUTED_VALUE"""),0.5508)</f>
        <v>0.5508</v>
      </c>
      <c r="AC58" s="320">
        <f>IFERROR(__xludf.DUMMYFUNCTION("""COMPUTED_VALUE"""),9.01)</f>
        <v>9.01</v>
      </c>
      <c r="AD58" s="320">
        <f>IFERROR(__xludf.DUMMYFUNCTION("""COMPUTED_VALUE"""),3.0)</f>
        <v>3</v>
      </c>
      <c r="AE58" s="320">
        <f>IFERROR(__xludf.DUMMYFUNCTION("""COMPUTED_VALUE"""),7.0)</f>
        <v>7</v>
      </c>
      <c r="AF58" s="320">
        <f>IFERROR(__xludf.DUMMYFUNCTION("""COMPUTED_VALUE"""),13.0)</f>
        <v>13</v>
      </c>
      <c r="AG58" s="320">
        <f>IFERROR(__xludf.DUMMYFUNCTION("""COMPUTED_VALUE"""),19.0)</f>
        <v>19</v>
      </c>
      <c r="AH58" s="320">
        <f>IFERROR(__xludf.DUMMYFUNCTION("""COMPUTED_VALUE"""),57.21)</f>
        <v>57.21</v>
      </c>
      <c r="AI58" s="320">
        <f>IFERROR(__xludf.DUMMYFUNCTION("""COMPUTED_VALUE"""),25.14)</f>
        <v>25.14</v>
      </c>
      <c r="AJ58" s="320">
        <f>IFERROR(__xludf.DUMMYFUNCTION("""COMPUTED_VALUE"""),4.36)</f>
        <v>4.36</v>
      </c>
      <c r="AK58" s="320">
        <f>IFERROR(__xludf.DUMMYFUNCTION("""COMPUTED_VALUE"""),0.2015)</f>
        <v>0.2015</v>
      </c>
      <c r="AL58" s="320">
        <f>IFERROR(__xludf.DUMMYFUNCTION("""COMPUTED_VALUE"""),21.25)</f>
        <v>21.25</v>
      </c>
      <c r="AM58" s="320">
        <f>IFERROR(__xludf.DUMMYFUNCTION("""COMPUTED_VALUE"""),130.76)</f>
        <v>130.76</v>
      </c>
      <c r="AN58" s="320">
        <f>IFERROR(__xludf.DUMMYFUNCTION("""COMPUTED_VALUE"""),74.67)</f>
        <v>74.67</v>
      </c>
      <c r="AO58" s="320">
        <f>IFERROR(__xludf.DUMMYFUNCTION("""COMPUTED_VALUE"""),15.87)</f>
        <v>15.87</v>
      </c>
    </row>
    <row r="59" ht="15.75" customHeight="1">
      <c r="A59" s="330">
        <f>IFERROR(__xludf.DUMMYFUNCTION("""COMPUTED_VALUE"""),46059.0)</f>
        <v>46059</v>
      </c>
      <c r="B59" s="319" t="str">
        <f>IFERROR(__xludf.DUMMYFUNCTION("""COMPUTED_VALUE"""),"D. 20-39")</f>
        <v>D. 20-39</v>
      </c>
      <c r="C59" s="320">
        <f>IFERROR(__xludf.DUMMYFUNCTION("""COMPUTED_VALUE"""),9634.0)</f>
        <v>9634</v>
      </c>
      <c r="D59" s="320">
        <f>IFERROR(__xludf.DUMMYFUNCTION("""COMPUTED_VALUE"""),12.05)</f>
        <v>12.05</v>
      </c>
      <c r="E59" s="320">
        <f>IFERROR(__xludf.DUMMYFUNCTION("""COMPUTED_VALUE"""),23343.13)</f>
        <v>23343.13</v>
      </c>
      <c r="F59" s="320">
        <f>IFERROR(__xludf.DUMMYFUNCTION("""COMPUTED_VALUE"""),2.423)</f>
        <v>2.423</v>
      </c>
      <c r="G59" s="320">
        <f>IFERROR(__xludf.DUMMYFUNCTION("""COMPUTED_VALUE"""),31.88)</f>
        <v>31.88</v>
      </c>
      <c r="H59" s="320">
        <f>IFERROR(__xludf.DUMMYFUNCTION("""COMPUTED_VALUE"""),7.6011)</f>
        <v>7.6011</v>
      </c>
      <c r="I59" s="320">
        <f>IFERROR(__xludf.DUMMYFUNCTION("""COMPUTED_VALUE"""),88.32)</f>
        <v>88.32</v>
      </c>
      <c r="J59" s="320">
        <f>IFERROR(__xludf.DUMMYFUNCTION("""COMPUTED_VALUE"""),51.72)</f>
        <v>51.72</v>
      </c>
      <c r="K59" s="320">
        <f>IFERROR(__xludf.DUMMYFUNCTION("""COMPUTED_VALUE"""),26.62)</f>
        <v>26.62</v>
      </c>
      <c r="L59" s="320">
        <f>IFERROR(__xludf.DUMMYFUNCTION("""COMPUTED_VALUE"""),0.5147)</f>
        <v>0.5147</v>
      </c>
      <c r="M59" s="320">
        <f>IFERROR(__xludf.DUMMYFUNCTION("""COMPUTED_VALUE"""),0.555)</f>
        <v>0.555</v>
      </c>
      <c r="N59" s="320">
        <f>IFERROR(__xludf.DUMMYFUNCTION("""COMPUTED_VALUE"""),0.3119)</f>
        <v>0.3119</v>
      </c>
      <c r="O59" s="320">
        <f>IFERROR(__xludf.DUMMYFUNCTION("""COMPUTED_VALUE"""),1.9428)</f>
        <v>1.9428</v>
      </c>
      <c r="P59" s="320">
        <f>IFERROR(__xludf.DUMMYFUNCTION("""COMPUTED_VALUE"""),324.57)</f>
        <v>324.57</v>
      </c>
      <c r="Q59" s="320">
        <f>IFERROR(__xludf.DUMMYFUNCTION("""COMPUTED_VALUE"""),268.49)</f>
        <v>268.49</v>
      </c>
      <c r="R59" s="320">
        <f>IFERROR(__xludf.DUMMYFUNCTION("""COMPUTED_VALUE"""),56.08)</f>
        <v>56.08</v>
      </c>
      <c r="S59" s="320">
        <f>IFERROR(__xludf.DUMMYFUNCTION("""COMPUTED_VALUE"""),150.35)</f>
        <v>150.35</v>
      </c>
      <c r="T59" s="320">
        <f>IFERROR(__xludf.DUMMYFUNCTION("""COMPUTED_VALUE"""),174.22)</f>
        <v>174.22</v>
      </c>
      <c r="U59" s="320">
        <f>IFERROR(__xludf.DUMMYFUNCTION("""COMPUTED_VALUE"""),329.98)</f>
        <v>329.98</v>
      </c>
      <c r="V59" s="320">
        <f>IFERROR(__xludf.DUMMYFUNCTION("""COMPUTED_VALUE"""),6.3803)</f>
        <v>6.3803</v>
      </c>
      <c r="W59" s="320">
        <f>IFERROR(__xludf.DUMMYFUNCTION("""COMPUTED_VALUE"""),46.32)</f>
        <v>46.32</v>
      </c>
      <c r="X59" s="320">
        <f>IFERROR(__xludf.DUMMYFUNCTION("""COMPUTED_VALUE"""),89.0)</f>
        <v>89</v>
      </c>
      <c r="Y59" s="320">
        <f>IFERROR(__xludf.DUMMYFUNCTION("""COMPUTED_VALUE"""),215.0)</f>
        <v>215</v>
      </c>
      <c r="Z59" s="320">
        <f>IFERROR(__xludf.DUMMYFUNCTION("""COMPUTED_VALUE"""),707.0)</f>
        <v>707</v>
      </c>
      <c r="AA59" s="320">
        <f>IFERROR(__xludf.DUMMYFUNCTION("""COMPUTED_VALUE"""),54.4788)</f>
        <v>54.4788</v>
      </c>
      <c r="AB59" s="320">
        <f>IFERROR(__xludf.DUMMYFUNCTION("""COMPUTED_VALUE"""),0.6498)</f>
        <v>0.6498</v>
      </c>
      <c r="AC59" s="320">
        <f>IFERROR(__xludf.DUMMYFUNCTION("""COMPUTED_VALUE"""),16.49)</f>
        <v>16.49</v>
      </c>
      <c r="AD59" s="320">
        <f>IFERROR(__xludf.DUMMYFUNCTION("""COMPUTED_VALUE"""),6.0)</f>
        <v>6</v>
      </c>
      <c r="AE59" s="320">
        <f>IFERROR(__xludf.DUMMYFUNCTION("""COMPUTED_VALUE"""),12.0)</f>
        <v>12</v>
      </c>
      <c r="AF59" s="320">
        <f>IFERROR(__xludf.DUMMYFUNCTION("""COMPUTED_VALUE"""),23.0)</f>
        <v>23</v>
      </c>
      <c r="AG59" s="320">
        <f>IFERROR(__xludf.DUMMYFUNCTION("""COMPUTED_VALUE"""),35.0)</f>
        <v>35</v>
      </c>
      <c r="AH59" s="320">
        <f>IFERROR(__xludf.DUMMYFUNCTION("""COMPUTED_VALUE"""),54.84)</f>
        <v>54.84</v>
      </c>
      <c r="AI59" s="320">
        <f>IFERROR(__xludf.DUMMYFUNCTION("""COMPUTED_VALUE"""),20.94)</f>
        <v>20.94</v>
      </c>
      <c r="AJ59" s="320">
        <f>IFERROR(__xludf.DUMMYFUNCTION("""COMPUTED_VALUE"""),5.81)</f>
        <v>5.81</v>
      </c>
      <c r="AK59" s="320">
        <f>IFERROR(__xludf.DUMMYFUNCTION("""COMPUTED_VALUE"""),0.2056)</f>
        <v>0.2056</v>
      </c>
      <c r="AL59" s="320">
        <f>IFERROR(__xludf.DUMMYFUNCTION("""COMPUTED_VALUE"""),21.65)</f>
        <v>21.65</v>
      </c>
      <c r="AM59" s="320">
        <f>IFERROR(__xludf.DUMMYFUNCTION("""COMPUTED_VALUE"""),246.83)</f>
        <v>246.83</v>
      </c>
      <c r="AN59" s="320">
        <f>IFERROR(__xludf.DUMMYFUNCTION("""COMPUTED_VALUE"""),75.49)</f>
        <v>75.49</v>
      </c>
      <c r="AO59" s="320">
        <f>IFERROR(__xludf.DUMMYFUNCTION("""COMPUTED_VALUE"""),16.34)</f>
        <v>16.34</v>
      </c>
    </row>
    <row r="60" ht="15.75" customHeight="1">
      <c r="A60" s="330">
        <f>IFERROR(__xludf.DUMMYFUNCTION("""COMPUTED_VALUE"""),46059.0)</f>
        <v>46059</v>
      </c>
      <c r="B60" s="319" t="str">
        <f>IFERROR(__xludf.DUMMYFUNCTION("""COMPUTED_VALUE"""),"E. 40-99")</f>
        <v>E. 40-99</v>
      </c>
      <c r="C60" s="320">
        <f>IFERROR(__xludf.DUMMYFUNCTION("""COMPUTED_VALUE"""),3747.0)</f>
        <v>3747</v>
      </c>
      <c r="D60" s="320">
        <f>IFERROR(__xludf.DUMMYFUNCTION("""COMPUTED_VALUE"""),4.69)</f>
        <v>4.69</v>
      </c>
      <c r="E60" s="320">
        <f>IFERROR(__xludf.DUMMYFUNCTION("""COMPUTED_VALUE"""),20768.28)</f>
        <v>20768.28</v>
      </c>
      <c r="F60" s="320">
        <f>IFERROR(__xludf.DUMMYFUNCTION("""COMPUTED_VALUE"""),5.5426)</f>
        <v>5.5426</v>
      </c>
      <c r="G60" s="320">
        <f>IFERROR(__xludf.DUMMYFUNCTION("""COMPUTED_VALUE"""),41.9)</f>
        <v>41.9</v>
      </c>
      <c r="H60" s="320">
        <f>IFERROR(__xludf.DUMMYFUNCTION("""COMPUTED_VALUE"""),13.2282)</f>
        <v>13.2282</v>
      </c>
      <c r="I60" s="320">
        <f>IFERROR(__xludf.DUMMYFUNCTION("""COMPUTED_VALUE"""),135.65)</f>
        <v>135.65</v>
      </c>
      <c r="J60" s="320">
        <f>IFERROR(__xludf.DUMMYFUNCTION("""COMPUTED_VALUE"""),82.04)</f>
        <v>82.04</v>
      </c>
      <c r="K60" s="320">
        <f>IFERROR(__xludf.DUMMYFUNCTION("""COMPUTED_VALUE"""),54.38)</f>
        <v>54.38</v>
      </c>
      <c r="L60" s="320">
        <f>IFERROR(__xludf.DUMMYFUNCTION("""COMPUTED_VALUE"""),0.6628)</f>
        <v>0.6628</v>
      </c>
      <c r="M60" s="320">
        <f>IFERROR(__xludf.DUMMYFUNCTION("""COMPUTED_VALUE"""),0.423)</f>
        <v>0.423</v>
      </c>
      <c r="N60" s="320">
        <f>IFERROR(__xludf.DUMMYFUNCTION("""COMPUTED_VALUE"""),0.2403)</f>
        <v>0.2403</v>
      </c>
      <c r="O60" s="320">
        <f>IFERROR(__xludf.DUMMYFUNCTION("""COMPUTED_VALUE"""),1.5087)</f>
        <v>1.5087</v>
      </c>
      <c r="P60" s="320">
        <f>IFERROR(__xludf.DUMMYFUNCTION("""COMPUTED_VALUE"""),641.37)</f>
        <v>641.37</v>
      </c>
      <c r="Q60" s="320">
        <f>IFERROR(__xludf.DUMMYFUNCTION("""COMPUTED_VALUE"""),526.78)</f>
        <v>526.78</v>
      </c>
      <c r="R60" s="320">
        <f>IFERROR(__xludf.DUMMYFUNCTION("""COMPUTED_VALUE"""),114.59)</f>
        <v>114.59</v>
      </c>
      <c r="S60" s="320">
        <f>IFERROR(__xludf.DUMMYFUNCTION("""COMPUTED_VALUE"""),354.76)</f>
        <v>354.76</v>
      </c>
      <c r="T60" s="320">
        <f>IFERROR(__xludf.DUMMYFUNCTION("""COMPUTED_VALUE"""),286.61)</f>
        <v>286.61</v>
      </c>
      <c r="U60" s="320">
        <f>IFERROR(__xludf.DUMMYFUNCTION("""COMPUTED_VALUE"""),677.61)</f>
        <v>677.61</v>
      </c>
      <c r="V60" s="320">
        <f>IFERROR(__xludf.DUMMYFUNCTION("""COMPUTED_VALUE"""),8.2598)</f>
        <v>8.2598</v>
      </c>
      <c r="W60" s="320">
        <f>IFERROR(__xludf.DUMMYFUNCTION("""COMPUTED_VALUE"""),55.31)</f>
        <v>55.31</v>
      </c>
      <c r="X60" s="320">
        <f>IFERROR(__xludf.DUMMYFUNCTION("""COMPUTED_VALUE"""),103.0)</f>
        <v>103</v>
      </c>
      <c r="Y60" s="320">
        <f>IFERROR(__xludf.DUMMYFUNCTION("""COMPUTED_VALUE"""),356.0)</f>
        <v>356</v>
      </c>
      <c r="Z60" s="320">
        <f>IFERROR(__xludf.DUMMYFUNCTION("""COMPUTED_VALUE"""),1149.0)</f>
        <v>1149</v>
      </c>
      <c r="AA60" s="320">
        <f>IFERROR(__xludf.DUMMYFUNCTION("""COMPUTED_VALUE"""),57.631)</f>
        <v>57.631</v>
      </c>
      <c r="AB60" s="320">
        <f>IFERROR(__xludf.DUMMYFUNCTION("""COMPUTED_VALUE"""),0.7588)</f>
        <v>0.7588</v>
      </c>
      <c r="AC60" s="320">
        <f>IFERROR(__xludf.DUMMYFUNCTION("""COMPUTED_VALUE"""),35.33)</f>
        <v>35.33</v>
      </c>
      <c r="AD60" s="320">
        <f>IFERROR(__xludf.DUMMYFUNCTION("""COMPUTED_VALUE"""),12.0)</f>
        <v>12</v>
      </c>
      <c r="AE60" s="320">
        <f>IFERROR(__xludf.DUMMYFUNCTION("""COMPUTED_VALUE"""),26.0)</f>
        <v>26</v>
      </c>
      <c r="AF60" s="320">
        <f>IFERROR(__xludf.DUMMYFUNCTION("""COMPUTED_VALUE"""),49.0)</f>
        <v>49</v>
      </c>
      <c r="AG60" s="320">
        <f>IFERROR(__xludf.DUMMYFUNCTION("""COMPUTED_VALUE"""),77.0)</f>
        <v>77</v>
      </c>
      <c r="AH60" s="320">
        <f>IFERROR(__xludf.DUMMYFUNCTION("""COMPUTED_VALUE"""),48.17)</f>
        <v>48.17</v>
      </c>
      <c r="AI60" s="320">
        <f>IFERROR(__xludf.DUMMYFUNCTION("""COMPUTED_VALUE"""),17.43)</f>
        <v>17.43</v>
      </c>
      <c r="AJ60" s="320">
        <f>IFERROR(__xludf.DUMMYFUNCTION("""COMPUTED_VALUE"""),4.67)</f>
        <v>4.67</v>
      </c>
      <c r="AK60" s="320">
        <f>IFERROR(__xludf.DUMMYFUNCTION("""COMPUTED_VALUE"""),0.19)</f>
        <v>0.19</v>
      </c>
      <c r="AL60" s="320">
        <f>IFERROR(__xludf.DUMMYFUNCTION("""COMPUTED_VALUE"""),21.29)</f>
        <v>21.29</v>
      </c>
      <c r="AM60" s="320">
        <f>IFERROR(__xludf.DUMMYFUNCTION("""COMPUTED_VALUE"""),505.49)</f>
        <v>505.49</v>
      </c>
      <c r="AN60" s="320">
        <f>IFERROR(__xludf.DUMMYFUNCTION("""COMPUTED_VALUE"""),76.24)</f>
        <v>76.24</v>
      </c>
      <c r="AO60" s="320">
        <f>IFERROR(__xludf.DUMMYFUNCTION("""COMPUTED_VALUE"""),16.23)</f>
        <v>16.23</v>
      </c>
    </row>
    <row r="61" ht="15.75" customHeight="1">
      <c r="A61" s="330">
        <f>IFERROR(__xludf.DUMMYFUNCTION("""COMPUTED_VALUE"""),46059.0)</f>
        <v>46059</v>
      </c>
      <c r="B61" s="319" t="str">
        <f>IFERROR(__xludf.DUMMYFUNCTION("""COMPUTED_VALUE"""),"F. 100+")</f>
        <v>F. 100+</v>
      </c>
      <c r="C61" s="320">
        <f>IFERROR(__xludf.DUMMYFUNCTION("""COMPUTED_VALUE"""),436.0)</f>
        <v>436</v>
      </c>
      <c r="D61" s="320">
        <f>IFERROR(__xludf.DUMMYFUNCTION("""COMPUTED_VALUE"""),0.55)</f>
        <v>0.55</v>
      </c>
      <c r="E61" s="320">
        <f>IFERROR(__xludf.DUMMYFUNCTION("""COMPUTED_VALUE"""),4530.79)</f>
        <v>4530.79</v>
      </c>
      <c r="F61" s="320">
        <f>IFERROR(__xludf.DUMMYFUNCTION("""COMPUTED_VALUE"""),10.3917)</f>
        <v>10.3917</v>
      </c>
      <c r="G61" s="320">
        <f>IFERROR(__xludf.DUMMYFUNCTION("""COMPUTED_VALUE"""),49.31)</f>
        <v>49.31</v>
      </c>
      <c r="H61" s="320">
        <f>IFERROR(__xludf.DUMMYFUNCTION("""COMPUTED_VALUE"""),21.0734)</f>
        <v>21.0734</v>
      </c>
      <c r="I61" s="320">
        <f>IFERROR(__xludf.DUMMYFUNCTION("""COMPUTED_VALUE"""),239.56)</f>
        <v>239.56</v>
      </c>
      <c r="J61" s="320">
        <f>IFERROR(__xludf.DUMMYFUNCTION("""COMPUTED_VALUE"""),152.81)</f>
        <v>152.81</v>
      </c>
      <c r="K61" s="320">
        <f>IFERROR(__xludf.DUMMYFUNCTION("""COMPUTED_VALUE"""),120.11)</f>
        <v>120.11</v>
      </c>
      <c r="L61" s="320">
        <f>IFERROR(__xludf.DUMMYFUNCTION("""COMPUTED_VALUE"""),0.786)</f>
        <v>0.786</v>
      </c>
      <c r="M61" s="320">
        <f>IFERROR(__xludf.DUMMYFUNCTION("""COMPUTED_VALUE"""),0.2991)</f>
        <v>0.2991</v>
      </c>
      <c r="N61" s="320">
        <f>IFERROR(__xludf.DUMMYFUNCTION("""COMPUTED_VALUE"""),0.1767)</f>
        <v>0.1767</v>
      </c>
      <c r="O61" s="320">
        <f>IFERROR(__xludf.DUMMYFUNCTION("""COMPUTED_VALUE"""),1.2723)</f>
        <v>1.2723</v>
      </c>
      <c r="P61" s="320">
        <f>IFERROR(__xludf.DUMMYFUNCTION("""COMPUTED_VALUE"""),1183.25)</f>
        <v>1183.25</v>
      </c>
      <c r="Q61" s="320">
        <f>IFERROR(__xludf.DUMMYFUNCTION("""COMPUTED_VALUE"""),930.83)</f>
        <v>930.83</v>
      </c>
      <c r="R61" s="320">
        <f>IFERROR(__xludf.DUMMYFUNCTION("""COMPUTED_VALUE"""),252.42)</f>
        <v>252.42</v>
      </c>
      <c r="S61" s="320">
        <f>IFERROR(__xludf.DUMMYFUNCTION("""COMPUTED_VALUE"""),649.87)</f>
        <v>649.87</v>
      </c>
      <c r="T61" s="320">
        <f>IFERROR(__xludf.DUMMYFUNCTION("""COMPUTED_VALUE"""),533.37)</f>
        <v>533.37</v>
      </c>
      <c r="U61" s="320">
        <f>IFERROR(__xludf.DUMMYFUNCTION("""COMPUTED_VALUE"""),1244.95)</f>
        <v>1244.95</v>
      </c>
      <c r="V61" s="320">
        <f>IFERROR(__xludf.DUMMYFUNCTION("""COMPUTED_VALUE"""),8.1468)</f>
        <v>8.1468</v>
      </c>
      <c r="W61" s="320">
        <f>IFERROR(__xludf.DUMMYFUNCTION("""COMPUTED_VALUE"""),54.92)</f>
        <v>54.92</v>
      </c>
      <c r="X61" s="320">
        <f>IFERROR(__xludf.DUMMYFUNCTION("""COMPUTED_VALUE"""),137.0)</f>
        <v>137</v>
      </c>
      <c r="Y61" s="320">
        <f>IFERROR(__xludf.DUMMYFUNCTION("""COMPUTED_VALUE"""),628.0)</f>
        <v>628</v>
      </c>
      <c r="Z61" s="320">
        <f>IFERROR(__xludf.DUMMYFUNCTION("""COMPUTED_VALUE"""),2672.0)</f>
        <v>2672</v>
      </c>
      <c r="AA61" s="320">
        <f>IFERROR(__xludf.DUMMYFUNCTION("""COMPUTED_VALUE"""),62.364)</f>
        <v>62.364</v>
      </c>
      <c r="AB61" s="320">
        <f>IFERROR(__xludf.DUMMYFUNCTION("""COMPUTED_VALUE"""),0.8278)</f>
        <v>0.8278</v>
      </c>
      <c r="AC61" s="320">
        <f>IFERROR(__xludf.DUMMYFUNCTION("""COMPUTED_VALUE"""),79.75)</f>
        <v>79.75</v>
      </c>
      <c r="AD61" s="320">
        <f>IFERROR(__xludf.DUMMYFUNCTION("""COMPUTED_VALUE"""),27.0)</f>
        <v>27</v>
      </c>
      <c r="AE61" s="320">
        <f>IFERROR(__xludf.DUMMYFUNCTION("""COMPUTED_VALUE"""),62.0)</f>
        <v>62</v>
      </c>
      <c r="AF61" s="320">
        <f>IFERROR(__xludf.DUMMYFUNCTION("""COMPUTED_VALUE"""),114.0)</f>
        <v>114</v>
      </c>
      <c r="AG61" s="320">
        <f>IFERROR(__xludf.DUMMYFUNCTION("""COMPUTED_VALUE"""),175.0)</f>
        <v>175</v>
      </c>
      <c r="AH61" s="320">
        <f>IFERROR(__xludf.DUMMYFUNCTION("""COMPUTED_VALUE"""),40.6)</f>
        <v>40.6</v>
      </c>
      <c r="AI61" s="320">
        <f>IFERROR(__xludf.DUMMYFUNCTION("""COMPUTED_VALUE"""),9.86)</f>
        <v>9.86</v>
      </c>
      <c r="AJ61" s="320">
        <f>IFERROR(__xludf.DUMMYFUNCTION("""COMPUTED_VALUE"""),0.92)</f>
        <v>0.92</v>
      </c>
      <c r="AK61" s="320">
        <f>IFERROR(__xludf.DUMMYFUNCTION("""COMPUTED_VALUE"""),0.1537)</f>
        <v>0.1537</v>
      </c>
      <c r="AL61" s="320">
        <f>IFERROR(__xludf.DUMMYFUNCTION("""COMPUTED_VALUE"""),21.74)</f>
        <v>21.74</v>
      </c>
      <c r="AM61" s="320">
        <f>IFERROR(__xludf.DUMMYFUNCTION("""COMPUTED_VALUE"""),909.08)</f>
        <v>909.08</v>
      </c>
      <c r="AN61" s="320">
        <f>IFERROR(__xludf.DUMMYFUNCTION("""COMPUTED_VALUE"""),73.56)</f>
        <v>73.56</v>
      </c>
      <c r="AO61" s="320">
        <f>IFERROR(__xludf.DUMMYFUNCTION("""COMPUTED_VALUE"""),15.99)</f>
        <v>15.99</v>
      </c>
    </row>
    <row r="62" ht="15.75" customHeight="1">
      <c r="A62" s="330">
        <f>IFERROR(__xludf.DUMMYFUNCTION("""COMPUTED_VALUE"""),46060.0)</f>
        <v>46060</v>
      </c>
      <c r="B62" s="319" t="str">
        <f>IFERROR(__xludf.DUMMYFUNCTION("""COMPUTED_VALUE"""),"A. 0")</f>
        <v>A. 0</v>
      </c>
      <c r="C62" s="320">
        <f>IFERROR(__xludf.DUMMYFUNCTION("""COMPUTED_VALUE"""),16166.0)</f>
        <v>16166</v>
      </c>
      <c r="D62" s="320">
        <f>IFERROR(__xludf.DUMMYFUNCTION("""COMPUTED_VALUE"""),20.36)</f>
        <v>20.36</v>
      </c>
      <c r="E62" s="320">
        <f>IFERROR(__xludf.DUMMYFUNCTION("""COMPUTED_VALUE"""),174.6)</f>
        <v>174.6</v>
      </c>
      <c r="F62" s="320">
        <f>IFERROR(__xludf.DUMMYFUNCTION("""COMPUTED_VALUE"""),0.0108)</f>
        <v>0.0108</v>
      </c>
      <c r="G62" s="320">
        <f>IFERROR(__xludf.DUMMYFUNCTION("""COMPUTED_VALUE"""),0.33)</f>
        <v>0.33</v>
      </c>
      <c r="H62" s="320">
        <f>IFERROR(__xludf.DUMMYFUNCTION("""COMPUTED_VALUE"""),3.2943)</f>
        <v>3.2943</v>
      </c>
      <c r="I62" s="320">
        <f>IFERROR(__xludf.DUMMYFUNCTION("""COMPUTED_VALUE"""),6.15)</f>
        <v>6.15</v>
      </c>
      <c r="J62" s="320">
        <f>IFERROR(__xludf.DUMMYFUNCTION("""COMPUTED_VALUE"""),2.81)</f>
        <v>2.81</v>
      </c>
      <c r="K62" s="320">
        <f>IFERROR(__xludf.DUMMYFUNCTION("""COMPUTED_VALUE"""),0.03)</f>
        <v>0.03</v>
      </c>
      <c r="L62" s="320">
        <f>IFERROR(__xludf.DUMMYFUNCTION("""COMPUTED_VALUE"""),0.0123)</f>
        <v>0.0123</v>
      </c>
      <c r="M62" s="320">
        <f>IFERROR(__xludf.DUMMYFUNCTION("""COMPUTED_VALUE"""),0.9885)</f>
        <v>0.9885</v>
      </c>
      <c r="N62" s="320">
        <f>IFERROR(__xludf.DUMMYFUNCTION("""COMPUTED_VALUE"""),0.8414)</f>
        <v>0.8414</v>
      </c>
      <c r="O62" s="320">
        <f>IFERROR(__xludf.DUMMYFUNCTION("""COMPUTED_VALUE"""),81.0143)</f>
        <v>81.0143</v>
      </c>
      <c r="P62" s="320">
        <f>IFERROR(__xludf.DUMMYFUNCTION("""COMPUTED_VALUE"""),27.59)</f>
        <v>27.59</v>
      </c>
      <c r="Q62" s="320">
        <f>IFERROR(__xludf.DUMMYFUNCTION("""COMPUTED_VALUE"""),27.51)</f>
        <v>27.51</v>
      </c>
      <c r="R62" s="320">
        <f>IFERROR(__xludf.DUMMYFUNCTION("""COMPUTED_VALUE"""),0.08)</f>
        <v>0.08</v>
      </c>
      <c r="S62" s="320">
        <f>IFERROR(__xludf.DUMMYFUNCTION("""COMPUTED_VALUE"""),0.81)</f>
        <v>0.81</v>
      </c>
      <c r="T62" s="320">
        <f>IFERROR(__xludf.DUMMYFUNCTION("""COMPUTED_VALUE"""),26.78)</f>
        <v>26.78</v>
      </c>
      <c r="U62" s="320">
        <f>IFERROR(__xludf.DUMMYFUNCTION("""COMPUTED_VALUE"""),2.42)</f>
        <v>2.42</v>
      </c>
      <c r="V62" s="320">
        <f>IFERROR(__xludf.DUMMYFUNCTION("""COMPUTED_VALUE"""),0.864)</f>
        <v>0.864</v>
      </c>
      <c r="W62" s="320">
        <f>IFERROR(__xludf.DUMMYFUNCTION("""COMPUTED_VALUE"""),2.92)</f>
        <v>2.92</v>
      </c>
      <c r="X62" s="320">
        <f>IFERROR(__xludf.DUMMYFUNCTION("""COMPUTED_VALUE"""),145.0)</f>
        <v>145</v>
      </c>
      <c r="Y62" s="320">
        <f>IFERROR(__xludf.DUMMYFUNCTION("""COMPUTED_VALUE"""),923.0)</f>
        <v>923</v>
      </c>
      <c r="Z62" s="320">
        <f>IFERROR(__xludf.DUMMYFUNCTION("""COMPUTED_VALUE"""),6640.0)</f>
        <v>6640</v>
      </c>
      <c r="AA62" s="320">
        <f>IFERROR(__xludf.DUMMYFUNCTION("""COMPUTED_VALUE"""),49.5416)</f>
        <v>49.5416</v>
      </c>
      <c r="AB62" s="320">
        <f>IFERROR(__xludf.DUMMYFUNCTION("""COMPUTED_VALUE"""),0.5106)</f>
        <v>0.5106</v>
      </c>
      <c r="AC62" s="106"/>
      <c r="AD62" s="106"/>
      <c r="AE62" s="106"/>
      <c r="AF62" s="106"/>
      <c r="AG62" s="106"/>
      <c r="AH62" s="320">
        <f>IFERROR(__xludf.DUMMYFUNCTION("""COMPUTED_VALUE"""),0.0)</f>
        <v>0</v>
      </c>
      <c r="AI62" s="320">
        <f>IFERROR(__xludf.DUMMYFUNCTION("""COMPUTED_VALUE"""),0.0)</f>
        <v>0</v>
      </c>
      <c r="AJ62" s="320">
        <f>IFERROR(__xludf.DUMMYFUNCTION("""COMPUTED_VALUE"""),0.0)</f>
        <v>0</v>
      </c>
      <c r="AK62" s="320">
        <f>IFERROR(__xludf.DUMMYFUNCTION("""COMPUTED_VALUE"""),0.2844)</f>
        <v>0.2844</v>
      </c>
      <c r="AL62" s="320">
        <f>IFERROR(__xludf.DUMMYFUNCTION("""COMPUTED_VALUE"""),17.41)</f>
        <v>17.41</v>
      </c>
      <c r="AM62" s="320">
        <f>IFERROR(__xludf.DUMMYFUNCTION("""COMPUTED_VALUE"""),10.1)</f>
        <v>10.1</v>
      </c>
      <c r="AN62" s="331"/>
      <c r="AO62" s="331"/>
    </row>
    <row r="63" ht="15.75" customHeight="1">
      <c r="A63" s="330">
        <f>IFERROR(__xludf.DUMMYFUNCTION("""COMPUTED_VALUE"""),46060.0)</f>
        <v>46060</v>
      </c>
      <c r="B63" s="319" t="str">
        <f>IFERROR(__xludf.DUMMYFUNCTION("""COMPUTED_VALUE"""),"B. 1-9")</f>
        <v>B. 1-9</v>
      </c>
      <c r="C63" s="320">
        <f>IFERROR(__xludf.DUMMYFUNCTION("""COMPUTED_VALUE"""),31639.0)</f>
        <v>31639</v>
      </c>
      <c r="D63" s="320">
        <f>IFERROR(__xludf.DUMMYFUNCTION("""COMPUTED_VALUE"""),39.84)</f>
        <v>39.84</v>
      </c>
      <c r="E63" s="320">
        <f>IFERROR(__xludf.DUMMYFUNCTION("""COMPUTED_VALUE"""),8384.98)</f>
        <v>8384.98</v>
      </c>
      <c r="F63" s="320">
        <f>IFERROR(__xludf.DUMMYFUNCTION("""COMPUTED_VALUE"""),0.265)</f>
        <v>0.265</v>
      </c>
      <c r="G63" s="320">
        <f>IFERROR(__xludf.DUMMYFUNCTION("""COMPUTED_VALUE"""),7.41)</f>
        <v>7.41</v>
      </c>
      <c r="H63" s="320">
        <f>IFERROR(__xludf.DUMMYFUNCTION("""COMPUTED_VALUE"""),3.5772)</f>
        <v>3.5772</v>
      </c>
      <c r="I63" s="320">
        <f>IFERROR(__xludf.DUMMYFUNCTION("""COMPUTED_VALUE"""),31.99)</f>
        <v>31.99</v>
      </c>
      <c r="J63" s="320">
        <f>IFERROR(__xludf.DUMMYFUNCTION("""COMPUTED_VALUE"""),17.18)</f>
        <v>17.18</v>
      </c>
      <c r="K63" s="320">
        <f>IFERROR(__xludf.DUMMYFUNCTION("""COMPUTED_VALUE"""),5.55)</f>
        <v>5.55</v>
      </c>
      <c r="L63" s="320">
        <f>IFERROR(__xludf.DUMMYFUNCTION("""COMPUTED_VALUE"""),0.3231)</f>
        <v>0.3231</v>
      </c>
      <c r="M63" s="320">
        <f>IFERROR(__xludf.DUMMYFUNCTION("""COMPUTED_VALUE"""),0.7487)</f>
        <v>0.7487</v>
      </c>
      <c r="N63" s="320">
        <f>IFERROR(__xludf.DUMMYFUNCTION("""COMPUTED_VALUE"""),0.5014)</f>
        <v>0.5014</v>
      </c>
      <c r="O63" s="320">
        <f>IFERROR(__xludf.DUMMYFUNCTION("""COMPUTED_VALUE"""),3.0955)</f>
        <v>3.0955</v>
      </c>
      <c r="P63" s="320">
        <f>IFERROR(__xludf.DUMMYFUNCTION("""COMPUTED_VALUE"""),76.34)</f>
        <v>76.34</v>
      </c>
      <c r="Q63" s="320">
        <f>IFERROR(__xludf.DUMMYFUNCTION("""COMPUTED_VALUE"""),64.89)</f>
        <v>64.89</v>
      </c>
      <c r="R63" s="320">
        <f>IFERROR(__xludf.DUMMYFUNCTION("""COMPUTED_VALUE"""),11.46)</f>
        <v>11.46</v>
      </c>
      <c r="S63" s="320">
        <f>IFERROR(__xludf.DUMMYFUNCTION("""COMPUTED_VALUE"""),17.82)</f>
        <v>17.82</v>
      </c>
      <c r="T63" s="320">
        <f>IFERROR(__xludf.DUMMYFUNCTION("""COMPUTED_VALUE"""),58.53)</f>
        <v>58.53</v>
      </c>
      <c r="U63" s="320">
        <f>IFERROR(__xludf.DUMMYFUNCTION("""COMPUTED_VALUE"""),80.48)</f>
        <v>80.48</v>
      </c>
      <c r="V63" s="320">
        <f>IFERROR(__xludf.DUMMYFUNCTION("""COMPUTED_VALUE"""),4.6854)</f>
        <v>4.6854</v>
      </c>
      <c r="W63" s="320">
        <f>IFERROR(__xludf.DUMMYFUNCTION("""COMPUTED_VALUE"""),23.34)</f>
        <v>23.34</v>
      </c>
      <c r="X63" s="320">
        <f>IFERROR(__xludf.DUMMYFUNCTION("""COMPUTED_VALUE"""),88.0)</f>
        <v>88</v>
      </c>
      <c r="Y63" s="320">
        <f>IFERROR(__xludf.DUMMYFUNCTION("""COMPUTED_VALUE"""),221.0)</f>
        <v>221</v>
      </c>
      <c r="Z63" s="320">
        <f>IFERROR(__xludf.DUMMYFUNCTION("""COMPUTED_VALUE"""),902.0)</f>
        <v>902</v>
      </c>
      <c r="AA63" s="320">
        <f>IFERROR(__xludf.DUMMYFUNCTION("""COMPUTED_VALUE"""),49.3195)</f>
        <v>49.3195</v>
      </c>
      <c r="AB63" s="320">
        <f>IFERROR(__xludf.DUMMYFUNCTION("""COMPUTED_VALUE"""),0.4509)</f>
        <v>0.4509</v>
      </c>
      <c r="AC63" s="320">
        <f>IFERROR(__xludf.DUMMYFUNCTION("""COMPUTED_VALUE"""),3.7)</f>
        <v>3.7</v>
      </c>
      <c r="AD63" s="320">
        <f>IFERROR(__xludf.DUMMYFUNCTION("""COMPUTED_VALUE"""),1.0)</f>
        <v>1</v>
      </c>
      <c r="AE63" s="320">
        <f>IFERROR(__xludf.DUMMYFUNCTION("""COMPUTED_VALUE"""),2.0)</f>
        <v>2</v>
      </c>
      <c r="AF63" s="320">
        <f>IFERROR(__xludf.DUMMYFUNCTION("""COMPUTED_VALUE"""),5.0)</f>
        <v>5</v>
      </c>
      <c r="AG63" s="320">
        <f>IFERROR(__xludf.DUMMYFUNCTION("""COMPUTED_VALUE"""),8.0)</f>
        <v>8</v>
      </c>
      <c r="AH63" s="320">
        <f>IFERROR(__xludf.DUMMYFUNCTION("""COMPUTED_VALUE"""),67.67)</f>
        <v>67.67</v>
      </c>
      <c r="AI63" s="320">
        <f>IFERROR(__xludf.DUMMYFUNCTION("""COMPUTED_VALUE"""),26.63)</f>
        <v>26.63</v>
      </c>
      <c r="AJ63" s="320">
        <f>IFERROR(__xludf.DUMMYFUNCTION("""COMPUTED_VALUE"""),7.83)</f>
        <v>7.83</v>
      </c>
      <c r="AK63" s="320">
        <f>IFERROR(__xludf.DUMMYFUNCTION("""COMPUTED_VALUE"""),0.2303)</f>
        <v>0.2303</v>
      </c>
      <c r="AL63" s="320">
        <f>IFERROR(__xludf.DUMMYFUNCTION("""COMPUTED_VALUE"""),22.17)</f>
        <v>22.17</v>
      </c>
      <c r="AM63" s="320">
        <f>IFERROR(__xludf.DUMMYFUNCTION("""COMPUTED_VALUE"""),42.72)</f>
        <v>42.72</v>
      </c>
      <c r="AN63" s="320">
        <f>IFERROR(__xludf.DUMMYFUNCTION("""COMPUTED_VALUE"""),67.72)</f>
        <v>67.72</v>
      </c>
      <c r="AO63" s="320">
        <f>IFERROR(__xludf.DUMMYFUNCTION("""COMPUTED_VALUE"""),15.01)</f>
        <v>15.01</v>
      </c>
    </row>
    <row r="64" ht="15.75" customHeight="1">
      <c r="A64" s="330">
        <f>IFERROR(__xludf.DUMMYFUNCTION("""COMPUTED_VALUE"""),46060.0)</f>
        <v>46060</v>
      </c>
      <c r="B64" s="319" t="str">
        <f>IFERROR(__xludf.DUMMYFUNCTION("""COMPUTED_VALUE"""),"C. 10-19")</f>
        <v>C. 10-19</v>
      </c>
      <c r="C64" s="320">
        <f>IFERROR(__xludf.DUMMYFUNCTION("""COMPUTED_VALUE"""),17798.0)</f>
        <v>17798</v>
      </c>
      <c r="D64" s="320">
        <f>IFERROR(__xludf.DUMMYFUNCTION("""COMPUTED_VALUE"""),22.41)</f>
        <v>22.41</v>
      </c>
      <c r="E64" s="320">
        <f>IFERROR(__xludf.DUMMYFUNCTION("""COMPUTED_VALUE"""),17255.7)</f>
        <v>17255.7</v>
      </c>
      <c r="F64" s="320">
        <f>IFERROR(__xludf.DUMMYFUNCTION("""COMPUTED_VALUE"""),0.9695)</f>
        <v>0.9695</v>
      </c>
      <c r="G64" s="320">
        <f>IFERROR(__xludf.DUMMYFUNCTION("""COMPUTED_VALUE"""),20.37)</f>
        <v>20.37</v>
      </c>
      <c r="H64" s="320">
        <f>IFERROR(__xludf.DUMMYFUNCTION("""COMPUTED_VALUE"""),4.7589)</f>
        <v>4.7589</v>
      </c>
      <c r="I64" s="320">
        <f>IFERROR(__xludf.DUMMYFUNCTION("""COMPUTED_VALUE"""),57.21)</f>
        <v>57.21</v>
      </c>
      <c r="J64" s="320">
        <f>IFERROR(__xludf.DUMMYFUNCTION("""COMPUTED_VALUE"""),32.3)</f>
        <v>32.3</v>
      </c>
      <c r="K64" s="320">
        <f>IFERROR(__xludf.DUMMYFUNCTION("""COMPUTED_VALUE"""),13.65)</f>
        <v>13.65</v>
      </c>
      <c r="L64" s="320">
        <f>IFERROR(__xludf.DUMMYFUNCTION("""COMPUTED_VALUE"""),0.4224)</f>
        <v>0.4224</v>
      </c>
      <c r="M64" s="320">
        <f>IFERROR(__xludf.DUMMYFUNCTION("""COMPUTED_VALUE"""),0.6424)</f>
        <v>0.6424</v>
      </c>
      <c r="N64" s="320">
        <f>IFERROR(__xludf.DUMMYFUNCTION("""COMPUTED_VALUE"""),0.3751)</f>
        <v>0.3751</v>
      </c>
      <c r="O64" s="320">
        <f>IFERROR(__xludf.DUMMYFUNCTION("""COMPUTED_VALUE"""),2.3672)</f>
        <v>2.3672</v>
      </c>
      <c r="P64" s="320">
        <f>IFERROR(__xludf.DUMMYFUNCTION("""COMPUTED_VALUE"""),165.76)</f>
        <v>165.76</v>
      </c>
      <c r="Q64" s="320">
        <f>IFERROR(__xludf.DUMMYFUNCTION("""COMPUTED_VALUE"""),137.38)</f>
        <v>137.38</v>
      </c>
      <c r="R64" s="320">
        <f>IFERROR(__xludf.DUMMYFUNCTION("""COMPUTED_VALUE"""),28.38)</f>
        <v>28.38</v>
      </c>
      <c r="S64" s="320">
        <f>IFERROR(__xludf.DUMMYFUNCTION("""COMPUTED_VALUE"""),62.78)</f>
        <v>62.78</v>
      </c>
      <c r="T64" s="320">
        <f>IFERROR(__xludf.DUMMYFUNCTION("""COMPUTED_VALUE"""),102.98)</f>
        <v>102.98</v>
      </c>
      <c r="U64" s="320">
        <f>IFERROR(__xludf.DUMMYFUNCTION("""COMPUTED_VALUE"""),173.84)</f>
        <v>173.84</v>
      </c>
      <c r="V64" s="320">
        <f>IFERROR(__xludf.DUMMYFUNCTION("""COMPUTED_VALUE"""),5.3817)</f>
        <v>5.3817</v>
      </c>
      <c r="W64" s="320">
        <f>IFERROR(__xludf.DUMMYFUNCTION("""COMPUTED_VALUE"""),37.87)</f>
        <v>37.87</v>
      </c>
      <c r="X64" s="320">
        <f>IFERROR(__xludf.DUMMYFUNCTION("""COMPUTED_VALUE"""),87.0)</f>
        <v>87</v>
      </c>
      <c r="Y64" s="320">
        <f>IFERROR(__xludf.DUMMYFUNCTION("""COMPUTED_VALUE"""),208.0)</f>
        <v>208</v>
      </c>
      <c r="Z64" s="320">
        <f>IFERROR(__xludf.DUMMYFUNCTION("""COMPUTED_VALUE"""),726.0)</f>
        <v>726</v>
      </c>
      <c r="AA64" s="320">
        <f>IFERROR(__xludf.DUMMYFUNCTION("""COMPUTED_VALUE"""),52.3657)</f>
        <v>52.3657</v>
      </c>
      <c r="AB64" s="320">
        <f>IFERROR(__xludf.DUMMYFUNCTION("""COMPUTED_VALUE"""),0.5569)</f>
        <v>0.5569</v>
      </c>
      <c r="AC64" s="320">
        <f>IFERROR(__xludf.DUMMYFUNCTION("""COMPUTED_VALUE"""),8.82)</f>
        <v>8.82</v>
      </c>
      <c r="AD64" s="320">
        <f>IFERROR(__xludf.DUMMYFUNCTION("""COMPUTED_VALUE"""),3.0)</f>
        <v>3</v>
      </c>
      <c r="AE64" s="320">
        <f>IFERROR(__xludf.DUMMYFUNCTION("""COMPUTED_VALUE"""),6.0)</f>
        <v>6</v>
      </c>
      <c r="AF64" s="320">
        <f>IFERROR(__xludf.DUMMYFUNCTION("""COMPUTED_VALUE"""),12.0)</f>
        <v>12</v>
      </c>
      <c r="AG64" s="320">
        <f>IFERROR(__xludf.DUMMYFUNCTION("""COMPUTED_VALUE"""),19.0)</f>
        <v>19</v>
      </c>
      <c r="AH64" s="320">
        <f>IFERROR(__xludf.DUMMYFUNCTION("""COMPUTED_VALUE"""),55.23)</f>
        <v>55.23</v>
      </c>
      <c r="AI64" s="320">
        <f>IFERROR(__xludf.DUMMYFUNCTION("""COMPUTED_VALUE"""),24.43)</f>
        <v>24.43</v>
      </c>
      <c r="AJ64" s="320">
        <f>IFERROR(__xludf.DUMMYFUNCTION("""COMPUTED_VALUE"""),4.27)</f>
        <v>4.27</v>
      </c>
      <c r="AK64" s="320">
        <f>IFERROR(__xludf.DUMMYFUNCTION("""COMPUTED_VALUE"""),0.1972)</f>
        <v>0.1972</v>
      </c>
      <c r="AL64" s="320">
        <f>IFERROR(__xludf.DUMMYFUNCTION("""COMPUTED_VALUE"""),23.18)</f>
        <v>23.18</v>
      </c>
      <c r="AM64" s="320">
        <f>IFERROR(__xludf.DUMMYFUNCTION("""COMPUTED_VALUE"""),114.2)</f>
        <v>114.2</v>
      </c>
      <c r="AN64" s="320">
        <f>IFERROR(__xludf.DUMMYFUNCTION("""COMPUTED_VALUE"""),74.06)</f>
        <v>74.06</v>
      </c>
      <c r="AO64" s="320">
        <f>IFERROR(__xludf.DUMMYFUNCTION("""COMPUTED_VALUE"""),17.17)</f>
        <v>17.17</v>
      </c>
    </row>
    <row r="65" ht="15.75" customHeight="1">
      <c r="A65" s="330">
        <f>IFERROR(__xludf.DUMMYFUNCTION("""COMPUTED_VALUE"""),46060.0)</f>
        <v>46060</v>
      </c>
      <c r="B65" s="319" t="str">
        <f>IFERROR(__xludf.DUMMYFUNCTION("""COMPUTED_VALUE"""),"D. 20-39")</f>
        <v>D. 20-39</v>
      </c>
      <c r="C65" s="320">
        <f>IFERROR(__xludf.DUMMYFUNCTION("""COMPUTED_VALUE"""),9557.0)</f>
        <v>9557</v>
      </c>
      <c r="D65" s="320">
        <f>IFERROR(__xludf.DUMMYFUNCTION("""COMPUTED_VALUE"""),12.04)</f>
        <v>12.04</v>
      </c>
      <c r="E65" s="320">
        <f>IFERROR(__xludf.DUMMYFUNCTION("""COMPUTED_VALUE"""),23427.17)</f>
        <v>23427.17</v>
      </c>
      <c r="F65" s="320">
        <f>IFERROR(__xludf.DUMMYFUNCTION("""COMPUTED_VALUE"""),2.4513)</f>
        <v>2.4513</v>
      </c>
      <c r="G65" s="320">
        <f>IFERROR(__xludf.DUMMYFUNCTION("""COMPUTED_VALUE"""),32.04)</f>
        <v>32.04</v>
      </c>
      <c r="H65" s="320">
        <f>IFERROR(__xludf.DUMMYFUNCTION("""COMPUTED_VALUE"""),7.6509)</f>
        <v>7.6509</v>
      </c>
      <c r="I65" s="320">
        <f>IFERROR(__xludf.DUMMYFUNCTION("""COMPUTED_VALUE"""),85.56)</f>
        <v>85.56</v>
      </c>
      <c r="J65" s="320">
        <f>IFERROR(__xludf.DUMMYFUNCTION("""COMPUTED_VALUE"""),50.07)</f>
        <v>50.07</v>
      </c>
      <c r="K65" s="320">
        <f>IFERROR(__xludf.DUMMYFUNCTION("""COMPUTED_VALUE"""),26.6)</f>
        <v>26.6</v>
      </c>
      <c r="L65" s="320">
        <f>IFERROR(__xludf.DUMMYFUNCTION("""COMPUTED_VALUE"""),0.5313)</f>
        <v>0.5313</v>
      </c>
      <c r="M65" s="320">
        <f>IFERROR(__xludf.DUMMYFUNCTION("""COMPUTED_VALUE"""),0.5412)</f>
        <v>0.5412</v>
      </c>
      <c r="N65" s="320">
        <f>IFERROR(__xludf.DUMMYFUNCTION("""COMPUTED_VALUE"""),0.305)</f>
        <v>0.305</v>
      </c>
      <c r="O65" s="320">
        <f>IFERROR(__xludf.DUMMYFUNCTION("""COMPUTED_VALUE"""),1.8822)</f>
        <v>1.8822</v>
      </c>
      <c r="P65" s="320">
        <f>IFERROR(__xludf.DUMMYFUNCTION("""COMPUTED_VALUE"""),327.44)</f>
        <v>327.44</v>
      </c>
      <c r="Q65" s="320">
        <f>IFERROR(__xludf.DUMMYFUNCTION("""COMPUTED_VALUE"""),271.16)</f>
        <v>271.16</v>
      </c>
      <c r="R65" s="320">
        <f>IFERROR(__xludf.DUMMYFUNCTION("""COMPUTED_VALUE"""),56.28)</f>
        <v>56.28</v>
      </c>
      <c r="S65" s="320">
        <f>IFERROR(__xludf.DUMMYFUNCTION("""COMPUTED_VALUE"""),154.52)</f>
        <v>154.52</v>
      </c>
      <c r="T65" s="320">
        <f>IFERROR(__xludf.DUMMYFUNCTION("""COMPUTED_VALUE"""),172.92)</f>
        <v>172.92</v>
      </c>
      <c r="U65" s="320">
        <f>IFERROR(__xludf.DUMMYFUNCTION("""COMPUTED_VALUE"""),339.05)</f>
        <v>339.05</v>
      </c>
      <c r="V65" s="320">
        <f>IFERROR(__xludf.DUMMYFUNCTION("""COMPUTED_VALUE"""),6.7716)</f>
        <v>6.7716</v>
      </c>
      <c r="W65" s="320">
        <f>IFERROR(__xludf.DUMMYFUNCTION("""COMPUTED_VALUE"""),47.19)</f>
        <v>47.19</v>
      </c>
      <c r="X65" s="320">
        <f>IFERROR(__xludf.DUMMYFUNCTION("""COMPUTED_VALUE"""),88.0)</f>
        <v>88</v>
      </c>
      <c r="Y65" s="320">
        <f>IFERROR(__xludf.DUMMYFUNCTION("""COMPUTED_VALUE"""),230.0)</f>
        <v>230</v>
      </c>
      <c r="Z65" s="320">
        <f>IFERROR(__xludf.DUMMYFUNCTION("""COMPUTED_VALUE"""),726.0)</f>
        <v>726</v>
      </c>
      <c r="AA65" s="320">
        <f>IFERROR(__xludf.DUMMYFUNCTION("""COMPUTED_VALUE"""),54.3933)</f>
        <v>54.3933</v>
      </c>
      <c r="AB65" s="320">
        <f>IFERROR(__xludf.DUMMYFUNCTION("""COMPUTED_VALUE"""),0.6513)</f>
        <v>0.6513</v>
      </c>
      <c r="AC65" s="320">
        <f>IFERROR(__xludf.DUMMYFUNCTION("""COMPUTED_VALUE"""),17.05)</f>
        <v>17.05</v>
      </c>
      <c r="AD65" s="320">
        <f>IFERROR(__xludf.DUMMYFUNCTION("""COMPUTED_VALUE"""),6.0)</f>
        <v>6</v>
      </c>
      <c r="AE65" s="320">
        <f>IFERROR(__xludf.DUMMYFUNCTION("""COMPUTED_VALUE"""),12.0)</f>
        <v>12</v>
      </c>
      <c r="AF65" s="320">
        <f>IFERROR(__xludf.DUMMYFUNCTION("""COMPUTED_VALUE"""),24.0)</f>
        <v>24</v>
      </c>
      <c r="AG65" s="320">
        <f>IFERROR(__xludf.DUMMYFUNCTION("""COMPUTED_VALUE"""),37.0)</f>
        <v>37</v>
      </c>
      <c r="AH65" s="320">
        <f>IFERROR(__xludf.DUMMYFUNCTION("""COMPUTED_VALUE"""),54.85)</f>
        <v>54.85</v>
      </c>
      <c r="AI65" s="320">
        <f>IFERROR(__xludf.DUMMYFUNCTION("""COMPUTED_VALUE"""),22.32)</f>
        <v>22.32</v>
      </c>
      <c r="AJ65" s="320">
        <f>IFERROR(__xludf.DUMMYFUNCTION("""COMPUTED_VALUE"""),7.24)</f>
        <v>7.24</v>
      </c>
      <c r="AK65" s="320">
        <f>IFERROR(__xludf.DUMMYFUNCTION("""COMPUTED_VALUE"""),0.1984)</f>
        <v>0.1984</v>
      </c>
      <c r="AL65" s="320">
        <f>IFERROR(__xludf.DUMMYFUNCTION("""COMPUTED_VALUE"""),22.31)</f>
        <v>22.31</v>
      </c>
      <c r="AM65" s="320">
        <f>IFERROR(__xludf.DUMMYFUNCTION("""COMPUTED_VALUE"""),248.85)</f>
        <v>248.85</v>
      </c>
      <c r="AN65" s="320">
        <f>IFERROR(__xludf.DUMMYFUNCTION("""COMPUTED_VALUE"""),74.58)</f>
        <v>74.58</v>
      </c>
      <c r="AO65" s="320">
        <f>IFERROR(__xludf.DUMMYFUNCTION("""COMPUTED_VALUE"""),16.64)</f>
        <v>16.64</v>
      </c>
    </row>
    <row r="66" ht="15.75" customHeight="1">
      <c r="A66" s="330">
        <f>IFERROR(__xludf.DUMMYFUNCTION("""COMPUTED_VALUE"""),46060.0)</f>
        <v>46060</v>
      </c>
      <c r="B66" s="319" t="str">
        <f>IFERROR(__xludf.DUMMYFUNCTION("""COMPUTED_VALUE"""),"E. 40-99")</f>
        <v>E. 40-99</v>
      </c>
      <c r="C66" s="320">
        <f>IFERROR(__xludf.DUMMYFUNCTION("""COMPUTED_VALUE"""),3796.0)</f>
        <v>3796</v>
      </c>
      <c r="D66" s="320">
        <f>IFERROR(__xludf.DUMMYFUNCTION("""COMPUTED_VALUE"""),4.78)</f>
        <v>4.78</v>
      </c>
      <c r="E66" s="320">
        <f>IFERROR(__xludf.DUMMYFUNCTION("""COMPUTED_VALUE"""),20745.68)</f>
        <v>20745.68</v>
      </c>
      <c r="F66" s="320">
        <f>IFERROR(__xludf.DUMMYFUNCTION("""COMPUTED_VALUE"""),5.4651)</f>
        <v>5.4651</v>
      </c>
      <c r="G66" s="320">
        <f>IFERROR(__xludf.DUMMYFUNCTION("""COMPUTED_VALUE"""),40.99)</f>
        <v>40.99</v>
      </c>
      <c r="H66" s="320">
        <f>IFERROR(__xludf.DUMMYFUNCTION("""COMPUTED_VALUE"""),13.3327)</f>
        <v>13.3327</v>
      </c>
      <c r="I66" s="320">
        <f>IFERROR(__xludf.DUMMYFUNCTION("""COMPUTED_VALUE"""),132.46)</f>
        <v>132.46</v>
      </c>
      <c r="J66" s="320">
        <f>IFERROR(__xludf.DUMMYFUNCTION("""COMPUTED_VALUE"""),81.89)</f>
        <v>81.89</v>
      </c>
      <c r="K66" s="320">
        <f>IFERROR(__xludf.DUMMYFUNCTION("""COMPUTED_VALUE"""),55.0)</f>
        <v>55</v>
      </c>
      <c r="L66" s="320">
        <f>IFERROR(__xludf.DUMMYFUNCTION("""COMPUTED_VALUE"""),0.6716)</f>
        <v>0.6716</v>
      </c>
      <c r="M66" s="320">
        <f>IFERROR(__xludf.DUMMYFUNCTION("""COMPUTED_VALUE"""),0.4141)</f>
        <v>0.4141</v>
      </c>
      <c r="N66" s="320">
        <f>IFERROR(__xludf.DUMMYFUNCTION("""COMPUTED_VALUE"""),0.2351)</f>
        <v>0.2351</v>
      </c>
      <c r="O66" s="320">
        <f>IFERROR(__xludf.DUMMYFUNCTION("""COMPUTED_VALUE"""),1.4889)</f>
        <v>1.4889</v>
      </c>
      <c r="P66" s="320">
        <f>IFERROR(__xludf.DUMMYFUNCTION("""COMPUTED_VALUE"""),667.63)</f>
        <v>667.63</v>
      </c>
      <c r="Q66" s="320">
        <f>IFERROR(__xludf.DUMMYFUNCTION("""COMPUTED_VALUE"""),551.67)</f>
        <v>551.67</v>
      </c>
      <c r="R66" s="320">
        <f>IFERROR(__xludf.DUMMYFUNCTION("""COMPUTED_VALUE"""),115.96)</f>
        <v>115.96</v>
      </c>
      <c r="S66" s="320">
        <f>IFERROR(__xludf.DUMMYFUNCTION("""COMPUTED_VALUE"""),347.98)</f>
        <v>347.98</v>
      </c>
      <c r="T66" s="320">
        <f>IFERROR(__xludf.DUMMYFUNCTION("""COMPUTED_VALUE"""),319.65)</f>
        <v>319.65</v>
      </c>
      <c r="U66" s="320">
        <f>IFERROR(__xludf.DUMMYFUNCTION("""COMPUTED_VALUE"""),685.46)</f>
        <v>685.46</v>
      </c>
      <c r="V66" s="320">
        <f>IFERROR(__xludf.DUMMYFUNCTION("""COMPUTED_VALUE"""),8.3704)</f>
        <v>8.3704</v>
      </c>
      <c r="W66" s="320">
        <f>IFERROR(__xludf.DUMMYFUNCTION("""COMPUTED_VALUE"""),52.12)</f>
        <v>52.12</v>
      </c>
      <c r="X66" s="320">
        <f>IFERROR(__xludf.DUMMYFUNCTION("""COMPUTED_VALUE"""),103.0)</f>
        <v>103</v>
      </c>
      <c r="Y66" s="320">
        <f>IFERROR(__xludf.DUMMYFUNCTION("""COMPUTED_VALUE"""),350.0)</f>
        <v>350</v>
      </c>
      <c r="Z66" s="320">
        <f>IFERROR(__xludf.DUMMYFUNCTION("""COMPUTED_VALUE"""),1079.0)</f>
        <v>1079</v>
      </c>
      <c r="AA66" s="320">
        <f>IFERROR(__xludf.DUMMYFUNCTION("""COMPUTED_VALUE"""),57.4901)</f>
        <v>57.4901</v>
      </c>
      <c r="AB66" s="320">
        <f>IFERROR(__xludf.DUMMYFUNCTION("""COMPUTED_VALUE"""),0.7546)</f>
        <v>0.7546</v>
      </c>
      <c r="AC66" s="320">
        <f>IFERROR(__xludf.DUMMYFUNCTION("""COMPUTED_VALUE"""),36.11)</f>
        <v>36.11</v>
      </c>
      <c r="AD66" s="320">
        <f>IFERROR(__xludf.DUMMYFUNCTION("""COMPUTED_VALUE"""),12.0)</f>
        <v>12</v>
      </c>
      <c r="AE66" s="320">
        <f>IFERROR(__xludf.DUMMYFUNCTION("""COMPUTED_VALUE"""),27.0)</f>
        <v>27</v>
      </c>
      <c r="AF66" s="320">
        <f>IFERROR(__xludf.DUMMYFUNCTION("""COMPUTED_VALUE"""),50.0)</f>
        <v>50</v>
      </c>
      <c r="AG66" s="320">
        <f>IFERROR(__xludf.DUMMYFUNCTION("""COMPUTED_VALUE"""),79.0)</f>
        <v>79</v>
      </c>
      <c r="AH66" s="320">
        <f>IFERROR(__xludf.DUMMYFUNCTION("""COMPUTED_VALUE"""),48.79)</f>
        <v>48.79</v>
      </c>
      <c r="AI66" s="320">
        <f>IFERROR(__xludf.DUMMYFUNCTION("""COMPUTED_VALUE"""),18.91)</f>
        <v>18.91</v>
      </c>
      <c r="AJ66" s="320">
        <f>IFERROR(__xludf.DUMMYFUNCTION("""COMPUTED_VALUE"""),5.27)</f>
        <v>5.27</v>
      </c>
      <c r="AK66" s="320">
        <f>IFERROR(__xludf.DUMMYFUNCTION("""COMPUTED_VALUE"""),0.1897)</f>
        <v>0.1897</v>
      </c>
      <c r="AL66" s="320">
        <f>IFERROR(__xludf.DUMMYFUNCTION("""COMPUTED_VALUE"""),22.42)</f>
        <v>22.42</v>
      </c>
      <c r="AM66" s="320">
        <f>IFERROR(__xludf.DUMMYFUNCTION("""COMPUTED_VALUE"""),529.25)</f>
        <v>529.25</v>
      </c>
      <c r="AN66" s="320">
        <f>IFERROR(__xludf.DUMMYFUNCTION("""COMPUTED_VALUE"""),74.99)</f>
        <v>74.99</v>
      </c>
      <c r="AO66" s="320">
        <f>IFERROR(__xludf.DUMMYFUNCTION("""COMPUTED_VALUE"""),16.81)</f>
        <v>16.81</v>
      </c>
    </row>
    <row r="67" ht="15.75" customHeight="1">
      <c r="A67" s="330">
        <f>IFERROR(__xludf.DUMMYFUNCTION("""COMPUTED_VALUE"""),46060.0)</f>
        <v>46060</v>
      </c>
      <c r="B67" s="319" t="str">
        <f>IFERROR(__xludf.DUMMYFUNCTION("""COMPUTED_VALUE"""),"F. 100+")</f>
        <v>F. 100+</v>
      </c>
      <c r="C67" s="320">
        <f>IFERROR(__xludf.DUMMYFUNCTION("""COMPUTED_VALUE"""),450.0)</f>
        <v>450</v>
      </c>
      <c r="D67" s="320">
        <f>IFERROR(__xludf.DUMMYFUNCTION("""COMPUTED_VALUE"""),0.57)</f>
        <v>0.57</v>
      </c>
      <c r="E67" s="320">
        <f>IFERROR(__xludf.DUMMYFUNCTION("""COMPUTED_VALUE"""),4733.42)</f>
        <v>4733.42</v>
      </c>
      <c r="F67" s="320">
        <f>IFERROR(__xludf.DUMMYFUNCTION("""COMPUTED_VALUE"""),10.5187)</f>
        <v>10.5187</v>
      </c>
      <c r="G67" s="320">
        <f>IFERROR(__xludf.DUMMYFUNCTION("""COMPUTED_VALUE"""),47.56)</f>
        <v>47.56</v>
      </c>
      <c r="H67" s="320">
        <f>IFERROR(__xludf.DUMMYFUNCTION("""COMPUTED_VALUE"""),22.1188)</f>
        <v>22.1188</v>
      </c>
      <c r="I67" s="320">
        <f>IFERROR(__xludf.DUMMYFUNCTION("""COMPUTED_VALUE"""),237.32)</f>
        <v>237.32</v>
      </c>
      <c r="J67" s="320">
        <f>IFERROR(__xludf.DUMMYFUNCTION("""COMPUTED_VALUE"""),152.11)</f>
        <v>152.11</v>
      </c>
      <c r="K67" s="320">
        <f>IFERROR(__xludf.DUMMYFUNCTION("""COMPUTED_VALUE"""),122.9)</f>
        <v>122.9</v>
      </c>
      <c r="L67" s="320">
        <f>IFERROR(__xludf.DUMMYFUNCTION("""COMPUTED_VALUE"""),0.808)</f>
        <v>0.808</v>
      </c>
      <c r="M67" s="320">
        <f>IFERROR(__xludf.DUMMYFUNCTION("""COMPUTED_VALUE"""),0.2812)</f>
        <v>0.2812</v>
      </c>
      <c r="N67" s="320">
        <f>IFERROR(__xludf.DUMMYFUNCTION("""COMPUTED_VALUE"""),0.1769)</f>
        <v>0.1769</v>
      </c>
      <c r="O67" s="320">
        <f>IFERROR(__xludf.DUMMYFUNCTION("""COMPUTED_VALUE"""),1.2376)</f>
        <v>1.2376</v>
      </c>
      <c r="P67" s="320">
        <f>IFERROR(__xludf.DUMMYFUNCTION("""COMPUTED_VALUE"""),1265.64)</f>
        <v>1265.64</v>
      </c>
      <c r="Q67" s="320">
        <f>IFERROR(__xludf.DUMMYFUNCTION("""COMPUTED_VALUE"""),1006.28)</f>
        <v>1006.28</v>
      </c>
      <c r="R67" s="320">
        <f>IFERROR(__xludf.DUMMYFUNCTION("""COMPUTED_VALUE"""),259.36)</f>
        <v>259.36</v>
      </c>
      <c r="S67" s="320">
        <f>IFERROR(__xludf.DUMMYFUNCTION("""COMPUTED_VALUE"""),676.5)</f>
        <v>676.5</v>
      </c>
      <c r="T67" s="320">
        <f>IFERROR(__xludf.DUMMYFUNCTION("""COMPUTED_VALUE"""),589.14)</f>
        <v>589.14</v>
      </c>
      <c r="U67" s="320">
        <f>IFERROR(__xludf.DUMMYFUNCTION("""COMPUTED_VALUE"""),1345.56)</f>
        <v>1345.56</v>
      </c>
      <c r="V67" s="320">
        <f>IFERROR(__xludf.DUMMYFUNCTION("""COMPUTED_VALUE"""),8.8461)</f>
        <v>8.8461</v>
      </c>
      <c r="W67" s="320">
        <f>IFERROR(__xludf.DUMMYFUNCTION("""COMPUTED_VALUE"""),53.45)</f>
        <v>53.45</v>
      </c>
      <c r="X67" s="320">
        <f>IFERROR(__xludf.DUMMYFUNCTION("""COMPUTED_VALUE"""),141.0)</f>
        <v>141</v>
      </c>
      <c r="Y67" s="320">
        <f>IFERROR(__xludf.DUMMYFUNCTION("""COMPUTED_VALUE"""),632.0)</f>
        <v>632</v>
      </c>
      <c r="Z67" s="320">
        <f>IFERROR(__xludf.DUMMYFUNCTION("""COMPUTED_VALUE"""),2492.0)</f>
        <v>2492</v>
      </c>
      <c r="AA67" s="320">
        <f>IFERROR(__xludf.DUMMYFUNCTION("""COMPUTED_VALUE"""),61.2817)</f>
        <v>61.2817</v>
      </c>
      <c r="AB67" s="320">
        <f>IFERROR(__xludf.DUMMYFUNCTION("""COMPUTED_VALUE"""),0.8415)</f>
        <v>0.8415</v>
      </c>
      <c r="AC67" s="320">
        <f>IFERROR(__xludf.DUMMYFUNCTION("""COMPUTED_VALUE"""),79.53)</f>
        <v>79.53</v>
      </c>
      <c r="AD67" s="320">
        <f>IFERROR(__xludf.DUMMYFUNCTION("""COMPUTED_VALUE"""),28.0)</f>
        <v>28</v>
      </c>
      <c r="AE67" s="320">
        <f>IFERROR(__xludf.DUMMYFUNCTION("""COMPUTED_VALUE"""),61.0)</f>
        <v>61</v>
      </c>
      <c r="AF67" s="320">
        <f>IFERROR(__xludf.DUMMYFUNCTION("""COMPUTED_VALUE"""),114.0)</f>
        <v>114</v>
      </c>
      <c r="AG67" s="320">
        <f>IFERROR(__xludf.DUMMYFUNCTION("""COMPUTED_VALUE"""),169.0)</f>
        <v>169</v>
      </c>
      <c r="AH67" s="320">
        <f>IFERROR(__xludf.DUMMYFUNCTION("""COMPUTED_VALUE"""),40.67)</f>
        <v>40.67</v>
      </c>
      <c r="AI67" s="320">
        <f>IFERROR(__xludf.DUMMYFUNCTION("""COMPUTED_VALUE"""),10.0)</f>
        <v>10</v>
      </c>
      <c r="AJ67" s="320">
        <f>IFERROR(__xludf.DUMMYFUNCTION("""COMPUTED_VALUE"""),1.33)</f>
        <v>1.33</v>
      </c>
      <c r="AK67" s="320">
        <f>IFERROR(__xludf.DUMMYFUNCTION("""COMPUTED_VALUE"""),0.1556)</f>
        <v>0.1556</v>
      </c>
      <c r="AL67" s="320">
        <f>IFERROR(__xludf.DUMMYFUNCTION("""COMPUTED_VALUE"""),23.32)</f>
        <v>23.32</v>
      </c>
      <c r="AM67" s="320">
        <f>IFERROR(__xludf.DUMMYFUNCTION("""COMPUTED_VALUE"""),982.96)</f>
        <v>982.96</v>
      </c>
      <c r="AN67" s="320">
        <f>IFERROR(__xludf.DUMMYFUNCTION("""COMPUTED_VALUE"""),72.22)</f>
        <v>72.22</v>
      </c>
      <c r="AO67" s="320">
        <f>IFERROR(__xludf.DUMMYFUNCTION("""COMPUTED_VALUE"""),16.84)</f>
        <v>16.84</v>
      </c>
    </row>
    <row r="68" ht="15.75" customHeight="1">
      <c r="A68" s="330">
        <f>IFERROR(__xludf.DUMMYFUNCTION("""COMPUTED_VALUE"""),46061.0)</f>
        <v>46061</v>
      </c>
      <c r="B68" s="319" t="str">
        <f>IFERROR(__xludf.DUMMYFUNCTION("""COMPUTED_VALUE"""),"A. 0")</f>
        <v>A. 0</v>
      </c>
      <c r="C68" s="320">
        <f>IFERROR(__xludf.DUMMYFUNCTION("""COMPUTED_VALUE"""),16304.0)</f>
        <v>16304</v>
      </c>
      <c r="D68" s="320">
        <f>IFERROR(__xludf.DUMMYFUNCTION("""COMPUTED_VALUE"""),20.38)</f>
        <v>20.38</v>
      </c>
      <c r="E68" s="320">
        <f>IFERROR(__xludf.DUMMYFUNCTION("""COMPUTED_VALUE"""),172.59)</f>
        <v>172.59</v>
      </c>
      <c r="F68" s="320">
        <f>IFERROR(__xludf.DUMMYFUNCTION("""COMPUTED_VALUE"""),0.0106)</f>
        <v>0.0106</v>
      </c>
      <c r="G68" s="320">
        <f>IFERROR(__xludf.DUMMYFUNCTION("""COMPUTED_VALUE"""),0.17)</f>
        <v>0.17</v>
      </c>
      <c r="H68" s="320">
        <f>IFERROR(__xludf.DUMMYFUNCTION("""COMPUTED_VALUE"""),6.3922)</f>
        <v>6.3922</v>
      </c>
      <c r="I68" s="320">
        <f>IFERROR(__xludf.DUMMYFUNCTION("""COMPUTED_VALUE"""),6.54)</f>
        <v>6.54</v>
      </c>
      <c r="J68" s="320">
        <f>IFERROR(__xludf.DUMMYFUNCTION("""COMPUTED_VALUE"""),3.05)</f>
        <v>3.05</v>
      </c>
      <c r="K68" s="320">
        <f>IFERROR(__xludf.DUMMYFUNCTION("""COMPUTED_VALUE"""),0.03)</f>
        <v>0.03</v>
      </c>
      <c r="L68" s="320">
        <f>IFERROR(__xludf.DUMMYFUNCTION("""COMPUTED_VALUE"""),0.0108)</f>
        <v>0.0108</v>
      </c>
      <c r="M68" s="320">
        <f>IFERROR(__xludf.DUMMYFUNCTION("""COMPUTED_VALUE"""),0.99)</f>
        <v>0.99</v>
      </c>
      <c r="N68" s="320">
        <f>IFERROR(__xludf.DUMMYFUNCTION("""COMPUTED_VALUE"""),0.8457)</f>
        <v>0.8457</v>
      </c>
      <c r="O68" s="320">
        <f>IFERROR(__xludf.DUMMYFUNCTION("""COMPUTED_VALUE"""),92.3525)</f>
        <v>92.3525</v>
      </c>
      <c r="P68" s="320">
        <f>IFERROR(__xludf.DUMMYFUNCTION("""COMPUTED_VALUE"""),24.51)</f>
        <v>24.51</v>
      </c>
      <c r="Q68" s="320">
        <f>IFERROR(__xludf.DUMMYFUNCTION("""COMPUTED_VALUE"""),24.44)</f>
        <v>24.44</v>
      </c>
      <c r="R68" s="320">
        <f>IFERROR(__xludf.DUMMYFUNCTION("""COMPUTED_VALUE"""),0.07)</f>
        <v>0.07</v>
      </c>
      <c r="S68" s="320">
        <f>IFERROR(__xludf.DUMMYFUNCTION("""COMPUTED_VALUE"""),0.9)</f>
        <v>0.9</v>
      </c>
      <c r="T68" s="320">
        <f>IFERROR(__xludf.DUMMYFUNCTION("""COMPUTED_VALUE"""),23.61)</f>
        <v>23.61</v>
      </c>
      <c r="U68" s="320">
        <f>IFERROR(__xludf.DUMMYFUNCTION("""COMPUTED_VALUE"""),1.99)</f>
        <v>1.99</v>
      </c>
      <c r="V68" s="320">
        <f>IFERROR(__xludf.DUMMYFUNCTION("""COMPUTED_VALUE"""),0.6509)</f>
        <v>0.6509</v>
      </c>
      <c r="W68" s="320">
        <f>IFERROR(__xludf.DUMMYFUNCTION("""COMPUTED_VALUE"""),3.68)</f>
        <v>3.68</v>
      </c>
      <c r="X68" s="320">
        <f>IFERROR(__xludf.DUMMYFUNCTION("""COMPUTED_VALUE"""),135.0)</f>
        <v>135</v>
      </c>
      <c r="Y68" s="320">
        <f>IFERROR(__xludf.DUMMYFUNCTION("""COMPUTED_VALUE"""),1018.0)</f>
        <v>1018</v>
      </c>
      <c r="Z68" s="320">
        <f>IFERROR(__xludf.DUMMYFUNCTION("""COMPUTED_VALUE"""),6931.0)</f>
        <v>6931</v>
      </c>
      <c r="AA68" s="320">
        <f>IFERROR(__xludf.DUMMYFUNCTION("""COMPUTED_VALUE"""),49.7106)</f>
        <v>49.7106</v>
      </c>
      <c r="AB68" s="320">
        <f>IFERROR(__xludf.DUMMYFUNCTION("""COMPUTED_VALUE"""),0.5185)</f>
        <v>0.5185</v>
      </c>
      <c r="AC68" s="106"/>
      <c r="AD68" s="106"/>
      <c r="AE68" s="106"/>
      <c r="AF68" s="106"/>
      <c r="AG68" s="106"/>
      <c r="AH68" s="320">
        <f>IFERROR(__xludf.DUMMYFUNCTION("""COMPUTED_VALUE"""),0.0)</f>
        <v>0</v>
      </c>
      <c r="AI68" s="320">
        <f>IFERROR(__xludf.DUMMYFUNCTION("""COMPUTED_VALUE"""),0.0)</f>
        <v>0</v>
      </c>
      <c r="AJ68" s="320">
        <f>IFERROR(__xludf.DUMMYFUNCTION("""COMPUTED_VALUE"""),0.0)</f>
        <v>0</v>
      </c>
      <c r="AK68" s="320">
        <f>IFERROR(__xludf.DUMMYFUNCTION("""COMPUTED_VALUE"""),0.2839)</f>
        <v>0.2839</v>
      </c>
      <c r="AL68" s="320">
        <f>IFERROR(__xludf.DUMMYFUNCTION("""COMPUTED_VALUE"""),17.37)</f>
        <v>17.37</v>
      </c>
      <c r="AM68" s="320">
        <f>IFERROR(__xludf.DUMMYFUNCTION("""COMPUTED_VALUE"""),7.07)</f>
        <v>7.07</v>
      </c>
      <c r="AN68" s="331"/>
      <c r="AO68" s="331"/>
    </row>
    <row r="69" ht="15.75" customHeight="1">
      <c r="A69" s="330">
        <f>IFERROR(__xludf.DUMMYFUNCTION("""COMPUTED_VALUE"""),46061.0)</f>
        <v>46061</v>
      </c>
      <c r="B69" s="319" t="str">
        <f>IFERROR(__xludf.DUMMYFUNCTION("""COMPUTED_VALUE"""),"B. 1-9")</f>
        <v>B. 1-9</v>
      </c>
      <c r="C69" s="320">
        <f>IFERROR(__xludf.DUMMYFUNCTION("""COMPUTED_VALUE"""),31991.0)</f>
        <v>31991</v>
      </c>
      <c r="D69" s="320">
        <f>IFERROR(__xludf.DUMMYFUNCTION("""COMPUTED_VALUE"""),39.99)</f>
        <v>39.99</v>
      </c>
      <c r="E69" s="320">
        <f>IFERROR(__xludf.DUMMYFUNCTION("""COMPUTED_VALUE"""),8288.03)</f>
        <v>8288.03</v>
      </c>
      <c r="F69" s="320">
        <f>IFERROR(__xludf.DUMMYFUNCTION("""COMPUTED_VALUE"""),0.2591)</f>
        <v>0.2591</v>
      </c>
      <c r="G69" s="320">
        <f>IFERROR(__xludf.DUMMYFUNCTION("""COMPUTED_VALUE"""),7.34)</f>
        <v>7.34</v>
      </c>
      <c r="H69" s="320">
        <f>IFERROR(__xludf.DUMMYFUNCTION("""COMPUTED_VALUE"""),3.5313)</f>
        <v>3.5313</v>
      </c>
      <c r="I69" s="320">
        <f>IFERROR(__xludf.DUMMYFUNCTION("""COMPUTED_VALUE"""),34.86)</f>
        <v>34.86</v>
      </c>
      <c r="J69" s="320">
        <f>IFERROR(__xludf.DUMMYFUNCTION("""COMPUTED_VALUE"""),19.12)</f>
        <v>19.12</v>
      </c>
      <c r="K69" s="320">
        <f>IFERROR(__xludf.DUMMYFUNCTION("""COMPUTED_VALUE"""),5.51)</f>
        <v>5.51</v>
      </c>
      <c r="L69" s="320">
        <f>IFERROR(__xludf.DUMMYFUNCTION("""COMPUTED_VALUE"""),0.2881)</f>
        <v>0.2881</v>
      </c>
      <c r="M69" s="320">
        <f>IFERROR(__xludf.DUMMYFUNCTION("""COMPUTED_VALUE"""),0.7744)</f>
        <v>0.7744</v>
      </c>
      <c r="N69" s="320">
        <f>IFERROR(__xludf.DUMMYFUNCTION("""COMPUTED_VALUE"""),0.5187)</f>
        <v>0.5187</v>
      </c>
      <c r="O69" s="320">
        <f>IFERROR(__xludf.DUMMYFUNCTION("""COMPUTED_VALUE"""),3.471)</f>
        <v>3.471</v>
      </c>
      <c r="P69" s="320">
        <f>IFERROR(__xludf.DUMMYFUNCTION("""COMPUTED_VALUE"""),65.96)</f>
        <v>65.96</v>
      </c>
      <c r="Q69" s="320">
        <f>IFERROR(__xludf.DUMMYFUNCTION("""COMPUTED_VALUE"""),54.54)</f>
        <v>54.54</v>
      </c>
      <c r="R69" s="320">
        <f>IFERROR(__xludf.DUMMYFUNCTION("""COMPUTED_VALUE"""),11.42)</f>
        <v>11.42</v>
      </c>
      <c r="S69" s="320">
        <f>IFERROR(__xludf.DUMMYFUNCTION("""COMPUTED_VALUE"""),16.36)</f>
        <v>16.36</v>
      </c>
      <c r="T69" s="320">
        <f>IFERROR(__xludf.DUMMYFUNCTION("""COMPUTED_VALUE"""),49.6)</f>
        <v>49.6</v>
      </c>
      <c r="U69" s="320">
        <f>IFERROR(__xludf.DUMMYFUNCTION("""COMPUTED_VALUE"""),75.36)</f>
        <v>75.36</v>
      </c>
      <c r="V69" s="320">
        <f>IFERROR(__xludf.DUMMYFUNCTION("""COMPUTED_VALUE"""),3.9407)</f>
        <v>3.9407</v>
      </c>
      <c r="W69" s="320">
        <f>IFERROR(__xludf.DUMMYFUNCTION("""COMPUTED_VALUE"""),24.81)</f>
        <v>24.81</v>
      </c>
      <c r="X69" s="320">
        <f>IFERROR(__xludf.DUMMYFUNCTION("""COMPUTED_VALUE"""),85.0)</f>
        <v>85</v>
      </c>
      <c r="Y69" s="320">
        <f>IFERROR(__xludf.DUMMYFUNCTION("""COMPUTED_VALUE"""),201.0)</f>
        <v>201</v>
      </c>
      <c r="Z69" s="320">
        <f>IFERROR(__xludf.DUMMYFUNCTION("""COMPUTED_VALUE"""),884.0)</f>
        <v>884</v>
      </c>
      <c r="AA69" s="320">
        <f>IFERROR(__xludf.DUMMYFUNCTION("""COMPUTED_VALUE"""),49.3574)</f>
        <v>49.3574</v>
      </c>
      <c r="AB69" s="320">
        <f>IFERROR(__xludf.DUMMYFUNCTION("""COMPUTED_VALUE"""),0.4526)</f>
        <v>0.4526</v>
      </c>
      <c r="AC69" s="320">
        <f>IFERROR(__xludf.DUMMYFUNCTION("""COMPUTED_VALUE"""),3.56)</f>
        <v>3.56</v>
      </c>
      <c r="AD69" s="320">
        <f>IFERROR(__xludf.DUMMYFUNCTION("""COMPUTED_VALUE"""),1.0)</f>
        <v>1</v>
      </c>
      <c r="AE69" s="320">
        <f>IFERROR(__xludf.DUMMYFUNCTION("""COMPUTED_VALUE"""),2.0)</f>
        <v>2</v>
      </c>
      <c r="AF69" s="320">
        <f>IFERROR(__xludf.DUMMYFUNCTION("""COMPUTED_VALUE"""),5.0)</f>
        <v>5</v>
      </c>
      <c r="AG69" s="320">
        <f>IFERROR(__xludf.DUMMYFUNCTION("""COMPUTED_VALUE"""),8.0)</f>
        <v>8</v>
      </c>
      <c r="AH69" s="320">
        <f>IFERROR(__xludf.DUMMYFUNCTION("""COMPUTED_VALUE"""),67.45)</f>
        <v>67.45</v>
      </c>
      <c r="AI69" s="320">
        <f>IFERROR(__xludf.DUMMYFUNCTION("""COMPUTED_VALUE"""),25.54)</f>
        <v>25.54</v>
      </c>
      <c r="AJ69" s="320">
        <f>IFERROR(__xludf.DUMMYFUNCTION("""COMPUTED_VALUE"""),6.89)</f>
        <v>6.89</v>
      </c>
      <c r="AK69" s="320">
        <f>IFERROR(__xludf.DUMMYFUNCTION("""COMPUTED_VALUE"""),0.247)</f>
        <v>0.247</v>
      </c>
      <c r="AL69" s="320">
        <f>IFERROR(__xludf.DUMMYFUNCTION("""COMPUTED_VALUE"""),21.0)</f>
        <v>21</v>
      </c>
      <c r="AM69" s="320">
        <f>IFERROR(__xludf.DUMMYFUNCTION("""COMPUTED_VALUE"""),33.55)</f>
        <v>33.55</v>
      </c>
      <c r="AN69" s="320">
        <f>IFERROR(__xludf.DUMMYFUNCTION("""COMPUTED_VALUE"""),67.55)</f>
        <v>67.55</v>
      </c>
      <c r="AO69" s="320">
        <f>IFERROR(__xludf.DUMMYFUNCTION("""COMPUTED_VALUE"""),14.19)</f>
        <v>14.19</v>
      </c>
    </row>
    <row r="70" ht="15.75" customHeight="1">
      <c r="A70" s="330">
        <f>IFERROR(__xludf.DUMMYFUNCTION("""COMPUTED_VALUE"""),46061.0)</f>
        <v>46061</v>
      </c>
      <c r="B70" s="319" t="str">
        <f>IFERROR(__xludf.DUMMYFUNCTION("""COMPUTED_VALUE"""),"C. 10-19")</f>
        <v>C. 10-19</v>
      </c>
      <c r="C70" s="320">
        <f>IFERROR(__xludf.DUMMYFUNCTION("""COMPUTED_VALUE"""),17777.0)</f>
        <v>17777</v>
      </c>
      <c r="D70" s="320">
        <f>IFERROR(__xludf.DUMMYFUNCTION("""COMPUTED_VALUE"""),22.22)</f>
        <v>22.22</v>
      </c>
      <c r="E70" s="320">
        <f>IFERROR(__xludf.DUMMYFUNCTION("""COMPUTED_VALUE"""),17647.38)</f>
        <v>17647.38</v>
      </c>
      <c r="F70" s="320">
        <f>IFERROR(__xludf.DUMMYFUNCTION("""COMPUTED_VALUE"""),0.9927)</f>
        <v>0.9927</v>
      </c>
      <c r="G70" s="320">
        <f>IFERROR(__xludf.DUMMYFUNCTION("""COMPUTED_VALUE"""),19.91)</f>
        <v>19.91</v>
      </c>
      <c r="H70" s="320">
        <f>IFERROR(__xludf.DUMMYFUNCTION("""COMPUTED_VALUE"""),4.9851)</f>
        <v>4.9851</v>
      </c>
      <c r="I70" s="320">
        <f>IFERROR(__xludf.DUMMYFUNCTION("""COMPUTED_VALUE"""),61.87)</f>
        <v>61.87</v>
      </c>
      <c r="J70" s="320">
        <f>IFERROR(__xludf.DUMMYFUNCTION("""COMPUTED_VALUE"""),35.65)</f>
        <v>35.65</v>
      </c>
      <c r="K70" s="320">
        <f>IFERROR(__xludf.DUMMYFUNCTION("""COMPUTED_VALUE"""),13.6)</f>
        <v>13.6</v>
      </c>
      <c r="L70" s="320">
        <f>IFERROR(__xludf.DUMMYFUNCTION("""COMPUTED_VALUE"""),0.3815)</f>
        <v>0.3815</v>
      </c>
      <c r="M70" s="320">
        <f>IFERROR(__xludf.DUMMYFUNCTION("""COMPUTED_VALUE"""),0.6752)</f>
        <v>0.6752</v>
      </c>
      <c r="N70" s="320">
        <f>IFERROR(__xludf.DUMMYFUNCTION("""COMPUTED_VALUE"""),0.3958)</f>
        <v>0.3958</v>
      </c>
      <c r="O70" s="320">
        <f>IFERROR(__xludf.DUMMYFUNCTION("""COMPUTED_VALUE"""),2.6213)</f>
        <v>2.6213</v>
      </c>
      <c r="P70" s="320">
        <f>IFERROR(__xludf.DUMMYFUNCTION("""COMPUTED_VALUE"""),143.61)</f>
        <v>143.61</v>
      </c>
      <c r="Q70" s="320">
        <f>IFERROR(__xludf.DUMMYFUNCTION("""COMPUTED_VALUE"""),115.16)</f>
        <v>115.16</v>
      </c>
      <c r="R70" s="320">
        <f>IFERROR(__xludf.DUMMYFUNCTION("""COMPUTED_VALUE"""),28.45)</f>
        <v>28.45</v>
      </c>
      <c r="S70" s="320">
        <f>IFERROR(__xludf.DUMMYFUNCTION("""COMPUTED_VALUE"""),62.38)</f>
        <v>62.38</v>
      </c>
      <c r="T70" s="320">
        <f>IFERROR(__xludf.DUMMYFUNCTION("""COMPUTED_VALUE"""),81.22)</f>
        <v>81.22</v>
      </c>
      <c r="U70" s="320">
        <f>IFERROR(__xludf.DUMMYFUNCTION("""COMPUTED_VALUE"""),161.46)</f>
        <v>161.46</v>
      </c>
      <c r="V70" s="320">
        <f>IFERROR(__xludf.DUMMYFUNCTION("""COMPUTED_VALUE"""),4.5287)</f>
        <v>4.5287</v>
      </c>
      <c r="W70" s="320">
        <f>IFERROR(__xludf.DUMMYFUNCTION("""COMPUTED_VALUE"""),43.44)</f>
        <v>43.44</v>
      </c>
      <c r="X70" s="320">
        <f>IFERROR(__xludf.DUMMYFUNCTION("""COMPUTED_VALUE"""),80.0)</f>
        <v>80</v>
      </c>
      <c r="Y70" s="320">
        <f>IFERROR(__xludf.DUMMYFUNCTION("""COMPUTED_VALUE"""),176.0)</f>
        <v>176</v>
      </c>
      <c r="Z70" s="320">
        <f>IFERROR(__xludf.DUMMYFUNCTION("""COMPUTED_VALUE"""),628.0)</f>
        <v>628</v>
      </c>
      <c r="AA70" s="320">
        <f>IFERROR(__xludf.DUMMYFUNCTION("""COMPUTED_VALUE"""),52.3099)</f>
        <v>52.3099</v>
      </c>
      <c r="AB70" s="320">
        <f>IFERROR(__xludf.DUMMYFUNCTION("""COMPUTED_VALUE"""),0.5515)</f>
        <v>0.5515</v>
      </c>
      <c r="AC70" s="320">
        <f>IFERROR(__xludf.DUMMYFUNCTION("""COMPUTED_VALUE"""),8.4)</f>
        <v>8.4</v>
      </c>
      <c r="AD70" s="320">
        <f>IFERROR(__xludf.DUMMYFUNCTION("""COMPUTED_VALUE"""),3.0)</f>
        <v>3</v>
      </c>
      <c r="AE70" s="320">
        <f>IFERROR(__xludf.DUMMYFUNCTION("""COMPUTED_VALUE"""),6.0)</f>
        <v>6</v>
      </c>
      <c r="AF70" s="320">
        <f>IFERROR(__xludf.DUMMYFUNCTION("""COMPUTED_VALUE"""),11.0)</f>
        <v>11</v>
      </c>
      <c r="AG70" s="320">
        <f>IFERROR(__xludf.DUMMYFUNCTION("""COMPUTED_VALUE"""),19.0)</f>
        <v>19</v>
      </c>
      <c r="AH70" s="320">
        <f>IFERROR(__xludf.DUMMYFUNCTION("""COMPUTED_VALUE"""),52.26)</f>
        <v>52.26</v>
      </c>
      <c r="AI70" s="320">
        <f>IFERROR(__xludf.DUMMYFUNCTION("""COMPUTED_VALUE"""),22.04)</f>
        <v>22.04</v>
      </c>
      <c r="AJ70" s="320">
        <f>IFERROR(__xludf.DUMMYFUNCTION("""COMPUTED_VALUE"""),4.08)</f>
        <v>4.08</v>
      </c>
      <c r="AK70" s="320">
        <f>IFERROR(__xludf.DUMMYFUNCTION("""COMPUTED_VALUE"""),0.2169)</f>
        <v>0.2169</v>
      </c>
      <c r="AL70" s="320">
        <f>IFERROR(__xludf.DUMMYFUNCTION("""COMPUTED_VALUE"""),21.5)</f>
        <v>21.5</v>
      </c>
      <c r="AM70" s="320">
        <f>IFERROR(__xludf.DUMMYFUNCTION("""COMPUTED_VALUE"""),93.66)</f>
        <v>93.66</v>
      </c>
      <c r="AN70" s="320">
        <f>IFERROR(__xludf.DUMMYFUNCTION("""COMPUTED_VALUE"""),73.68)</f>
        <v>73.68</v>
      </c>
      <c r="AO70" s="320">
        <f>IFERROR(__xludf.DUMMYFUNCTION("""COMPUTED_VALUE"""),15.84)</f>
        <v>15.84</v>
      </c>
    </row>
    <row r="71" ht="15.75" customHeight="1">
      <c r="A71" s="330">
        <f>IFERROR(__xludf.DUMMYFUNCTION("""COMPUTED_VALUE"""),46061.0)</f>
        <v>46061</v>
      </c>
      <c r="B71" s="319" t="str">
        <f>IFERROR(__xludf.DUMMYFUNCTION("""COMPUTED_VALUE"""),"D. 20-39")</f>
        <v>D. 20-39</v>
      </c>
      <c r="C71" s="320">
        <f>IFERROR(__xludf.DUMMYFUNCTION("""COMPUTED_VALUE"""),9570.0)</f>
        <v>9570</v>
      </c>
      <c r="D71" s="320">
        <f>IFERROR(__xludf.DUMMYFUNCTION("""COMPUTED_VALUE"""),11.96)</f>
        <v>11.96</v>
      </c>
      <c r="E71" s="320">
        <f>IFERROR(__xludf.DUMMYFUNCTION("""COMPUTED_VALUE"""),24157.2)</f>
        <v>24157.2</v>
      </c>
      <c r="F71" s="320">
        <f>IFERROR(__xludf.DUMMYFUNCTION("""COMPUTED_VALUE"""),2.5243)</f>
        <v>2.5243</v>
      </c>
      <c r="G71" s="320">
        <f>IFERROR(__xludf.DUMMYFUNCTION("""COMPUTED_VALUE"""),32.33)</f>
        <v>32.33</v>
      </c>
      <c r="H71" s="320">
        <f>IFERROR(__xludf.DUMMYFUNCTION("""COMPUTED_VALUE"""),7.8078)</f>
        <v>7.8078</v>
      </c>
      <c r="I71" s="320">
        <f>IFERROR(__xludf.DUMMYFUNCTION("""COMPUTED_VALUE"""),91.67)</f>
        <v>91.67</v>
      </c>
      <c r="J71" s="320">
        <f>IFERROR(__xludf.DUMMYFUNCTION("""COMPUTED_VALUE"""),54.16)</f>
        <v>54.16</v>
      </c>
      <c r="K71" s="320">
        <f>IFERROR(__xludf.DUMMYFUNCTION("""COMPUTED_VALUE"""),27.07)</f>
        <v>27.07</v>
      </c>
      <c r="L71" s="320">
        <f>IFERROR(__xludf.DUMMYFUNCTION("""COMPUTED_VALUE"""),0.4998)</f>
        <v>0.4998</v>
      </c>
      <c r="M71" s="320">
        <f>IFERROR(__xludf.DUMMYFUNCTION("""COMPUTED_VALUE"""),0.5651)</f>
        <v>0.5651</v>
      </c>
      <c r="N71" s="320">
        <f>IFERROR(__xludf.DUMMYFUNCTION("""COMPUTED_VALUE"""),0.3133)</f>
        <v>0.3133</v>
      </c>
      <c r="O71" s="320">
        <f>IFERROR(__xludf.DUMMYFUNCTION("""COMPUTED_VALUE"""),2.0007)</f>
        <v>2.0007</v>
      </c>
      <c r="P71" s="320">
        <f>IFERROR(__xludf.DUMMYFUNCTION("""COMPUTED_VALUE"""),294.44)</f>
        <v>294.44</v>
      </c>
      <c r="Q71" s="320">
        <f>IFERROR(__xludf.DUMMYFUNCTION("""COMPUTED_VALUE"""),237.62)</f>
        <v>237.62</v>
      </c>
      <c r="R71" s="320">
        <f>IFERROR(__xludf.DUMMYFUNCTION("""COMPUTED_VALUE"""),56.82)</f>
        <v>56.82</v>
      </c>
      <c r="S71" s="320">
        <f>IFERROR(__xludf.DUMMYFUNCTION("""COMPUTED_VALUE"""),159.59)</f>
        <v>159.59</v>
      </c>
      <c r="T71" s="320">
        <f>IFERROR(__xludf.DUMMYFUNCTION("""COMPUTED_VALUE"""),134.85)</f>
        <v>134.85</v>
      </c>
      <c r="U71" s="320">
        <f>IFERROR(__xludf.DUMMYFUNCTION("""COMPUTED_VALUE"""),323.52)</f>
        <v>323.52</v>
      </c>
      <c r="V71" s="320">
        <f>IFERROR(__xludf.DUMMYFUNCTION("""COMPUTED_VALUE"""),5.9738)</f>
        <v>5.9738</v>
      </c>
      <c r="W71" s="320">
        <f>IFERROR(__xludf.DUMMYFUNCTION("""COMPUTED_VALUE"""),54.2)</f>
        <v>54.2</v>
      </c>
      <c r="X71" s="320">
        <f>IFERROR(__xludf.DUMMYFUNCTION("""COMPUTED_VALUE"""),84.0)</f>
        <v>84</v>
      </c>
      <c r="Y71" s="320">
        <f>IFERROR(__xludf.DUMMYFUNCTION("""COMPUTED_VALUE"""),187.0)</f>
        <v>187</v>
      </c>
      <c r="Z71" s="320">
        <f>IFERROR(__xludf.DUMMYFUNCTION("""COMPUTED_VALUE"""),653.0)</f>
        <v>653</v>
      </c>
      <c r="AA71" s="320">
        <f>IFERROR(__xludf.DUMMYFUNCTION("""COMPUTED_VALUE"""),54.4403)</f>
        <v>54.4403</v>
      </c>
      <c r="AB71" s="320">
        <f>IFERROR(__xludf.DUMMYFUNCTION("""COMPUTED_VALUE"""),0.6548)</f>
        <v>0.6548</v>
      </c>
      <c r="AC71" s="320">
        <f>IFERROR(__xludf.DUMMYFUNCTION("""COMPUTED_VALUE"""),16.76)</f>
        <v>16.76</v>
      </c>
      <c r="AD71" s="320">
        <f>IFERROR(__xludf.DUMMYFUNCTION("""COMPUTED_VALUE"""),5.0)</f>
        <v>5</v>
      </c>
      <c r="AE71" s="320">
        <f>IFERROR(__xludf.DUMMYFUNCTION("""COMPUTED_VALUE"""),12.0)</f>
        <v>12</v>
      </c>
      <c r="AF71" s="320">
        <f>IFERROR(__xludf.DUMMYFUNCTION("""COMPUTED_VALUE"""),24.0)</f>
        <v>24</v>
      </c>
      <c r="AG71" s="320">
        <f>IFERROR(__xludf.DUMMYFUNCTION("""COMPUTED_VALUE"""),37.0)</f>
        <v>37</v>
      </c>
      <c r="AH71" s="320">
        <f>IFERROR(__xludf.DUMMYFUNCTION("""COMPUTED_VALUE"""),52.66)</f>
        <v>52.66</v>
      </c>
      <c r="AI71" s="320">
        <f>IFERROR(__xludf.DUMMYFUNCTION("""COMPUTED_VALUE"""),21.81)</f>
        <v>21.81</v>
      </c>
      <c r="AJ71" s="320">
        <f>IFERROR(__xludf.DUMMYFUNCTION("""COMPUTED_VALUE"""),7.16)</f>
        <v>7.16</v>
      </c>
      <c r="AK71" s="320">
        <f>IFERROR(__xludf.DUMMYFUNCTION("""COMPUTED_VALUE"""),0.2145)</f>
        <v>0.2145</v>
      </c>
      <c r="AL71" s="320">
        <f>IFERROR(__xludf.DUMMYFUNCTION("""COMPUTED_VALUE"""),21.43)</f>
        <v>21.43</v>
      </c>
      <c r="AM71" s="320">
        <f>IFERROR(__xludf.DUMMYFUNCTION("""COMPUTED_VALUE"""),216.19)</f>
        <v>216.19</v>
      </c>
      <c r="AN71" s="320">
        <f>IFERROR(__xludf.DUMMYFUNCTION("""COMPUTED_VALUE"""),73.97)</f>
        <v>73.97</v>
      </c>
      <c r="AO71" s="320">
        <f>IFERROR(__xludf.DUMMYFUNCTION("""COMPUTED_VALUE"""),15.85)</f>
        <v>15.85</v>
      </c>
    </row>
    <row r="72" ht="15.75" customHeight="1">
      <c r="A72" s="330">
        <f>IFERROR(__xludf.DUMMYFUNCTION("""COMPUTED_VALUE"""),46061.0)</f>
        <v>46061</v>
      </c>
      <c r="B72" s="319" t="str">
        <f>IFERROR(__xludf.DUMMYFUNCTION("""COMPUTED_VALUE"""),"E. 40-99")</f>
        <v>E. 40-99</v>
      </c>
      <c r="C72" s="320">
        <f>IFERROR(__xludf.DUMMYFUNCTION("""COMPUTED_VALUE"""),3900.0)</f>
        <v>3900</v>
      </c>
      <c r="D72" s="320">
        <f>IFERROR(__xludf.DUMMYFUNCTION("""COMPUTED_VALUE"""),4.88)</f>
        <v>4.88</v>
      </c>
      <c r="E72" s="320">
        <f>IFERROR(__xludf.DUMMYFUNCTION("""COMPUTED_VALUE"""),22702.71)</f>
        <v>22702.71</v>
      </c>
      <c r="F72" s="320">
        <f>IFERROR(__xludf.DUMMYFUNCTION("""COMPUTED_VALUE"""),5.8212)</f>
        <v>5.8212</v>
      </c>
      <c r="G72" s="320">
        <f>IFERROR(__xludf.DUMMYFUNCTION("""COMPUTED_VALUE"""),42.82)</f>
        <v>42.82</v>
      </c>
      <c r="H72" s="320">
        <f>IFERROR(__xludf.DUMMYFUNCTION("""COMPUTED_VALUE"""),13.5944)</f>
        <v>13.5944</v>
      </c>
      <c r="I72" s="320">
        <f>IFERROR(__xludf.DUMMYFUNCTION("""COMPUTED_VALUE"""),136.53)</f>
        <v>136.53</v>
      </c>
      <c r="J72" s="320">
        <f>IFERROR(__xludf.DUMMYFUNCTION("""COMPUTED_VALUE"""),84.67)</f>
        <v>84.67</v>
      </c>
      <c r="K72" s="320">
        <f>IFERROR(__xludf.DUMMYFUNCTION("""COMPUTED_VALUE"""),54.56)</f>
        <v>54.56</v>
      </c>
      <c r="L72" s="320">
        <f>IFERROR(__xludf.DUMMYFUNCTION("""COMPUTED_VALUE"""),0.6444)</f>
        <v>0.6444</v>
      </c>
      <c r="M72" s="320">
        <f>IFERROR(__xludf.DUMMYFUNCTION("""COMPUTED_VALUE"""),0.436)</f>
        <v>0.436</v>
      </c>
      <c r="N72" s="320">
        <f>IFERROR(__xludf.DUMMYFUNCTION("""COMPUTED_VALUE"""),0.2414)</f>
        <v>0.2414</v>
      </c>
      <c r="O72" s="320">
        <f>IFERROR(__xludf.DUMMYFUNCTION("""COMPUTED_VALUE"""),1.5518)</f>
        <v>1.5518</v>
      </c>
      <c r="P72" s="320">
        <f>IFERROR(__xludf.DUMMYFUNCTION("""COMPUTED_VALUE"""),597.67)</f>
        <v>597.67</v>
      </c>
      <c r="Q72" s="320">
        <f>IFERROR(__xludf.DUMMYFUNCTION("""COMPUTED_VALUE"""),482.77)</f>
        <v>482.77</v>
      </c>
      <c r="R72" s="320">
        <f>IFERROR(__xludf.DUMMYFUNCTION("""COMPUTED_VALUE"""),114.89)</f>
        <v>114.89</v>
      </c>
      <c r="S72" s="320">
        <f>IFERROR(__xludf.DUMMYFUNCTION("""COMPUTED_VALUE"""),363.61)</f>
        <v>363.61</v>
      </c>
      <c r="T72" s="320">
        <f>IFERROR(__xludf.DUMMYFUNCTION("""COMPUTED_VALUE"""),234.06)</f>
        <v>234.06</v>
      </c>
      <c r="U72" s="320">
        <f>IFERROR(__xludf.DUMMYFUNCTION("""COMPUTED_VALUE"""),653.36)</f>
        <v>653.36</v>
      </c>
      <c r="V72" s="320">
        <f>IFERROR(__xludf.DUMMYFUNCTION("""COMPUTED_VALUE"""),7.7166)</f>
        <v>7.7166</v>
      </c>
      <c r="W72" s="320">
        <f>IFERROR(__xludf.DUMMYFUNCTION("""COMPUTED_VALUE"""),60.84)</f>
        <v>60.84</v>
      </c>
      <c r="X72" s="320">
        <f>IFERROR(__xludf.DUMMYFUNCTION("""COMPUTED_VALUE"""),96.0)</f>
        <v>96</v>
      </c>
      <c r="Y72" s="320">
        <f>IFERROR(__xludf.DUMMYFUNCTION("""COMPUTED_VALUE"""),299.0)</f>
        <v>299</v>
      </c>
      <c r="Z72" s="320">
        <f>IFERROR(__xludf.DUMMYFUNCTION("""COMPUTED_VALUE"""),1054.0)</f>
        <v>1054</v>
      </c>
      <c r="AA72" s="320">
        <f>IFERROR(__xludf.DUMMYFUNCTION("""COMPUTED_VALUE"""),57.3061)</f>
        <v>57.3061</v>
      </c>
      <c r="AB72" s="320">
        <f>IFERROR(__xludf.DUMMYFUNCTION("""COMPUTED_VALUE"""),0.7571)</f>
        <v>0.7571</v>
      </c>
      <c r="AC72" s="320">
        <f>IFERROR(__xludf.DUMMYFUNCTION("""COMPUTED_VALUE"""),34.97)</f>
        <v>34.97</v>
      </c>
      <c r="AD72" s="320">
        <f>IFERROR(__xludf.DUMMYFUNCTION("""COMPUTED_VALUE"""),11.0)</f>
        <v>11</v>
      </c>
      <c r="AE72" s="320">
        <f>IFERROR(__xludf.DUMMYFUNCTION("""COMPUTED_VALUE"""),26.0)</f>
        <v>26</v>
      </c>
      <c r="AF72" s="320">
        <f>IFERROR(__xludf.DUMMYFUNCTION("""COMPUTED_VALUE"""),50.0)</f>
        <v>50</v>
      </c>
      <c r="AG72" s="320">
        <f>IFERROR(__xludf.DUMMYFUNCTION("""COMPUTED_VALUE"""),76.0)</f>
        <v>76</v>
      </c>
      <c r="AH72" s="320">
        <f>IFERROR(__xludf.DUMMYFUNCTION("""COMPUTED_VALUE"""),47.79)</f>
        <v>47.79</v>
      </c>
      <c r="AI72" s="320">
        <f>IFERROR(__xludf.DUMMYFUNCTION("""COMPUTED_VALUE"""),17.72)</f>
        <v>17.72</v>
      </c>
      <c r="AJ72" s="320">
        <f>IFERROR(__xludf.DUMMYFUNCTION("""COMPUTED_VALUE"""),4.74)</f>
        <v>4.74</v>
      </c>
      <c r="AK72" s="320">
        <f>IFERROR(__xludf.DUMMYFUNCTION("""COMPUTED_VALUE"""),0.2046)</f>
        <v>0.2046</v>
      </c>
      <c r="AL72" s="320">
        <f>IFERROR(__xludf.DUMMYFUNCTION("""COMPUTED_VALUE"""),21.73)</f>
        <v>21.73</v>
      </c>
      <c r="AM72" s="320">
        <f>IFERROR(__xludf.DUMMYFUNCTION("""COMPUTED_VALUE"""),461.04)</f>
        <v>461.04</v>
      </c>
      <c r="AN72" s="320">
        <f>IFERROR(__xludf.DUMMYFUNCTION("""COMPUTED_VALUE"""),74.36)</f>
        <v>74.36</v>
      </c>
      <c r="AO72" s="320">
        <f>IFERROR(__xludf.DUMMYFUNCTION("""COMPUTED_VALUE"""),16.16)</f>
        <v>16.16</v>
      </c>
    </row>
    <row r="73" ht="15.75" customHeight="1">
      <c r="A73" s="330">
        <f>IFERROR(__xludf.DUMMYFUNCTION("""COMPUTED_VALUE"""),46061.0)</f>
        <v>46061</v>
      </c>
      <c r="B73" s="319" t="str">
        <f>IFERROR(__xludf.DUMMYFUNCTION("""COMPUTED_VALUE"""),"F. 100+")</f>
        <v>F. 100+</v>
      </c>
      <c r="C73" s="320">
        <f>IFERROR(__xludf.DUMMYFUNCTION("""COMPUTED_VALUE"""),455.0)</f>
        <v>455</v>
      </c>
      <c r="D73" s="320">
        <f>IFERROR(__xludf.DUMMYFUNCTION("""COMPUTED_VALUE"""),0.57)</f>
        <v>0.57</v>
      </c>
      <c r="E73" s="320">
        <f>IFERROR(__xludf.DUMMYFUNCTION("""COMPUTED_VALUE"""),5281.39)</f>
        <v>5281.39</v>
      </c>
      <c r="F73" s="320">
        <f>IFERROR(__xludf.DUMMYFUNCTION("""COMPUTED_VALUE"""),11.6075)</f>
        <v>11.6075</v>
      </c>
      <c r="G73" s="320">
        <f>IFERROR(__xludf.DUMMYFUNCTION("""COMPUTED_VALUE"""),49.67)</f>
        <v>49.67</v>
      </c>
      <c r="H73" s="320">
        <f>IFERROR(__xludf.DUMMYFUNCTION("""COMPUTED_VALUE"""),23.369)</f>
        <v>23.369</v>
      </c>
      <c r="I73" s="320">
        <f>IFERROR(__xludf.DUMMYFUNCTION("""COMPUTED_VALUE"""),246.26)</f>
        <v>246.26</v>
      </c>
      <c r="J73" s="320">
        <f>IFERROR(__xludf.DUMMYFUNCTION("""COMPUTED_VALUE"""),160.91)</f>
        <v>160.91</v>
      </c>
      <c r="K73" s="320">
        <f>IFERROR(__xludf.DUMMYFUNCTION("""COMPUTED_VALUE"""),124.07)</f>
        <v>124.07</v>
      </c>
      <c r="L73" s="320">
        <f>IFERROR(__xludf.DUMMYFUNCTION("""COMPUTED_VALUE"""),0.7711)</f>
        <v>0.7711</v>
      </c>
      <c r="M73" s="320">
        <f>IFERROR(__xludf.DUMMYFUNCTION("""COMPUTED_VALUE"""),0.3121)</f>
        <v>0.3121</v>
      </c>
      <c r="N73" s="320">
        <f>IFERROR(__xludf.DUMMYFUNCTION("""COMPUTED_VALUE"""),0.1843)</f>
        <v>0.1843</v>
      </c>
      <c r="O73" s="320">
        <f>IFERROR(__xludf.DUMMYFUNCTION("""COMPUTED_VALUE"""),1.2969)</f>
        <v>1.2969</v>
      </c>
      <c r="P73" s="320">
        <f>IFERROR(__xludf.DUMMYFUNCTION("""COMPUTED_VALUE"""),1166.91)</f>
        <v>1166.91</v>
      </c>
      <c r="Q73" s="320">
        <f>IFERROR(__xludf.DUMMYFUNCTION("""COMPUTED_VALUE"""),906.59)</f>
        <v>906.59</v>
      </c>
      <c r="R73" s="320">
        <f>IFERROR(__xludf.DUMMYFUNCTION("""COMPUTED_VALUE"""),260.32)</f>
        <v>260.32</v>
      </c>
      <c r="S73" s="320">
        <f>IFERROR(__xludf.DUMMYFUNCTION("""COMPUTED_VALUE"""),728.4)</f>
        <v>728.4</v>
      </c>
      <c r="T73" s="320">
        <f>IFERROR(__xludf.DUMMYFUNCTION("""COMPUTED_VALUE"""),438.52)</f>
        <v>438.52</v>
      </c>
      <c r="U73" s="320">
        <f>IFERROR(__xludf.DUMMYFUNCTION("""COMPUTED_VALUE"""),1287.8)</f>
        <v>1287.8</v>
      </c>
      <c r="V73" s="320">
        <f>IFERROR(__xludf.DUMMYFUNCTION("""COMPUTED_VALUE"""),8.0035)</f>
        <v>8.0035</v>
      </c>
      <c r="W73" s="320">
        <f>IFERROR(__xludf.DUMMYFUNCTION("""COMPUTED_VALUE"""),62.42)</f>
        <v>62.42</v>
      </c>
      <c r="X73" s="320">
        <f>IFERROR(__xludf.DUMMYFUNCTION("""COMPUTED_VALUE"""),114.0)</f>
        <v>114</v>
      </c>
      <c r="Y73" s="320">
        <f>IFERROR(__xludf.DUMMYFUNCTION("""COMPUTED_VALUE"""),459.0)</f>
        <v>459</v>
      </c>
      <c r="Z73" s="320">
        <f>IFERROR(__xludf.DUMMYFUNCTION("""COMPUTED_VALUE"""),1968.0)</f>
        <v>1968</v>
      </c>
      <c r="AA73" s="320">
        <f>IFERROR(__xludf.DUMMYFUNCTION("""COMPUTED_VALUE"""),61.163)</f>
        <v>61.163</v>
      </c>
      <c r="AB73" s="320">
        <f>IFERROR(__xludf.DUMMYFUNCTION("""COMPUTED_VALUE"""),0.8162)</f>
        <v>0.8162</v>
      </c>
      <c r="AC73" s="320">
        <f>IFERROR(__xludf.DUMMYFUNCTION("""COMPUTED_VALUE"""),77.06)</f>
        <v>77.06</v>
      </c>
      <c r="AD73" s="320">
        <f>IFERROR(__xludf.DUMMYFUNCTION("""COMPUTED_VALUE"""),23.0)</f>
        <v>23</v>
      </c>
      <c r="AE73" s="320">
        <f>IFERROR(__xludf.DUMMYFUNCTION("""COMPUTED_VALUE"""),55.0)</f>
        <v>55</v>
      </c>
      <c r="AF73" s="320">
        <f>IFERROR(__xludf.DUMMYFUNCTION("""COMPUTED_VALUE"""),115.0)</f>
        <v>115</v>
      </c>
      <c r="AG73" s="320">
        <f>IFERROR(__xludf.DUMMYFUNCTION("""COMPUTED_VALUE"""),175.0)</f>
        <v>175</v>
      </c>
      <c r="AH73" s="320">
        <f>IFERROR(__xludf.DUMMYFUNCTION("""COMPUTED_VALUE"""),36.92)</f>
        <v>36.92</v>
      </c>
      <c r="AI73" s="320">
        <f>IFERROR(__xludf.DUMMYFUNCTION("""COMPUTED_VALUE"""),10.11)</f>
        <v>10.11</v>
      </c>
      <c r="AJ73" s="320">
        <f>IFERROR(__xludf.DUMMYFUNCTION("""COMPUTED_VALUE"""),1.54)</f>
        <v>1.54</v>
      </c>
      <c r="AK73" s="320">
        <f>IFERROR(__xludf.DUMMYFUNCTION("""COMPUTED_VALUE"""),0.1692)</f>
        <v>0.1692</v>
      </c>
      <c r="AL73" s="320">
        <f>IFERROR(__xludf.DUMMYFUNCTION("""COMPUTED_VALUE"""),20.2)</f>
        <v>20.2</v>
      </c>
      <c r="AM73" s="320">
        <f>IFERROR(__xludf.DUMMYFUNCTION("""COMPUTED_VALUE"""),886.4)</f>
        <v>886.4</v>
      </c>
      <c r="AN73" s="320">
        <f>IFERROR(__xludf.DUMMYFUNCTION("""COMPUTED_VALUE"""),70.86)</f>
        <v>70.86</v>
      </c>
      <c r="AO73" s="320">
        <f>IFERROR(__xludf.DUMMYFUNCTION("""COMPUTED_VALUE"""),14.31)</f>
        <v>14.31</v>
      </c>
    </row>
    <row r="74" ht="15.75" customHeight="1">
      <c r="A74" s="330">
        <f>IFERROR(__xludf.DUMMYFUNCTION("""COMPUTED_VALUE"""),46062.0)</f>
        <v>46062</v>
      </c>
      <c r="B74" s="319" t="str">
        <f>IFERROR(__xludf.DUMMYFUNCTION("""COMPUTED_VALUE"""),"A. 0")</f>
        <v>A. 0</v>
      </c>
      <c r="C74" s="320">
        <f>IFERROR(__xludf.DUMMYFUNCTION("""COMPUTED_VALUE"""),15983.0)</f>
        <v>15983</v>
      </c>
      <c r="D74" s="320">
        <f>IFERROR(__xludf.DUMMYFUNCTION("""COMPUTED_VALUE"""),19.6)</f>
        <v>19.6</v>
      </c>
      <c r="E74" s="320">
        <f>IFERROR(__xludf.DUMMYFUNCTION("""COMPUTED_VALUE"""),228.73)</f>
        <v>228.73</v>
      </c>
      <c r="F74" s="320">
        <f>IFERROR(__xludf.DUMMYFUNCTION("""COMPUTED_VALUE"""),0.0143)</f>
        <v>0.0143</v>
      </c>
      <c r="G74" s="320">
        <f>IFERROR(__xludf.DUMMYFUNCTION("""COMPUTED_VALUE"""),0.27)</f>
        <v>0.27</v>
      </c>
      <c r="H74" s="320">
        <f>IFERROR(__xludf.DUMMYFUNCTION("""COMPUTED_VALUE"""),5.3193)</f>
        <v>5.3193</v>
      </c>
      <c r="I74" s="320">
        <f>IFERROR(__xludf.DUMMYFUNCTION("""COMPUTED_VALUE"""),5.55)</f>
        <v>5.55</v>
      </c>
      <c r="J74" s="320">
        <f>IFERROR(__xludf.DUMMYFUNCTION("""COMPUTED_VALUE"""),2.44)</f>
        <v>2.44</v>
      </c>
      <c r="K74" s="320">
        <f>IFERROR(__xludf.DUMMYFUNCTION("""COMPUTED_VALUE"""),0.09)</f>
        <v>0.09</v>
      </c>
      <c r="L74" s="320">
        <f>IFERROR(__xludf.DUMMYFUNCTION("""COMPUTED_VALUE"""),0.0351)</f>
        <v>0.0351</v>
      </c>
      <c r="M74" s="320">
        <f>IFERROR(__xludf.DUMMYFUNCTION("""COMPUTED_VALUE"""),0.9686)</f>
        <v>0.9686</v>
      </c>
      <c r="N74" s="320">
        <f>IFERROR(__xludf.DUMMYFUNCTION("""COMPUTED_VALUE"""),0.6858)</f>
        <v>0.6858</v>
      </c>
      <c r="O74" s="320">
        <f>IFERROR(__xludf.DUMMYFUNCTION("""COMPUTED_VALUE"""),28.4627)</f>
        <v>28.4627</v>
      </c>
      <c r="P74" s="320">
        <f>IFERROR(__xludf.DUMMYFUNCTION("""COMPUTED_VALUE"""),37.74)</f>
        <v>37.74</v>
      </c>
      <c r="Q74" s="320">
        <f>IFERROR(__xludf.DUMMYFUNCTION("""COMPUTED_VALUE"""),37.69)</f>
        <v>37.69</v>
      </c>
      <c r="R74" s="320">
        <f>IFERROR(__xludf.DUMMYFUNCTION("""COMPUTED_VALUE"""),0.06)</f>
        <v>0.06</v>
      </c>
      <c r="S74" s="320">
        <f>IFERROR(__xludf.DUMMYFUNCTION("""COMPUTED_VALUE"""),1.44)</f>
        <v>1.44</v>
      </c>
      <c r="T74" s="320">
        <f>IFERROR(__xludf.DUMMYFUNCTION("""COMPUTED_VALUE"""),36.3)</f>
        <v>36.3</v>
      </c>
      <c r="U74" s="320">
        <f>IFERROR(__xludf.DUMMYFUNCTION("""COMPUTED_VALUE"""),2.82)</f>
        <v>2.82</v>
      </c>
      <c r="V74" s="320">
        <f>IFERROR(__xludf.DUMMYFUNCTION("""COMPUTED_VALUE"""),1.1583)</f>
        <v>1.1583</v>
      </c>
      <c r="W74" s="320">
        <f>IFERROR(__xludf.DUMMYFUNCTION("""COMPUTED_VALUE"""),3.82)</f>
        <v>3.82</v>
      </c>
      <c r="X74" s="320">
        <f>IFERROR(__xludf.DUMMYFUNCTION("""COMPUTED_VALUE"""),192.0)</f>
        <v>192</v>
      </c>
      <c r="Y74" s="320">
        <f>IFERROR(__xludf.DUMMYFUNCTION("""COMPUTED_VALUE"""),1237.0)</f>
        <v>1237</v>
      </c>
      <c r="Z74" s="320">
        <f>IFERROR(__xludf.DUMMYFUNCTION("""COMPUTED_VALUE"""),7429.0)</f>
        <v>7429</v>
      </c>
      <c r="AA74" s="320">
        <f>IFERROR(__xludf.DUMMYFUNCTION("""COMPUTED_VALUE"""),49.9476)</f>
        <v>49.9476</v>
      </c>
      <c r="AB74" s="320">
        <f>IFERROR(__xludf.DUMMYFUNCTION("""COMPUTED_VALUE"""),0.5306)</f>
        <v>0.5306</v>
      </c>
      <c r="AC74" s="106"/>
      <c r="AD74" s="106"/>
      <c r="AE74" s="106"/>
      <c r="AF74" s="106"/>
      <c r="AG74" s="106"/>
      <c r="AH74" s="320">
        <f>IFERROR(__xludf.DUMMYFUNCTION("""COMPUTED_VALUE"""),0.0)</f>
        <v>0</v>
      </c>
      <c r="AI74" s="320">
        <f>IFERROR(__xludf.DUMMYFUNCTION("""COMPUTED_VALUE"""),0.0)</f>
        <v>0</v>
      </c>
      <c r="AJ74" s="320">
        <f>IFERROR(__xludf.DUMMYFUNCTION("""COMPUTED_VALUE"""),0.0)</f>
        <v>0</v>
      </c>
      <c r="AK74" s="320">
        <f>IFERROR(__xludf.DUMMYFUNCTION("""COMPUTED_VALUE"""),0.285)</f>
        <v>0.285</v>
      </c>
      <c r="AL74" s="320">
        <f>IFERROR(__xludf.DUMMYFUNCTION("""COMPUTED_VALUE"""),16.0)</f>
        <v>16</v>
      </c>
      <c r="AM74" s="320">
        <f>IFERROR(__xludf.DUMMYFUNCTION("""COMPUTED_VALUE"""),21.68)</f>
        <v>21.68</v>
      </c>
      <c r="AN74" s="331"/>
      <c r="AO74" s="331"/>
    </row>
    <row r="75" ht="15.75" customHeight="1">
      <c r="A75" s="330">
        <f>IFERROR(__xludf.DUMMYFUNCTION("""COMPUTED_VALUE"""),46062.0)</f>
        <v>46062</v>
      </c>
      <c r="B75" s="319" t="str">
        <f>IFERROR(__xludf.DUMMYFUNCTION("""COMPUTED_VALUE"""),"B. 1-9")</f>
        <v>B. 1-9</v>
      </c>
      <c r="C75" s="320">
        <f>IFERROR(__xludf.DUMMYFUNCTION("""COMPUTED_VALUE"""),32355.0)</f>
        <v>32355</v>
      </c>
      <c r="D75" s="320">
        <f>IFERROR(__xludf.DUMMYFUNCTION("""COMPUTED_VALUE"""),39.68)</f>
        <v>39.68</v>
      </c>
      <c r="E75" s="320">
        <f>IFERROR(__xludf.DUMMYFUNCTION("""COMPUTED_VALUE"""),6687.04)</f>
        <v>6687.04</v>
      </c>
      <c r="F75" s="320">
        <f>IFERROR(__xludf.DUMMYFUNCTION("""COMPUTED_VALUE"""),0.2067)</f>
        <v>0.2067</v>
      </c>
      <c r="G75" s="320">
        <f>IFERROR(__xludf.DUMMYFUNCTION("""COMPUTED_VALUE"""),5.89)</f>
        <v>5.89</v>
      </c>
      <c r="H75" s="320">
        <f>IFERROR(__xludf.DUMMYFUNCTION("""COMPUTED_VALUE"""),3.5084)</f>
        <v>3.5084</v>
      </c>
      <c r="I75" s="320">
        <f>IFERROR(__xludf.DUMMYFUNCTION("""COMPUTED_VALUE"""),33.67)</f>
        <v>33.67</v>
      </c>
      <c r="J75" s="320">
        <f>IFERROR(__xludf.DUMMYFUNCTION("""COMPUTED_VALUE"""),18.1)</f>
        <v>18.1</v>
      </c>
      <c r="K75" s="320">
        <f>IFERROR(__xludf.DUMMYFUNCTION("""COMPUTED_VALUE"""),5.41)</f>
        <v>5.41</v>
      </c>
      <c r="L75" s="320">
        <f>IFERROR(__xludf.DUMMYFUNCTION("""COMPUTED_VALUE"""),0.299)</f>
        <v>0.299</v>
      </c>
      <c r="M75" s="320">
        <f>IFERROR(__xludf.DUMMYFUNCTION("""COMPUTED_VALUE"""),0.7723)</f>
        <v>0.7723</v>
      </c>
      <c r="N75" s="320">
        <f>IFERROR(__xludf.DUMMYFUNCTION("""COMPUTED_VALUE"""),0.534)</f>
        <v>0.534</v>
      </c>
      <c r="O75" s="320">
        <f>IFERROR(__xludf.DUMMYFUNCTION("""COMPUTED_VALUE"""),3.3448)</f>
        <v>3.3448</v>
      </c>
      <c r="P75" s="320">
        <f>IFERROR(__xludf.DUMMYFUNCTION("""COMPUTED_VALUE"""),96.78)</f>
        <v>96.78</v>
      </c>
      <c r="Q75" s="320">
        <f>IFERROR(__xludf.DUMMYFUNCTION("""COMPUTED_VALUE"""),85.66)</f>
        <v>85.66</v>
      </c>
      <c r="R75" s="320">
        <f>IFERROR(__xludf.DUMMYFUNCTION("""COMPUTED_VALUE"""),11.13)</f>
        <v>11.13</v>
      </c>
      <c r="S75" s="320">
        <f>IFERROR(__xludf.DUMMYFUNCTION("""COMPUTED_VALUE"""),13.91)</f>
        <v>13.91</v>
      </c>
      <c r="T75" s="320">
        <f>IFERROR(__xludf.DUMMYFUNCTION("""COMPUTED_VALUE"""),82.88)</f>
        <v>82.88</v>
      </c>
      <c r="U75" s="320">
        <f>IFERROR(__xludf.DUMMYFUNCTION("""COMPUTED_VALUE"""),87.72)</f>
        <v>87.72</v>
      </c>
      <c r="V75" s="320">
        <f>IFERROR(__xludf.DUMMYFUNCTION("""COMPUTED_VALUE"""),4.8473)</f>
        <v>4.8473</v>
      </c>
      <c r="W75" s="320">
        <f>IFERROR(__xludf.DUMMYFUNCTION("""COMPUTED_VALUE"""),14.37)</f>
        <v>14.37</v>
      </c>
      <c r="X75" s="320">
        <f>IFERROR(__xludf.DUMMYFUNCTION("""COMPUTED_VALUE"""),92.0)</f>
        <v>92</v>
      </c>
      <c r="Y75" s="320">
        <f>IFERROR(__xludf.DUMMYFUNCTION("""COMPUTED_VALUE"""),218.0)</f>
        <v>218</v>
      </c>
      <c r="Z75" s="320">
        <f>IFERROR(__xludf.DUMMYFUNCTION("""COMPUTED_VALUE"""),835.0)</f>
        <v>835</v>
      </c>
      <c r="AA75" s="320">
        <f>IFERROR(__xludf.DUMMYFUNCTION("""COMPUTED_VALUE"""),49.3891)</f>
        <v>49.3891</v>
      </c>
      <c r="AB75" s="320">
        <f>IFERROR(__xludf.DUMMYFUNCTION("""COMPUTED_VALUE"""),0.443)</f>
        <v>0.443</v>
      </c>
      <c r="AC75" s="320">
        <f>IFERROR(__xludf.DUMMYFUNCTION("""COMPUTED_VALUE"""),3.48)</f>
        <v>3.48</v>
      </c>
      <c r="AD75" s="320">
        <f>IFERROR(__xludf.DUMMYFUNCTION("""COMPUTED_VALUE"""),1.0)</f>
        <v>1</v>
      </c>
      <c r="AE75" s="320">
        <f>IFERROR(__xludf.DUMMYFUNCTION("""COMPUTED_VALUE"""),2.0)</f>
        <v>2</v>
      </c>
      <c r="AF75" s="320">
        <f>IFERROR(__xludf.DUMMYFUNCTION("""COMPUTED_VALUE"""),4.0)</f>
        <v>4</v>
      </c>
      <c r="AG75" s="320">
        <f>IFERROR(__xludf.DUMMYFUNCTION("""COMPUTED_VALUE"""),8.0)</f>
        <v>8</v>
      </c>
      <c r="AH75" s="320">
        <f>IFERROR(__xludf.DUMMYFUNCTION("""COMPUTED_VALUE"""),67.57)</f>
        <v>67.57</v>
      </c>
      <c r="AI75" s="320">
        <f>IFERROR(__xludf.DUMMYFUNCTION("""COMPUTED_VALUE"""),24.78)</f>
        <v>24.78</v>
      </c>
      <c r="AJ75" s="320">
        <f>IFERROR(__xludf.DUMMYFUNCTION("""COMPUTED_VALUE"""),6.4)</f>
        <v>6.4</v>
      </c>
      <c r="AK75" s="320">
        <f>IFERROR(__xludf.DUMMYFUNCTION("""COMPUTED_VALUE"""),0.2143)</f>
        <v>0.2143</v>
      </c>
      <c r="AL75" s="320">
        <f>IFERROR(__xludf.DUMMYFUNCTION("""COMPUTED_VALUE"""),18.68)</f>
        <v>18.68</v>
      </c>
      <c r="AM75" s="320">
        <f>IFERROR(__xludf.DUMMYFUNCTION("""COMPUTED_VALUE"""),66.98)</f>
        <v>66.98</v>
      </c>
      <c r="AN75" s="320">
        <f>IFERROR(__xludf.DUMMYFUNCTION("""COMPUTED_VALUE"""),68.35)</f>
        <v>68.35</v>
      </c>
      <c r="AO75" s="320">
        <f>IFERROR(__xludf.DUMMYFUNCTION("""COMPUTED_VALUE"""),12.77)</f>
        <v>12.77</v>
      </c>
    </row>
    <row r="76" ht="15.75" customHeight="1">
      <c r="A76" s="330">
        <f>IFERROR(__xludf.DUMMYFUNCTION("""COMPUTED_VALUE"""),46062.0)</f>
        <v>46062</v>
      </c>
      <c r="B76" s="319" t="str">
        <f>IFERROR(__xludf.DUMMYFUNCTION("""COMPUTED_VALUE"""),"C. 10-19")</f>
        <v>C. 10-19</v>
      </c>
      <c r="C76" s="320">
        <f>IFERROR(__xludf.DUMMYFUNCTION("""COMPUTED_VALUE"""),18654.0)</f>
        <v>18654</v>
      </c>
      <c r="D76" s="320">
        <f>IFERROR(__xludf.DUMMYFUNCTION("""COMPUTED_VALUE"""),22.88)</f>
        <v>22.88</v>
      </c>
      <c r="E76" s="320">
        <f>IFERROR(__xludf.DUMMYFUNCTION("""COMPUTED_VALUE"""),15496.9)</f>
        <v>15496.9</v>
      </c>
      <c r="F76" s="320">
        <f>IFERROR(__xludf.DUMMYFUNCTION("""COMPUTED_VALUE"""),0.8308)</f>
        <v>0.8308</v>
      </c>
      <c r="G76" s="320">
        <f>IFERROR(__xludf.DUMMYFUNCTION("""COMPUTED_VALUE"""),17.54)</f>
        <v>17.54</v>
      </c>
      <c r="H76" s="320">
        <f>IFERROR(__xludf.DUMMYFUNCTION("""COMPUTED_VALUE"""),4.7377)</f>
        <v>4.7377</v>
      </c>
      <c r="I76" s="320">
        <f>IFERROR(__xludf.DUMMYFUNCTION("""COMPUTED_VALUE"""),60.9)</f>
        <v>60.9</v>
      </c>
      <c r="J76" s="320">
        <f>IFERROR(__xludf.DUMMYFUNCTION("""COMPUTED_VALUE"""),34.15)</f>
        <v>34.15</v>
      </c>
      <c r="K76" s="320">
        <f>IFERROR(__xludf.DUMMYFUNCTION("""COMPUTED_VALUE"""),13.57)</f>
        <v>13.57</v>
      </c>
      <c r="L76" s="320">
        <f>IFERROR(__xludf.DUMMYFUNCTION("""COMPUTED_VALUE"""),0.3972)</f>
        <v>0.3972</v>
      </c>
      <c r="M76" s="320">
        <f>IFERROR(__xludf.DUMMYFUNCTION("""COMPUTED_VALUE"""),0.6681)</f>
        <v>0.6681</v>
      </c>
      <c r="N76" s="320">
        <f>IFERROR(__xludf.DUMMYFUNCTION("""COMPUTED_VALUE"""),0.4059)</f>
        <v>0.4059</v>
      </c>
      <c r="O76" s="320">
        <f>IFERROR(__xludf.DUMMYFUNCTION("""COMPUTED_VALUE"""),2.5176)</f>
        <v>2.5176</v>
      </c>
      <c r="P76" s="320">
        <f>IFERROR(__xludf.DUMMYFUNCTION("""COMPUTED_VALUE"""),190.45)</f>
        <v>190.45</v>
      </c>
      <c r="Q76" s="320">
        <f>IFERROR(__xludf.DUMMYFUNCTION("""COMPUTED_VALUE"""),163.62)</f>
        <v>163.62</v>
      </c>
      <c r="R76" s="320">
        <f>IFERROR(__xludf.DUMMYFUNCTION("""COMPUTED_VALUE"""),26.83)</f>
        <v>26.83</v>
      </c>
      <c r="S76" s="320">
        <f>IFERROR(__xludf.DUMMYFUNCTION("""COMPUTED_VALUE"""),53.76)</f>
        <v>53.76</v>
      </c>
      <c r="T76" s="320">
        <f>IFERROR(__xludf.DUMMYFUNCTION("""COMPUTED_VALUE"""),136.7)</f>
        <v>136.7</v>
      </c>
      <c r="U76" s="320">
        <f>IFERROR(__xludf.DUMMYFUNCTION("""COMPUTED_VALUE"""),186.14)</f>
        <v>186.14</v>
      </c>
      <c r="V76" s="320">
        <f>IFERROR(__xludf.DUMMYFUNCTION("""COMPUTED_VALUE"""),5.4502)</f>
        <v>5.4502</v>
      </c>
      <c r="W76" s="320">
        <f>IFERROR(__xludf.DUMMYFUNCTION("""COMPUTED_VALUE"""),28.23)</f>
        <v>28.23</v>
      </c>
      <c r="X76" s="320">
        <f>IFERROR(__xludf.DUMMYFUNCTION("""COMPUTED_VALUE"""),88.0)</f>
        <v>88</v>
      </c>
      <c r="Y76" s="320">
        <f>IFERROR(__xludf.DUMMYFUNCTION("""COMPUTED_VALUE"""),200.0)</f>
        <v>200</v>
      </c>
      <c r="Z76" s="320">
        <f>IFERROR(__xludf.DUMMYFUNCTION("""COMPUTED_VALUE"""),676.0)</f>
        <v>676</v>
      </c>
      <c r="AA76" s="320">
        <f>IFERROR(__xludf.DUMMYFUNCTION("""COMPUTED_VALUE"""),52.3226)</f>
        <v>52.3226</v>
      </c>
      <c r="AB76" s="320">
        <f>IFERROR(__xludf.DUMMYFUNCTION("""COMPUTED_VALUE"""),0.5178)</f>
        <v>0.5178</v>
      </c>
      <c r="AC76" s="320">
        <f>IFERROR(__xludf.DUMMYFUNCTION("""COMPUTED_VALUE"""),8.14)</f>
        <v>8.14</v>
      </c>
      <c r="AD76" s="320">
        <f>IFERROR(__xludf.DUMMYFUNCTION("""COMPUTED_VALUE"""),3.0)</f>
        <v>3</v>
      </c>
      <c r="AE76" s="320">
        <f>IFERROR(__xludf.DUMMYFUNCTION("""COMPUTED_VALUE"""),6.0)</f>
        <v>6</v>
      </c>
      <c r="AF76" s="320">
        <f>IFERROR(__xludf.DUMMYFUNCTION("""COMPUTED_VALUE"""),11.0)</f>
        <v>11</v>
      </c>
      <c r="AG76" s="320">
        <f>IFERROR(__xludf.DUMMYFUNCTION("""COMPUTED_VALUE"""),18.0)</f>
        <v>18</v>
      </c>
      <c r="AH76" s="320">
        <f>IFERROR(__xludf.DUMMYFUNCTION("""COMPUTED_VALUE"""),51.97)</f>
        <v>51.97</v>
      </c>
      <c r="AI76" s="320">
        <f>IFERROR(__xludf.DUMMYFUNCTION("""COMPUTED_VALUE"""),21.29)</f>
        <v>21.29</v>
      </c>
      <c r="AJ76" s="320">
        <f>IFERROR(__xludf.DUMMYFUNCTION("""COMPUTED_VALUE"""),3.32)</f>
        <v>3.32</v>
      </c>
      <c r="AK76" s="320">
        <f>IFERROR(__xludf.DUMMYFUNCTION("""COMPUTED_VALUE"""),0.1807)</f>
        <v>0.1807</v>
      </c>
      <c r="AL76" s="320">
        <f>IFERROR(__xludf.DUMMYFUNCTION("""COMPUTED_VALUE"""),19.28)</f>
        <v>19.28</v>
      </c>
      <c r="AM76" s="320">
        <f>IFERROR(__xludf.DUMMYFUNCTION("""COMPUTED_VALUE"""),144.34)</f>
        <v>144.34</v>
      </c>
      <c r="AN76" s="320">
        <f>IFERROR(__xludf.DUMMYFUNCTION("""COMPUTED_VALUE"""),73.38)</f>
        <v>73.38</v>
      </c>
      <c r="AO76" s="320">
        <f>IFERROR(__xludf.DUMMYFUNCTION("""COMPUTED_VALUE"""),14.15)</f>
        <v>14.15</v>
      </c>
    </row>
    <row r="77" ht="15.75" customHeight="1">
      <c r="A77" s="330">
        <f>IFERROR(__xludf.DUMMYFUNCTION("""COMPUTED_VALUE"""),46062.0)</f>
        <v>46062</v>
      </c>
      <c r="B77" s="319" t="str">
        <f>IFERROR(__xludf.DUMMYFUNCTION("""COMPUTED_VALUE"""),"D. 20-39")</f>
        <v>D. 20-39</v>
      </c>
      <c r="C77" s="320">
        <f>IFERROR(__xludf.DUMMYFUNCTION("""COMPUTED_VALUE"""),10032.0)</f>
        <v>10032</v>
      </c>
      <c r="D77" s="320">
        <f>IFERROR(__xludf.DUMMYFUNCTION("""COMPUTED_VALUE"""),12.3)</f>
        <v>12.3</v>
      </c>
      <c r="E77" s="320">
        <f>IFERROR(__xludf.DUMMYFUNCTION("""COMPUTED_VALUE"""),22788.88)</f>
        <v>22788.88</v>
      </c>
      <c r="F77" s="320">
        <f>IFERROR(__xludf.DUMMYFUNCTION("""COMPUTED_VALUE"""),2.2716)</f>
        <v>2.2716</v>
      </c>
      <c r="G77" s="320">
        <f>IFERROR(__xludf.DUMMYFUNCTION("""COMPUTED_VALUE"""),29.98)</f>
        <v>29.98</v>
      </c>
      <c r="H77" s="320">
        <f>IFERROR(__xludf.DUMMYFUNCTION("""COMPUTED_VALUE"""),7.5761)</f>
        <v>7.5761</v>
      </c>
      <c r="I77" s="320">
        <f>IFERROR(__xludf.DUMMYFUNCTION("""COMPUTED_VALUE"""),91.05)</f>
        <v>91.05</v>
      </c>
      <c r="J77" s="320">
        <f>IFERROR(__xludf.DUMMYFUNCTION("""COMPUTED_VALUE"""),52.75)</f>
        <v>52.75</v>
      </c>
      <c r="K77" s="320">
        <f>IFERROR(__xludf.DUMMYFUNCTION("""COMPUTED_VALUE"""),27.64)</f>
        <v>27.64</v>
      </c>
      <c r="L77" s="320">
        <f>IFERROR(__xludf.DUMMYFUNCTION("""COMPUTED_VALUE"""),0.5241)</f>
        <v>0.5241</v>
      </c>
      <c r="M77" s="320">
        <f>IFERROR(__xludf.DUMMYFUNCTION("""COMPUTED_VALUE"""),0.5507)</f>
        <v>0.5507</v>
      </c>
      <c r="N77" s="320">
        <f>IFERROR(__xludf.DUMMYFUNCTION("""COMPUTED_VALUE"""),0.3158)</f>
        <v>0.3158</v>
      </c>
      <c r="O77" s="320">
        <f>IFERROR(__xludf.DUMMYFUNCTION("""COMPUTED_VALUE"""),1.9082)</f>
        <v>1.9082</v>
      </c>
      <c r="P77" s="320">
        <f>IFERROR(__xludf.DUMMYFUNCTION("""COMPUTED_VALUE"""),369.1)</f>
        <v>369.1</v>
      </c>
      <c r="Q77" s="320">
        <f>IFERROR(__xludf.DUMMYFUNCTION("""COMPUTED_VALUE"""),315.68)</f>
        <v>315.68</v>
      </c>
      <c r="R77" s="320">
        <f>IFERROR(__xludf.DUMMYFUNCTION("""COMPUTED_VALUE"""),53.42)</f>
        <v>53.42</v>
      </c>
      <c r="S77" s="320">
        <f>IFERROR(__xludf.DUMMYFUNCTION("""COMPUTED_VALUE"""),148.11)</f>
        <v>148.11</v>
      </c>
      <c r="T77" s="320">
        <f>IFERROR(__xludf.DUMMYFUNCTION("""COMPUTED_VALUE"""),220.99)</f>
        <v>220.99</v>
      </c>
      <c r="U77" s="320">
        <f>IFERROR(__xludf.DUMMYFUNCTION("""COMPUTED_VALUE"""),369.18)</f>
        <v>369.18</v>
      </c>
      <c r="V77" s="320">
        <f>IFERROR(__xludf.DUMMYFUNCTION("""COMPUTED_VALUE"""),6.9986)</f>
        <v>6.9986</v>
      </c>
      <c r="W77" s="320">
        <f>IFERROR(__xludf.DUMMYFUNCTION("""COMPUTED_VALUE"""),40.13)</f>
        <v>40.13</v>
      </c>
      <c r="X77" s="320">
        <f>IFERROR(__xludf.DUMMYFUNCTION("""COMPUTED_VALUE"""),89.0)</f>
        <v>89</v>
      </c>
      <c r="Y77" s="320">
        <f>IFERROR(__xludf.DUMMYFUNCTION("""COMPUTED_VALUE"""),235.0)</f>
        <v>235</v>
      </c>
      <c r="Z77" s="320">
        <f>IFERROR(__xludf.DUMMYFUNCTION("""COMPUTED_VALUE"""),716.0)</f>
        <v>716</v>
      </c>
      <c r="AA77" s="320">
        <f>IFERROR(__xludf.DUMMYFUNCTION("""COMPUTED_VALUE"""),54.1887)</f>
        <v>54.1887</v>
      </c>
      <c r="AB77" s="320">
        <f>IFERROR(__xludf.DUMMYFUNCTION("""COMPUTED_VALUE"""),0.5935)</f>
        <v>0.5935</v>
      </c>
      <c r="AC77" s="320">
        <f>IFERROR(__xludf.DUMMYFUNCTION("""COMPUTED_VALUE"""),16.32)</f>
        <v>16.32</v>
      </c>
      <c r="AD77" s="320">
        <f>IFERROR(__xludf.DUMMYFUNCTION("""COMPUTED_VALUE"""),6.0)</f>
        <v>6</v>
      </c>
      <c r="AE77" s="320">
        <f>IFERROR(__xludf.DUMMYFUNCTION("""COMPUTED_VALUE"""),12.0)</f>
        <v>12</v>
      </c>
      <c r="AF77" s="320">
        <f>IFERROR(__xludf.DUMMYFUNCTION("""COMPUTED_VALUE"""),23.0)</f>
        <v>23</v>
      </c>
      <c r="AG77" s="320">
        <f>IFERROR(__xludf.DUMMYFUNCTION("""COMPUTED_VALUE"""),36.0)</f>
        <v>36</v>
      </c>
      <c r="AH77" s="320">
        <f>IFERROR(__xludf.DUMMYFUNCTION("""COMPUTED_VALUE"""),54.12)</f>
        <v>54.12</v>
      </c>
      <c r="AI77" s="320">
        <f>IFERROR(__xludf.DUMMYFUNCTION("""COMPUTED_VALUE"""),21.37)</f>
        <v>21.37</v>
      </c>
      <c r="AJ77" s="320">
        <f>IFERROR(__xludf.DUMMYFUNCTION("""COMPUTED_VALUE"""),5.22)</f>
        <v>5.22</v>
      </c>
      <c r="AK77" s="320">
        <f>IFERROR(__xludf.DUMMYFUNCTION("""COMPUTED_VALUE"""),0.1725)</f>
        <v>0.1725</v>
      </c>
      <c r="AL77" s="320">
        <f>IFERROR(__xludf.DUMMYFUNCTION("""COMPUTED_VALUE"""),18.98)</f>
        <v>18.98</v>
      </c>
      <c r="AM77" s="320">
        <f>IFERROR(__xludf.DUMMYFUNCTION("""COMPUTED_VALUE"""),296.7)</f>
        <v>296.7</v>
      </c>
      <c r="AN77" s="320">
        <f>IFERROR(__xludf.DUMMYFUNCTION("""COMPUTED_VALUE"""),72.59)</f>
        <v>72.59</v>
      </c>
      <c r="AO77" s="320">
        <f>IFERROR(__xludf.DUMMYFUNCTION("""COMPUTED_VALUE"""),13.78)</f>
        <v>13.78</v>
      </c>
    </row>
    <row r="78" ht="15.75" customHeight="1">
      <c r="A78" s="330">
        <f>IFERROR(__xludf.DUMMYFUNCTION("""COMPUTED_VALUE"""),46062.0)</f>
        <v>46062</v>
      </c>
      <c r="B78" s="319" t="str">
        <f>IFERROR(__xludf.DUMMYFUNCTION("""COMPUTED_VALUE"""),"E. 40-99")</f>
        <v>E. 40-99</v>
      </c>
      <c r="C78" s="320">
        <f>IFERROR(__xludf.DUMMYFUNCTION("""COMPUTED_VALUE"""),4100.0)</f>
        <v>4100</v>
      </c>
      <c r="D78" s="320">
        <f>IFERROR(__xludf.DUMMYFUNCTION("""COMPUTED_VALUE"""),5.03)</f>
        <v>5.03</v>
      </c>
      <c r="E78" s="320">
        <f>IFERROR(__xludf.DUMMYFUNCTION("""COMPUTED_VALUE"""),22733.34)</f>
        <v>22733.34</v>
      </c>
      <c r="F78" s="320">
        <f>IFERROR(__xludf.DUMMYFUNCTION("""COMPUTED_VALUE"""),5.5447)</f>
        <v>5.5447</v>
      </c>
      <c r="G78" s="320">
        <f>IFERROR(__xludf.DUMMYFUNCTION("""COMPUTED_VALUE"""),39.83)</f>
        <v>39.83</v>
      </c>
      <c r="H78" s="320">
        <f>IFERROR(__xludf.DUMMYFUNCTION("""COMPUTED_VALUE"""),13.9212)</f>
        <v>13.9212</v>
      </c>
      <c r="I78" s="320">
        <f>IFERROR(__xludf.DUMMYFUNCTION("""COMPUTED_VALUE"""),138.78)</f>
        <v>138.78</v>
      </c>
      <c r="J78" s="320">
        <f>IFERROR(__xludf.DUMMYFUNCTION("""COMPUTED_VALUE"""),83.85)</f>
        <v>83.85</v>
      </c>
      <c r="K78" s="320">
        <f>IFERROR(__xludf.DUMMYFUNCTION("""COMPUTED_VALUE"""),55.6)</f>
        <v>55.6</v>
      </c>
      <c r="L78" s="320">
        <f>IFERROR(__xludf.DUMMYFUNCTION("""COMPUTED_VALUE"""),0.663)</f>
        <v>0.663</v>
      </c>
      <c r="M78" s="320">
        <f>IFERROR(__xludf.DUMMYFUNCTION("""COMPUTED_VALUE"""),0.428)</f>
        <v>0.428</v>
      </c>
      <c r="N78" s="320">
        <f>IFERROR(__xludf.DUMMYFUNCTION("""COMPUTED_VALUE"""),0.2499)</f>
        <v>0.2499</v>
      </c>
      <c r="O78" s="320">
        <f>IFERROR(__xludf.DUMMYFUNCTION("""COMPUTED_VALUE"""),1.5082)</f>
        <v>1.5082</v>
      </c>
      <c r="P78" s="320">
        <f>IFERROR(__xludf.DUMMYFUNCTION("""COMPUTED_VALUE"""),724.0)</f>
        <v>724</v>
      </c>
      <c r="Q78" s="320">
        <f>IFERROR(__xludf.DUMMYFUNCTION("""COMPUTED_VALUE"""),617.17)</f>
        <v>617.17</v>
      </c>
      <c r="R78" s="320">
        <f>IFERROR(__xludf.DUMMYFUNCTION("""COMPUTED_VALUE"""),106.84)</f>
        <v>106.84</v>
      </c>
      <c r="S78" s="320">
        <f>IFERROR(__xludf.DUMMYFUNCTION("""COMPUTED_VALUE"""),356.88)</f>
        <v>356.88</v>
      </c>
      <c r="T78" s="320">
        <f>IFERROR(__xludf.DUMMYFUNCTION("""COMPUTED_VALUE"""),367.12)</f>
        <v>367.12</v>
      </c>
      <c r="U78" s="320">
        <f>IFERROR(__xludf.DUMMYFUNCTION("""COMPUTED_VALUE"""),738.2)</f>
        <v>738.2</v>
      </c>
      <c r="V78" s="320">
        <f>IFERROR(__xludf.DUMMYFUNCTION("""COMPUTED_VALUE"""),8.8033)</f>
        <v>8.8033</v>
      </c>
      <c r="W78" s="320">
        <f>IFERROR(__xludf.DUMMYFUNCTION("""COMPUTED_VALUE"""),49.29)</f>
        <v>49.29</v>
      </c>
      <c r="X78" s="320">
        <f>IFERROR(__xludf.DUMMYFUNCTION("""COMPUTED_VALUE"""),101.0)</f>
        <v>101</v>
      </c>
      <c r="Y78" s="320">
        <f>IFERROR(__xludf.DUMMYFUNCTION("""COMPUTED_VALUE"""),334.0)</f>
        <v>334</v>
      </c>
      <c r="Z78" s="320">
        <f>IFERROR(__xludf.DUMMYFUNCTION("""COMPUTED_VALUE"""),1181.0)</f>
        <v>1181</v>
      </c>
      <c r="AA78" s="320">
        <f>IFERROR(__xludf.DUMMYFUNCTION("""COMPUTED_VALUE"""),57.1228)</f>
        <v>57.1228</v>
      </c>
      <c r="AB78" s="320">
        <f>IFERROR(__xludf.DUMMYFUNCTION("""COMPUTED_VALUE"""),0.6727)</f>
        <v>0.6727</v>
      </c>
      <c r="AC78" s="320">
        <f>IFERROR(__xludf.DUMMYFUNCTION("""COMPUTED_VALUE"""),32.93)</f>
        <v>32.93</v>
      </c>
      <c r="AD78" s="320">
        <f>IFERROR(__xludf.DUMMYFUNCTION("""COMPUTED_VALUE"""),11.0)</f>
        <v>11</v>
      </c>
      <c r="AE78" s="320">
        <f>IFERROR(__xludf.DUMMYFUNCTION("""COMPUTED_VALUE"""),25.0)</f>
        <v>25</v>
      </c>
      <c r="AF78" s="320">
        <f>IFERROR(__xludf.DUMMYFUNCTION("""COMPUTED_VALUE"""),44.0)</f>
        <v>44</v>
      </c>
      <c r="AG78" s="320">
        <f>IFERROR(__xludf.DUMMYFUNCTION("""COMPUTED_VALUE"""),71.0)</f>
        <v>71</v>
      </c>
      <c r="AH78" s="320">
        <f>IFERROR(__xludf.DUMMYFUNCTION("""COMPUTED_VALUE"""),46.66)</f>
        <v>46.66</v>
      </c>
      <c r="AI78" s="320">
        <f>IFERROR(__xludf.DUMMYFUNCTION("""COMPUTED_VALUE"""),14.56)</f>
        <v>14.56</v>
      </c>
      <c r="AJ78" s="320">
        <f>IFERROR(__xludf.DUMMYFUNCTION("""COMPUTED_VALUE"""),4.07)</f>
        <v>4.07</v>
      </c>
      <c r="AK78" s="320">
        <f>IFERROR(__xludf.DUMMYFUNCTION("""COMPUTED_VALUE"""),0.1454)</f>
        <v>0.1454</v>
      </c>
      <c r="AL78" s="320">
        <f>IFERROR(__xludf.DUMMYFUNCTION("""COMPUTED_VALUE"""),20.55)</f>
        <v>20.55</v>
      </c>
      <c r="AM78" s="320">
        <f>IFERROR(__xludf.DUMMYFUNCTION("""COMPUTED_VALUE"""),596.62)</f>
        <v>596.62</v>
      </c>
      <c r="AN78" s="320">
        <f>IFERROR(__xludf.DUMMYFUNCTION("""COMPUTED_VALUE"""),72.95)</f>
        <v>72.95</v>
      </c>
      <c r="AO78" s="320">
        <f>IFERROR(__xludf.DUMMYFUNCTION("""COMPUTED_VALUE"""),14.99)</f>
        <v>14.99</v>
      </c>
    </row>
    <row r="79" ht="15.75" customHeight="1">
      <c r="A79" s="330">
        <f>IFERROR(__xludf.DUMMYFUNCTION("""COMPUTED_VALUE"""),46062.0)</f>
        <v>46062</v>
      </c>
      <c r="B79" s="319" t="str">
        <f>IFERROR(__xludf.DUMMYFUNCTION("""COMPUTED_VALUE"""),"F. 100+")</f>
        <v>F. 100+</v>
      </c>
      <c r="C79" s="320">
        <f>IFERROR(__xludf.DUMMYFUNCTION("""COMPUTED_VALUE"""),410.0)</f>
        <v>410</v>
      </c>
      <c r="D79" s="320">
        <f>IFERROR(__xludf.DUMMYFUNCTION("""COMPUTED_VALUE"""),0.5)</f>
        <v>0.5</v>
      </c>
      <c r="E79" s="320">
        <f>IFERROR(__xludf.DUMMYFUNCTION("""COMPUTED_VALUE"""),3642.9)</f>
        <v>3642.9</v>
      </c>
      <c r="F79" s="320">
        <f>IFERROR(__xludf.DUMMYFUNCTION("""COMPUTED_VALUE"""),8.8851)</f>
        <v>8.8851</v>
      </c>
      <c r="G79" s="320">
        <f>IFERROR(__xludf.DUMMYFUNCTION("""COMPUTED_VALUE"""),47.32)</f>
        <v>47.32</v>
      </c>
      <c r="H79" s="320">
        <f>IFERROR(__xludf.DUMMYFUNCTION("""COMPUTED_VALUE"""),18.7778)</f>
        <v>18.7778</v>
      </c>
      <c r="I79" s="320">
        <f>IFERROR(__xludf.DUMMYFUNCTION("""COMPUTED_VALUE"""),243.72)</f>
        <v>243.72</v>
      </c>
      <c r="J79" s="320">
        <f>IFERROR(__xludf.DUMMYFUNCTION("""COMPUTED_VALUE"""),156.63)</f>
        <v>156.63</v>
      </c>
      <c r="K79" s="320">
        <f>IFERROR(__xludf.DUMMYFUNCTION("""COMPUTED_VALUE"""),124.85)</f>
        <v>124.85</v>
      </c>
      <c r="L79" s="320">
        <f>IFERROR(__xludf.DUMMYFUNCTION("""COMPUTED_VALUE"""),0.7971)</f>
        <v>0.7971</v>
      </c>
      <c r="M79" s="320">
        <f>IFERROR(__xludf.DUMMYFUNCTION("""COMPUTED_VALUE"""),0.2877)</f>
        <v>0.2877</v>
      </c>
      <c r="N79" s="320">
        <f>IFERROR(__xludf.DUMMYFUNCTION("""COMPUTED_VALUE"""),0.1723)</f>
        <v>0.1723</v>
      </c>
      <c r="O79" s="320">
        <f>IFERROR(__xludf.DUMMYFUNCTION("""COMPUTED_VALUE"""),1.2546)</f>
        <v>1.2546</v>
      </c>
      <c r="P79" s="320">
        <f>IFERROR(__xludf.DUMMYFUNCTION("""COMPUTED_VALUE"""),1212.56)</f>
        <v>1212.56</v>
      </c>
      <c r="Q79" s="320">
        <f>IFERROR(__xludf.DUMMYFUNCTION("""COMPUTED_VALUE"""),950.06)</f>
        <v>950.06</v>
      </c>
      <c r="R79" s="320">
        <f>IFERROR(__xludf.DUMMYFUNCTION("""COMPUTED_VALUE"""),262.5)</f>
        <v>262.5</v>
      </c>
      <c r="S79" s="320">
        <f>IFERROR(__xludf.DUMMYFUNCTION("""COMPUTED_VALUE"""),566.51)</f>
        <v>566.51</v>
      </c>
      <c r="T79" s="320">
        <f>IFERROR(__xludf.DUMMYFUNCTION("""COMPUTED_VALUE"""),646.05)</f>
        <v>646.05</v>
      </c>
      <c r="U79" s="320">
        <f>IFERROR(__xludf.DUMMYFUNCTION("""COMPUTED_VALUE"""),1241.1)</f>
        <v>1241.1</v>
      </c>
      <c r="V79" s="320">
        <f>IFERROR(__xludf.DUMMYFUNCTION("""COMPUTED_VALUE"""),7.9238)</f>
        <v>7.9238</v>
      </c>
      <c r="W79" s="320">
        <f>IFERROR(__xludf.DUMMYFUNCTION("""COMPUTED_VALUE"""),46.72)</f>
        <v>46.72</v>
      </c>
      <c r="X79" s="320">
        <f>IFERROR(__xludf.DUMMYFUNCTION("""COMPUTED_VALUE"""),124.0)</f>
        <v>124</v>
      </c>
      <c r="Y79" s="320">
        <f>IFERROR(__xludf.DUMMYFUNCTION("""COMPUTED_VALUE"""),593.0)</f>
        <v>593</v>
      </c>
      <c r="Z79" s="320">
        <f>IFERROR(__xludf.DUMMYFUNCTION("""COMPUTED_VALUE"""),2112.0)</f>
        <v>2112</v>
      </c>
      <c r="AA79" s="320">
        <f>IFERROR(__xludf.DUMMYFUNCTION("""COMPUTED_VALUE"""),61.4713)</f>
        <v>61.4713</v>
      </c>
      <c r="AB79" s="320">
        <f>IFERROR(__xludf.DUMMYFUNCTION("""COMPUTED_VALUE"""),0.8131)</f>
        <v>0.8131</v>
      </c>
      <c r="AC79" s="320">
        <f>IFERROR(__xludf.DUMMYFUNCTION("""COMPUTED_VALUE"""),81.62)</f>
        <v>81.62</v>
      </c>
      <c r="AD79" s="320">
        <f>IFERROR(__xludf.DUMMYFUNCTION("""COMPUTED_VALUE"""),24.0)</f>
        <v>24</v>
      </c>
      <c r="AE79" s="320">
        <f>IFERROR(__xludf.DUMMYFUNCTION("""COMPUTED_VALUE"""),61.0)</f>
        <v>61</v>
      </c>
      <c r="AF79" s="320">
        <f>IFERROR(__xludf.DUMMYFUNCTION("""COMPUTED_VALUE"""),122.0)</f>
        <v>122</v>
      </c>
      <c r="AG79" s="320">
        <f>IFERROR(__xludf.DUMMYFUNCTION("""COMPUTED_VALUE"""),186.0)</f>
        <v>186</v>
      </c>
      <c r="AH79" s="320">
        <f>IFERROR(__xludf.DUMMYFUNCTION("""COMPUTED_VALUE"""),40.0)</f>
        <v>40</v>
      </c>
      <c r="AI79" s="320">
        <f>IFERROR(__xludf.DUMMYFUNCTION("""COMPUTED_VALUE"""),13.17)</f>
        <v>13.17</v>
      </c>
      <c r="AJ79" s="320">
        <f>IFERROR(__xludf.DUMMYFUNCTION("""COMPUTED_VALUE"""),1.46)</f>
        <v>1.46</v>
      </c>
      <c r="AK79" s="320">
        <f>IFERROR(__xludf.DUMMYFUNCTION("""COMPUTED_VALUE"""),0.1244)</f>
        <v>0.1244</v>
      </c>
      <c r="AL79" s="320">
        <f>IFERROR(__xludf.DUMMYFUNCTION("""COMPUTED_VALUE"""),21.0)</f>
        <v>21</v>
      </c>
      <c r="AM79" s="320">
        <f>IFERROR(__xludf.DUMMYFUNCTION("""COMPUTED_VALUE"""),929.06)</f>
        <v>929.06</v>
      </c>
      <c r="AN79" s="320">
        <f>IFERROR(__xludf.DUMMYFUNCTION("""COMPUTED_VALUE"""),72.86)</f>
        <v>72.86</v>
      </c>
      <c r="AO79" s="320">
        <f>IFERROR(__xludf.DUMMYFUNCTION("""COMPUTED_VALUE"""),15.3)</f>
        <v>15.3</v>
      </c>
    </row>
    <row r="80" ht="15.75" customHeight="1">
      <c r="A80" s="330">
        <f>IFERROR(__xludf.DUMMYFUNCTION("""COMPUTED_VALUE"""),46063.0)</f>
        <v>46063</v>
      </c>
      <c r="B80" s="319" t="str">
        <f>IFERROR(__xludf.DUMMYFUNCTION("""COMPUTED_VALUE"""),"A. 0")</f>
        <v>A. 0</v>
      </c>
      <c r="C80" s="320">
        <f>IFERROR(__xludf.DUMMYFUNCTION("""COMPUTED_VALUE"""),16696.0)</f>
        <v>16696</v>
      </c>
      <c r="D80" s="320">
        <f>IFERROR(__xludf.DUMMYFUNCTION("""COMPUTED_VALUE"""),20.48)</f>
        <v>20.48</v>
      </c>
      <c r="E80" s="320">
        <f>IFERROR(__xludf.DUMMYFUNCTION("""COMPUTED_VALUE"""),-26.37)</f>
        <v>-26.37</v>
      </c>
      <c r="F80" s="320">
        <f>IFERROR(__xludf.DUMMYFUNCTION("""COMPUTED_VALUE"""),-0.0016)</f>
        <v>-0.0016</v>
      </c>
      <c r="G80" s="320">
        <f>IFERROR(__xludf.DUMMYFUNCTION("""COMPUTED_VALUE"""),0.17)</f>
        <v>0.17</v>
      </c>
      <c r="H80" s="320">
        <f>IFERROR(__xludf.DUMMYFUNCTION("""COMPUTED_VALUE"""),-0.9093)</f>
        <v>-0.9093</v>
      </c>
      <c r="I80" s="320">
        <f>IFERROR(__xludf.DUMMYFUNCTION("""COMPUTED_VALUE"""),5.78)</f>
        <v>5.78</v>
      </c>
      <c r="J80" s="320">
        <f>IFERROR(__xludf.DUMMYFUNCTION("""COMPUTED_VALUE"""),2.62)</f>
        <v>2.62</v>
      </c>
      <c r="K80" s="320">
        <f>IFERROR(__xludf.DUMMYFUNCTION("""COMPUTED_VALUE"""),0.01)</f>
        <v>0.01</v>
      </c>
      <c r="L80" s="320">
        <f>IFERROR(__xludf.DUMMYFUNCTION("""COMPUTED_VALUE"""),0.0034)</f>
        <v>0.0034</v>
      </c>
      <c r="M80" s="320">
        <f>IFERROR(__xludf.DUMMYFUNCTION("""COMPUTED_VALUE"""),0.9968)</f>
        <v>0.9968</v>
      </c>
      <c r="N80" s="320">
        <f>IFERROR(__xludf.DUMMYFUNCTION("""COMPUTED_VALUE"""),0.9543)</f>
        <v>0.9543</v>
      </c>
      <c r="O80" s="320">
        <f>IFERROR(__xludf.DUMMYFUNCTION("""COMPUTED_VALUE"""),289.8874)</f>
        <v>289.8874</v>
      </c>
      <c r="P80" s="320">
        <f>IFERROR(__xludf.DUMMYFUNCTION("""COMPUTED_VALUE"""),26.83)</f>
        <v>26.83</v>
      </c>
      <c r="Q80" s="320">
        <f>IFERROR(__xludf.DUMMYFUNCTION("""COMPUTED_VALUE"""),26.78)</f>
        <v>26.78</v>
      </c>
      <c r="R80" s="320">
        <f>IFERROR(__xludf.DUMMYFUNCTION("""COMPUTED_VALUE"""),0.05)</f>
        <v>0.05</v>
      </c>
      <c r="S80" s="320">
        <f>IFERROR(__xludf.DUMMYFUNCTION("""COMPUTED_VALUE"""),0.58)</f>
        <v>0.58</v>
      </c>
      <c r="T80" s="320">
        <f>IFERROR(__xludf.DUMMYFUNCTION("""COMPUTED_VALUE"""),26.25)</f>
        <v>26.25</v>
      </c>
      <c r="U80" s="320">
        <f>IFERROR(__xludf.DUMMYFUNCTION("""COMPUTED_VALUE"""),2.43)</f>
        <v>2.43</v>
      </c>
      <c r="V80" s="320">
        <f>IFERROR(__xludf.DUMMYFUNCTION("""COMPUTED_VALUE"""),0.9287)</f>
        <v>0.9287</v>
      </c>
      <c r="W80" s="320">
        <f>IFERROR(__xludf.DUMMYFUNCTION("""COMPUTED_VALUE"""),2.18)</f>
        <v>2.18</v>
      </c>
      <c r="X80" s="320">
        <f>IFERROR(__xludf.DUMMYFUNCTION("""COMPUTED_VALUE"""),154.0)</f>
        <v>154</v>
      </c>
      <c r="Y80" s="320">
        <f>IFERROR(__xludf.DUMMYFUNCTION("""COMPUTED_VALUE"""),1012.0)</f>
        <v>1012</v>
      </c>
      <c r="Z80" s="320">
        <f>IFERROR(__xludf.DUMMYFUNCTION("""COMPUTED_VALUE"""),6898.0)</f>
        <v>6898</v>
      </c>
      <c r="AA80" s="320">
        <f>IFERROR(__xludf.DUMMYFUNCTION("""COMPUTED_VALUE"""),49.6188)</f>
        <v>49.6188</v>
      </c>
      <c r="AB80" s="320">
        <f>IFERROR(__xludf.DUMMYFUNCTION("""COMPUTED_VALUE"""),0.5149)</f>
        <v>0.5149</v>
      </c>
      <c r="AC80" s="106"/>
      <c r="AD80" s="106"/>
      <c r="AE80" s="106"/>
      <c r="AF80" s="106"/>
      <c r="AG80" s="106"/>
      <c r="AH80" s="320">
        <f>IFERROR(__xludf.DUMMYFUNCTION("""COMPUTED_VALUE"""),0.0)</f>
        <v>0</v>
      </c>
      <c r="AI80" s="320">
        <f>IFERROR(__xludf.DUMMYFUNCTION("""COMPUTED_VALUE"""),0.0)</f>
        <v>0</v>
      </c>
      <c r="AJ80" s="320">
        <f>IFERROR(__xludf.DUMMYFUNCTION("""COMPUTED_VALUE"""),0.0)</f>
        <v>0</v>
      </c>
      <c r="AK80" s="320">
        <f>IFERROR(__xludf.DUMMYFUNCTION("""COMPUTED_VALUE"""),0.2661)</f>
        <v>0.2661</v>
      </c>
      <c r="AL80" s="320">
        <f>IFERROR(__xludf.DUMMYFUNCTION("""COMPUTED_VALUE"""),14.89)</f>
        <v>14.89</v>
      </c>
      <c r="AM80" s="320">
        <f>IFERROR(__xludf.DUMMYFUNCTION("""COMPUTED_VALUE"""),11.89)</f>
        <v>11.89</v>
      </c>
      <c r="AN80" s="331"/>
      <c r="AO80" s="331"/>
    </row>
    <row r="81" ht="15.75" customHeight="1">
      <c r="A81" s="330">
        <f>IFERROR(__xludf.DUMMYFUNCTION("""COMPUTED_VALUE"""),46063.0)</f>
        <v>46063</v>
      </c>
      <c r="B81" s="319" t="str">
        <f>IFERROR(__xludf.DUMMYFUNCTION("""COMPUTED_VALUE"""),"B. 1-9")</f>
        <v>B. 1-9</v>
      </c>
      <c r="C81" s="320">
        <f>IFERROR(__xludf.DUMMYFUNCTION("""COMPUTED_VALUE"""),33018.0)</f>
        <v>33018</v>
      </c>
      <c r="D81" s="320">
        <f>IFERROR(__xludf.DUMMYFUNCTION("""COMPUTED_VALUE"""),40.5)</f>
        <v>40.5</v>
      </c>
      <c r="E81" s="320">
        <f>IFERROR(__xludf.DUMMYFUNCTION("""COMPUTED_VALUE"""),7077.09)</f>
        <v>7077.09</v>
      </c>
      <c r="F81" s="320">
        <f>IFERROR(__xludf.DUMMYFUNCTION("""COMPUTED_VALUE"""),0.2143)</f>
        <v>0.2143</v>
      </c>
      <c r="G81" s="320">
        <f>IFERROR(__xludf.DUMMYFUNCTION("""COMPUTED_VALUE"""),6.19)</f>
        <v>6.19</v>
      </c>
      <c r="H81" s="320">
        <f>IFERROR(__xludf.DUMMYFUNCTION("""COMPUTED_VALUE"""),3.4607)</f>
        <v>3.4607</v>
      </c>
      <c r="I81" s="320">
        <f>IFERROR(__xludf.DUMMYFUNCTION("""COMPUTED_VALUE"""),29.35)</f>
        <v>29.35</v>
      </c>
      <c r="J81" s="320">
        <f>IFERROR(__xludf.DUMMYFUNCTION("""COMPUTED_VALUE"""),15.52)</f>
        <v>15.52</v>
      </c>
      <c r="K81" s="320">
        <f>IFERROR(__xludf.DUMMYFUNCTION("""COMPUTED_VALUE"""),4.98)</f>
        <v>4.98</v>
      </c>
      <c r="L81" s="320">
        <f>IFERROR(__xludf.DUMMYFUNCTION("""COMPUTED_VALUE"""),0.321)</f>
        <v>0.321</v>
      </c>
      <c r="M81" s="320">
        <f>IFERROR(__xludf.DUMMYFUNCTION("""COMPUTED_VALUE"""),0.7553)</f>
        <v>0.7553</v>
      </c>
      <c r="N81" s="320">
        <f>IFERROR(__xludf.DUMMYFUNCTION("""COMPUTED_VALUE"""),0.5268)</f>
        <v>0.5268</v>
      </c>
      <c r="O81" s="320">
        <f>IFERROR(__xludf.DUMMYFUNCTION("""COMPUTED_VALUE"""),3.1156)</f>
        <v>3.1156</v>
      </c>
      <c r="P81" s="320">
        <f>IFERROR(__xludf.DUMMYFUNCTION("""COMPUTED_VALUE"""),70.35)</f>
        <v>70.35</v>
      </c>
      <c r="Q81" s="320">
        <f>IFERROR(__xludf.DUMMYFUNCTION("""COMPUTED_VALUE"""),60.05)</f>
        <v>60.05</v>
      </c>
      <c r="R81" s="320">
        <f>IFERROR(__xludf.DUMMYFUNCTION("""COMPUTED_VALUE"""),10.31)</f>
        <v>10.31</v>
      </c>
      <c r="S81" s="320">
        <f>IFERROR(__xludf.DUMMYFUNCTION("""COMPUTED_VALUE"""),14.18)</f>
        <v>14.18</v>
      </c>
      <c r="T81" s="320">
        <f>IFERROR(__xludf.DUMMYFUNCTION("""COMPUTED_VALUE"""),56.18)</f>
        <v>56.18</v>
      </c>
      <c r="U81" s="320">
        <f>IFERROR(__xludf.DUMMYFUNCTION("""COMPUTED_VALUE"""),75.58)</f>
        <v>75.58</v>
      </c>
      <c r="V81" s="320">
        <f>IFERROR(__xludf.DUMMYFUNCTION("""COMPUTED_VALUE"""),4.871)</f>
        <v>4.871</v>
      </c>
      <c r="W81" s="320">
        <f>IFERROR(__xludf.DUMMYFUNCTION("""COMPUTED_VALUE"""),20.15)</f>
        <v>20.15</v>
      </c>
      <c r="X81" s="320">
        <f>IFERROR(__xludf.DUMMYFUNCTION("""COMPUTED_VALUE"""),90.0)</f>
        <v>90</v>
      </c>
      <c r="Y81" s="320">
        <f>IFERROR(__xludf.DUMMYFUNCTION("""COMPUTED_VALUE"""),218.0)</f>
        <v>218</v>
      </c>
      <c r="Z81" s="320">
        <f>IFERROR(__xludf.DUMMYFUNCTION("""COMPUTED_VALUE"""),849.0)</f>
        <v>849</v>
      </c>
      <c r="AA81" s="320">
        <f>IFERROR(__xludf.DUMMYFUNCTION("""COMPUTED_VALUE"""),49.6139)</f>
        <v>49.6139</v>
      </c>
      <c r="AB81" s="320">
        <f>IFERROR(__xludf.DUMMYFUNCTION("""COMPUTED_VALUE"""),0.4462)</f>
        <v>0.4462</v>
      </c>
      <c r="AC81" s="320">
        <f>IFERROR(__xludf.DUMMYFUNCTION("""COMPUTED_VALUE"""),3.43)</f>
        <v>3.43</v>
      </c>
      <c r="AD81" s="320">
        <f>IFERROR(__xludf.DUMMYFUNCTION("""COMPUTED_VALUE"""),1.0)</f>
        <v>1</v>
      </c>
      <c r="AE81" s="320">
        <f>IFERROR(__xludf.DUMMYFUNCTION("""COMPUTED_VALUE"""),2.0)</f>
        <v>2</v>
      </c>
      <c r="AF81" s="320">
        <f>IFERROR(__xludf.DUMMYFUNCTION("""COMPUTED_VALUE"""),4.0)</f>
        <v>4</v>
      </c>
      <c r="AG81" s="320">
        <f>IFERROR(__xludf.DUMMYFUNCTION("""COMPUTED_VALUE"""),8.0)</f>
        <v>8</v>
      </c>
      <c r="AH81" s="320">
        <f>IFERROR(__xludf.DUMMYFUNCTION("""COMPUTED_VALUE"""),65.52)</f>
        <v>65.52</v>
      </c>
      <c r="AI81" s="320">
        <f>IFERROR(__xludf.DUMMYFUNCTION("""COMPUTED_VALUE"""),23.77)</f>
        <v>23.77</v>
      </c>
      <c r="AJ81" s="320">
        <f>IFERROR(__xludf.DUMMYFUNCTION("""COMPUTED_VALUE"""),6.55)</f>
        <v>6.55</v>
      </c>
      <c r="AK81" s="320">
        <f>IFERROR(__xludf.DUMMYFUNCTION("""COMPUTED_VALUE"""),0.2145)</f>
        <v>0.2145</v>
      </c>
      <c r="AL81" s="320">
        <f>IFERROR(__xludf.DUMMYFUNCTION("""COMPUTED_VALUE"""),18.34)</f>
        <v>18.34</v>
      </c>
      <c r="AM81" s="320">
        <f>IFERROR(__xludf.DUMMYFUNCTION("""COMPUTED_VALUE"""),41.7)</f>
        <v>41.7</v>
      </c>
      <c r="AN81" s="320">
        <f>IFERROR(__xludf.DUMMYFUNCTION("""COMPUTED_VALUE"""),68.39)</f>
        <v>68.39</v>
      </c>
      <c r="AO81" s="320">
        <f>IFERROR(__xludf.DUMMYFUNCTION("""COMPUTED_VALUE"""),12.54)</f>
        <v>12.54</v>
      </c>
    </row>
    <row r="82" ht="15.75" customHeight="1">
      <c r="A82" s="330">
        <f>IFERROR(__xludf.DUMMYFUNCTION("""COMPUTED_VALUE"""),46063.0)</f>
        <v>46063</v>
      </c>
      <c r="B82" s="319" t="str">
        <f>IFERROR(__xludf.DUMMYFUNCTION("""COMPUTED_VALUE"""),"C. 10-19")</f>
        <v>C. 10-19</v>
      </c>
      <c r="C82" s="320">
        <f>IFERROR(__xludf.DUMMYFUNCTION("""COMPUTED_VALUE"""),18173.0)</f>
        <v>18173</v>
      </c>
      <c r="D82" s="320">
        <f>IFERROR(__xludf.DUMMYFUNCTION("""COMPUTED_VALUE"""),22.29)</f>
        <v>22.29</v>
      </c>
      <c r="E82" s="320">
        <f>IFERROR(__xludf.DUMMYFUNCTION("""COMPUTED_VALUE"""),16366.49)</f>
        <v>16366.49</v>
      </c>
      <c r="F82" s="320">
        <f>IFERROR(__xludf.DUMMYFUNCTION("""COMPUTED_VALUE"""),0.9006)</f>
        <v>0.9006</v>
      </c>
      <c r="G82" s="320">
        <f>IFERROR(__xludf.DUMMYFUNCTION("""COMPUTED_VALUE"""),19.41)</f>
        <v>19.41</v>
      </c>
      <c r="H82" s="320">
        <f>IFERROR(__xludf.DUMMYFUNCTION("""COMPUTED_VALUE"""),4.6403)</f>
        <v>4.6403</v>
      </c>
      <c r="I82" s="320">
        <f>IFERROR(__xludf.DUMMYFUNCTION("""COMPUTED_VALUE"""),54.31)</f>
        <v>54.31</v>
      </c>
      <c r="J82" s="320">
        <f>IFERROR(__xludf.DUMMYFUNCTION("""COMPUTED_VALUE"""),30.46)</f>
        <v>30.46</v>
      </c>
      <c r="K82" s="320">
        <f>IFERROR(__xludf.DUMMYFUNCTION("""COMPUTED_VALUE"""),13.17)</f>
        <v>13.17</v>
      </c>
      <c r="L82" s="320">
        <f>IFERROR(__xludf.DUMMYFUNCTION("""COMPUTED_VALUE"""),0.4325)</f>
        <v>0.4325</v>
      </c>
      <c r="M82" s="320">
        <f>IFERROR(__xludf.DUMMYFUNCTION("""COMPUTED_VALUE"""),0.6352)</f>
        <v>0.6352</v>
      </c>
      <c r="N82" s="320">
        <f>IFERROR(__xludf.DUMMYFUNCTION("""COMPUTED_VALUE"""),0.3776)</f>
        <v>0.3776</v>
      </c>
      <c r="O82" s="320">
        <f>IFERROR(__xludf.DUMMYFUNCTION("""COMPUTED_VALUE"""),2.3122)</f>
        <v>2.3122</v>
      </c>
      <c r="P82" s="320">
        <f>IFERROR(__xludf.DUMMYFUNCTION("""COMPUTED_VALUE"""),159.34)</f>
        <v>159.34</v>
      </c>
      <c r="Q82" s="320">
        <f>IFERROR(__xludf.DUMMYFUNCTION("""COMPUTED_VALUE"""),132.92)</f>
        <v>132.92</v>
      </c>
      <c r="R82" s="320">
        <f>IFERROR(__xludf.DUMMYFUNCTION("""COMPUTED_VALUE"""),26.42)</f>
        <v>26.42</v>
      </c>
      <c r="S82" s="320">
        <f>IFERROR(__xludf.DUMMYFUNCTION("""COMPUTED_VALUE"""),59.78)</f>
        <v>59.78</v>
      </c>
      <c r="T82" s="320">
        <f>IFERROR(__xludf.DUMMYFUNCTION("""COMPUTED_VALUE"""),99.56)</f>
        <v>99.56</v>
      </c>
      <c r="U82" s="320">
        <f>IFERROR(__xludf.DUMMYFUNCTION("""COMPUTED_VALUE"""),169.3)</f>
        <v>169.3</v>
      </c>
      <c r="V82" s="320">
        <f>IFERROR(__xludf.DUMMYFUNCTION("""COMPUTED_VALUE"""),5.5586)</f>
        <v>5.5586</v>
      </c>
      <c r="W82" s="320">
        <f>IFERROR(__xludf.DUMMYFUNCTION("""COMPUTED_VALUE"""),37.52)</f>
        <v>37.52</v>
      </c>
      <c r="X82" s="320">
        <f>IFERROR(__xludf.DUMMYFUNCTION("""COMPUTED_VALUE"""),86.0)</f>
        <v>86</v>
      </c>
      <c r="Y82" s="320">
        <f>IFERROR(__xludf.DUMMYFUNCTION("""COMPUTED_VALUE"""),203.0)</f>
        <v>203</v>
      </c>
      <c r="Z82" s="320">
        <f>IFERROR(__xludf.DUMMYFUNCTION("""COMPUTED_VALUE"""),714.0)</f>
        <v>714</v>
      </c>
      <c r="AA82" s="320">
        <f>IFERROR(__xludf.DUMMYFUNCTION("""COMPUTED_VALUE"""),52.3403)</f>
        <v>52.3403</v>
      </c>
      <c r="AB82" s="320">
        <f>IFERROR(__xludf.DUMMYFUNCTION("""COMPUTED_VALUE"""),0.5225)</f>
        <v>0.5225</v>
      </c>
      <c r="AC82" s="320">
        <f>IFERROR(__xludf.DUMMYFUNCTION("""COMPUTED_VALUE"""),8.42)</f>
        <v>8.42</v>
      </c>
      <c r="AD82" s="320">
        <f>IFERROR(__xludf.DUMMYFUNCTION("""COMPUTED_VALUE"""),2.0)</f>
        <v>2</v>
      </c>
      <c r="AE82" s="320">
        <f>IFERROR(__xludf.DUMMYFUNCTION("""COMPUTED_VALUE"""),6.0)</f>
        <v>6</v>
      </c>
      <c r="AF82" s="320">
        <f>IFERROR(__xludf.DUMMYFUNCTION("""COMPUTED_VALUE"""),12.0)</f>
        <v>12</v>
      </c>
      <c r="AG82" s="320">
        <f>IFERROR(__xludf.DUMMYFUNCTION("""COMPUTED_VALUE"""),19.0)</f>
        <v>19</v>
      </c>
      <c r="AH82" s="320">
        <f>IFERROR(__xludf.DUMMYFUNCTION("""COMPUTED_VALUE"""),52.47)</f>
        <v>52.47</v>
      </c>
      <c r="AI82" s="320">
        <f>IFERROR(__xludf.DUMMYFUNCTION("""COMPUTED_VALUE"""),22.64)</f>
        <v>22.64</v>
      </c>
      <c r="AJ82" s="320">
        <f>IFERROR(__xludf.DUMMYFUNCTION("""COMPUTED_VALUE"""),4.01)</f>
        <v>4.01</v>
      </c>
      <c r="AK82" s="320">
        <f>IFERROR(__xludf.DUMMYFUNCTION("""COMPUTED_VALUE"""),0.1858)</f>
        <v>0.1858</v>
      </c>
      <c r="AL82" s="320">
        <f>IFERROR(__xludf.DUMMYFUNCTION("""COMPUTED_VALUE"""),18.87)</f>
        <v>18.87</v>
      </c>
      <c r="AM82" s="320">
        <f>IFERROR(__xludf.DUMMYFUNCTION("""COMPUTED_VALUE"""),114.04)</f>
        <v>114.04</v>
      </c>
      <c r="AN82" s="320">
        <f>IFERROR(__xludf.DUMMYFUNCTION("""COMPUTED_VALUE"""),73.22)</f>
        <v>73.22</v>
      </c>
      <c r="AO82" s="320">
        <f>IFERROR(__xludf.DUMMYFUNCTION("""COMPUTED_VALUE"""),13.82)</f>
        <v>13.82</v>
      </c>
    </row>
    <row r="83" ht="15.75" customHeight="1">
      <c r="A83" s="330">
        <f>IFERROR(__xludf.DUMMYFUNCTION("""COMPUTED_VALUE"""),46063.0)</f>
        <v>46063</v>
      </c>
      <c r="B83" s="319" t="str">
        <f>IFERROR(__xludf.DUMMYFUNCTION("""COMPUTED_VALUE"""),"D. 20-39")</f>
        <v>D. 20-39</v>
      </c>
      <c r="C83" s="320">
        <f>IFERROR(__xludf.DUMMYFUNCTION("""COMPUTED_VALUE"""),9586.0)</f>
        <v>9586</v>
      </c>
      <c r="D83" s="320">
        <f>IFERROR(__xludf.DUMMYFUNCTION("""COMPUTED_VALUE"""),11.76)</f>
        <v>11.76</v>
      </c>
      <c r="E83" s="320">
        <f>IFERROR(__xludf.DUMMYFUNCTION("""COMPUTED_VALUE"""),22126.3)</f>
        <v>22126.3</v>
      </c>
      <c r="F83" s="320">
        <f>IFERROR(__xludf.DUMMYFUNCTION("""COMPUTED_VALUE"""),2.3082)</f>
        <v>2.3082</v>
      </c>
      <c r="G83" s="320">
        <f>IFERROR(__xludf.DUMMYFUNCTION("""COMPUTED_VALUE"""),30.9)</f>
        <v>30.9</v>
      </c>
      <c r="H83" s="320">
        <f>IFERROR(__xludf.DUMMYFUNCTION("""COMPUTED_VALUE"""),7.4701)</f>
        <v>7.4701</v>
      </c>
      <c r="I83" s="320">
        <f>IFERROR(__xludf.DUMMYFUNCTION("""COMPUTED_VALUE"""),81.75)</f>
        <v>81.75</v>
      </c>
      <c r="J83" s="320">
        <f>IFERROR(__xludf.DUMMYFUNCTION("""COMPUTED_VALUE"""),47.71)</f>
        <v>47.71</v>
      </c>
      <c r="K83" s="320">
        <f>IFERROR(__xludf.DUMMYFUNCTION("""COMPUTED_VALUE"""),26.26)</f>
        <v>26.26</v>
      </c>
      <c r="L83" s="320">
        <f>IFERROR(__xludf.DUMMYFUNCTION("""COMPUTED_VALUE"""),0.5504)</f>
        <v>0.5504</v>
      </c>
      <c r="M83" s="320">
        <f>IFERROR(__xludf.DUMMYFUNCTION("""COMPUTED_VALUE"""),0.5266)</f>
        <v>0.5266</v>
      </c>
      <c r="N83" s="320">
        <f>IFERROR(__xludf.DUMMYFUNCTION("""COMPUTED_VALUE"""),0.2993)</f>
        <v>0.2993</v>
      </c>
      <c r="O83" s="320">
        <f>IFERROR(__xludf.DUMMYFUNCTION("""COMPUTED_VALUE"""),1.817)</f>
        <v>1.817</v>
      </c>
      <c r="P83" s="320">
        <f>IFERROR(__xludf.DUMMYFUNCTION("""COMPUTED_VALUE"""),327.71)</f>
        <v>327.71</v>
      </c>
      <c r="Q83" s="320">
        <f>IFERROR(__xludf.DUMMYFUNCTION("""COMPUTED_VALUE"""),276.69)</f>
        <v>276.69</v>
      </c>
      <c r="R83" s="320">
        <f>IFERROR(__xludf.DUMMYFUNCTION("""COMPUTED_VALUE"""),51.02)</f>
        <v>51.02</v>
      </c>
      <c r="S83" s="320">
        <f>IFERROR(__xludf.DUMMYFUNCTION("""COMPUTED_VALUE"""),152.29)</f>
        <v>152.29</v>
      </c>
      <c r="T83" s="320">
        <f>IFERROR(__xludf.DUMMYFUNCTION("""COMPUTED_VALUE"""),175.42)</f>
        <v>175.42</v>
      </c>
      <c r="U83" s="320">
        <f>IFERROR(__xludf.DUMMYFUNCTION("""COMPUTED_VALUE"""),340.7)</f>
        <v>340.7</v>
      </c>
      <c r="V83" s="320">
        <f>IFERROR(__xludf.DUMMYFUNCTION("""COMPUTED_VALUE"""),7.141)</f>
        <v>7.141</v>
      </c>
      <c r="W83" s="320">
        <f>IFERROR(__xludf.DUMMYFUNCTION("""COMPUTED_VALUE"""),46.47)</f>
        <v>46.47</v>
      </c>
      <c r="X83" s="320">
        <f>IFERROR(__xludf.DUMMYFUNCTION("""COMPUTED_VALUE"""),90.0)</f>
        <v>90</v>
      </c>
      <c r="Y83" s="320">
        <f>IFERROR(__xludf.DUMMYFUNCTION("""COMPUTED_VALUE"""),242.0)</f>
        <v>242</v>
      </c>
      <c r="Z83" s="320">
        <f>IFERROR(__xludf.DUMMYFUNCTION("""COMPUTED_VALUE"""),775.0)</f>
        <v>775</v>
      </c>
      <c r="AA83" s="320">
        <f>IFERROR(__xludf.DUMMYFUNCTION("""COMPUTED_VALUE"""),54.3534)</f>
        <v>54.3534</v>
      </c>
      <c r="AB83" s="320">
        <f>IFERROR(__xludf.DUMMYFUNCTION("""COMPUTED_VALUE"""),0.6096)</f>
        <v>0.6096</v>
      </c>
      <c r="AC83" s="320">
        <f>IFERROR(__xludf.DUMMYFUNCTION("""COMPUTED_VALUE"""),15.71)</f>
        <v>15.71</v>
      </c>
      <c r="AD83" s="320">
        <f>IFERROR(__xludf.DUMMYFUNCTION("""COMPUTED_VALUE"""),5.0)</f>
        <v>5</v>
      </c>
      <c r="AE83" s="320">
        <f>IFERROR(__xludf.DUMMYFUNCTION("""COMPUTED_VALUE"""),11.0)</f>
        <v>11</v>
      </c>
      <c r="AF83" s="320">
        <f>IFERROR(__xludf.DUMMYFUNCTION("""COMPUTED_VALUE"""),22.0)</f>
        <v>22</v>
      </c>
      <c r="AG83" s="320">
        <f>IFERROR(__xludf.DUMMYFUNCTION("""COMPUTED_VALUE"""),34.0)</f>
        <v>34</v>
      </c>
      <c r="AH83" s="320">
        <f>IFERROR(__xludf.DUMMYFUNCTION("""COMPUTED_VALUE"""),52.6)</f>
        <v>52.6</v>
      </c>
      <c r="AI83" s="320">
        <f>IFERROR(__xludf.DUMMYFUNCTION("""COMPUTED_VALUE"""),19.77)</f>
        <v>19.77</v>
      </c>
      <c r="AJ83" s="320">
        <f>IFERROR(__xludf.DUMMYFUNCTION("""COMPUTED_VALUE"""),5.39)</f>
        <v>5.39</v>
      </c>
      <c r="AK83" s="320">
        <f>IFERROR(__xludf.DUMMYFUNCTION("""COMPUTED_VALUE"""),0.1733)</f>
        <v>0.1733</v>
      </c>
      <c r="AL83" s="320">
        <f>IFERROR(__xludf.DUMMYFUNCTION("""COMPUTED_VALUE"""),18.97)</f>
        <v>18.97</v>
      </c>
      <c r="AM83" s="320">
        <f>IFERROR(__xludf.DUMMYFUNCTION("""COMPUTED_VALUE"""),257.72)</f>
        <v>257.72</v>
      </c>
      <c r="AN83" s="320">
        <f>IFERROR(__xludf.DUMMYFUNCTION("""COMPUTED_VALUE"""),72.63)</f>
        <v>72.63</v>
      </c>
      <c r="AO83" s="320">
        <f>IFERROR(__xludf.DUMMYFUNCTION("""COMPUTED_VALUE"""),13.78)</f>
        <v>13.78</v>
      </c>
    </row>
    <row r="84" ht="15.75" customHeight="1">
      <c r="A84" s="330">
        <f>IFERROR(__xludf.DUMMYFUNCTION("""COMPUTED_VALUE"""),46063.0)</f>
        <v>46063</v>
      </c>
      <c r="B84" s="319" t="str">
        <f>IFERROR(__xludf.DUMMYFUNCTION("""COMPUTED_VALUE"""),"E. 40-99")</f>
        <v>E. 40-99</v>
      </c>
      <c r="C84" s="320">
        <f>IFERROR(__xludf.DUMMYFUNCTION("""COMPUTED_VALUE"""),3668.0)</f>
        <v>3668</v>
      </c>
      <c r="D84" s="320">
        <f>IFERROR(__xludf.DUMMYFUNCTION("""COMPUTED_VALUE"""),4.5)</f>
        <v>4.5</v>
      </c>
      <c r="E84" s="320">
        <f>IFERROR(__xludf.DUMMYFUNCTION("""COMPUTED_VALUE"""),20079.59)</f>
        <v>20079.59</v>
      </c>
      <c r="F84" s="320">
        <f>IFERROR(__xludf.DUMMYFUNCTION("""COMPUTED_VALUE"""),5.4743)</f>
        <v>5.4743</v>
      </c>
      <c r="G84" s="320">
        <f>IFERROR(__xludf.DUMMYFUNCTION("""COMPUTED_VALUE"""),41.82)</f>
        <v>41.82</v>
      </c>
      <c r="H84" s="320">
        <f>IFERROR(__xludf.DUMMYFUNCTION("""COMPUTED_VALUE"""),13.0897)</f>
        <v>13.0897</v>
      </c>
      <c r="I84" s="320">
        <f>IFERROR(__xludf.DUMMYFUNCTION("""COMPUTED_VALUE"""),125.58)</f>
        <v>125.58</v>
      </c>
      <c r="J84" s="320">
        <f>IFERROR(__xludf.DUMMYFUNCTION("""COMPUTED_VALUE"""),76.39)</f>
        <v>76.39</v>
      </c>
      <c r="K84" s="320">
        <f>IFERROR(__xludf.DUMMYFUNCTION("""COMPUTED_VALUE"""),50.76)</f>
        <v>50.76</v>
      </c>
      <c r="L84" s="320">
        <f>IFERROR(__xludf.DUMMYFUNCTION("""COMPUTED_VALUE"""),0.6645)</f>
        <v>0.6645</v>
      </c>
      <c r="M84" s="320">
        <f>IFERROR(__xludf.DUMMYFUNCTION("""COMPUTED_VALUE"""),0.4246)</f>
        <v>0.4246</v>
      </c>
      <c r="N84" s="320">
        <f>IFERROR(__xludf.DUMMYFUNCTION("""COMPUTED_VALUE"""),0.2437)</f>
        <v>0.2437</v>
      </c>
      <c r="O84" s="320">
        <f>IFERROR(__xludf.DUMMYFUNCTION("""COMPUTED_VALUE"""),1.5049)</f>
        <v>1.5049</v>
      </c>
      <c r="P84" s="320">
        <f>IFERROR(__xludf.DUMMYFUNCTION("""COMPUTED_VALUE"""),653.58)</f>
        <v>653.58</v>
      </c>
      <c r="Q84" s="320">
        <f>IFERROR(__xludf.DUMMYFUNCTION("""COMPUTED_VALUE"""),547.81)</f>
        <v>547.81</v>
      </c>
      <c r="R84" s="320">
        <f>IFERROR(__xludf.DUMMYFUNCTION("""COMPUTED_VALUE"""),105.77)</f>
        <v>105.77</v>
      </c>
      <c r="S84" s="320">
        <f>IFERROR(__xludf.DUMMYFUNCTION("""COMPUTED_VALUE"""),343.59)</f>
        <v>343.59</v>
      </c>
      <c r="T84" s="320">
        <f>IFERROR(__xludf.DUMMYFUNCTION("""COMPUTED_VALUE"""),309.99)</f>
        <v>309.99</v>
      </c>
      <c r="U84" s="320">
        <f>IFERROR(__xludf.DUMMYFUNCTION("""COMPUTED_VALUE"""),662.21)</f>
        <v>662.21</v>
      </c>
      <c r="V84" s="320">
        <f>IFERROR(__xludf.DUMMYFUNCTION("""COMPUTED_VALUE"""),8.6692)</f>
        <v>8.6692</v>
      </c>
      <c r="W84" s="320">
        <f>IFERROR(__xludf.DUMMYFUNCTION("""COMPUTED_VALUE"""),52.57)</f>
        <v>52.57</v>
      </c>
      <c r="X84" s="320">
        <f>IFERROR(__xludf.DUMMYFUNCTION("""COMPUTED_VALUE"""),99.0)</f>
        <v>99</v>
      </c>
      <c r="Y84" s="320">
        <f>IFERROR(__xludf.DUMMYFUNCTION("""COMPUTED_VALUE"""),318.0)</f>
        <v>318</v>
      </c>
      <c r="Z84" s="320">
        <f>IFERROR(__xludf.DUMMYFUNCTION("""COMPUTED_VALUE"""),1015.0)</f>
        <v>1015</v>
      </c>
      <c r="AA84" s="320">
        <f>IFERROR(__xludf.DUMMYFUNCTION("""COMPUTED_VALUE"""),57.3916)</f>
        <v>57.3916</v>
      </c>
      <c r="AB84" s="320">
        <f>IFERROR(__xludf.DUMMYFUNCTION("""COMPUTED_VALUE"""),0.7401)</f>
        <v>0.7401</v>
      </c>
      <c r="AC84" s="320">
        <f>IFERROR(__xludf.DUMMYFUNCTION("""COMPUTED_VALUE"""),33.31)</f>
        <v>33.31</v>
      </c>
      <c r="AD84" s="320">
        <f>IFERROR(__xludf.DUMMYFUNCTION("""COMPUTED_VALUE"""),11.0)</f>
        <v>11</v>
      </c>
      <c r="AE84" s="320">
        <f>IFERROR(__xludf.DUMMYFUNCTION("""COMPUTED_VALUE"""),24.0)</f>
        <v>24</v>
      </c>
      <c r="AF84" s="320">
        <f>IFERROR(__xludf.DUMMYFUNCTION("""COMPUTED_VALUE"""),46.0)</f>
        <v>46</v>
      </c>
      <c r="AG84" s="320">
        <f>IFERROR(__xludf.DUMMYFUNCTION("""COMPUTED_VALUE"""),74.0)</f>
        <v>74</v>
      </c>
      <c r="AH84" s="320">
        <f>IFERROR(__xludf.DUMMYFUNCTION("""COMPUTED_VALUE"""),45.94)</f>
        <v>45.94</v>
      </c>
      <c r="AI84" s="320">
        <f>IFERROR(__xludf.DUMMYFUNCTION("""COMPUTED_VALUE"""),15.92)</f>
        <v>15.92</v>
      </c>
      <c r="AJ84" s="320">
        <f>IFERROR(__xludf.DUMMYFUNCTION("""COMPUTED_VALUE"""),3.98)</f>
        <v>3.98</v>
      </c>
      <c r="AK84" s="320">
        <f>IFERROR(__xludf.DUMMYFUNCTION("""COMPUTED_VALUE"""),0.1453)</f>
        <v>0.1453</v>
      </c>
      <c r="AL84" s="320">
        <f>IFERROR(__xludf.DUMMYFUNCTION("""COMPUTED_VALUE"""),19.74)</f>
        <v>19.74</v>
      </c>
      <c r="AM84" s="320">
        <f>IFERROR(__xludf.DUMMYFUNCTION("""COMPUTED_VALUE"""),528.06)</f>
        <v>528.06</v>
      </c>
      <c r="AN84" s="320">
        <f>IFERROR(__xludf.DUMMYFUNCTION("""COMPUTED_VALUE"""),76.66)</f>
        <v>76.66</v>
      </c>
      <c r="AO84" s="320">
        <f>IFERROR(__xludf.DUMMYFUNCTION("""COMPUTED_VALUE"""),15.13)</f>
        <v>15.13</v>
      </c>
    </row>
    <row r="85" ht="15.75" customHeight="1">
      <c r="A85" s="330">
        <f>IFERROR(__xludf.DUMMYFUNCTION("""COMPUTED_VALUE"""),46063.0)</f>
        <v>46063</v>
      </c>
      <c r="B85" s="319" t="str">
        <f>IFERROR(__xludf.DUMMYFUNCTION("""COMPUTED_VALUE"""),"F. 100+")</f>
        <v>F. 100+</v>
      </c>
      <c r="C85" s="320">
        <f>IFERROR(__xludf.DUMMYFUNCTION("""COMPUTED_VALUE"""),388.0)</f>
        <v>388</v>
      </c>
      <c r="D85" s="320">
        <f>IFERROR(__xludf.DUMMYFUNCTION("""COMPUTED_VALUE"""),0.48)</f>
        <v>0.48</v>
      </c>
      <c r="E85" s="320">
        <f>IFERROR(__xludf.DUMMYFUNCTION("""COMPUTED_VALUE"""),4315.37)</f>
        <v>4315.37</v>
      </c>
      <c r="F85" s="320">
        <f>IFERROR(__xludf.DUMMYFUNCTION("""COMPUTED_VALUE"""),11.1221)</f>
        <v>11.1221</v>
      </c>
      <c r="G85" s="320">
        <f>IFERROR(__xludf.DUMMYFUNCTION("""COMPUTED_VALUE"""),45.62)</f>
        <v>45.62</v>
      </c>
      <c r="H85" s="320">
        <f>IFERROR(__xludf.DUMMYFUNCTION("""COMPUTED_VALUE"""),24.3806)</f>
        <v>24.3806</v>
      </c>
      <c r="I85" s="320">
        <f>IFERROR(__xludf.DUMMYFUNCTION("""COMPUTED_VALUE"""),243.75)</f>
        <v>243.75</v>
      </c>
      <c r="J85" s="320">
        <f>IFERROR(__xludf.DUMMYFUNCTION("""COMPUTED_VALUE"""),158.87)</f>
        <v>158.87</v>
      </c>
      <c r="K85" s="320">
        <f>IFERROR(__xludf.DUMMYFUNCTION("""COMPUTED_VALUE"""),126.62)</f>
        <v>126.62</v>
      </c>
      <c r="L85" s="320">
        <f>IFERROR(__xludf.DUMMYFUNCTION("""COMPUTED_VALUE"""),0.797)</f>
        <v>0.797</v>
      </c>
      <c r="M85" s="320">
        <f>IFERROR(__xludf.DUMMYFUNCTION("""COMPUTED_VALUE"""),0.2891)</f>
        <v>0.2891</v>
      </c>
      <c r="N85" s="320">
        <f>IFERROR(__xludf.DUMMYFUNCTION("""COMPUTED_VALUE"""),0.1716)</f>
        <v>0.1716</v>
      </c>
      <c r="O85" s="320">
        <f>IFERROR(__xludf.DUMMYFUNCTION("""COMPUTED_VALUE"""),1.2547)</f>
        <v>1.2547</v>
      </c>
      <c r="P85" s="320">
        <f>IFERROR(__xludf.DUMMYFUNCTION("""COMPUTED_VALUE"""),1298.68)</f>
        <v>1298.68</v>
      </c>
      <c r="Q85" s="320">
        <f>IFERROR(__xludf.DUMMYFUNCTION("""COMPUTED_VALUE"""),1031.28)</f>
        <v>1031.28</v>
      </c>
      <c r="R85" s="320">
        <f>IFERROR(__xludf.DUMMYFUNCTION("""COMPUTED_VALUE"""),267.4)</f>
        <v>267.4</v>
      </c>
      <c r="S85" s="320">
        <f>IFERROR(__xludf.DUMMYFUNCTION("""COMPUTED_VALUE"""),669.29)</f>
        <v>669.29</v>
      </c>
      <c r="T85" s="320">
        <f>IFERROR(__xludf.DUMMYFUNCTION("""COMPUTED_VALUE"""),629.39)</f>
        <v>629.39</v>
      </c>
      <c r="U85" s="320">
        <f>IFERROR(__xludf.DUMMYFUNCTION("""COMPUTED_VALUE"""),1324.36)</f>
        <v>1324.36</v>
      </c>
      <c r="V85" s="320">
        <f>IFERROR(__xludf.DUMMYFUNCTION("""COMPUTED_VALUE"""),8.336)</f>
        <v>8.336</v>
      </c>
      <c r="W85" s="320">
        <f>IFERROR(__xludf.DUMMYFUNCTION("""COMPUTED_VALUE"""),51.54)</f>
        <v>51.54</v>
      </c>
      <c r="X85" s="320">
        <f>IFERROR(__xludf.DUMMYFUNCTION("""COMPUTED_VALUE"""),145.0)</f>
        <v>145</v>
      </c>
      <c r="Y85" s="320">
        <f>IFERROR(__xludf.DUMMYFUNCTION("""COMPUTED_VALUE"""),536.0)</f>
        <v>536</v>
      </c>
      <c r="Z85" s="320">
        <f>IFERROR(__xludf.DUMMYFUNCTION("""COMPUTED_VALUE"""),2819.0)</f>
        <v>2819</v>
      </c>
      <c r="AA85" s="320">
        <f>IFERROR(__xludf.DUMMYFUNCTION("""COMPUTED_VALUE"""),61.6829)</f>
        <v>61.6829</v>
      </c>
      <c r="AB85" s="320">
        <f>IFERROR(__xludf.DUMMYFUNCTION("""COMPUTED_VALUE"""),0.8341)</f>
        <v>0.8341</v>
      </c>
      <c r="AC85" s="320">
        <f>IFERROR(__xludf.DUMMYFUNCTION("""COMPUTED_VALUE"""),84.23)</f>
        <v>84.23</v>
      </c>
      <c r="AD85" s="320">
        <f>IFERROR(__xludf.DUMMYFUNCTION("""COMPUTED_VALUE"""),31.0)</f>
        <v>31</v>
      </c>
      <c r="AE85" s="320">
        <f>IFERROR(__xludf.DUMMYFUNCTION("""COMPUTED_VALUE"""),64.0)</f>
        <v>64</v>
      </c>
      <c r="AF85" s="320">
        <f>IFERROR(__xludf.DUMMYFUNCTION("""COMPUTED_VALUE"""),116.0)</f>
        <v>116</v>
      </c>
      <c r="AG85" s="320">
        <f>IFERROR(__xludf.DUMMYFUNCTION("""COMPUTED_VALUE"""),185.0)</f>
        <v>185</v>
      </c>
      <c r="AH85" s="320">
        <f>IFERROR(__xludf.DUMMYFUNCTION("""COMPUTED_VALUE"""),43.56)</f>
        <v>43.56</v>
      </c>
      <c r="AI85" s="320">
        <f>IFERROR(__xludf.DUMMYFUNCTION("""COMPUTED_VALUE"""),11.08)</f>
        <v>11.08</v>
      </c>
      <c r="AJ85" s="320">
        <f>IFERROR(__xludf.DUMMYFUNCTION("""COMPUTED_VALUE"""),2.06)</f>
        <v>2.06</v>
      </c>
      <c r="AK85" s="320">
        <f>IFERROR(__xludf.DUMMYFUNCTION("""COMPUTED_VALUE"""),0.1031)</f>
        <v>0.1031</v>
      </c>
      <c r="AL85" s="320">
        <f>IFERROR(__xludf.DUMMYFUNCTION("""COMPUTED_VALUE"""),21.88)</f>
        <v>21.88</v>
      </c>
      <c r="AM85" s="320">
        <f>IFERROR(__xludf.DUMMYFUNCTION("""COMPUTED_VALUE"""),1009.4)</f>
        <v>1009.4</v>
      </c>
      <c r="AN85" s="320">
        <f>IFERROR(__xludf.DUMMYFUNCTION("""COMPUTED_VALUE"""),73.97)</f>
        <v>73.97</v>
      </c>
      <c r="AO85" s="320">
        <f>IFERROR(__xludf.DUMMYFUNCTION("""COMPUTED_VALUE"""),16.18)</f>
        <v>16.18</v>
      </c>
    </row>
    <row r="86" ht="15.75" customHeight="1">
      <c r="A86" s="330">
        <f>IFERROR(__xludf.DUMMYFUNCTION("""COMPUTED_VALUE"""),46064.0)</f>
        <v>46064</v>
      </c>
      <c r="B86" s="319" t="str">
        <f>IFERROR(__xludf.DUMMYFUNCTION("""COMPUTED_VALUE"""),"A. 0")</f>
        <v>A. 0</v>
      </c>
      <c r="C86" s="320">
        <f>IFERROR(__xludf.DUMMYFUNCTION("""COMPUTED_VALUE"""),17109.0)</f>
        <v>17109</v>
      </c>
      <c r="D86" s="320">
        <f>IFERROR(__xludf.DUMMYFUNCTION("""COMPUTED_VALUE"""),21.18)</f>
        <v>21.18</v>
      </c>
      <c r="E86" s="320">
        <f>IFERROR(__xludf.DUMMYFUNCTION("""COMPUTED_VALUE"""),178.85)</f>
        <v>178.85</v>
      </c>
      <c r="F86" s="320">
        <f>IFERROR(__xludf.DUMMYFUNCTION("""COMPUTED_VALUE"""),0.0105)</f>
        <v>0.0105</v>
      </c>
      <c r="G86" s="320">
        <f>IFERROR(__xludf.DUMMYFUNCTION("""COMPUTED_VALUE"""),0.18)</f>
        <v>0.18</v>
      </c>
      <c r="H86" s="320">
        <f>IFERROR(__xludf.DUMMYFUNCTION("""COMPUTED_VALUE"""),5.9617)</f>
        <v>5.9617</v>
      </c>
      <c r="I86" s="320">
        <f>IFERROR(__xludf.DUMMYFUNCTION("""COMPUTED_VALUE"""),6.24)</f>
        <v>6.24</v>
      </c>
      <c r="J86" s="320">
        <f>IFERROR(__xludf.DUMMYFUNCTION("""COMPUTED_VALUE"""),2.88)</f>
        <v>2.88</v>
      </c>
      <c r="K86" s="320">
        <f>IFERROR(__xludf.DUMMYFUNCTION("""COMPUTED_VALUE"""),0.03)</f>
        <v>0.03</v>
      </c>
      <c r="L86" s="320">
        <f>IFERROR(__xludf.DUMMYFUNCTION("""COMPUTED_VALUE"""),0.0105)</f>
        <v>0.0105</v>
      </c>
      <c r="M86" s="320">
        <f>IFERROR(__xludf.DUMMYFUNCTION("""COMPUTED_VALUE"""),0.9901)</f>
        <v>0.9901</v>
      </c>
      <c r="N86" s="320">
        <f>IFERROR(__xludf.DUMMYFUNCTION("""COMPUTED_VALUE"""),0.8526)</f>
        <v>0.8526</v>
      </c>
      <c r="O86" s="320">
        <f>IFERROR(__xludf.DUMMYFUNCTION("""COMPUTED_VALUE"""),95.2703)</f>
        <v>95.2703</v>
      </c>
      <c r="P86" s="320">
        <f>IFERROR(__xludf.DUMMYFUNCTION("""COMPUTED_VALUE"""),23.32)</f>
        <v>23.32</v>
      </c>
      <c r="Q86" s="320">
        <f>IFERROR(__xludf.DUMMYFUNCTION("""COMPUTED_VALUE"""),23.25)</f>
        <v>23.25</v>
      </c>
      <c r="R86" s="320">
        <f>IFERROR(__xludf.DUMMYFUNCTION("""COMPUTED_VALUE"""),0.06)</f>
        <v>0.06</v>
      </c>
      <c r="S86" s="320">
        <f>IFERROR(__xludf.DUMMYFUNCTION("""COMPUTED_VALUE"""),0.95)</f>
        <v>0.95</v>
      </c>
      <c r="T86" s="320">
        <f>IFERROR(__xludf.DUMMYFUNCTION("""COMPUTED_VALUE"""),22.37)</f>
        <v>22.37</v>
      </c>
      <c r="U86" s="320">
        <f>IFERROR(__xludf.DUMMYFUNCTION("""COMPUTED_VALUE"""),1.84)</f>
        <v>1.84</v>
      </c>
      <c r="V86" s="320">
        <f>IFERROR(__xludf.DUMMYFUNCTION("""COMPUTED_VALUE"""),0.6373)</f>
        <v>0.6373</v>
      </c>
      <c r="W86" s="320">
        <f>IFERROR(__xludf.DUMMYFUNCTION("""COMPUTED_VALUE"""),4.08)</f>
        <v>4.08</v>
      </c>
      <c r="X86" s="320">
        <f>IFERROR(__xludf.DUMMYFUNCTION("""COMPUTED_VALUE"""),150.0)</f>
        <v>150</v>
      </c>
      <c r="Y86" s="320">
        <f>IFERROR(__xludf.DUMMYFUNCTION("""COMPUTED_VALUE"""),1034.0)</f>
        <v>1034</v>
      </c>
      <c r="Z86" s="320">
        <f>IFERROR(__xludf.DUMMYFUNCTION("""COMPUTED_VALUE"""),6783.0)</f>
        <v>6783</v>
      </c>
      <c r="AA86" s="320">
        <f>IFERROR(__xludf.DUMMYFUNCTION("""COMPUTED_VALUE"""),49.7694)</f>
        <v>49.7694</v>
      </c>
      <c r="AB86" s="320">
        <f>IFERROR(__xludf.DUMMYFUNCTION("""COMPUTED_VALUE"""),0.5194)</f>
        <v>0.5194</v>
      </c>
      <c r="AC86" s="106"/>
      <c r="AD86" s="106"/>
      <c r="AE86" s="106"/>
      <c r="AF86" s="106"/>
      <c r="AG86" s="106"/>
      <c r="AH86" s="320">
        <f>IFERROR(__xludf.DUMMYFUNCTION("""COMPUTED_VALUE"""),0.0)</f>
        <v>0</v>
      </c>
      <c r="AI86" s="320">
        <f>IFERROR(__xludf.DUMMYFUNCTION("""COMPUTED_VALUE"""),0.0)</f>
        <v>0</v>
      </c>
      <c r="AJ86" s="320">
        <f>IFERROR(__xludf.DUMMYFUNCTION("""COMPUTED_VALUE"""),0.0)</f>
        <v>0</v>
      </c>
      <c r="AK86" s="320">
        <f>IFERROR(__xludf.DUMMYFUNCTION("""COMPUTED_VALUE"""),0.2767)</f>
        <v>0.2767</v>
      </c>
      <c r="AL86" s="320">
        <f>IFERROR(__xludf.DUMMYFUNCTION("""COMPUTED_VALUE"""),15.23)</f>
        <v>15.23</v>
      </c>
      <c r="AM86" s="320">
        <f>IFERROR(__xludf.DUMMYFUNCTION("""COMPUTED_VALUE"""),8.03)</f>
        <v>8.03</v>
      </c>
      <c r="AN86" s="331"/>
      <c r="AO86" s="331"/>
    </row>
    <row r="87" ht="15.75" customHeight="1">
      <c r="A87" s="330">
        <f>IFERROR(__xludf.DUMMYFUNCTION("""COMPUTED_VALUE"""),46064.0)</f>
        <v>46064</v>
      </c>
      <c r="B87" s="319" t="str">
        <f>IFERROR(__xludf.DUMMYFUNCTION("""COMPUTED_VALUE"""),"B. 1-9")</f>
        <v>B. 1-9</v>
      </c>
      <c r="C87" s="320">
        <f>IFERROR(__xludf.DUMMYFUNCTION("""COMPUTED_VALUE"""),33253.0)</f>
        <v>33253</v>
      </c>
      <c r="D87" s="320">
        <f>IFERROR(__xludf.DUMMYFUNCTION("""COMPUTED_VALUE"""),41.17)</f>
        <v>41.17</v>
      </c>
      <c r="E87" s="320">
        <f>IFERROR(__xludf.DUMMYFUNCTION("""COMPUTED_VALUE"""),7454.03)</f>
        <v>7454.03</v>
      </c>
      <c r="F87" s="320">
        <f>IFERROR(__xludf.DUMMYFUNCTION("""COMPUTED_VALUE"""),0.2242)</f>
        <v>0.2242</v>
      </c>
      <c r="G87" s="320">
        <f>IFERROR(__xludf.DUMMYFUNCTION("""COMPUTED_VALUE"""),6.65)</f>
        <v>6.65</v>
      </c>
      <c r="H87" s="320">
        <f>IFERROR(__xludf.DUMMYFUNCTION("""COMPUTED_VALUE"""),3.3729)</f>
        <v>3.3729</v>
      </c>
      <c r="I87" s="320">
        <f>IFERROR(__xludf.DUMMYFUNCTION("""COMPUTED_VALUE"""),31.75)</f>
        <v>31.75</v>
      </c>
      <c r="J87" s="320">
        <f>IFERROR(__xludf.DUMMYFUNCTION("""COMPUTED_VALUE"""),17.33)</f>
        <v>17.33</v>
      </c>
      <c r="K87" s="320">
        <f>IFERROR(__xludf.DUMMYFUNCTION("""COMPUTED_VALUE"""),5.09)</f>
        <v>5.09</v>
      </c>
      <c r="L87" s="320">
        <f>IFERROR(__xludf.DUMMYFUNCTION("""COMPUTED_VALUE"""),0.2936)</f>
        <v>0.2936</v>
      </c>
      <c r="M87" s="320">
        <f>IFERROR(__xludf.DUMMYFUNCTION("""COMPUTED_VALUE"""),0.7728)</f>
        <v>0.7728</v>
      </c>
      <c r="N87" s="320">
        <f>IFERROR(__xludf.DUMMYFUNCTION("""COMPUTED_VALUE"""),0.5329)</f>
        <v>0.5329</v>
      </c>
      <c r="O87" s="320">
        <f>IFERROR(__xludf.DUMMYFUNCTION("""COMPUTED_VALUE"""),3.4057)</f>
        <v>3.4057</v>
      </c>
      <c r="P87" s="320">
        <f>IFERROR(__xludf.DUMMYFUNCTION("""COMPUTED_VALUE"""),62.64)</f>
        <v>62.64</v>
      </c>
      <c r="Q87" s="320">
        <f>IFERROR(__xludf.DUMMYFUNCTION("""COMPUTED_VALUE"""),52.03)</f>
        <v>52.03</v>
      </c>
      <c r="R87" s="320">
        <f>IFERROR(__xludf.DUMMYFUNCTION("""COMPUTED_VALUE"""),10.6)</f>
        <v>10.6</v>
      </c>
      <c r="S87" s="320">
        <f>IFERROR(__xludf.DUMMYFUNCTION("""COMPUTED_VALUE"""),15.28)</f>
        <v>15.28</v>
      </c>
      <c r="T87" s="320">
        <f>IFERROR(__xludf.DUMMYFUNCTION("""COMPUTED_VALUE"""),47.36)</f>
        <v>47.36</v>
      </c>
      <c r="U87" s="320">
        <f>IFERROR(__xludf.DUMMYFUNCTION("""COMPUTED_VALUE"""),70.28)</f>
        <v>70.28</v>
      </c>
      <c r="V87" s="320">
        <f>IFERROR(__xludf.DUMMYFUNCTION("""COMPUTED_VALUE"""),4.0558)</f>
        <v>4.0558</v>
      </c>
      <c r="W87" s="320">
        <f>IFERROR(__xludf.DUMMYFUNCTION("""COMPUTED_VALUE"""),24.39)</f>
        <v>24.39</v>
      </c>
      <c r="X87" s="320">
        <f>IFERROR(__xludf.DUMMYFUNCTION("""COMPUTED_VALUE"""),86.0)</f>
        <v>86</v>
      </c>
      <c r="Y87" s="320">
        <f>IFERROR(__xludf.DUMMYFUNCTION("""COMPUTED_VALUE"""),208.0)</f>
        <v>208</v>
      </c>
      <c r="Z87" s="320">
        <f>IFERROR(__xludf.DUMMYFUNCTION("""COMPUTED_VALUE"""),851.0)</f>
        <v>851</v>
      </c>
      <c r="AA87" s="320">
        <f>IFERROR(__xludf.DUMMYFUNCTION("""COMPUTED_VALUE"""),49.6056)</f>
        <v>49.6056</v>
      </c>
      <c r="AB87" s="320">
        <f>IFERROR(__xludf.DUMMYFUNCTION("""COMPUTED_VALUE"""),0.4514)</f>
        <v>0.4514</v>
      </c>
      <c r="AC87" s="320">
        <f>IFERROR(__xludf.DUMMYFUNCTION("""COMPUTED_VALUE"""),3.39)</f>
        <v>3.39</v>
      </c>
      <c r="AD87" s="320">
        <f>IFERROR(__xludf.DUMMYFUNCTION("""COMPUTED_VALUE"""),1.0)</f>
        <v>1</v>
      </c>
      <c r="AE87" s="320">
        <f>IFERROR(__xludf.DUMMYFUNCTION("""COMPUTED_VALUE"""),2.0)</f>
        <v>2</v>
      </c>
      <c r="AF87" s="320">
        <f>IFERROR(__xludf.DUMMYFUNCTION("""COMPUTED_VALUE"""),4.0)</f>
        <v>4</v>
      </c>
      <c r="AG87" s="320">
        <f>IFERROR(__xludf.DUMMYFUNCTION("""COMPUTED_VALUE"""),8.0)</f>
        <v>8</v>
      </c>
      <c r="AH87" s="320">
        <f>IFERROR(__xludf.DUMMYFUNCTION("""COMPUTED_VALUE"""),65.46)</f>
        <v>65.46</v>
      </c>
      <c r="AI87" s="320">
        <f>IFERROR(__xludf.DUMMYFUNCTION("""COMPUTED_VALUE"""),23.5)</f>
        <v>23.5</v>
      </c>
      <c r="AJ87" s="320">
        <f>IFERROR(__xludf.DUMMYFUNCTION("""COMPUTED_VALUE"""),6.16)</f>
        <v>6.16</v>
      </c>
      <c r="AK87" s="320">
        <f>IFERROR(__xludf.DUMMYFUNCTION("""COMPUTED_VALUE"""),0.2183)</f>
        <v>0.2183</v>
      </c>
      <c r="AL87" s="320">
        <f>IFERROR(__xludf.DUMMYFUNCTION("""COMPUTED_VALUE"""),19.19)</f>
        <v>19.19</v>
      </c>
      <c r="AM87" s="320">
        <f>IFERROR(__xludf.DUMMYFUNCTION("""COMPUTED_VALUE"""),32.84)</f>
        <v>32.84</v>
      </c>
      <c r="AN87" s="320">
        <f>IFERROR(__xludf.DUMMYFUNCTION("""COMPUTED_VALUE"""),68.42)</f>
        <v>68.42</v>
      </c>
      <c r="AO87" s="320">
        <f>IFERROR(__xludf.DUMMYFUNCTION("""COMPUTED_VALUE"""),13.13)</f>
        <v>13.13</v>
      </c>
    </row>
    <row r="88" ht="15.75" customHeight="1">
      <c r="A88" s="330">
        <f>IFERROR(__xludf.DUMMYFUNCTION("""COMPUTED_VALUE"""),46064.0)</f>
        <v>46064</v>
      </c>
      <c r="B88" s="319" t="str">
        <f>IFERROR(__xludf.DUMMYFUNCTION("""COMPUTED_VALUE"""),"C. 10-19")</f>
        <v>C. 10-19</v>
      </c>
      <c r="C88" s="320">
        <f>IFERROR(__xludf.DUMMYFUNCTION("""COMPUTED_VALUE"""),17512.0)</f>
        <v>17512</v>
      </c>
      <c r="D88" s="320">
        <f>IFERROR(__xludf.DUMMYFUNCTION("""COMPUTED_VALUE"""),21.68)</f>
        <v>21.68</v>
      </c>
      <c r="E88" s="320">
        <f>IFERROR(__xludf.DUMMYFUNCTION("""COMPUTED_VALUE"""),18324.07)</f>
        <v>18324.07</v>
      </c>
      <c r="F88" s="320">
        <f>IFERROR(__xludf.DUMMYFUNCTION("""COMPUTED_VALUE"""),1.0464)</f>
        <v>1.0464</v>
      </c>
      <c r="G88" s="320">
        <f>IFERROR(__xludf.DUMMYFUNCTION("""COMPUTED_VALUE"""),20.65)</f>
        <v>20.65</v>
      </c>
      <c r="H88" s="320">
        <f>IFERROR(__xludf.DUMMYFUNCTION("""COMPUTED_VALUE"""),5.0675)</f>
        <v>5.0675</v>
      </c>
      <c r="I88" s="320">
        <f>IFERROR(__xludf.DUMMYFUNCTION("""COMPUTED_VALUE"""),60.19)</f>
        <v>60.19</v>
      </c>
      <c r="J88" s="320">
        <f>IFERROR(__xludf.DUMMYFUNCTION("""COMPUTED_VALUE"""),34.37)</f>
        <v>34.37</v>
      </c>
      <c r="K88" s="320">
        <f>IFERROR(__xludf.DUMMYFUNCTION("""COMPUTED_VALUE"""),13.71)</f>
        <v>13.71</v>
      </c>
      <c r="L88" s="320">
        <f>IFERROR(__xludf.DUMMYFUNCTION("""COMPUTED_VALUE"""),0.399)</f>
        <v>0.399</v>
      </c>
      <c r="M88" s="320">
        <f>IFERROR(__xludf.DUMMYFUNCTION("""COMPUTED_VALUE"""),0.6606)</f>
        <v>0.6606</v>
      </c>
      <c r="N88" s="320">
        <f>IFERROR(__xludf.DUMMYFUNCTION("""COMPUTED_VALUE"""),0.3874)</f>
        <v>0.3874</v>
      </c>
      <c r="O88" s="320">
        <f>IFERROR(__xludf.DUMMYFUNCTION("""COMPUTED_VALUE"""),2.5064)</f>
        <v>2.5064</v>
      </c>
      <c r="P88" s="320">
        <f>IFERROR(__xludf.DUMMYFUNCTION("""COMPUTED_VALUE"""),147.69)</f>
        <v>147.69</v>
      </c>
      <c r="Q88" s="320">
        <f>IFERROR(__xludf.DUMMYFUNCTION("""COMPUTED_VALUE"""),120.74)</f>
        <v>120.74</v>
      </c>
      <c r="R88" s="320">
        <f>IFERROR(__xludf.DUMMYFUNCTION("""COMPUTED_VALUE"""),26.95)</f>
        <v>26.95</v>
      </c>
      <c r="S88" s="320">
        <f>IFERROR(__xludf.DUMMYFUNCTION("""COMPUTED_VALUE"""),67.97)</f>
        <v>67.97</v>
      </c>
      <c r="T88" s="320">
        <f>IFERROR(__xludf.DUMMYFUNCTION("""COMPUTED_VALUE"""),79.72)</f>
        <v>79.72</v>
      </c>
      <c r="U88" s="320">
        <f>IFERROR(__xludf.DUMMYFUNCTION("""COMPUTED_VALUE"""),164.89)</f>
        <v>164.89</v>
      </c>
      <c r="V88" s="320">
        <f>IFERROR(__xludf.DUMMYFUNCTION("""COMPUTED_VALUE"""),4.7973)</f>
        <v>4.7973</v>
      </c>
      <c r="W88" s="320">
        <f>IFERROR(__xludf.DUMMYFUNCTION("""COMPUTED_VALUE"""),46.02)</f>
        <v>46.02</v>
      </c>
      <c r="X88" s="320">
        <f>IFERROR(__xludf.DUMMYFUNCTION("""COMPUTED_VALUE"""),83.0)</f>
        <v>83</v>
      </c>
      <c r="Y88" s="320">
        <f>IFERROR(__xludf.DUMMYFUNCTION("""COMPUTED_VALUE"""),178.0)</f>
        <v>178</v>
      </c>
      <c r="Z88" s="320">
        <f>IFERROR(__xludf.DUMMYFUNCTION("""COMPUTED_VALUE"""),653.0)</f>
        <v>653</v>
      </c>
      <c r="AA88" s="320">
        <f>IFERROR(__xludf.DUMMYFUNCTION("""COMPUTED_VALUE"""),52.4284)</f>
        <v>52.4284</v>
      </c>
      <c r="AB88" s="320">
        <f>IFERROR(__xludf.DUMMYFUNCTION("""COMPUTED_VALUE"""),0.5273)</f>
        <v>0.5273</v>
      </c>
      <c r="AC88" s="320">
        <f>IFERROR(__xludf.DUMMYFUNCTION("""COMPUTED_VALUE"""),8.08)</f>
        <v>8.08</v>
      </c>
      <c r="AD88" s="320">
        <f>IFERROR(__xludf.DUMMYFUNCTION("""COMPUTED_VALUE"""),2.0)</f>
        <v>2</v>
      </c>
      <c r="AE88" s="320">
        <f>IFERROR(__xludf.DUMMYFUNCTION("""COMPUTED_VALUE"""),6.0)</f>
        <v>6</v>
      </c>
      <c r="AF88" s="320">
        <f>IFERROR(__xludf.DUMMYFUNCTION("""COMPUTED_VALUE"""),11.0)</f>
        <v>11</v>
      </c>
      <c r="AG88" s="320">
        <f>IFERROR(__xludf.DUMMYFUNCTION("""COMPUTED_VALUE"""),18.0)</f>
        <v>18</v>
      </c>
      <c r="AH88" s="320">
        <f>IFERROR(__xludf.DUMMYFUNCTION("""COMPUTED_VALUE"""),50.39)</f>
        <v>50.39</v>
      </c>
      <c r="AI88" s="320">
        <f>IFERROR(__xludf.DUMMYFUNCTION("""COMPUTED_VALUE"""),21.59)</f>
        <v>21.59</v>
      </c>
      <c r="AJ88" s="320">
        <f>IFERROR(__xludf.DUMMYFUNCTION("""COMPUTED_VALUE"""),3.57)</f>
        <v>3.57</v>
      </c>
      <c r="AK88" s="320">
        <f>IFERROR(__xludf.DUMMYFUNCTION("""COMPUTED_VALUE"""),0.1868)</f>
        <v>0.1868</v>
      </c>
      <c r="AL88" s="320">
        <f>IFERROR(__xludf.DUMMYFUNCTION("""COMPUTED_VALUE"""),19.96)</f>
        <v>19.96</v>
      </c>
      <c r="AM88" s="320">
        <f>IFERROR(__xludf.DUMMYFUNCTION("""COMPUTED_VALUE"""),100.78)</f>
        <v>100.78</v>
      </c>
      <c r="AN88" s="320">
        <f>IFERROR(__xludf.DUMMYFUNCTION("""COMPUTED_VALUE"""),73.75)</f>
        <v>73.75</v>
      </c>
      <c r="AO88" s="320">
        <f>IFERROR(__xludf.DUMMYFUNCTION("""COMPUTED_VALUE"""),14.72)</f>
        <v>14.72</v>
      </c>
    </row>
    <row r="89" ht="15.75" customHeight="1">
      <c r="A89" s="330">
        <f>IFERROR(__xludf.DUMMYFUNCTION("""COMPUTED_VALUE"""),46064.0)</f>
        <v>46064</v>
      </c>
      <c r="B89" s="319" t="str">
        <f>IFERROR(__xludf.DUMMYFUNCTION("""COMPUTED_VALUE"""),"D. 20-39")</f>
        <v>D. 20-39</v>
      </c>
      <c r="C89" s="320">
        <f>IFERROR(__xludf.DUMMYFUNCTION("""COMPUTED_VALUE"""),8910.0)</f>
        <v>8910</v>
      </c>
      <c r="D89" s="320">
        <f>IFERROR(__xludf.DUMMYFUNCTION("""COMPUTED_VALUE"""),11.03)</f>
        <v>11.03</v>
      </c>
      <c r="E89" s="320">
        <f>IFERROR(__xludf.DUMMYFUNCTION("""COMPUTED_VALUE"""),22113.46)</f>
        <v>22113.46</v>
      </c>
      <c r="F89" s="320">
        <f>IFERROR(__xludf.DUMMYFUNCTION("""COMPUTED_VALUE"""),2.4819)</f>
        <v>2.4819</v>
      </c>
      <c r="G89" s="320">
        <f>IFERROR(__xludf.DUMMYFUNCTION("""COMPUTED_VALUE"""),30.94)</f>
        <v>30.94</v>
      </c>
      <c r="H89" s="320">
        <f>IFERROR(__xludf.DUMMYFUNCTION("""COMPUTED_VALUE"""),8.0208)</f>
        <v>8.0208</v>
      </c>
      <c r="I89" s="320">
        <f>IFERROR(__xludf.DUMMYFUNCTION("""COMPUTED_VALUE"""),85.39)</f>
        <v>85.39</v>
      </c>
      <c r="J89" s="320">
        <f>IFERROR(__xludf.DUMMYFUNCTION("""COMPUTED_VALUE"""),50.31)</f>
        <v>50.31</v>
      </c>
      <c r="K89" s="320">
        <f>IFERROR(__xludf.DUMMYFUNCTION("""COMPUTED_VALUE"""),25.36)</f>
        <v>25.36</v>
      </c>
      <c r="L89" s="320">
        <f>IFERROR(__xludf.DUMMYFUNCTION("""COMPUTED_VALUE"""),0.5042)</f>
        <v>0.5042</v>
      </c>
      <c r="M89" s="320">
        <f>IFERROR(__xludf.DUMMYFUNCTION("""COMPUTED_VALUE"""),0.5636)</f>
        <v>0.5636</v>
      </c>
      <c r="N89" s="320">
        <f>IFERROR(__xludf.DUMMYFUNCTION("""COMPUTED_VALUE"""),0.3188)</f>
        <v>0.3188</v>
      </c>
      <c r="O89" s="320">
        <f>IFERROR(__xludf.DUMMYFUNCTION("""COMPUTED_VALUE"""),1.9835)</f>
        <v>1.9835</v>
      </c>
      <c r="P89" s="320">
        <f>IFERROR(__xludf.DUMMYFUNCTION("""COMPUTED_VALUE"""),286.06)</f>
        <v>286.06</v>
      </c>
      <c r="Q89" s="320">
        <f>IFERROR(__xludf.DUMMYFUNCTION("""COMPUTED_VALUE"""),233.68)</f>
        <v>233.68</v>
      </c>
      <c r="R89" s="320">
        <f>IFERROR(__xludf.DUMMYFUNCTION("""COMPUTED_VALUE"""),52.39)</f>
        <v>52.39</v>
      </c>
      <c r="S89" s="320">
        <f>IFERROR(__xludf.DUMMYFUNCTION("""COMPUTED_VALUE"""),160.84)</f>
        <v>160.84</v>
      </c>
      <c r="T89" s="320">
        <f>IFERROR(__xludf.DUMMYFUNCTION("""COMPUTED_VALUE"""),125.22)</f>
        <v>125.22</v>
      </c>
      <c r="U89" s="320">
        <f>IFERROR(__xludf.DUMMYFUNCTION("""COMPUTED_VALUE"""),313.68)</f>
        <v>313.68</v>
      </c>
      <c r="V89" s="320">
        <f>IFERROR(__xludf.DUMMYFUNCTION("""COMPUTED_VALUE"""),6.2349)</f>
        <v>6.2349</v>
      </c>
      <c r="W89" s="320">
        <f>IFERROR(__xludf.DUMMYFUNCTION("""COMPUTED_VALUE"""),56.23)</f>
        <v>56.23</v>
      </c>
      <c r="X89" s="320">
        <f>IFERROR(__xludf.DUMMYFUNCTION("""COMPUTED_VALUE"""),86.0)</f>
        <v>86</v>
      </c>
      <c r="Y89" s="320">
        <f>IFERROR(__xludf.DUMMYFUNCTION("""COMPUTED_VALUE"""),198.0)</f>
        <v>198</v>
      </c>
      <c r="Z89" s="320">
        <f>IFERROR(__xludf.DUMMYFUNCTION("""COMPUTED_VALUE"""),702.0)</f>
        <v>702</v>
      </c>
      <c r="AA89" s="320">
        <f>IFERROR(__xludf.DUMMYFUNCTION("""COMPUTED_VALUE"""),54.4399)</f>
        <v>54.4399</v>
      </c>
      <c r="AB89" s="320">
        <f>IFERROR(__xludf.DUMMYFUNCTION("""COMPUTED_VALUE"""),0.6403)</f>
        <v>0.6403</v>
      </c>
      <c r="AC89" s="320">
        <f>IFERROR(__xludf.DUMMYFUNCTION("""COMPUTED_VALUE"""),15.67)</f>
        <v>15.67</v>
      </c>
      <c r="AD89" s="320">
        <f>IFERROR(__xludf.DUMMYFUNCTION("""COMPUTED_VALUE"""),5.0)</f>
        <v>5</v>
      </c>
      <c r="AE89" s="320">
        <f>IFERROR(__xludf.DUMMYFUNCTION("""COMPUTED_VALUE"""),11.0)</f>
        <v>11</v>
      </c>
      <c r="AF89" s="320">
        <f>IFERROR(__xludf.DUMMYFUNCTION("""COMPUTED_VALUE"""),22.0)</f>
        <v>22</v>
      </c>
      <c r="AG89" s="320">
        <f>IFERROR(__xludf.DUMMYFUNCTION("""COMPUTED_VALUE"""),35.0)</f>
        <v>35</v>
      </c>
      <c r="AH89" s="320">
        <f>IFERROR(__xludf.DUMMYFUNCTION("""COMPUTED_VALUE"""),49.74)</f>
        <v>49.74</v>
      </c>
      <c r="AI89" s="320">
        <f>IFERROR(__xludf.DUMMYFUNCTION("""COMPUTED_VALUE"""),20.01)</f>
        <v>20.01</v>
      </c>
      <c r="AJ89" s="320">
        <f>IFERROR(__xludf.DUMMYFUNCTION("""COMPUTED_VALUE"""),5.81)</f>
        <v>5.81</v>
      </c>
      <c r="AK89" s="320">
        <f>IFERROR(__xludf.DUMMYFUNCTION("""COMPUTED_VALUE"""),0.1861)</f>
        <v>0.1861</v>
      </c>
      <c r="AL89" s="320">
        <f>IFERROR(__xludf.DUMMYFUNCTION("""COMPUTED_VALUE"""),19.23)</f>
        <v>19.23</v>
      </c>
      <c r="AM89" s="320">
        <f>IFERROR(__xludf.DUMMYFUNCTION("""COMPUTED_VALUE"""),214.45)</f>
        <v>214.45</v>
      </c>
      <c r="AN89" s="320">
        <f>IFERROR(__xludf.DUMMYFUNCTION("""COMPUTED_VALUE"""),75.65)</f>
        <v>75.65</v>
      </c>
      <c r="AO89" s="320">
        <f>IFERROR(__xludf.DUMMYFUNCTION("""COMPUTED_VALUE"""),14.55)</f>
        <v>14.55</v>
      </c>
    </row>
    <row r="90" ht="15.75" customHeight="1">
      <c r="A90" s="330">
        <f>IFERROR(__xludf.DUMMYFUNCTION("""COMPUTED_VALUE"""),46064.0)</f>
        <v>46064</v>
      </c>
      <c r="B90" s="319" t="str">
        <f>IFERROR(__xludf.DUMMYFUNCTION("""COMPUTED_VALUE"""),"E. 40-99")</f>
        <v>E. 40-99</v>
      </c>
      <c r="C90" s="320">
        <f>IFERROR(__xludf.DUMMYFUNCTION("""COMPUTED_VALUE"""),3604.0)</f>
        <v>3604</v>
      </c>
      <c r="D90" s="320">
        <f>IFERROR(__xludf.DUMMYFUNCTION("""COMPUTED_VALUE"""),4.46)</f>
        <v>4.46</v>
      </c>
      <c r="E90" s="320">
        <f>IFERROR(__xludf.DUMMYFUNCTION("""COMPUTED_VALUE"""),20974.89)</f>
        <v>20974.89</v>
      </c>
      <c r="F90" s="320">
        <f>IFERROR(__xludf.DUMMYFUNCTION("""COMPUTED_VALUE"""),5.8199)</f>
        <v>5.8199</v>
      </c>
      <c r="G90" s="320">
        <f>IFERROR(__xludf.DUMMYFUNCTION("""COMPUTED_VALUE"""),42.92)</f>
        <v>42.92</v>
      </c>
      <c r="H90" s="320">
        <f>IFERROR(__xludf.DUMMYFUNCTION("""COMPUTED_VALUE"""),13.5584)</f>
        <v>13.5584</v>
      </c>
      <c r="I90" s="320">
        <f>IFERROR(__xludf.DUMMYFUNCTION("""COMPUTED_VALUE"""),130.84)</f>
        <v>130.84</v>
      </c>
      <c r="J90" s="320">
        <f>IFERROR(__xludf.DUMMYFUNCTION("""COMPUTED_VALUE"""),79.88)</f>
        <v>79.88</v>
      </c>
      <c r="K90" s="320">
        <f>IFERROR(__xludf.DUMMYFUNCTION("""COMPUTED_VALUE"""),51.13)</f>
        <v>51.13</v>
      </c>
      <c r="L90" s="320">
        <f>IFERROR(__xludf.DUMMYFUNCTION("""COMPUTED_VALUE"""),0.6401)</f>
        <v>0.6401</v>
      </c>
      <c r="M90" s="320">
        <f>IFERROR(__xludf.DUMMYFUNCTION("""COMPUTED_VALUE"""),0.4419)</f>
        <v>0.4419</v>
      </c>
      <c r="N90" s="320">
        <f>IFERROR(__xludf.DUMMYFUNCTION("""COMPUTED_VALUE"""),0.2478)</f>
        <v>0.2478</v>
      </c>
      <c r="O90" s="320">
        <f>IFERROR(__xludf.DUMMYFUNCTION("""COMPUTED_VALUE"""),1.5622)</f>
        <v>1.5622</v>
      </c>
      <c r="P90" s="320">
        <f>IFERROR(__xludf.DUMMYFUNCTION("""COMPUTED_VALUE"""),576.21)</f>
        <v>576.21</v>
      </c>
      <c r="Q90" s="320">
        <f>IFERROR(__xludf.DUMMYFUNCTION("""COMPUTED_VALUE"""),468.65)</f>
        <v>468.65</v>
      </c>
      <c r="R90" s="320">
        <f>IFERROR(__xludf.DUMMYFUNCTION("""COMPUTED_VALUE"""),107.56)</f>
        <v>107.56</v>
      </c>
      <c r="S90" s="320">
        <f>IFERROR(__xludf.DUMMYFUNCTION("""COMPUTED_VALUE"""),362.64)</f>
        <v>362.64</v>
      </c>
      <c r="T90" s="320">
        <f>IFERROR(__xludf.DUMMYFUNCTION("""COMPUTED_VALUE"""),213.57)</f>
        <v>213.57</v>
      </c>
      <c r="U90" s="320">
        <f>IFERROR(__xludf.DUMMYFUNCTION("""COMPUTED_VALUE"""),629.7)</f>
        <v>629.7</v>
      </c>
      <c r="V90" s="320">
        <f>IFERROR(__xludf.DUMMYFUNCTION("""COMPUTED_VALUE"""),7.883)</f>
        <v>7.883</v>
      </c>
      <c r="W90" s="320">
        <f>IFERROR(__xludf.DUMMYFUNCTION("""COMPUTED_VALUE"""),62.94)</f>
        <v>62.94</v>
      </c>
      <c r="X90" s="320">
        <f>IFERROR(__xludf.DUMMYFUNCTION("""COMPUTED_VALUE"""),91.0)</f>
        <v>91</v>
      </c>
      <c r="Y90" s="320">
        <f>IFERROR(__xludf.DUMMYFUNCTION("""COMPUTED_VALUE"""),266.0)</f>
        <v>266</v>
      </c>
      <c r="Z90" s="320">
        <f>IFERROR(__xludf.DUMMYFUNCTION("""COMPUTED_VALUE"""),975.0)</f>
        <v>975</v>
      </c>
      <c r="AA90" s="320">
        <f>IFERROR(__xludf.DUMMYFUNCTION("""COMPUTED_VALUE"""),57.6036)</f>
        <v>57.6036</v>
      </c>
      <c r="AB90" s="320">
        <f>IFERROR(__xludf.DUMMYFUNCTION("""COMPUTED_VALUE"""),0.7454)</f>
        <v>0.7454</v>
      </c>
      <c r="AC90" s="320">
        <f>IFERROR(__xludf.DUMMYFUNCTION("""COMPUTED_VALUE"""),33.37)</f>
        <v>33.37</v>
      </c>
      <c r="AD90" s="320">
        <f>IFERROR(__xludf.DUMMYFUNCTION("""COMPUTED_VALUE"""),10.0)</f>
        <v>10</v>
      </c>
      <c r="AE90" s="320">
        <f>IFERROR(__xludf.DUMMYFUNCTION("""COMPUTED_VALUE"""),24.0)</f>
        <v>24</v>
      </c>
      <c r="AF90" s="320">
        <f>IFERROR(__xludf.DUMMYFUNCTION("""COMPUTED_VALUE"""),48.0)</f>
        <v>48</v>
      </c>
      <c r="AG90" s="320">
        <f>IFERROR(__xludf.DUMMYFUNCTION("""COMPUTED_VALUE"""),76.0)</f>
        <v>76</v>
      </c>
      <c r="AH90" s="320">
        <f>IFERROR(__xludf.DUMMYFUNCTION("""COMPUTED_VALUE"""),44.87)</f>
        <v>44.87</v>
      </c>
      <c r="AI90" s="320">
        <f>IFERROR(__xludf.DUMMYFUNCTION("""COMPUTED_VALUE"""),16.79)</f>
        <v>16.79</v>
      </c>
      <c r="AJ90" s="320">
        <f>IFERROR(__xludf.DUMMYFUNCTION("""COMPUTED_VALUE"""),4.41)</f>
        <v>4.41</v>
      </c>
      <c r="AK90" s="320">
        <f>IFERROR(__xludf.DUMMYFUNCTION("""COMPUTED_VALUE"""),0.1651)</f>
        <v>0.1651</v>
      </c>
      <c r="AL90" s="320">
        <f>IFERROR(__xludf.DUMMYFUNCTION("""COMPUTED_VALUE"""),19.38)</f>
        <v>19.38</v>
      </c>
      <c r="AM90" s="320">
        <f>IFERROR(__xludf.DUMMYFUNCTION("""COMPUTED_VALUE"""),449.27)</f>
        <v>449.27</v>
      </c>
      <c r="AN90" s="320">
        <f>IFERROR(__xludf.DUMMYFUNCTION("""COMPUTED_VALUE"""),76.99)</f>
        <v>76.99</v>
      </c>
      <c r="AO90" s="320">
        <f>IFERROR(__xludf.DUMMYFUNCTION("""COMPUTED_VALUE"""),14.92)</f>
        <v>14.92</v>
      </c>
    </row>
    <row r="91" ht="15.75" customHeight="1">
      <c r="A91" s="330">
        <f>IFERROR(__xludf.DUMMYFUNCTION("""COMPUTED_VALUE"""),46064.0)</f>
        <v>46064</v>
      </c>
      <c r="B91" s="319" t="str">
        <f>IFERROR(__xludf.DUMMYFUNCTION("""COMPUTED_VALUE"""),"F. 100+")</f>
        <v>F. 100+</v>
      </c>
      <c r="C91" s="320">
        <f>IFERROR(__xludf.DUMMYFUNCTION("""COMPUTED_VALUE"""),388.0)</f>
        <v>388</v>
      </c>
      <c r="D91" s="320">
        <f>IFERROR(__xludf.DUMMYFUNCTION("""COMPUTED_VALUE"""),0.48)</f>
        <v>0.48</v>
      </c>
      <c r="E91" s="320">
        <f>IFERROR(__xludf.DUMMYFUNCTION("""COMPUTED_VALUE"""),4295.81)</f>
        <v>4295.81</v>
      </c>
      <c r="F91" s="320">
        <f>IFERROR(__xludf.DUMMYFUNCTION("""COMPUTED_VALUE"""),11.0717)</f>
        <v>11.0717</v>
      </c>
      <c r="G91" s="320">
        <f>IFERROR(__xludf.DUMMYFUNCTION("""COMPUTED_VALUE"""),45.62)</f>
        <v>45.62</v>
      </c>
      <c r="H91" s="320">
        <f>IFERROR(__xludf.DUMMYFUNCTION("""COMPUTED_VALUE"""),24.2701)</f>
        <v>24.2701</v>
      </c>
      <c r="I91" s="320">
        <f>IFERROR(__xludf.DUMMYFUNCTION("""COMPUTED_VALUE"""),245.62)</f>
        <v>245.62</v>
      </c>
      <c r="J91" s="320">
        <f>IFERROR(__xludf.DUMMYFUNCTION("""COMPUTED_VALUE"""),159.07)</f>
        <v>159.07</v>
      </c>
      <c r="K91" s="320">
        <f>IFERROR(__xludf.DUMMYFUNCTION("""COMPUTED_VALUE"""),126.8)</f>
        <v>126.8</v>
      </c>
      <c r="L91" s="320">
        <f>IFERROR(__xludf.DUMMYFUNCTION("""COMPUTED_VALUE"""),0.7972)</f>
        <v>0.7972</v>
      </c>
      <c r="M91" s="320">
        <f>IFERROR(__xludf.DUMMYFUNCTION("""COMPUTED_VALUE"""),0.2872)</f>
        <v>0.2872</v>
      </c>
      <c r="N91" s="320">
        <f>IFERROR(__xludf.DUMMYFUNCTION("""COMPUTED_VALUE"""),0.1719)</f>
        <v>0.1719</v>
      </c>
      <c r="O91" s="320">
        <f>IFERROR(__xludf.DUMMYFUNCTION("""COMPUTED_VALUE"""),1.2545)</f>
        <v>1.2545</v>
      </c>
      <c r="P91" s="320">
        <f>IFERROR(__xludf.DUMMYFUNCTION("""COMPUTED_VALUE"""),1160.95)</f>
        <v>1160.95</v>
      </c>
      <c r="Q91" s="320">
        <f>IFERROR(__xludf.DUMMYFUNCTION("""COMPUTED_VALUE"""),894.98)</f>
        <v>894.98</v>
      </c>
      <c r="R91" s="320">
        <f>IFERROR(__xludf.DUMMYFUNCTION("""COMPUTED_VALUE"""),265.97)</f>
        <v>265.97</v>
      </c>
      <c r="S91" s="320">
        <f>IFERROR(__xludf.DUMMYFUNCTION("""COMPUTED_VALUE"""),712.6)</f>
        <v>712.6</v>
      </c>
      <c r="T91" s="320">
        <f>IFERROR(__xludf.DUMMYFUNCTION("""COMPUTED_VALUE"""),448.35)</f>
        <v>448.35</v>
      </c>
      <c r="U91" s="320">
        <f>IFERROR(__xludf.DUMMYFUNCTION("""COMPUTED_VALUE"""),1290.21)</f>
        <v>1290.21</v>
      </c>
      <c r="V91" s="320">
        <f>IFERROR(__xludf.DUMMYFUNCTION("""COMPUTED_VALUE"""),8.1111)</f>
        <v>8.1111</v>
      </c>
      <c r="W91" s="320">
        <f>IFERROR(__xludf.DUMMYFUNCTION("""COMPUTED_VALUE"""),61.38)</f>
        <v>61.38</v>
      </c>
      <c r="X91" s="320">
        <f>IFERROR(__xludf.DUMMYFUNCTION("""COMPUTED_VALUE"""),144.0)</f>
        <v>144</v>
      </c>
      <c r="Y91" s="320">
        <f>IFERROR(__xludf.DUMMYFUNCTION("""COMPUTED_VALUE"""),613.0)</f>
        <v>613</v>
      </c>
      <c r="Z91" s="320">
        <f>IFERROR(__xludf.DUMMYFUNCTION("""COMPUTED_VALUE"""),2691.0)</f>
        <v>2691</v>
      </c>
      <c r="AA91" s="320">
        <f>IFERROR(__xludf.DUMMYFUNCTION("""COMPUTED_VALUE"""),61.5603)</f>
        <v>61.5603</v>
      </c>
      <c r="AB91" s="320">
        <f>IFERROR(__xludf.DUMMYFUNCTION("""COMPUTED_VALUE"""),0.8046)</f>
        <v>0.8046</v>
      </c>
      <c r="AC91" s="320">
        <f>IFERROR(__xludf.DUMMYFUNCTION("""COMPUTED_VALUE"""),84.46)</f>
        <v>84.46</v>
      </c>
      <c r="AD91" s="320">
        <f>IFERROR(__xludf.DUMMYFUNCTION("""COMPUTED_VALUE"""),29.0)</f>
        <v>29</v>
      </c>
      <c r="AE91" s="320">
        <f>IFERROR(__xludf.DUMMYFUNCTION("""COMPUTED_VALUE"""),63.0)</f>
        <v>63</v>
      </c>
      <c r="AF91" s="320">
        <f>IFERROR(__xludf.DUMMYFUNCTION("""COMPUTED_VALUE"""),122.0)</f>
        <v>122</v>
      </c>
      <c r="AG91" s="320">
        <f>IFERROR(__xludf.DUMMYFUNCTION("""COMPUTED_VALUE"""),185.0)</f>
        <v>185</v>
      </c>
      <c r="AH91" s="320">
        <f>IFERROR(__xludf.DUMMYFUNCTION("""COMPUTED_VALUE"""),44.85)</f>
        <v>44.85</v>
      </c>
      <c r="AI91" s="320">
        <f>IFERROR(__xludf.DUMMYFUNCTION("""COMPUTED_VALUE"""),11.6)</f>
        <v>11.6</v>
      </c>
      <c r="AJ91" s="320">
        <f>IFERROR(__xludf.DUMMYFUNCTION("""COMPUTED_VALUE"""),1.03)</f>
        <v>1.03</v>
      </c>
      <c r="AK91" s="320">
        <f>IFERROR(__xludf.DUMMYFUNCTION("""COMPUTED_VALUE"""),0.1005)</f>
        <v>0.1005</v>
      </c>
      <c r="AL91" s="320">
        <f>IFERROR(__xludf.DUMMYFUNCTION("""COMPUTED_VALUE"""),22.68)</f>
        <v>22.68</v>
      </c>
      <c r="AM91" s="320">
        <f>IFERROR(__xludf.DUMMYFUNCTION("""COMPUTED_VALUE"""),872.3)</f>
        <v>872.3</v>
      </c>
      <c r="AN91" s="320">
        <f>IFERROR(__xludf.DUMMYFUNCTION("""COMPUTED_VALUE"""),71.76)</f>
        <v>71.76</v>
      </c>
      <c r="AO91" s="320">
        <f>IFERROR(__xludf.DUMMYFUNCTION("""COMPUTED_VALUE"""),16.28)</f>
        <v>16.28</v>
      </c>
    </row>
    <row r="92" ht="15.75" customHeight="1">
      <c r="A92" s="330">
        <f>IFERROR(__xludf.DUMMYFUNCTION("""COMPUTED_VALUE"""),46065.0)</f>
        <v>46065</v>
      </c>
      <c r="B92" s="319" t="str">
        <f>IFERROR(__xludf.DUMMYFUNCTION("""COMPUTED_VALUE"""),"A. 0")</f>
        <v>A. 0</v>
      </c>
      <c r="C92" s="320">
        <f>IFERROR(__xludf.DUMMYFUNCTION("""COMPUTED_VALUE"""),17586.0)</f>
        <v>17586</v>
      </c>
      <c r="D92" s="320">
        <f>IFERROR(__xludf.DUMMYFUNCTION("""COMPUTED_VALUE"""),22.15)</f>
        <v>22.15</v>
      </c>
      <c r="E92" s="320">
        <f>IFERROR(__xludf.DUMMYFUNCTION("""COMPUTED_VALUE"""),141.91)</f>
        <v>141.91</v>
      </c>
      <c r="F92" s="320">
        <f>IFERROR(__xludf.DUMMYFUNCTION("""COMPUTED_VALUE"""),0.0081)</f>
        <v>0.0081</v>
      </c>
      <c r="G92" s="320">
        <f>IFERROR(__xludf.DUMMYFUNCTION("""COMPUTED_VALUE"""),0.18)</f>
        <v>0.18</v>
      </c>
      <c r="H92" s="320">
        <f>IFERROR(__xludf.DUMMYFUNCTION("""COMPUTED_VALUE"""),4.5777)</f>
        <v>4.5777</v>
      </c>
      <c r="I92" s="320">
        <f>IFERROR(__xludf.DUMMYFUNCTION("""COMPUTED_VALUE"""),6.24)</f>
        <v>6.24</v>
      </c>
      <c r="J92" s="320">
        <f>IFERROR(__xludf.DUMMYFUNCTION("""COMPUTED_VALUE"""),2.9)</f>
        <v>2.9</v>
      </c>
      <c r="K92" s="320">
        <f>IFERROR(__xludf.DUMMYFUNCTION("""COMPUTED_VALUE"""),0.07)</f>
        <v>0.07</v>
      </c>
      <c r="L92" s="320">
        <f>IFERROR(__xludf.DUMMYFUNCTION("""COMPUTED_VALUE"""),0.0238)</f>
        <v>0.0238</v>
      </c>
      <c r="M92" s="320">
        <f>IFERROR(__xludf.DUMMYFUNCTION("""COMPUTED_VALUE"""),0.9775)</f>
        <v>0.9775</v>
      </c>
      <c r="N92" s="320">
        <f>IFERROR(__xludf.DUMMYFUNCTION("""COMPUTED_VALUE"""),0.7179)</f>
        <v>0.7179</v>
      </c>
      <c r="O92" s="320">
        <f>IFERROR(__xludf.DUMMYFUNCTION("""COMPUTED_VALUE"""),42.0916)</f>
        <v>42.0916</v>
      </c>
      <c r="P92" s="320">
        <f>IFERROR(__xludf.DUMMYFUNCTION("""COMPUTED_VALUE"""),23.78)</f>
        <v>23.78</v>
      </c>
      <c r="Q92" s="320">
        <f>IFERROR(__xludf.DUMMYFUNCTION("""COMPUTED_VALUE"""),23.71)</f>
        <v>23.71</v>
      </c>
      <c r="R92" s="320">
        <f>IFERROR(__xludf.DUMMYFUNCTION("""COMPUTED_VALUE"""),0.07)</f>
        <v>0.07</v>
      </c>
      <c r="S92" s="320">
        <f>IFERROR(__xludf.DUMMYFUNCTION("""COMPUTED_VALUE"""),0.53)</f>
        <v>0.53</v>
      </c>
      <c r="T92" s="320">
        <f>IFERROR(__xludf.DUMMYFUNCTION("""COMPUTED_VALUE"""),23.25)</f>
        <v>23.25</v>
      </c>
      <c r="U92" s="320">
        <f>IFERROR(__xludf.DUMMYFUNCTION("""COMPUTED_VALUE"""),2.06)</f>
        <v>2.06</v>
      </c>
      <c r="V92" s="320">
        <f>IFERROR(__xludf.DUMMYFUNCTION("""COMPUTED_VALUE"""),0.7086)</f>
        <v>0.7086</v>
      </c>
      <c r="W92" s="320">
        <f>IFERROR(__xludf.DUMMYFUNCTION("""COMPUTED_VALUE"""),2.22)</f>
        <v>2.22</v>
      </c>
      <c r="X92" s="320">
        <f>IFERROR(__xludf.DUMMYFUNCTION("""COMPUTED_VALUE"""),139.0)</f>
        <v>139</v>
      </c>
      <c r="Y92" s="320">
        <f>IFERROR(__xludf.DUMMYFUNCTION("""COMPUTED_VALUE"""),898.0)</f>
        <v>898</v>
      </c>
      <c r="Z92" s="320">
        <f>IFERROR(__xludf.DUMMYFUNCTION("""COMPUTED_VALUE"""),6471.0)</f>
        <v>6471</v>
      </c>
      <c r="AA92" s="320">
        <f>IFERROR(__xludf.DUMMYFUNCTION("""COMPUTED_VALUE"""),49.5704)</f>
        <v>49.5704</v>
      </c>
      <c r="AB92" s="320">
        <f>IFERROR(__xludf.DUMMYFUNCTION("""COMPUTED_VALUE"""),0.5082)</f>
        <v>0.5082</v>
      </c>
      <c r="AC92" s="106"/>
      <c r="AD92" s="106"/>
      <c r="AE92" s="106"/>
      <c r="AF92" s="106"/>
      <c r="AG92" s="106"/>
      <c r="AH92" s="320">
        <f>IFERROR(__xludf.DUMMYFUNCTION("""COMPUTED_VALUE"""),0.0)</f>
        <v>0</v>
      </c>
      <c r="AI92" s="320">
        <f>IFERROR(__xludf.DUMMYFUNCTION("""COMPUTED_VALUE"""),0.0)</f>
        <v>0</v>
      </c>
      <c r="AJ92" s="320">
        <f>IFERROR(__xludf.DUMMYFUNCTION("""COMPUTED_VALUE"""),0.0)</f>
        <v>0</v>
      </c>
      <c r="AK92" s="320">
        <f>IFERROR(__xludf.DUMMYFUNCTION("""COMPUTED_VALUE"""),0.2782)</f>
        <v>0.2782</v>
      </c>
      <c r="AL92" s="320">
        <f>IFERROR(__xludf.DUMMYFUNCTION("""COMPUTED_VALUE"""),15.72)</f>
        <v>15.72</v>
      </c>
      <c r="AM92" s="320">
        <f>IFERROR(__xludf.DUMMYFUNCTION("""COMPUTED_VALUE"""),7.99)</f>
        <v>7.99</v>
      </c>
      <c r="AN92" s="331"/>
      <c r="AO92" s="331"/>
    </row>
    <row r="93" ht="15.75" customHeight="1">
      <c r="A93" s="330">
        <f>IFERROR(__xludf.DUMMYFUNCTION("""COMPUTED_VALUE"""),46065.0)</f>
        <v>46065</v>
      </c>
      <c r="B93" s="319" t="str">
        <f>IFERROR(__xludf.DUMMYFUNCTION("""COMPUTED_VALUE"""),"B. 1-9")</f>
        <v>B. 1-9</v>
      </c>
      <c r="C93" s="320">
        <f>IFERROR(__xludf.DUMMYFUNCTION("""COMPUTED_VALUE"""),32773.0)</f>
        <v>32773</v>
      </c>
      <c r="D93" s="320">
        <f>IFERROR(__xludf.DUMMYFUNCTION("""COMPUTED_VALUE"""),41.27)</f>
        <v>41.27</v>
      </c>
      <c r="E93" s="320">
        <f>IFERROR(__xludf.DUMMYFUNCTION("""COMPUTED_VALUE"""),8127.79)</f>
        <v>8127.79</v>
      </c>
      <c r="F93" s="320">
        <f>IFERROR(__xludf.DUMMYFUNCTION("""COMPUTED_VALUE"""),0.248)</f>
        <v>0.248</v>
      </c>
      <c r="G93" s="320">
        <f>IFERROR(__xludf.DUMMYFUNCTION("""COMPUTED_VALUE"""),6.89)</f>
        <v>6.89</v>
      </c>
      <c r="H93" s="320">
        <f>IFERROR(__xludf.DUMMYFUNCTION("""COMPUTED_VALUE"""),3.598)</f>
        <v>3.598</v>
      </c>
      <c r="I93" s="320">
        <f>IFERROR(__xludf.DUMMYFUNCTION("""COMPUTED_VALUE"""),28.64)</f>
        <v>28.64</v>
      </c>
      <c r="J93" s="320">
        <f>IFERROR(__xludf.DUMMYFUNCTION("""COMPUTED_VALUE"""),15.14)</f>
        <v>15.14</v>
      </c>
      <c r="K93" s="320">
        <f>IFERROR(__xludf.DUMMYFUNCTION("""COMPUTED_VALUE"""),4.91)</f>
        <v>4.91</v>
      </c>
      <c r="L93" s="320">
        <f>IFERROR(__xludf.DUMMYFUNCTION("""COMPUTED_VALUE"""),0.3243)</f>
        <v>0.3243</v>
      </c>
      <c r="M93" s="320">
        <f>IFERROR(__xludf.DUMMYFUNCTION("""COMPUTED_VALUE"""),0.7507)</f>
        <v>0.7507</v>
      </c>
      <c r="N93" s="320">
        <f>IFERROR(__xludf.DUMMYFUNCTION("""COMPUTED_VALUE"""),0.5234)</f>
        <v>0.5234</v>
      </c>
      <c r="O93" s="320">
        <f>IFERROR(__xludf.DUMMYFUNCTION("""COMPUTED_VALUE"""),3.0832)</f>
        <v>3.0832</v>
      </c>
      <c r="P93" s="320">
        <f>IFERROR(__xludf.DUMMYFUNCTION("""COMPUTED_VALUE"""),64.59)</f>
        <v>64.59</v>
      </c>
      <c r="Q93" s="320">
        <f>IFERROR(__xludf.DUMMYFUNCTION("""COMPUTED_VALUE"""),54.42)</f>
        <v>54.42</v>
      </c>
      <c r="R93" s="320">
        <f>IFERROR(__xludf.DUMMYFUNCTION("""COMPUTED_VALUE"""),10.17)</f>
        <v>10.17</v>
      </c>
      <c r="S93" s="320">
        <f>IFERROR(__xludf.DUMMYFUNCTION("""COMPUTED_VALUE"""),16.33)</f>
        <v>16.33</v>
      </c>
      <c r="T93" s="320">
        <f>IFERROR(__xludf.DUMMYFUNCTION("""COMPUTED_VALUE"""),48.26)</f>
        <v>48.26</v>
      </c>
      <c r="U93" s="320">
        <f>IFERROR(__xludf.DUMMYFUNCTION("""COMPUTED_VALUE"""),69.09)</f>
        <v>69.09</v>
      </c>
      <c r="V93" s="320">
        <f>IFERROR(__xludf.DUMMYFUNCTION("""COMPUTED_VALUE"""),4.5621)</f>
        <v>4.5621</v>
      </c>
      <c r="W93" s="320">
        <f>IFERROR(__xludf.DUMMYFUNCTION("""COMPUTED_VALUE"""),25.28)</f>
        <v>25.28</v>
      </c>
      <c r="X93" s="320">
        <f>IFERROR(__xludf.DUMMYFUNCTION("""COMPUTED_VALUE"""),84.0)</f>
        <v>84</v>
      </c>
      <c r="Y93" s="320">
        <f>IFERROR(__xludf.DUMMYFUNCTION("""COMPUTED_VALUE"""),200.0)</f>
        <v>200</v>
      </c>
      <c r="Z93" s="320">
        <f>IFERROR(__xludf.DUMMYFUNCTION("""COMPUTED_VALUE"""),831.0)</f>
        <v>831</v>
      </c>
      <c r="AA93" s="320">
        <f>IFERROR(__xludf.DUMMYFUNCTION("""COMPUTED_VALUE"""),49.7075)</f>
        <v>49.7075</v>
      </c>
      <c r="AB93" s="320">
        <f>IFERROR(__xludf.DUMMYFUNCTION("""COMPUTED_VALUE"""),0.4511)</f>
        <v>0.4511</v>
      </c>
      <c r="AC93" s="320">
        <f>IFERROR(__xludf.DUMMYFUNCTION("""COMPUTED_VALUE"""),3.36)</f>
        <v>3.36</v>
      </c>
      <c r="AD93" s="320">
        <f>IFERROR(__xludf.DUMMYFUNCTION("""COMPUTED_VALUE"""),1.0)</f>
        <v>1</v>
      </c>
      <c r="AE93" s="320">
        <f>IFERROR(__xludf.DUMMYFUNCTION("""COMPUTED_VALUE"""),2.0)</f>
        <v>2</v>
      </c>
      <c r="AF93" s="320">
        <f>IFERROR(__xludf.DUMMYFUNCTION("""COMPUTED_VALUE"""),4.0)</f>
        <v>4</v>
      </c>
      <c r="AG93" s="320">
        <f>IFERROR(__xludf.DUMMYFUNCTION("""COMPUTED_VALUE"""),8.0)</f>
        <v>8</v>
      </c>
      <c r="AH93" s="320">
        <f>IFERROR(__xludf.DUMMYFUNCTION("""COMPUTED_VALUE"""),63.89)</f>
        <v>63.89</v>
      </c>
      <c r="AI93" s="320">
        <f>IFERROR(__xludf.DUMMYFUNCTION("""COMPUTED_VALUE"""),23.22)</f>
        <v>23.22</v>
      </c>
      <c r="AJ93" s="320">
        <f>IFERROR(__xludf.DUMMYFUNCTION("""COMPUTED_VALUE"""),6.39)</f>
        <v>6.39</v>
      </c>
      <c r="AK93" s="320">
        <f>IFERROR(__xludf.DUMMYFUNCTION("""COMPUTED_VALUE"""),0.2312)</f>
        <v>0.2312</v>
      </c>
      <c r="AL93" s="320">
        <f>IFERROR(__xludf.DUMMYFUNCTION("""COMPUTED_VALUE"""),20.42)</f>
        <v>20.42</v>
      </c>
      <c r="AM93" s="320">
        <f>IFERROR(__xludf.DUMMYFUNCTION("""COMPUTED_VALUE"""),34.0)</f>
        <v>34</v>
      </c>
      <c r="AN93" s="320">
        <f>IFERROR(__xludf.DUMMYFUNCTION("""COMPUTED_VALUE"""),68.67)</f>
        <v>68.67</v>
      </c>
      <c r="AO93" s="320">
        <f>IFERROR(__xludf.DUMMYFUNCTION("""COMPUTED_VALUE"""),14.02)</f>
        <v>14.02</v>
      </c>
    </row>
    <row r="94" ht="15.75" customHeight="1">
      <c r="A94" s="330">
        <f>IFERROR(__xludf.DUMMYFUNCTION("""COMPUTED_VALUE"""),46065.0)</f>
        <v>46065</v>
      </c>
      <c r="B94" s="319" t="str">
        <f>IFERROR(__xludf.DUMMYFUNCTION("""COMPUTED_VALUE"""),"C. 10-19")</f>
        <v>C. 10-19</v>
      </c>
      <c r="C94" s="320">
        <f>IFERROR(__xludf.DUMMYFUNCTION("""COMPUTED_VALUE"""),16514.0)</f>
        <v>16514</v>
      </c>
      <c r="D94" s="320">
        <f>IFERROR(__xludf.DUMMYFUNCTION("""COMPUTED_VALUE"""),20.8)</f>
        <v>20.8</v>
      </c>
      <c r="E94" s="320">
        <f>IFERROR(__xludf.DUMMYFUNCTION("""COMPUTED_VALUE"""),16501.99)</f>
        <v>16501.99</v>
      </c>
      <c r="F94" s="320">
        <f>IFERROR(__xludf.DUMMYFUNCTION("""COMPUTED_VALUE"""),0.9993)</f>
        <v>0.9993</v>
      </c>
      <c r="G94" s="320">
        <f>IFERROR(__xludf.DUMMYFUNCTION("""COMPUTED_VALUE"""),19.98)</f>
        <v>19.98</v>
      </c>
      <c r="H94" s="320">
        <f>IFERROR(__xludf.DUMMYFUNCTION("""COMPUTED_VALUE"""),5.0006)</f>
        <v>5.0006</v>
      </c>
      <c r="I94" s="320">
        <f>IFERROR(__xludf.DUMMYFUNCTION("""COMPUTED_VALUE"""),52.09)</f>
        <v>52.09</v>
      </c>
      <c r="J94" s="320">
        <f>IFERROR(__xludf.DUMMYFUNCTION("""COMPUTED_VALUE"""),28.98)</f>
        <v>28.98</v>
      </c>
      <c r="K94" s="320">
        <f>IFERROR(__xludf.DUMMYFUNCTION("""COMPUTED_VALUE"""),12.78)</f>
        <v>12.78</v>
      </c>
      <c r="L94" s="320">
        <f>IFERROR(__xludf.DUMMYFUNCTION("""COMPUTED_VALUE"""),0.441)</f>
        <v>0.441</v>
      </c>
      <c r="M94" s="320">
        <f>IFERROR(__xludf.DUMMYFUNCTION("""COMPUTED_VALUE"""),0.6275)</f>
        <v>0.6275</v>
      </c>
      <c r="N94" s="320">
        <f>IFERROR(__xludf.DUMMYFUNCTION("""COMPUTED_VALUE"""),0.3718)</f>
        <v>0.3718</v>
      </c>
      <c r="O94" s="320">
        <f>IFERROR(__xludf.DUMMYFUNCTION("""COMPUTED_VALUE"""),2.2676)</f>
        <v>2.2676</v>
      </c>
      <c r="P94" s="320">
        <f>IFERROR(__xludf.DUMMYFUNCTION("""COMPUTED_VALUE"""),160.95)</f>
        <v>160.95</v>
      </c>
      <c r="Q94" s="320">
        <f>IFERROR(__xludf.DUMMYFUNCTION("""COMPUTED_VALUE"""),135.03)</f>
        <v>135.03</v>
      </c>
      <c r="R94" s="320">
        <f>IFERROR(__xludf.DUMMYFUNCTION("""COMPUTED_VALUE"""),25.92)</f>
        <v>25.92</v>
      </c>
      <c r="S94" s="320">
        <f>IFERROR(__xludf.DUMMYFUNCTION("""COMPUTED_VALUE"""),66.51)</f>
        <v>66.51</v>
      </c>
      <c r="T94" s="320">
        <f>IFERROR(__xludf.DUMMYFUNCTION("""COMPUTED_VALUE"""),94.44)</f>
        <v>94.44</v>
      </c>
      <c r="U94" s="320">
        <f>IFERROR(__xludf.DUMMYFUNCTION("""COMPUTED_VALUE"""),162.0)</f>
        <v>162</v>
      </c>
      <c r="V94" s="320">
        <f>IFERROR(__xludf.DUMMYFUNCTION("""COMPUTED_VALUE"""),5.5909)</f>
        <v>5.5909</v>
      </c>
      <c r="W94" s="320">
        <f>IFERROR(__xludf.DUMMYFUNCTION("""COMPUTED_VALUE"""),41.32)</f>
        <v>41.32</v>
      </c>
      <c r="X94" s="320">
        <f>IFERROR(__xludf.DUMMYFUNCTION("""COMPUTED_VALUE"""),82.0)</f>
        <v>82</v>
      </c>
      <c r="Y94" s="320">
        <f>IFERROR(__xludf.DUMMYFUNCTION("""COMPUTED_VALUE"""),185.0)</f>
        <v>185</v>
      </c>
      <c r="Z94" s="320">
        <f>IFERROR(__xludf.DUMMYFUNCTION("""COMPUTED_VALUE"""),645.0)</f>
        <v>645</v>
      </c>
      <c r="AA94" s="320">
        <f>IFERROR(__xludf.DUMMYFUNCTION("""COMPUTED_VALUE"""),52.5589)</f>
        <v>52.5589</v>
      </c>
      <c r="AB94" s="320">
        <f>IFERROR(__xludf.DUMMYFUNCTION("""COMPUTED_VALUE"""),0.5382)</f>
        <v>0.5382</v>
      </c>
      <c r="AC94" s="320">
        <f>IFERROR(__xludf.DUMMYFUNCTION("""COMPUTED_VALUE"""),8.13)</f>
        <v>8.13</v>
      </c>
      <c r="AD94" s="320">
        <f>IFERROR(__xludf.DUMMYFUNCTION("""COMPUTED_VALUE"""),2.0)</f>
        <v>2</v>
      </c>
      <c r="AE94" s="320">
        <f>IFERROR(__xludf.DUMMYFUNCTION("""COMPUTED_VALUE"""),5.0)</f>
        <v>5</v>
      </c>
      <c r="AF94" s="320">
        <f>IFERROR(__xludf.DUMMYFUNCTION("""COMPUTED_VALUE"""),11.0)</f>
        <v>11</v>
      </c>
      <c r="AG94" s="320">
        <f>IFERROR(__xludf.DUMMYFUNCTION("""COMPUTED_VALUE"""),18.0)</f>
        <v>18</v>
      </c>
      <c r="AH94" s="320">
        <f>IFERROR(__xludf.DUMMYFUNCTION("""COMPUTED_VALUE"""),50.03)</f>
        <v>50.03</v>
      </c>
      <c r="AI94" s="320">
        <f>IFERROR(__xludf.DUMMYFUNCTION("""COMPUTED_VALUE"""),21.2)</f>
        <v>21.2</v>
      </c>
      <c r="AJ94" s="320">
        <f>IFERROR(__xludf.DUMMYFUNCTION("""COMPUTED_VALUE"""),3.94)</f>
        <v>3.94</v>
      </c>
      <c r="AK94" s="320">
        <f>IFERROR(__xludf.DUMMYFUNCTION("""COMPUTED_VALUE"""),0.1991)</f>
        <v>0.1991</v>
      </c>
      <c r="AL94" s="320">
        <f>IFERROR(__xludf.DUMMYFUNCTION("""COMPUTED_VALUE"""),20.56)</f>
        <v>20.56</v>
      </c>
      <c r="AM94" s="320">
        <f>IFERROR(__xludf.DUMMYFUNCTION("""COMPUTED_VALUE"""),114.47)</f>
        <v>114.47</v>
      </c>
      <c r="AN94" s="320">
        <f>IFERROR(__xludf.DUMMYFUNCTION("""COMPUTED_VALUE"""),74.59)</f>
        <v>74.59</v>
      </c>
      <c r="AO94" s="320">
        <f>IFERROR(__xludf.DUMMYFUNCTION("""COMPUTED_VALUE"""),15.34)</f>
        <v>15.34</v>
      </c>
    </row>
    <row r="95" ht="15.75" customHeight="1">
      <c r="A95" s="330">
        <f>IFERROR(__xludf.DUMMYFUNCTION("""COMPUTED_VALUE"""),46065.0)</f>
        <v>46065</v>
      </c>
      <c r="B95" s="319" t="str">
        <f>IFERROR(__xludf.DUMMYFUNCTION("""COMPUTED_VALUE"""),"D. 20-39")</f>
        <v>D. 20-39</v>
      </c>
      <c r="C95" s="320">
        <f>IFERROR(__xludf.DUMMYFUNCTION("""COMPUTED_VALUE"""),8659.0)</f>
        <v>8659</v>
      </c>
      <c r="D95" s="320">
        <f>IFERROR(__xludf.DUMMYFUNCTION("""COMPUTED_VALUE"""),10.9)</f>
        <v>10.9</v>
      </c>
      <c r="E95" s="320">
        <f>IFERROR(__xludf.DUMMYFUNCTION("""COMPUTED_VALUE"""),20240.17)</f>
        <v>20240.17</v>
      </c>
      <c r="F95" s="320">
        <f>IFERROR(__xludf.DUMMYFUNCTION("""COMPUTED_VALUE"""),2.3375)</f>
        <v>2.3375</v>
      </c>
      <c r="G95" s="320">
        <f>IFERROR(__xludf.DUMMYFUNCTION("""COMPUTED_VALUE"""),30.43)</f>
        <v>30.43</v>
      </c>
      <c r="H95" s="320">
        <f>IFERROR(__xludf.DUMMYFUNCTION("""COMPUTED_VALUE"""),7.6813)</f>
        <v>7.6813</v>
      </c>
      <c r="I95" s="320">
        <f>IFERROR(__xludf.DUMMYFUNCTION("""COMPUTED_VALUE"""),80.42)</f>
        <v>80.42</v>
      </c>
      <c r="J95" s="320">
        <f>IFERROR(__xludf.DUMMYFUNCTION("""COMPUTED_VALUE"""),46.7)</f>
        <v>46.7</v>
      </c>
      <c r="K95" s="320">
        <f>IFERROR(__xludf.DUMMYFUNCTION("""COMPUTED_VALUE"""),25.51)</f>
        <v>25.51</v>
      </c>
      <c r="L95" s="320">
        <f>IFERROR(__xludf.DUMMYFUNCTION("""COMPUTED_VALUE"""),0.5462)</f>
        <v>0.5462</v>
      </c>
      <c r="M95" s="320">
        <f>IFERROR(__xludf.DUMMYFUNCTION("""COMPUTED_VALUE"""),0.5296)</f>
        <v>0.5296</v>
      </c>
      <c r="N95" s="320">
        <f>IFERROR(__xludf.DUMMYFUNCTION("""COMPUTED_VALUE"""),0.2992)</f>
        <v>0.2992</v>
      </c>
      <c r="O95" s="320">
        <f>IFERROR(__xludf.DUMMYFUNCTION("""COMPUTED_VALUE"""),1.8307)</f>
        <v>1.8307</v>
      </c>
      <c r="P95" s="320">
        <f>IFERROR(__xludf.DUMMYFUNCTION("""COMPUTED_VALUE"""),335.93)</f>
        <v>335.93</v>
      </c>
      <c r="Q95" s="320">
        <f>IFERROR(__xludf.DUMMYFUNCTION("""COMPUTED_VALUE"""),282.37)</f>
        <v>282.37</v>
      </c>
      <c r="R95" s="320">
        <f>IFERROR(__xludf.DUMMYFUNCTION("""COMPUTED_VALUE"""),53.55)</f>
        <v>53.55</v>
      </c>
      <c r="S95" s="320">
        <f>IFERROR(__xludf.DUMMYFUNCTION("""COMPUTED_VALUE"""),151.9)</f>
        <v>151.9</v>
      </c>
      <c r="T95" s="320">
        <f>IFERROR(__xludf.DUMMYFUNCTION("""COMPUTED_VALUE"""),184.02)</f>
        <v>184.02</v>
      </c>
      <c r="U95" s="320">
        <f>IFERROR(__xludf.DUMMYFUNCTION("""COMPUTED_VALUE"""),331.38)</f>
        <v>331.38</v>
      </c>
      <c r="V95" s="320">
        <f>IFERROR(__xludf.DUMMYFUNCTION("""COMPUTED_VALUE"""),7.096)</f>
        <v>7.096</v>
      </c>
      <c r="W95" s="320">
        <f>IFERROR(__xludf.DUMMYFUNCTION("""COMPUTED_VALUE"""),45.22)</f>
        <v>45.22</v>
      </c>
      <c r="X95" s="320">
        <f>IFERROR(__xludf.DUMMYFUNCTION("""COMPUTED_VALUE"""),88.0)</f>
        <v>88</v>
      </c>
      <c r="Y95" s="320">
        <f>IFERROR(__xludf.DUMMYFUNCTION("""COMPUTED_VALUE"""),233.0)</f>
        <v>233</v>
      </c>
      <c r="Z95" s="320">
        <f>IFERROR(__xludf.DUMMYFUNCTION("""COMPUTED_VALUE"""),739.0)</f>
        <v>739</v>
      </c>
      <c r="AA95" s="320">
        <f>IFERROR(__xludf.DUMMYFUNCTION("""COMPUTED_VALUE"""),54.4876)</f>
        <v>54.4876</v>
      </c>
      <c r="AB95" s="320">
        <f>IFERROR(__xludf.DUMMYFUNCTION("""COMPUTED_VALUE"""),0.6403)</f>
        <v>0.6403</v>
      </c>
      <c r="AC95" s="320">
        <f>IFERROR(__xludf.DUMMYFUNCTION("""COMPUTED_VALUE"""),16.9)</f>
        <v>16.9</v>
      </c>
      <c r="AD95" s="320">
        <f>IFERROR(__xludf.DUMMYFUNCTION("""COMPUTED_VALUE"""),5.0)</f>
        <v>5</v>
      </c>
      <c r="AE95" s="320">
        <f>IFERROR(__xludf.DUMMYFUNCTION("""COMPUTED_VALUE"""),12.0)</f>
        <v>12</v>
      </c>
      <c r="AF95" s="320">
        <f>IFERROR(__xludf.DUMMYFUNCTION("""COMPUTED_VALUE"""),24.0)</f>
        <v>24</v>
      </c>
      <c r="AG95" s="320">
        <f>IFERROR(__xludf.DUMMYFUNCTION("""COMPUTED_VALUE"""),38.0)</f>
        <v>38</v>
      </c>
      <c r="AH95" s="320">
        <f>IFERROR(__xludf.DUMMYFUNCTION("""COMPUTED_VALUE"""),53.2)</f>
        <v>53.2</v>
      </c>
      <c r="AI95" s="320">
        <f>IFERROR(__xludf.DUMMYFUNCTION("""COMPUTED_VALUE"""),22.57)</f>
        <v>22.57</v>
      </c>
      <c r="AJ95" s="320">
        <f>IFERROR(__xludf.DUMMYFUNCTION("""COMPUTED_VALUE"""),7.53)</f>
        <v>7.53</v>
      </c>
      <c r="AK95" s="320">
        <f>IFERROR(__xludf.DUMMYFUNCTION("""COMPUTED_VALUE"""),0.1907)</f>
        <v>0.1907</v>
      </c>
      <c r="AL95" s="320">
        <f>IFERROR(__xludf.DUMMYFUNCTION("""COMPUTED_VALUE"""),20.26)</f>
        <v>20.26</v>
      </c>
      <c r="AM95" s="320">
        <f>IFERROR(__xludf.DUMMYFUNCTION("""COMPUTED_VALUE"""),262.11)</f>
        <v>262.11</v>
      </c>
      <c r="AN95" s="320">
        <f>IFERROR(__xludf.DUMMYFUNCTION("""COMPUTED_VALUE"""),76.32)</f>
        <v>76.32</v>
      </c>
      <c r="AO95" s="320">
        <f>IFERROR(__xludf.DUMMYFUNCTION("""COMPUTED_VALUE"""),15.46)</f>
        <v>15.46</v>
      </c>
    </row>
    <row r="96" ht="15.75" customHeight="1">
      <c r="A96" s="330">
        <f>IFERROR(__xludf.DUMMYFUNCTION("""COMPUTED_VALUE"""),46065.0)</f>
        <v>46065</v>
      </c>
      <c r="B96" s="319" t="str">
        <f>IFERROR(__xludf.DUMMYFUNCTION("""COMPUTED_VALUE"""),"E. 40-99")</f>
        <v>E. 40-99</v>
      </c>
      <c r="C96" s="320">
        <f>IFERROR(__xludf.DUMMYFUNCTION("""COMPUTED_VALUE"""),3502.0)</f>
        <v>3502</v>
      </c>
      <c r="D96" s="320">
        <f>IFERROR(__xludf.DUMMYFUNCTION("""COMPUTED_VALUE"""),4.41)</f>
        <v>4.41</v>
      </c>
      <c r="E96" s="320">
        <f>IFERROR(__xludf.DUMMYFUNCTION("""COMPUTED_VALUE"""),17188.24)</f>
        <v>17188.24</v>
      </c>
      <c r="F96" s="320">
        <f>IFERROR(__xludf.DUMMYFUNCTION("""COMPUTED_VALUE"""),4.9081)</f>
        <v>4.9081</v>
      </c>
      <c r="G96" s="320">
        <f>IFERROR(__xludf.DUMMYFUNCTION("""COMPUTED_VALUE"""),38.98)</f>
        <v>38.98</v>
      </c>
      <c r="H96" s="320">
        <f>IFERROR(__xludf.DUMMYFUNCTION("""COMPUTED_VALUE"""),12.5921)</f>
        <v>12.5921</v>
      </c>
      <c r="I96" s="320">
        <f>IFERROR(__xludf.DUMMYFUNCTION("""COMPUTED_VALUE"""),125.13)</f>
        <v>125.13</v>
      </c>
      <c r="J96" s="320">
        <f>IFERROR(__xludf.DUMMYFUNCTION("""COMPUTED_VALUE"""),76.45)</f>
        <v>76.45</v>
      </c>
      <c r="K96" s="320">
        <f>IFERROR(__xludf.DUMMYFUNCTION("""COMPUTED_VALUE"""),52.19)</f>
        <v>52.19</v>
      </c>
      <c r="L96" s="320">
        <f>IFERROR(__xludf.DUMMYFUNCTION("""COMPUTED_VALUE"""),0.6827)</f>
        <v>0.6827</v>
      </c>
      <c r="M96" s="320">
        <f>IFERROR(__xludf.DUMMYFUNCTION("""COMPUTED_VALUE"""),0.4062)</f>
        <v>0.4062</v>
      </c>
      <c r="N96" s="320">
        <f>IFERROR(__xludf.DUMMYFUNCTION("""COMPUTED_VALUE"""),0.2352)</f>
        <v>0.2352</v>
      </c>
      <c r="O96" s="320">
        <f>IFERROR(__xludf.DUMMYFUNCTION("""COMPUTED_VALUE"""),1.4647)</f>
        <v>1.4647</v>
      </c>
      <c r="P96" s="320">
        <f>IFERROR(__xludf.DUMMYFUNCTION("""COMPUTED_VALUE"""),688.29)</f>
        <v>688.29</v>
      </c>
      <c r="Q96" s="320">
        <f>IFERROR(__xludf.DUMMYFUNCTION("""COMPUTED_VALUE"""),578.75)</f>
        <v>578.75</v>
      </c>
      <c r="R96" s="320">
        <f>IFERROR(__xludf.DUMMYFUNCTION("""COMPUTED_VALUE"""),109.55)</f>
        <v>109.55</v>
      </c>
      <c r="S96" s="320">
        <f>IFERROR(__xludf.DUMMYFUNCTION("""COMPUTED_VALUE"""),308.8)</f>
        <v>308.8</v>
      </c>
      <c r="T96" s="320">
        <f>IFERROR(__xludf.DUMMYFUNCTION("""COMPUTED_VALUE"""),379.49)</f>
        <v>379.49</v>
      </c>
      <c r="U96" s="320">
        <f>IFERROR(__xludf.DUMMYFUNCTION("""COMPUTED_VALUE"""),658.37)</f>
        <v>658.37</v>
      </c>
      <c r="V96" s="320">
        <f>IFERROR(__xludf.DUMMYFUNCTION("""COMPUTED_VALUE"""),8.6121)</f>
        <v>8.6121</v>
      </c>
      <c r="W96" s="320">
        <f>IFERROR(__xludf.DUMMYFUNCTION("""COMPUTED_VALUE"""),44.87)</f>
        <v>44.87</v>
      </c>
      <c r="X96" s="320">
        <f>IFERROR(__xludf.DUMMYFUNCTION("""COMPUTED_VALUE"""),101.0)</f>
        <v>101</v>
      </c>
      <c r="Y96" s="320">
        <f>IFERROR(__xludf.DUMMYFUNCTION("""COMPUTED_VALUE"""),365.0)</f>
        <v>365</v>
      </c>
      <c r="Z96" s="320">
        <f>IFERROR(__xludf.DUMMYFUNCTION("""COMPUTED_VALUE"""),1036.0)</f>
        <v>1036</v>
      </c>
      <c r="AA96" s="320">
        <f>IFERROR(__xludf.DUMMYFUNCTION("""COMPUTED_VALUE"""),57.8287)</f>
        <v>57.8287</v>
      </c>
      <c r="AB96" s="320">
        <f>IFERROR(__xludf.DUMMYFUNCTION("""COMPUTED_VALUE"""),0.736)</f>
        <v>0.736</v>
      </c>
      <c r="AC96" s="320">
        <f>IFERROR(__xludf.DUMMYFUNCTION("""COMPUTED_VALUE"""),34.97)</f>
        <v>34.97</v>
      </c>
      <c r="AD96" s="320">
        <f>IFERROR(__xludf.DUMMYFUNCTION("""COMPUTED_VALUE"""),11.0)</f>
        <v>11</v>
      </c>
      <c r="AE96" s="320">
        <f>IFERROR(__xludf.DUMMYFUNCTION("""COMPUTED_VALUE"""),26.0)</f>
        <v>26</v>
      </c>
      <c r="AF96" s="320">
        <f>IFERROR(__xludf.DUMMYFUNCTION("""COMPUTED_VALUE"""),51.0)</f>
        <v>51</v>
      </c>
      <c r="AG96" s="320">
        <f>IFERROR(__xludf.DUMMYFUNCTION("""COMPUTED_VALUE"""),76.0)</f>
        <v>76</v>
      </c>
      <c r="AH96" s="320">
        <f>IFERROR(__xludf.DUMMYFUNCTION("""COMPUTED_VALUE"""),48.43)</f>
        <v>48.43</v>
      </c>
      <c r="AI96" s="320">
        <f>IFERROR(__xludf.DUMMYFUNCTION("""COMPUTED_VALUE"""),18.33)</f>
        <v>18.33</v>
      </c>
      <c r="AJ96" s="320">
        <f>IFERROR(__xludf.DUMMYFUNCTION("""COMPUTED_VALUE"""),4.57)</f>
        <v>4.57</v>
      </c>
      <c r="AK96" s="320">
        <f>IFERROR(__xludf.DUMMYFUNCTION("""COMPUTED_VALUE"""),0.163)</f>
        <v>0.163</v>
      </c>
      <c r="AL96" s="320">
        <f>IFERROR(__xludf.DUMMYFUNCTION("""COMPUTED_VALUE"""),20.26)</f>
        <v>20.26</v>
      </c>
      <c r="AM96" s="320">
        <f>IFERROR(__xludf.DUMMYFUNCTION("""COMPUTED_VALUE"""),558.49)</f>
        <v>558.49</v>
      </c>
      <c r="AN96" s="320">
        <f>IFERROR(__xludf.DUMMYFUNCTION("""COMPUTED_VALUE"""),77.58)</f>
        <v>77.58</v>
      </c>
      <c r="AO96" s="320">
        <f>IFERROR(__xludf.DUMMYFUNCTION("""COMPUTED_VALUE"""),15.72)</f>
        <v>15.72</v>
      </c>
    </row>
    <row r="97" ht="15.75" customHeight="1">
      <c r="A97" s="330">
        <f>IFERROR(__xludf.DUMMYFUNCTION("""COMPUTED_VALUE"""),46065.0)</f>
        <v>46065</v>
      </c>
      <c r="B97" s="319" t="str">
        <f>IFERROR(__xludf.DUMMYFUNCTION("""COMPUTED_VALUE"""),"F. 100+")</f>
        <v>F. 100+</v>
      </c>
      <c r="C97" s="320">
        <f>IFERROR(__xludf.DUMMYFUNCTION("""COMPUTED_VALUE"""),377.0)</f>
        <v>377</v>
      </c>
      <c r="D97" s="320">
        <f>IFERROR(__xludf.DUMMYFUNCTION("""COMPUTED_VALUE"""),0.47)</f>
        <v>0.47</v>
      </c>
      <c r="E97" s="320">
        <f>IFERROR(__xludf.DUMMYFUNCTION("""COMPUTED_VALUE"""),4430.69)</f>
        <v>4430.69</v>
      </c>
      <c r="F97" s="320">
        <f>IFERROR(__xludf.DUMMYFUNCTION("""COMPUTED_VALUE"""),11.7525)</f>
        <v>11.7525</v>
      </c>
      <c r="G97" s="320">
        <f>IFERROR(__xludf.DUMMYFUNCTION("""COMPUTED_VALUE"""),39.26)</f>
        <v>39.26</v>
      </c>
      <c r="H97" s="320">
        <f>IFERROR(__xludf.DUMMYFUNCTION("""COMPUTED_VALUE"""),29.9371)</f>
        <v>29.9371</v>
      </c>
      <c r="I97" s="320">
        <f>IFERROR(__xludf.DUMMYFUNCTION("""COMPUTED_VALUE"""),228.24)</f>
        <v>228.24</v>
      </c>
      <c r="J97" s="320">
        <f>IFERROR(__xludf.DUMMYFUNCTION("""COMPUTED_VALUE"""),150.19)</f>
        <v>150.19</v>
      </c>
      <c r="K97" s="320">
        <f>IFERROR(__xludf.DUMMYFUNCTION("""COMPUTED_VALUE"""),123.69)</f>
        <v>123.69</v>
      </c>
      <c r="L97" s="320">
        <f>IFERROR(__xludf.DUMMYFUNCTION("""COMPUTED_VALUE"""),0.8236)</f>
        <v>0.8236</v>
      </c>
      <c r="M97" s="320">
        <f>IFERROR(__xludf.DUMMYFUNCTION("""COMPUTED_VALUE"""),0.2698)</f>
        <v>0.2698</v>
      </c>
      <c r="N97" s="320">
        <f>IFERROR(__xludf.DUMMYFUNCTION("""COMPUTED_VALUE"""),0.1725)</f>
        <v>0.1725</v>
      </c>
      <c r="O97" s="320">
        <f>IFERROR(__xludf.DUMMYFUNCTION("""COMPUTED_VALUE"""),1.2143)</f>
        <v>1.2143</v>
      </c>
      <c r="P97" s="320">
        <f>IFERROR(__xludf.DUMMYFUNCTION("""COMPUTED_VALUE"""),1479.5)</f>
        <v>1479.5</v>
      </c>
      <c r="Q97" s="320">
        <f>IFERROR(__xludf.DUMMYFUNCTION("""COMPUTED_VALUE"""),1218.96)</f>
        <v>1218.96</v>
      </c>
      <c r="R97" s="320">
        <f>IFERROR(__xludf.DUMMYFUNCTION("""COMPUTED_VALUE"""),260.54)</f>
        <v>260.54</v>
      </c>
      <c r="S97" s="320">
        <f>IFERROR(__xludf.DUMMYFUNCTION("""COMPUTED_VALUE"""),705.44)</f>
        <v>705.44</v>
      </c>
      <c r="T97" s="320">
        <f>IFERROR(__xludf.DUMMYFUNCTION("""COMPUTED_VALUE"""),774.07)</f>
        <v>774.07</v>
      </c>
      <c r="U97" s="320">
        <f>IFERROR(__xludf.DUMMYFUNCTION("""COMPUTED_VALUE"""),1407.96)</f>
        <v>1407.96</v>
      </c>
      <c r="V97" s="320">
        <f>IFERROR(__xludf.DUMMYFUNCTION("""COMPUTED_VALUE"""),9.3743)</f>
        <v>9.3743</v>
      </c>
      <c r="W97" s="320">
        <f>IFERROR(__xludf.DUMMYFUNCTION("""COMPUTED_VALUE"""),47.68)</f>
        <v>47.68</v>
      </c>
      <c r="X97" s="320">
        <f>IFERROR(__xludf.DUMMYFUNCTION("""COMPUTED_VALUE"""),231.0)</f>
        <v>231</v>
      </c>
      <c r="Y97" s="320">
        <f>IFERROR(__xludf.DUMMYFUNCTION("""COMPUTED_VALUE"""),807.0)</f>
        <v>807</v>
      </c>
      <c r="Z97" s="320">
        <f>IFERROR(__xludf.DUMMYFUNCTION("""COMPUTED_VALUE"""),2873.0)</f>
        <v>2873</v>
      </c>
      <c r="AA97" s="320">
        <f>IFERROR(__xludf.DUMMYFUNCTION("""COMPUTED_VALUE"""),61.7017)</f>
        <v>61.7017</v>
      </c>
      <c r="AB97" s="320">
        <f>IFERROR(__xludf.DUMMYFUNCTION("""COMPUTED_VALUE"""),0.8277)</f>
        <v>0.8277</v>
      </c>
      <c r="AC97" s="320">
        <f>IFERROR(__xludf.DUMMYFUNCTION("""COMPUTED_VALUE"""),85.22)</f>
        <v>85.22</v>
      </c>
      <c r="AD97" s="320">
        <f>IFERROR(__xludf.DUMMYFUNCTION("""COMPUTED_VALUE"""),30.0)</f>
        <v>30</v>
      </c>
      <c r="AE97" s="320">
        <f>IFERROR(__xludf.DUMMYFUNCTION("""COMPUTED_VALUE"""),71.0)</f>
        <v>71</v>
      </c>
      <c r="AF97" s="320">
        <f>IFERROR(__xludf.DUMMYFUNCTION("""COMPUTED_VALUE"""),121.0)</f>
        <v>121</v>
      </c>
      <c r="AG97" s="320">
        <f>IFERROR(__xludf.DUMMYFUNCTION("""COMPUTED_VALUE"""),175.0)</f>
        <v>175</v>
      </c>
      <c r="AH97" s="320">
        <f>IFERROR(__xludf.DUMMYFUNCTION("""COMPUTED_VALUE"""),46.15)</f>
        <v>46.15</v>
      </c>
      <c r="AI97" s="320">
        <f>IFERROR(__xludf.DUMMYFUNCTION("""COMPUTED_VALUE"""),10.34)</f>
        <v>10.34</v>
      </c>
      <c r="AJ97" s="320">
        <f>IFERROR(__xludf.DUMMYFUNCTION("""COMPUTED_VALUE"""),2.39)</f>
        <v>2.39</v>
      </c>
      <c r="AK97" s="320">
        <f>IFERROR(__xludf.DUMMYFUNCTION("""COMPUTED_VALUE"""),0.1485)</f>
        <v>0.1485</v>
      </c>
      <c r="AL97" s="320">
        <f>IFERROR(__xludf.DUMMYFUNCTION("""COMPUTED_VALUE"""),18.41)</f>
        <v>18.41</v>
      </c>
      <c r="AM97" s="320">
        <f>IFERROR(__xludf.DUMMYFUNCTION("""COMPUTED_VALUE"""),1200.55)</f>
        <v>1200.55</v>
      </c>
      <c r="AN97" s="320">
        <f>IFERROR(__xludf.DUMMYFUNCTION("""COMPUTED_VALUE"""),71.66)</f>
        <v>71.66</v>
      </c>
      <c r="AO97" s="320">
        <f>IFERROR(__xludf.DUMMYFUNCTION("""COMPUTED_VALUE"""),13.19)</f>
        <v>13.19</v>
      </c>
    </row>
    <row r="98" ht="15.75" customHeight="1">
      <c r="A98" s="330">
        <f>IFERROR(__xludf.DUMMYFUNCTION("""COMPUTED_VALUE"""),46066.0)</f>
        <v>46066</v>
      </c>
      <c r="B98" s="319" t="str">
        <f>IFERROR(__xludf.DUMMYFUNCTION("""COMPUTED_VALUE"""),"A. 0")</f>
        <v>A. 0</v>
      </c>
      <c r="C98" s="320">
        <f>IFERROR(__xludf.DUMMYFUNCTION("""COMPUTED_VALUE"""),15728.0)</f>
        <v>15728</v>
      </c>
      <c r="D98" s="320">
        <f>IFERROR(__xludf.DUMMYFUNCTION("""COMPUTED_VALUE"""),20.19)</f>
        <v>20.19</v>
      </c>
      <c r="E98" s="320">
        <f>IFERROR(__xludf.DUMMYFUNCTION("""COMPUTED_VALUE"""),280.58)</f>
        <v>280.58</v>
      </c>
      <c r="F98" s="320">
        <f>IFERROR(__xludf.DUMMYFUNCTION("""COMPUTED_VALUE"""),0.0178)</f>
        <v>0.0178</v>
      </c>
      <c r="G98" s="320">
        <f>IFERROR(__xludf.DUMMYFUNCTION("""COMPUTED_VALUE"""),0.46)</f>
        <v>0.46</v>
      </c>
      <c r="H98" s="320">
        <f>IFERROR(__xludf.DUMMYFUNCTION("""COMPUTED_VALUE"""),3.8436)</f>
        <v>3.8436</v>
      </c>
      <c r="I98" s="320">
        <f>IFERROR(__xludf.DUMMYFUNCTION("""COMPUTED_VALUE"""),5.62)</f>
        <v>5.62</v>
      </c>
      <c r="J98" s="320">
        <f>IFERROR(__xludf.DUMMYFUNCTION("""COMPUTED_VALUE"""),2.49)</f>
        <v>2.49</v>
      </c>
      <c r="K98" s="320">
        <f>IFERROR(__xludf.DUMMYFUNCTION("""COMPUTED_VALUE"""),0.09)</f>
        <v>0.09</v>
      </c>
      <c r="L98" s="320">
        <f>IFERROR(__xludf.DUMMYFUNCTION("""COMPUTED_VALUE"""),0.0349)</f>
        <v>0.0349</v>
      </c>
      <c r="M98" s="320">
        <f>IFERROR(__xludf.DUMMYFUNCTION("""COMPUTED_VALUE"""),0.9676)</f>
        <v>0.9676</v>
      </c>
      <c r="N98" s="320">
        <f>IFERROR(__xludf.DUMMYFUNCTION("""COMPUTED_VALUE"""),0.6628)</f>
        <v>0.6628</v>
      </c>
      <c r="O98" s="320">
        <f>IFERROR(__xludf.DUMMYFUNCTION("""COMPUTED_VALUE"""),28.6433)</f>
        <v>28.6433</v>
      </c>
      <c r="P98" s="320">
        <f>IFERROR(__xludf.DUMMYFUNCTION("""COMPUTED_VALUE"""),31.11)</f>
        <v>31.11</v>
      </c>
      <c r="Q98" s="320">
        <f>IFERROR(__xludf.DUMMYFUNCTION("""COMPUTED_VALUE"""),31.03)</f>
        <v>31.03</v>
      </c>
      <c r="R98" s="320">
        <f>IFERROR(__xludf.DUMMYFUNCTION("""COMPUTED_VALUE"""),0.08)</f>
        <v>0.08</v>
      </c>
      <c r="S98" s="320">
        <f>IFERROR(__xludf.DUMMYFUNCTION("""COMPUTED_VALUE"""),1.33)</f>
        <v>1.33</v>
      </c>
      <c r="T98" s="320">
        <f>IFERROR(__xludf.DUMMYFUNCTION("""COMPUTED_VALUE"""),29.78)</f>
        <v>29.78</v>
      </c>
      <c r="U98" s="320">
        <f>IFERROR(__xludf.DUMMYFUNCTION("""COMPUTED_VALUE"""),2.56)</f>
        <v>2.56</v>
      </c>
      <c r="V98" s="320">
        <f>IFERROR(__xludf.DUMMYFUNCTION("""COMPUTED_VALUE"""),1.0272)</f>
        <v>1.0272</v>
      </c>
      <c r="W98" s="320">
        <f>IFERROR(__xludf.DUMMYFUNCTION("""COMPUTED_VALUE"""),4.28)</f>
        <v>4.28</v>
      </c>
      <c r="X98" s="320">
        <f>IFERROR(__xludf.DUMMYFUNCTION("""COMPUTED_VALUE"""),176.0)</f>
        <v>176</v>
      </c>
      <c r="Y98" s="320">
        <f>IFERROR(__xludf.DUMMYFUNCTION("""COMPUTED_VALUE"""),1170.0)</f>
        <v>1170</v>
      </c>
      <c r="Z98" s="320">
        <f>IFERROR(__xludf.DUMMYFUNCTION("""COMPUTED_VALUE"""),7218.0)</f>
        <v>7218</v>
      </c>
      <c r="AA98" s="320">
        <f>IFERROR(__xludf.DUMMYFUNCTION("""COMPUTED_VALUE"""),49.928)</f>
        <v>49.928</v>
      </c>
      <c r="AB98" s="320">
        <f>IFERROR(__xludf.DUMMYFUNCTION("""COMPUTED_VALUE"""),0.5257)</f>
        <v>0.5257</v>
      </c>
      <c r="AC98" s="106"/>
      <c r="AD98" s="106"/>
      <c r="AE98" s="106"/>
      <c r="AF98" s="106"/>
      <c r="AG98" s="106"/>
      <c r="AH98" s="320">
        <f>IFERROR(__xludf.DUMMYFUNCTION("""COMPUTED_VALUE"""),0.0)</f>
        <v>0</v>
      </c>
      <c r="AI98" s="320">
        <f>IFERROR(__xludf.DUMMYFUNCTION("""COMPUTED_VALUE"""),0.0)</f>
        <v>0</v>
      </c>
      <c r="AJ98" s="320">
        <f>IFERROR(__xludf.DUMMYFUNCTION("""COMPUTED_VALUE"""),0.0)</f>
        <v>0</v>
      </c>
      <c r="AK98" s="320">
        <f>IFERROR(__xludf.DUMMYFUNCTION("""COMPUTED_VALUE"""),0.2961)</f>
        <v>0.2961</v>
      </c>
      <c r="AL98" s="320">
        <f>IFERROR(__xludf.DUMMYFUNCTION("""COMPUTED_VALUE"""),17.18)</f>
        <v>17.18</v>
      </c>
      <c r="AM98" s="320">
        <f>IFERROR(__xludf.DUMMYFUNCTION("""COMPUTED_VALUE"""),13.86)</f>
        <v>13.86</v>
      </c>
      <c r="AN98" s="331"/>
      <c r="AO98" s="331"/>
    </row>
    <row r="99" ht="15.75" customHeight="1">
      <c r="A99" s="330">
        <f>IFERROR(__xludf.DUMMYFUNCTION("""COMPUTED_VALUE"""),46066.0)</f>
        <v>46066</v>
      </c>
      <c r="B99" s="319" t="str">
        <f>IFERROR(__xludf.DUMMYFUNCTION("""COMPUTED_VALUE"""),"B. 1-9")</f>
        <v>B. 1-9</v>
      </c>
      <c r="C99" s="320">
        <f>IFERROR(__xludf.DUMMYFUNCTION("""COMPUTED_VALUE"""),33654.0)</f>
        <v>33654</v>
      </c>
      <c r="D99" s="320">
        <f>IFERROR(__xludf.DUMMYFUNCTION("""COMPUTED_VALUE"""),43.2)</f>
        <v>43.2</v>
      </c>
      <c r="E99" s="320">
        <f>IFERROR(__xludf.DUMMYFUNCTION("""COMPUTED_VALUE"""),9226.2)</f>
        <v>9226.2</v>
      </c>
      <c r="F99" s="320">
        <f>IFERROR(__xludf.DUMMYFUNCTION("""COMPUTED_VALUE"""),0.2741)</f>
        <v>0.2741</v>
      </c>
      <c r="G99" s="320">
        <f>IFERROR(__xludf.DUMMYFUNCTION("""COMPUTED_VALUE"""),7.51)</f>
        <v>7.51</v>
      </c>
      <c r="H99" s="320">
        <f>IFERROR(__xludf.DUMMYFUNCTION("""COMPUTED_VALUE"""),3.6525)</f>
        <v>3.6525</v>
      </c>
      <c r="I99" s="320">
        <f>IFERROR(__xludf.DUMMYFUNCTION("""COMPUTED_VALUE"""),33.03)</f>
        <v>33.03</v>
      </c>
      <c r="J99" s="320">
        <f>IFERROR(__xludf.DUMMYFUNCTION("""COMPUTED_VALUE"""),17.55)</f>
        <v>17.55</v>
      </c>
      <c r="K99" s="320">
        <f>IFERROR(__xludf.DUMMYFUNCTION("""COMPUTED_VALUE"""),5.55)</f>
        <v>5.55</v>
      </c>
      <c r="L99" s="320">
        <f>IFERROR(__xludf.DUMMYFUNCTION("""COMPUTED_VALUE"""),0.3163)</f>
        <v>0.3163</v>
      </c>
      <c r="M99" s="320">
        <f>IFERROR(__xludf.DUMMYFUNCTION("""COMPUTED_VALUE"""),0.7552)</f>
        <v>0.7552</v>
      </c>
      <c r="N99" s="320">
        <f>IFERROR(__xludf.DUMMYFUNCTION("""COMPUTED_VALUE"""),0.5091)</f>
        <v>0.5091</v>
      </c>
      <c r="O99" s="320">
        <f>IFERROR(__xludf.DUMMYFUNCTION("""COMPUTED_VALUE"""),3.1619)</f>
        <v>3.1619</v>
      </c>
      <c r="P99" s="320">
        <f>IFERROR(__xludf.DUMMYFUNCTION("""COMPUTED_VALUE"""),89.02)</f>
        <v>89.02</v>
      </c>
      <c r="Q99" s="320">
        <f>IFERROR(__xludf.DUMMYFUNCTION("""COMPUTED_VALUE"""),77.51)</f>
        <v>77.51</v>
      </c>
      <c r="R99" s="320">
        <f>IFERROR(__xludf.DUMMYFUNCTION("""COMPUTED_VALUE"""),11.5)</f>
        <v>11.5</v>
      </c>
      <c r="S99" s="320">
        <f>IFERROR(__xludf.DUMMYFUNCTION("""COMPUTED_VALUE"""),18.41)</f>
        <v>18.41</v>
      </c>
      <c r="T99" s="320">
        <f>IFERROR(__xludf.DUMMYFUNCTION("""COMPUTED_VALUE"""),70.61)</f>
        <v>70.61</v>
      </c>
      <c r="U99" s="320">
        <f>IFERROR(__xludf.DUMMYFUNCTION("""COMPUTED_VALUE"""),82.73)</f>
        <v>82.73</v>
      </c>
      <c r="V99" s="320">
        <f>IFERROR(__xludf.DUMMYFUNCTION("""COMPUTED_VALUE"""),4.7127)</f>
        <v>4.7127</v>
      </c>
      <c r="W99" s="320">
        <f>IFERROR(__xludf.DUMMYFUNCTION("""COMPUTED_VALUE"""),20.68)</f>
        <v>20.68</v>
      </c>
      <c r="X99" s="320">
        <f>IFERROR(__xludf.DUMMYFUNCTION("""COMPUTED_VALUE"""),89.0)</f>
        <v>89</v>
      </c>
      <c r="Y99" s="320">
        <f>IFERROR(__xludf.DUMMYFUNCTION("""COMPUTED_VALUE"""),212.0)</f>
        <v>212</v>
      </c>
      <c r="Z99" s="320">
        <f>IFERROR(__xludf.DUMMYFUNCTION("""COMPUTED_VALUE"""),839.0)</f>
        <v>839</v>
      </c>
      <c r="AA99" s="320">
        <f>IFERROR(__xludf.DUMMYFUNCTION("""COMPUTED_VALUE"""),49.5809)</f>
        <v>49.5809</v>
      </c>
      <c r="AB99" s="320">
        <f>IFERROR(__xludf.DUMMYFUNCTION("""COMPUTED_VALUE"""),0.4477)</f>
        <v>0.4477</v>
      </c>
      <c r="AC99" s="320">
        <f>IFERROR(__xludf.DUMMYFUNCTION("""COMPUTED_VALUE"""),3.64)</f>
        <v>3.64</v>
      </c>
      <c r="AD99" s="320">
        <f>IFERROR(__xludf.DUMMYFUNCTION("""COMPUTED_VALUE"""),1.0)</f>
        <v>1</v>
      </c>
      <c r="AE99" s="320">
        <f>IFERROR(__xludf.DUMMYFUNCTION("""COMPUTED_VALUE"""),2.0)</f>
        <v>2</v>
      </c>
      <c r="AF99" s="320">
        <f>IFERROR(__xludf.DUMMYFUNCTION("""COMPUTED_VALUE"""),5.0)</f>
        <v>5</v>
      </c>
      <c r="AG99" s="320">
        <f>IFERROR(__xludf.DUMMYFUNCTION("""COMPUTED_VALUE"""),8.0)</f>
        <v>8</v>
      </c>
      <c r="AH99" s="320">
        <f>IFERROR(__xludf.DUMMYFUNCTION("""COMPUTED_VALUE"""),67.84)</f>
        <v>67.84</v>
      </c>
      <c r="AI99" s="320">
        <f>IFERROR(__xludf.DUMMYFUNCTION("""COMPUTED_VALUE"""),26.22)</f>
        <v>26.22</v>
      </c>
      <c r="AJ99" s="320">
        <f>IFERROR(__xludf.DUMMYFUNCTION("""COMPUTED_VALUE"""),7.32)</f>
        <v>7.32</v>
      </c>
      <c r="AK99" s="320">
        <f>IFERROR(__xludf.DUMMYFUNCTION("""COMPUTED_VALUE"""),0.241)</f>
        <v>0.241</v>
      </c>
      <c r="AL99" s="320">
        <f>IFERROR(__xludf.DUMMYFUNCTION("""COMPUTED_VALUE"""),21.25)</f>
        <v>21.25</v>
      </c>
      <c r="AM99" s="320">
        <f>IFERROR(__xludf.DUMMYFUNCTION("""COMPUTED_VALUE"""),56.26)</f>
        <v>56.26</v>
      </c>
      <c r="AN99" s="320">
        <f>IFERROR(__xludf.DUMMYFUNCTION("""COMPUTED_VALUE"""),68.59)</f>
        <v>68.59</v>
      </c>
      <c r="AO99" s="320">
        <f>IFERROR(__xludf.DUMMYFUNCTION("""COMPUTED_VALUE"""),14.58)</f>
        <v>14.58</v>
      </c>
    </row>
    <row r="100" ht="15.75" customHeight="1">
      <c r="A100" s="330">
        <f>IFERROR(__xludf.DUMMYFUNCTION("""COMPUTED_VALUE"""),46066.0)</f>
        <v>46066</v>
      </c>
      <c r="B100" s="319" t="str">
        <f>IFERROR(__xludf.DUMMYFUNCTION("""COMPUTED_VALUE"""),"C. 10-19")</f>
        <v>C. 10-19</v>
      </c>
      <c r="C100" s="320">
        <f>IFERROR(__xludf.DUMMYFUNCTION("""COMPUTED_VALUE"""),16087.0)</f>
        <v>16087</v>
      </c>
      <c r="D100" s="320">
        <f>IFERROR(__xludf.DUMMYFUNCTION("""COMPUTED_VALUE"""),20.65)</f>
        <v>20.65</v>
      </c>
      <c r="E100" s="320">
        <f>IFERROR(__xludf.DUMMYFUNCTION("""COMPUTED_VALUE"""),16080.75)</f>
        <v>16080.75</v>
      </c>
      <c r="F100" s="320">
        <f>IFERROR(__xludf.DUMMYFUNCTION("""COMPUTED_VALUE"""),0.9996)</f>
        <v>0.9996</v>
      </c>
      <c r="G100" s="320">
        <f>IFERROR(__xludf.DUMMYFUNCTION("""COMPUTED_VALUE"""),20.84)</f>
        <v>20.84</v>
      </c>
      <c r="H100" s="320">
        <f>IFERROR(__xludf.DUMMYFUNCTION("""COMPUTED_VALUE"""),4.7974)</f>
        <v>4.7974</v>
      </c>
      <c r="I100" s="320">
        <f>IFERROR(__xludf.DUMMYFUNCTION("""COMPUTED_VALUE"""),61.79)</f>
        <v>61.79</v>
      </c>
      <c r="J100" s="320">
        <f>IFERROR(__xludf.DUMMYFUNCTION("""COMPUTED_VALUE"""),34.78)</f>
        <v>34.78</v>
      </c>
      <c r="K100" s="320">
        <f>IFERROR(__xludf.DUMMYFUNCTION("""COMPUTED_VALUE"""),14.3)</f>
        <v>14.3</v>
      </c>
      <c r="L100" s="320">
        <f>IFERROR(__xludf.DUMMYFUNCTION("""COMPUTED_VALUE"""),0.4112)</f>
        <v>0.4112</v>
      </c>
      <c r="M100" s="320">
        <f>IFERROR(__xludf.DUMMYFUNCTION("""COMPUTED_VALUE"""),0.6519)</f>
        <v>0.6519</v>
      </c>
      <c r="N100" s="320">
        <f>IFERROR(__xludf.DUMMYFUNCTION("""COMPUTED_VALUE"""),0.3811)</f>
        <v>0.3811</v>
      </c>
      <c r="O100" s="320">
        <f>IFERROR(__xludf.DUMMYFUNCTION("""COMPUTED_VALUE"""),2.4317)</f>
        <v>2.4317</v>
      </c>
      <c r="P100" s="320">
        <f>IFERROR(__xludf.DUMMYFUNCTION("""COMPUTED_VALUE"""),183.93)</f>
        <v>183.93</v>
      </c>
      <c r="Q100" s="320">
        <f>IFERROR(__xludf.DUMMYFUNCTION("""COMPUTED_VALUE"""),154.22)</f>
        <v>154.22</v>
      </c>
      <c r="R100" s="320">
        <f>IFERROR(__xludf.DUMMYFUNCTION("""COMPUTED_VALUE"""),29.71)</f>
        <v>29.71</v>
      </c>
      <c r="S100" s="320">
        <f>IFERROR(__xludf.DUMMYFUNCTION("""COMPUTED_VALUE"""),66.76)</f>
        <v>66.76</v>
      </c>
      <c r="T100" s="320">
        <f>IFERROR(__xludf.DUMMYFUNCTION("""COMPUTED_VALUE"""),117.17)</f>
        <v>117.17</v>
      </c>
      <c r="U100" s="320">
        <f>IFERROR(__xludf.DUMMYFUNCTION("""COMPUTED_VALUE"""),182.77)</f>
        <v>182.77</v>
      </c>
      <c r="V100" s="320">
        <f>IFERROR(__xludf.DUMMYFUNCTION("""COMPUTED_VALUE"""),5.2559)</f>
        <v>5.2559</v>
      </c>
      <c r="W100" s="320">
        <f>IFERROR(__xludf.DUMMYFUNCTION("""COMPUTED_VALUE"""),36.3)</f>
        <v>36.3</v>
      </c>
      <c r="X100" s="320">
        <f>IFERROR(__xludf.DUMMYFUNCTION("""COMPUTED_VALUE"""),87.0)</f>
        <v>87</v>
      </c>
      <c r="Y100" s="320">
        <f>IFERROR(__xludf.DUMMYFUNCTION("""COMPUTED_VALUE"""),200.0)</f>
        <v>200</v>
      </c>
      <c r="Z100" s="320">
        <f>IFERROR(__xludf.DUMMYFUNCTION("""COMPUTED_VALUE"""),621.0)</f>
        <v>621</v>
      </c>
      <c r="AA100" s="320">
        <f>IFERROR(__xludf.DUMMYFUNCTION("""COMPUTED_VALUE"""),52.3879)</f>
        <v>52.3879</v>
      </c>
      <c r="AB100" s="320">
        <f>IFERROR(__xludf.DUMMYFUNCTION("""COMPUTED_VALUE"""),0.5361)</f>
        <v>0.5361</v>
      </c>
      <c r="AC100" s="320">
        <f>IFERROR(__xludf.DUMMYFUNCTION("""COMPUTED_VALUE"""),8.95)</f>
        <v>8.95</v>
      </c>
      <c r="AD100" s="320">
        <f>IFERROR(__xludf.DUMMYFUNCTION("""COMPUTED_VALUE"""),3.0)</f>
        <v>3</v>
      </c>
      <c r="AE100" s="320">
        <f>IFERROR(__xludf.DUMMYFUNCTION("""COMPUTED_VALUE"""),6.0)</f>
        <v>6</v>
      </c>
      <c r="AF100" s="320">
        <f>IFERROR(__xludf.DUMMYFUNCTION("""COMPUTED_VALUE"""),12.0)</f>
        <v>12</v>
      </c>
      <c r="AG100" s="320">
        <f>IFERROR(__xludf.DUMMYFUNCTION("""COMPUTED_VALUE"""),20.0)</f>
        <v>20</v>
      </c>
      <c r="AH100" s="320">
        <f>IFERROR(__xludf.DUMMYFUNCTION("""COMPUTED_VALUE"""),55.36)</f>
        <v>55.36</v>
      </c>
      <c r="AI100" s="320">
        <f>IFERROR(__xludf.DUMMYFUNCTION("""COMPUTED_VALUE"""),24.29)</f>
        <v>24.29</v>
      </c>
      <c r="AJ100" s="320">
        <f>IFERROR(__xludf.DUMMYFUNCTION("""COMPUTED_VALUE"""),4.76)</f>
        <v>4.76</v>
      </c>
      <c r="AK100" s="320">
        <f>IFERROR(__xludf.DUMMYFUNCTION("""COMPUTED_VALUE"""),0.2091)</f>
        <v>0.2091</v>
      </c>
      <c r="AL100" s="320">
        <f>IFERROR(__xludf.DUMMYFUNCTION("""COMPUTED_VALUE"""),21.77)</f>
        <v>21.77</v>
      </c>
      <c r="AM100" s="320">
        <f>IFERROR(__xludf.DUMMYFUNCTION("""COMPUTED_VALUE"""),132.45)</f>
        <v>132.45</v>
      </c>
      <c r="AN100" s="320">
        <f>IFERROR(__xludf.DUMMYFUNCTION("""COMPUTED_VALUE"""),74.97)</f>
        <v>74.97</v>
      </c>
      <c r="AO100" s="320">
        <f>IFERROR(__xludf.DUMMYFUNCTION("""COMPUTED_VALUE"""),16.32)</f>
        <v>16.32</v>
      </c>
    </row>
    <row r="101" ht="15.75" customHeight="1">
      <c r="A101" s="330">
        <f>IFERROR(__xludf.DUMMYFUNCTION("""COMPUTED_VALUE"""),46066.0)</f>
        <v>46066</v>
      </c>
      <c r="B101" s="319" t="str">
        <f>IFERROR(__xludf.DUMMYFUNCTION("""COMPUTED_VALUE"""),"D. 20-39")</f>
        <v>D. 20-39</v>
      </c>
      <c r="C101" s="320">
        <f>IFERROR(__xludf.DUMMYFUNCTION("""COMPUTED_VALUE"""),8686.0)</f>
        <v>8686</v>
      </c>
      <c r="D101" s="320">
        <f>IFERROR(__xludf.DUMMYFUNCTION("""COMPUTED_VALUE"""),11.15)</f>
        <v>11.15</v>
      </c>
      <c r="E101" s="320">
        <f>IFERROR(__xludf.DUMMYFUNCTION("""COMPUTED_VALUE"""),20871.64)</f>
        <v>20871.64</v>
      </c>
      <c r="F101" s="320">
        <f>IFERROR(__xludf.DUMMYFUNCTION("""COMPUTED_VALUE"""),2.4029)</f>
        <v>2.4029</v>
      </c>
      <c r="G101" s="320">
        <f>IFERROR(__xludf.DUMMYFUNCTION("""COMPUTED_VALUE"""),31.53)</f>
        <v>31.53</v>
      </c>
      <c r="H101" s="320">
        <f>IFERROR(__xludf.DUMMYFUNCTION("""COMPUTED_VALUE"""),7.6202)</f>
        <v>7.6202</v>
      </c>
      <c r="I101" s="320">
        <f>IFERROR(__xludf.DUMMYFUNCTION("""COMPUTED_VALUE"""),88.19)</f>
        <v>88.19</v>
      </c>
      <c r="J101" s="320">
        <f>IFERROR(__xludf.DUMMYFUNCTION("""COMPUTED_VALUE"""),51.21)</f>
        <v>51.21</v>
      </c>
      <c r="K101" s="320">
        <f>IFERROR(__xludf.DUMMYFUNCTION("""COMPUTED_VALUE"""),26.91)</f>
        <v>26.91</v>
      </c>
      <c r="L101" s="320">
        <f>IFERROR(__xludf.DUMMYFUNCTION("""COMPUTED_VALUE"""),0.5255)</f>
        <v>0.5255</v>
      </c>
      <c r="M101" s="320">
        <f>IFERROR(__xludf.DUMMYFUNCTION("""COMPUTED_VALUE"""),0.5471)</f>
        <v>0.5471</v>
      </c>
      <c r="N101" s="320">
        <f>IFERROR(__xludf.DUMMYFUNCTION("""COMPUTED_VALUE"""),0.3068)</f>
        <v>0.3068</v>
      </c>
      <c r="O101" s="320">
        <f>IFERROR(__xludf.DUMMYFUNCTION("""COMPUTED_VALUE"""),1.903)</f>
        <v>1.903</v>
      </c>
      <c r="P101" s="320">
        <f>IFERROR(__xludf.DUMMYFUNCTION("""COMPUTED_VALUE"""),335.01)</f>
        <v>335.01</v>
      </c>
      <c r="Q101" s="320">
        <f>IFERROR(__xludf.DUMMYFUNCTION("""COMPUTED_VALUE"""),278.32)</f>
        <v>278.32</v>
      </c>
      <c r="R101" s="320">
        <f>IFERROR(__xludf.DUMMYFUNCTION("""COMPUTED_VALUE"""),56.69)</f>
        <v>56.69</v>
      </c>
      <c r="S101" s="320">
        <f>IFERROR(__xludf.DUMMYFUNCTION("""COMPUTED_VALUE"""),156.42)</f>
        <v>156.42</v>
      </c>
      <c r="T101" s="320">
        <f>IFERROR(__xludf.DUMMYFUNCTION("""COMPUTED_VALUE"""),178.59)</f>
        <v>178.59</v>
      </c>
      <c r="U101" s="320">
        <f>IFERROR(__xludf.DUMMYFUNCTION("""COMPUTED_VALUE"""),345.91)</f>
        <v>345.91</v>
      </c>
      <c r="V101" s="320">
        <f>IFERROR(__xludf.DUMMYFUNCTION("""COMPUTED_VALUE"""),6.7548)</f>
        <v>6.7548</v>
      </c>
      <c r="W101" s="320">
        <f>IFERROR(__xludf.DUMMYFUNCTION("""COMPUTED_VALUE"""),46.69)</f>
        <v>46.69</v>
      </c>
      <c r="X101" s="320">
        <f>IFERROR(__xludf.DUMMYFUNCTION("""COMPUTED_VALUE"""),91.0)</f>
        <v>91</v>
      </c>
      <c r="Y101" s="320">
        <f>IFERROR(__xludf.DUMMYFUNCTION("""COMPUTED_VALUE"""),237.0)</f>
        <v>237</v>
      </c>
      <c r="Z101" s="320">
        <f>IFERROR(__xludf.DUMMYFUNCTION("""COMPUTED_VALUE"""),737.0)</f>
        <v>737</v>
      </c>
      <c r="AA101" s="320">
        <f>IFERROR(__xludf.DUMMYFUNCTION("""COMPUTED_VALUE"""),54.4368)</f>
        <v>54.4368</v>
      </c>
      <c r="AB101" s="320">
        <f>IFERROR(__xludf.DUMMYFUNCTION("""COMPUTED_VALUE"""),0.6446)</f>
        <v>0.6446</v>
      </c>
      <c r="AC101" s="320">
        <f>IFERROR(__xludf.DUMMYFUNCTION("""COMPUTED_VALUE"""),17.14)</f>
        <v>17.14</v>
      </c>
      <c r="AD101" s="320">
        <f>IFERROR(__xludf.DUMMYFUNCTION("""COMPUTED_VALUE"""),6.0)</f>
        <v>6</v>
      </c>
      <c r="AE101" s="320">
        <f>IFERROR(__xludf.DUMMYFUNCTION("""COMPUTED_VALUE"""),12.0)</f>
        <v>12</v>
      </c>
      <c r="AF101" s="320">
        <f>IFERROR(__xludf.DUMMYFUNCTION("""COMPUTED_VALUE"""),24.0)</f>
        <v>24</v>
      </c>
      <c r="AG101" s="320">
        <f>IFERROR(__xludf.DUMMYFUNCTION("""COMPUTED_VALUE"""),37.0)</f>
        <v>37</v>
      </c>
      <c r="AH101" s="320">
        <f>IFERROR(__xludf.DUMMYFUNCTION("""COMPUTED_VALUE"""),54.62)</f>
        <v>54.62</v>
      </c>
      <c r="AI101" s="320">
        <f>IFERROR(__xludf.DUMMYFUNCTION("""COMPUTED_VALUE"""),23.03)</f>
        <v>23.03</v>
      </c>
      <c r="AJ101" s="320">
        <f>IFERROR(__xludf.DUMMYFUNCTION("""COMPUTED_VALUE"""),7.3)</f>
        <v>7.3</v>
      </c>
      <c r="AK101" s="320">
        <f>IFERROR(__xludf.DUMMYFUNCTION("""COMPUTED_VALUE"""),0.214)</f>
        <v>0.214</v>
      </c>
      <c r="AL101" s="320">
        <f>IFERROR(__xludf.DUMMYFUNCTION("""COMPUTED_VALUE"""),21.51)</f>
        <v>21.51</v>
      </c>
      <c r="AM101" s="320">
        <f>IFERROR(__xludf.DUMMYFUNCTION("""COMPUTED_VALUE"""),256.81)</f>
        <v>256.81</v>
      </c>
      <c r="AN101" s="320">
        <f>IFERROR(__xludf.DUMMYFUNCTION("""COMPUTED_VALUE"""),76.06)</f>
        <v>76.06</v>
      </c>
      <c r="AO101" s="320">
        <f>IFERROR(__xludf.DUMMYFUNCTION("""COMPUTED_VALUE"""),16.36)</f>
        <v>16.36</v>
      </c>
    </row>
    <row r="102" ht="15.75" customHeight="1">
      <c r="A102" s="330">
        <f>IFERROR(__xludf.DUMMYFUNCTION("""COMPUTED_VALUE"""),46066.0)</f>
        <v>46066</v>
      </c>
      <c r="B102" s="319" t="str">
        <f>IFERROR(__xludf.DUMMYFUNCTION("""COMPUTED_VALUE"""),"E. 40-99")</f>
        <v>E. 40-99</v>
      </c>
      <c r="C102" s="320">
        <f>IFERROR(__xludf.DUMMYFUNCTION("""COMPUTED_VALUE"""),3374.0)</f>
        <v>3374</v>
      </c>
      <c r="D102" s="320">
        <f>IFERROR(__xludf.DUMMYFUNCTION("""COMPUTED_VALUE"""),4.33)</f>
        <v>4.33</v>
      </c>
      <c r="E102" s="320">
        <f>IFERROR(__xludf.DUMMYFUNCTION("""COMPUTED_VALUE"""),18896.92)</f>
        <v>18896.92</v>
      </c>
      <c r="F102" s="320">
        <f>IFERROR(__xludf.DUMMYFUNCTION("""COMPUTED_VALUE"""),5.6007)</f>
        <v>5.6007</v>
      </c>
      <c r="G102" s="320">
        <f>IFERROR(__xludf.DUMMYFUNCTION("""COMPUTED_VALUE"""),42.15)</f>
        <v>42.15</v>
      </c>
      <c r="H102" s="320">
        <f>IFERROR(__xludf.DUMMYFUNCTION("""COMPUTED_VALUE"""),13.289)</f>
        <v>13.289</v>
      </c>
      <c r="I102" s="320">
        <f>IFERROR(__xludf.DUMMYFUNCTION("""COMPUTED_VALUE"""),131.57)</f>
        <v>131.57</v>
      </c>
      <c r="J102" s="320">
        <f>IFERROR(__xludf.DUMMYFUNCTION("""COMPUTED_VALUE"""),79.96)</f>
        <v>79.96</v>
      </c>
      <c r="K102" s="320">
        <f>IFERROR(__xludf.DUMMYFUNCTION("""COMPUTED_VALUE"""),52.27)</f>
        <v>52.27</v>
      </c>
      <c r="L102" s="320">
        <f>IFERROR(__xludf.DUMMYFUNCTION("""COMPUTED_VALUE"""),0.6538)</f>
        <v>0.6538</v>
      </c>
      <c r="M102" s="320">
        <f>IFERROR(__xludf.DUMMYFUNCTION("""COMPUTED_VALUE"""),0.431)</f>
        <v>0.431</v>
      </c>
      <c r="N102" s="320">
        <f>IFERROR(__xludf.DUMMYFUNCTION("""COMPUTED_VALUE"""),0.2434)</f>
        <v>0.2434</v>
      </c>
      <c r="O102" s="320">
        <f>IFERROR(__xludf.DUMMYFUNCTION("""COMPUTED_VALUE"""),1.5296)</f>
        <v>1.5296</v>
      </c>
      <c r="P102" s="320">
        <f>IFERROR(__xludf.DUMMYFUNCTION("""COMPUTED_VALUE"""),639.6)</f>
        <v>639.6</v>
      </c>
      <c r="Q102" s="320">
        <f>IFERROR(__xludf.DUMMYFUNCTION("""COMPUTED_VALUE"""),529.64)</f>
        <v>529.64</v>
      </c>
      <c r="R102" s="320">
        <f>IFERROR(__xludf.DUMMYFUNCTION("""COMPUTED_VALUE"""),109.97)</f>
        <v>109.97</v>
      </c>
      <c r="S102" s="320">
        <f>IFERROR(__xludf.DUMMYFUNCTION("""COMPUTED_VALUE"""),351.14)</f>
        <v>351.14</v>
      </c>
      <c r="T102" s="320">
        <f>IFERROR(__xludf.DUMMYFUNCTION("""COMPUTED_VALUE"""),288.47)</f>
        <v>288.47</v>
      </c>
      <c r="U102" s="320">
        <f>IFERROR(__xludf.DUMMYFUNCTION("""COMPUTED_VALUE"""),656.11)</f>
        <v>656.11</v>
      </c>
      <c r="V102" s="320">
        <f>IFERROR(__xludf.DUMMYFUNCTION("""COMPUTED_VALUE"""),8.2059)</f>
        <v>8.2059</v>
      </c>
      <c r="W102" s="320">
        <f>IFERROR(__xludf.DUMMYFUNCTION("""COMPUTED_VALUE"""),54.9)</f>
        <v>54.9</v>
      </c>
      <c r="X102" s="320">
        <f>IFERROR(__xludf.DUMMYFUNCTION("""COMPUTED_VALUE"""),104.0)</f>
        <v>104</v>
      </c>
      <c r="Y102" s="320">
        <f>IFERROR(__xludf.DUMMYFUNCTION("""COMPUTED_VALUE"""),344.0)</f>
        <v>344</v>
      </c>
      <c r="Z102" s="320">
        <f>IFERROR(__xludf.DUMMYFUNCTION("""COMPUTED_VALUE"""),1117.0)</f>
        <v>1117</v>
      </c>
      <c r="AA102" s="320">
        <f>IFERROR(__xludf.DUMMYFUNCTION("""COMPUTED_VALUE"""),57.7351)</f>
        <v>57.7351</v>
      </c>
      <c r="AB102" s="320">
        <f>IFERROR(__xludf.DUMMYFUNCTION("""COMPUTED_VALUE"""),0.7525)</f>
        <v>0.7525</v>
      </c>
      <c r="AC102" s="320">
        <f>IFERROR(__xludf.DUMMYFUNCTION("""COMPUTED_VALUE"""),33.82)</f>
        <v>33.82</v>
      </c>
      <c r="AD102" s="320">
        <f>IFERROR(__xludf.DUMMYFUNCTION("""COMPUTED_VALUE"""),11.0)</f>
        <v>11</v>
      </c>
      <c r="AE102" s="320">
        <f>IFERROR(__xludf.DUMMYFUNCTION("""COMPUTED_VALUE"""),24.0)</f>
        <v>24</v>
      </c>
      <c r="AF102" s="320">
        <f>IFERROR(__xludf.DUMMYFUNCTION("""COMPUTED_VALUE"""),47.0)</f>
        <v>47</v>
      </c>
      <c r="AG102" s="320">
        <f>IFERROR(__xludf.DUMMYFUNCTION("""COMPUTED_VALUE"""),73.0)</f>
        <v>73</v>
      </c>
      <c r="AH102" s="320">
        <f>IFERROR(__xludf.DUMMYFUNCTION("""COMPUTED_VALUE"""),45.38)</f>
        <v>45.38</v>
      </c>
      <c r="AI102" s="320">
        <f>IFERROR(__xludf.DUMMYFUNCTION("""COMPUTED_VALUE"""),16.8)</f>
        <v>16.8</v>
      </c>
      <c r="AJ102" s="320">
        <f>IFERROR(__xludf.DUMMYFUNCTION("""COMPUTED_VALUE"""),4.62)</f>
        <v>4.62</v>
      </c>
      <c r="AK102" s="320">
        <f>IFERROR(__xludf.DUMMYFUNCTION("""COMPUTED_VALUE"""),0.1855)</f>
        <v>0.1855</v>
      </c>
      <c r="AL102" s="320">
        <f>IFERROR(__xludf.DUMMYFUNCTION("""COMPUTED_VALUE"""),21.78)</f>
        <v>21.78</v>
      </c>
      <c r="AM102" s="320">
        <f>IFERROR(__xludf.DUMMYFUNCTION("""COMPUTED_VALUE"""),507.86)</f>
        <v>507.86</v>
      </c>
      <c r="AN102" s="320">
        <f>IFERROR(__xludf.DUMMYFUNCTION("""COMPUTED_VALUE"""),77.32)</f>
        <v>77.32</v>
      </c>
      <c r="AO102" s="320">
        <f>IFERROR(__xludf.DUMMYFUNCTION("""COMPUTED_VALUE"""),16.84)</f>
        <v>16.84</v>
      </c>
    </row>
    <row r="103" ht="15.75" customHeight="1">
      <c r="A103" s="330">
        <f>IFERROR(__xludf.DUMMYFUNCTION("""COMPUTED_VALUE"""),46066.0)</f>
        <v>46066</v>
      </c>
      <c r="B103" s="319" t="str">
        <f>IFERROR(__xludf.DUMMYFUNCTION("""COMPUTED_VALUE"""),"F. 100+")</f>
        <v>F. 100+</v>
      </c>
      <c r="C103" s="320">
        <f>IFERROR(__xludf.DUMMYFUNCTION("""COMPUTED_VALUE"""),370.0)</f>
        <v>370</v>
      </c>
      <c r="D103" s="320">
        <f>IFERROR(__xludf.DUMMYFUNCTION("""COMPUTED_VALUE"""),0.47)</f>
        <v>0.47</v>
      </c>
      <c r="E103" s="320">
        <f>IFERROR(__xludf.DUMMYFUNCTION("""COMPUTED_VALUE"""),3893.37)</f>
        <v>3893.37</v>
      </c>
      <c r="F103" s="320">
        <f>IFERROR(__xludf.DUMMYFUNCTION("""COMPUTED_VALUE"""),10.5226)</f>
        <v>10.5226</v>
      </c>
      <c r="G103" s="320">
        <f>IFERROR(__xludf.DUMMYFUNCTION("""COMPUTED_VALUE"""),43.78)</f>
        <v>43.78</v>
      </c>
      <c r="H103" s="320">
        <f>IFERROR(__xludf.DUMMYFUNCTION("""COMPUTED_VALUE"""),24.0331)</f>
        <v>24.0331</v>
      </c>
      <c r="I103" s="320">
        <f>IFERROR(__xludf.DUMMYFUNCTION("""COMPUTED_VALUE"""),246.7)</f>
        <v>246.7</v>
      </c>
      <c r="J103" s="320">
        <f>IFERROR(__xludf.DUMMYFUNCTION("""COMPUTED_VALUE"""),160.92)</f>
        <v>160.92</v>
      </c>
      <c r="K103" s="320">
        <f>IFERROR(__xludf.DUMMYFUNCTION("""COMPUTED_VALUE"""),130.0)</f>
        <v>130</v>
      </c>
      <c r="L103" s="320">
        <f>IFERROR(__xludf.DUMMYFUNCTION("""COMPUTED_VALUE"""),0.8078)</f>
        <v>0.8078</v>
      </c>
      <c r="M103" s="320">
        <f>IFERROR(__xludf.DUMMYFUNCTION("""COMPUTED_VALUE"""),0.2823)</f>
        <v>0.2823</v>
      </c>
      <c r="N103" s="320">
        <f>IFERROR(__xludf.DUMMYFUNCTION("""COMPUTED_VALUE"""),0.1765)</f>
        <v>0.1765</v>
      </c>
      <c r="O103" s="320">
        <f>IFERROR(__xludf.DUMMYFUNCTION("""COMPUTED_VALUE"""),1.2379)</f>
        <v>1.2379</v>
      </c>
      <c r="P103" s="320">
        <f>IFERROR(__xludf.DUMMYFUNCTION("""COMPUTED_VALUE"""),1271.98)</f>
        <v>1271.98</v>
      </c>
      <c r="Q103" s="320">
        <f>IFERROR(__xludf.DUMMYFUNCTION("""COMPUTED_VALUE"""),997.98)</f>
        <v>997.98</v>
      </c>
      <c r="R103" s="320">
        <f>IFERROR(__xludf.DUMMYFUNCTION("""COMPUTED_VALUE"""),274.0)</f>
        <v>274</v>
      </c>
      <c r="S103" s="320">
        <f>IFERROR(__xludf.DUMMYFUNCTION("""COMPUTED_VALUE"""),653.07)</f>
        <v>653.07</v>
      </c>
      <c r="T103" s="320">
        <f>IFERROR(__xludf.DUMMYFUNCTION("""COMPUTED_VALUE"""),618.92)</f>
        <v>618.92</v>
      </c>
      <c r="U103" s="320">
        <f>IFERROR(__xludf.DUMMYFUNCTION("""COMPUTED_VALUE"""),1410.81)</f>
        <v>1410.81</v>
      </c>
      <c r="V103" s="320">
        <f>IFERROR(__xludf.DUMMYFUNCTION("""COMPUTED_VALUE"""),8.7671)</f>
        <v>8.7671</v>
      </c>
      <c r="W103" s="320">
        <f>IFERROR(__xludf.DUMMYFUNCTION("""COMPUTED_VALUE"""),51.34)</f>
        <v>51.34</v>
      </c>
      <c r="X103" s="320">
        <f>IFERROR(__xludf.DUMMYFUNCTION("""COMPUTED_VALUE"""),159.0)</f>
        <v>159</v>
      </c>
      <c r="Y103" s="320">
        <f>IFERROR(__xludf.DUMMYFUNCTION("""COMPUTED_VALUE"""),538.0)</f>
        <v>538</v>
      </c>
      <c r="Z103" s="320">
        <f>IFERROR(__xludf.DUMMYFUNCTION("""COMPUTED_VALUE"""),2024.0)</f>
        <v>2024</v>
      </c>
      <c r="AA103" s="320">
        <f>IFERROR(__xludf.DUMMYFUNCTION("""COMPUTED_VALUE"""),61.6626)</f>
        <v>61.6626</v>
      </c>
      <c r="AB103" s="320">
        <f>IFERROR(__xludf.DUMMYFUNCTION("""COMPUTED_VALUE"""),0.8461)</f>
        <v>0.8461</v>
      </c>
      <c r="AC103" s="320">
        <f>IFERROR(__xludf.DUMMYFUNCTION("""COMPUTED_VALUE"""),87.82)</f>
        <v>87.82</v>
      </c>
      <c r="AD103" s="320">
        <f>IFERROR(__xludf.DUMMYFUNCTION("""COMPUTED_VALUE"""),27.0)</f>
        <v>27</v>
      </c>
      <c r="AE103" s="320">
        <f>IFERROR(__xludf.DUMMYFUNCTION("""COMPUTED_VALUE"""),65.0)</f>
        <v>65</v>
      </c>
      <c r="AF103" s="320">
        <f>IFERROR(__xludf.DUMMYFUNCTION("""COMPUTED_VALUE"""),123.0)</f>
        <v>123</v>
      </c>
      <c r="AG103" s="320">
        <f>IFERROR(__xludf.DUMMYFUNCTION("""COMPUTED_VALUE"""),190.0)</f>
        <v>190</v>
      </c>
      <c r="AH103" s="320">
        <f>IFERROR(__xludf.DUMMYFUNCTION("""COMPUTED_VALUE"""),42.97)</f>
        <v>42.97</v>
      </c>
      <c r="AI103" s="320">
        <f>IFERROR(__xludf.DUMMYFUNCTION("""COMPUTED_VALUE"""),13.78)</f>
        <v>13.78</v>
      </c>
      <c r="AJ103" s="320">
        <f>IFERROR(__xludf.DUMMYFUNCTION("""COMPUTED_VALUE"""),2.16)</f>
        <v>2.16</v>
      </c>
      <c r="AK103" s="320">
        <f>IFERROR(__xludf.DUMMYFUNCTION("""COMPUTED_VALUE"""),0.1568)</f>
        <v>0.1568</v>
      </c>
      <c r="AL103" s="320">
        <f>IFERROR(__xludf.DUMMYFUNCTION("""COMPUTED_VALUE"""),22.65)</f>
        <v>22.65</v>
      </c>
      <c r="AM103" s="320">
        <f>IFERROR(__xludf.DUMMYFUNCTION("""COMPUTED_VALUE"""),975.34)</f>
        <v>975.34</v>
      </c>
      <c r="AN103" s="320">
        <f>IFERROR(__xludf.DUMMYFUNCTION("""COMPUTED_VALUE"""),74.17)</f>
        <v>74.17</v>
      </c>
      <c r="AO103" s="320">
        <f>IFERROR(__xludf.DUMMYFUNCTION("""COMPUTED_VALUE"""),16.8)</f>
        <v>16.8</v>
      </c>
    </row>
    <row r="104" ht="15.75" customHeight="1">
      <c r="A104" s="330">
        <f>IFERROR(__xludf.DUMMYFUNCTION("""COMPUTED_VALUE"""),46067.0)</f>
        <v>46067</v>
      </c>
      <c r="B104" s="319" t="str">
        <f>IFERROR(__xludf.DUMMYFUNCTION("""COMPUTED_VALUE"""),"A. 0")</f>
        <v>A. 0</v>
      </c>
      <c r="C104" s="320">
        <f>IFERROR(__xludf.DUMMYFUNCTION("""COMPUTED_VALUE"""),16225.0)</f>
        <v>16225</v>
      </c>
      <c r="D104" s="320">
        <f>IFERROR(__xludf.DUMMYFUNCTION("""COMPUTED_VALUE"""),21.16)</f>
        <v>21.16</v>
      </c>
      <c r="E104" s="320">
        <f>IFERROR(__xludf.DUMMYFUNCTION("""COMPUTED_VALUE"""),191.21)</f>
        <v>191.21</v>
      </c>
      <c r="F104" s="320">
        <f>IFERROR(__xludf.DUMMYFUNCTION("""COMPUTED_VALUE"""),0.0118)</f>
        <v>0.0118</v>
      </c>
      <c r="G104" s="320">
        <f>IFERROR(__xludf.DUMMYFUNCTION("""COMPUTED_VALUE"""),0.27)</f>
        <v>0.27</v>
      </c>
      <c r="H104" s="320">
        <f>IFERROR(__xludf.DUMMYFUNCTION("""COMPUTED_VALUE"""),4.4467)</f>
        <v>4.4467</v>
      </c>
      <c r="I104" s="320">
        <f>IFERROR(__xludf.DUMMYFUNCTION("""COMPUTED_VALUE"""),6.13)</f>
        <v>6.13</v>
      </c>
      <c r="J104" s="320">
        <f>IFERROR(__xludf.DUMMYFUNCTION("""COMPUTED_VALUE"""),2.69)</f>
        <v>2.69</v>
      </c>
      <c r="K104" s="320">
        <f>IFERROR(__xludf.DUMMYFUNCTION("""COMPUTED_VALUE"""),0.04)</f>
        <v>0.04</v>
      </c>
      <c r="L104" s="320">
        <f>IFERROR(__xludf.DUMMYFUNCTION("""COMPUTED_VALUE"""),0.0155)</f>
        <v>0.0155</v>
      </c>
      <c r="M104" s="320">
        <f>IFERROR(__xludf.DUMMYFUNCTION("""COMPUTED_VALUE"""),0.9855)</f>
        <v>0.9855</v>
      </c>
      <c r="N104" s="320">
        <f>IFERROR(__xludf.DUMMYFUNCTION("""COMPUTED_VALUE"""),0.8151)</f>
        <v>0.8151</v>
      </c>
      <c r="O104" s="320">
        <f>IFERROR(__xludf.DUMMYFUNCTION("""COMPUTED_VALUE"""),64.5414)</f>
        <v>64.5414</v>
      </c>
      <c r="P104" s="320">
        <f>IFERROR(__xludf.DUMMYFUNCTION("""COMPUTED_VALUE"""),26.76)</f>
        <v>26.76</v>
      </c>
      <c r="Q104" s="320">
        <f>IFERROR(__xludf.DUMMYFUNCTION("""COMPUTED_VALUE"""),26.69)</f>
        <v>26.69</v>
      </c>
      <c r="R104" s="320">
        <f>IFERROR(__xludf.DUMMYFUNCTION("""COMPUTED_VALUE"""),0.07)</f>
        <v>0.07</v>
      </c>
      <c r="S104" s="320">
        <f>IFERROR(__xludf.DUMMYFUNCTION("""COMPUTED_VALUE"""),0.86)</f>
        <v>0.86</v>
      </c>
      <c r="T104" s="320">
        <f>IFERROR(__xludf.DUMMYFUNCTION("""COMPUTED_VALUE"""),25.9)</f>
        <v>25.9</v>
      </c>
      <c r="U104" s="320">
        <f>IFERROR(__xludf.DUMMYFUNCTION("""COMPUTED_VALUE"""),2.42)</f>
        <v>2.42</v>
      </c>
      <c r="V104" s="320">
        <f>IFERROR(__xludf.DUMMYFUNCTION("""COMPUTED_VALUE"""),0.8996)</f>
        <v>0.8996</v>
      </c>
      <c r="W104" s="320">
        <f>IFERROR(__xludf.DUMMYFUNCTION("""COMPUTED_VALUE"""),3.23)</f>
        <v>3.23</v>
      </c>
      <c r="X104" s="320">
        <f>IFERROR(__xludf.DUMMYFUNCTION("""COMPUTED_VALUE"""),148.0)</f>
        <v>148</v>
      </c>
      <c r="Y104" s="320">
        <f>IFERROR(__xludf.DUMMYFUNCTION("""COMPUTED_VALUE"""),938.0)</f>
        <v>938</v>
      </c>
      <c r="Z104" s="320">
        <f>IFERROR(__xludf.DUMMYFUNCTION("""COMPUTED_VALUE"""),6570.0)</f>
        <v>6570</v>
      </c>
      <c r="AA104" s="320">
        <f>IFERROR(__xludf.DUMMYFUNCTION("""COMPUTED_VALUE"""),49.7142)</f>
        <v>49.7142</v>
      </c>
      <c r="AB104" s="320">
        <f>IFERROR(__xludf.DUMMYFUNCTION("""COMPUTED_VALUE"""),0.5076)</f>
        <v>0.5076</v>
      </c>
      <c r="AC104" s="106"/>
      <c r="AD104" s="106"/>
      <c r="AE104" s="106"/>
      <c r="AF104" s="106"/>
      <c r="AG104" s="106"/>
      <c r="AH104" s="320">
        <f>IFERROR(__xludf.DUMMYFUNCTION("""COMPUTED_VALUE"""),0.0)</f>
        <v>0</v>
      </c>
      <c r="AI104" s="320">
        <f>IFERROR(__xludf.DUMMYFUNCTION("""COMPUTED_VALUE"""),0.0)</f>
        <v>0</v>
      </c>
      <c r="AJ104" s="320">
        <f>IFERROR(__xludf.DUMMYFUNCTION("""COMPUTED_VALUE"""),0.0)</f>
        <v>0</v>
      </c>
      <c r="AK104" s="320">
        <f>IFERROR(__xludf.DUMMYFUNCTION("""COMPUTED_VALUE"""),0.2861)</f>
        <v>0.2861</v>
      </c>
      <c r="AL104" s="320">
        <f>IFERROR(__xludf.DUMMYFUNCTION("""COMPUTED_VALUE"""),17.11)</f>
        <v>17.11</v>
      </c>
      <c r="AM104" s="320">
        <f>IFERROR(__xludf.DUMMYFUNCTION("""COMPUTED_VALUE"""),9.58)</f>
        <v>9.58</v>
      </c>
      <c r="AN104" s="331"/>
      <c r="AO104" s="331"/>
    </row>
    <row r="105" ht="15.75" customHeight="1">
      <c r="A105" s="330">
        <f>IFERROR(__xludf.DUMMYFUNCTION("""COMPUTED_VALUE"""),46067.0)</f>
        <v>46067</v>
      </c>
      <c r="B105" s="319" t="str">
        <f>IFERROR(__xludf.DUMMYFUNCTION("""COMPUTED_VALUE"""),"B. 1-9")</f>
        <v>B. 1-9</v>
      </c>
      <c r="C105" s="320">
        <f>IFERROR(__xludf.DUMMYFUNCTION("""COMPUTED_VALUE"""),32712.0)</f>
        <v>32712</v>
      </c>
      <c r="D105" s="320">
        <f>IFERROR(__xludf.DUMMYFUNCTION("""COMPUTED_VALUE"""),42.66)</f>
        <v>42.66</v>
      </c>
      <c r="E105" s="320">
        <f>IFERROR(__xludf.DUMMYFUNCTION("""COMPUTED_VALUE"""),8636.68)</f>
        <v>8636.68</v>
      </c>
      <c r="F105" s="320">
        <f>IFERROR(__xludf.DUMMYFUNCTION("""COMPUTED_VALUE"""),0.264)</f>
        <v>0.264</v>
      </c>
      <c r="G105" s="320">
        <f>IFERROR(__xludf.DUMMYFUNCTION("""COMPUTED_VALUE"""),7.34)</f>
        <v>7.34</v>
      </c>
      <c r="H105" s="320">
        <f>IFERROR(__xludf.DUMMYFUNCTION("""COMPUTED_VALUE"""),3.5956)</f>
        <v>3.5956</v>
      </c>
      <c r="I105" s="320">
        <f>IFERROR(__xludf.DUMMYFUNCTION("""COMPUTED_VALUE"""),31.2)</f>
        <v>31.2</v>
      </c>
      <c r="J105" s="320">
        <f>IFERROR(__xludf.DUMMYFUNCTION("""COMPUTED_VALUE"""),16.59)</f>
        <v>16.59</v>
      </c>
      <c r="K105" s="320">
        <f>IFERROR(__xludf.DUMMYFUNCTION("""COMPUTED_VALUE"""),5.48)</f>
        <v>5.48</v>
      </c>
      <c r="L105" s="320">
        <f>IFERROR(__xludf.DUMMYFUNCTION("""COMPUTED_VALUE"""),0.3302)</f>
        <v>0.3302</v>
      </c>
      <c r="M105" s="320">
        <f>IFERROR(__xludf.DUMMYFUNCTION("""COMPUTED_VALUE"""),0.7439)</f>
        <v>0.7439</v>
      </c>
      <c r="N105" s="320">
        <f>IFERROR(__xludf.DUMMYFUNCTION("""COMPUTED_VALUE"""),0.5013)</f>
        <v>0.5013</v>
      </c>
      <c r="O105" s="320">
        <f>IFERROR(__xludf.DUMMYFUNCTION("""COMPUTED_VALUE"""),3.0286)</f>
        <v>3.0286</v>
      </c>
      <c r="P105" s="320">
        <f>IFERROR(__xludf.DUMMYFUNCTION("""COMPUTED_VALUE"""),75.6)</f>
        <v>75.6</v>
      </c>
      <c r="Q105" s="320">
        <f>IFERROR(__xludf.DUMMYFUNCTION("""COMPUTED_VALUE"""),64.42)</f>
        <v>64.42</v>
      </c>
      <c r="R105" s="320">
        <f>IFERROR(__xludf.DUMMYFUNCTION("""COMPUTED_VALUE"""),11.18)</f>
        <v>11.18</v>
      </c>
      <c r="S105" s="320">
        <f>IFERROR(__xludf.DUMMYFUNCTION("""COMPUTED_VALUE"""),18.09)</f>
        <v>18.09</v>
      </c>
      <c r="T105" s="320">
        <f>IFERROR(__xludf.DUMMYFUNCTION("""COMPUTED_VALUE"""),57.51)</f>
        <v>57.51</v>
      </c>
      <c r="U105" s="320">
        <f>IFERROR(__xludf.DUMMYFUNCTION("""COMPUTED_VALUE"""),80.88)</f>
        <v>80.88</v>
      </c>
      <c r="V105" s="320">
        <f>IFERROR(__xludf.DUMMYFUNCTION("""COMPUTED_VALUE"""),4.8752)</f>
        <v>4.8752</v>
      </c>
      <c r="W105" s="320">
        <f>IFERROR(__xludf.DUMMYFUNCTION("""COMPUTED_VALUE"""),23.93)</f>
        <v>23.93</v>
      </c>
      <c r="X105" s="320">
        <f>IFERROR(__xludf.DUMMYFUNCTION("""COMPUTED_VALUE"""),89.0)</f>
        <v>89</v>
      </c>
      <c r="Y105" s="320">
        <f>IFERROR(__xludf.DUMMYFUNCTION("""COMPUTED_VALUE"""),214.0)</f>
        <v>214</v>
      </c>
      <c r="Z105" s="320">
        <f>IFERROR(__xludf.DUMMYFUNCTION("""COMPUTED_VALUE"""),852.0)</f>
        <v>852</v>
      </c>
      <c r="AA105" s="320">
        <f>IFERROR(__xludf.DUMMYFUNCTION("""COMPUTED_VALUE"""),49.6125)</f>
        <v>49.6125</v>
      </c>
      <c r="AB105" s="320">
        <f>IFERROR(__xludf.DUMMYFUNCTION("""COMPUTED_VALUE"""),0.4537)</f>
        <v>0.4537</v>
      </c>
      <c r="AC105" s="320">
        <f>IFERROR(__xludf.DUMMYFUNCTION("""COMPUTED_VALUE"""),3.67)</f>
        <v>3.67</v>
      </c>
      <c r="AD105" s="320">
        <f>IFERROR(__xludf.DUMMYFUNCTION("""COMPUTED_VALUE"""),1.0)</f>
        <v>1</v>
      </c>
      <c r="AE105" s="320">
        <f>IFERROR(__xludf.DUMMYFUNCTION("""COMPUTED_VALUE"""),2.0)</f>
        <v>2</v>
      </c>
      <c r="AF105" s="320">
        <f>IFERROR(__xludf.DUMMYFUNCTION("""COMPUTED_VALUE"""),5.0)</f>
        <v>5</v>
      </c>
      <c r="AG105" s="320">
        <f>IFERROR(__xludf.DUMMYFUNCTION("""COMPUTED_VALUE"""),8.0)</f>
        <v>8</v>
      </c>
      <c r="AH105" s="320">
        <f>IFERROR(__xludf.DUMMYFUNCTION("""COMPUTED_VALUE"""),66.94)</f>
        <v>66.94</v>
      </c>
      <c r="AI105" s="320">
        <f>IFERROR(__xludf.DUMMYFUNCTION("""COMPUTED_VALUE"""),25.96)</f>
        <v>25.96</v>
      </c>
      <c r="AJ105" s="320">
        <f>IFERROR(__xludf.DUMMYFUNCTION("""COMPUTED_VALUE"""),7.86)</f>
        <v>7.86</v>
      </c>
      <c r="AK105" s="320">
        <f>IFERROR(__xludf.DUMMYFUNCTION("""COMPUTED_VALUE"""),0.222)</f>
        <v>0.222</v>
      </c>
      <c r="AL105" s="320">
        <f>IFERROR(__xludf.DUMMYFUNCTION("""COMPUTED_VALUE"""),22.35)</f>
        <v>22.35</v>
      </c>
      <c r="AM105" s="320">
        <f>IFERROR(__xludf.DUMMYFUNCTION("""COMPUTED_VALUE"""),42.07)</f>
        <v>42.07</v>
      </c>
      <c r="AN105" s="320">
        <f>IFERROR(__xludf.DUMMYFUNCTION("""COMPUTED_VALUE"""),68.29)</f>
        <v>68.29</v>
      </c>
      <c r="AO105" s="320">
        <f>IFERROR(__xludf.DUMMYFUNCTION("""COMPUTED_VALUE"""),15.26)</f>
        <v>15.26</v>
      </c>
    </row>
    <row r="106" ht="15.75" customHeight="1">
      <c r="A106" s="330">
        <f>IFERROR(__xludf.DUMMYFUNCTION("""COMPUTED_VALUE"""),46067.0)</f>
        <v>46067</v>
      </c>
      <c r="B106" s="319" t="str">
        <f>IFERROR(__xludf.DUMMYFUNCTION("""COMPUTED_VALUE"""),"C. 10-19")</f>
        <v>C. 10-19</v>
      </c>
      <c r="C106" s="320">
        <f>IFERROR(__xludf.DUMMYFUNCTION("""COMPUTED_VALUE"""),15583.0)</f>
        <v>15583</v>
      </c>
      <c r="D106" s="320">
        <f>IFERROR(__xludf.DUMMYFUNCTION("""COMPUTED_VALUE"""),20.32)</f>
        <v>20.32</v>
      </c>
      <c r="E106" s="320">
        <f>IFERROR(__xludf.DUMMYFUNCTION("""COMPUTED_VALUE"""),16683.48)</f>
        <v>16683.48</v>
      </c>
      <c r="F106" s="320">
        <f>IFERROR(__xludf.DUMMYFUNCTION("""COMPUTED_VALUE"""),1.0706)</f>
        <v>1.0706</v>
      </c>
      <c r="G106" s="320">
        <f>IFERROR(__xludf.DUMMYFUNCTION("""COMPUTED_VALUE"""),21.88)</f>
        <v>21.88</v>
      </c>
      <c r="H106" s="320">
        <f>IFERROR(__xludf.DUMMYFUNCTION("""COMPUTED_VALUE"""),4.894)</f>
        <v>4.894</v>
      </c>
      <c r="I106" s="320">
        <f>IFERROR(__xludf.DUMMYFUNCTION("""COMPUTED_VALUE"""),58.74)</f>
        <v>58.74</v>
      </c>
      <c r="J106" s="320">
        <f>IFERROR(__xludf.DUMMYFUNCTION("""COMPUTED_VALUE"""),33.2)</f>
        <v>33.2</v>
      </c>
      <c r="K106" s="320">
        <f>IFERROR(__xludf.DUMMYFUNCTION("""COMPUTED_VALUE"""),14.31)</f>
        <v>14.31</v>
      </c>
      <c r="L106" s="320">
        <f>IFERROR(__xludf.DUMMYFUNCTION("""COMPUTED_VALUE"""),0.4311)</f>
        <v>0.4311</v>
      </c>
      <c r="M106" s="320">
        <f>IFERROR(__xludf.DUMMYFUNCTION("""COMPUTED_VALUE"""),0.6356)</f>
        <v>0.6356</v>
      </c>
      <c r="N106" s="320">
        <f>IFERROR(__xludf.DUMMYFUNCTION("""COMPUTED_VALUE"""),0.373)</f>
        <v>0.373</v>
      </c>
      <c r="O106" s="320">
        <f>IFERROR(__xludf.DUMMYFUNCTION("""COMPUTED_VALUE"""),2.3197)</f>
        <v>2.3197</v>
      </c>
      <c r="P106" s="320">
        <f>IFERROR(__xludf.DUMMYFUNCTION("""COMPUTED_VALUE"""),178.06)</f>
        <v>178.06</v>
      </c>
      <c r="Q106" s="320">
        <f>IFERROR(__xludf.DUMMYFUNCTION("""COMPUTED_VALUE"""),148.11)</f>
        <v>148.11</v>
      </c>
      <c r="R106" s="320">
        <f>IFERROR(__xludf.DUMMYFUNCTION("""COMPUTED_VALUE"""),29.96)</f>
        <v>29.96</v>
      </c>
      <c r="S106" s="320">
        <f>IFERROR(__xludf.DUMMYFUNCTION("""COMPUTED_VALUE"""),71.12)</f>
        <v>71.12</v>
      </c>
      <c r="T106" s="320">
        <f>IFERROR(__xludf.DUMMYFUNCTION("""COMPUTED_VALUE"""),106.94)</f>
        <v>106.94</v>
      </c>
      <c r="U106" s="320">
        <f>IFERROR(__xludf.DUMMYFUNCTION("""COMPUTED_VALUE"""),185.67)</f>
        <v>185.67</v>
      </c>
      <c r="V106" s="320">
        <f>IFERROR(__xludf.DUMMYFUNCTION("""COMPUTED_VALUE"""),5.5933)</f>
        <v>5.5933</v>
      </c>
      <c r="W106" s="320">
        <f>IFERROR(__xludf.DUMMYFUNCTION("""COMPUTED_VALUE"""),39.94)</f>
        <v>39.94</v>
      </c>
      <c r="X106" s="320">
        <f>IFERROR(__xludf.DUMMYFUNCTION("""COMPUTED_VALUE"""),87.0)</f>
        <v>87</v>
      </c>
      <c r="Y106" s="320">
        <f>IFERROR(__xludf.DUMMYFUNCTION("""COMPUTED_VALUE"""),207.0)</f>
        <v>207</v>
      </c>
      <c r="Z106" s="320">
        <f>IFERROR(__xludf.DUMMYFUNCTION("""COMPUTED_VALUE"""),691.0)</f>
        <v>691</v>
      </c>
      <c r="AA106" s="320">
        <f>IFERROR(__xludf.DUMMYFUNCTION("""COMPUTED_VALUE"""),52.4276)</f>
        <v>52.4276</v>
      </c>
      <c r="AB106" s="320">
        <f>IFERROR(__xludf.DUMMYFUNCTION("""COMPUTED_VALUE"""),0.5483)</f>
        <v>0.5483</v>
      </c>
      <c r="AC106" s="320">
        <f>IFERROR(__xludf.DUMMYFUNCTION("""COMPUTED_VALUE"""),9.25)</f>
        <v>9.25</v>
      </c>
      <c r="AD106" s="320">
        <f>IFERROR(__xludf.DUMMYFUNCTION("""COMPUTED_VALUE"""),3.0)</f>
        <v>3</v>
      </c>
      <c r="AE106" s="320">
        <f>IFERROR(__xludf.DUMMYFUNCTION("""COMPUTED_VALUE"""),7.0)</f>
        <v>7</v>
      </c>
      <c r="AF106" s="320">
        <f>IFERROR(__xludf.DUMMYFUNCTION("""COMPUTED_VALUE"""),13.0)</f>
        <v>13</v>
      </c>
      <c r="AG106" s="320">
        <f>IFERROR(__xludf.DUMMYFUNCTION("""COMPUTED_VALUE"""),20.0)</f>
        <v>20</v>
      </c>
      <c r="AH106" s="320">
        <f>IFERROR(__xludf.DUMMYFUNCTION("""COMPUTED_VALUE"""),55.84)</f>
        <v>55.84</v>
      </c>
      <c r="AI106" s="320">
        <f>IFERROR(__xludf.DUMMYFUNCTION("""COMPUTED_VALUE"""),25.69)</f>
        <v>25.69</v>
      </c>
      <c r="AJ106" s="320">
        <f>IFERROR(__xludf.DUMMYFUNCTION("""COMPUTED_VALUE"""),5.45)</f>
        <v>5.45</v>
      </c>
      <c r="AK106" s="320">
        <f>IFERROR(__xludf.DUMMYFUNCTION("""COMPUTED_VALUE"""),0.1953)</f>
        <v>0.1953</v>
      </c>
      <c r="AL106" s="320">
        <f>IFERROR(__xludf.DUMMYFUNCTION("""COMPUTED_VALUE"""),22.95)</f>
        <v>22.95</v>
      </c>
      <c r="AM106" s="320">
        <f>IFERROR(__xludf.DUMMYFUNCTION("""COMPUTED_VALUE"""),125.16)</f>
        <v>125.16</v>
      </c>
      <c r="AN106" s="320">
        <f>IFERROR(__xludf.DUMMYFUNCTION("""COMPUTED_VALUE"""),74.3)</f>
        <v>74.3</v>
      </c>
      <c r="AO106" s="320">
        <f>IFERROR(__xludf.DUMMYFUNCTION("""COMPUTED_VALUE"""),17.05)</f>
        <v>17.05</v>
      </c>
    </row>
    <row r="107" ht="15.75" customHeight="1">
      <c r="A107" s="330">
        <f>IFERROR(__xludf.DUMMYFUNCTION("""COMPUTED_VALUE"""),46067.0)</f>
        <v>46067</v>
      </c>
      <c r="B107" s="319" t="str">
        <f>IFERROR(__xludf.DUMMYFUNCTION("""COMPUTED_VALUE"""),"D. 20-39")</f>
        <v>D. 20-39</v>
      </c>
      <c r="C107" s="320">
        <f>IFERROR(__xludf.DUMMYFUNCTION("""COMPUTED_VALUE"""),8465.0)</f>
        <v>8465</v>
      </c>
      <c r="D107" s="320">
        <f>IFERROR(__xludf.DUMMYFUNCTION("""COMPUTED_VALUE"""),11.04)</f>
        <v>11.04</v>
      </c>
      <c r="E107" s="320">
        <f>IFERROR(__xludf.DUMMYFUNCTION("""COMPUTED_VALUE"""),21327.23)</f>
        <v>21327.23</v>
      </c>
      <c r="F107" s="320">
        <f>IFERROR(__xludf.DUMMYFUNCTION("""COMPUTED_VALUE"""),2.5195)</f>
        <v>2.5195</v>
      </c>
      <c r="G107" s="320">
        <f>IFERROR(__xludf.DUMMYFUNCTION("""COMPUTED_VALUE"""),32.06)</f>
        <v>32.06</v>
      </c>
      <c r="H107" s="320">
        <f>IFERROR(__xludf.DUMMYFUNCTION("""COMPUTED_VALUE"""),7.8582)</f>
        <v>7.8582</v>
      </c>
      <c r="I107" s="320">
        <f>IFERROR(__xludf.DUMMYFUNCTION("""COMPUTED_VALUE"""),86.34)</f>
        <v>86.34</v>
      </c>
      <c r="J107" s="320">
        <f>IFERROR(__xludf.DUMMYFUNCTION("""COMPUTED_VALUE"""),50.05)</f>
        <v>50.05</v>
      </c>
      <c r="K107" s="320">
        <f>IFERROR(__xludf.DUMMYFUNCTION("""COMPUTED_VALUE"""),26.97)</f>
        <v>26.97</v>
      </c>
      <c r="L107" s="320">
        <f>IFERROR(__xludf.DUMMYFUNCTION("""COMPUTED_VALUE"""),0.5389)</f>
        <v>0.5389</v>
      </c>
      <c r="M107" s="320">
        <f>IFERROR(__xludf.DUMMYFUNCTION("""COMPUTED_VALUE"""),0.5357)</f>
        <v>0.5357</v>
      </c>
      <c r="N107" s="320">
        <f>IFERROR(__xludf.DUMMYFUNCTION("""COMPUTED_VALUE"""),0.3025)</f>
        <v>0.3025</v>
      </c>
      <c r="O107" s="320">
        <f>IFERROR(__xludf.DUMMYFUNCTION("""COMPUTED_VALUE"""),1.8556)</f>
        <v>1.8556</v>
      </c>
      <c r="P107" s="320">
        <f>IFERROR(__xludf.DUMMYFUNCTION("""COMPUTED_VALUE"""),344.78)</f>
        <v>344.78</v>
      </c>
      <c r="Q107" s="320">
        <f>IFERROR(__xludf.DUMMYFUNCTION("""COMPUTED_VALUE"""),288.06)</f>
        <v>288.06</v>
      </c>
      <c r="R107" s="320">
        <f>IFERROR(__xludf.DUMMYFUNCTION("""COMPUTED_VALUE"""),56.72)</f>
        <v>56.72</v>
      </c>
      <c r="S107" s="320">
        <f>IFERROR(__xludf.DUMMYFUNCTION("""COMPUTED_VALUE"""),163.78)</f>
        <v>163.78</v>
      </c>
      <c r="T107" s="320">
        <f>IFERROR(__xludf.DUMMYFUNCTION("""COMPUTED_VALUE"""),181.01)</f>
        <v>181.01</v>
      </c>
      <c r="U107" s="320">
        <f>IFERROR(__xludf.DUMMYFUNCTION("""COMPUTED_VALUE"""),351.88)</f>
        <v>351.88</v>
      </c>
      <c r="V107" s="320">
        <f>IFERROR(__xludf.DUMMYFUNCTION("""COMPUTED_VALUE"""),7.03)</f>
        <v>7.03</v>
      </c>
      <c r="W107" s="320">
        <f>IFERROR(__xludf.DUMMYFUNCTION("""COMPUTED_VALUE"""),47.5)</f>
        <v>47.5</v>
      </c>
      <c r="X107" s="320">
        <f>IFERROR(__xludf.DUMMYFUNCTION("""COMPUTED_VALUE"""),92.0)</f>
        <v>92</v>
      </c>
      <c r="Y107" s="320">
        <f>IFERROR(__xludf.DUMMYFUNCTION("""COMPUTED_VALUE"""),240.0)</f>
        <v>240</v>
      </c>
      <c r="Z107" s="320">
        <f>IFERROR(__xludf.DUMMYFUNCTION("""COMPUTED_VALUE"""),783.0)</f>
        <v>783</v>
      </c>
      <c r="AA107" s="320">
        <f>IFERROR(__xludf.DUMMYFUNCTION("""COMPUTED_VALUE"""),54.5167)</f>
        <v>54.5167</v>
      </c>
      <c r="AB107" s="320">
        <f>IFERROR(__xludf.DUMMYFUNCTION("""COMPUTED_VALUE"""),0.654)</f>
        <v>0.654</v>
      </c>
      <c r="AC107" s="320">
        <f>IFERROR(__xludf.DUMMYFUNCTION("""COMPUTED_VALUE"""),17.56)</f>
        <v>17.56</v>
      </c>
      <c r="AD107" s="320">
        <f>IFERROR(__xludf.DUMMYFUNCTION("""COMPUTED_VALUE"""),6.0)</f>
        <v>6</v>
      </c>
      <c r="AE107" s="320">
        <f>IFERROR(__xludf.DUMMYFUNCTION("""COMPUTED_VALUE"""),12.0)</f>
        <v>12</v>
      </c>
      <c r="AF107" s="320">
        <f>IFERROR(__xludf.DUMMYFUNCTION("""COMPUTED_VALUE"""),25.0)</f>
        <v>25</v>
      </c>
      <c r="AG107" s="320">
        <f>IFERROR(__xludf.DUMMYFUNCTION("""COMPUTED_VALUE"""),38.0)</f>
        <v>38</v>
      </c>
      <c r="AH107" s="320">
        <f>IFERROR(__xludf.DUMMYFUNCTION("""COMPUTED_VALUE"""),55.1)</f>
        <v>55.1</v>
      </c>
      <c r="AI107" s="320">
        <f>IFERROR(__xludf.DUMMYFUNCTION("""COMPUTED_VALUE"""),24.02)</f>
        <v>24.02</v>
      </c>
      <c r="AJ107" s="320">
        <f>IFERROR(__xludf.DUMMYFUNCTION("""COMPUTED_VALUE"""),8.12)</f>
        <v>8.12</v>
      </c>
      <c r="AK107" s="320">
        <f>IFERROR(__xludf.DUMMYFUNCTION("""COMPUTED_VALUE"""),0.1953)</f>
        <v>0.1953</v>
      </c>
      <c r="AL107" s="320">
        <f>IFERROR(__xludf.DUMMYFUNCTION("""COMPUTED_VALUE"""),22.71)</f>
        <v>22.71</v>
      </c>
      <c r="AM107" s="320">
        <f>IFERROR(__xludf.DUMMYFUNCTION("""COMPUTED_VALUE"""),265.35)</f>
        <v>265.35</v>
      </c>
      <c r="AN107" s="320">
        <f>IFERROR(__xludf.DUMMYFUNCTION("""COMPUTED_VALUE"""),75.77)</f>
        <v>75.77</v>
      </c>
      <c r="AO107" s="320">
        <f>IFERROR(__xludf.DUMMYFUNCTION("""COMPUTED_VALUE"""),17.21)</f>
        <v>17.21</v>
      </c>
    </row>
    <row r="108" ht="15.75" customHeight="1">
      <c r="A108" s="330">
        <f>IFERROR(__xludf.DUMMYFUNCTION("""COMPUTED_VALUE"""),46067.0)</f>
        <v>46067</v>
      </c>
      <c r="B108" s="319" t="str">
        <f>IFERROR(__xludf.DUMMYFUNCTION("""COMPUTED_VALUE"""),"E. 40-99")</f>
        <v>E. 40-99</v>
      </c>
      <c r="C108" s="320">
        <f>IFERROR(__xludf.DUMMYFUNCTION("""COMPUTED_VALUE"""),3319.0)</f>
        <v>3319</v>
      </c>
      <c r="D108" s="320">
        <f>IFERROR(__xludf.DUMMYFUNCTION("""COMPUTED_VALUE"""),4.33)</f>
        <v>4.33</v>
      </c>
      <c r="E108" s="320">
        <f>IFERROR(__xludf.DUMMYFUNCTION("""COMPUTED_VALUE"""),18074.81)</f>
        <v>18074.81</v>
      </c>
      <c r="F108" s="320">
        <f>IFERROR(__xludf.DUMMYFUNCTION("""COMPUTED_VALUE"""),5.4459)</f>
        <v>5.4459</v>
      </c>
      <c r="G108" s="320">
        <f>IFERROR(__xludf.DUMMYFUNCTION("""COMPUTED_VALUE"""),41.58)</f>
        <v>41.58</v>
      </c>
      <c r="H108" s="320">
        <f>IFERROR(__xludf.DUMMYFUNCTION("""COMPUTED_VALUE"""),13.0977)</f>
        <v>13.0977</v>
      </c>
      <c r="I108" s="320">
        <f>IFERROR(__xludf.DUMMYFUNCTION("""COMPUTED_VALUE"""),126.67)</f>
        <v>126.67</v>
      </c>
      <c r="J108" s="320">
        <f>IFERROR(__xludf.DUMMYFUNCTION("""COMPUTED_VALUE"""),77.77)</f>
        <v>77.77</v>
      </c>
      <c r="K108" s="320">
        <f>IFERROR(__xludf.DUMMYFUNCTION("""COMPUTED_VALUE"""),53.83)</f>
        <v>53.83</v>
      </c>
      <c r="L108" s="320">
        <f>IFERROR(__xludf.DUMMYFUNCTION("""COMPUTED_VALUE"""),0.6921)</f>
        <v>0.6921</v>
      </c>
      <c r="M108" s="320">
        <f>IFERROR(__xludf.DUMMYFUNCTION("""COMPUTED_VALUE"""),0.3989)</f>
        <v>0.3989</v>
      </c>
      <c r="N108" s="320">
        <f>IFERROR(__xludf.DUMMYFUNCTION("""COMPUTED_VALUE"""),0.231)</f>
        <v>0.231</v>
      </c>
      <c r="O108" s="320">
        <f>IFERROR(__xludf.DUMMYFUNCTION("""COMPUTED_VALUE"""),1.4448)</f>
        <v>1.4448</v>
      </c>
      <c r="P108" s="320">
        <f>IFERROR(__xludf.DUMMYFUNCTION("""COMPUTED_VALUE"""),661.71)</f>
        <v>661.71</v>
      </c>
      <c r="Q108" s="320">
        <f>IFERROR(__xludf.DUMMYFUNCTION("""COMPUTED_VALUE"""),548.45)</f>
        <v>548.45</v>
      </c>
      <c r="R108" s="320">
        <f>IFERROR(__xludf.DUMMYFUNCTION("""COMPUTED_VALUE"""),113.26)</f>
        <v>113.26</v>
      </c>
      <c r="S108" s="320">
        <f>IFERROR(__xludf.DUMMYFUNCTION("""COMPUTED_VALUE"""),338.48)</f>
        <v>338.48</v>
      </c>
      <c r="T108" s="320">
        <f>IFERROR(__xludf.DUMMYFUNCTION("""COMPUTED_VALUE"""),323.23)</f>
        <v>323.23</v>
      </c>
      <c r="U108" s="320">
        <f>IFERROR(__xludf.DUMMYFUNCTION("""COMPUTED_VALUE"""),690.24)</f>
        <v>690.24</v>
      </c>
      <c r="V108" s="320">
        <f>IFERROR(__xludf.DUMMYFUNCTION("""COMPUTED_VALUE"""),8.8751)</f>
        <v>8.8751</v>
      </c>
      <c r="W108" s="320">
        <f>IFERROR(__xludf.DUMMYFUNCTION("""COMPUTED_VALUE"""),51.15)</f>
        <v>51.15</v>
      </c>
      <c r="X108" s="320">
        <f>IFERROR(__xludf.DUMMYFUNCTION("""COMPUTED_VALUE"""),107.0)</f>
        <v>107</v>
      </c>
      <c r="Y108" s="320">
        <f>IFERROR(__xludf.DUMMYFUNCTION("""COMPUTED_VALUE"""),358.0)</f>
        <v>358</v>
      </c>
      <c r="Z108" s="320">
        <f>IFERROR(__xludf.DUMMYFUNCTION("""COMPUTED_VALUE"""),1143.0)</f>
        <v>1143</v>
      </c>
      <c r="AA108" s="320">
        <f>IFERROR(__xludf.DUMMYFUNCTION("""COMPUTED_VALUE"""),57.6362)</f>
        <v>57.6362</v>
      </c>
      <c r="AB108" s="320">
        <f>IFERROR(__xludf.DUMMYFUNCTION("""COMPUTED_VALUE"""),0.7549)</f>
        <v>0.7549</v>
      </c>
      <c r="AC108" s="320">
        <f>IFERROR(__xludf.DUMMYFUNCTION("""COMPUTED_VALUE"""),36.36)</f>
        <v>36.36</v>
      </c>
      <c r="AD108" s="320">
        <f>IFERROR(__xludf.DUMMYFUNCTION("""COMPUTED_VALUE"""),11.0)</f>
        <v>11</v>
      </c>
      <c r="AE108" s="320">
        <f>IFERROR(__xludf.DUMMYFUNCTION("""COMPUTED_VALUE"""),27.0)</f>
        <v>27</v>
      </c>
      <c r="AF108" s="320">
        <f>IFERROR(__xludf.DUMMYFUNCTION("""COMPUTED_VALUE"""),50.0)</f>
        <v>50</v>
      </c>
      <c r="AG108" s="320">
        <f>IFERROR(__xludf.DUMMYFUNCTION("""COMPUTED_VALUE"""),80.0)</f>
        <v>80</v>
      </c>
      <c r="AH108" s="320">
        <f>IFERROR(__xludf.DUMMYFUNCTION("""COMPUTED_VALUE"""),48.24)</f>
        <v>48.24</v>
      </c>
      <c r="AI108" s="320">
        <f>IFERROR(__xludf.DUMMYFUNCTION("""COMPUTED_VALUE"""),18.47)</f>
        <v>18.47</v>
      </c>
      <c r="AJ108" s="320">
        <f>IFERROR(__xludf.DUMMYFUNCTION("""COMPUTED_VALUE"""),5.54)</f>
        <v>5.54</v>
      </c>
      <c r="AK108" s="320">
        <f>IFERROR(__xludf.DUMMYFUNCTION("""COMPUTED_VALUE"""),0.1856)</f>
        <v>0.1856</v>
      </c>
      <c r="AL108" s="320">
        <f>IFERROR(__xludf.DUMMYFUNCTION("""COMPUTED_VALUE"""),21.62)</f>
        <v>21.62</v>
      </c>
      <c r="AM108" s="320">
        <f>IFERROR(__xludf.DUMMYFUNCTION("""COMPUTED_VALUE"""),526.83)</f>
        <v>526.83</v>
      </c>
      <c r="AN108" s="320">
        <f>IFERROR(__xludf.DUMMYFUNCTION("""COMPUTED_VALUE"""),74.61)</f>
        <v>74.61</v>
      </c>
      <c r="AO108" s="320">
        <f>IFERROR(__xludf.DUMMYFUNCTION("""COMPUTED_VALUE"""),16.13)</f>
        <v>16.13</v>
      </c>
    </row>
    <row r="109" ht="15.75" customHeight="1">
      <c r="A109" s="330">
        <f>IFERROR(__xludf.DUMMYFUNCTION("""COMPUTED_VALUE"""),46067.0)</f>
        <v>46067</v>
      </c>
      <c r="B109" s="319" t="str">
        <f>IFERROR(__xludf.DUMMYFUNCTION("""COMPUTED_VALUE"""),"F. 100+")</f>
        <v>F. 100+</v>
      </c>
      <c r="C109" s="320">
        <f>IFERROR(__xludf.DUMMYFUNCTION("""COMPUTED_VALUE"""),376.0)</f>
        <v>376</v>
      </c>
      <c r="D109" s="320">
        <f>IFERROR(__xludf.DUMMYFUNCTION("""COMPUTED_VALUE"""),0.49)</f>
        <v>0.49</v>
      </c>
      <c r="E109" s="320">
        <f>IFERROR(__xludf.DUMMYFUNCTION("""COMPUTED_VALUE"""),4420.16)</f>
        <v>4420.16</v>
      </c>
      <c r="F109" s="320">
        <f>IFERROR(__xludf.DUMMYFUNCTION("""COMPUTED_VALUE"""),11.7557)</f>
        <v>11.7557</v>
      </c>
      <c r="G109" s="320">
        <f>IFERROR(__xludf.DUMMYFUNCTION("""COMPUTED_VALUE"""),45.74)</f>
        <v>45.74</v>
      </c>
      <c r="H109" s="320">
        <f>IFERROR(__xludf.DUMMYFUNCTION("""COMPUTED_VALUE"""),25.6986)</f>
        <v>25.6986</v>
      </c>
      <c r="I109" s="320">
        <f>IFERROR(__xludf.DUMMYFUNCTION("""COMPUTED_VALUE"""),233.52)</f>
        <v>233.52</v>
      </c>
      <c r="J109" s="320">
        <f>IFERROR(__xludf.DUMMYFUNCTION("""COMPUTED_VALUE"""),155.19)</f>
        <v>155.19</v>
      </c>
      <c r="K109" s="320">
        <f>IFERROR(__xludf.DUMMYFUNCTION("""COMPUTED_VALUE"""),126.17)</f>
        <v>126.17</v>
      </c>
      <c r="L109" s="320">
        <f>IFERROR(__xludf.DUMMYFUNCTION("""COMPUTED_VALUE"""),0.813)</f>
        <v>0.813</v>
      </c>
      <c r="M109" s="320">
        <f>IFERROR(__xludf.DUMMYFUNCTION("""COMPUTED_VALUE"""),0.2775)</f>
        <v>0.2775</v>
      </c>
      <c r="N109" s="320">
        <f>IFERROR(__xludf.DUMMYFUNCTION("""COMPUTED_VALUE"""),0.1756)</f>
        <v>0.1756</v>
      </c>
      <c r="O109" s="320">
        <f>IFERROR(__xludf.DUMMYFUNCTION("""COMPUTED_VALUE"""),1.23)</f>
        <v>1.23</v>
      </c>
      <c r="P109" s="320">
        <f>IFERROR(__xludf.DUMMYFUNCTION("""COMPUTED_VALUE"""),1410.64)</f>
        <v>1410.64</v>
      </c>
      <c r="Q109" s="320">
        <f>IFERROR(__xludf.DUMMYFUNCTION("""COMPUTED_VALUE"""),1146.93)</f>
        <v>1146.93</v>
      </c>
      <c r="R109" s="320">
        <f>IFERROR(__xludf.DUMMYFUNCTION("""COMPUTED_VALUE"""),263.71)</f>
        <v>263.71</v>
      </c>
      <c r="S109" s="320">
        <f>IFERROR(__xludf.DUMMYFUNCTION("""COMPUTED_VALUE"""),740.77)</f>
        <v>740.77</v>
      </c>
      <c r="T109" s="320">
        <f>IFERROR(__xludf.DUMMYFUNCTION("""COMPUTED_VALUE"""),669.87)</f>
        <v>669.87</v>
      </c>
      <c r="U109" s="320">
        <f>IFERROR(__xludf.DUMMYFUNCTION("""COMPUTED_VALUE"""),1375.53)</f>
        <v>1375.53</v>
      </c>
      <c r="V109" s="320">
        <f>IFERROR(__xludf.DUMMYFUNCTION("""COMPUTED_VALUE"""),8.8636)</f>
        <v>8.8636</v>
      </c>
      <c r="W109" s="320">
        <f>IFERROR(__xludf.DUMMYFUNCTION("""COMPUTED_VALUE"""),52.51)</f>
        <v>52.51</v>
      </c>
      <c r="X109" s="320">
        <f>IFERROR(__xludf.DUMMYFUNCTION("""COMPUTED_VALUE"""),154.0)</f>
        <v>154</v>
      </c>
      <c r="Y109" s="320">
        <f>IFERROR(__xludf.DUMMYFUNCTION("""COMPUTED_VALUE"""),577.0)</f>
        <v>577</v>
      </c>
      <c r="Z109" s="320">
        <f>IFERROR(__xludf.DUMMYFUNCTION("""COMPUTED_VALUE"""),2100.0)</f>
        <v>2100</v>
      </c>
      <c r="AA109" s="320">
        <f>IFERROR(__xludf.DUMMYFUNCTION("""COMPUTED_VALUE"""),61.6766)</f>
        <v>61.6766</v>
      </c>
      <c r="AB109" s="320">
        <f>IFERROR(__xludf.DUMMYFUNCTION("""COMPUTED_VALUE"""),0.8351)</f>
        <v>0.8351</v>
      </c>
      <c r="AC109" s="320">
        <f>IFERROR(__xludf.DUMMYFUNCTION("""COMPUTED_VALUE"""),85.52)</f>
        <v>85.52</v>
      </c>
      <c r="AD109" s="320">
        <f>IFERROR(__xludf.DUMMYFUNCTION("""COMPUTED_VALUE"""),29.0)</f>
        <v>29</v>
      </c>
      <c r="AE109" s="320">
        <f>IFERROR(__xludf.DUMMYFUNCTION("""COMPUTED_VALUE"""),63.0)</f>
        <v>63</v>
      </c>
      <c r="AF109" s="320">
        <f>IFERROR(__xludf.DUMMYFUNCTION("""COMPUTED_VALUE"""),123.0)</f>
        <v>123</v>
      </c>
      <c r="AG109" s="320">
        <f>IFERROR(__xludf.DUMMYFUNCTION("""COMPUTED_VALUE"""),189.0)</f>
        <v>189</v>
      </c>
      <c r="AH109" s="320">
        <f>IFERROR(__xludf.DUMMYFUNCTION("""COMPUTED_VALUE"""),44.41)</f>
        <v>44.41</v>
      </c>
      <c r="AI109" s="320">
        <f>IFERROR(__xludf.DUMMYFUNCTION("""COMPUTED_VALUE"""),11.97)</f>
        <v>11.97</v>
      </c>
      <c r="AJ109" s="320">
        <f>IFERROR(__xludf.DUMMYFUNCTION("""COMPUTED_VALUE"""),2.39)</f>
        <v>2.39</v>
      </c>
      <c r="AK109" s="320">
        <f>IFERROR(__xludf.DUMMYFUNCTION("""COMPUTED_VALUE"""),0.1569)</f>
        <v>0.1569</v>
      </c>
      <c r="AL109" s="320">
        <f>IFERROR(__xludf.DUMMYFUNCTION("""COMPUTED_VALUE"""),20.72)</f>
        <v>20.72</v>
      </c>
      <c r="AM109" s="320">
        <f>IFERROR(__xludf.DUMMYFUNCTION("""COMPUTED_VALUE"""),1126.22)</f>
        <v>1126.22</v>
      </c>
      <c r="AN109" s="320">
        <f>IFERROR(__xludf.DUMMYFUNCTION("""COMPUTED_VALUE"""),73.48)</f>
        <v>73.48</v>
      </c>
      <c r="AO109" s="320">
        <f>IFERROR(__xludf.DUMMYFUNCTION("""COMPUTED_VALUE"""),15.23)</f>
        <v>15.23</v>
      </c>
    </row>
    <row r="110" ht="15.75" customHeight="1">
      <c r="A110" s="330">
        <f>IFERROR(__xludf.DUMMYFUNCTION("""COMPUTED_VALUE"""),46068.0)</f>
        <v>46068</v>
      </c>
      <c r="B110" s="319" t="str">
        <f>IFERROR(__xludf.DUMMYFUNCTION("""COMPUTED_VALUE"""),"A. 0")</f>
        <v>A. 0</v>
      </c>
      <c r="C110" s="320">
        <f>IFERROR(__xludf.DUMMYFUNCTION("""COMPUTED_VALUE"""),16302.0)</f>
        <v>16302</v>
      </c>
      <c r="D110" s="320">
        <f>IFERROR(__xludf.DUMMYFUNCTION("""COMPUTED_VALUE"""),20.88)</f>
        <v>20.88</v>
      </c>
      <c r="E110" s="320">
        <f>IFERROR(__xludf.DUMMYFUNCTION("""COMPUTED_VALUE"""),285.84)</f>
        <v>285.84</v>
      </c>
      <c r="F110" s="320">
        <f>IFERROR(__xludf.DUMMYFUNCTION("""COMPUTED_VALUE"""),0.0175)</f>
        <v>0.0175</v>
      </c>
      <c r="G110" s="320">
        <f>IFERROR(__xludf.DUMMYFUNCTION("""COMPUTED_VALUE"""),0.28)</f>
        <v>0.28</v>
      </c>
      <c r="H110" s="320">
        <f>IFERROR(__xludf.DUMMYFUNCTION("""COMPUTED_VALUE"""),6.2139)</f>
        <v>6.2139</v>
      </c>
      <c r="I110" s="320">
        <f>IFERROR(__xludf.DUMMYFUNCTION("""COMPUTED_VALUE"""),6.45)</f>
        <v>6.45</v>
      </c>
      <c r="J110" s="320">
        <f>IFERROR(__xludf.DUMMYFUNCTION("""COMPUTED_VALUE"""),2.96)</f>
        <v>2.96</v>
      </c>
      <c r="K110" s="320">
        <f>IFERROR(__xludf.DUMMYFUNCTION("""COMPUTED_VALUE"""),0.07)</f>
        <v>0.07</v>
      </c>
      <c r="L110" s="320">
        <f>IFERROR(__xludf.DUMMYFUNCTION("""COMPUTED_VALUE"""),0.0243)</f>
        <v>0.0243</v>
      </c>
      <c r="M110" s="320">
        <f>IFERROR(__xludf.DUMMYFUNCTION("""COMPUTED_VALUE"""),0.9779)</f>
        <v>0.9779</v>
      </c>
      <c r="N110" s="320">
        <f>IFERROR(__xludf.DUMMYFUNCTION("""COMPUTED_VALUE"""),0.7199)</f>
        <v>0.7199</v>
      </c>
      <c r="O110" s="320">
        <f>IFERROR(__xludf.DUMMYFUNCTION("""COMPUTED_VALUE"""),41.1268)</f>
        <v>41.1268</v>
      </c>
      <c r="P110" s="320">
        <f>IFERROR(__xludf.DUMMYFUNCTION("""COMPUTED_VALUE"""),24.4)</f>
        <v>24.4</v>
      </c>
      <c r="Q110" s="320">
        <f>IFERROR(__xludf.DUMMYFUNCTION("""COMPUTED_VALUE"""),24.33)</f>
        <v>24.33</v>
      </c>
      <c r="R110" s="320">
        <f>IFERROR(__xludf.DUMMYFUNCTION("""COMPUTED_VALUE"""),0.08)</f>
        <v>0.08</v>
      </c>
      <c r="S110" s="320">
        <f>IFERROR(__xludf.DUMMYFUNCTION("""COMPUTED_VALUE"""),1.18)</f>
        <v>1.18</v>
      </c>
      <c r="T110" s="320">
        <f>IFERROR(__xludf.DUMMYFUNCTION("""COMPUTED_VALUE"""),23.23)</f>
        <v>23.23</v>
      </c>
      <c r="U110" s="320">
        <f>IFERROR(__xludf.DUMMYFUNCTION("""COMPUTED_VALUE"""),2.52)</f>
        <v>2.52</v>
      </c>
      <c r="V110" s="320">
        <f>IFERROR(__xludf.DUMMYFUNCTION("""COMPUTED_VALUE"""),0.8484)</f>
        <v>0.8484</v>
      </c>
      <c r="W110" s="320">
        <f>IFERROR(__xludf.DUMMYFUNCTION("""COMPUTED_VALUE"""),4.83)</f>
        <v>4.83</v>
      </c>
      <c r="X110" s="320">
        <f>IFERROR(__xludf.DUMMYFUNCTION("""COMPUTED_VALUE"""),142.0)</f>
        <v>142</v>
      </c>
      <c r="Y110" s="320">
        <f>IFERROR(__xludf.DUMMYFUNCTION("""COMPUTED_VALUE"""),1009.0)</f>
        <v>1009</v>
      </c>
      <c r="Z110" s="320">
        <f>IFERROR(__xludf.DUMMYFUNCTION("""COMPUTED_VALUE"""),6737.0)</f>
        <v>6737</v>
      </c>
      <c r="AA110" s="320">
        <f>IFERROR(__xludf.DUMMYFUNCTION("""COMPUTED_VALUE"""),49.8056)</f>
        <v>49.8056</v>
      </c>
      <c r="AB110" s="320">
        <f>IFERROR(__xludf.DUMMYFUNCTION("""COMPUTED_VALUE"""),0.5221)</f>
        <v>0.5221</v>
      </c>
      <c r="AC110" s="106"/>
      <c r="AD110" s="106"/>
      <c r="AE110" s="106"/>
      <c r="AF110" s="106"/>
      <c r="AG110" s="106"/>
      <c r="AH110" s="320">
        <f>IFERROR(__xludf.DUMMYFUNCTION("""COMPUTED_VALUE"""),0.0)</f>
        <v>0</v>
      </c>
      <c r="AI110" s="320">
        <f>IFERROR(__xludf.DUMMYFUNCTION("""COMPUTED_VALUE"""),0.0)</f>
        <v>0</v>
      </c>
      <c r="AJ110" s="320">
        <f>IFERROR(__xludf.DUMMYFUNCTION("""COMPUTED_VALUE"""),0.0)</f>
        <v>0</v>
      </c>
      <c r="AK110" s="320">
        <f>IFERROR(__xludf.DUMMYFUNCTION("""COMPUTED_VALUE"""),0.2927)</f>
        <v>0.2927</v>
      </c>
      <c r="AL110" s="320">
        <f>IFERROR(__xludf.DUMMYFUNCTION("""COMPUTED_VALUE"""),17.27)</f>
        <v>17.27</v>
      </c>
      <c r="AM110" s="320">
        <f>IFERROR(__xludf.DUMMYFUNCTION("""COMPUTED_VALUE"""),7.05)</f>
        <v>7.05</v>
      </c>
      <c r="AN110" s="331"/>
      <c r="AO110" s="331"/>
    </row>
    <row r="111" ht="15.75" customHeight="1">
      <c r="A111" s="330">
        <f>IFERROR(__xludf.DUMMYFUNCTION("""COMPUTED_VALUE"""),46068.0)</f>
        <v>46068</v>
      </c>
      <c r="B111" s="319" t="str">
        <f>IFERROR(__xludf.DUMMYFUNCTION("""COMPUTED_VALUE"""),"B. 1-9")</f>
        <v>B. 1-9</v>
      </c>
      <c r="C111" s="320">
        <f>IFERROR(__xludf.DUMMYFUNCTION("""COMPUTED_VALUE"""),33497.0)</f>
        <v>33497</v>
      </c>
      <c r="D111" s="320">
        <f>IFERROR(__xludf.DUMMYFUNCTION("""COMPUTED_VALUE"""),42.9)</f>
        <v>42.9</v>
      </c>
      <c r="E111" s="320">
        <f>IFERROR(__xludf.DUMMYFUNCTION("""COMPUTED_VALUE"""),8227.74)</f>
        <v>8227.74</v>
      </c>
      <c r="F111" s="320">
        <f>IFERROR(__xludf.DUMMYFUNCTION("""COMPUTED_VALUE"""),0.2456)</f>
        <v>0.2456</v>
      </c>
      <c r="G111" s="320">
        <f>IFERROR(__xludf.DUMMYFUNCTION("""COMPUTED_VALUE"""),7.08)</f>
        <v>7.08</v>
      </c>
      <c r="H111" s="320">
        <f>IFERROR(__xludf.DUMMYFUNCTION("""COMPUTED_VALUE"""),3.4702)</f>
        <v>3.4702</v>
      </c>
      <c r="I111" s="320">
        <f>IFERROR(__xludf.DUMMYFUNCTION("""COMPUTED_VALUE"""),35.11)</f>
        <v>35.11</v>
      </c>
      <c r="J111" s="320">
        <f>IFERROR(__xludf.DUMMYFUNCTION("""COMPUTED_VALUE"""),19.13)</f>
        <v>19.13</v>
      </c>
      <c r="K111" s="320">
        <f>IFERROR(__xludf.DUMMYFUNCTION("""COMPUTED_VALUE"""),5.6)</f>
        <v>5.6</v>
      </c>
      <c r="L111" s="320">
        <f>IFERROR(__xludf.DUMMYFUNCTION("""COMPUTED_VALUE"""),0.2925)</f>
        <v>0.2925</v>
      </c>
      <c r="M111" s="320">
        <f>IFERROR(__xludf.DUMMYFUNCTION("""COMPUTED_VALUE"""),0.7703)</f>
        <v>0.7703</v>
      </c>
      <c r="N111" s="320">
        <f>IFERROR(__xludf.DUMMYFUNCTION("""COMPUTED_VALUE"""),0.5184)</f>
        <v>0.5184</v>
      </c>
      <c r="O111" s="320">
        <f>IFERROR(__xludf.DUMMYFUNCTION("""COMPUTED_VALUE"""),3.4185)</f>
        <v>3.4185</v>
      </c>
      <c r="P111" s="320">
        <f>IFERROR(__xludf.DUMMYFUNCTION("""COMPUTED_VALUE"""),66.76)</f>
        <v>66.76</v>
      </c>
      <c r="Q111" s="320">
        <f>IFERROR(__xludf.DUMMYFUNCTION("""COMPUTED_VALUE"""),55.29)</f>
        <v>55.29</v>
      </c>
      <c r="R111" s="320">
        <f>IFERROR(__xludf.DUMMYFUNCTION("""COMPUTED_VALUE"""),11.48)</f>
        <v>11.48</v>
      </c>
      <c r="S111" s="320">
        <f>IFERROR(__xludf.DUMMYFUNCTION("""COMPUTED_VALUE"""),16.86)</f>
        <v>16.86</v>
      </c>
      <c r="T111" s="320">
        <f>IFERROR(__xludf.DUMMYFUNCTION("""COMPUTED_VALUE"""),49.9)</f>
        <v>49.9</v>
      </c>
      <c r="U111" s="320">
        <f>IFERROR(__xludf.DUMMYFUNCTION("""COMPUTED_VALUE"""),75.71)</f>
        <v>75.71</v>
      </c>
      <c r="V111" s="320">
        <f>IFERROR(__xludf.DUMMYFUNCTION("""COMPUTED_VALUE"""),3.9571)</f>
        <v>3.9571</v>
      </c>
      <c r="W111" s="320">
        <f>IFERROR(__xludf.DUMMYFUNCTION("""COMPUTED_VALUE"""),25.25)</f>
        <v>25.25</v>
      </c>
      <c r="X111" s="320">
        <f>IFERROR(__xludf.DUMMYFUNCTION("""COMPUTED_VALUE"""),85.0)</f>
        <v>85</v>
      </c>
      <c r="Y111" s="320">
        <f>IFERROR(__xludf.DUMMYFUNCTION("""COMPUTED_VALUE"""),206.0)</f>
        <v>206</v>
      </c>
      <c r="Z111" s="320">
        <f>IFERROR(__xludf.DUMMYFUNCTION("""COMPUTED_VALUE"""),837.0)</f>
        <v>837</v>
      </c>
      <c r="AA111" s="320">
        <f>IFERROR(__xludf.DUMMYFUNCTION("""COMPUTED_VALUE"""),49.6455)</f>
        <v>49.6455</v>
      </c>
      <c r="AB111" s="320">
        <f>IFERROR(__xludf.DUMMYFUNCTION("""COMPUTED_VALUE"""),0.4534)</f>
        <v>0.4534</v>
      </c>
      <c r="AC111" s="320">
        <f>IFERROR(__xludf.DUMMYFUNCTION("""COMPUTED_VALUE"""),3.6)</f>
        <v>3.6</v>
      </c>
      <c r="AD111" s="320">
        <f>IFERROR(__xludf.DUMMYFUNCTION("""COMPUTED_VALUE"""),1.0)</f>
        <v>1</v>
      </c>
      <c r="AE111" s="320">
        <f>IFERROR(__xludf.DUMMYFUNCTION("""COMPUTED_VALUE"""),2.0)</f>
        <v>2</v>
      </c>
      <c r="AF111" s="320">
        <f>IFERROR(__xludf.DUMMYFUNCTION("""COMPUTED_VALUE"""),5.0)</f>
        <v>5</v>
      </c>
      <c r="AG111" s="320">
        <f>IFERROR(__xludf.DUMMYFUNCTION("""COMPUTED_VALUE"""),8.0)</f>
        <v>8</v>
      </c>
      <c r="AH111" s="320">
        <f>IFERROR(__xludf.DUMMYFUNCTION("""COMPUTED_VALUE"""),67.37)</f>
        <v>67.37</v>
      </c>
      <c r="AI111" s="320">
        <f>IFERROR(__xludf.DUMMYFUNCTION("""COMPUTED_VALUE"""),25.4)</f>
        <v>25.4</v>
      </c>
      <c r="AJ111" s="320">
        <f>IFERROR(__xludf.DUMMYFUNCTION("""COMPUTED_VALUE"""),7.21)</f>
        <v>7.21</v>
      </c>
      <c r="AK111" s="320">
        <f>IFERROR(__xludf.DUMMYFUNCTION("""COMPUTED_VALUE"""),0.2322)</f>
        <v>0.2322</v>
      </c>
      <c r="AL111" s="320">
        <f>IFERROR(__xludf.DUMMYFUNCTION("""COMPUTED_VALUE"""),21.35)</f>
        <v>21.35</v>
      </c>
      <c r="AM111" s="320">
        <f>IFERROR(__xludf.DUMMYFUNCTION("""COMPUTED_VALUE"""),33.94)</f>
        <v>33.94</v>
      </c>
      <c r="AN111" s="320">
        <f>IFERROR(__xludf.DUMMYFUNCTION("""COMPUTED_VALUE"""),67.58)</f>
        <v>67.58</v>
      </c>
      <c r="AO111" s="320">
        <f>IFERROR(__xludf.DUMMYFUNCTION("""COMPUTED_VALUE"""),14.43)</f>
        <v>14.43</v>
      </c>
    </row>
    <row r="112" ht="15.75" customHeight="1">
      <c r="A112" s="330">
        <f>IFERROR(__xludf.DUMMYFUNCTION("""COMPUTED_VALUE"""),46068.0)</f>
        <v>46068</v>
      </c>
      <c r="B112" s="319" t="str">
        <f>IFERROR(__xludf.DUMMYFUNCTION("""COMPUTED_VALUE"""),"C. 10-19")</f>
        <v>C. 10-19</v>
      </c>
      <c r="C112" s="320">
        <f>IFERROR(__xludf.DUMMYFUNCTION("""COMPUTED_VALUE"""),15779.0)</f>
        <v>15779</v>
      </c>
      <c r="D112" s="320">
        <f>IFERROR(__xludf.DUMMYFUNCTION("""COMPUTED_VALUE"""),20.21)</f>
        <v>20.21</v>
      </c>
      <c r="E112" s="320">
        <f>IFERROR(__xludf.DUMMYFUNCTION("""COMPUTED_VALUE"""),16775.48)</f>
        <v>16775.48</v>
      </c>
      <c r="F112" s="320">
        <f>IFERROR(__xludf.DUMMYFUNCTION("""COMPUTED_VALUE"""),1.0632)</f>
        <v>1.0632</v>
      </c>
      <c r="G112" s="320">
        <f>IFERROR(__xludf.DUMMYFUNCTION("""COMPUTED_VALUE"""),21.43)</f>
        <v>21.43</v>
      </c>
      <c r="H112" s="320">
        <f>IFERROR(__xludf.DUMMYFUNCTION("""COMPUTED_VALUE"""),4.9617)</f>
        <v>4.9617</v>
      </c>
      <c r="I112" s="320">
        <f>IFERROR(__xludf.DUMMYFUNCTION("""COMPUTED_VALUE"""),65.21)</f>
        <v>65.21</v>
      </c>
      <c r="J112" s="320">
        <f>IFERROR(__xludf.DUMMYFUNCTION("""COMPUTED_VALUE"""),37.2)</f>
        <v>37.2</v>
      </c>
      <c r="K112" s="320">
        <f>IFERROR(__xludf.DUMMYFUNCTION("""COMPUTED_VALUE"""),14.69)</f>
        <v>14.69</v>
      </c>
      <c r="L112" s="320">
        <f>IFERROR(__xludf.DUMMYFUNCTION("""COMPUTED_VALUE"""),0.3948)</f>
        <v>0.3948</v>
      </c>
      <c r="M112" s="320">
        <f>IFERROR(__xludf.DUMMYFUNCTION("""COMPUTED_VALUE"""),0.6622)</f>
        <v>0.6622</v>
      </c>
      <c r="N112" s="320">
        <f>IFERROR(__xludf.DUMMYFUNCTION("""COMPUTED_VALUE"""),0.3852)</f>
        <v>0.3852</v>
      </c>
      <c r="O112" s="320">
        <f>IFERROR(__xludf.DUMMYFUNCTION("""COMPUTED_VALUE"""),2.5328)</f>
        <v>2.5328</v>
      </c>
      <c r="P112" s="320">
        <f>IFERROR(__xludf.DUMMYFUNCTION("""COMPUTED_VALUE"""),156.66)</f>
        <v>156.66</v>
      </c>
      <c r="Q112" s="320">
        <f>IFERROR(__xludf.DUMMYFUNCTION("""COMPUTED_VALUE"""),126.0)</f>
        <v>126</v>
      </c>
      <c r="R112" s="320">
        <f>IFERROR(__xludf.DUMMYFUNCTION("""COMPUTED_VALUE"""),30.66)</f>
        <v>30.66</v>
      </c>
      <c r="S112" s="320">
        <f>IFERROR(__xludf.DUMMYFUNCTION("""COMPUTED_VALUE"""),68.81)</f>
        <v>68.81</v>
      </c>
      <c r="T112" s="320">
        <f>IFERROR(__xludf.DUMMYFUNCTION("""COMPUTED_VALUE"""),87.85)</f>
        <v>87.85</v>
      </c>
      <c r="U112" s="320">
        <f>IFERROR(__xludf.DUMMYFUNCTION("""COMPUTED_VALUE"""),173.25)</f>
        <v>173.25</v>
      </c>
      <c r="V112" s="320">
        <f>IFERROR(__xludf.DUMMYFUNCTION("""COMPUTED_VALUE"""),4.6574)</f>
        <v>4.6574</v>
      </c>
      <c r="W112" s="320">
        <f>IFERROR(__xludf.DUMMYFUNCTION("""COMPUTED_VALUE"""),43.92)</f>
        <v>43.92</v>
      </c>
      <c r="X112" s="320">
        <f>IFERROR(__xludf.DUMMYFUNCTION("""COMPUTED_VALUE"""),82.0)</f>
        <v>82</v>
      </c>
      <c r="Y112" s="320">
        <f>IFERROR(__xludf.DUMMYFUNCTION("""COMPUTED_VALUE"""),177.0)</f>
        <v>177</v>
      </c>
      <c r="Z112" s="320">
        <f>IFERROR(__xludf.DUMMYFUNCTION("""COMPUTED_VALUE"""),609.0)</f>
        <v>609</v>
      </c>
      <c r="AA112" s="320">
        <f>IFERROR(__xludf.DUMMYFUNCTION("""COMPUTED_VALUE"""),52.3887)</f>
        <v>52.3887</v>
      </c>
      <c r="AB112" s="320">
        <f>IFERROR(__xludf.DUMMYFUNCTION("""COMPUTED_VALUE"""),0.5513)</f>
        <v>0.5513</v>
      </c>
      <c r="AC112" s="320">
        <f>IFERROR(__xludf.DUMMYFUNCTION("""COMPUTED_VALUE"""),9.05)</f>
        <v>9.05</v>
      </c>
      <c r="AD112" s="320">
        <f>IFERROR(__xludf.DUMMYFUNCTION("""COMPUTED_VALUE"""),3.0)</f>
        <v>3</v>
      </c>
      <c r="AE112" s="320">
        <f>IFERROR(__xludf.DUMMYFUNCTION("""COMPUTED_VALUE"""),6.0)</f>
        <v>6</v>
      </c>
      <c r="AF112" s="320">
        <f>IFERROR(__xludf.DUMMYFUNCTION("""COMPUTED_VALUE"""),12.0)</f>
        <v>12</v>
      </c>
      <c r="AG112" s="320">
        <f>IFERROR(__xludf.DUMMYFUNCTION("""COMPUTED_VALUE"""),20.0)</f>
        <v>20</v>
      </c>
      <c r="AH112" s="320">
        <f>IFERROR(__xludf.DUMMYFUNCTION("""COMPUTED_VALUE"""),55.62)</f>
        <v>55.62</v>
      </c>
      <c r="AI112" s="320">
        <f>IFERROR(__xludf.DUMMYFUNCTION("""COMPUTED_VALUE"""),24.43)</f>
        <v>24.43</v>
      </c>
      <c r="AJ112" s="320">
        <f>IFERROR(__xludf.DUMMYFUNCTION("""COMPUTED_VALUE"""),5.22)</f>
        <v>5.22</v>
      </c>
      <c r="AK112" s="320">
        <f>IFERROR(__xludf.DUMMYFUNCTION("""COMPUTED_VALUE"""),0.2064)</f>
        <v>0.2064</v>
      </c>
      <c r="AL112" s="320">
        <f>IFERROR(__xludf.DUMMYFUNCTION("""COMPUTED_VALUE"""),21.62)</f>
        <v>21.62</v>
      </c>
      <c r="AM112" s="320">
        <f>IFERROR(__xludf.DUMMYFUNCTION("""COMPUTED_VALUE"""),104.38)</f>
        <v>104.38</v>
      </c>
      <c r="AN112" s="320">
        <f>IFERROR(__xludf.DUMMYFUNCTION("""COMPUTED_VALUE"""),73.89)</f>
        <v>73.89</v>
      </c>
      <c r="AO112" s="320">
        <f>IFERROR(__xludf.DUMMYFUNCTION("""COMPUTED_VALUE"""),15.98)</f>
        <v>15.98</v>
      </c>
    </row>
    <row r="113" ht="15.75" customHeight="1">
      <c r="A113" s="330">
        <f>IFERROR(__xludf.DUMMYFUNCTION("""COMPUTED_VALUE"""),46068.0)</f>
        <v>46068</v>
      </c>
      <c r="B113" s="319" t="str">
        <f>IFERROR(__xludf.DUMMYFUNCTION("""COMPUTED_VALUE"""),"D. 20-39")</f>
        <v>D. 20-39</v>
      </c>
      <c r="C113" s="320">
        <f>IFERROR(__xludf.DUMMYFUNCTION("""COMPUTED_VALUE"""),8766.0)</f>
        <v>8766</v>
      </c>
      <c r="D113" s="320">
        <f>IFERROR(__xludf.DUMMYFUNCTION("""COMPUTED_VALUE"""),11.23)</f>
        <v>11.23</v>
      </c>
      <c r="E113" s="320">
        <f>IFERROR(__xludf.DUMMYFUNCTION("""COMPUTED_VALUE"""),22590.16)</f>
        <v>22590.16</v>
      </c>
      <c r="F113" s="320">
        <f>IFERROR(__xludf.DUMMYFUNCTION("""COMPUTED_VALUE"""),2.577)</f>
        <v>2.577</v>
      </c>
      <c r="G113" s="320">
        <f>IFERROR(__xludf.DUMMYFUNCTION("""COMPUTED_VALUE"""),33.24)</f>
        <v>33.24</v>
      </c>
      <c r="H113" s="320">
        <f>IFERROR(__xludf.DUMMYFUNCTION("""COMPUTED_VALUE"""),7.7523)</f>
        <v>7.7523</v>
      </c>
      <c r="I113" s="320">
        <f>IFERROR(__xludf.DUMMYFUNCTION("""COMPUTED_VALUE"""),93.62)</f>
        <v>93.62</v>
      </c>
      <c r="J113" s="320">
        <f>IFERROR(__xludf.DUMMYFUNCTION("""COMPUTED_VALUE"""),55.39)</f>
        <v>55.39</v>
      </c>
      <c r="K113" s="320">
        <f>IFERROR(__xludf.DUMMYFUNCTION("""COMPUTED_VALUE"""),28.31)</f>
        <v>28.31</v>
      </c>
      <c r="L113" s="320">
        <f>IFERROR(__xludf.DUMMYFUNCTION("""COMPUTED_VALUE"""),0.5111)</f>
        <v>0.5111</v>
      </c>
      <c r="M113" s="320">
        <f>IFERROR(__xludf.DUMMYFUNCTION("""COMPUTED_VALUE"""),0.5555)</f>
        <v>0.5555</v>
      </c>
      <c r="N113" s="320">
        <f>IFERROR(__xludf.DUMMYFUNCTION("""COMPUTED_VALUE"""),0.306)</f>
        <v>0.306</v>
      </c>
      <c r="O113" s="320">
        <f>IFERROR(__xludf.DUMMYFUNCTION("""COMPUTED_VALUE"""),1.9564)</f>
        <v>1.9564</v>
      </c>
      <c r="P113" s="320">
        <f>IFERROR(__xludf.DUMMYFUNCTION("""COMPUTED_VALUE"""),313.95)</f>
        <v>313.95</v>
      </c>
      <c r="Q113" s="320">
        <f>IFERROR(__xludf.DUMMYFUNCTION("""COMPUTED_VALUE"""),254.31)</f>
        <v>254.31</v>
      </c>
      <c r="R113" s="320">
        <f>IFERROR(__xludf.DUMMYFUNCTION("""COMPUTED_VALUE"""),59.64)</f>
        <v>59.64</v>
      </c>
      <c r="S113" s="320">
        <f>IFERROR(__xludf.DUMMYFUNCTION("""COMPUTED_VALUE"""),167.62)</f>
        <v>167.62</v>
      </c>
      <c r="T113" s="320">
        <f>IFERROR(__xludf.DUMMYFUNCTION("""COMPUTED_VALUE"""),146.33)</f>
        <v>146.33</v>
      </c>
      <c r="U113" s="320">
        <f>IFERROR(__xludf.DUMMYFUNCTION("""COMPUTED_VALUE"""),342.08)</f>
        <v>342.08</v>
      </c>
      <c r="V113" s="320">
        <f>IFERROR(__xludf.DUMMYFUNCTION("""COMPUTED_VALUE"""),6.176)</f>
        <v>6.176</v>
      </c>
      <c r="W113" s="320">
        <f>IFERROR(__xludf.DUMMYFUNCTION("""COMPUTED_VALUE"""),53.39)</f>
        <v>53.39</v>
      </c>
      <c r="X113" s="320">
        <f>IFERROR(__xludf.DUMMYFUNCTION("""COMPUTED_VALUE"""),85.0)</f>
        <v>85</v>
      </c>
      <c r="Y113" s="320">
        <f>IFERROR(__xludf.DUMMYFUNCTION("""COMPUTED_VALUE"""),206.0)</f>
        <v>206</v>
      </c>
      <c r="Z113" s="320">
        <f>IFERROR(__xludf.DUMMYFUNCTION("""COMPUTED_VALUE"""),716.0)</f>
        <v>716</v>
      </c>
      <c r="AA113" s="320">
        <f>IFERROR(__xludf.DUMMYFUNCTION("""COMPUTED_VALUE"""),54.4411)</f>
        <v>54.4411</v>
      </c>
      <c r="AB113" s="320">
        <f>IFERROR(__xludf.DUMMYFUNCTION("""COMPUTED_VALUE"""),0.6568)</f>
        <v>0.6568</v>
      </c>
      <c r="AC113" s="320">
        <f>IFERROR(__xludf.DUMMYFUNCTION("""COMPUTED_VALUE"""),17.67)</f>
        <v>17.67</v>
      </c>
      <c r="AD113" s="320">
        <f>IFERROR(__xludf.DUMMYFUNCTION("""COMPUTED_VALUE"""),6.0)</f>
        <v>6</v>
      </c>
      <c r="AE113" s="320">
        <f>IFERROR(__xludf.DUMMYFUNCTION("""COMPUTED_VALUE"""),12.0)</f>
        <v>12</v>
      </c>
      <c r="AF113" s="320">
        <f>IFERROR(__xludf.DUMMYFUNCTION("""COMPUTED_VALUE"""),25.0)</f>
        <v>25</v>
      </c>
      <c r="AG113" s="320">
        <f>IFERROR(__xludf.DUMMYFUNCTION("""COMPUTED_VALUE"""),38.0)</f>
        <v>38</v>
      </c>
      <c r="AH113" s="320">
        <f>IFERROR(__xludf.DUMMYFUNCTION("""COMPUTED_VALUE"""),55.14)</f>
        <v>55.14</v>
      </c>
      <c r="AI113" s="320">
        <f>IFERROR(__xludf.DUMMYFUNCTION("""COMPUTED_VALUE"""),24.17)</f>
        <v>24.17</v>
      </c>
      <c r="AJ113" s="320">
        <f>IFERROR(__xludf.DUMMYFUNCTION("""COMPUTED_VALUE"""),7.96)</f>
        <v>7.96</v>
      </c>
      <c r="AK113" s="320">
        <f>IFERROR(__xludf.DUMMYFUNCTION("""COMPUTED_VALUE"""),0.2058)</f>
        <v>0.2058</v>
      </c>
      <c r="AL113" s="320">
        <f>IFERROR(__xludf.DUMMYFUNCTION("""COMPUTED_VALUE"""),21.57)</f>
        <v>21.57</v>
      </c>
      <c r="AM113" s="320">
        <f>IFERROR(__xludf.DUMMYFUNCTION("""COMPUTED_VALUE"""),232.74)</f>
        <v>232.74</v>
      </c>
      <c r="AN113" s="320">
        <f>IFERROR(__xludf.DUMMYFUNCTION("""COMPUTED_VALUE"""),74.27)</f>
        <v>74.27</v>
      </c>
      <c r="AO113" s="320">
        <f>IFERROR(__xludf.DUMMYFUNCTION("""COMPUTED_VALUE"""),16.02)</f>
        <v>16.02</v>
      </c>
    </row>
    <row r="114" ht="15.75" customHeight="1">
      <c r="A114" s="330">
        <f>IFERROR(__xludf.DUMMYFUNCTION("""COMPUTED_VALUE"""),46068.0)</f>
        <v>46068</v>
      </c>
      <c r="B114" s="319" t="str">
        <f>IFERROR(__xludf.DUMMYFUNCTION("""COMPUTED_VALUE"""),"E. 40-99")</f>
        <v>E. 40-99</v>
      </c>
      <c r="C114" s="320">
        <f>IFERROR(__xludf.DUMMYFUNCTION("""COMPUTED_VALUE"""),3328.0)</f>
        <v>3328</v>
      </c>
      <c r="D114" s="320">
        <f>IFERROR(__xludf.DUMMYFUNCTION("""COMPUTED_VALUE"""),4.26)</f>
        <v>4.26</v>
      </c>
      <c r="E114" s="320">
        <f>IFERROR(__xludf.DUMMYFUNCTION("""COMPUTED_VALUE"""),20456.57)</f>
        <v>20456.57</v>
      </c>
      <c r="F114" s="320">
        <f>IFERROR(__xludf.DUMMYFUNCTION("""COMPUTED_VALUE"""),6.1468)</f>
        <v>6.1468</v>
      </c>
      <c r="G114" s="320">
        <f>IFERROR(__xludf.DUMMYFUNCTION("""COMPUTED_VALUE"""),42.43)</f>
        <v>42.43</v>
      </c>
      <c r="H114" s="320">
        <f>IFERROR(__xludf.DUMMYFUNCTION("""COMPUTED_VALUE"""),14.4877)</f>
        <v>14.4877</v>
      </c>
      <c r="I114" s="320">
        <f>IFERROR(__xludf.DUMMYFUNCTION("""COMPUTED_VALUE"""),131.43)</f>
        <v>131.43</v>
      </c>
      <c r="J114" s="320">
        <f>IFERROR(__xludf.DUMMYFUNCTION("""COMPUTED_VALUE"""),81.44)</f>
        <v>81.44</v>
      </c>
      <c r="K114" s="320">
        <f>IFERROR(__xludf.DUMMYFUNCTION("""COMPUTED_VALUE"""),54.28)</f>
        <v>54.28</v>
      </c>
      <c r="L114" s="320">
        <f>IFERROR(__xludf.DUMMYFUNCTION("""COMPUTED_VALUE"""),0.6665)</f>
        <v>0.6665</v>
      </c>
      <c r="M114" s="320">
        <f>IFERROR(__xludf.DUMMYFUNCTION("""COMPUTED_VALUE"""),0.4185)</f>
        <v>0.4185</v>
      </c>
      <c r="N114" s="320">
        <f>IFERROR(__xludf.DUMMYFUNCTION("""COMPUTED_VALUE"""),0.2357)</f>
        <v>0.2357</v>
      </c>
      <c r="O114" s="320">
        <f>IFERROR(__xludf.DUMMYFUNCTION("""COMPUTED_VALUE"""),1.5003)</f>
        <v>1.5003</v>
      </c>
      <c r="P114" s="320">
        <f>IFERROR(__xludf.DUMMYFUNCTION("""COMPUTED_VALUE"""),629.36)</f>
        <v>629.36</v>
      </c>
      <c r="Q114" s="320">
        <f>IFERROR(__xludf.DUMMYFUNCTION("""COMPUTED_VALUE"""),514.56)</f>
        <v>514.56</v>
      </c>
      <c r="R114" s="320">
        <f>IFERROR(__xludf.DUMMYFUNCTION("""COMPUTED_VALUE"""),114.8)</f>
        <v>114.8</v>
      </c>
      <c r="S114" s="320">
        <f>IFERROR(__xludf.DUMMYFUNCTION("""COMPUTED_VALUE"""),382.61)</f>
        <v>382.61</v>
      </c>
      <c r="T114" s="320">
        <f>IFERROR(__xludf.DUMMYFUNCTION("""COMPUTED_VALUE"""),246.75)</f>
        <v>246.75</v>
      </c>
      <c r="U114" s="320">
        <f>IFERROR(__xludf.DUMMYFUNCTION("""COMPUTED_VALUE"""),666.83)</f>
        <v>666.83</v>
      </c>
      <c r="V114" s="320">
        <f>IFERROR(__xludf.DUMMYFUNCTION("""COMPUTED_VALUE"""),8.1879)</f>
        <v>8.1879</v>
      </c>
      <c r="W114" s="320">
        <f>IFERROR(__xludf.DUMMYFUNCTION("""COMPUTED_VALUE"""),60.79)</f>
        <v>60.79</v>
      </c>
      <c r="X114" s="320">
        <f>IFERROR(__xludf.DUMMYFUNCTION("""COMPUTED_VALUE"""),96.0)</f>
        <v>96</v>
      </c>
      <c r="Y114" s="320">
        <f>IFERROR(__xludf.DUMMYFUNCTION("""COMPUTED_VALUE"""),324.0)</f>
        <v>324</v>
      </c>
      <c r="Z114" s="320">
        <f>IFERROR(__xludf.DUMMYFUNCTION("""COMPUTED_VALUE"""),1089.0)</f>
        <v>1089</v>
      </c>
      <c r="AA114" s="320">
        <f>IFERROR(__xludf.DUMMYFUNCTION("""COMPUTED_VALUE"""),57.3642)</f>
        <v>57.3642</v>
      </c>
      <c r="AB114" s="320">
        <f>IFERROR(__xludf.DUMMYFUNCTION("""COMPUTED_VALUE"""),0.758)</f>
        <v>0.758</v>
      </c>
      <c r="AC114" s="320">
        <f>IFERROR(__xludf.DUMMYFUNCTION("""COMPUTED_VALUE"""),36.04)</f>
        <v>36.04</v>
      </c>
      <c r="AD114" s="320">
        <f>IFERROR(__xludf.DUMMYFUNCTION("""COMPUTED_VALUE"""),11.0)</f>
        <v>11</v>
      </c>
      <c r="AE114" s="320">
        <f>IFERROR(__xludf.DUMMYFUNCTION("""COMPUTED_VALUE"""),26.0)</f>
        <v>26</v>
      </c>
      <c r="AF114" s="320">
        <f>IFERROR(__xludf.DUMMYFUNCTION("""COMPUTED_VALUE"""),52.0)</f>
        <v>52</v>
      </c>
      <c r="AG114" s="320">
        <f>IFERROR(__xludf.DUMMYFUNCTION("""COMPUTED_VALUE"""),81.0)</f>
        <v>81</v>
      </c>
      <c r="AH114" s="320">
        <f>IFERROR(__xludf.DUMMYFUNCTION("""COMPUTED_VALUE"""),47.39)</f>
        <v>47.39</v>
      </c>
      <c r="AI114" s="320">
        <f>IFERROR(__xludf.DUMMYFUNCTION("""COMPUTED_VALUE"""),19.77)</f>
        <v>19.77</v>
      </c>
      <c r="AJ114" s="320">
        <f>IFERROR(__xludf.DUMMYFUNCTION("""COMPUTED_VALUE"""),5.05)</f>
        <v>5.05</v>
      </c>
      <c r="AK114" s="320">
        <f>IFERROR(__xludf.DUMMYFUNCTION("""COMPUTED_VALUE"""),0.2163)</f>
        <v>0.2163</v>
      </c>
      <c r="AL114" s="320">
        <f>IFERROR(__xludf.DUMMYFUNCTION("""COMPUTED_VALUE"""),20.4)</f>
        <v>20.4</v>
      </c>
      <c r="AM114" s="320">
        <f>IFERROR(__xludf.DUMMYFUNCTION("""COMPUTED_VALUE"""),494.16)</f>
        <v>494.16</v>
      </c>
      <c r="AN114" s="320">
        <f>IFERROR(__xludf.DUMMYFUNCTION("""COMPUTED_VALUE"""),73.22)</f>
        <v>73.22</v>
      </c>
      <c r="AO114" s="320">
        <f>IFERROR(__xludf.DUMMYFUNCTION("""COMPUTED_VALUE"""),14.94)</f>
        <v>14.94</v>
      </c>
    </row>
    <row r="115" ht="15.75" customHeight="1">
      <c r="A115" s="330">
        <f>IFERROR(__xludf.DUMMYFUNCTION("""COMPUTED_VALUE"""),46068.0)</f>
        <v>46068</v>
      </c>
      <c r="B115" s="319" t="str">
        <f>IFERROR(__xludf.DUMMYFUNCTION("""COMPUTED_VALUE"""),"F. 100+")</f>
        <v>F. 100+</v>
      </c>
      <c r="C115" s="320">
        <f>IFERROR(__xludf.DUMMYFUNCTION("""COMPUTED_VALUE"""),401.0)</f>
        <v>401</v>
      </c>
      <c r="D115" s="320">
        <f>IFERROR(__xludf.DUMMYFUNCTION("""COMPUTED_VALUE"""),0.51)</f>
        <v>0.51</v>
      </c>
      <c r="E115" s="320">
        <f>IFERROR(__xludf.DUMMYFUNCTION("""COMPUTED_VALUE"""),4551.89)</f>
        <v>4551.89</v>
      </c>
      <c r="F115" s="320">
        <f>IFERROR(__xludf.DUMMYFUNCTION("""COMPUTED_VALUE"""),11.3513)</f>
        <v>11.3513</v>
      </c>
      <c r="G115" s="320">
        <f>IFERROR(__xludf.DUMMYFUNCTION("""COMPUTED_VALUE"""),43.64)</f>
        <v>43.64</v>
      </c>
      <c r="H115" s="320">
        <f>IFERROR(__xludf.DUMMYFUNCTION("""COMPUTED_VALUE"""),26.0108)</f>
        <v>26.0108</v>
      </c>
      <c r="I115" s="320">
        <f>IFERROR(__xludf.DUMMYFUNCTION("""COMPUTED_VALUE"""),241.19)</f>
        <v>241.19</v>
      </c>
      <c r="J115" s="320">
        <f>IFERROR(__xludf.DUMMYFUNCTION("""COMPUTED_VALUE"""),161.06)</f>
        <v>161.06</v>
      </c>
      <c r="K115" s="320">
        <f>IFERROR(__xludf.DUMMYFUNCTION("""COMPUTED_VALUE"""),128.14)</f>
        <v>128.14</v>
      </c>
      <c r="L115" s="320">
        <f>IFERROR(__xludf.DUMMYFUNCTION("""COMPUTED_VALUE"""),0.7956)</f>
        <v>0.7956</v>
      </c>
      <c r="M115" s="320">
        <f>IFERROR(__xludf.DUMMYFUNCTION("""COMPUTED_VALUE"""),0.2892)</f>
        <v>0.2892</v>
      </c>
      <c r="N115" s="320">
        <f>IFERROR(__xludf.DUMMYFUNCTION("""COMPUTED_VALUE"""),0.1731)</f>
        <v>0.1731</v>
      </c>
      <c r="O115" s="320">
        <f>IFERROR(__xludf.DUMMYFUNCTION("""COMPUTED_VALUE"""),1.257)</f>
        <v>1.257</v>
      </c>
      <c r="P115" s="320">
        <f>IFERROR(__xludf.DUMMYFUNCTION("""COMPUTED_VALUE"""),1248.08)</f>
        <v>1248.08</v>
      </c>
      <c r="Q115" s="320">
        <f>IFERROR(__xludf.DUMMYFUNCTION("""COMPUTED_VALUE"""),977.26)</f>
        <v>977.26</v>
      </c>
      <c r="R115" s="320">
        <f>IFERROR(__xludf.DUMMYFUNCTION("""COMPUTED_VALUE"""),270.82)</f>
        <v>270.82</v>
      </c>
      <c r="S115" s="320">
        <f>IFERROR(__xludf.DUMMYFUNCTION("""COMPUTED_VALUE"""),719.75)</f>
        <v>719.75</v>
      </c>
      <c r="T115" s="320">
        <f>IFERROR(__xludf.DUMMYFUNCTION("""COMPUTED_VALUE"""),528.33)</f>
        <v>528.33</v>
      </c>
      <c r="U115" s="320">
        <f>IFERROR(__xludf.DUMMYFUNCTION("""COMPUTED_VALUE"""),1316.46)</f>
        <v>1316.46</v>
      </c>
      <c r="V115" s="320">
        <f>IFERROR(__xludf.DUMMYFUNCTION("""COMPUTED_VALUE"""),8.1735)</f>
        <v>8.1735</v>
      </c>
      <c r="W115" s="320">
        <f>IFERROR(__xludf.DUMMYFUNCTION("""COMPUTED_VALUE"""),57.67)</f>
        <v>57.67</v>
      </c>
      <c r="X115" s="320">
        <f>IFERROR(__xludf.DUMMYFUNCTION("""COMPUTED_VALUE"""),163.0)</f>
        <v>163</v>
      </c>
      <c r="Y115" s="320">
        <f>IFERROR(__xludf.DUMMYFUNCTION("""COMPUTED_VALUE"""),678.0)</f>
        <v>678</v>
      </c>
      <c r="Z115" s="320">
        <f>IFERROR(__xludf.DUMMYFUNCTION("""COMPUTED_VALUE"""),2114.0)</f>
        <v>2114</v>
      </c>
      <c r="AA115" s="320">
        <f>IFERROR(__xludf.DUMMYFUNCTION("""COMPUTED_VALUE"""),61.158)</f>
        <v>61.158</v>
      </c>
      <c r="AB115" s="320">
        <f>IFERROR(__xludf.DUMMYFUNCTION("""COMPUTED_VALUE"""),0.8401)</f>
        <v>0.8401</v>
      </c>
      <c r="AC115" s="320">
        <f>IFERROR(__xludf.DUMMYFUNCTION("""COMPUTED_VALUE"""),83.98)</f>
        <v>83.98</v>
      </c>
      <c r="AD115" s="320">
        <f>IFERROR(__xludf.DUMMYFUNCTION("""COMPUTED_VALUE"""),22.0)</f>
        <v>22</v>
      </c>
      <c r="AE115" s="320">
        <f>IFERROR(__xludf.DUMMYFUNCTION("""COMPUTED_VALUE"""),60.0)</f>
        <v>60</v>
      </c>
      <c r="AF115" s="320">
        <f>IFERROR(__xludf.DUMMYFUNCTION("""COMPUTED_VALUE"""),126.0)</f>
        <v>126</v>
      </c>
      <c r="AG115" s="320">
        <f>IFERROR(__xludf.DUMMYFUNCTION("""COMPUTED_VALUE"""),191.0)</f>
        <v>191</v>
      </c>
      <c r="AH115" s="320">
        <f>IFERROR(__xludf.DUMMYFUNCTION("""COMPUTED_VALUE"""),42.64)</f>
        <v>42.64</v>
      </c>
      <c r="AI115" s="320">
        <f>IFERROR(__xludf.DUMMYFUNCTION("""COMPUTED_VALUE"""),12.72)</f>
        <v>12.72</v>
      </c>
      <c r="AJ115" s="320">
        <f>IFERROR(__xludf.DUMMYFUNCTION("""COMPUTED_VALUE"""),2.49)</f>
        <v>2.49</v>
      </c>
      <c r="AK115" s="320">
        <f>IFERROR(__xludf.DUMMYFUNCTION("""COMPUTED_VALUE"""),0.187)</f>
        <v>0.187</v>
      </c>
      <c r="AL115" s="320">
        <f>IFERROR(__xludf.DUMMYFUNCTION("""COMPUTED_VALUE"""),23.15)</f>
        <v>23.15</v>
      </c>
      <c r="AM115" s="320">
        <f>IFERROR(__xludf.DUMMYFUNCTION("""COMPUTED_VALUE"""),954.1)</f>
        <v>954.1</v>
      </c>
      <c r="AN115" s="320">
        <f>IFERROR(__xludf.DUMMYFUNCTION("""COMPUTED_VALUE"""),66.98)</f>
        <v>66.98</v>
      </c>
      <c r="AO115" s="320">
        <f>IFERROR(__xludf.DUMMYFUNCTION("""COMPUTED_VALUE"""),15.51)</f>
        <v>15.51</v>
      </c>
    </row>
    <row r="116" ht="15.75" customHeight="1">
      <c r="A116" s="330">
        <f>IFERROR(__xludf.DUMMYFUNCTION("""COMPUTED_VALUE"""),46069.0)</f>
        <v>46069</v>
      </c>
      <c r="B116" s="319" t="str">
        <f>IFERROR(__xludf.DUMMYFUNCTION("""COMPUTED_VALUE"""),"A. 0")</f>
        <v>A. 0</v>
      </c>
      <c r="C116" s="320">
        <f>IFERROR(__xludf.DUMMYFUNCTION("""COMPUTED_VALUE"""),15779.0)</f>
        <v>15779</v>
      </c>
      <c r="D116" s="320">
        <f>IFERROR(__xludf.DUMMYFUNCTION("""COMPUTED_VALUE"""),19.52)</f>
        <v>19.52</v>
      </c>
      <c r="E116" s="320">
        <f>IFERROR(__xludf.DUMMYFUNCTION("""COMPUTED_VALUE"""),328.16)</f>
        <v>328.16</v>
      </c>
      <c r="F116" s="320">
        <f>IFERROR(__xludf.DUMMYFUNCTION("""COMPUTED_VALUE"""),0.0208)</f>
        <v>0.0208</v>
      </c>
      <c r="G116" s="320">
        <f>IFERROR(__xludf.DUMMYFUNCTION("""COMPUTED_VALUE"""),0.17)</f>
        <v>0.17</v>
      </c>
      <c r="H116" s="320">
        <f>IFERROR(__xludf.DUMMYFUNCTION("""COMPUTED_VALUE"""),12.1541)</f>
        <v>12.1541</v>
      </c>
      <c r="I116" s="320">
        <f>IFERROR(__xludf.DUMMYFUNCTION("""COMPUTED_VALUE"""),5.72)</f>
        <v>5.72</v>
      </c>
      <c r="J116" s="320">
        <f>IFERROR(__xludf.DUMMYFUNCTION("""COMPUTED_VALUE"""),2.43)</f>
        <v>2.43</v>
      </c>
      <c r="K116" s="320">
        <f>IFERROR(__xludf.DUMMYFUNCTION("""COMPUTED_VALUE"""),0.07)</f>
        <v>0.07</v>
      </c>
      <c r="L116" s="320">
        <f>IFERROR(__xludf.DUMMYFUNCTION("""COMPUTED_VALUE"""),0.0301)</f>
        <v>0.0301</v>
      </c>
      <c r="M116" s="320">
        <f>IFERROR(__xludf.DUMMYFUNCTION("""COMPUTED_VALUE"""),0.9726)</f>
        <v>0.9726</v>
      </c>
      <c r="N116" s="320">
        <f>IFERROR(__xludf.DUMMYFUNCTION("""COMPUTED_VALUE"""),0.7224)</f>
        <v>0.7224</v>
      </c>
      <c r="O116" s="320">
        <f>IFERROR(__xludf.DUMMYFUNCTION("""COMPUTED_VALUE"""),33.2763)</f>
        <v>33.2763</v>
      </c>
      <c r="P116" s="320">
        <f>IFERROR(__xludf.DUMMYFUNCTION("""COMPUTED_VALUE"""),37.36)</f>
        <v>37.36</v>
      </c>
      <c r="Q116" s="320">
        <f>IFERROR(__xludf.DUMMYFUNCTION("""COMPUTED_VALUE"""),37.29)</f>
        <v>37.29</v>
      </c>
      <c r="R116" s="320">
        <f>IFERROR(__xludf.DUMMYFUNCTION("""COMPUTED_VALUE"""),0.07)</f>
        <v>0.07</v>
      </c>
      <c r="S116" s="320">
        <f>IFERROR(__xludf.DUMMYFUNCTION("""COMPUTED_VALUE"""),1.45)</f>
        <v>1.45</v>
      </c>
      <c r="T116" s="320">
        <f>IFERROR(__xludf.DUMMYFUNCTION("""COMPUTED_VALUE"""),35.9)</f>
        <v>35.9</v>
      </c>
      <c r="U116" s="320">
        <f>IFERROR(__xludf.DUMMYFUNCTION("""COMPUTED_VALUE"""),2.6)</f>
        <v>2.6</v>
      </c>
      <c r="V116" s="320">
        <f>IFERROR(__xludf.DUMMYFUNCTION("""COMPUTED_VALUE"""),1.0731)</f>
        <v>1.0731</v>
      </c>
      <c r="W116" s="320">
        <f>IFERROR(__xludf.DUMMYFUNCTION("""COMPUTED_VALUE"""),3.89)</f>
        <v>3.89</v>
      </c>
      <c r="X116" s="320">
        <f>IFERROR(__xludf.DUMMYFUNCTION("""COMPUTED_VALUE"""),185.0)</f>
        <v>185</v>
      </c>
      <c r="Y116" s="320">
        <f>IFERROR(__xludf.DUMMYFUNCTION("""COMPUTED_VALUE"""),1203.0)</f>
        <v>1203</v>
      </c>
      <c r="Z116" s="320">
        <f>IFERROR(__xludf.DUMMYFUNCTION("""COMPUTED_VALUE"""),7274.0)</f>
        <v>7274</v>
      </c>
      <c r="AA116" s="320">
        <f>IFERROR(__xludf.DUMMYFUNCTION("""COMPUTED_VALUE"""),49.9759)</f>
        <v>49.9759</v>
      </c>
      <c r="AB116" s="320">
        <f>IFERROR(__xludf.DUMMYFUNCTION("""COMPUTED_VALUE"""),0.5261)</f>
        <v>0.5261</v>
      </c>
      <c r="AC116" s="106"/>
      <c r="AD116" s="106"/>
      <c r="AE116" s="106"/>
      <c r="AF116" s="106"/>
      <c r="AG116" s="106"/>
      <c r="AH116" s="320">
        <f>IFERROR(__xludf.DUMMYFUNCTION("""COMPUTED_VALUE"""),0.0)</f>
        <v>0</v>
      </c>
      <c r="AI116" s="320">
        <f>IFERROR(__xludf.DUMMYFUNCTION("""COMPUTED_VALUE"""),0.0)</f>
        <v>0</v>
      </c>
      <c r="AJ116" s="320">
        <f>IFERROR(__xludf.DUMMYFUNCTION("""COMPUTED_VALUE"""),0.0)</f>
        <v>0</v>
      </c>
      <c r="AK116" s="320">
        <f>IFERROR(__xludf.DUMMYFUNCTION("""COMPUTED_VALUE"""),0.2892)</f>
        <v>0.2892</v>
      </c>
      <c r="AL116" s="320">
        <f>IFERROR(__xludf.DUMMYFUNCTION("""COMPUTED_VALUE"""),15.8)</f>
        <v>15.8</v>
      </c>
      <c r="AM116" s="320">
        <f>IFERROR(__xludf.DUMMYFUNCTION("""COMPUTED_VALUE"""),21.49)</f>
        <v>21.49</v>
      </c>
      <c r="AN116" s="331"/>
      <c r="AO116" s="331"/>
    </row>
    <row r="117" ht="15.75" customHeight="1">
      <c r="A117" s="330">
        <f>IFERROR(__xludf.DUMMYFUNCTION("""COMPUTED_VALUE"""),46069.0)</f>
        <v>46069</v>
      </c>
      <c r="B117" s="319" t="str">
        <f>IFERROR(__xludf.DUMMYFUNCTION("""COMPUTED_VALUE"""),"B. 1-9")</f>
        <v>B. 1-9</v>
      </c>
      <c r="C117" s="320">
        <f>IFERROR(__xludf.DUMMYFUNCTION("""COMPUTED_VALUE"""),34259.0)</f>
        <v>34259</v>
      </c>
      <c r="D117" s="320">
        <f>IFERROR(__xludf.DUMMYFUNCTION("""COMPUTED_VALUE"""),42.38)</f>
        <v>42.38</v>
      </c>
      <c r="E117" s="320">
        <f>IFERROR(__xludf.DUMMYFUNCTION("""COMPUTED_VALUE"""),6758.31)</f>
        <v>6758.31</v>
      </c>
      <c r="F117" s="320">
        <f>IFERROR(__xludf.DUMMYFUNCTION("""COMPUTED_VALUE"""),0.1973)</f>
        <v>0.1973</v>
      </c>
      <c r="G117" s="320">
        <f>IFERROR(__xludf.DUMMYFUNCTION("""COMPUTED_VALUE"""),5.96)</f>
        <v>5.96</v>
      </c>
      <c r="H117" s="320">
        <f>IFERROR(__xludf.DUMMYFUNCTION("""COMPUTED_VALUE"""),3.3113)</f>
        <v>3.3113</v>
      </c>
      <c r="I117" s="320">
        <f>IFERROR(__xludf.DUMMYFUNCTION("""COMPUTED_VALUE"""),34.74)</f>
        <v>34.74</v>
      </c>
      <c r="J117" s="320">
        <f>IFERROR(__xludf.DUMMYFUNCTION("""COMPUTED_VALUE"""),18.72)</f>
        <v>18.72</v>
      </c>
      <c r="K117" s="320">
        <f>IFERROR(__xludf.DUMMYFUNCTION("""COMPUTED_VALUE"""),5.55)</f>
        <v>5.55</v>
      </c>
      <c r="L117" s="320">
        <f>IFERROR(__xludf.DUMMYFUNCTION("""COMPUTED_VALUE"""),0.2966)</f>
        <v>0.2966</v>
      </c>
      <c r="M117" s="320">
        <f>IFERROR(__xludf.DUMMYFUNCTION("""COMPUTED_VALUE"""),0.7735)</f>
        <v>0.7735</v>
      </c>
      <c r="N117" s="320">
        <f>IFERROR(__xludf.DUMMYFUNCTION("""COMPUTED_VALUE"""),0.5275)</f>
        <v>0.5275</v>
      </c>
      <c r="O117" s="320">
        <f>IFERROR(__xludf.DUMMYFUNCTION("""COMPUTED_VALUE"""),3.3712)</f>
        <v>3.3712</v>
      </c>
      <c r="P117" s="320">
        <f>IFERROR(__xludf.DUMMYFUNCTION("""COMPUTED_VALUE"""),96.66)</f>
        <v>96.66</v>
      </c>
      <c r="Q117" s="320">
        <f>IFERROR(__xludf.DUMMYFUNCTION("""COMPUTED_VALUE"""),85.33)</f>
        <v>85.33</v>
      </c>
      <c r="R117" s="320">
        <f>IFERROR(__xludf.DUMMYFUNCTION("""COMPUTED_VALUE"""),11.33)</f>
        <v>11.33</v>
      </c>
      <c r="S117" s="320">
        <f>IFERROR(__xludf.DUMMYFUNCTION("""COMPUTED_VALUE"""),14.02)</f>
        <v>14.02</v>
      </c>
      <c r="T117" s="320">
        <f>IFERROR(__xludf.DUMMYFUNCTION("""COMPUTED_VALUE"""),82.64)</f>
        <v>82.64</v>
      </c>
      <c r="U117" s="320">
        <f>IFERROR(__xludf.DUMMYFUNCTION("""COMPUTED_VALUE"""),89.97)</f>
        <v>89.97</v>
      </c>
      <c r="V117" s="320">
        <f>IFERROR(__xludf.DUMMYFUNCTION("""COMPUTED_VALUE"""),4.805)</f>
        <v>4.805</v>
      </c>
      <c r="W117" s="320">
        <f>IFERROR(__xludf.DUMMYFUNCTION("""COMPUTED_VALUE"""),14.51)</f>
        <v>14.51</v>
      </c>
      <c r="X117" s="320">
        <f>IFERROR(__xludf.DUMMYFUNCTION("""COMPUTED_VALUE"""),92.0)</f>
        <v>92</v>
      </c>
      <c r="Y117" s="320">
        <f>IFERROR(__xludf.DUMMYFUNCTION("""COMPUTED_VALUE"""),215.0)</f>
        <v>215</v>
      </c>
      <c r="Z117" s="320">
        <f>IFERROR(__xludf.DUMMYFUNCTION("""COMPUTED_VALUE"""),829.0)</f>
        <v>829</v>
      </c>
      <c r="AA117" s="320">
        <f>IFERROR(__xludf.DUMMYFUNCTION("""COMPUTED_VALUE"""),49.5551)</f>
        <v>49.5551</v>
      </c>
      <c r="AB117" s="320">
        <f>IFERROR(__xludf.DUMMYFUNCTION("""COMPUTED_VALUE"""),0.4441)</f>
        <v>0.4441</v>
      </c>
      <c r="AC117" s="320">
        <f>IFERROR(__xludf.DUMMYFUNCTION("""COMPUTED_VALUE"""),3.57)</f>
        <v>3.57</v>
      </c>
      <c r="AD117" s="320">
        <f>IFERROR(__xludf.DUMMYFUNCTION("""COMPUTED_VALUE"""),1.0)</f>
        <v>1</v>
      </c>
      <c r="AE117" s="320">
        <f>IFERROR(__xludf.DUMMYFUNCTION("""COMPUTED_VALUE"""),2.0)</f>
        <v>2</v>
      </c>
      <c r="AF117" s="320">
        <f>IFERROR(__xludf.DUMMYFUNCTION("""COMPUTED_VALUE"""),5.0)</f>
        <v>5</v>
      </c>
      <c r="AG117" s="320">
        <f>IFERROR(__xludf.DUMMYFUNCTION("""COMPUTED_VALUE"""),8.0)</f>
        <v>8</v>
      </c>
      <c r="AH117" s="320">
        <f>IFERROR(__xludf.DUMMYFUNCTION("""COMPUTED_VALUE"""),67.93)</f>
        <v>67.93</v>
      </c>
      <c r="AI117" s="320">
        <f>IFERROR(__xludf.DUMMYFUNCTION("""COMPUTED_VALUE"""),25.24)</f>
        <v>25.24</v>
      </c>
      <c r="AJ117" s="320">
        <f>IFERROR(__xludf.DUMMYFUNCTION("""COMPUTED_VALUE"""),6.78)</f>
        <v>6.78</v>
      </c>
      <c r="AK117" s="320">
        <f>IFERROR(__xludf.DUMMYFUNCTION("""COMPUTED_VALUE"""),0.2173)</f>
        <v>0.2173</v>
      </c>
      <c r="AL117" s="320">
        <f>IFERROR(__xludf.DUMMYFUNCTION("""COMPUTED_VALUE"""),18.76)</f>
        <v>18.76</v>
      </c>
      <c r="AM117" s="320">
        <f>IFERROR(__xludf.DUMMYFUNCTION("""COMPUTED_VALUE"""),66.57)</f>
        <v>66.57</v>
      </c>
      <c r="AN117" s="320">
        <f>IFERROR(__xludf.DUMMYFUNCTION("""COMPUTED_VALUE"""),67.86)</f>
        <v>67.86</v>
      </c>
      <c r="AO117" s="320">
        <f>IFERROR(__xludf.DUMMYFUNCTION("""COMPUTED_VALUE"""),12.73)</f>
        <v>12.73</v>
      </c>
    </row>
    <row r="118" ht="15.75" customHeight="1">
      <c r="A118" s="330">
        <f>IFERROR(__xludf.DUMMYFUNCTION("""COMPUTED_VALUE"""),46069.0)</f>
        <v>46069</v>
      </c>
      <c r="B118" s="319" t="str">
        <f>IFERROR(__xludf.DUMMYFUNCTION("""COMPUTED_VALUE"""),"C. 10-19")</f>
        <v>C. 10-19</v>
      </c>
      <c r="C118" s="320">
        <f>IFERROR(__xludf.DUMMYFUNCTION("""COMPUTED_VALUE"""),16995.0)</f>
        <v>16995</v>
      </c>
      <c r="D118" s="320">
        <f>IFERROR(__xludf.DUMMYFUNCTION("""COMPUTED_VALUE"""),21.02)</f>
        <v>21.02</v>
      </c>
      <c r="E118" s="320">
        <f>IFERROR(__xludf.DUMMYFUNCTION("""COMPUTED_VALUE"""),15600.95)</f>
        <v>15600.95</v>
      </c>
      <c r="F118" s="320">
        <f>IFERROR(__xludf.DUMMYFUNCTION("""COMPUTED_VALUE"""),0.918)</f>
        <v>0.918</v>
      </c>
      <c r="G118" s="320">
        <f>IFERROR(__xludf.DUMMYFUNCTION("""COMPUTED_VALUE"""),19.43)</f>
        <v>19.43</v>
      </c>
      <c r="H118" s="320">
        <f>IFERROR(__xludf.DUMMYFUNCTION("""COMPUTED_VALUE"""),4.7247)</f>
        <v>4.7247</v>
      </c>
      <c r="I118" s="320">
        <f>IFERROR(__xludf.DUMMYFUNCTION("""COMPUTED_VALUE"""),66.03)</f>
        <v>66.03</v>
      </c>
      <c r="J118" s="320">
        <f>IFERROR(__xludf.DUMMYFUNCTION("""COMPUTED_VALUE"""),37.34)</f>
        <v>37.34</v>
      </c>
      <c r="K118" s="320">
        <f>IFERROR(__xludf.DUMMYFUNCTION("""COMPUTED_VALUE"""),15.35)</f>
        <v>15.35</v>
      </c>
      <c r="L118" s="320">
        <f>IFERROR(__xludf.DUMMYFUNCTION("""COMPUTED_VALUE"""),0.411)</f>
        <v>0.411</v>
      </c>
      <c r="M118" s="320">
        <f>IFERROR(__xludf.DUMMYFUNCTION("""COMPUTED_VALUE"""),0.6537)</f>
        <v>0.6537</v>
      </c>
      <c r="N118" s="320">
        <f>IFERROR(__xludf.DUMMYFUNCTION("""COMPUTED_VALUE"""),0.381)</f>
        <v>0.381</v>
      </c>
      <c r="O118" s="320">
        <f>IFERROR(__xludf.DUMMYFUNCTION("""COMPUTED_VALUE"""),2.4331)</f>
        <v>2.4331</v>
      </c>
      <c r="P118" s="320">
        <f>IFERROR(__xludf.DUMMYFUNCTION("""COMPUTED_VALUE"""),207.38)</f>
        <v>207.38</v>
      </c>
      <c r="Q118" s="320">
        <f>IFERROR(__xludf.DUMMYFUNCTION("""COMPUTED_VALUE"""),176.86)</f>
        <v>176.86</v>
      </c>
      <c r="R118" s="320">
        <f>IFERROR(__xludf.DUMMYFUNCTION("""COMPUTED_VALUE"""),30.52)</f>
        <v>30.52</v>
      </c>
      <c r="S118" s="320">
        <f>IFERROR(__xludf.DUMMYFUNCTION("""COMPUTED_VALUE"""),60.77)</f>
        <v>60.77</v>
      </c>
      <c r="T118" s="320">
        <f>IFERROR(__xludf.DUMMYFUNCTION("""COMPUTED_VALUE"""),146.61)</f>
        <v>146.61</v>
      </c>
      <c r="U118" s="320">
        <f>IFERROR(__xludf.DUMMYFUNCTION("""COMPUTED_VALUE"""),206.02)</f>
        <v>206.02</v>
      </c>
      <c r="V118" s="320">
        <f>IFERROR(__xludf.DUMMYFUNCTION("""COMPUTED_VALUE"""),5.5169)</f>
        <v>5.5169</v>
      </c>
      <c r="W118" s="320">
        <f>IFERROR(__xludf.DUMMYFUNCTION("""COMPUTED_VALUE"""),29.3)</f>
        <v>29.3</v>
      </c>
      <c r="X118" s="320">
        <f>IFERROR(__xludf.DUMMYFUNCTION("""COMPUTED_VALUE"""),88.0)</f>
        <v>88</v>
      </c>
      <c r="Y118" s="320">
        <f>IFERROR(__xludf.DUMMYFUNCTION("""COMPUTED_VALUE"""),209.0)</f>
        <v>209</v>
      </c>
      <c r="Z118" s="320">
        <f>IFERROR(__xludf.DUMMYFUNCTION("""COMPUTED_VALUE"""),653.0)</f>
        <v>653</v>
      </c>
      <c r="AA118" s="320">
        <f>IFERROR(__xludf.DUMMYFUNCTION("""COMPUTED_VALUE"""),52.2972)</f>
        <v>52.2972</v>
      </c>
      <c r="AB118" s="320">
        <f>IFERROR(__xludf.DUMMYFUNCTION("""COMPUTED_VALUE"""),0.5176)</f>
        <v>0.5176</v>
      </c>
      <c r="AC118" s="320">
        <f>IFERROR(__xludf.DUMMYFUNCTION("""COMPUTED_VALUE"""),9.33)</f>
        <v>9.33</v>
      </c>
      <c r="AD118" s="320">
        <f>IFERROR(__xludf.DUMMYFUNCTION("""COMPUTED_VALUE"""),3.0)</f>
        <v>3</v>
      </c>
      <c r="AE118" s="320">
        <f>IFERROR(__xludf.DUMMYFUNCTION("""COMPUTED_VALUE"""),7.0)</f>
        <v>7</v>
      </c>
      <c r="AF118" s="320">
        <f>IFERROR(__xludf.DUMMYFUNCTION("""COMPUTED_VALUE"""),13.0)</f>
        <v>13</v>
      </c>
      <c r="AG118" s="320">
        <f>IFERROR(__xludf.DUMMYFUNCTION("""COMPUTED_VALUE"""),21.0)</f>
        <v>21</v>
      </c>
      <c r="AH118" s="320">
        <f>IFERROR(__xludf.DUMMYFUNCTION("""COMPUTED_VALUE"""),56.48)</f>
        <v>56.48</v>
      </c>
      <c r="AI118" s="320">
        <f>IFERROR(__xludf.DUMMYFUNCTION("""COMPUTED_VALUE"""),26.08)</f>
        <v>26.08</v>
      </c>
      <c r="AJ118" s="320">
        <f>IFERROR(__xludf.DUMMYFUNCTION("""COMPUTED_VALUE"""),5.82)</f>
        <v>5.82</v>
      </c>
      <c r="AK118" s="320">
        <f>IFERROR(__xludf.DUMMYFUNCTION("""COMPUTED_VALUE"""),0.1893)</f>
        <v>0.1893</v>
      </c>
      <c r="AL118" s="320">
        <f>IFERROR(__xludf.DUMMYFUNCTION("""COMPUTED_VALUE"""),18.85)</f>
        <v>18.85</v>
      </c>
      <c r="AM118" s="320">
        <f>IFERROR(__xludf.DUMMYFUNCTION("""COMPUTED_VALUE"""),158.01)</f>
        <v>158.01</v>
      </c>
      <c r="AN118" s="320">
        <f>IFERROR(__xludf.DUMMYFUNCTION("""COMPUTED_VALUE"""),72.26)</f>
        <v>72.26</v>
      </c>
      <c r="AO118" s="320">
        <f>IFERROR(__xludf.DUMMYFUNCTION("""COMPUTED_VALUE"""),13.62)</f>
        <v>13.62</v>
      </c>
    </row>
    <row r="119" ht="15.75" customHeight="1">
      <c r="A119" s="330">
        <f>IFERROR(__xludf.DUMMYFUNCTION("""COMPUTED_VALUE"""),46069.0)</f>
        <v>46069</v>
      </c>
      <c r="B119" s="319" t="str">
        <f>IFERROR(__xludf.DUMMYFUNCTION("""COMPUTED_VALUE"""),"D. 20-39")</f>
        <v>D. 20-39</v>
      </c>
      <c r="C119" s="320">
        <f>IFERROR(__xludf.DUMMYFUNCTION("""COMPUTED_VALUE"""),9678.0)</f>
        <v>9678</v>
      </c>
      <c r="D119" s="320">
        <f>IFERROR(__xludf.DUMMYFUNCTION("""COMPUTED_VALUE"""),11.97)</f>
        <v>11.97</v>
      </c>
      <c r="E119" s="320">
        <f>IFERROR(__xludf.DUMMYFUNCTION("""COMPUTED_VALUE"""),24782.99)</f>
        <v>24782.99</v>
      </c>
      <c r="F119" s="320">
        <f>IFERROR(__xludf.DUMMYFUNCTION("""COMPUTED_VALUE"""),2.5608)</f>
        <v>2.5608</v>
      </c>
      <c r="G119" s="320">
        <f>IFERROR(__xludf.DUMMYFUNCTION("""COMPUTED_VALUE"""),30.78)</f>
        <v>30.78</v>
      </c>
      <c r="H119" s="320">
        <f>IFERROR(__xludf.DUMMYFUNCTION("""COMPUTED_VALUE"""),8.3192)</f>
        <v>8.3192</v>
      </c>
      <c r="I119" s="320">
        <f>IFERROR(__xludf.DUMMYFUNCTION("""COMPUTED_VALUE"""),95.34)</f>
        <v>95.34</v>
      </c>
      <c r="J119" s="320">
        <f>IFERROR(__xludf.DUMMYFUNCTION("""COMPUTED_VALUE"""),56.12)</f>
        <v>56.12</v>
      </c>
      <c r="K119" s="320">
        <f>IFERROR(__xludf.DUMMYFUNCTION("""COMPUTED_VALUE"""),30.32)</f>
        <v>30.32</v>
      </c>
      <c r="L119" s="320">
        <f>IFERROR(__xludf.DUMMYFUNCTION("""COMPUTED_VALUE"""),0.5403)</f>
        <v>0.5403</v>
      </c>
      <c r="M119" s="320">
        <f>IFERROR(__xludf.DUMMYFUNCTION("""COMPUTED_VALUE"""),0.5353)</f>
        <v>0.5353</v>
      </c>
      <c r="N119" s="320">
        <f>IFERROR(__xludf.DUMMYFUNCTION("""COMPUTED_VALUE"""),0.2993)</f>
        <v>0.2993</v>
      </c>
      <c r="O119" s="320">
        <f>IFERROR(__xludf.DUMMYFUNCTION("""COMPUTED_VALUE"""),1.851)</f>
        <v>1.851</v>
      </c>
      <c r="P119" s="320">
        <f>IFERROR(__xludf.DUMMYFUNCTION("""COMPUTED_VALUE"""),405.31)</f>
        <v>405.31</v>
      </c>
      <c r="Q119" s="320">
        <f>IFERROR(__xludf.DUMMYFUNCTION("""COMPUTED_VALUE"""),346.21)</f>
        <v>346.21</v>
      </c>
      <c r="R119" s="320">
        <f>IFERROR(__xludf.DUMMYFUNCTION("""COMPUTED_VALUE"""),59.1)</f>
        <v>59.1</v>
      </c>
      <c r="S119" s="320">
        <f>IFERROR(__xludf.DUMMYFUNCTION("""COMPUTED_VALUE"""),166.59)</f>
        <v>166.59</v>
      </c>
      <c r="T119" s="320">
        <f>IFERROR(__xludf.DUMMYFUNCTION("""COMPUTED_VALUE"""),238.72)</f>
        <v>238.72</v>
      </c>
      <c r="U119" s="320">
        <f>IFERROR(__xludf.DUMMYFUNCTION("""COMPUTED_VALUE"""),405.16)</f>
        <v>405.16</v>
      </c>
      <c r="V119" s="320">
        <f>IFERROR(__xludf.DUMMYFUNCTION("""COMPUTED_VALUE"""),7.219)</f>
        <v>7.219</v>
      </c>
      <c r="W119" s="320">
        <f>IFERROR(__xludf.DUMMYFUNCTION("""COMPUTED_VALUE"""),41.1)</f>
        <v>41.1</v>
      </c>
      <c r="X119" s="320">
        <f>IFERROR(__xludf.DUMMYFUNCTION("""COMPUTED_VALUE"""),94.0)</f>
        <v>94</v>
      </c>
      <c r="Y119" s="320">
        <f>IFERROR(__xludf.DUMMYFUNCTION("""COMPUTED_VALUE"""),258.0)</f>
        <v>258</v>
      </c>
      <c r="Z119" s="320">
        <f>IFERROR(__xludf.DUMMYFUNCTION("""COMPUTED_VALUE"""),826.0)</f>
        <v>826</v>
      </c>
      <c r="AA119" s="320">
        <f>IFERROR(__xludf.DUMMYFUNCTION("""COMPUTED_VALUE"""),54.3012)</f>
        <v>54.3012</v>
      </c>
      <c r="AB119" s="320">
        <f>IFERROR(__xludf.DUMMYFUNCTION("""COMPUTED_VALUE"""),0.6032)</f>
        <v>0.6032</v>
      </c>
      <c r="AC119" s="320">
        <f>IFERROR(__xludf.DUMMYFUNCTION("""COMPUTED_VALUE"""),18.07)</f>
        <v>18.07</v>
      </c>
      <c r="AD119" s="320">
        <f>IFERROR(__xludf.DUMMYFUNCTION("""COMPUTED_VALUE"""),6.0)</f>
        <v>6</v>
      </c>
      <c r="AE119" s="320">
        <f>IFERROR(__xludf.DUMMYFUNCTION("""COMPUTED_VALUE"""),13.0)</f>
        <v>13</v>
      </c>
      <c r="AF119" s="320">
        <f>IFERROR(__xludf.DUMMYFUNCTION("""COMPUTED_VALUE"""),26.0)</f>
        <v>26</v>
      </c>
      <c r="AG119" s="320">
        <f>IFERROR(__xludf.DUMMYFUNCTION("""COMPUTED_VALUE"""),39.0)</f>
        <v>39</v>
      </c>
      <c r="AH119" s="320">
        <f>IFERROR(__xludf.DUMMYFUNCTION("""COMPUTED_VALUE"""),57.63)</f>
        <v>57.63</v>
      </c>
      <c r="AI119" s="320">
        <f>IFERROR(__xludf.DUMMYFUNCTION("""COMPUTED_VALUE"""),25.9)</f>
        <v>25.9</v>
      </c>
      <c r="AJ119" s="320">
        <f>IFERROR(__xludf.DUMMYFUNCTION("""COMPUTED_VALUE"""),7.03)</f>
        <v>7.03</v>
      </c>
      <c r="AK119" s="320">
        <f>IFERROR(__xludf.DUMMYFUNCTION("""COMPUTED_VALUE"""),0.1793)</f>
        <v>0.1793</v>
      </c>
      <c r="AL119" s="320">
        <f>IFERROR(__xludf.DUMMYFUNCTION("""COMPUTED_VALUE"""),19.29)</f>
        <v>19.29</v>
      </c>
      <c r="AM119" s="320">
        <f>IFERROR(__xludf.DUMMYFUNCTION("""COMPUTED_VALUE"""),326.92)</f>
        <v>326.92</v>
      </c>
      <c r="AN119" s="320">
        <f>IFERROR(__xludf.DUMMYFUNCTION("""COMPUTED_VALUE"""),72.1)</f>
        <v>72.1</v>
      </c>
      <c r="AO119" s="320">
        <f>IFERROR(__xludf.DUMMYFUNCTION("""COMPUTED_VALUE"""),13.91)</f>
        <v>13.91</v>
      </c>
    </row>
    <row r="120" ht="15.75" customHeight="1">
      <c r="A120" s="330">
        <f>IFERROR(__xludf.DUMMYFUNCTION("""COMPUTED_VALUE"""),46069.0)</f>
        <v>46069</v>
      </c>
      <c r="B120" s="319" t="str">
        <f>IFERROR(__xludf.DUMMYFUNCTION("""COMPUTED_VALUE"""),"E. 40-99")</f>
        <v>E. 40-99</v>
      </c>
      <c r="C120" s="320">
        <f>IFERROR(__xludf.DUMMYFUNCTION("""COMPUTED_VALUE"""),3741.0)</f>
        <v>3741</v>
      </c>
      <c r="D120" s="320">
        <f>IFERROR(__xludf.DUMMYFUNCTION("""COMPUTED_VALUE"""),4.63)</f>
        <v>4.63</v>
      </c>
      <c r="E120" s="320">
        <f>IFERROR(__xludf.DUMMYFUNCTION("""COMPUTED_VALUE"""),21346.63)</f>
        <v>21346.63</v>
      </c>
      <c r="F120" s="320">
        <f>IFERROR(__xludf.DUMMYFUNCTION("""COMPUTED_VALUE"""),5.7061)</f>
        <v>5.7061</v>
      </c>
      <c r="G120" s="320">
        <f>IFERROR(__xludf.DUMMYFUNCTION("""COMPUTED_VALUE"""),40.26)</f>
        <v>40.26</v>
      </c>
      <c r="H120" s="320">
        <f>IFERROR(__xludf.DUMMYFUNCTION("""COMPUTED_VALUE"""),14.1744)</f>
        <v>14.1744</v>
      </c>
      <c r="I120" s="320">
        <f>IFERROR(__xludf.DUMMYFUNCTION("""COMPUTED_VALUE"""),142.49)</f>
        <v>142.49</v>
      </c>
      <c r="J120" s="320">
        <f>IFERROR(__xludf.DUMMYFUNCTION("""COMPUTED_VALUE"""),88.06)</f>
        <v>88.06</v>
      </c>
      <c r="K120" s="320">
        <f>IFERROR(__xludf.DUMMYFUNCTION("""COMPUTED_VALUE"""),60.9)</f>
        <v>60.9</v>
      </c>
      <c r="L120" s="320">
        <f>IFERROR(__xludf.DUMMYFUNCTION("""COMPUTED_VALUE"""),0.6916)</f>
        <v>0.6916</v>
      </c>
      <c r="M120" s="320">
        <f>IFERROR(__xludf.DUMMYFUNCTION("""COMPUTED_VALUE"""),0.401)</f>
        <v>0.401</v>
      </c>
      <c r="N120" s="320">
        <f>IFERROR(__xludf.DUMMYFUNCTION("""COMPUTED_VALUE"""),0.2304)</f>
        <v>0.2304</v>
      </c>
      <c r="O120" s="320">
        <f>IFERROR(__xludf.DUMMYFUNCTION("""COMPUTED_VALUE"""),1.446)</f>
        <v>1.446</v>
      </c>
      <c r="P120" s="320">
        <f>IFERROR(__xludf.DUMMYFUNCTION("""COMPUTED_VALUE"""),763.19)</f>
        <v>763.19</v>
      </c>
      <c r="Q120" s="320">
        <f>IFERROR(__xludf.DUMMYFUNCTION("""COMPUTED_VALUE"""),648.49)</f>
        <v>648.49</v>
      </c>
      <c r="R120" s="320">
        <f>IFERROR(__xludf.DUMMYFUNCTION("""COMPUTED_VALUE"""),114.7)</f>
        <v>114.7</v>
      </c>
      <c r="S120" s="320">
        <f>IFERROR(__xludf.DUMMYFUNCTION("""COMPUTED_VALUE"""),363.61)</f>
        <v>363.61</v>
      </c>
      <c r="T120" s="320">
        <f>IFERROR(__xludf.DUMMYFUNCTION("""COMPUTED_VALUE"""),399.58)</f>
        <v>399.58</v>
      </c>
      <c r="U120" s="320">
        <f>IFERROR(__xludf.DUMMYFUNCTION("""COMPUTED_VALUE"""),790.04)</f>
        <v>790.04</v>
      </c>
      <c r="V120" s="320">
        <f>IFERROR(__xludf.DUMMYFUNCTION("""COMPUTED_VALUE"""),8.9712)</f>
        <v>8.9712</v>
      </c>
      <c r="W120" s="320">
        <f>IFERROR(__xludf.DUMMYFUNCTION("""COMPUTED_VALUE"""),47.64)</f>
        <v>47.64</v>
      </c>
      <c r="X120" s="320">
        <f>IFERROR(__xludf.DUMMYFUNCTION("""COMPUTED_VALUE"""),113.0)</f>
        <v>113</v>
      </c>
      <c r="Y120" s="320">
        <f>IFERROR(__xludf.DUMMYFUNCTION("""COMPUTED_VALUE"""),412.0)</f>
        <v>412</v>
      </c>
      <c r="Z120" s="320">
        <f>IFERROR(__xludf.DUMMYFUNCTION("""COMPUTED_VALUE"""),1294.0)</f>
        <v>1294</v>
      </c>
      <c r="AA120" s="320">
        <f>IFERROR(__xludf.DUMMYFUNCTION("""COMPUTED_VALUE"""),57.2346)</f>
        <v>57.2346</v>
      </c>
      <c r="AB120" s="320">
        <f>IFERROR(__xludf.DUMMYFUNCTION("""COMPUTED_VALUE"""),0.6856)</f>
        <v>0.6856</v>
      </c>
      <c r="AC120" s="320">
        <f>IFERROR(__xludf.DUMMYFUNCTION("""COMPUTED_VALUE"""),36.47)</f>
        <v>36.47</v>
      </c>
      <c r="AD120" s="320">
        <f>IFERROR(__xludf.DUMMYFUNCTION("""COMPUTED_VALUE"""),13.0)</f>
        <v>13</v>
      </c>
      <c r="AE120" s="320">
        <f>IFERROR(__xludf.DUMMYFUNCTION("""COMPUTED_VALUE"""),30.0)</f>
        <v>30</v>
      </c>
      <c r="AF120" s="320">
        <f>IFERROR(__xludf.DUMMYFUNCTION("""COMPUTED_VALUE"""),50.0)</f>
        <v>50</v>
      </c>
      <c r="AG120" s="320">
        <f>IFERROR(__xludf.DUMMYFUNCTION("""COMPUTED_VALUE"""),77.0)</f>
        <v>77</v>
      </c>
      <c r="AH120" s="320">
        <f>IFERROR(__xludf.DUMMYFUNCTION("""COMPUTED_VALUE"""),52.63)</f>
        <v>52.63</v>
      </c>
      <c r="AI120" s="320">
        <f>IFERROR(__xludf.DUMMYFUNCTION("""COMPUTED_VALUE"""),18.85)</f>
        <v>18.85</v>
      </c>
      <c r="AJ120" s="320">
        <f>IFERROR(__xludf.DUMMYFUNCTION("""COMPUTED_VALUE"""),4.36)</f>
        <v>4.36</v>
      </c>
      <c r="AK120" s="320">
        <f>IFERROR(__xludf.DUMMYFUNCTION("""COMPUTED_VALUE"""),0.1735)</f>
        <v>0.1735</v>
      </c>
      <c r="AL120" s="320">
        <f>IFERROR(__xludf.DUMMYFUNCTION("""COMPUTED_VALUE"""),19.48)</f>
        <v>19.48</v>
      </c>
      <c r="AM120" s="320">
        <f>IFERROR(__xludf.DUMMYFUNCTION("""COMPUTED_VALUE"""),629.0)</f>
        <v>629</v>
      </c>
      <c r="AN120" s="320">
        <f>IFERROR(__xludf.DUMMYFUNCTION("""COMPUTED_VALUE"""),67.97)</f>
        <v>67.97</v>
      </c>
      <c r="AO120" s="320">
        <f>IFERROR(__xludf.DUMMYFUNCTION("""COMPUTED_VALUE"""),13.24)</f>
        <v>13.24</v>
      </c>
    </row>
    <row r="121" ht="15.75" customHeight="1">
      <c r="A121" s="330">
        <f>IFERROR(__xludf.DUMMYFUNCTION("""COMPUTED_VALUE"""),46069.0)</f>
        <v>46069</v>
      </c>
      <c r="B121" s="319" t="str">
        <f>IFERROR(__xludf.DUMMYFUNCTION("""COMPUTED_VALUE"""),"F. 100+")</f>
        <v>F. 100+</v>
      </c>
      <c r="C121" s="320">
        <f>IFERROR(__xludf.DUMMYFUNCTION("""COMPUTED_VALUE"""),393.0)</f>
        <v>393</v>
      </c>
      <c r="D121" s="320">
        <f>IFERROR(__xludf.DUMMYFUNCTION("""COMPUTED_VALUE"""),0.49)</f>
        <v>0.49</v>
      </c>
      <c r="E121" s="320">
        <f>IFERROR(__xludf.DUMMYFUNCTION("""COMPUTED_VALUE"""),3867.64)</f>
        <v>3867.64</v>
      </c>
      <c r="F121" s="320">
        <f>IFERROR(__xludf.DUMMYFUNCTION("""COMPUTED_VALUE"""),9.8413)</f>
        <v>9.8413</v>
      </c>
      <c r="G121" s="320">
        <f>IFERROR(__xludf.DUMMYFUNCTION("""COMPUTED_VALUE"""),41.73)</f>
        <v>41.73</v>
      </c>
      <c r="H121" s="320">
        <f>IFERROR(__xludf.DUMMYFUNCTION("""COMPUTED_VALUE"""),23.5832)</f>
        <v>23.5832</v>
      </c>
      <c r="I121" s="320">
        <f>IFERROR(__xludf.DUMMYFUNCTION("""COMPUTED_VALUE"""),252.06)</f>
        <v>252.06</v>
      </c>
      <c r="J121" s="320">
        <f>IFERROR(__xludf.DUMMYFUNCTION("""COMPUTED_VALUE"""),164.19)</f>
        <v>164.19</v>
      </c>
      <c r="K121" s="320">
        <f>IFERROR(__xludf.DUMMYFUNCTION("""COMPUTED_VALUE"""),134.97)</f>
        <v>134.97</v>
      </c>
      <c r="L121" s="320">
        <f>IFERROR(__xludf.DUMMYFUNCTION("""COMPUTED_VALUE"""),0.822)</f>
        <v>0.822</v>
      </c>
      <c r="M121" s="320">
        <f>IFERROR(__xludf.DUMMYFUNCTION("""COMPUTED_VALUE"""),0.2655)</f>
        <v>0.2655</v>
      </c>
      <c r="N121" s="320">
        <f>IFERROR(__xludf.DUMMYFUNCTION("""COMPUTED_VALUE"""),0.1676)</f>
        <v>0.1676</v>
      </c>
      <c r="O121" s="320">
        <f>IFERROR(__xludf.DUMMYFUNCTION("""COMPUTED_VALUE"""),1.2165)</f>
        <v>1.2165</v>
      </c>
      <c r="P121" s="320">
        <f>IFERROR(__xludf.DUMMYFUNCTION("""COMPUTED_VALUE"""),1397.59)</f>
        <v>1397.59</v>
      </c>
      <c r="Q121" s="320">
        <f>IFERROR(__xludf.DUMMYFUNCTION("""COMPUTED_VALUE"""),1113.58)</f>
        <v>1113.58</v>
      </c>
      <c r="R121" s="320">
        <f>IFERROR(__xludf.DUMMYFUNCTION("""COMPUTED_VALUE"""),284.01)</f>
        <v>284.01</v>
      </c>
      <c r="S121" s="320">
        <f>IFERROR(__xludf.DUMMYFUNCTION("""COMPUTED_VALUE"""),618.42)</f>
        <v>618.42</v>
      </c>
      <c r="T121" s="320">
        <f>IFERROR(__xludf.DUMMYFUNCTION("""COMPUTED_VALUE"""),779.17)</f>
        <v>779.17</v>
      </c>
      <c r="U121" s="320">
        <f>IFERROR(__xludf.DUMMYFUNCTION("""COMPUTED_VALUE"""),1398.73)</f>
        <v>1398.73</v>
      </c>
      <c r="V121" s="320">
        <f>IFERROR(__xludf.DUMMYFUNCTION("""COMPUTED_VALUE"""),8.5188)</f>
        <v>8.5188</v>
      </c>
      <c r="W121" s="320">
        <f>IFERROR(__xludf.DUMMYFUNCTION("""COMPUTED_VALUE"""),44.25)</f>
        <v>44.25</v>
      </c>
      <c r="X121" s="320">
        <f>IFERROR(__xludf.DUMMYFUNCTION("""COMPUTED_VALUE"""),207.0)</f>
        <v>207</v>
      </c>
      <c r="Y121" s="320">
        <f>IFERROR(__xludf.DUMMYFUNCTION("""COMPUTED_VALUE"""),744.0)</f>
        <v>744</v>
      </c>
      <c r="Z121" s="320">
        <f>IFERROR(__xludf.DUMMYFUNCTION("""COMPUTED_VALUE"""),2299.0)</f>
        <v>2299</v>
      </c>
      <c r="AA121" s="320">
        <f>IFERROR(__xludf.DUMMYFUNCTION("""COMPUTED_VALUE"""),61.6571)</f>
        <v>61.6571</v>
      </c>
      <c r="AB121" s="320">
        <f>IFERROR(__xludf.DUMMYFUNCTION("""COMPUTED_VALUE"""),0.8182)</f>
        <v>0.8182</v>
      </c>
      <c r="AC121" s="320">
        <f>IFERROR(__xludf.DUMMYFUNCTION("""COMPUTED_VALUE"""),89.15)</f>
        <v>89.15</v>
      </c>
      <c r="AD121" s="320">
        <f>IFERROR(__xludf.DUMMYFUNCTION("""COMPUTED_VALUE"""),31.0)</f>
        <v>31</v>
      </c>
      <c r="AE121" s="320">
        <f>IFERROR(__xludf.DUMMYFUNCTION("""COMPUTED_VALUE"""),73.0)</f>
        <v>73</v>
      </c>
      <c r="AF121" s="320">
        <f>IFERROR(__xludf.DUMMYFUNCTION("""COMPUTED_VALUE"""),122.0)</f>
        <v>122</v>
      </c>
      <c r="AG121" s="320">
        <f>IFERROR(__xludf.DUMMYFUNCTION("""COMPUTED_VALUE"""),189.0)</f>
        <v>189</v>
      </c>
      <c r="AH121" s="320">
        <f>IFERROR(__xludf.DUMMYFUNCTION("""COMPUTED_VALUE"""),48.09)</f>
        <v>48.09</v>
      </c>
      <c r="AI121" s="320">
        <f>IFERROR(__xludf.DUMMYFUNCTION("""COMPUTED_VALUE"""),13.23)</f>
        <v>13.23</v>
      </c>
      <c r="AJ121" s="320">
        <f>IFERROR(__xludf.DUMMYFUNCTION("""COMPUTED_VALUE"""),2.54)</f>
        <v>2.54</v>
      </c>
      <c r="AK121" s="320">
        <f>IFERROR(__xludf.DUMMYFUNCTION("""COMPUTED_VALUE"""),0.1272)</f>
        <v>0.1272</v>
      </c>
      <c r="AL121" s="320">
        <f>IFERROR(__xludf.DUMMYFUNCTION("""COMPUTED_VALUE"""),19.78)</f>
        <v>19.78</v>
      </c>
      <c r="AM121" s="320">
        <f>IFERROR(__xludf.DUMMYFUNCTION("""COMPUTED_VALUE"""),1093.8)</f>
        <v>1093.8</v>
      </c>
      <c r="AN121" s="320">
        <f>IFERROR(__xludf.DUMMYFUNCTION("""COMPUTED_VALUE"""),68.81)</f>
        <v>68.81</v>
      </c>
      <c r="AO121" s="320">
        <f>IFERROR(__xludf.DUMMYFUNCTION("""COMPUTED_VALUE"""),13.61)</f>
        <v>13.61</v>
      </c>
    </row>
    <row r="122" ht="15.75" customHeight="1">
      <c r="A122" s="330">
        <f>IFERROR(__xludf.DUMMYFUNCTION("""COMPUTED_VALUE"""),46070.0)</f>
        <v>46070</v>
      </c>
      <c r="B122" s="319" t="str">
        <f>IFERROR(__xludf.DUMMYFUNCTION("""COMPUTED_VALUE"""),"A. 0")</f>
        <v>A. 0</v>
      </c>
      <c r="C122" s="320">
        <f>IFERROR(__xludf.DUMMYFUNCTION("""COMPUTED_VALUE"""),16779.0)</f>
        <v>16779</v>
      </c>
      <c r="D122" s="320">
        <f>IFERROR(__xludf.DUMMYFUNCTION("""COMPUTED_VALUE"""),20.94)</f>
        <v>20.94</v>
      </c>
      <c r="E122" s="320">
        <f>IFERROR(__xludf.DUMMYFUNCTION("""COMPUTED_VALUE"""),187.63)</f>
        <v>187.63</v>
      </c>
      <c r="F122" s="320">
        <f>IFERROR(__xludf.DUMMYFUNCTION("""COMPUTED_VALUE"""),0.0112)</f>
        <v>0.0112</v>
      </c>
      <c r="G122" s="320">
        <f>IFERROR(__xludf.DUMMYFUNCTION("""COMPUTED_VALUE"""),0.15)</f>
        <v>0.15</v>
      </c>
      <c r="H122" s="320">
        <f>IFERROR(__xludf.DUMMYFUNCTION("""COMPUTED_VALUE"""),7.2165)</f>
        <v>7.2165</v>
      </c>
      <c r="I122" s="320">
        <f>IFERROR(__xludf.DUMMYFUNCTION("""COMPUTED_VALUE"""),6.2)</f>
        <v>6.2</v>
      </c>
      <c r="J122" s="320">
        <f>IFERROR(__xludf.DUMMYFUNCTION("""COMPUTED_VALUE"""),2.75)</f>
        <v>2.75</v>
      </c>
      <c r="K122" s="320">
        <f>IFERROR(__xludf.DUMMYFUNCTION("""COMPUTED_VALUE"""),0.03)</f>
        <v>0.03</v>
      </c>
      <c r="L122" s="320">
        <f>IFERROR(__xludf.DUMMYFUNCTION("""COMPUTED_VALUE"""),0.0095)</f>
        <v>0.0095</v>
      </c>
      <c r="M122" s="320">
        <f>IFERROR(__xludf.DUMMYFUNCTION("""COMPUTED_VALUE"""),0.9909)</f>
        <v>0.9909</v>
      </c>
      <c r="N122" s="320">
        <f>IFERROR(__xludf.DUMMYFUNCTION("""COMPUTED_VALUE"""),0.8668)</f>
        <v>0.8668</v>
      </c>
      <c r="O122" s="320">
        <f>IFERROR(__xludf.DUMMYFUNCTION("""COMPUTED_VALUE"""),104.9591)</f>
        <v>104.9591</v>
      </c>
      <c r="P122" s="320">
        <f>IFERROR(__xludf.DUMMYFUNCTION("""COMPUTED_VALUE"""),26.77)</f>
        <v>26.77</v>
      </c>
      <c r="Q122" s="320">
        <f>IFERROR(__xludf.DUMMYFUNCTION("""COMPUTED_VALUE"""),26.7)</f>
        <v>26.7</v>
      </c>
      <c r="R122" s="320">
        <f>IFERROR(__xludf.DUMMYFUNCTION("""COMPUTED_VALUE"""),0.07)</f>
        <v>0.07</v>
      </c>
      <c r="S122" s="320">
        <f>IFERROR(__xludf.DUMMYFUNCTION("""COMPUTED_VALUE"""),0.7)</f>
        <v>0.7</v>
      </c>
      <c r="T122" s="320">
        <f>IFERROR(__xludf.DUMMYFUNCTION("""COMPUTED_VALUE"""),26.07)</f>
        <v>26.07</v>
      </c>
      <c r="U122" s="320">
        <f>IFERROR(__xludf.DUMMYFUNCTION("""COMPUTED_VALUE"""),2.42)</f>
        <v>2.42</v>
      </c>
      <c r="V122" s="320">
        <f>IFERROR(__xludf.DUMMYFUNCTION("""COMPUTED_VALUE"""),0.8791)</f>
        <v>0.8791</v>
      </c>
      <c r="W122" s="320">
        <f>IFERROR(__xludf.DUMMYFUNCTION("""COMPUTED_VALUE"""),2.62)</f>
        <v>2.62</v>
      </c>
      <c r="X122" s="320">
        <f>IFERROR(__xludf.DUMMYFUNCTION("""COMPUTED_VALUE"""),154.0)</f>
        <v>154</v>
      </c>
      <c r="Y122" s="320">
        <f>IFERROR(__xludf.DUMMYFUNCTION("""COMPUTED_VALUE"""),942.0)</f>
        <v>942</v>
      </c>
      <c r="Z122" s="320">
        <f>IFERROR(__xludf.DUMMYFUNCTION("""COMPUTED_VALUE"""),6408.0)</f>
        <v>6408</v>
      </c>
      <c r="AA122" s="320">
        <f>IFERROR(__xludf.DUMMYFUNCTION("""COMPUTED_VALUE"""),49.5673)</f>
        <v>49.5673</v>
      </c>
      <c r="AB122" s="320">
        <f>IFERROR(__xludf.DUMMYFUNCTION("""COMPUTED_VALUE"""),0.5092)</f>
        <v>0.5092</v>
      </c>
      <c r="AC122" s="106"/>
      <c r="AD122" s="106"/>
      <c r="AE122" s="106"/>
      <c r="AF122" s="106"/>
      <c r="AG122" s="106"/>
      <c r="AH122" s="320">
        <f>IFERROR(__xludf.DUMMYFUNCTION("""COMPUTED_VALUE"""),0.0)</f>
        <v>0</v>
      </c>
      <c r="AI122" s="320">
        <f>IFERROR(__xludf.DUMMYFUNCTION("""COMPUTED_VALUE"""),0.0)</f>
        <v>0</v>
      </c>
      <c r="AJ122" s="320">
        <f>IFERROR(__xludf.DUMMYFUNCTION("""COMPUTED_VALUE"""),0.0)</f>
        <v>0</v>
      </c>
      <c r="AK122" s="320">
        <f>IFERROR(__xludf.DUMMYFUNCTION("""COMPUTED_VALUE"""),0.2768)</f>
        <v>0.2768</v>
      </c>
      <c r="AL122" s="320">
        <f>IFERROR(__xludf.DUMMYFUNCTION("""COMPUTED_VALUE"""),14.75)</f>
        <v>14.75</v>
      </c>
      <c r="AM122" s="320">
        <f>IFERROR(__xludf.DUMMYFUNCTION("""COMPUTED_VALUE"""),11.95)</f>
        <v>11.95</v>
      </c>
      <c r="AN122" s="331"/>
      <c r="AO122" s="331"/>
    </row>
    <row r="123" ht="15.75" customHeight="1">
      <c r="A123" s="330">
        <f>IFERROR(__xludf.DUMMYFUNCTION("""COMPUTED_VALUE"""),46070.0)</f>
        <v>46070</v>
      </c>
      <c r="B123" s="319" t="str">
        <f>IFERROR(__xludf.DUMMYFUNCTION("""COMPUTED_VALUE"""),"B. 1-9")</f>
        <v>B. 1-9</v>
      </c>
      <c r="C123" s="320">
        <f>IFERROR(__xludf.DUMMYFUNCTION("""COMPUTED_VALUE"""),33365.0)</f>
        <v>33365</v>
      </c>
      <c r="D123" s="320">
        <f>IFERROR(__xludf.DUMMYFUNCTION("""COMPUTED_VALUE"""),41.64)</f>
        <v>41.64</v>
      </c>
      <c r="E123" s="320">
        <f>IFERROR(__xludf.DUMMYFUNCTION("""COMPUTED_VALUE"""),6697.03)</f>
        <v>6697.03</v>
      </c>
      <c r="F123" s="320">
        <f>IFERROR(__xludf.DUMMYFUNCTION("""COMPUTED_VALUE"""),0.2007)</f>
        <v>0.2007</v>
      </c>
      <c r="G123" s="320">
        <f>IFERROR(__xludf.DUMMYFUNCTION("""COMPUTED_VALUE"""),5.92)</f>
        <v>5.92</v>
      </c>
      <c r="H123" s="320">
        <f>IFERROR(__xludf.DUMMYFUNCTION("""COMPUTED_VALUE"""),3.3926)</f>
        <v>3.3926</v>
      </c>
      <c r="I123" s="320">
        <f>IFERROR(__xludf.DUMMYFUNCTION("""COMPUTED_VALUE"""),29.63)</f>
        <v>29.63</v>
      </c>
      <c r="J123" s="320">
        <f>IFERROR(__xludf.DUMMYFUNCTION("""COMPUTED_VALUE"""),15.7)</f>
        <v>15.7</v>
      </c>
      <c r="K123" s="320">
        <f>IFERROR(__xludf.DUMMYFUNCTION("""COMPUTED_VALUE"""),5.06)</f>
        <v>5.06</v>
      </c>
      <c r="L123" s="320">
        <f>IFERROR(__xludf.DUMMYFUNCTION("""COMPUTED_VALUE"""),0.3225)</f>
        <v>0.3225</v>
      </c>
      <c r="M123" s="320">
        <f>IFERROR(__xludf.DUMMYFUNCTION("""COMPUTED_VALUE"""),0.7531)</f>
        <v>0.7531</v>
      </c>
      <c r="N123" s="320">
        <f>IFERROR(__xludf.DUMMYFUNCTION("""COMPUTED_VALUE"""),0.5196)</f>
        <v>0.5196</v>
      </c>
      <c r="O123" s="320">
        <f>IFERROR(__xludf.DUMMYFUNCTION("""COMPUTED_VALUE"""),3.1006)</f>
        <v>3.1006</v>
      </c>
      <c r="P123" s="320">
        <f>IFERROR(__xludf.DUMMYFUNCTION("""COMPUTED_VALUE"""),70.74)</f>
        <v>70.74</v>
      </c>
      <c r="Q123" s="320">
        <f>IFERROR(__xludf.DUMMYFUNCTION("""COMPUTED_VALUE"""),60.1)</f>
        <v>60.1</v>
      </c>
      <c r="R123" s="320">
        <f>IFERROR(__xludf.DUMMYFUNCTION("""COMPUTED_VALUE"""),10.64)</f>
        <v>10.64</v>
      </c>
      <c r="S123" s="320">
        <f>IFERROR(__xludf.DUMMYFUNCTION("""COMPUTED_VALUE"""),14.15)</f>
        <v>14.15</v>
      </c>
      <c r="T123" s="320">
        <f>IFERROR(__xludf.DUMMYFUNCTION("""COMPUTED_VALUE"""),56.59)</f>
        <v>56.59</v>
      </c>
      <c r="U123" s="320">
        <f>IFERROR(__xludf.DUMMYFUNCTION("""COMPUTED_VALUE"""),76.02)</f>
        <v>76.02</v>
      </c>
      <c r="V123" s="320">
        <f>IFERROR(__xludf.DUMMYFUNCTION("""COMPUTED_VALUE"""),4.8409)</f>
        <v>4.8409</v>
      </c>
      <c r="W123" s="320">
        <f>IFERROR(__xludf.DUMMYFUNCTION("""COMPUTED_VALUE"""),20.0)</f>
        <v>20</v>
      </c>
      <c r="X123" s="320">
        <f>IFERROR(__xludf.DUMMYFUNCTION("""COMPUTED_VALUE"""),88.0)</f>
        <v>88</v>
      </c>
      <c r="Y123" s="320">
        <f>IFERROR(__xludf.DUMMYFUNCTION("""COMPUTED_VALUE"""),219.0)</f>
        <v>219</v>
      </c>
      <c r="Z123" s="320">
        <f>IFERROR(__xludf.DUMMYFUNCTION("""COMPUTED_VALUE"""),853.0)</f>
        <v>853</v>
      </c>
      <c r="AA123" s="320">
        <f>IFERROR(__xludf.DUMMYFUNCTION("""COMPUTED_VALUE"""),49.5129)</f>
        <v>49.5129</v>
      </c>
      <c r="AB123" s="320">
        <f>IFERROR(__xludf.DUMMYFUNCTION("""COMPUTED_VALUE"""),0.445)</f>
        <v>0.445</v>
      </c>
      <c r="AC123" s="320">
        <f>IFERROR(__xludf.DUMMYFUNCTION("""COMPUTED_VALUE"""),3.49)</f>
        <v>3.49</v>
      </c>
      <c r="AD123" s="320">
        <f>IFERROR(__xludf.DUMMYFUNCTION("""COMPUTED_VALUE"""),1.0)</f>
        <v>1</v>
      </c>
      <c r="AE123" s="320">
        <f>IFERROR(__xludf.DUMMYFUNCTION("""COMPUTED_VALUE"""),2.0)</f>
        <v>2</v>
      </c>
      <c r="AF123" s="320">
        <f>IFERROR(__xludf.DUMMYFUNCTION("""COMPUTED_VALUE"""),4.0)</f>
        <v>4</v>
      </c>
      <c r="AG123" s="320">
        <f>IFERROR(__xludf.DUMMYFUNCTION("""COMPUTED_VALUE"""),8.0)</f>
        <v>8</v>
      </c>
      <c r="AH123" s="320">
        <f>IFERROR(__xludf.DUMMYFUNCTION("""COMPUTED_VALUE"""),65.33)</f>
        <v>65.33</v>
      </c>
      <c r="AI123" s="320">
        <f>IFERROR(__xludf.DUMMYFUNCTION("""COMPUTED_VALUE"""),24.04)</f>
        <v>24.04</v>
      </c>
      <c r="AJ123" s="320">
        <f>IFERROR(__xludf.DUMMYFUNCTION("""COMPUTED_VALUE"""),7.09)</f>
        <v>7.09</v>
      </c>
      <c r="AK123" s="320">
        <f>IFERROR(__xludf.DUMMYFUNCTION("""COMPUTED_VALUE"""),0.221)</f>
        <v>0.221</v>
      </c>
      <c r="AL123" s="320">
        <f>IFERROR(__xludf.DUMMYFUNCTION("""COMPUTED_VALUE"""),18.29)</f>
        <v>18.29</v>
      </c>
      <c r="AM123" s="320">
        <f>IFERROR(__xludf.DUMMYFUNCTION("""COMPUTED_VALUE"""),41.81)</f>
        <v>41.81</v>
      </c>
      <c r="AN123" s="320">
        <f>IFERROR(__xludf.DUMMYFUNCTION("""COMPUTED_VALUE"""),67.66)</f>
        <v>67.66</v>
      </c>
      <c r="AO123" s="320">
        <f>IFERROR(__xludf.DUMMYFUNCTION("""COMPUTED_VALUE"""),12.38)</f>
        <v>12.38</v>
      </c>
    </row>
    <row r="124" ht="15.75" customHeight="1">
      <c r="A124" s="330">
        <f>IFERROR(__xludf.DUMMYFUNCTION("""COMPUTED_VALUE"""),46070.0)</f>
        <v>46070</v>
      </c>
      <c r="B124" s="319" t="str">
        <f>IFERROR(__xludf.DUMMYFUNCTION("""COMPUTED_VALUE"""),"C. 10-19")</f>
        <v>C. 10-19</v>
      </c>
      <c r="C124" s="320">
        <f>IFERROR(__xludf.DUMMYFUNCTION("""COMPUTED_VALUE"""),16732.0)</f>
        <v>16732</v>
      </c>
      <c r="D124" s="320">
        <f>IFERROR(__xludf.DUMMYFUNCTION("""COMPUTED_VALUE"""),20.88)</f>
        <v>20.88</v>
      </c>
      <c r="E124" s="320">
        <f>IFERROR(__xludf.DUMMYFUNCTION("""COMPUTED_VALUE"""),16499.1)</f>
        <v>16499.1</v>
      </c>
      <c r="F124" s="320">
        <f>IFERROR(__xludf.DUMMYFUNCTION("""COMPUTED_VALUE"""),0.9861)</f>
        <v>0.9861</v>
      </c>
      <c r="G124" s="320">
        <f>IFERROR(__xludf.DUMMYFUNCTION("""COMPUTED_VALUE"""),19.81)</f>
        <v>19.81</v>
      </c>
      <c r="H124" s="320">
        <f>IFERROR(__xludf.DUMMYFUNCTION("""COMPUTED_VALUE"""),4.9786)</f>
        <v>4.9786</v>
      </c>
      <c r="I124" s="320">
        <f>IFERROR(__xludf.DUMMYFUNCTION("""COMPUTED_VALUE"""),57.13)</f>
        <v>57.13</v>
      </c>
      <c r="J124" s="320">
        <f>IFERROR(__xludf.DUMMYFUNCTION("""COMPUTED_VALUE"""),32.15)</f>
        <v>32.15</v>
      </c>
      <c r="K124" s="320">
        <f>IFERROR(__xludf.DUMMYFUNCTION("""COMPUTED_VALUE"""),14.23)</f>
        <v>14.23</v>
      </c>
      <c r="L124" s="320">
        <f>IFERROR(__xludf.DUMMYFUNCTION("""COMPUTED_VALUE"""),0.4426)</f>
        <v>0.4426</v>
      </c>
      <c r="M124" s="320">
        <f>IFERROR(__xludf.DUMMYFUNCTION("""COMPUTED_VALUE"""),0.626)</f>
        <v>0.626</v>
      </c>
      <c r="N124" s="320">
        <f>IFERROR(__xludf.DUMMYFUNCTION("""COMPUTED_VALUE"""),0.3607)</f>
        <v>0.3607</v>
      </c>
      <c r="O124" s="320">
        <f>IFERROR(__xludf.DUMMYFUNCTION("""COMPUTED_VALUE"""),2.2594)</f>
        <v>2.2594</v>
      </c>
      <c r="P124" s="320">
        <f>IFERROR(__xludf.DUMMYFUNCTION("""COMPUTED_VALUE"""),176.53)</f>
        <v>176.53</v>
      </c>
      <c r="Q124" s="320">
        <f>IFERROR(__xludf.DUMMYFUNCTION("""COMPUTED_VALUE"""),147.5)</f>
        <v>147.5</v>
      </c>
      <c r="R124" s="320">
        <f>IFERROR(__xludf.DUMMYFUNCTION("""COMPUTED_VALUE"""),29.03)</f>
        <v>29.03</v>
      </c>
      <c r="S124" s="320">
        <f>IFERROR(__xludf.DUMMYFUNCTION("""COMPUTED_VALUE"""),67.41)</f>
        <v>67.41</v>
      </c>
      <c r="T124" s="320">
        <f>IFERROR(__xludf.DUMMYFUNCTION("""COMPUTED_VALUE"""),109.12)</f>
        <v>109.12</v>
      </c>
      <c r="U124" s="320">
        <f>IFERROR(__xludf.DUMMYFUNCTION("""COMPUTED_VALUE"""),184.79)</f>
        <v>184.79</v>
      </c>
      <c r="V124" s="320">
        <f>IFERROR(__xludf.DUMMYFUNCTION("""COMPUTED_VALUE"""),5.748)</f>
        <v>5.748</v>
      </c>
      <c r="W124" s="320">
        <f>IFERROR(__xludf.DUMMYFUNCTION("""COMPUTED_VALUE"""),38.19)</f>
        <v>38.19</v>
      </c>
      <c r="X124" s="320">
        <f>IFERROR(__xludf.DUMMYFUNCTION("""COMPUTED_VALUE"""),87.0)</f>
        <v>87</v>
      </c>
      <c r="Y124" s="320">
        <f>IFERROR(__xludf.DUMMYFUNCTION("""COMPUTED_VALUE"""),211.0)</f>
        <v>211</v>
      </c>
      <c r="Z124" s="320">
        <f>IFERROR(__xludf.DUMMYFUNCTION("""COMPUTED_VALUE"""),694.0)</f>
        <v>694</v>
      </c>
      <c r="AA124" s="320">
        <f>IFERROR(__xludf.DUMMYFUNCTION("""COMPUTED_VALUE"""),52.3578)</f>
        <v>52.3578</v>
      </c>
      <c r="AB124" s="320">
        <f>IFERROR(__xludf.DUMMYFUNCTION("""COMPUTED_VALUE"""),0.5244)</f>
        <v>0.5244</v>
      </c>
      <c r="AC124" s="320">
        <f>IFERROR(__xludf.DUMMYFUNCTION("""COMPUTED_VALUE"""),9.16)</f>
        <v>9.16</v>
      </c>
      <c r="AD124" s="320">
        <f>IFERROR(__xludf.DUMMYFUNCTION("""COMPUTED_VALUE"""),3.0)</f>
        <v>3</v>
      </c>
      <c r="AE124" s="320">
        <f>IFERROR(__xludf.DUMMYFUNCTION("""COMPUTED_VALUE"""),7.0)</f>
        <v>7</v>
      </c>
      <c r="AF124" s="320">
        <f>IFERROR(__xludf.DUMMYFUNCTION("""COMPUTED_VALUE"""),13.0)</f>
        <v>13</v>
      </c>
      <c r="AG124" s="320">
        <f>IFERROR(__xludf.DUMMYFUNCTION("""COMPUTED_VALUE"""),20.0)</f>
        <v>20</v>
      </c>
      <c r="AH124" s="320">
        <f>IFERROR(__xludf.DUMMYFUNCTION("""COMPUTED_VALUE"""),55.32)</f>
        <v>55.32</v>
      </c>
      <c r="AI124" s="320">
        <f>IFERROR(__xludf.DUMMYFUNCTION("""COMPUTED_VALUE"""),25.84)</f>
        <v>25.84</v>
      </c>
      <c r="AJ124" s="320">
        <f>IFERROR(__xludf.DUMMYFUNCTION("""COMPUTED_VALUE"""),5.57)</f>
        <v>5.57</v>
      </c>
      <c r="AK124" s="320">
        <f>IFERROR(__xludf.DUMMYFUNCTION("""COMPUTED_VALUE"""),0.1786)</f>
        <v>0.1786</v>
      </c>
      <c r="AL124" s="320">
        <f>IFERROR(__xludf.DUMMYFUNCTION("""COMPUTED_VALUE"""),19.35)</f>
        <v>19.35</v>
      </c>
      <c r="AM124" s="320">
        <f>IFERROR(__xludf.DUMMYFUNCTION("""COMPUTED_VALUE"""),128.15)</f>
        <v>128.15</v>
      </c>
      <c r="AN124" s="320">
        <f>IFERROR(__xludf.DUMMYFUNCTION("""COMPUTED_VALUE"""),72.86)</f>
        <v>72.86</v>
      </c>
      <c r="AO124" s="320">
        <f>IFERROR(__xludf.DUMMYFUNCTION("""COMPUTED_VALUE"""),14.1)</f>
        <v>14.1</v>
      </c>
    </row>
    <row r="125" ht="15.75" customHeight="1">
      <c r="A125" s="330">
        <f>IFERROR(__xludf.DUMMYFUNCTION("""COMPUTED_VALUE"""),46070.0)</f>
        <v>46070</v>
      </c>
      <c r="B125" s="319" t="str">
        <f>IFERROR(__xludf.DUMMYFUNCTION("""COMPUTED_VALUE"""),"D. 20-39")</f>
        <v>D. 20-39</v>
      </c>
      <c r="C125" s="320">
        <f>IFERROR(__xludf.DUMMYFUNCTION("""COMPUTED_VALUE"""),9473.0)</f>
        <v>9473</v>
      </c>
      <c r="D125" s="320">
        <f>IFERROR(__xludf.DUMMYFUNCTION("""COMPUTED_VALUE"""),11.82)</f>
        <v>11.82</v>
      </c>
      <c r="E125" s="320">
        <f>IFERROR(__xludf.DUMMYFUNCTION("""COMPUTED_VALUE"""),22657.39)</f>
        <v>22657.39</v>
      </c>
      <c r="F125" s="320">
        <f>IFERROR(__xludf.DUMMYFUNCTION("""COMPUTED_VALUE"""),2.3918)</f>
        <v>2.3918</v>
      </c>
      <c r="G125" s="320">
        <f>IFERROR(__xludf.DUMMYFUNCTION("""COMPUTED_VALUE"""),30.95)</f>
        <v>30.95</v>
      </c>
      <c r="H125" s="320">
        <f>IFERROR(__xludf.DUMMYFUNCTION("""COMPUTED_VALUE"""),7.7276)</f>
        <v>7.7276</v>
      </c>
      <c r="I125" s="320">
        <f>IFERROR(__xludf.DUMMYFUNCTION("""COMPUTED_VALUE"""),83.62)</f>
        <v>83.62</v>
      </c>
      <c r="J125" s="320">
        <f>IFERROR(__xludf.DUMMYFUNCTION("""COMPUTED_VALUE"""),49.25)</f>
        <v>49.25</v>
      </c>
      <c r="K125" s="320">
        <f>IFERROR(__xludf.DUMMYFUNCTION("""COMPUTED_VALUE"""),27.23)</f>
        <v>27.23</v>
      </c>
      <c r="L125" s="320">
        <f>IFERROR(__xludf.DUMMYFUNCTION("""COMPUTED_VALUE"""),0.5528)</f>
        <v>0.5528</v>
      </c>
      <c r="M125" s="320">
        <f>IFERROR(__xludf.DUMMYFUNCTION("""COMPUTED_VALUE"""),0.523)</f>
        <v>0.523</v>
      </c>
      <c r="N125" s="320">
        <f>IFERROR(__xludf.DUMMYFUNCTION("""COMPUTED_VALUE"""),0.2894)</f>
        <v>0.2894</v>
      </c>
      <c r="O125" s="320">
        <f>IFERROR(__xludf.DUMMYFUNCTION("""COMPUTED_VALUE"""),1.8088)</f>
        <v>1.8088</v>
      </c>
      <c r="P125" s="320">
        <f>IFERROR(__xludf.DUMMYFUNCTION("""COMPUTED_VALUE"""),342.07)</f>
        <v>342.07</v>
      </c>
      <c r="Q125" s="320">
        <f>IFERROR(__xludf.DUMMYFUNCTION("""COMPUTED_VALUE"""),288.31)</f>
        <v>288.31</v>
      </c>
      <c r="R125" s="320">
        <f>IFERROR(__xludf.DUMMYFUNCTION("""COMPUTED_VALUE"""),53.77)</f>
        <v>53.77</v>
      </c>
      <c r="S125" s="320">
        <f>IFERROR(__xludf.DUMMYFUNCTION("""COMPUTED_VALUE"""),155.73)</f>
        <v>155.73</v>
      </c>
      <c r="T125" s="320">
        <f>IFERROR(__xludf.DUMMYFUNCTION("""COMPUTED_VALUE"""),186.34)</f>
        <v>186.34</v>
      </c>
      <c r="U125" s="320">
        <f>IFERROR(__xludf.DUMMYFUNCTION("""COMPUTED_VALUE"""),352.2)</f>
        <v>352.2</v>
      </c>
      <c r="V125" s="320">
        <f>IFERROR(__xludf.DUMMYFUNCTION("""COMPUTED_VALUE"""),7.1514)</f>
        <v>7.1514</v>
      </c>
      <c r="W125" s="320">
        <f>IFERROR(__xludf.DUMMYFUNCTION("""COMPUTED_VALUE"""),45.53)</f>
        <v>45.53</v>
      </c>
      <c r="X125" s="320">
        <f>IFERROR(__xludf.DUMMYFUNCTION("""COMPUTED_VALUE"""),93.0)</f>
        <v>93</v>
      </c>
      <c r="Y125" s="320">
        <f>IFERROR(__xludf.DUMMYFUNCTION("""COMPUTED_VALUE"""),262.0)</f>
        <v>262</v>
      </c>
      <c r="Z125" s="320">
        <f>IFERROR(__xludf.DUMMYFUNCTION("""COMPUTED_VALUE"""),858.0)</f>
        <v>858</v>
      </c>
      <c r="AA125" s="320">
        <f>IFERROR(__xludf.DUMMYFUNCTION("""COMPUTED_VALUE"""),54.3219)</f>
        <v>54.3219</v>
      </c>
      <c r="AB125" s="320">
        <f>IFERROR(__xludf.DUMMYFUNCTION("""COMPUTED_VALUE"""),0.6179)</f>
        <v>0.6179</v>
      </c>
      <c r="AC125" s="320">
        <f>IFERROR(__xludf.DUMMYFUNCTION("""COMPUTED_VALUE"""),16.55)</f>
        <v>16.55</v>
      </c>
      <c r="AD125" s="320">
        <f>IFERROR(__xludf.DUMMYFUNCTION("""COMPUTED_VALUE"""),5.0)</f>
        <v>5</v>
      </c>
      <c r="AE125" s="320">
        <f>IFERROR(__xludf.DUMMYFUNCTION("""COMPUTED_VALUE"""),12.0)</f>
        <v>12</v>
      </c>
      <c r="AF125" s="320">
        <f>IFERROR(__xludf.DUMMYFUNCTION("""COMPUTED_VALUE"""),24.0)</f>
        <v>24</v>
      </c>
      <c r="AG125" s="320">
        <f>IFERROR(__xludf.DUMMYFUNCTION("""COMPUTED_VALUE"""),36.0)</f>
        <v>36</v>
      </c>
      <c r="AH125" s="320">
        <f>IFERROR(__xludf.DUMMYFUNCTION("""COMPUTED_VALUE"""),53.46)</f>
        <v>53.46</v>
      </c>
      <c r="AI125" s="320">
        <f>IFERROR(__xludf.DUMMYFUNCTION("""COMPUTED_VALUE"""),22.42)</f>
        <v>22.42</v>
      </c>
      <c r="AJ125" s="320">
        <f>IFERROR(__xludf.DUMMYFUNCTION("""COMPUTED_VALUE"""),6.39)</f>
        <v>6.39</v>
      </c>
      <c r="AK125" s="320">
        <f>IFERROR(__xludf.DUMMYFUNCTION("""COMPUTED_VALUE"""),0.1773)</f>
        <v>0.1773</v>
      </c>
      <c r="AL125" s="320">
        <f>IFERROR(__xludf.DUMMYFUNCTION("""COMPUTED_VALUE"""),18.63)</f>
        <v>18.63</v>
      </c>
      <c r="AM125" s="320">
        <f>IFERROR(__xludf.DUMMYFUNCTION("""COMPUTED_VALUE"""),269.68)</f>
        <v>269.68</v>
      </c>
      <c r="AN125" s="320">
        <f>IFERROR(__xludf.DUMMYFUNCTION("""COMPUTED_VALUE"""),73.29)</f>
        <v>73.29</v>
      </c>
      <c r="AO125" s="320">
        <f>IFERROR(__xludf.DUMMYFUNCTION("""COMPUTED_VALUE"""),13.65)</f>
        <v>13.65</v>
      </c>
    </row>
    <row r="126" ht="15.75" customHeight="1">
      <c r="A126" s="330">
        <f>IFERROR(__xludf.DUMMYFUNCTION("""COMPUTED_VALUE"""),46070.0)</f>
        <v>46070</v>
      </c>
      <c r="B126" s="319" t="str">
        <f>IFERROR(__xludf.DUMMYFUNCTION("""COMPUTED_VALUE"""),"E. 40-99")</f>
        <v>E. 40-99</v>
      </c>
      <c r="C126" s="320">
        <f>IFERROR(__xludf.DUMMYFUNCTION("""COMPUTED_VALUE"""),3383.0)</f>
        <v>3383</v>
      </c>
      <c r="D126" s="320">
        <f>IFERROR(__xludf.DUMMYFUNCTION("""COMPUTED_VALUE"""),4.22)</f>
        <v>4.22</v>
      </c>
      <c r="E126" s="320">
        <f>IFERROR(__xludf.DUMMYFUNCTION("""COMPUTED_VALUE"""),17578.4)</f>
        <v>17578.4</v>
      </c>
      <c r="F126" s="320">
        <f>IFERROR(__xludf.DUMMYFUNCTION("""COMPUTED_VALUE"""),5.1961)</f>
        <v>5.1961</v>
      </c>
      <c r="G126" s="320">
        <f>IFERROR(__xludf.DUMMYFUNCTION("""COMPUTED_VALUE"""),40.32)</f>
        <v>40.32</v>
      </c>
      <c r="H126" s="320">
        <f>IFERROR(__xludf.DUMMYFUNCTION("""COMPUTED_VALUE"""),12.8874)</f>
        <v>12.8874</v>
      </c>
      <c r="I126" s="320">
        <f>IFERROR(__xludf.DUMMYFUNCTION("""COMPUTED_VALUE"""),125.46)</f>
        <v>125.46</v>
      </c>
      <c r="J126" s="320">
        <f>IFERROR(__xludf.DUMMYFUNCTION("""COMPUTED_VALUE"""),77.96)</f>
        <v>77.96</v>
      </c>
      <c r="K126" s="320">
        <f>IFERROR(__xludf.DUMMYFUNCTION("""COMPUTED_VALUE"""),53.65)</f>
        <v>53.65</v>
      </c>
      <c r="L126" s="320">
        <f>IFERROR(__xludf.DUMMYFUNCTION("""COMPUTED_VALUE"""),0.6881)</f>
        <v>0.6881</v>
      </c>
      <c r="M126" s="320">
        <f>IFERROR(__xludf.DUMMYFUNCTION("""COMPUTED_VALUE"""),0.402)</f>
        <v>0.402</v>
      </c>
      <c r="N126" s="320">
        <f>IFERROR(__xludf.DUMMYFUNCTION("""COMPUTED_VALUE"""),0.229)</f>
        <v>0.229</v>
      </c>
      <c r="O126" s="320">
        <f>IFERROR(__xludf.DUMMYFUNCTION("""COMPUTED_VALUE"""),1.4532)</f>
        <v>1.4532</v>
      </c>
      <c r="P126" s="320">
        <f>IFERROR(__xludf.DUMMYFUNCTION("""COMPUTED_VALUE"""),670.56)</f>
        <v>670.56</v>
      </c>
      <c r="Q126" s="320">
        <f>IFERROR(__xludf.DUMMYFUNCTION("""COMPUTED_VALUE"""),558.84)</f>
        <v>558.84</v>
      </c>
      <c r="R126" s="320">
        <f>IFERROR(__xludf.DUMMYFUNCTION("""COMPUTED_VALUE"""),111.73)</f>
        <v>111.73</v>
      </c>
      <c r="S126" s="320">
        <f>IFERROR(__xludf.DUMMYFUNCTION("""COMPUTED_VALUE"""),329.71)</f>
        <v>329.71</v>
      </c>
      <c r="T126" s="320">
        <f>IFERROR(__xludf.DUMMYFUNCTION("""COMPUTED_VALUE"""),340.85)</f>
        <v>340.85</v>
      </c>
      <c r="U126" s="320">
        <f>IFERROR(__xludf.DUMMYFUNCTION("""COMPUTED_VALUE"""),683.86)</f>
        <v>683.86</v>
      </c>
      <c r="V126" s="320">
        <f>IFERROR(__xludf.DUMMYFUNCTION("""COMPUTED_VALUE"""),8.7716)</f>
        <v>8.7716</v>
      </c>
      <c r="W126" s="320">
        <f>IFERROR(__xludf.DUMMYFUNCTION("""COMPUTED_VALUE"""),49.17)</f>
        <v>49.17</v>
      </c>
      <c r="X126" s="320">
        <f>IFERROR(__xludf.DUMMYFUNCTION("""COMPUTED_VALUE"""),105.0)</f>
        <v>105</v>
      </c>
      <c r="Y126" s="320">
        <f>IFERROR(__xludf.DUMMYFUNCTION("""COMPUTED_VALUE"""),363.0)</f>
        <v>363</v>
      </c>
      <c r="Z126" s="320">
        <f>IFERROR(__xludf.DUMMYFUNCTION("""COMPUTED_VALUE"""),1138.0)</f>
        <v>1138</v>
      </c>
      <c r="AA126" s="320">
        <f>IFERROR(__xludf.DUMMYFUNCTION("""COMPUTED_VALUE"""),57.5051)</f>
        <v>57.5051</v>
      </c>
      <c r="AB126" s="320">
        <f>IFERROR(__xludf.DUMMYFUNCTION("""COMPUTED_VALUE"""),0.7456)</f>
        <v>0.7456</v>
      </c>
      <c r="AC126" s="320">
        <f>IFERROR(__xludf.DUMMYFUNCTION("""COMPUTED_VALUE"""),36.11)</f>
        <v>36.11</v>
      </c>
      <c r="AD126" s="320">
        <f>IFERROR(__xludf.DUMMYFUNCTION("""COMPUTED_VALUE"""),12.0)</f>
        <v>12</v>
      </c>
      <c r="AE126" s="320">
        <f>IFERROR(__xludf.DUMMYFUNCTION("""COMPUTED_VALUE"""),28.0)</f>
        <v>28</v>
      </c>
      <c r="AF126" s="320">
        <f>IFERROR(__xludf.DUMMYFUNCTION("""COMPUTED_VALUE"""),51.0)</f>
        <v>51</v>
      </c>
      <c r="AG126" s="320">
        <f>IFERROR(__xludf.DUMMYFUNCTION("""COMPUTED_VALUE"""),78.0)</f>
        <v>78</v>
      </c>
      <c r="AH126" s="320">
        <f>IFERROR(__xludf.DUMMYFUNCTION("""COMPUTED_VALUE"""),51.08)</f>
        <v>51.08</v>
      </c>
      <c r="AI126" s="320">
        <f>IFERROR(__xludf.DUMMYFUNCTION("""COMPUTED_VALUE"""),18.56)</f>
        <v>18.56</v>
      </c>
      <c r="AJ126" s="320">
        <f>IFERROR(__xludf.DUMMYFUNCTION("""COMPUTED_VALUE"""),4.37)</f>
        <v>4.37</v>
      </c>
      <c r="AK126" s="320">
        <f>IFERROR(__xludf.DUMMYFUNCTION("""COMPUTED_VALUE"""),0.1729)</f>
        <v>0.1729</v>
      </c>
      <c r="AL126" s="320">
        <f>IFERROR(__xludf.DUMMYFUNCTION("""COMPUTED_VALUE"""),18.33)</f>
        <v>18.33</v>
      </c>
      <c r="AM126" s="320">
        <f>IFERROR(__xludf.DUMMYFUNCTION("""COMPUTED_VALUE"""),540.51)</f>
        <v>540.51</v>
      </c>
      <c r="AN126" s="320">
        <f>IFERROR(__xludf.DUMMYFUNCTION("""COMPUTED_VALUE"""),72.54)</f>
        <v>72.54</v>
      </c>
      <c r="AO126" s="320">
        <f>IFERROR(__xludf.DUMMYFUNCTION("""COMPUTED_VALUE"""),13.3)</f>
        <v>13.3</v>
      </c>
    </row>
    <row r="127" ht="15.75" customHeight="1">
      <c r="A127" s="330">
        <f>IFERROR(__xludf.DUMMYFUNCTION("""COMPUTED_VALUE"""),46070.0)</f>
        <v>46070</v>
      </c>
      <c r="B127" s="319" t="str">
        <f>IFERROR(__xludf.DUMMYFUNCTION("""COMPUTED_VALUE"""),"F. 100+")</f>
        <v>F. 100+</v>
      </c>
      <c r="C127" s="320">
        <f>IFERROR(__xludf.DUMMYFUNCTION("""COMPUTED_VALUE"""),393.0)</f>
        <v>393</v>
      </c>
      <c r="D127" s="320">
        <f>IFERROR(__xludf.DUMMYFUNCTION("""COMPUTED_VALUE"""),0.49)</f>
        <v>0.49</v>
      </c>
      <c r="E127" s="320">
        <f>IFERROR(__xludf.DUMMYFUNCTION("""COMPUTED_VALUE"""),3921.61)</f>
        <v>3921.61</v>
      </c>
      <c r="F127" s="320">
        <f>IFERROR(__xludf.DUMMYFUNCTION("""COMPUTED_VALUE"""),9.9787)</f>
        <v>9.9787</v>
      </c>
      <c r="G127" s="320">
        <f>IFERROR(__xludf.DUMMYFUNCTION("""COMPUTED_VALUE"""),43.26)</f>
        <v>43.26</v>
      </c>
      <c r="H127" s="320">
        <f>IFERROR(__xludf.DUMMYFUNCTION("""COMPUTED_VALUE"""),23.0683)</f>
        <v>23.0683</v>
      </c>
      <c r="I127" s="320">
        <f>IFERROR(__xludf.DUMMYFUNCTION("""COMPUTED_VALUE"""),234.77)</f>
        <v>234.77</v>
      </c>
      <c r="J127" s="320">
        <f>IFERROR(__xludf.DUMMYFUNCTION("""COMPUTED_VALUE"""),155.75)</f>
        <v>155.75</v>
      </c>
      <c r="K127" s="320">
        <f>IFERROR(__xludf.DUMMYFUNCTION("""COMPUTED_VALUE"""),130.47)</f>
        <v>130.47</v>
      </c>
      <c r="L127" s="320">
        <f>IFERROR(__xludf.DUMMYFUNCTION("""COMPUTED_VALUE"""),0.8377)</f>
        <v>0.8377</v>
      </c>
      <c r="M127" s="320">
        <f>IFERROR(__xludf.DUMMYFUNCTION("""COMPUTED_VALUE"""),0.2534)</f>
        <v>0.2534</v>
      </c>
      <c r="N127" s="320">
        <f>IFERROR(__xludf.DUMMYFUNCTION("""COMPUTED_VALUE"""),0.1608)</f>
        <v>0.1608</v>
      </c>
      <c r="O127" s="320">
        <f>IFERROR(__xludf.DUMMYFUNCTION("""COMPUTED_VALUE"""),1.1937)</f>
        <v>1.1937</v>
      </c>
      <c r="P127" s="320">
        <f>IFERROR(__xludf.DUMMYFUNCTION("""COMPUTED_VALUE"""),1324.74)</f>
        <v>1324.74</v>
      </c>
      <c r="Q127" s="320">
        <f>IFERROR(__xludf.DUMMYFUNCTION("""COMPUTED_VALUE"""),1050.46)</f>
        <v>1050.46</v>
      </c>
      <c r="R127" s="320">
        <f>IFERROR(__xludf.DUMMYFUNCTION("""COMPUTED_VALUE"""),274.29)</f>
        <v>274.29</v>
      </c>
      <c r="S127" s="320">
        <f>IFERROR(__xludf.DUMMYFUNCTION("""COMPUTED_VALUE"""),596.86)</f>
        <v>596.86</v>
      </c>
      <c r="T127" s="320">
        <f>IFERROR(__xludf.DUMMYFUNCTION("""COMPUTED_VALUE"""),727.89)</f>
        <v>727.89</v>
      </c>
      <c r="U127" s="320">
        <f>IFERROR(__xludf.DUMMYFUNCTION("""COMPUTED_VALUE"""),1391.73)</f>
        <v>1391.73</v>
      </c>
      <c r="V127" s="320">
        <f>IFERROR(__xludf.DUMMYFUNCTION("""COMPUTED_VALUE"""),8.9359)</f>
        <v>8.9359</v>
      </c>
      <c r="W127" s="320">
        <f>IFERROR(__xludf.DUMMYFUNCTION("""COMPUTED_VALUE"""),45.05)</f>
        <v>45.05</v>
      </c>
      <c r="X127" s="320">
        <f>IFERROR(__xludf.DUMMYFUNCTION("""COMPUTED_VALUE"""),186.0)</f>
        <v>186</v>
      </c>
      <c r="Y127" s="320">
        <f>IFERROR(__xludf.DUMMYFUNCTION("""COMPUTED_VALUE"""),656.0)</f>
        <v>656</v>
      </c>
      <c r="Z127" s="320">
        <f>IFERROR(__xludf.DUMMYFUNCTION("""COMPUTED_VALUE"""),1869.0)</f>
        <v>1869</v>
      </c>
      <c r="AA127" s="320">
        <f>IFERROR(__xludf.DUMMYFUNCTION("""COMPUTED_VALUE"""),61.7493)</f>
        <v>61.7493</v>
      </c>
      <c r="AB127" s="320">
        <f>IFERROR(__xludf.DUMMYFUNCTION("""COMPUTED_VALUE"""),0.8466)</f>
        <v>0.8466</v>
      </c>
      <c r="AC127" s="320">
        <f>IFERROR(__xludf.DUMMYFUNCTION("""COMPUTED_VALUE"""),92.8)</f>
        <v>92.8</v>
      </c>
      <c r="AD127" s="320">
        <f>IFERROR(__xludf.DUMMYFUNCTION("""COMPUTED_VALUE"""),34.0)</f>
        <v>34</v>
      </c>
      <c r="AE127" s="320">
        <f>IFERROR(__xludf.DUMMYFUNCTION("""COMPUTED_VALUE"""),73.0)</f>
        <v>73</v>
      </c>
      <c r="AF127" s="320">
        <f>IFERROR(__xludf.DUMMYFUNCTION("""COMPUTED_VALUE"""),129.0)</f>
        <v>129</v>
      </c>
      <c r="AG127" s="320">
        <f>IFERROR(__xludf.DUMMYFUNCTION("""COMPUTED_VALUE"""),190.0)</f>
        <v>190</v>
      </c>
      <c r="AH127" s="320">
        <f>IFERROR(__xludf.DUMMYFUNCTION("""COMPUTED_VALUE"""),47.84)</f>
        <v>47.84</v>
      </c>
      <c r="AI127" s="320">
        <f>IFERROR(__xludf.DUMMYFUNCTION("""COMPUTED_VALUE"""),12.72)</f>
        <v>12.72</v>
      </c>
      <c r="AJ127" s="320">
        <f>IFERROR(__xludf.DUMMYFUNCTION("""COMPUTED_VALUE"""),2.54)</f>
        <v>2.54</v>
      </c>
      <c r="AK127" s="320">
        <f>IFERROR(__xludf.DUMMYFUNCTION("""COMPUTED_VALUE"""),0.1679)</f>
        <v>0.1679</v>
      </c>
      <c r="AL127" s="320">
        <f>IFERROR(__xludf.DUMMYFUNCTION("""COMPUTED_VALUE"""),22.63)</f>
        <v>22.63</v>
      </c>
      <c r="AM127" s="320">
        <f>IFERROR(__xludf.DUMMYFUNCTION("""COMPUTED_VALUE"""),1027.82)</f>
        <v>1027.82</v>
      </c>
      <c r="AN127" s="320">
        <f>IFERROR(__xludf.DUMMYFUNCTION("""COMPUTED_VALUE"""),70.3)</f>
        <v>70.3</v>
      </c>
      <c r="AO127" s="320">
        <f>IFERROR(__xludf.DUMMYFUNCTION("""COMPUTED_VALUE"""),15.91)</f>
        <v>15.91</v>
      </c>
    </row>
    <row r="128" ht="15.75" customHeight="1">
      <c r="A128" s="330">
        <f>IFERROR(__xludf.DUMMYFUNCTION("""COMPUTED_VALUE"""),46071.0)</f>
        <v>46071</v>
      </c>
      <c r="B128" s="319" t="str">
        <f>IFERROR(__xludf.DUMMYFUNCTION("""COMPUTED_VALUE"""),"A. 0")</f>
        <v>A. 0</v>
      </c>
      <c r="C128" s="320">
        <f>IFERROR(__xludf.DUMMYFUNCTION("""COMPUTED_VALUE"""),17183.0)</f>
        <v>17183</v>
      </c>
      <c r="D128" s="320">
        <f>IFERROR(__xludf.DUMMYFUNCTION("""COMPUTED_VALUE"""),21.65)</f>
        <v>21.65</v>
      </c>
      <c r="E128" s="320">
        <f>IFERROR(__xludf.DUMMYFUNCTION("""COMPUTED_VALUE"""),289.78)</f>
        <v>289.78</v>
      </c>
      <c r="F128" s="320">
        <f>IFERROR(__xludf.DUMMYFUNCTION("""COMPUTED_VALUE"""),0.0169)</f>
        <v>0.0169</v>
      </c>
      <c r="G128" s="320">
        <f>IFERROR(__xludf.DUMMYFUNCTION("""COMPUTED_VALUE"""),0.19)</f>
        <v>0.19</v>
      </c>
      <c r="H128" s="320">
        <f>IFERROR(__xludf.DUMMYFUNCTION("""COMPUTED_VALUE"""),9.0556)</f>
        <v>9.0556</v>
      </c>
      <c r="I128" s="320">
        <f>IFERROR(__xludf.DUMMYFUNCTION("""COMPUTED_VALUE"""),6.51)</f>
        <v>6.51</v>
      </c>
      <c r="J128" s="320">
        <f>IFERROR(__xludf.DUMMYFUNCTION("""COMPUTED_VALUE"""),3.02)</f>
        <v>3.02</v>
      </c>
      <c r="K128" s="320">
        <f>IFERROR(__xludf.DUMMYFUNCTION("""COMPUTED_VALUE"""),0.04)</f>
        <v>0.04</v>
      </c>
      <c r="L128" s="320">
        <f>IFERROR(__xludf.DUMMYFUNCTION("""COMPUTED_VALUE"""),0.0124)</f>
        <v>0.0124</v>
      </c>
      <c r="M128" s="320">
        <f>IFERROR(__xludf.DUMMYFUNCTION("""COMPUTED_VALUE"""),0.9886)</f>
        <v>0.9886</v>
      </c>
      <c r="N128" s="320">
        <f>IFERROR(__xludf.DUMMYFUNCTION("""COMPUTED_VALUE"""),0.8222)</f>
        <v>0.8222</v>
      </c>
      <c r="O128" s="320">
        <f>IFERROR(__xludf.DUMMYFUNCTION("""COMPUTED_VALUE"""),80.7216)</f>
        <v>80.7216</v>
      </c>
      <c r="P128" s="320">
        <f>IFERROR(__xludf.DUMMYFUNCTION("""COMPUTED_VALUE"""),23.09)</f>
        <v>23.09</v>
      </c>
      <c r="Q128" s="320">
        <f>IFERROR(__xludf.DUMMYFUNCTION("""COMPUTED_VALUE"""),23.01)</f>
        <v>23.01</v>
      </c>
      <c r="R128" s="320">
        <f>IFERROR(__xludf.DUMMYFUNCTION("""COMPUTED_VALUE"""),0.08)</f>
        <v>0.08</v>
      </c>
      <c r="S128" s="320">
        <f>IFERROR(__xludf.DUMMYFUNCTION("""COMPUTED_VALUE"""),1.24)</f>
        <v>1.24</v>
      </c>
      <c r="T128" s="320">
        <f>IFERROR(__xludf.DUMMYFUNCTION("""COMPUTED_VALUE"""),21.84)</f>
        <v>21.84</v>
      </c>
      <c r="U128" s="320">
        <f>IFERROR(__xludf.DUMMYFUNCTION("""COMPUTED_VALUE"""),2.1)</f>
        <v>2.1</v>
      </c>
      <c r="V128" s="320">
        <f>IFERROR(__xludf.DUMMYFUNCTION("""COMPUTED_VALUE"""),0.6946)</f>
        <v>0.6946</v>
      </c>
      <c r="W128" s="320">
        <f>IFERROR(__xludf.DUMMYFUNCTION("""COMPUTED_VALUE"""),5.38)</f>
        <v>5.38</v>
      </c>
      <c r="X128" s="320">
        <f>IFERROR(__xludf.DUMMYFUNCTION("""COMPUTED_VALUE"""),147.0)</f>
        <v>147</v>
      </c>
      <c r="Y128" s="320">
        <f>IFERROR(__xludf.DUMMYFUNCTION("""COMPUTED_VALUE"""),1012.0)</f>
        <v>1012</v>
      </c>
      <c r="Z128" s="320">
        <f>IFERROR(__xludf.DUMMYFUNCTION("""COMPUTED_VALUE"""),6994.0)</f>
        <v>6994</v>
      </c>
      <c r="AA128" s="320">
        <f>IFERROR(__xludf.DUMMYFUNCTION("""COMPUTED_VALUE"""),49.6614)</f>
        <v>49.6614</v>
      </c>
      <c r="AB128" s="320">
        <f>IFERROR(__xludf.DUMMYFUNCTION("""COMPUTED_VALUE"""),0.5174)</f>
        <v>0.5174</v>
      </c>
      <c r="AC128" s="106"/>
      <c r="AD128" s="106"/>
      <c r="AE128" s="106"/>
      <c r="AF128" s="106"/>
      <c r="AG128" s="106"/>
      <c r="AH128" s="320">
        <f>IFERROR(__xludf.DUMMYFUNCTION("""COMPUTED_VALUE"""),0.0)</f>
        <v>0</v>
      </c>
      <c r="AI128" s="320">
        <f>IFERROR(__xludf.DUMMYFUNCTION("""COMPUTED_VALUE"""),0.0)</f>
        <v>0</v>
      </c>
      <c r="AJ128" s="320">
        <f>IFERROR(__xludf.DUMMYFUNCTION("""COMPUTED_VALUE"""),0.0)</f>
        <v>0</v>
      </c>
      <c r="AK128" s="320">
        <f>IFERROR(__xludf.DUMMYFUNCTION("""COMPUTED_VALUE"""),0.2782)</f>
        <v>0.2782</v>
      </c>
      <c r="AL128" s="320">
        <f>IFERROR(__xludf.DUMMYFUNCTION("""COMPUTED_VALUE"""),15.19)</f>
        <v>15.19</v>
      </c>
      <c r="AM128" s="320">
        <f>IFERROR(__xludf.DUMMYFUNCTION("""COMPUTED_VALUE"""),7.82)</f>
        <v>7.82</v>
      </c>
      <c r="AN128" s="331"/>
      <c r="AO128" s="331"/>
    </row>
    <row r="129" ht="15.75" customHeight="1">
      <c r="A129" s="330">
        <f>IFERROR(__xludf.DUMMYFUNCTION("""COMPUTED_VALUE"""),46071.0)</f>
        <v>46071</v>
      </c>
      <c r="B129" s="319" t="str">
        <f>IFERROR(__xludf.DUMMYFUNCTION("""COMPUTED_VALUE"""),"B. 1-9")</f>
        <v>B. 1-9</v>
      </c>
      <c r="C129" s="320">
        <f>IFERROR(__xludf.DUMMYFUNCTION("""COMPUTED_VALUE"""),33044.0)</f>
        <v>33044</v>
      </c>
      <c r="D129" s="320">
        <f>IFERROR(__xludf.DUMMYFUNCTION("""COMPUTED_VALUE"""),41.63)</f>
        <v>41.63</v>
      </c>
      <c r="E129" s="320">
        <f>IFERROR(__xludf.DUMMYFUNCTION("""COMPUTED_VALUE"""),7324.92)</f>
        <v>7324.92</v>
      </c>
      <c r="F129" s="320">
        <f>IFERROR(__xludf.DUMMYFUNCTION("""COMPUTED_VALUE"""),0.2217)</f>
        <v>0.2217</v>
      </c>
      <c r="G129" s="320">
        <f>IFERROR(__xludf.DUMMYFUNCTION("""COMPUTED_VALUE"""),6.28)</f>
        <v>6.28</v>
      </c>
      <c r="H129" s="320">
        <f>IFERROR(__xludf.DUMMYFUNCTION("""COMPUTED_VALUE"""),3.5284)</f>
        <v>3.5284</v>
      </c>
      <c r="I129" s="320">
        <f>IFERROR(__xludf.DUMMYFUNCTION("""COMPUTED_VALUE"""),32.41)</f>
        <v>32.41</v>
      </c>
      <c r="J129" s="320">
        <f>IFERROR(__xludf.DUMMYFUNCTION("""COMPUTED_VALUE"""),17.67)</f>
        <v>17.67</v>
      </c>
      <c r="K129" s="320">
        <f>IFERROR(__xludf.DUMMYFUNCTION("""COMPUTED_VALUE"""),5.1)</f>
        <v>5.1</v>
      </c>
      <c r="L129" s="320">
        <f>IFERROR(__xludf.DUMMYFUNCTION("""COMPUTED_VALUE"""),0.2889)</f>
        <v>0.2889</v>
      </c>
      <c r="M129" s="320">
        <f>IFERROR(__xludf.DUMMYFUNCTION("""COMPUTED_VALUE"""),0.7762)</f>
        <v>0.7762</v>
      </c>
      <c r="N129" s="320">
        <f>IFERROR(__xludf.DUMMYFUNCTION("""COMPUTED_VALUE"""),0.5273)</f>
        <v>0.5273</v>
      </c>
      <c r="O129" s="320">
        <f>IFERROR(__xludf.DUMMYFUNCTION("""COMPUTED_VALUE"""),3.4617)</f>
        <v>3.4617</v>
      </c>
      <c r="P129" s="320">
        <f>IFERROR(__xludf.DUMMYFUNCTION("""COMPUTED_VALUE"""),62.65)</f>
        <v>62.65</v>
      </c>
      <c r="Q129" s="320">
        <f>IFERROR(__xludf.DUMMYFUNCTION("""COMPUTED_VALUE"""),52.07)</f>
        <v>52.07</v>
      </c>
      <c r="R129" s="320">
        <f>IFERROR(__xludf.DUMMYFUNCTION("""COMPUTED_VALUE"""),10.58)</f>
        <v>10.58</v>
      </c>
      <c r="S129" s="320">
        <f>IFERROR(__xludf.DUMMYFUNCTION("""COMPUTED_VALUE"""),15.21)</f>
        <v>15.21</v>
      </c>
      <c r="T129" s="320">
        <f>IFERROR(__xludf.DUMMYFUNCTION("""COMPUTED_VALUE"""),47.44)</f>
        <v>47.44</v>
      </c>
      <c r="U129" s="320">
        <f>IFERROR(__xludf.DUMMYFUNCTION("""COMPUTED_VALUE"""),70.91)</f>
        <v>70.91</v>
      </c>
      <c r="V129" s="320">
        <f>IFERROR(__xludf.DUMMYFUNCTION("""COMPUTED_VALUE"""),4.0135)</f>
        <v>4.0135</v>
      </c>
      <c r="W129" s="320">
        <f>IFERROR(__xludf.DUMMYFUNCTION("""COMPUTED_VALUE"""),24.27)</f>
        <v>24.27</v>
      </c>
      <c r="X129" s="320">
        <f>IFERROR(__xludf.DUMMYFUNCTION("""COMPUTED_VALUE"""),87.0)</f>
        <v>87</v>
      </c>
      <c r="Y129" s="320">
        <f>IFERROR(__xludf.DUMMYFUNCTION("""COMPUTED_VALUE"""),199.0)</f>
        <v>199</v>
      </c>
      <c r="Z129" s="320">
        <f>IFERROR(__xludf.DUMMYFUNCTION("""COMPUTED_VALUE"""),785.0)</f>
        <v>785</v>
      </c>
      <c r="AA129" s="320">
        <f>IFERROR(__xludf.DUMMYFUNCTION("""COMPUTED_VALUE"""),49.4631)</f>
        <v>49.4631</v>
      </c>
      <c r="AB129" s="320">
        <f>IFERROR(__xludf.DUMMYFUNCTION("""COMPUTED_VALUE"""),0.4422)</f>
        <v>0.4422</v>
      </c>
      <c r="AC129" s="320">
        <f>IFERROR(__xludf.DUMMYFUNCTION("""COMPUTED_VALUE"""),3.42)</f>
        <v>3.42</v>
      </c>
      <c r="AD129" s="320">
        <f>IFERROR(__xludf.DUMMYFUNCTION("""COMPUTED_VALUE"""),1.0)</f>
        <v>1</v>
      </c>
      <c r="AE129" s="320">
        <f>IFERROR(__xludf.DUMMYFUNCTION("""COMPUTED_VALUE"""),2.0)</f>
        <v>2</v>
      </c>
      <c r="AF129" s="320">
        <f>IFERROR(__xludf.DUMMYFUNCTION("""COMPUTED_VALUE"""),4.0)</f>
        <v>4</v>
      </c>
      <c r="AG129" s="320">
        <f>IFERROR(__xludf.DUMMYFUNCTION("""COMPUTED_VALUE"""),8.0)</f>
        <v>8</v>
      </c>
      <c r="AH129" s="320">
        <f>IFERROR(__xludf.DUMMYFUNCTION("""COMPUTED_VALUE"""),64.94)</f>
        <v>64.94</v>
      </c>
      <c r="AI129" s="320">
        <f>IFERROR(__xludf.DUMMYFUNCTION("""COMPUTED_VALUE"""),23.22)</f>
        <v>23.22</v>
      </c>
      <c r="AJ129" s="320">
        <f>IFERROR(__xludf.DUMMYFUNCTION("""COMPUTED_VALUE"""),6.52)</f>
        <v>6.52</v>
      </c>
      <c r="AK129" s="320">
        <f>IFERROR(__xludf.DUMMYFUNCTION("""COMPUTED_VALUE"""),0.2193)</f>
        <v>0.2193</v>
      </c>
      <c r="AL129" s="320">
        <f>IFERROR(__xludf.DUMMYFUNCTION("""COMPUTED_VALUE"""),18.99)</f>
        <v>18.99</v>
      </c>
      <c r="AM129" s="320">
        <f>IFERROR(__xludf.DUMMYFUNCTION("""COMPUTED_VALUE"""),33.08)</f>
        <v>33.08</v>
      </c>
      <c r="AN129" s="320">
        <f>IFERROR(__xludf.DUMMYFUNCTION("""COMPUTED_VALUE"""),67.86)</f>
        <v>67.86</v>
      </c>
      <c r="AO129" s="320">
        <f>IFERROR(__xludf.DUMMYFUNCTION("""COMPUTED_VALUE"""),12.89)</f>
        <v>12.89</v>
      </c>
    </row>
    <row r="130" ht="15.75" customHeight="1">
      <c r="A130" s="330">
        <f>IFERROR(__xludf.DUMMYFUNCTION("""COMPUTED_VALUE"""),46071.0)</f>
        <v>46071</v>
      </c>
      <c r="B130" s="319" t="str">
        <f>IFERROR(__xludf.DUMMYFUNCTION("""COMPUTED_VALUE"""),"C. 10-19")</f>
        <v>C. 10-19</v>
      </c>
      <c r="C130" s="320">
        <f>IFERROR(__xludf.DUMMYFUNCTION("""COMPUTED_VALUE"""),16592.0)</f>
        <v>16592</v>
      </c>
      <c r="D130" s="320">
        <f>IFERROR(__xludf.DUMMYFUNCTION("""COMPUTED_VALUE"""),20.91)</f>
        <v>20.91</v>
      </c>
      <c r="E130" s="320">
        <f>IFERROR(__xludf.DUMMYFUNCTION("""COMPUTED_VALUE"""),17529.36)</f>
        <v>17529.36</v>
      </c>
      <c r="F130" s="320">
        <f>IFERROR(__xludf.DUMMYFUNCTION("""COMPUTED_VALUE"""),1.0565)</f>
        <v>1.0565</v>
      </c>
      <c r="G130" s="320">
        <f>IFERROR(__xludf.DUMMYFUNCTION("""COMPUTED_VALUE"""),20.44)</f>
        <v>20.44</v>
      </c>
      <c r="H130" s="320">
        <f>IFERROR(__xludf.DUMMYFUNCTION("""COMPUTED_VALUE"""),5.1694)</f>
        <v>5.1694</v>
      </c>
      <c r="I130" s="320">
        <f>IFERROR(__xludf.DUMMYFUNCTION("""COMPUTED_VALUE"""),60.62)</f>
        <v>60.62</v>
      </c>
      <c r="J130" s="320">
        <f>IFERROR(__xludf.DUMMYFUNCTION("""COMPUTED_VALUE"""),34.77)</f>
        <v>34.77</v>
      </c>
      <c r="K130" s="320">
        <f>IFERROR(__xludf.DUMMYFUNCTION("""COMPUTED_VALUE"""),13.82)</f>
        <v>13.82</v>
      </c>
      <c r="L130" s="320">
        <f>IFERROR(__xludf.DUMMYFUNCTION("""COMPUTED_VALUE"""),0.3976)</f>
        <v>0.3976</v>
      </c>
      <c r="M130" s="320">
        <f>IFERROR(__xludf.DUMMYFUNCTION("""COMPUTED_VALUE"""),0.6622)</f>
        <v>0.6622</v>
      </c>
      <c r="N130" s="320">
        <f>IFERROR(__xludf.DUMMYFUNCTION("""COMPUTED_VALUE"""),0.3742)</f>
        <v>0.3742</v>
      </c>
      <c r="O130" s="320">
        <f>IFERROR(__xludf.DUMMYFUNCTION("""COMPUTED_VALUE"""),2.515)</f>
        <v>2.515</v>
      </c>
      <c r="P130" s="320">
        <f>IFERROR(__xludf.DUMMYFUNCTION("""COMPUTED_VALUE"""),157.15)</f>
        <v>157.15</v>
      </c>
      <c r="Q130" s="320">
        <f>IFERROR(__xludf.DUMMYFUNCTION("""COMPUTED_VALUE"""),129.33)</f>
        <v>129.33</v>
      </c>
      <c r="R130" s="320">
        <f>IFERROR(__xludf.DUMMYFUNCTION("""COMPUTED_VALUE"""),27.81)</f>
        <v>27.81</v>
      </c>
      <c r="S130" s="320">
        <f>IFERROR(__xludf.DUMMYFUNCTION("""COMPUTED_VALUE"""),71.97)</f>
        <v>71.97</v>
      </c>
      <c r="T130" s="320">
        <f>IFERROR(__xludf.DUMMYFUNCTION("""COMPUTED_VALUE"""),85.18)</f>
        <v>85.18</v>
      </c>
      <c r="U130" s="320">
        <f>IFERROR(__xludf.DUMMYFUNCTION("""COMPUTED_VALUE"""),170.17)</f>
        <v>170.17</v>
      </c>
      <c r="V130" s="320">
        <f>IFERROR(__xludf.DUMMYFUNCTION("""COMPUTED_VALUE"""),4.8944)</f>
        <v>4.8944</v>
      </c>
      <c r="W130" s="320">
        <f>IFERROR(__xludf.DUMMYFUNCTION("""COMPUTED_VALUE"""),45.8)</f>
        <v>45.8</v>
      </c>
      <c r="X130" s="320">
        <f>IFERROR(__xludf.DUMMYFUNCTION("""COMPUTED_VALUE"""),83.0)</f>
        <v>83</v>
      </c>
      <c r="Y130" s="320">
        <f>IFERROR(__xludf.DUMMYFUNCTION("""COMPUTED_VALUE"""),185.0)</f>
        <v>185</v>
      </c>
      <c r="Z130" s="320">
        <f>IFERROR(__xludf.DUMMYFUNCTION("""COMPUTED_VALUE"""),687.0)</f>
        <v>687</v>
      </c>
      <c r="AA130" s="320">
        <f>IFERROR(__xludf.DUMMYFUNCTION("""COMPUTED_VALUE"""),52.3852)</f>
        <v>52.3852</v>
      </c>
      <c r="AB130" s="320">
        <f>IFERROR(__xludf.DUMMYFUNCTION("""COMPUTED_VALUE"""),0.5356)</f>
        <v>0.5356</v>
      </c>
      <c r="AC130" s="320">
        <f>IFERROR(__xludf.DUMMYFUNCTION("""COMPUTED_VALUE"""),8.45)</f>
        <v>8.45</v>
      </c>
      <c r="AD130" s="320">
        <f>IFERROR(__xludf.DUMMYFUNCTION("""COMPUTED_VALUE"""),2.0)</f>
        <v>2</v>
      </c>
      <c r="AE130" s="320">
        <f>IFERROR(__xludf.DUMMYFUNCTION("""COMPUTED_VALUE"""),6.0)</f>
        <v>6</v>
      </c>
      <c r="AF130" s="320">
        <f>IFERROR(__xludf.DUMMYFUNCTION("""COMPUTED_VALUE"""),12.0)</f>
        <v>12</v>
      </c>
      <c r="AG130" s="320">
        <f>IFERROR(__xludf.DUMMYFUNCTION("""COMPUTED_VALUE"""),19.0)</f>
        <v>19</v>
      </c>
      <c r="AH130" s="320">
        <f>IFERROR(__xludf.DUMMYFUNCTION("""COMPUTED_VALUE"""),50.63)</f>
        <v>50.63</v>
      </c>
      <c r="AI130" s="320">
        <f>IFERROR(__xludf.DUMMYFUNCTION("""COMPUTED_VALUE"""),23.02)</f>
        <v>23.02</v>
      </c>
      <c r="AJ130" s="320">
        <f>IFERROR(__xludf.DUMMYFUNCTION("""COMPUTED_VALUE"""),4.73)</f>
        <v>4.73</v>
      </c>
      <c r="AK130" s="320">
        <f>IFERROR(__xludf.DUMMYFUNCTION("""COMPUTED_VALUE"""),0.1838)</f>
        <v>0.1838</v>
      </c>
      <c r="AL130" s="320">
        <f>IFERROR(__xludf.DUMMYFUNCTION("""COMPUTED_VALUE"""),19.7)</f>
        <v>19.7</v>
      </c>
      <c r="AM130" s="320">
        <f>IFERROR(__xludf.DUMMYFUNCTION("""COMPUTED_VALUE"""),109.63)</f>
        <v>109.63</v>
      </c>
      <c r="AN130" s="320">
        <f>IFERROR(__xludf.DUMMYFUNCTION("""COMPUTED_VALUE"""),73.3)</f>
        <v>73.3</v>
      </c>
      <c r="AO130" s="320">
        <f>IFERROR(__xludf.DUMMYFUNCTION("""COMPUTED_VALUE"""),14.44)</f>
        <v>14.44</v>
      </c>
    </row>
    <row r="131" ht="15.75" customHeight="1">
      <c r="A131" s="330">
        <f>IFERROR(__xludf.DUMMYFUNCTION("""COMPUTED_VALUE"""),46071.0)</f>
        <v>46071</v>
      </c>
      <c r="B131" s="319" t="str">
        <f>IFERROR(__xludf.DUMMYFUNCTION("""COMPUTED_VALUE"""),"D. 20-39")</f>
        <v>D. 20-39</v>
      </c>
      <c r="C131" s="320">
        <f>IFERROR(__xludf.DUMMYFUNCTION("""COMPUTED_VALUE"""),8917.0)</f>
        <v>8917</v>
      </c>
      <c r="D131" s="320">
        <f>IFERROR(__xludf.DUMMYFUNCTION("""COMPUTED_VALUE"""),11.24)</f>
        <v>11.24</v>
      </c>
      <c r="E131" s="320">
        <f>IFERROR(__xludf.DUMMYFUNCTION("""COMPUTED_VALUE"""),22179.47)</f>
        <v>22179.47</v>
      </c>
      <c r="F131" s="320">
        <f>IFERROR(__xludf.DUMMYFUNCTION("""COMPUTED_VALUE"""),2.4873)</f>
        <v>2.4873</v>
      </c>
      <c r="G131" s="320">
        <f>IFERROR(__xludf.DUMMYFUNCTION("""COMPUTED_VALUE"""),31.25)</f>
        <v>31.25</v>
      </c>
      <c r="H131" s="320">
        <f>IFERROR(__xludf.DUMMYFUNCTION("""COMPUTED_VALUE"""),7.9582)</f>
        <v>7.9582</v>
      </c>
      <c r="I131" s="320">
        <f>IFERROR(__xludf.DUMMYFUNCTION("""COMPUTED_VALUE"""),84.0)</f>
        <v>84</v>
      </c>
      <c r="J131" s="320">
        <f>IFERROR(__xludf.DUMMYFUNCTION("""COMPUTED_VALUE"""),50.41)</f>
        <v>50.41</v>
      </c>
      <c r="K131" s="320">
        <f>IFERROR(__xludf.DUMMYFUNCTION("""COMPUTED_VALUE"""),25.32)</f>
        <v>25.32</v>
      </c>
      <c r="L131" s="320">
        <f>IFERROR(__xludf.DUMMYFUNCTION("""COMPUTED_VALUE"""),0.5023)</f>
        <v>0.5023</v>
      </c>
      <c r="M131" s="320">
        <f>IFERROR(__xludf.DUMMYFUNCTION("""COMPUTED_VALUE"""),0.5662)</f>
        <v>0.5662</v>
      </c>
      <c r="N131" s="320">
        <f>IFERROR(__xludf.DUMMYFUNCTION("""COMPUTED_VALUE"""),0.3083)</f>
        <v>0.3083</v>
      </c>
      <c r="O131" s="320">
        <f>IFERROR(__xludf.DUMMYFUNCTION("""COMPUTED_VALUE"""),1.9908)</f>
        <v>1.9908</v>
      </c>
      <c r="P131" s="320">
        <f>IFERROR(__xludf.DUMMYFUNCTION("""COMPUTED_VALUE"""),296.73)</f>
        <v>296.73</v>
      </c>
      <c r="Q131" s="320">
        <f>IFERROR(__xludf.DUMMYFUNCTION("""COMPUTED_VALUE"""),244.51)</f>
        <v>244.51</v>
      </c>
      <c r="R131" s="320">
        <f>IFERROR(__xludf.DUMMYFUNCTION("""COMPUTED_VALUE"""),52.22)</f>
        <v>52.22</v>
      </c>
      <c r="S131" s="320">
        <f>IFERROR(__xludf.DUMMYFUNCTION("""COMPUTED_VALUE"""),163.24)</f>
        <v>163.24</v>
      </c>
      <c r="T131" s="320">
        <f>IFERROR(__xludf.DUMMYFUNCTION("""COMPUTED_VALUE"""),133.49)</f>
        <v>133.49</v>
      </c>
      <c r="U131" s="320">
        <f>IFERROR(__xludf.DUMMYFUNCTION("""COMPUTED_VALUE"""),320.53)</f>
        <v>320.53</v>
      </c>
      <c r="V131" s="320">
        <f>IFERROR(__xludf.DUMMYFUNCTION("""COMPUTED_VALUE"""),6.3578)</f>
        <v>6.3578</v>
      </c>
      <c r="W131" s="320">
        <f>IFERROR(__xludf.DUMMYFUNCTION("""COMPUTED_VALUE"""),55.01)</f>
        <v>55.01</v>
      </c>
      <c r="X131" s="320">
        <f>IFERROR(__xludf.DUMMYFUNCTION("""COMPUTED_VALUE"""),86.0)</f>
        <v>86</v>
      </c>
      <c r="Y131" s="320">
        <f>IFERROR(__xludf.DUMMYFUNCTION("""COMPUTED_VALUE"""),217.0)</f>
        <v>217</v>
      </c>
      <c r="Z131" s="320">
        <f>IFERROR(__xludf.DUMMYFUNCTION("""COMPUTED_VALUE"""),747.0)</f>
        <v>747</v>
      </c>
      <c r="AA131" s="320">
        <f>IFERROR(__xludf.DUMMYFUNCTION("""COMPUTED_VALUE"""),54.5223)</f>
        <v>54.5223</v>
      </c>
      <c r="AB131" s="320">
        <f>IFERROR(__xludf.DUMMYFUNCTION("""COMPUTED_VALUE"""),0.6481)</f>
        <v>0.6481</v>
      </c>
      <c r="AC131" s="320">
        <f>IFERROR(__xludf.DUMMYFUNCTION("""COMPUTED_VALUE"""),16.03)</f>
        <v>16.03</v>
      </c>
      <c r="AD131" s="320">
        <f>IFERROR(__xludf.DUMMYFUNCTION("""COMPUTED_VALUE"""),5.0)</f>
        <v>5</v>
      </c>
      <c r="AE131" s="320">
        <f>IFERROR(__xludf.DUMMYFUNCTION("""COMPUTED_VALUE"""),11.0)</f>
        <v>11</v>
      </c>
      <c r="AF131" s="320">
        <f>IFERROR(__xludf.DUMMYFUNCTION("""COMPUTED_VALUE"""),23.0)</f>
        <v>23</v>
      </c>
      <c r="AG131" s="320">
        <f>IFERROR(__xludf.DUMMYFUNCTION("""COMPUTED_VALUE"""),36.0)</f>
        <v>36</v>
      </c>
      <c r="AH131" s="320">
        <f>IFERROR(__xludf.DUMMYFUNCTION("""COMPUTED_VALUE"""),50.72)</f>
        <v>50.72</v>
      </c>
      <c r="AI131" s="320">
        <f>IFERROR(__xludf.DUMMYFUNCTION("""COMPUTED_VALUE"""),21.2)</f>
        <v>21.2</v>
      </c>
      <c r="AJ131" s="320">
        <f>IFERROR(__xludf.DUMMYFUNCTION("""COMPUTED_VALUE"""),6.55)</f>
        <v>6.55</v>
      </c>
      <c r="AK131" s="320">
        <f>IFERROR(__xludf.DUMMYFUNCTION("""COMPUTED_VALUE"""),0.1864)</f>
        <v>0.1864</v>
      </c>
      <c r="AL131" s="320">
        <f>IFERROR(__xludf.DUMMYFUNCTION("""COMPUTED_VALUE"""),19.98)</f>
        <v>19.98</v>
      </c>
      <c r="AM131" s="320">
        <f>IFERROR(__xludf.DUMMYFUNCTION("""COMPUTED_VALUE"""),224.52)</f>
        <v>224.52</v>
      </c>
      <c r="AN131" s="320">
        <f>IFERROR(__xludf.DUMMYFUNCTION("""COMPUTED_VALUE"""),75.65)</f>
        <v>75.65</v>
      </c>
      <c r="AO131" s="320">
        <f>IFERROR(__xludf.DUMMYFUNCTION("""COMPUTED_VALUE"""),15.11)</f>
        <v>15.11</v>
      </c>
    </row>
    <row r="132" ht="15.75" customHeight="1">
      <c r="A132" s="330">
        <f>IFERROR(__xludf.DUMMYFUNCTION("""COMPUTED_VALUE"""),46071.0)</f>
        <v>46071</v>
      </c>
      <c r="B132" s="319" t="str">
        <f>IFERROR(__xludf.DUMMYFUNCTION("""COMPUTED_VALUE"""),"E. 40-99")</f>
        <v>E. 40-99</v>
      </c>
      <c r="C132" s="320">
        <f>IFERROR(__xludf.DUMMYFUNCTION("""COMPUTED_VALUE"""),3267.0)</f>
        <v>3267</v>
      </c>
      <c r="D132" s="320">
        <f>IFERROR(__xludf.DUMMYFUNCTION("""COMPUTED_VALUE"""),4.12)</f>
        <v>4.12</v>
      </c>
      <c r="E132" s="320">
        <f>IFERROR(__xludf.DUMMYFUNCTION("""COMPUTED_VALUE"""),16994.82)</f>
        <v>16994.82</v>
      </c>
      <c r="F132" s="320">
        <f>IFERROR(__xludf.DUMMYFUNCTION("""COMPUTED_VALUE"""),5.202)</f>
        <v>5.202</v>
      </c>
      <c r="G132" s="320">
        <f>IFERROR(__xludf.DUMMYFUNCTION("""COMPUTED_VALUE"""),41.35)</f>
        <v>41.35</v>
      </c>
      <c r="H132" s="320">
        <f>IFERROR(__xludf.DUMMYFUNCTION("""COMPUTED_VALUE"""),12.5794)</f>
        <v>12.5794</v>
      </c>
      <c r="I132" s="320">
        <f>IFERROR(__xludf.DUMMYFUNCTION("""COMPUTED_VALUE"""),124.42)</f>
        <v>124.42</v>
      </c>
      <c r="J132" s="320">
        <f>IFERROR(__xludf.DUMMYFUNCTION("""COMPUTED_VALUE"""),78.08)</f>
        <v>78.08</v>
      </c>
      <c r="K132" s="320">
        <f>IFERROR(__xludf.DUMMYFUNCTION("""COMPUTED_VALUE"""),51.0)</f>
        <v>51</v>
      </c>
      <c r="L132" s="320">
        <f>IFERROR(__xludf.DUMMYFUNCTION("""COMPUTED_VALUE"""),0.6531)</f>
        <v>0.6531</v>
      </c>
      <c r="M132" s="320">
        <f>IFERROR(__xludf.DUMMYFUNCTION("""COMPUTED_VALUE"""),0.4281)</f>
        <v>0.4281</v>
      </c>
      <c r="N132" s="320">
        <f>IFERROR(__xludf.DUMMYFUNCTION("""COMPUTED_VALUE"""),0.2343)</f>
        <v>0.2343</v>
      </c>
      <c r="O132" s="320">
        <f>IFERROR(__xludf.DUMMYFUNCTION("""COMPUTED_VALUE"""),1.5312)</f>
        <v>1.5312</v>
      </c>
      <c r="P132" s="320">
        <f>IFERROR(__xludf.DUMMYFUNCTION("""COMPUTED_VALUE"""),561.35)</f>
        <v>561.35</v>
      </c>
      <c r="Q132" s="320">
        <f>IFERROR(__xludf.DUMMYFUNCTION("""COMPUTED_VALUE"""),454.39)</f>
        <v>454.39</v>
      </c>
      <c r="R132" s="320">
        <f>IFERROR(__xludf.DUMMYFUNCTION("""COMPUTED_VALUE"""),106.96)</f>
        <v>106.96</v>
      </c>
      <c r="S132" s="320">
        <f>IFERROR(__xludf.DUMMYFUNCTION("""COMPUTED_VALUE"""),323.01)</f>
        <v>323.01</v>
      </c>
      <c r="T132" s="320">
        <f>IFERROR(__xludf.DUMMYFUNCTION("""COMPUTED_VALUE"""),238.34)</f>
        <v>238.34</v>
      </c>
      <c r="U132" s="320">
        <f>IFERROR(__xludf.DUMMYFUNCTION("""COMPUTED_VALUE"""),610.41)</f>
        <v>610.41</v>
      </c>
      <c r="V132" s="320">
        <f>IFERROR(__xludf.DUMMYFUNCTION("""COMPUTED_VALUE"""),7.8173)</f>
        <v>7.8173</v>
      </c>
      <c r="W132" s="320">
        <f>IFERROR(__xludf.DUMMYFUNCTION("""COMPUTED_VALUE"""),57.54)</f>
        <v>57.54</v>
      </c>
      <c r="X132" s="320">
        <f>IFERROR(__xludf.DUMMYFUNCTION("""COMPUTED_VALUE"""),93.0)</f>
        <v>93</v>
      </c>
      <c r="Y132" s="320">
        <f>IFERROR(__xludf.DUMMYFUNCTION("""COMPUTED_VALUE"""),288.0)</f>
        <v>288</v>
      </c>
      <c r="Z132" s="320">
        <f>IFERROR(__xludf.DUMMYFUNCTION("""COMPUTED_VALUE"""),1046.0)</f>
        <v>1046</v>
      </c>
      <c r="AA132" s="320">
        <f>IFERROR(__xludf.DUMMYFUNCTION("""COMPUTED_VALUE"""),57.6132)</f>
        <v>57.6132</v>
      </c>
      <c r="AB132" s="320">
        <f>IFERROR(__xludf.DUMMYFUNCTION("""COMPUTED_VALUE"""),0.7571)</f>
        <v>0.7571</v>
      </c>
      <c r="AC132" s="320">
        <f>IFERROR(__xludf.DUMMYFUNCTION("""COMPUTED_VALUE"""),34.01)</f>
        <v>34.01</v>
      </c>
      <c r="AD132" s="320">
        <f>IFERROR(__xludf.DUMMYFUNCTION("""COMPUTED_VALUE"""),10.0)</f>
        <v>10</v>
      </c>
      <c r="AE132" s="320">
        <f>IFERROR(__xludf.DUMMYFUNCTION("""COMPUTED_VALUE"""),24.0)</f>
        <v>24</v>
      </c>
      <c r="AF132" s="320">
        <f>IFERROR(__xludf.DUMMYFUNCTION("""COMPUTED_VALUE"""),47.0)</f>
        <v>47</v>
      </c>
      <c r="AG132" s="320">
        <f>IFERROR(__xludf.DUMMYFUNCTION("""COMPUTED_VALUE"""),75.0)</f>
        <v>75</v>
      </c>
      <c r="AH132" s="320">
        <f>IFERROR(__xludf.DUMMYFUNCTION("""COMPUTED_VALUE"""),45.91)</f>
        <v>45.91</v>
      </c>
      <c r="AI132" s="320">
        <f>IFERROR(__xludf.DUMMYFUNCTION("""COMPUTED_VALUE"""),16.5)</f>
        <v>16.5</v>
      </c>
      <c r="AJ132" s="320">
        <f>IFERROR(__xludf.DUMMYFUNCTION("""COMPUTED_VALUE"""),4.41)</f>
        <v>4.41</v>
      </c>
      <c r="AK132" s="320">
        <f>IFERROR(__xludf.DUMMYFUNCTION("""COMPUTED_VALUE"""),0.1742)</f>
        <v>0.1742</v>
      </c>
      <c r="AL132" s="320">
        <f>IFERROR(__xludf.DUMMYFUNCTION("""COMPUTED_VALUE"""),18.89)</f>
        <v>18.89</v>
      </c>
      <c r="AM132" s="320">
        <f>IFERROR(__xludf.DUMMYFUNCTION("""COMPUTED_VALUE"""),435.5)</f>
        <v>435.5</v>
      </c>
      <c r="AN132" s="320">
        <f>IFERROR(__xludf.DUMMYFUNCTION("""COMPUTED_VALUE"""),73.98)</f>
        <v>73.98</v>
      </c>
      <c r="AO132" s="320">
        <f>IFERROR(__xludf.DUMMYFUNCTION("""COMPUTED_VALUE"""),13.97)</f>
        <v>13.97</v>
      </c>
    </row>
    <row r="133" ht="15.75" customHeight="1">
      <c r="A133" s="330">
        <f>IFERROR(__xludf.DUMMYFUNCTION("""COMPUTED_VALUE"""),46071.0)</f>
        <v>46071</v>
      </c>
      <c r="B133" s="319" t="str">
        <f>IFERROR(__xludf.DUMMYFUNCTION("""COMPUTED_VALUE"""),"F. 100+")</f>
        <v>F. 100+</v>
      </c>
      <c r="C133" s="320">
        <f>IFERROR(__xludf.DUMMYFUNCTION("""COMPUTED_VALUE"""),363.0)</f>
        <v>363</v>
      </c>
      <c r="D133" s="320">
        <f>IFERROR(__xludf.DUMMYFUNCTION("""COMPUTED_VALUE"""),0.46)</f>
        <v>0.46</v>
      </c>
      <c r="E133" s="320">
        <f>IFERROR(__xludf.DUMMYFUNCTION("""COMPUTED_VALUE"""),4798.24)</f>
        <v>4798.24</v>
      </c>
      <c r="F133" s="320">
        <f>IFERROR(__xludf.DUMMYFUNCTION("""COMPUTED_VALUE"""),13.2183)</f>
        <v>13.2183</v>
      </c>
      <c r="G133" s="320">
        <f>IFERROR(__xludf.DUMMYFUNCTION("""COMPUTED_VALUE"""),48.76)</f>
        <v>48.76</v>
      </c>
      <c r="H133" s="320">
        <f>IFERROR(__xludf.DUMMYFUNCTION("""COMPUTED_VALUE"""),27.1087)</f>
        <v>27.1087</v>
      </c>
      <c r="I133" s="320">
        <f>IFERROR(__xludf.DUMMYFUNCTION("""COMPUTED_VALUE"""),230.38)</f>
        <v>230.38</v>
      </c>
      <c r="J133" s="320">
        <f>IFERROR(__xludf.DUMMYFUNCTION("""COMPUTED_VALUE"""),153.18)</f>
        <v>153.18</v>
      </c>
      <c r="K133" s="320">
        <f>IFERROR(__xludf.DUMMYFUNCTION("""COMPUTED_VALUE"""),123.28)</f>
        <v>123.28</v>
      </c>
      <c r="L133" s="320">
        <f>IFERROR(__xludf.DUMMYFUNCTION("""COMPUTED_VALUE"""),0.8048)</f>
        <v>0.8048</v>
      </c>
      <c r="M133" s="320">
        <f>IFERROR(__xludf.DUMMYFUNCTION("""COMPUTED_VALUE"""),0.2872)</f>
        <v>0.2872</v>
      </c>
      <c r="N133" s="320">
        <f>IFERROR(__xludf.DUMMYFUNCTION("""COMPUTED_VALUE"""),0.1754)</f>
        <v>0.1754</v>
      </c>
      <c r="O133" s="320">
        <f>IFERROR(__xludf.DUMMYFUNCTION("""COMPUTED_VALUE"""),1.2426)</f>
        <v>1.2426</v>
      </c>
      <c r="P133" s="320">
        <f>IFERROR(__xludf.DUMMYFUNCTION("""COMPUTED_VALUE"""),1329.11)</f>
        <v>1329.11</v>
      </c>
      <c r="Q133" s="320">
        <f>IFERROR(__xludf.DUMMYFUNCTION("""COMPUTED_VALUE"""),1068.53)</f>
        <v>1068.53</v>
      </c>
      <c r="R133" s="320">
        <f>IFERROR(__xludf.DUMMYFUNCTION("""COMPUTED_VALUE"""),260.58)</f>
        <v>260.58</v>
      </c>
      <c r="S133" s="320">
        <f>IFERROR(__xludf.DUMMYFUNCTION("""COMPUTED_VALUE"""),807.36)</f>
        <v>807.36</v>
      </c>
      <c r="T133" s="320">
        <f>IFERROR(__xludf.DUMMYFUNCTION("""COMPUTED_VALUE"""),521.76)</f>
        <v>521.76</v>
      </c>
      <c r="U133" s="320">
        <f>IFERROR(__xludf.DUMMYFUNCTION("""COMPUTED_VALUE"""),1435.26)</f>
        <v>1435.26</v>
      </c>
      <c r="V133" s="320">
        <f>IFERROR(__xludf.DUMMYFUNCTION("""COMPUTED_VALUE"""),9.3698)</f>
        <v>9.3698</v>
      </c>
      <c r="W133" s="320">
        <f>IFERROR(__xludf.DUMMYFUNCTION("""COMPUTED_VALUE"""),60.74)</f>
        <v>60.74</v>
      </c>
      <c r="X133" s="320">
        <f>IFERROR(__xludf.DUMMYFUNCTION("""COMPUTED_VALUE"""),180.0)</f>
        <v>180</v>
      </c>
      <c r="Y133" s="320">
        <f>IFERROR(__xludf.DUMMYFUNCTION("""COMPUTED_VALUE"""),655.0)</f>
        <v>655</v>
      </c>
      <c r="Z133" s="320">
        <f>IFERROR(__xludf.DUMMYFUNCTION("""COMPUTED_VALUE"""),2334.0)</f>
        <v>2334</v>
      </c>
      <c r="AA133" s="320">
        <f>IFERROR(__xludf.DUMMYFUNCTION("""COMPUTED_VALUE"""),62.1315)</f>
        <v>62.1315</v>
      </c>
      <c r="AB133" s="320">
        <f>IFERROR(__xludf.DUMMYFUNCTION("""COMPUTED_VALUE"""),0.859)</f>
        <v>0.859</v>
      </c>
      <c r="AC133" s="320">
        <f>IFERROR(__xludf.DUMMYFUNCTION("""COMPUTED_VALUE"""),85.8)</f>
        <v>85.8</v>
      </c>
      <c r="AD133" s="320">
        <f>IFERROR(__xludf.DUMMYFUNCTION("""COMPUTED_VALUE"""),27.0)</f>
        <v>27</v>
      </c>
      <c r="AE133" s="320">
        <f>IFERROR(__xludf.DUMMYFUNCTION("""COMPUTED_VALUE"""),67.0)</f>
        <v>67</v>
      </c>
      <c r="AF133" s="320">
        <f>IFERROR(__xludf.DUMMYFUNCTION("""COMPUTED_VALUE"""),127.0)</f>
        <v>127</v>
      </c>
      <c r="AG133" s="320">
        <f>IFERROR(__xludf.DUMMYFUNCTION("""COMPUTED_VALUE"""),187.0)</f>
        <v>187</v>
      </c>
      <c r="AH133" s="320">
        <f>IFERROR(__xludf.DUMMYFUNCTION("""COMPUTED_VALUE"""),43.25)</f>
        <v>43.25</v>
      </c>
      <c r="AI133" s="320">
        <f>IFERROR(__xludf.DUMMYFUNCTION("""COMPUTED_VALUE"""),11.29)</f>
        <v>11.29</v>
      </c>
      <c r="AJ133" s="320">
        <f>IFERROR(__xludf.DUMMYFUNCTION("""COMPUTED_VALUE"""),2.2)</f>
        <v>2.2</v>
      </c>
      <c r="AK133" s="320">
        <f>IFERROR(__xludf.DUMMYFUNCTION("""COMPUTED_VALUE"""),0.1488)</f>
        <v>0.1488</v>
      </c>
      <c r="AL133" s="320">
        <f>IFERROR(__xludf.DUMMYFUNCTION("""COMPUTED_VALUE"""),19.44)</f>
        <v>19.44</v>
      </c>
      <c r="AM133" s="320">
        <f>IFERROR(__xludf.DUMMYFUNCTION("""COMPUTED_VALUE"""),1049.1)</f>
        <v>1049.1</v>
      </c>
      <c r="AN133" s="320">
        <f>IFERROR(__xludf.DUMMYFUNCTION("""COMPUTED_VALUE"""),71.23)</f>
        <v>71.23</v>
      </c>
      <c r="AO133" s="320">
        <f>IFERROR(__xludf.DUMMYFUNCTION("""COMPUTED_VALUE"""),13.85)</f>
        <v>13.85</v>
      </c>
    </row>
    <row r="134" ht="15.75" customHeight="1">
      <c r="A134" s="330">
        <f>IFERROR(__xludf.DUMMYFUNCTION("""COMPUTED_VALUE"""),46072.0)</f>
        <v>46072</v>
      </c>
      <c r="B134" s="319" t="str">
        <f>IFERROR(__xludf.DUMMYFUNCTION("""COMPUTED_VALUE"""),"A. 0")</f>
        <v>A. 0</v>
      </c>
      <c r="C134" s="320">
        <f>IFERROR(__xludf.DUMMYFUNCTION("""COMPUTED_VALUE"""),18080.0)</f>
        <v>18080</v>
      </c>
      <c r="D134" s="320">
        <f>IFERROR(__xludf.DUMMYFUNCTION("""COMPUTED_VALUE"""),23.03)</f>
        <v>23.03</v>
      </c>
      <c r="E134" s="320">
        <f>IFERROR(__xludf.DUMMYFUNCTION("""COMPUTED_VALUE"""),165.38)</f>
        <v>165.38</v>
      </c>
      <c r="F134" s="320">
        <f>IFERROR(__xludf.DUMMYFUNCTION("""COMPUTED_VALUE"""),0.0091)</f>
        <v>0.0091</v>
      </c>
      <c r="G134" s="320">
        <f>IFERROR(__xludf.DUMMYFUNCTION("""COMPUTED_VALUE"""),0.17)</f>
        <v>0.17</v>
      </c>
      <c r="H134" s="320">
        <f>IFERROR(__xludf.DUMMYFUNCTION("""COMPUTED_VALUE"""),5.5127)</f>
        <v>5.5127</v>
      </c>
      <c r="I134" s="320">
        <f>IFERROR(__xludf.DUMMYFUNCTION("""COMPUTED_VALUE"""),6.64)</f>
        <v>6.64</v>
      </c>
      <c r="J134" s="320">
        <f>IFERROR(__xludf.DUMMYFUNCTION("""COMPUTED_VALUE"""),3.11)</f>
        <v>3.11</v>
      </c>
      <c r="K134" s="320">
        <f>IFERROR(__xludf.DUMMYFUNCTION("""COMPUTED_VALUE"""),0.03)</f>
        <v>0.03</v>
      </c>
      <c r="L134" s="320">
        <f>IFERROR(__xludf.DUMMYFUNCTION("""COMPUTED_VALUE"""),0.0088)</f>
        <v>0.0088</v>
      </c>
      <c r="M134" s="320">
        <f>IFERROR(__xludf.DUMMYFUNCTION("""COMPUTED_VALUE"""),0.9921)</f>
        <v>0.9921</v>
      </c>
      <c r="N134" s="320">
        <f>IFERROR(__xludf.DUMMYFUNCTION("""COMPUTED_VALUE"""),0.877)</f>
        <v>0.877</v>
      </c>
      <c r="O134" s="320">
        <f>IFERROR(__xludf.DUMMYFUNCTION("""COMPUTED_VALUE"""),113.9757)</f>
        <v>113.9757</v>
      </c>
      <c r="P134" s="320">
        <f>IFERROR(__xludf.DUMMYFUNCTION("""COMPUTED_VALUE"""),22.44)</f>
        <v>22.44</v>
      </c>
      <c r="Q134" s="320">
        <f>IFERROR(__xludf.DUMMYFUNCTION("""COMPUTED_VALUE"""),22.37)</f>
        <v>22.37</v>
      </c>
      <c r="R134" s="320">
        <f>IFERROR(__xludf.DUMMYFUNCTION("""COMPUTED_VALUE"""),0.07)</f>
        <v>0.07</v>
      </c>
      <c r="S134" s="320">
        <f>IFERROR(__xludf.DUMMYFUNCTION("""COMPUTED_VALUE"""),0.73)</f>
        <v>0.73</v>
      </c>
      <c r="T134" s="320">
        <f>IFERROR(__xludf.DUMMYFUNCTION("""COMPUTED_VALUE"""),21.72)</f>
        <v>21.72</v>
      </c>
      <c r="U134" s="320">
        <f>IFERROR(__xludf.DUMMYFUNCTION("""COMPUTED_VALUE"""),2.04)</f>
        <v>2.04</v>
      </c>
      <c r="V134" s="320">
        <f>IFERROR(__xludf.DUMMYFUNCTION("""COMPUTED_VALUE"""),0.6554)</f>
        <v>0.6554</v>
      </c>
      <c r="W134" s="320">
        <f>IFERROR(__xludf.DUMMYFUNCTION("""COMPUTED_VALUE"""),3.24)</f>
        <v>3.24</v>
      </c>
      <c r="X134" s="320">
        <f>IFERROR(__xludf.DUMMYFUNCTION("""COMPUTED_VALUE"""),130.0)</f>
        <v>130</v>
      </c>
      <c r="Y134" s="320">
        <f>IFERROR(__xludf.DUMMYFUNCTION("""COMPUTED_VALUE"""),854.0)</f>
        <v>854</v>
      </c>
      <c r="Z134" s="320">
        <f>IFERROR(__xludf.DUMMYFUNCTION("""COMPUTED_VALUE"""),6134.0)</f>
        <v>6134</v>
      </c>
      <c r="AA134" s="320">
        <f>IFERROR(__xludf.DUMMYFUNCTION("""COMPUTED_VALUE"""),49.5928)</f>
        <v>49.5928</v>
      </c>
      <c r="AB134" s="320">
        <f>IFERROR(__xludf.DUMMYFUNCTION("""COMPUTED_VALUE"""),0.5041)</f>
        <v>0.5041</v>
      </c>
      <c r="AC134" s="106"/>
      <c r="AD134" s="106"/>
      <c r="AE134" s="106"/>
      <c r="AF134" s="106"/>
      <c r="AG134" s="106"/>
      <c r="AH134" s="320">
        <f>IFERROR(__xludf.DUMMYFUNCTION("""COMPUTED_VALUE"""),0.0)</f>
        <v>0</v>
      </c>
      <c r="AI134" s="320">
        <f>IFERROR(__xludf.DUMMYFUNCTION("""COMPUTED_VALUE"""),0.0)</f>
        <v>0</v>
      </c>
      <c r="AJ134" s="320">
        <f>IFERROR(__xludf.DUMMYFUNCTION("""COMPUTED_VALUE"""),0.0)</f>
        <v>0</v>
      </c>
      <c r="AK134" s="320">
        <f>IFERROR(__xludf.DUMMYFUNCTION("""COMPUTED_VALUE"""),0.2767)</f>
        <v>0.2767</v>
      </c>
      <c r="AL134" s="320">
        <f>IFERROR(__xludf.DUMMYFUNCTION("""COMPUTED_VALUE"""),15.52)</f>
        <v>15.52</v>
      </c>
      <c r="AM134" s="320">
        <f>IFERROR(__xludf.DUMMYFUNCTION("""COMPUTED_VALUE"""),6.86)</f>
        <v>6.86</v>
      </c>
      <c r="AN134" s="331"/>
      <c r="AO134" s="331"/>
    </row>
    <row r="135" ht="15.75" customHeight="1">
      <c r="A135" s="330">
        <f>IFERROR(__xludf.DUMMYFUNCTION("""COMPUTED_VALUE"""),46072.0)</f>
        <v>46072</v>
      </c>
      <c r="B135" s="319" t="str">
        <f>IFERROR(__xludf.DUMMYFUNCTION("""COMPUTED_VALUE"""),"B. 1-9")</f>
        <v>B. 1-9</v>
      </c>
      <c r="C135" s="320">
        <f>IFERROR(__xludf.DUMMYFUNCTION("""COMPUTED_VALUE"""),32474.0)</f>
        <v>32474</v>
      </c>
      <c r="D135" s="320">
        <f>IFERROR(__xludf.DUMMYFUNCTION("""COMPUTED_VALUE"""),41.37)</f>
        <v>41.37</v>
      </c>
      <c r="E135" s="320">
        <f>IFERROR(__xludf.DUMMYFUNCTION("""COMPUTED_VALUE"""),7594.93)</f>
        <v>7594.93</v>
      </c>
      <c r="F135" s="320">
        <f>IFERROR(__xludf.DUMMYFUNCTION("""COMPUTED_VALUE"""),0.2339)</f>
        <v>0.2339</v>
      </c>
      <c r="G135" s="320">
        <f>IFERROR(__xludf.DUMMYFUNCTION("""COMPUTED_VALUE"""),6.56)</f>
        <v>6.56</v>
      </c>
      <c r="H135" s="320">
        <f>IFERROR(__xludf.DUMMYFUNCTION("""COMPUTED_VALUE"""),3.5657)</f>
        <v>3.5657</v>
      </c>
      <c r="I135" s="320">
        <f>IFERROR(__xludf.DUMMYFUNCTION("""COMPUTED_VALUE"""),29.3)</f>
        <v>29.3</v>
      </c>
      <c r="J135" s="320">
        <f>IFERROR(__xludf.DUMMYFUNCTION("""COMPUTED_VALUE"""),15.62)</f>
        <v>15.62</v>
      </c>
      <c r="K135" s="320">
        <f>IFERROR(__xludf.DUMMYFUNCTION("""COMPUTED_VALUE"""),4.87)</f>
        <v>4.87</v>
      </c>
      <c r="L135" s="320">
        <f>IFERROR(__xludf.DUMMYFUNCTION("""COMPUTED_VALUE"""),0.3117)</f>
        <v>0.3117</v>
      </c>
      <c r="M135" s="320">
        <f>IFERROR(__xludf.DUMMYFUNCTION("""COMPUTED_VALUE"""),0.7604)</f>
        <v>0.7604</v>
      </c>
      <c r="N135" s="320">
        <f>IFERROR(__xludf.DUMMYFUNCTION("""COMPUTED_VALUE"""),0.5196)</f>
        <v>0.5196</v>
      </c>
      <c r="O135" s="320">
        <f>IFERROR(__xludf.DUMMYFUNCTION("""COMPUTED_VALUE"""),3.2085)</f>
        <v>3.2085</v>
      </c>
      <c r="P135" s="320">
        <f>IFERROR(__xludf.DUMMYFUNCTION("""COMPUTED_VALUE"""),62.91)</f>
        <v>62.91</v>
      </c>
      <c r="Q135" s="320">
        <f>IFERROR(__xludf.DUMMYFUNCTION("""COMPUTED_VALUE"""),52.72)</f>
        <v>52.72</v>
      </c>
      <c r="R135" s="320">
        <f>IFERROR(__xludf.DUMMYFUNCTION("""COMPUTED_VALUE"""),10.19)</f>
        <v>10.19</v>
      </c>
      <c r="S135" s="320">
        <f>IFERROR(__xludf.DUMMYFUNCTION("""COMPUTED_VALUE"""),16.42)</f>
        <v>16.42</v>
      </c>
      <c r="T135" s="320">
        <f>IFERROR(__xludf.DUMMYFUNCTION("""COMPUTED_VALUE"""),46.49)</f>
        <v>46.49</v>
      </c>
      <c r="U135" s="320">
        <f>IFERROR(__xludf.DUMMYFUNCTION("""COMPUTED_VALUE"""),68.87)</f>
        <v>68.87</v>
      </c>
      <c r="V135" s="320">
        <f>IFERROR(__xludf.DUMMYFUNCTION("""COMPUTED_VALUE"""),4.4084)</f>
        <v>4.4084</v>
      </c>
      <c r="W135" s="320">
        <f>IFERROR(__xludf.DUMMYFUNCTION("""COMPUTED_VALUE"""),26.1)</f>
        <v>26.1</v>
      </c>
      <c r="X135" s="320">
        <f>IFERROR(__xludf.DUMMYFUNCTION("""COMPUTED_VALUE"""),84.0)</f>
        <v>84</v>
      </c>
      <c r="Y135" s="320">
        <f>IFERROR(__xludf.DUMMYFUNCTION("""COMPUTED_VALUE"""),193.0)</f>
        <v>193</v>
      </c>
      <c r="Z135" s="320">
        <f>IFERROR(__xludf.DUMMYFUNCTION("""COMPUTED_VALUE"""),789.0)</f>
        <v>789</v>
      </c>
      <c r="AA135" s="320">
        <f>IFERROR(__xludf.DUMMYFUNCTION("""COMPUTED_VALUE"""),49.4685)</f>
        <v>49.4685</v>
      </c>
      <c r="AB135" s="320">
        <f>IFERROR(__xludf.DUMMYFUNCTION("""COMPUTED_VALUE"""),0.4451)</f>
        <v>0.4451</v>
      </c>
      <c r="AC135" s="320">
        <f>IFERROR(__xludf.DUMMYFUNCTION("""COMPUTED_VALUE"""),3.34)</f>
        <v>3.34</v>
      </c>
      <c r="AD135" s="320">
        <f>IFERROR(__xludf.DUMMYFUNCTION("""COMPUTED_VALUE"""),1.0)</f>
        <v>1</v>
      </c>
      <c r="AE135" s="320">
        <f>IFERROR(__xludf.DUMMYFUNCTION("""COMPUTED_VALUE"""),2.0)</f>
        <v>2</v>
      </c>
      <c r="AF135" s="320">
        <f>IFERROR(__xludf.DUMMYFUNCTION("""COMPUTED_VALUE"""),4.0)</f>
        <v>4</v>
      </c>
      <c r="AG135" s="320">
        <f>IFERROR(__xludf.DUMMYFUNCTION("""COMPUTED_VALUE"""),8.0)</f>
        <v>8</v>
      </c>
      <c r="AH135" s="320">
        <f>IFERROR(__xludf.DUMMYFUNCTION("""COMPUTED_VALUE"""),63.53)</f>
        <v>63.53</v>
      </c>
      <c r="AI135" s="320">
        <f>IFERROR(__xludf.DUMMYFUNCTION("""COMPUTED_VALUE"""),22.77)</f>
        <v>22.77</v>
      </c>
      <c r="AJ135" s="320">
        <f>IFERROR(__xludf.DUMMYFUNCTION("""COMPUTED_VALUE"""),6.25)</f>
        <v>6.25</v>
      </c>
      <c r="AK135" s="320">
        <f>IFERROR(__xludf.DUMMYFUNCTION("""COMPUTED_VALUE"""),0.2286)</f>
        <v>0.2286</v>
      </c>
      <c r="AL135" s="320">
        <f>IFERROR(__xludf.DUMMYFUNCTION("""COMPUTED_VALUE"""),20.19)</f>
        <v>20.19</v>
      </c>
      <c r="AM135" s="320">
        <f>IFERROR(__xludf.DUMMYFUNCTION("""COMPUTED_VALUE"""),32.52)</f>
        <v>32.52</v>
      </c>
      <c r="AN135" s="320">
        <f>IFERROR(__xludf.DUMMYFUNCTION("""COMPUTED_VALUE"""),67.89)</f>
        <v>67.89</v>
      </c>
      <c r="AO135" s="320">
        <f>IFERROR(__xludf.DUMMYFUNCTION("""COMPUTED_VALUE"""),13.71)</f>
        <v>13.71</v>
      </c>
    </row>
    <row r="136" ht="15.75" customHeight="1">
      <c r="A136" s="330">
        <f>IFERROR(__xludf.DUMMYFUNCTION("""COMPUTED_VALUE"""),46072.0)</f>
        <v>46072</v>
      </c>
      <c r="B136" s="319" t="str">
        <f>IFERROR(__xludf.DUMMYFUNCTION("""COMPUTED_VALUE"""),"C. 10-19")</f>
        <v>C. 10-19</v>
      </c>
      <c r="C136" s="320">
        <f>IFERROR(__xludf.DUMMYFUNCTION("""COMPUTED_VALUE"""),15944.0)</f>
        <v>15944</v>
      </c>
      <c r="D136" s="320">
        <f>IFERROR(__xludf.DUMMYFUNCTION("""COMPUTED_VALUE"""),20.31)</f>
        <v>20.31</v>
      </c>
      <c r="E136" s="320">
        <f>IFERROR(__xludf.DUMMYFUNCTION("""COMPUTED_VALUE"""),16295.37)</f>
        <v>16295.37</v>
      </c>
      <c r="F136" s="320">
        <f>IFERROR(__xludf.DUMMYFUNCTION("""COMPUTED_VALUE"""),1.022)</f>
        <v>1.022</v>
      </c>
      <c r="G136" s="320">
        <f>IFERROR(__xludf.DUMMYFUNCTION("""COMPUTED_VALUE"""),20.56)</f>
        <v>20.56</v>
      </c>
      <c r="H136" s="320">
        <f>IFERROR(__xludf.DUMMYFUNCTION("""COMPUTED_VALUE"""),4.9711)</f>
        <v>4.9711</v>
      </c>
      <c r="I136" s="320">
        <f>IFERROR(__xludf.DUMMYFUNCTION("""COMPUTED_VALUE"""),54.53)</f>
        <v>54.53</v>
      </c>
      <c r="J136" s="320">
        <f>IFERROR(__xludf.DUMMYFUNCTION("""COMPUTED_VALUE"""),30.87)</f>
        <v>30.87</v>
      </c>
      <c r="K136" s="320">
        <f>IFERROR(__xludf.DUMMYFUNCTION("""COMPUTED_VALUE"""),12.72)</f>
        <v>12.72</v>
      </c>
      <c r="L136" s="320">
        <f>IFERROR(__xludf.DUMMYFUNCTION("""COMPUTED_VALUE"""),0.4119)</f>
        <v>0.4119</v>
      </c>
      <c r="M136" s="320">
        <f>IFERROR(__xludf.DUMMYFUNCTION("""COMPUTED_VALUE"""),0.6547)</f>
        <v>0.6547</v>
      </c>
      <c r="N136" s="320">
        <f>IFERROR(__xludf.DUMMYFUNCTION("""COMPUTED_VALUE"""),0.3709)</f>
        <v>0.3709</v>
      </c>
      <c r="O136" s="320">
        <f>IFERROR(__xludf.DUMMYFUNCTION("""COMPUTED_VALUE"""),2.4278)</f>
        <v>2.4278</v>
      </c>
      <c r="P136" s="320">
        <f>IFERROR(__xludf.DUMMYFUNCTION("""COMPUTED_VALUE"""),162.55)</f>
        <v>162.55</v>
      </c>
      <c r="Q136" s="320">
        <f>IFERROR(__xludf.DUMMYFUNCTION("""COMPUTED_VALUE"""),136.44)</f>
        <v>136.44</v>
      </c>
      <c r="R136" s="320">
        <f>IFERROR(__xludf.DUMMYFUNCTION("""COMPUTED_VALUE"""),26.11)</f>
        <v>26.11</v>
      </c>
      <c r="S136" s="320">
        <f>IFERROR(__xludf.DUMMYFUNCTION("""COMPUTED_VALUE"""),69.31)</f>
        <v>69.31</v>
      </c>
      <c r="T136" s="320">
        <f>IFERROR(__xludf.DUMMYFUNCTION("""COMPUTED_VALUE"""),93.24)</f>
        <v>93.24</v>
      </c>
      <c r="U136" s="320">
        <f>IFERROR(__xludf.DUMMYFUNCTION("""COMPUTED_VALUE"""),171.07)</f>
        <v>171.07</v>
      </c>
      <c r="V136" s="320">
        <f>IFERROR(__xludf.DUMMYFUNCTION("""COMPUTED_VALUE"""),5.5412)</f>
        <v>5.5412</v>
      </c>
      <c r="W136" s="320">
        <f>IFERROR(__xludf.DUMMYFUNCTION("""COMPUTED_VALUE"""),42.64)</f>
        <v>42.64</v>
      </c>
      <c r="X136" s="320">
        <f>IFERROR(__xludf.DUMMYFUNCTION("""COMPUTED_VALUE"""),85.0)</f>
        <v>85</v>
      </c>
      <c r="Y136" s="320">
        <f>IFERROR(__xludf.DUMMYFUNCTION("""COMPUTED_VALUE"""),192.0)</f>
        <v>192</v>
      </c>
      <c r="Z136" s="320">
        <f>IFERROR(__xludf.DUMMYFUNCTION("""COMPUTED_VALUE"""),702.0)</f>
        <v>702</v>
      </c>
      <c r="AA136" s="320">
        <f>IFERROR(__xludf.DUMMYFUNCTION("""COMPUTED_VALUE"""),52.4579)</f>
        <v>52.4579</v>
      </c>
      <c r="AB136" s="320">
        <f>IFERROR(__xludf.DUMMYFUNCTION("""COMPUTED_VALUE"""),0.5466)</f>
        <v>0.5466</v>
      </c>
      <c r="AC136" s="320">
        <f>IFERROR(__xludf.DUMMYFUNCTION("""COMPUTED_VALUE"""),8.2)</f>
        <v>8.2</v>
      </c>
      <c r="AD136" s="320">
        <f>IFERROR(__xludf.DUMMYFUNCTION("""COMPUTED_VALUE"""),2.0)</f>
        <v>2</v>
      </c>
      <c r="AE136" s="320">
        <f>IFERROR(__xludf.DUMMYFUNCTION("""COMPUTED_VALUE"""),6.0)</f>
        <v>6</v>
      </c>
      <c r="AF136" s="320">
        <f>IFERROR(__xludf.DUMMYFUNCTION("""COMPUTED_VALUE"""),12.0)</f>
        <v>12</v>
      </c>
      <c r="AG136" s="320">
        <f>IFERROR(__xludf.DUMMYFUNCTION("""COMPUTED_VALUE"""),18.0)</f>
        <v>18</v>
      </c>
      <c r="AH136" s="320">
        <f>IFERROR(__xludf.DUMMYFUNCTION("""COMPUTED_VALUE"""),50.06)</f>
        <v>50.06</v>
      </c>
      <c r="AI136" s="320">
        <f>IFERROR(__xludf.DUMMYFUNCTION("""COMPUTED_VALUE"""),22.18)</f>
        <v>22.18</v>
      </c>
      <c r="AJ136" s="320">
        <f>IFERROR(__xludf.DUMMYFUNCTION("""COMPUTED_VALUE"""),4.32)</f>
        <v>4.32</v>
      </c>
      <c r="AK136" s="320">
        <f>IFERROR(__xludf.DUMMYFUNCTION("""COMPUTED_VALUE"""),0.1902)</f>
        <v>0.1902</v>
      </c>
      <c r="AL136" s="320">
        <f>IFERROR(__xludf.DUMMYFUNCTION("""COMPUTED_VALUE"""),20.82)</f>
        <v>20.82</v>
      </c>
      <c r="AM136" s="320">
        <f>IFERROR(__xludf.DUMMYFUNCTION("""COMPUTED_VALUE"""),115.62)</f>
        <v>115.62</v>
      </c>
      <c r="AN136" s="320">
        <f>IFERROR(__xludf.DUMMYFUNCTION("""COMPUTED_VALUE"""),74.14)</f>
        <v>74.14</v>
      </c>
      <c r="AO136" s="320">
        <f>IFERROR(__xludf.DUMMYFUNCTION("""COMPUTED_VALUE"""),15.44)</f>
        <v>15.44</v>
      </c>
    </row>
    <row r="137" ht="15.75" customHeight="1">
      <c r="A137" s="330">
        <f>IFERROR(__xludf.DUMMYFUNCTION("""COMPUTED_VALUE"""),46072.0)</f>
        <v>46072</v>
      </c>
      <c r="B137" s="319" t="str">
        <f>IFERROR(__xludf.DUMMYFUNCTION("""COMPUTED_VALUE"""),"D. 20-39")</f>
        <v>D. 20-39</v>
      </c>
      <c r="C137" s="320">
        <f>IFERROR(__xludf.DUMMYFUNCTION("""COMPUTED_VALUE"""),8558.0)</f>
        <v>8558</v>
      </c>
      <c r="D137" s="320">
        <f>IFERROR(__xludf.DUMMYFUNCTION("""COMPUTED_VALUE"""),10.9)</f>
        <v>10.9</v>
      </c>
      <c r="E137" s="320">
        <f>IFERROR(__xludf.DUMMYFUNCTION("""COMPUTED_VALUE"""),20224.3)</f>
        <v>20224.3</v>
      </c>
      <c r="F137" s="320">
        <f>IFERROR(__xludf.DUMMYFUNCTION("""COMPUTED_VALUE"""),2.3632)</f>
        <v>2.3632</v>
      </c>
      <c r="G137" s="320">
        <f>IFERROR(__xludf.DUMMYFUNCTION("""COMPUTED_VALUE"""),31.07)</f>
        <v>31.07</v>
      </c>
      <c r="H137" s="320">
        <f>IFERROR(__xludf.DUMMYFUNCTION("""COMPUTED_VALUE"""),7.606)</f>
        <v>7.606</v>
      </c>
      <c r="I137" s="320">
        <f>IFERROR(__xludf.DUMMYFUNCTION("""COMPUTED_VALUE"""),76.38)</f>
        <v>76.38</v>
      </c>
      <c r="J137" s="320">
        <f>IFERROR(__xludf.DUMMYFUNCTION("""COMPUTED_VALUE"""),45.57)</f>
        <v>45.57</v>
      </c>
      <c r="K137" s="320">
        <f>IFERROR(__xludf.DUMMYFUNCTION("""COMPUTED_VALUE"""),23.09)</f>
        <v>23.09</v>
      </c>
      <c r="L137" s="320">
        <f>IFERROR(__xludf.DUMMYFUNCTION("""COMPUTED_VALUE"""),0.5068)</f>
        <v>0.5068</v>
      </c>
      <c r="M137" s="320">
        <f>IFERROR(__xludf.DUMMYFUNCTION("""COMPUTED_VALUE"""),0.5671)</f>
        <v>0.5671</v>
      </c>
      <c r="N137" s="320">
        <f>IFERROR(__xludf.DUMMYFUNCTION("""COMPUTED_VALUE"""),0.3113)</f>
        <v>0.3113</v>
      </c>
      <c r="O137" s="320">
        <f>IFERROR(__xludf.DUMMYFUNCTION("""COMPUTED_VALUE"""),1.973)</f>
        <v>1.973</v>
      </c>
      <c r="P137" s="320">
        <f>IFERROR(__xludf.DUMMYFUNCTION("""COMPUTED_VALUE"""),304.96)</f>
        <v>304.96</v>
      </c>
      <c r="Q137" s="320">
        <f>IFERROR(__xludf.DUMMYFUNCTION("""COMPUTED_VALUE"""),256.62)</f>
        <v>256.62</v>
      </c>
      <c r="R137" s="320">
        <f>IFERROR(__xludf.DUMMYFUNCTION("""COMPUTED_VALUE"""),48.34)</f>
        <v>48.34</v>
      </c>
      <c r="S137" s="320">
        <f>IFERROR(__xludf.DUMMYFUNCTION("""COMPUTED_VALUE"""),153.15)</f>
        <v>153.15</v>
      </c>
      <c r="T137" s="320">
        <f>IFERROR(__xludf.DUMMYFUNCTION("""COMPUTED_VALUE"""),151.81)</f>
        <v>151.81</v>
      </c>
      <c r="U137" s="320">
        <f>IFERROR(__xludf.DUMMYFUNCTION("""COMPUTED_VALUE"""),313.47)</f>
        <v>313.47</v>
      </c>
      <c r="V137" s="320">
        <f>IFERROR(__xludf.DUMMYFUNCTION("""COMPUTED_VALUE"""),6.8794)</f>
        <v>6.8794</v>
      </c>
      <c r="W137" s="320">
        <f>IFERROR(__xludf.DUMMYFUNCTION("""COMPUTED_VALUE"""),50.22)</f>
        <v>50.22</v>
      </c>
      <c r="X137" s="320">
        <f>IFERROR(__xludf.DUMMYFUNCTION("""COMPUTED_VALUE"""),86.0)</f>
        <v>86</v>
      </c>
      <c r="Y137" s="320">
        <f>IFERROR(__xludf.DUMMYFUNCTION("""COMPUTED_VALUE"""),207.0)</f>
        <v>207</v>
      </c>
      <c r="Z137" s="320">
        <f>IFERROR(__xludf.DUMMYFUNCTION("""COMPUTED_VALUE"""),693.0)</f>
        <v>693</v>
      </c>
      <c r="AA137" s="320">
        <f>IFERROR(__xludf.DUMMYFUNCTION("""COMPUTED_VALUE"""),54.4619)</f>
        <v>54.4619</v>
      </c>
      <c r="AB137" s="320">
        <f>IFERROR(__xludf.DUMMYFUNCTION("""COMPUTED_VALUE"""),0.6391)</f>
        <v>0.6391</v>
      </c>
      <c r="AC137" s="320">
        <f>IFERROR(__xludf.DUMMYFUNCTION("""COMPUTED_VALUE"""),15.17)</f>
        <v>15.17</v>
      </c>
      <c r="AD137" s="320">
        <f>IFERROR(__xludf.DUMMYFUNCTION("""COMPUTED_VALUE"""),4.0)</f>
        <v>4</v>
      </c>
      <c r="AE137" s="320">
        <f>IFERROR(__xludf.DUMMYFUNCTION("""COMPUTED_VALUE"""),11.0)</f>
        <v>11</v>
      </c>
      <c r="AF137" s="320">
        <f>IFERROR(__xludf.DUMMYFUNCTION("""COMPUTED_VALUE"""),21.0)</f>
        <v>21</v>
      </c>
      <c r="AG137" s="320">
        <f>IFERROR(__xludf.DUMMYFUNCTION("""COMPUTED_VALUE"""),34.0)</f>
        <v>34</v>
      </c>
      <c r="AH137" s="320">
        <f>IFERROR(__xludf.DUMMYFUNCTION("""COMPUTED_VALUE"""),49.44)</f>
        <v>49.44</v>
      </c>
      <c r="AI137" s="320">
        <f>IFERROR(__xludf.DUMMYFUNCTION("""COMPUTED_VALUE"""),18.74)</f>
        <v>18.74</v>
      </c>
      <c r="AJ137" s="320">
        <f>IFERROR(__xludf.DUMMYFUNCTION("""COMPUTED_VALUE"""),5.4)</f>
        <v>5.4</v>
      </c>
      <c r="AK137" s="320">
        <f>IFERROR(__xludf.DUMMYFUNCTION("""COMPUTED_VALUE"""),0.1886)</f>
        <v>0.1886</v>
      </c>
      <c r="AL137" s="320">
        <f>IFERROR(__xludf.DUMMYFUNCTION("""COMPUTED_VALUE"""),19.69)</f>
        <v>19.69</v>
      </c>
      <c r="AM137" s="320">
        <f>IFERROR(__xludf.DUMMYFUNCTION("""COMPUTED_VALUE"""),236.93)</f>
        <v>236.93</v>
      </c>
      <c r="AN137" s="320">
        <f>IFERROR(__xludf.DUMMYFUNCTION("""COMPUTED_VALUE"""),75.48)</f>
        <v>75.48</v>
      </c>
      <c r="AO137" s="320">
        <f>IFERROR(__xludf.DUMMYFUNCTION("""COMPUTED_VALUE"""),14.86)</f>
        <v>14.86</v>
      </c>
    </row>
    <row r="138" ht="15.75" customHeight="1">
      <c r="A138" s="330">
        <f>IFERROR(__xludf.DUMMYFUNCTION("""COMPUTED_VALUE"""),46072.0)</f>
        <v>46072</v>
      </c>
      <c r="B138" s="319" t="str">
        <f>IFERROR(__xludf.DUMMYFUNCTION("""COMPUTED_VALUE"""),"E. 40-99")</f>
        <v>E. 40-99</v>
      </c>
      <c r="C138" s="320">
        <f>IFERROR(__xludf.DUMMYFUNCTION("""COMPUTED_VALUE"""),3106.0)</f>
        <v>3106</v>
      </c>
      <c r="D138" s="320">
        <f>IFERROR(__xludf.DUMMYFUNCTION("""COMPUTED_VALUE"""),3.96)</f>
        <v>3.96</v>
      </c>
      <c r="E138" s="320">
        <f>IFERROR(__xludf.DUMMYFUNCTION("""COMPUTED_VALUE"""),17152.54)</f>
        <v>17152.54</v>
      </c>
      <c r="F138" s="320">
        <f>IFERROR(__xludf.DUMMYFUNCTION("""COMPUTED_VALUE"""),5.5224)</f>
        <v>5.5224</v>
      </c>
      <c r="G138" s="320">
        <f>IFERROR(__xludf.DUMMYFUNCTION("""COMPUTED_VALUE"""),40.99)</f>
        <v>40.99</v>
      </c>
      <c r="H138" s="320">
        <f>IFERROR(__xludf.DUMMYFUNCTION("""COMPUTED_VALUE"""),13.4741)</f>
        <v>13.4741</v>
      </c>
      <c r="I138" s="320">
        <f>IFERROR(__xludf.DUMMYFUNCTION("""COMPUTED_VALUE"""),116.23)</f>
        <v>116.23</v>
      </c>
      <c r="J138" s="320">
        <f>IFERROR(__xludf.DUMMYFUNCTION("""COMPUTED_VALUE"""),72.72)</f>
        <v>72.72</v>
      </c>
      <c r="K138" s="320">
        <f>IFERROR(__xludf.DUMMYFUNCTION("""COMPUTED_VALUE"""),48.4)</f>
        <v>48.4</v>
      </c>
      <c r="L138" s="320">
        <f>IFERROR(__xludf.DUMMYFUNCTION("""COMPUTED_VALUE"""),0.6655)</f>
        <v>0.6655</v>
      </c>
      <c r="M138" s="320">
        <f>IFERROR(__xludf.DUMMYFUNCTION("""COMPUTED_VALUE"""),0.4247)</f>
        <v>0.4247</v>
      </c>
      <c r="N138" s="320">
        <f>IFERROR(__xludf.DUMMYFUNCTION("""COMPUTED_VALUE"""),0.2395)</f>
        <v>0.2395</v>
      </c>
      <c r="O138" s="320">
        <f>IFERROR(__xludf.DUMMYFUNCTION("""COMPUTED_VALUE"""),1.5025)</f>
        <v>1.5025</v>
      </c>
      <c r="P138" s="320">
        <f>IFERROR(__xludf.DUMMYFUNCTION("""COMPUTED_VALUE"""),630.46)</f>
        <v>630.46</v>
      </c>
      <c r="Q138" s="320">
        <f>IFERROR(__xludf.DUMMYFUNCTION("""COMPUTED_VALUE"""),528.34)</f>
        <v>528.34</v>
      </c>
      <c r="R138" s="320">
        <f>IFERROR(__xludf.DUMMYFUNCTION("""COMPUTED_VALUE"""),102.12)</f>
        <v>102.12</v>
      </c>
      <c r="S138" s="320">
        <f>IFERROR(__xludf.DUMMYFUNCTION("""COMPUTED_VALUE"""),341.27)</f>
        <v>341.27</v>
      </c>
      <c r="T138" s="320">
        <f>IFERROR(__xludf.DUMMYFUNCTION("""COMPUTED_VALUE"""),289.19)</f>
        <v>289.19</v>
      </c>
      <c r="U138" s="320">
        <f>IFERROR(__xludf.DUMMYFUNCTION("""COMPUTED_VALUE"""),646.76)</f>
        <v>646.76</v>
      </c>
      <c r="V138" s="320">
        <f>IFERROR(__xludf.DUMMYFUNCTION("""COMPUTED_VALUE"""),8.8934)</f>
        <v>8.8934</v>
      </c>
      <c r="W138" s="320">
        <f>IFERROR(__xludf.DUMMYFUNCTION("""COMPUTED_VALUE"""),54.13)</f>
        <v>54.13</v>
      </c>
      <c r="X138" s="320">
        <f>IFERROR(__xludf.DUMMYFUNCTION("""COMPUTED_VALUE"""),101.0)</f>
        <v>101</v>
      </c>
      <c r="Y138" s="320">
        <f>IFERROR(__xludf.DUMMYFUNCTION("""COMPUTED_VALUE"""),365.0)</f>
        <v>365</v>
      </c>
      <c r="Z138" s="320">
        <f>IFERROR(__xludf.DUMMYFUNCTION("""COMPUTED_VALUE"""),1171.0)</f>
        <v>1171</v>
      </c>
      <c r="AA138" s="320">
        <f>IFERROR(__xludf.DUMMYFUNCTION("""COMPUTED_VALUE"""),57.5963)</f>
        <v>57.5963</v>
      </c>
      <c r="AB138" s="320">
        <f>IFERROR(__xludf.DUMMYFUNCTION("""COMPUTED_VALUE"""),0.7496)</f>
        <v>0.7496</v>
      </c>
      <c r="AC138" s="320">
        <f>IFERROR(__xludf.DUMMYFUNCTION("""COMPUTED_VALUE"""),32.49)</f>
        <v>32.49</v>
      </c>
      <c r="AD138" s="320">
        <f>IFERROR(__xludf.DUMMYFUNCTION("""COMPUTED_VALUE"""),10.0)</f>
        <v>10</v>
      </c>
      <c r="AE138" s="320">
        <f>IFERROR(__xludf.DUMMYFUNCTION("""COMPUTED_VALUE"""),24.0)</f>
        <v>24</v>
      </c>
      <c r="AF138" s="320">
        <f>IFERROR(__xludf.DUMMYFUNCTION("""COMPUTED_VALUE"""),46.0)</f>
        <v>46</v>
      </c>
      <c r="AG138" s="320">
        <f>IFERROR(__xludf.DUMMYFUNCTION("""COMPUTED_VALUE"""),73.0)</f>
        <v>73</v>
      </c>
      <c r="AH138" s="320">
        <f>IFERROR(__xludf.DUMMYFUNCTION("""COMPUTED_VALUE"""),45.72)</f>
        <v>45.72</v>
      </c>
      <c r="AI138" s="320">
        <f>IFERROR(__xludf.DUMMYFUNCTION("""COMPUTED_VALUE"""),15.78)</f>
        <v>15.78</v>
      </c>
      <c r="AJ138" s="320">
        <f>IFERROR(__xludf.DUMMYFUNCTION("""COMPUTED_VALUE"""),3.64)</f>
        <v>3.64</v>
      </c>
      <c r="AK138" s="320">
        <f>IFERROR(__xludf.DUMMYFUNCTION("""COMPUTED_VALUE"""),0.1806)</f>
        <v>0.1806</v>
      </c>
      <c r="AL138" s="320">
        <f>IFERROR(__xludf.DUMMYFUNCTION("""COMPUTED_VALUE"""),19.75)</f>
        <v>19.75</v>
      </c>
      <c r="AM138" s="320">
        <f>IFERROR(__xludf.DUMMYFUNCTION("""COMPUTED_VALUE"""),508.59)</f>
        <v>508.59</v>
      </c>
      <c r="AN138" s="320">
        <f>IFERROR(__xludf.DUMMYFUNCTION("""COMPUTED_VALUE"""),74.63)</f>
        <v>74.63</v>
      </c>
      <c r="AO138" s="320">
        <f>IFERROR(__xludf.DUMMYFUNCTION("""COMPUTED_VALUE"""),14.74)</f>
        <v>14.74</v>
      </c>
    </row>
    <row r="139" ht="15.75" customHeight="1">
      <c r="A139" s="330">
        <f>IFERROR(__xludf.DUMMYFUNCTION("""COMPUTED_VALUE"""),46072.0)</f>
        <v>46072</v>
      </c>
      <c r="B139" s="319" t="str">
        <f>IFERROR(__xludf.DUMMYFUNCTION("""COMPUTED_VALUE"""),"F. 100+")</f>
        <v>F. 100+</v>
      </c>
      <c r="C139" s="320">
        <f>IFERROR(__xludf.DUMMYFUNCTION("""COMPUTED_VALUE"""),342.0)</f>
        <v>342</v>
      </c>
      <c r="D139" s="320">
        <f>IFERROR(__xludf.DUMMYFUNCTION("""COMPUTED_VALUE"""),0.44)</f>
        <v>0.44</v>
      </c>
      <c r="E139" s="320">
        <f>IFERROR(__xludf.DUMMYFUNCTION("""COMPUTED_VALUE"""),3929.67)</f>
        <v>3929.67</v>
      </c>
      <c r="F139" s="320">
        <f>IFERROR(__xludf.DUMMYFUNCTION("""COMPUTED_VALUE"""),11.4903)</f>
        <v>11.4903</v>
      </c>
      <c r="G139" s="320">
        <f>IFERROR(__xludf.DUMMYFUNCTION("""COMPUTED_VALUE"""),45.61)</f>
        <v>45.61</v>
      </c>
      <c r="H139" s="320">
        <f>IFERROR(__xludf.DUMMYFUNCTION("""COMPUTED_VALUE"""),25.1902)</f>
        <v>25.1902</v>
      </c>
      <c r="I139" s="320">
        <f>IFERROR(__xludf.DUMMYFUNCTION("""COMPUTED_VALUE"""),209.18)</f>
        <v>209.18</v>
      </c>
      <c r="J139" s="320">
        <f>IFERROR(__xludf.DUMMYFUNCTION("""COMPUTED_VALUE"""),137.49)</f>
        <v>137.49</v>
      </c>
      <c r="K139" s="320">
        <f>IFERROR(__xludf.DUMMYFUNCTION("""COMPUTED_VALUE"""),113.32)</f>
        <v>113.32</v>
      </c>
      <c r="L139" s="320">
        <f>IFERROR(__xludf.DUMMYFUNCTION("""COMPUTED_VALUE"""),0.8242)</f>
        <v>0.8242</v>
      </c>
      <c r="M139" s="320">
        <f>IFERROR(__xludf.DUMMYFUNCTION("""COMPUTED_VALUE"""),0.2791)</f>
        <v>0.2791</v>
      </c>
      <c r="N139" s="320">
        <f>IFERROR(__xludf.DUMMYFUNCTION("""COMPUTED_VALUE"""),0.1792)</f>
        <v>0.1792</v>
      </c>
      <c r="O139" s="320">
        <f>IFERROR(__xludf.DUMMYFUNCTION("""COMPUTED_VALUE"""),1.2132)</f>
        <v>1.2132</v>
      </c>
      <c r="P139" s="320">
        <f>IFERROR(__xludf.DUMMYFUNCTION("""COMPUTED_VALUE"""),1304.39)</f>
        <v>1304.39</v>
      </c>
      <c r="Q139" s="320">
        <f>IFERROR(__xludf.DUMMYFUNCTION("""COMPUTED_VALUE"""),1065.32)</f>
        <v>1065.32</v>
      </c>
      <c r="R139" s="320">
        <f>IFERROR(__xludf.DUMMYFUNCTION("""COMPUTED_VALUE"""),239.06)</f>
        <v>239.06</v>
      </c>
      <c r="S139" s="320">
        <f>IFERROR(__xludf.DUMMYFUNCTION("""COMPUTED_VALUE"""),734.34)</f>
        <v>734.34</v>
      </c>
      <c r="T139" s="320">
        <f>IFERROR(__xludf.DUMMYFUNCTION("""COMPUTED_VALUE"""),570.05)</f>
        <v>570.05</v>
      </c>
      <c r="U139" s="320">
        <f>IFERROR(__xludf.DUMMYFUNCTION("""COMPUTED_VALUE"""),1373.1)</f>
        <v>1373.1</v>
      </c>
      <c r="V139" s="320">
        <f>IFERROR(__xludf.DUMMYFUNCTION("""COMPUTED_VALUE"""),9.987)</f>
        <v>9.987</v>
      </c>
      <c r="W139" s="320">
        <f>IFERROR(__xludf.DUMMYFUNCTION("""COMPUTED_VALUE"""),56.3)</f>
        <v>56.3</v>
      </c>
      <c r="X139" s="320">
        <f>IFERROR(__xludf.DUMMYFUNCTION("""COMPUTED_VALUE"""),125.0)</f>
        <v>125</v>
      </c>
      <c r="Y139" s="320">
        <f>IFERROR(__xludf.DUMMYFUNCTION("""COMPUTED_VALUE"""),584.0)</f>
        <v>584</v>
      </c>
      <c r="Z139" s="320">
        <f>IFERROR(__xludf.DUMMYFUNCTION("""COMPUTED_VALUE"""),2201.0)</f>
        <v>2201</v>
      </c>
      <c r="AA139" s="320">
        <f>IFERROR(__xludf.DUMMYFUNCTION("""COMPUTED_VALUE"""),61.7641)</f>
        <v>61.7641</v>
      </c>
      <c r="AB139" s="320">
        <f>IFERROR(__xludf.DUMMYFUNCTION("""COMPUTED_VALUE"""),0.8542)</f>
        <v>0.8542</v>
      </c>
      <c r="AC139" s="320">
        <f>IFERROR(__xludf.DUMMYFUNCTION("""COMPUTED_VALUE"""),77.97)</f>
        <v>77.97</v>
      </c>
      <c r="AD139" s="320">
        <f>IFERROR(__xludf.DUMMYFUNCTION("""COMPUTED_VALUE"""),30.0)</f>
        <v>30</v>
      </c>
      <c r="AE139" s="320">
        <f>IFERROR(__xludf.DUMMYFUNCTION("""COMPUTED_VALUE"""),62.0)</f>
        <v>62</v>
      </c>
      <c r="AF139" s="320">
        <f>IFERROR(__xludf.DUMMYFUNCTION("""COMPUTED_VALUE"""),111.0)</f>
        <v>111</v>
      </c>
      <c r="AG139" s="320">
        <f>IFERROR(__xludf.DUMMYFUNCTION("""COMPUTED_VALUE"""),165.0)</f>
        <v>165</v>
      </c>
      <c r="AH139" s="320">
        <f>IFERROR(__xludf.DUMMYFUNCTION("""COMPUTED_VALUE"""),38.01)</f>
        <v>38.01</v>
      </c>
      <c r="AI139" s="320">
        <f>IFERROR(__xludf.DUMMYFUNCTION("""COMPUTED_VALUE"""),8.48)</f>
        <v>8.48</v>
      </c>
      <c r="AJ139" s="320">
        <f>IFERROR(__xludf.DUMMYFUNCTION("""COMPUTED_VALUE"""),0.88)</f>
        <v>0.88</v>
      </c>
      <c r="AK139" s="320">
        <f>IFERROR(__xludf.DUMMYFUNCTION("""COMPUTED_VALUE"""),0.1462)</f>
        <v>0.1462</v>
      </c>
      <c r="AL139" s="320">
        <f>IFERROR(__xludf.DUMMYFUNCTION("""COMPUTED_VALUE"""),21.54)</f>
        <v>21.54</v>
      </c>
      <c r="AM139" s="320">
        <f>IFERROR(__xludf.DUMMYFUNCTION("""COMPUTED_VALUE"""),1043.79)</f>
        <v>1043.79</v>
      </c>
      <c r="AN139" s="320">
        <f>IFERROR(__xludf.DUMMYFUNCTION("""COMPUTED_VALUE"""),72.68)</f>
        <v>72.68</v>
      </c>
      <c r="AO139" s="320">
        <f>IFERROR(__xludf.DUMMYFUNCTION("""COMPUTED_VALUE"""),15.66)</f>
        <v>15.66</v>
      </c>
    </row>
    <row r="140" ht="15.75" customHeight="1">
      <c r="A140" s="330">
        <f>IFERROR(__xludf.DUMMYFUNCTION("""COMPUTED_VALUE"""),46073.0)</f>
        <v>46073</v>
      </c>
      <c r="B140" s="319" t="str">
        <f>IFERROR(__xludf.DUMMYFUNCTION("""COMPUTED_VALUE"""),"A. 0")</f>
        <v>A. 0</v>
      </c>
      <c r="C140" s="320">
        <f>IFERROR(__xludf.DUMMYFUNCTION("""COMPUTED_VALUE"""),15497.0)</f>
        <v>15497</v>
      </c>
      <c r="D140" s="320">
        <f>IFERROR(__xludf.DUMMYFUNCTION("""COMPUTED_VALUE"""),20.03)</f>
        <v>20.03</v>
      </c>
      <c r="E140" s="320">
        <f>IFERROR(__xludf.DUMMYFUNCTION("""COMPUTED_VALUE"""),214.74)</f>
        <v>214.74</v>
      </c>
      <c r="F140" s="320">
        <f>IFERROR(__xludf.DUMMYFUNCTION("""COMPUTED_VALUE"""),0.0139)</f>
        <v>0.0139</v>
      </c>
      <c r="G140" s="320">
        <f>IFERROR(__xludf.DUMMYFUNCTION("""COMPUTED_VALUE"""),0.37)</f>
        <v>0.37</v>
      </c>
      <c r="H140" s="320">
        <f>IFERROR(__xludf.DUMMYFUNCTION("""COMPUTED_VALUE"""),3.7024)</f>
        <v>3.7024</v>
      </c>
      <c r="I140" s="320">
        <f>IFERROR(__xludf.DUMMYFUNCTION("""COMPUTED_VALUE"""),5.84)</f>
        <v>5.84</v>
      </c>
      <c r="J140" s="320">
        <f>IFERROR(__xludf.DUMMYFUNCTION("""COMPUTED_VALUE"""),2.58)</f>
        <v>2.58</v>
      </c>
      <c r="K140" s="320">
        <f>IFERROR(__xludf.DUMMYFUNCTION("""COMPUTED_VALUE"""),0.04)</f>
        <v>0.04</v>
      </c>
      <c r="L140" s="320">
        <f>IFERROR(__xludf.DUMMYFUNCTION("""COMPUTED_VALUE"""),0.0159)</f>
        <v>0.0159</v>
      </c>
      <c r="M140" s="320">
        <f>IFERROR(__xludf.DUMMYFUNCTION("""COMPUTED_VALUE"""),0.9846)</f>
        <v>0.9846</v>
      </c>
      <c r="N140" s="320">
        <f>IFERROR(__xludf.DUMMYFUNCTION("""COMPUTED_VALUE"""),0.7934)</f>
        <v>0.7934</v>
      </c>
      <c r="O140" s="320">
        <f>IFERROR(__xludf.DUMMYFUNCTION("""COMPUTED_VALUE"""),63.0536)</f>
        <v>63.0536</v>
      </c>
      <c r="P140" s="320">
        <f>IFERROR(__xludf.DUMMYFUNCTION("""COMPUTED_VALUE"""),29.6)</f>
        <v>29.6</v>
      </c>
      <c r="Q140" s="320">
        <f>IFERROR(__xludf.DUMMYFUNCTION("""COMPUTED_VALUE"""),29.51)</f>
        <v>29.51</v>
      </c>
      <c r="R140" s="320">
        <f>IFERROR(__xludf.DUMMYFUNCTION("""COMPUTED_VALUE"""),0.09)</f>
        <v>0.09</v>
      </c>
      <c r="S140" s="320">
        <f>IFERROR(__xludf.DUMMYFUNCTION("""COMPUTED_VALUE"""),1.02)</f>
        <v>1.02</v>
      </c>
      <c r="T140" s="320">
        <f>IFERROR(__xludf.DUMMYFUNCTION("""COMPUTED_VALUE"""),28.58)</f>
        <v>28.58</v>
      </c>
      <c r="U140" s="320">
        <f>IFERROR(__xludf.DUMMYFUNCTION("""COMPUTED_VALUE"""),1.89)</f>
        <v>1.89</v>
      </c>
      <c r="V140" s="320">
        <f>IFERROR(__xludf.DUMMYFUNCTION("""COMPUTED_VALUE"""),0.7342)</f>
        <v>0.7342</v>
      </c>
      <c r="W140" s="320">
        <f>IFERROR(__xludf.DUMMYFUNCTION("""COMPUTED_VALUE"""),3.45)</f>
        <v>3.45</v>
      </c>
      <c r="X140" s="320">
        <f>IFERROR(__xludf.DUMMYFUNCTION("""COMPUTED_VALUE"""),170.0)</f>
        <v>170</v>
      </c>
      <c r="Y140" s="320">
        <f>IFERROR(__xludf.DUMMYFUNCTION("""COMPUTED_VALUE"""),1167.0)</f>
        <v>1167</v>
      </c>
      <c r="Z140" s="320">
        <f>IFERROR(__xludf.DUMMYFUNCTION("""COMPUTED_VALUE"""),7430.0)</f>
        <v>7430</v>
      </c>
      <c r="AA140" s="320">
        <f>IFERROR(__xludf.DUMMYFUNCTION("""COMPUTED_VALUE"""),49.6573)</f>
        <v>49.6573</v>
      </c>
      <c r="AB140" s="320">
        <f>IFERROR(__xludf.DUMMYFUNCTION("""COMPUTED_VALUE"""),0.5207)</f>
        <v>0.5207</v>
      </c>
      <c r="AC140" s="106"/>
      <c r="AD140" s="106"/>
      <c r="AE140" s="106"/>
      <c r="AF140" s="106"/>
      <c r="AG140" s="106"/>
      <c r="AH140" s="320">
        <f>IFERROR(__xludf.DUMMYFUNCTION("""COMPUTED_VALUE"""),0.0)</f>
        <v>0</v>
      </c>
      <c r="AI140" s="320">
        <f>IFERROR(__xludf.DUMMYFUNCTION("""COMPUTED_VALUE"""),0.0)</f>
        <v>0</v>
      </c>
      <c r="AJ140" s="320">
        <f>IFERROR(__xludf.DUMMYFUNCTION("""COMPUTED_VALUE"""),0.0)</f>
        <v>0</v>
      </c>
      <c r="AK140" s="320">
        <f>IFERROR(__xludf.DUMMYFUNCTION("""COMPUTED_VALUE"""),0.303)</f>
        <v>0.303</v>
      </c>
      <c r="AL140" s="320">
        <f>IFERROR(__xludf.DUMMYFUNCTION("""COMPUTED_VALUE"""),16.74)</f>
        <v>16.74</v>
      </c>
      <c r="AM140" s="320">
        <f>IFERROR(__xludf.DUMMYFUNCTION("""COMPUTED_VALUE"""),12.77)</f>
        <v>12.77</v>
      </c>
      <c r="AN140" s="331"/>
      <c r="AO140" s="331"/>
    </row>
    <row r="141" ht="15.75" customHeight="1">
      <c r="A141" s="330">
        <f>IFERROR(__xludf.DUMMYFUNCTION("""COMPUTED_VALUE"""),46073.0)</f>
        <v>46073</v>
      </c>
      <c r="B141" s="319" t="str">
        <f>IFERROR(__xludf.DUMMYFUNCTION("""COMPUTED_VALUE"""),"B. 1-9")</f>
        <v>B. 1-9</v>
      </c>
      <c r="C141" s="320">
        <f>IFERROR(__xludf.DUMMYFUNCTION("""COMPUTED_VALUE"""),33600.0)</f>
        <v>33600</v>
      </c>
      <c r="D141" s="320">
        <f>IFERROR(__xludf.DUMMYFUNCTION("""COMPUTED_VALUE"""),43.44)</f>
        <v>43.44</v>
      </c>
      <c r="E141" s="320">
        <f>IFERROR(__xludf.DUMMYFUNCTION("""COMPUTED_VALUE"""),8440.77)</f>
        <v>8440.77</v>
      </c>
      <c r="F141" s="320">
        <f>IFERROR(__xludf.DUMMYFUNCTION("""COMPUTED_VALUE"""),0.2512)</f>
        <v>0.2512</v>
      </c>
      <c r="G141" s="320">
        <f>IFERROR(__xludf.DUMMYFUNCTION("""COMPUTED_VALUE"""),7.05)</f>
        <v>7.05</v>
      </c>
      <c r="H141" s="320">
        <f>IFERROR(__xludf.DUMMYFUNCTION("""COMPUTED_VALUE"""),3.5615)</f>
        <v>3.5615</v>
      </c>
      <c r="I141" s="320">
        <f>IFERROR(__xludf.DUMMYFUNCTION("""COMPUTED_VALUE"""),33.4)</f>
        <v>33.4</v>
      </c>
      <c r="J141" s="320">
        <f>IFERROR(__xludf.DUMMYFUNCTION("""COMPUTED_VALUE"""),18.07)</f>
        <v>18.07</v>
      </c>
      <c r="K141" s="320">
        <f>IFERROR(__xludf.DUMMYFUNCTION("""COMPUTED_VALUE"""),5.54)</f>
        <v>5.54</v>
      </c>
      <c r="L141" s="320">
        <f>IFERROR(__xludf.DUMMYFUNCTION("""COMPUTED_VALUE"""),0.3066)</f>
        <v>0.3066</v>
      </c>
      <c r="M141" s="320">
        <f>IFERROR(__xludf.DUMMYFUNCTION("""COMPUTED_VALUE"""),0.763)</f>
        <v>0.763</v>
      </c>
      <c r="N141" s="320">
        <f>IFERROR(__xludf.DUMMYFUNCTION("""COMPUTED_VALUE"""),0.5156)</f>
        <v>0.5156</v>
      </c>
      <c r="O141" s="320">
        <f>IFERROR(__xludf.DUMMYFUNCTION("""COMPUTED_VALUE"""),3.2613)</f>
        <v>3.2613</v>
      </c>
      <c r="P141" s="320">
        <f>IFERROR(__xludf.DUMMYFUNCTION("""COMPUTED_VALUE"""),87.02)</f>
        <v>87.02</v>
      </c>
      <c r="Q141" s="320">
        <f>IFERROR(__xludf.DUMMYFUNCTION("""COMPUTED_VALUE"""),75.4)</f>
        <v>75.4</v>
      </c>
      <c r="R141" s="320">
        <f>IFERROR(__xludf.DUMMYFUNCTION("""COMPUTED_VALUE"""),11.62)</f>
        <v>11.62</v>
      </c>
      <c r="S141" s="320">
        <f>IFERROR(__xludf.DUMMYFUNCTION("""COMPUTED_VALUE"""),17.79)</f>
        <v>17.79</v>
      </c>
      <c r="T141" s="320">
        <f>IFERROR(__xludf.DUMMYFUNCTION("""COMPUTED_VALUE"""),69.23)</f>
        <v>69.23</v>
      </c>
      <c r="U141" s="320">
        <f>IFERROR(__xludf.DUMMYFUNCTION("""COMPUTED_VALUE"""),82.85)</f>
        <v>82.85</v>
      </c>
      <c r="V141" s="320">
        <f>IFERROR(__xludf.DUMMYFUNCTION("""COMPUTED_VALUE"""),4.5843)</f>
        <v>4.5843</v>
      </c>
      <c r="W141" s="320">
        <f>IFERROR(__xludf.DUMMYFUNCTION("""COMPUTED_VALUE"""),20.44)</f>
        <v>20.44</v>
      </c>
      <c r="X141" s="320">
        <f>IFERROR(__xludf.DUMMYFUNCTION("""COMPUTED_VALUE"""),88.0)</f>
        <v>88</v>
      </c>
      <c r="Y141" s="320">
        <f>IFERROR(__xludf.DUMMYFUNCTION("""COMPUTED_VALUE"""),209.0)</f>
        <v>209</v>
      </c>
      <c r="Z141" s="320">
        <f>IFERROR(__xludf.DUMMYFUNCTION("""COMPUTED_VALUE"""),786.0)</f>
        <v>786</v>
      </c>
      <c r="AA141" s="320">
        <f>IFERROR(__xludf.DUMMYFUNCTION("""COMPUTED_VALUE"""),49.3735)</f>
        <v>49.3735</v>
      </c>
      <c r="AB141" s="320">
        <f>IFERROR(__xludf.DUMMYFUNCTION("""COMPUTED_VALUE"""),0.443)</f>
        <v>0.443</v>
      </c>
      <c r="AC141" s="320">
        <f>IFERROR(__xludf.DUMMYFUNCTION("""COMPUTED_VALUE"""),3.65)</f>
        <v>3.65</v>
      </c>
      <c r="AD141" s="320">
        <f>IFERROR(__xludf.DUMMYFUNCTION("""COMPUTED_VALUE"""),1.0)</f>
        <v>1</v>
      </c>
      <c r="AE141" s="320">
        <f>IFERROR(__xludf.DUMMYFUNCTION("""COMPUTED_VALUE"""),2.0)</f>
        <v>2</v>
      </c>
      <c r="AF141" s="320">
        <f>IFERROR(__xludf.DUMMYFUNCTION("""COMPUTED_VALUE"""),5.0)</f>
        <v>5</v>
      </c>
      <c r="AG141" s="320">
        <f>IFERROR(__xludf.DUMMYFUNCTION("""COMPUTED_VALUE"""),8.0)</f>
        <v>8</v>
      </c>
      <c r="AH141" s="320">
        <f>IFERROR(__xludf.DUMMYFUNCTION("""COMPUTED_VALUE"""),68.72)</f>
        <v>68.72</v>
      </c>
      <c r="AI141" s="320">
        <f>IFERROR(__xludf.DUMMYFUNCTION("""COMPUTED_VALUE"""),26.29)</f>
        <v>26.29</v>
      </c>
      <c r="AJ141" s="320">
        <f>IFERROR(__xludf.DUMMYFUNCTION("""COMPUTED_VALUE"""),7.2)</f>
        <v>7.2</v>
      </c>
      <c r="AK141" s="320">
        <f>IFERROR(__xludf.DUMMYFUNCTION("""COMPUTED_VALUE"""),0.2349)</f>
        <v>0.2349</v>
      </c>
      <c r="AL141" s="320">
        <f>IFERROR(__xludf.DUMMYFUNCTION("""COMPUTED_VALUE"""),21.03)</f>
        <v>21.03</v>
      </c>
      <c r="AM141" s="320">
        <f>IFERROR(__xludf.DUMMYFUNCTION("""COMPUTED_VALUE"""),54.37)</f>
        <v>54.37</v>
      </c>
      <c r="AN141" s="320">
        <f>IFERROR(__xludf.DUMMYFUNCTION("""COMPUTED_VALUE"""),67.91)</f>
        <v>67.91</v>
      </c>
      <c r="AO141" s="320">
        <f>IFERROR(__xludf.DUMMYFUNCTION("""COMPUTED_VALUE"""),14.28)</f>
        <v>14.28</v>
      </c>
    </row>
    <row r="142" ht="15.75" customHeight="1">
      <c r="A142" s="330">
        <f>IFERROR(__xludf.DUMMYFUNCTION("""COMPUTED_VALUE"""),46073.0)</f>
        <v>46073</v>
      </c>
      <c r="B142" s="319" t="str">
        <f>IFERROR(__xludf.DUMMYFUNCTION("""COMPUTED_VALUE"""),"C. 10-19")</f>
        <v>C. 10-19</v>
      </c>
      <c r="C142" s="320">
        <f>IFERROR(__xludf.DUMMYFUNCTION("""COMPUTED_VALUE"""),16230.0)</f>
        <v>16230</v>
      </c>
      <c r="D142" s="320">
        <f>IFERROR(__xludf.DUMMYFUNCTION("""COMPUTED_VALUE"""),20.98)</f>
        <v>20.98</v>
      </c>
      <c r="E142" s="320">
        <f>IFERROR(__xludf.DUMMYFUNCTION("""COMPUTED_VALUE"""),17096.51)</f>
        <v>17096.51</v>
      </c>
      <c r="F142" s="320">
        <f>IFERROR(__xludf.DUMMYFUNCTION("""COMPUTED_VALUE"""),1.0534)</f>
        <v>1.0534</v>
      </c>
      <c r="G142" s="320">
        <f>IFERROR(__xludf.DUMMYFUNCTION("""COMPUTED_VALUE"""),21.45)</f>
        <v>21.45</v>
      </c>
      <c r="H142" s="320">
        <f>IFERROR(__xludf.DUMMYFUNCTION("""COMPUTED_VALUE"""),4.91)</f>
        <v>4.91</v>
      </c>
      <c r="I142" s="320">
        <f>IFERROR(__xludf.DUMMYFUNCTION("""COMPUTED_VALUE"""),61.61)</f>
        <v>61.61</v>
      </c>
      <c r="J142" s="320">
        <f>IFERROR(__xludf.DUMMYFUNCTION("""COMPUTED_VALUE"""),35.31)</f>
        <v>35.31</v>
      </c>
      <c r="K142" s="320">
        <f>IFERROR(__xludf.DUMMYFUNCTION("""COMPUTED_VALUE"""),13.79)</f>
        <v>13.79</v>
      </c>
      <c r="L142" s="320">
        <f>IFERROR(__xludf.DUMMYFUNCTION("""COMPUTED_VALUE"""),0.3906)</f>
        <v>0.3906</v>
      </c>
      <c r="M142" s="320">
        <f>IFERROR(__xludf.DUMMYFUNCTION("""COMPUTED_VALUE"""),0.6718)</f>
        <v>0.6718</v>
      </c>
      <c r="N142" s="320">
        <f>IFERROR(__xludf.DUMMYFUNCTION("""COMPUTED_VALUE"""),0.3876)</f>
        <v>0.3876</v>
      </c>
      <c r="O142" s="320">
        <f>IFERROR(__xludf.DUMMYFUNCTION("""COMPUTED_VALUE"""),2.56)</f>
        <v>2.56</v>
      </c>
      <c r="P142" s="320">
        <f>IFERROR(__xludf.DUMMYFUNCTION("""COMPUTED_VALUE"""),185.5)</f>
        <v>185.5</v>
      </c>
      <c r="Q142" s="320">
        <f>IFERROR(__xludf.DUMMYFUNCTION("""COMPUTED_VALUE"""),156.69)</f>
        <v>156.69</v>
      </c>
      <c r="R142" s="320">
        <f>IFERROR(__xludf.DUMMYFUNCTION("""COMPUTED_VALUE"""),28.81)</f>
        <v>28.81</v>
      </c>
      <c r="S142" s="320">
        <f>IFERROR(__xludf.DUMMYFUNCTION("""COMPUTED_VALUE"""),71.17)</f>
        <v>71.17</v>
      </c>
      <c r="T142" s="320">
        <f>IFERROR(__xludf.DUMMYFUNCTION("""COMPUTED_VALUE"""),114.33)</f>
        <v>114.33</v>
      </c>
      <c r="U142" s="320">
        <f>IFERROR(__xludf.DUMMYFUNCTION("""COMPUTED_VALUE"""),185.55)</f>
        <v>185.55</v>
      </c>
      <c r="V142" s="320">
        <f>IFERROR(__xludf.DUMMYFUNCTION("""COMPUTED_VALUE"""),5.2546)</f>
        <v>5.2546</v>
      </c>
      <c r="W142" s="320">
        <f>IFERROR(__xludf.DUMMYFUNCTION("""COMPUTED_VALUE"""),38.37)</f>
        <v>38.37</v>
      </c>
      <c r="X142" s="320">
        <f>IFERROR(__xludf.DUMMYFUNCTION("""COMPUTED_VALUE"""),86.0)</f>
        <v>86</v>
      </c>
      <c r="Y142" s="320">
        <f>IFERROR(__xludf.DUMMYFUNCTION("""COMPUTED_VALUE"""),199.0)</f>
        <v>199</v>
      </c>
      <c r="Z142" s="320">
        <f>IFERROR(__xludf.DUMMYFUNCTION("""COMPUTED_VALUE"""),651.0)</f>
        <v>651</v>
      </c>
      <c r="AA142" s="320">
        <f>IFERROR(__xludf.DUMMYFUNCTION("""COMPUTED_VALUE"""),52.2838)</f>
        <v>52.2838</v>
      </c>
      <c r="AB142" s="320">
        <f>IFERROR(__xludf.DUMMYFUNCTION("""COMPUTED_VALUE"""),0.5431)</f>
        <v>0.5431</v>
      </c>
      <c r="AC142" s="320">
        <f>IFERROR(__xludf.DUMMYFUNCTION("""COMPUTED_VALUE"""),8.62)</f>
        <v>8.62</v>
      </c>
      <c r="AD142" s="320">
        <f>IFERROR(__xludf.DUMMYFUNCTION("""COMPUTED_VALUE"""),3.0)</f>
        <v>3</v>
      </c>
      <c r="AE142" s="320">
        <f>IFERROR(__xludf.DUMMYFUNCTION("""COMPUTED_VALUE"""),6.0)</f>
        <v>6</v>
      </c>
      <c r="AF142" s="320">
        <f>IFERROR(__xludf.DUMMYFUNCTION("""COMPUTED_VALUE"""),12.0)</f>
        <v>12</v>
      </c>
      <c r="AG142" s="320">
        <f>IFERROR(__xludf.DUMMYFUNCTION("""COMPUTED_VALUE"""),19.0)</f>
        <v>19</v>
      </c>
      <c r="AH142" s="320">
        <f>IFERROR(__xludf.DUMMYFUNCTION("""COMPUTED_VALUE"""),54.12)</f>
        <v>54.12</v>
      </c>
      <c r="AI142" s="320">
        <f>IFERROR(__xludf.DUMMYFUNCTION("""COMPUTED_VALUE"""),23.46)</f>
        <v>23.46</v>
      </c>
      <c r="AJ142" s="320">
        <f>IFERROR(__xludf.DUMMYFUNCTION("""COMPUTED_VALUE"""),4.1)</f>
        <v>4.1</v>
      </c>
      <c r="AK142" s="320">
        <f>IFERROR(__xludf.DUMMYFUNCTION("""COMPUTED_VALUE"""),0.202)</f>
        <v>0.202</v>
      </c>
      <c r="AL142" s="320">
        <f>IFERROR(__xludf.DUMMYFUNCTION("""COMPUTED_VALUE"""),21.57)</f>
        <v>21.57</v>
      </c>
      <c r="AM142" s="320">
        <f>IFERROR(__xludf.DUMMYFUNCTION("""COMPUTED_VALUE"""),135.12)</f>
        <v>135.12</v>
      </c>
      <c r="AN142" s="320">
        <f>IFERROR(__xludf.DUMMYFUNCTION("""COMPUTED_VALUE"""),74.17)</f>
        <v>74.17</v>
      </c>
      <c r="AO142" s="320">
        <f>IFERROR(__xludf.DUMMYFUNCTION("""COMPUTED_VALUE"""),16.0)</f>
        <v>16</v>
      </c>
    </row>
    <row r="143" ht="15.75" customHeight="1">
      <c r="A143" s="330">
        <f>IFERROR(__xludf.DUMMYFUNCTION("""COMPUTED_VALUE"""),46073.0)</f>
        <v>46073</v>
      </c>
      <c r="B143" s="319" t="str">
        <f>IFERROR(__xludf.DUMMYFUNCTION("""COMPUTED_VALUE"""),"D. 20-39")</f>
        <v>D. 20-39</v>
      </c>
      <c r="C143" s="320">
        <f>IFERROR(__xludf.DUMMYFUNCTION("""COMPUTED_VALUE"""),8590.0)</f>
        <v>8590</v>
      </c>
      <c r="D143" s="320">
        <f>IFERROR(__xludf.DUMMYFUNCTION("""COMPUTED_VALUE"""),11.1)</f>
        <v>11.1</v>
      </c>
      <c r="E143" s="320">
        <f>IFERROR(__xludf.DUMMYFUNCTION("""COMPUTED_VALUE"""),21989.4)</f>
        <v>21989.4</v>
      </c>
      <c r="F143" s="320">
        <f>IFERROR(__xludf.DUMMYFUNCTION("""COMPUTED_VALUE"""),2.5599)</f>
        <v>2.5599</v>
      </c>
      <c r="G143" s="320">
        <f>IFERROR(__xludf.DUMMYFUNCTION("""COMPUTED_VALUE"""),33.04)</f>
        <v>33.04</v>
      </c>
      <c r="H143" s="320">
        <f>IFERROR(__xludf.DUMMYFUNCTION("""COMPUTED_VALUE"""),7.7482)</f>
        <v>7.7482</v>
      </c>
      <c r="I143" s="320">
        <f>IFERROR(__xludf.DUMMYFUNCTION("""COMPUTED_VALUE"""),86.61)</f>
        <v>86.61</v>
      </c>
      <c r="J143" s="320">
        <f>IFERROR(__xludf.DUMMYFUNCTION("""COMPUTED_VALUE"""),51.43)</f>
        <v>51.43</v>
      </c>
      <c r="K143" s="320">
        <f>IFERROR(__xludf.DUMMYFUNCTION("""COMPUTED_VALUE"""),25.37)</f>
        <v>25.37</v>
      </c>
      <c r="L143" s="320">
        <f>IFERROR(__xludf.DUMMYFUNCTION("""COMPUTED_VALUE"""),0.4933)</f>
        <v>0.4933</v>
      </c>
      <c r="M143" s="320">
        <f>IFERROR(__xludf.DUMMYFUNCTION("""COMPUTED_VALUE"""),0.577)</f>
        <v>0.577</v>
      </c>
      <c r="N143" s="320">
        <f>IFERROR(__xludf.DUMMYFUNCTION("""COMPUTED_VALUE"""),0.3183)</f>
        <v>0.3183</v>
      </c>
      <c r="O143" s="320">
        <f>IFERROR(__xludf.DUMMYFUNCTION("""COMPUTED_VALUE"""),2.0273)</f>
        <v>2.0273</v>
      </c>
      <c r="P143" s="320">
        <f>IFERROR(__xludf.DUMMYFUNCTION("""COMPUTED_VALUE"""),329.17)</f>
        <v>329.17</v>
      </c>
      <c r="Q143" s="320">
        <f>IFERROR(__xludf.DUMMYFUNCTION("""COMPUTED_VALUE"""),275.65)</f>
        <v>275.65</v>
      </c>
      <c r="R143" s="320">
        <f>IFERROR(__xludf.DUMMYFUNCTION("""COMPUTED_VALUE"""),53.52)</f>
        <v>53.52</v>
      </c>
      <c r="S143" s="320">
        <f>IFERROR(__xludf.DUMMYFUNCTION("""COMPUTED_VALUE"""),165.3)</f>
        <v>165.3</v>
      </c>
      <c r="T143" s="320">
        <f>IFERROR(__xludf.DUMMYFUNCTION("""COMPUTED_VALUE"""),163.86)</f>
        <v>163.86</v>
      </c>
      <c r="U143" s="320">
        <f>IFERROR(__xludf.DUMMYFUNCTION("""COMPUTED_VALUE"""),335.26)</f>
        <v>335.26</v>
      </c>
      <c r="V143" s="320">
        <f>IFERROR(__xludf.DUMMYFUNCTION("""COMPUTED_VALUE"""),6.5183)</f>
        <v>6.5183</v>
      </c>
      <c r="W143" s="320">
        <f>IFERROR(__xludf.DUMMYFUNCTION("""COMPUTED_VALUE"""),50.22)</f>
        <v>50.22</v>
      </c>
      <c r="X143" s="320">
        <f>IFERROR(__xludf.DUMMYFUNCTION("""COMPUTED_VALUE"""),86.0)</f>
        <v>86</v>
      </c>
      <c r="Y143" s="320">
        <f>IFERROR(__xludf.DUMMYFUNCTION("""COMPUTED_VALUE"""),207.0)</f>
        <v>207</v>
      </c>
      <c r="Z143" s="320">
        <f>IFERROR(__xludf.DUMMYFUNCTION("""COMPUTED_VALUE"""),692.0)</f>
        <v>692</v>
      </c>
      <c r="AA143" s="320">
        <f>IFERROR(__xludf.DUMMYFUNCTION("""COMPUTED_VALUE"""),54.4177)</f>
        <v>54.4177</v>
      </c>
      <c r="AB143" s="320">
        <f>IFERROR(__xludf.DUMMYFUNCTION("""COMPUTED_VALUE"""),0.6344)</f>
        <v>0.6344</v>
      </c>
      <c r="AC143" s="320">
        <f>IFERROR(__xludf.DUMMYFUNCTION("""COMPUTED_VALUE"""),15.97)</f>
        <v>15.97</v>
      </c>
      <c r="AD143" s="320">
        <f>IFERROR(__xludf.DUMMYFUNCTION("""COMPUTED_VALUE"""),5.0)</f>
        <v>5</v>
      </c>
      <c r="AE143" s="320">
        <f>IFERROR(__xludf.DUMMYFUNCTION("""COMPUTED_VALUE"""),12.0)</f>
        <v>12</v>
      </c>
      <c r="AF143" s="320">
        <f>IFERROR(__xludf.DUMMYFUNCTION("""COMPUTED_VALUE"""),22.0)</f>
        <v>22</v>
      </c>
      <c r="AG143" s="320">
        <f>IFERROR(__xludf.DUMMYFUNCTION("""COMPUTED_VALUE"""),35.0)</f>
        <v>35</v>
      </c>
      <c r="AH143" s="320">
        <f>IFERROR(__xludf.DUMMYFUNCTION("""COMPUTED_VALUE"""),52.9)</f>
        <v>52.9</v>
      </c>
      <c r="AI143" s="320">
        <f>IFERROR(__xludf.DUMMYFUNCTION("""COMPUTED_VALUE"""),20.23)</f>
        <v>20.23</v>
      </c>
      <c r="AJ143" s="320">
        <f>IFERROR(__xludf.DUMMYFUNCTION("""COMPUTED_VALUE"""),6.07)</f>
        <v>6.07</v>
      </c>
      <c r="AK143" s="320">
        <f>IFERROR(__xludf.DUMMYFUNCTION("""COMPUTED_VALUE"""),0.1988)</f>
        <v>0.1988</v>
      </c>
      <c r="AL143" s="320">
        <f>IFERROR(__xludf.DUMMYFUNCTION("""COMPUTED_VALUE"""),21.57)</f>
        <v>21.57</v>
      </c>
      <c r="AM143" s="320">
        <f>IFERROR(__xludf.DUMMYFUNCTION("""COMPUTED_VALUE"""),254.08)</f>
        <v>254.08</v>
      </c>
      <c r="AN143" s="320">
        <f>IFERROR(__xludf.DUMMYFUNCTION("""COMPUTED_VALUE"""),75.65)</f>
        <v>75.65</v>
      </c>
      <c r="AO143" s="320">
        <f>IFERROR(__xludf.DUMMYFUNCTION("""COMPUTED_VALUE"""),16.32)</f>
        <v>16.32</v>
      </c>
    </row>
    <row r="144" ht="15.75" customHeight="1">
      <c r="A144" s="330">
        <f>IFERROR(__xludf.DUMMYFUNCTION("""COMPUTED_VALUE"""),46073.0)</f>
        <v>46073</v>
      </c>
      <c r="B144" s="319" t="str">
        <f>IFERROR(__xludf.DUMMYFUNCTION("""COMPUTED_VALUE"""),"E. 40-99")</f>
        <v>E. 40-99</v>
      </c>
      <c r="C144" s="320">
        <f>IFERROR(__xludf.DUMMYFUNCTION("""COMPUTED_VALUE"""),3105.0)</f>
        <v>3105</v>
      </c>
      <c r="D144" s="320">
        <f>IFERROR(__xludf.DUMMYFUNCTION("""COMPUTED_VALUE"""),4.01)</f>
        <v>4.01</v>
      </c>
      <c r="E144" s="320">
        <f>IFERROR(__xludf.DUMMYFUNCTION("""COMPUTED_VALUE"""),20145.18)</f>
        <v>20145.18</v>
      </c>
      <c r="F144" s="320">
        <f>IFERROR(__xludf.DUMMYFUNCTION("""COMPUTED_VALUE"""),6.488)</f>
        <v>6.488</v>
      </c>
      <c r="G144" s="320">
        <f>IFERROR(__xludf.DUMMYFUNCTION("""COMPUTED_VALUE"""),43.29)</f>
        <v>43.29</v>
      </c>
      <c r="H144" s="320">
        <f>IFERROR(__xludf.DUMMYFUNCTION("""COMPUTED_VALUE"""),14.989)</f>
        <v>14.989</v>
      </c>
      <c r="I144" s="320">
        <f>IFERROR(__xludf.DUMMYFUNCTION("""COMPUTED_VALUE"""),131.35)</f>
        <v>131.35</v>
      </c>
      <c r="J144" s="320">
        <f>IFERROR(__xludf.DUMMYFUNCTION("""COMPUTED_VALUE"""),80.99)</f>
        <v>80.99</v>
      </c>
      <c r="K144" s="320">
        <f>IFERROR(__xludf.DUMMYFUNCTION("""COMPUTED_VALUE"""),52.95)</f>
        <v>52.95</v>
      </c>
      <c r="L144" s="320">
        <f>IFERROR(__xludf.DUMMYFUNCTION("""COMPUTED_VALUE"""),0.6538)</f>
        <v>0.6538</v>
      </c>
      <c r="M144" s="320">
        <f>IFERROR(__xludf.DUMMYFUNCTION("""COMPUTED_VALUE"""),0.4365)</f>
        <v>0.4365</v>
      </c>
      <c r="N144" s="320">
        <f>IFERROR(__xludf.DUMMYFUNCTION("""COMPUTED_VALUE"""),0.2471)</f>
        <v>0.2471</v>
      </c>
      <c r="O144" s="320">
        <f>IFERROR(__xludf.DUMMYFUNCTION("""COMPUTED_VALUE"""),1.5295)</f>
        <v>1.5295</v>
      </c>
      <c r="P144" s="320">
        <f>IFERROR(__xludf.DUMMYFUNCTION("""COMPUTED_VALUE"""),674.5)</f>
        <v>674.5</v>
      </c>
      <c r="Q144" s="320">
        <f>IFERROR(__xludf.DUMMYFUNCTION("""COMPUTED_VALUE"""),562.27)</f>
        <v>562.27</v>
      </c>
      <c r="R144" s="320">
        <f>IFERROR(__xludf.DUMMYFUNCTION("""COMPUTED_VALUE"""),112.23)</f>
        <v>112.23</v>
      </c>
      <c r="S144" s="320">
        <f>IFERROR(__xludf.DUMMYFUNCTION("""COMPUTED_VALUE"""),409.79)</f>
        <v>409.79</v>
      </c>
      <c r="T144" s="320">
        <f>IFERROR(__xludf.DUMMYFUNCTION("""COMPUTED_VALUE"""),264.72)</f>
        <v>264.72</v>
      </c>
      <c r="U144" s="320">
        <f>IFERROR(__xludf.DUMMYFUNCTION("""COMPUTED_VALUE"""),712.06)</f>
        <v>712.06</v>
      </c>
      <c r="V144" s="320">
        <f>IFERROR(__xludf.DUMMYFUNCTION("""COMPUTED_VALUE"""),8.7916)</f>
        <v>8.7916</v>
      </c>
      <c r="W144" s="320">
        <f>IFERROR(__xludf.DUMMYFUNCTION("""COMPUTED_VALUE"""),60.75)</f>
        <v>60.75</v>
      </c>
      <c r="X144" s="320">
        <f>IFERROR(__xludf.DUMMYFUNCTION("""COMPUTED_VALUE"""),97.0)</f>
        <v>97</v>
      </c>
      <c r="Y144" s="320">
        <f>IFERROR(__xludf.DUMMYFUNCTION("""COMPUTED_VALUE"""),331.0)</f>
        <v>331</v>
      </c>
      <c r="Z144" s="320">
        <f>IFERROR(__xludf.DUMMYFUNCTION("""COMPUTED_VALUE"""),1147.0)</f>
        <v>1147</v>
      </c>
      <c r="AA144" s="320">
        <f>IFERROR(__xludf.DUMMYFUNCTION("""COMPUTED_VALUE"""),57.4494)</f>
        <v>57.4494</v>
      </c>
      <c r="AB144" s="320">
        <f>IFERROR(__xludf.DUMMYFUNCTION("""COMPUTED_VALUE"""),0.7459)</f>
        <v>0.7459</v>
      </c>
      <c r="AC144" s="320">
        <f>IFERROR(__xludf.DUMMYFUNCTION("""COMPUTED_VALUE"""),34.73)</f>
        <v>34.73</v>
      </c>
      <c r="AD144" s="320">
        <f>IFERROR(__xludf.DUMMYFUNCTION("""COMPUTED_VALUE"""),11.0)</f>
        <v>11</v>
      </c>
      <c r="AE144" s="320">
        <f>IFERROR(__xludf.DUMMYFUNCTION("""COMPUTED_VALUE"""),25.0)</f>
        <v>25</v>
      </c>
      <c r="AF144" s="320">
        <f>IFERROR(__xludf.DUMMYFUNCTION("""COMPUTED_VALUE"""),48.0)</f>
        <v>48</v>
      </c>
      <c r="AG144" s="320">
        <f>IFERROR(__xludf.DUMMYFUNCTION("""COMPUTED_VALUE"""),75.0)</f>
        <v>75</v>
      </c>
      <c r="AH144" s="320">
        <f>IFERROR(__xludf.DUMMYFUNCTION("""COMPUTED_VALUE"""),46.51)</f>
        <v>46.51</v>
      </c>
      <c r="AI144" s="320">
        <f>IFERROR(__xludf.DUMMYFUNCTION("""COMPUTED_VALUE"""),17.42)</f>
        <v>17.42</v>
      </c>
      <c r="AJ144" s="320">
        <f>IFERROR(__xludf.DUMMYFUNCTION("""COMPUTED_VALUE"""),4.41)</f>
        <v>4.41</v>
      </c>
      <c r="AK144" s="320">
        <f>IFERROR(__xludf.DUMMYFUNCTION("""COMPUTED_VALUE"""),0.1874)</f>
        <v>0.1874</v>
      </c>
      <c r="AL144" s="320">
        <f>IFERROR(__xludf.DUMMYFUNCTION("""COMPUTED_VALUE"""),21.3)</f>
        <v>21.3</v>
      </c>
      <c r="AM144" s="320">
        <f>IFERROR(__xludf.DUMMYFUNCTION("""COMPUTED_VALUE"""),540.97)</f>
        <v>540.97</v>
      </c>
      <c r="AN144" s="320">
        <f>IFERROR(__xludf.DUMMYFUNCTION("""COMPUTED_VALUE"""),75.19)</f>
        <v>75.19</v>
      </c>
      <c r="AO144" s="320">
        <f>IFERROR(__xludf.DUMMYFUNCTION("""COMPUTED_VALUE"""),16.02)</f>
        <v>16.02</v>
      </c>
    </row>
    <row r="145" ht="15.75" customHeight="1">
      <c r="A145" s="330">
        <f>IFERROR(__xludf.DUMMYFUNCTION("""COMPUTED_VALUE"""),46073.0)</f>
        <v>46073</v>
      </c>
      <c r="B145" s="319" t="str">
        <f>IFERROR(__xludf.DUMMYFUNCTION("""COMPUTED_VALUE"""),"F. 100+")</f>
        <v>F. 100+</v>
      </c>
      <c r="C145" s="320">
        <f>IFERROR(__xludf.DUMMYFUNCTION("""COMPUTED_VALUE"""),333.0)</f>
        <v>333</v>
      </c>
      <c r="D145" s="320">
        <f>IFERROR(__xludf.DUMMYFUNCTION("""COMPUTED_VALUE"""),0.43)</f>
        <v>0.43</v>
      </c>
      <c r="E145" s="320">
        <f>IFERROR(__xludf.DUMMYFUNCTION("""COMPUTED_VALUE"""),4463.0)</f>
        <v>4463</v>
      </c>
      <c r="F145" s="320">
        <f>IFERROR(__xludf.DUMMYFUNCTION("""COMPUTED_VALUE"""),13.4024)</f>
        <v>13.4024</v>
      </c>
      <c r="G145" s="320">
        <f>IFERROR(__xludf.DUMMYFUNCTION("""COMPUTED_VALUE"""),49.55)</f>
        <v>49.55</v>
      </c>
      <c r="H145" s="320">
        <f>IFERROR(__xludf.DUMMYFUNCTION("""COMPUTED_VALUE"""),27.0485)</f>
        <v>27.0485</v>
      </c>
      <c r="I145" s="320">
        <f>IFERROR(__xludf.DUMMYFUNCTION("""COMPUTED_VALUE"""),243.64)</f>
        <v>243.64</v>
      </c>
      <c r="J145" s="320">
        <f>IFERROR(__xludf.DUMMYFUNCTION("""COMPUTED_VALUE"""),155.66)</f>
        <v>155.66</v>
      </c>
      <c r="K145" s="320">
        <f>IFERROR(__xludf.DUMMYFUNCTION("""COMPUTED_VALUE"""),126.02)</f>
        <v>126.02</v>
      </c>
      <c r="L145" s="320">
        <f>IFERROR(__xludf.DUMMYFUNCTION("""COMPUTED_VALUE"""),0.8095)</f>
        <v>0.8095</v>
      </c>
      <c r="M145" s="320">
        <f>IFERROR(__xludf.DUMMYFUNCTION("""COMPUTED_VALUE"""),0.2845)</f>
        <v>0.2845</v>
      </c>
      <c r="N145" s="320">
        <f>IFERROR(__xludf.DUMMYFUNCTION("""COMPUTED_VALUE"""),0.1738)</f>
        <v>0.1738</v>
      </c>
      <c r="O145" s="320">
        <f>IFERROR(__xludf.DUMMYFUNCTION("""COMPUTED_VALUE"""),1.2353)</f>
        <v>1.2353</v>
      </c>
      <c r="P145" s="320">
        <f>IFERROR(__xludf.DUMMYFUNCTION("""COMPUTED_VALUE"""),1373.61)</f>
        <v>1373.61</v>
      </c>
      <c r="Q145" s="320">
        <f>IFERROR(__xludf.DUMMYFUNCTION("""COMPUTED_VALUE"""),1107.78)</f>
        <v>1107.78</v>
      </c>
      <c r="R145" s="320">
        <f>IFERROR(__xludf.DUMMYFUNCTION("""COMPUTED_VALUE"""),265.83)</f>
        <v>265.83</v>
      </c>
      <c r="S145" s="320">
        <f>IFERROR(__xludf.DUMMYFUNCTION("""COMPUTED_VALUE"""),838.62)</f>
        <v>838.62</v>
      </c>
      <c r="T145" s="320">
        <f>IFERROR(__xludf.DUMMYFUNCTION("""COMPUTED_VALUE"""),534.99)</f>
        <v>534.99</v>
      </c>
      <c r="U145" s="320">
        <f>IFERROR(__xludf.DUMMYFUNCTION("""COMPUTED_VALUE"""),1468.02)</f>
        <v>1468.02</v>
      </c>
      <c r="V145" s="320">
        <f>IFERROR(__xludf.DUMMYFUNCTION("""COMPUTED_VALUE"""),9.4307)</f>
        <v>9.4307</v>
      </c>
      <c r="W145" s="320">
        <f>IFERROR(__xludf.DUMMYFUNCTION("""COMPUTED_VALUE"""),61.05)</f>
        <v>61.05</v>
      </c>
      <c r="X145" s="320">
        <f>IFERROR(__xludf.DUMMYFUNCTION("""COMPUTED_VALUE"""),151.0)</f>
        <v>151</v>
      </c>
      <c r="Y145" s="320">
        <f>IFERROR(__xludf.DUMMYFUNCTION("""COMPUTED_VALUE"""),733.0)</f>
        <v>733</v>
      </c>
      <c r="Z145" s="320">
        <f>IFERROR(__xludf.DUMMYFUNCTION("""COMPUTED_VALUE"""),2937.0)</f>
        <v>2937</v>
      </c>
      <c r="AA145" s="320">
        <f>IFERROR(__xludf.DUMMYFUNCTION("""COMPUTED_VALUE"""),61.3224)</f>
        <v>61.3224</v>
      </c>
      <c r="AB145" s="320">
        <f>IFERROR(__xludf.DUMMYFUNCTION("""COMPUTED_VALUE"""),0.8441)</f>
        <v>0.8441</v>
      </c>
      <c r="AC145" s="320">
        <f>IFERROR(__xludf.DUMMYFUNCTION("""COMPUTED_VALUE"""),83.68)</f>
        <v>83.68</v>
      </c>
      <c r="AD145" s="320">
        <f>IFERROR(__xludf.DUMMYFUNCTION("""COMPUTED_VALUE"""),26.0)</f>
        <v>26</v>
      </c>
      <c r="AE145" s="320">
        <f>IFERROR(__xludf.DUMMYFUNCTION("""COMPUTED_VALUE"""),64.0)</f>
        <v>64</v>
      </c>
      <c r="AF145" s="320">
        <f>IFERROR(__xludf.DUMMYFUNCTION("""COMPUTED_VALUE"""),125.0)</f>
        <v>125</v>
      </c>
      <c r="AG145" s="320">
        <f>IFERROR(__xludf.DUMMYFUNCTION("""COMPUTED_VALUE"""),186.0)</f>
        <v>186</v>
      </c>
      <c r="AH145" s="320">
        <f>IFERROR(__xludf.DUMMYFUNCTION("""COMPUTED_VALUE"""),42.64)</f>
        <v>42.64</v>
      </c>
      <c r="AI145" s="320">
        <f>IFERROR(__xludf.DUMMYFUNCTION("""COMPUTED_VALUE"""),11.11)</f>
        <v>11.11</v>
      </c>
      <c r="AJ145" s="320">
        <f>IFERROR(__xludf.DUMMYFUNCTION("""COMPUTED_VALUE"""),1.8)</f>
        <v>1.8</v>
      </c>
      <c r="AK145" s="320">
        <f>IFERROR(__xludf.DUMMYFUNCTION("""COMPUTED_VALUE"""),0.1502)</f>
        <v>0.1502</v>
      </c>
      <c r="AL145" s="320">
        <f>IFERROR(__xludf.DUMMYFUNCTION("""COMPUTED_VALUE"""),23.09)</f>
        <v>23.09</v>
      </c>
      <c r="AM145" s="320">
        <f>IFERROR(__xludf.DUMMYFUNCTION("""COMPUTED_VALUE"""),1084.69)</f>
        <v>1084.69</v>
      </c>
      <c r="AN145" s="320">
        <f>IFERROR(__xludf.DUMMYFUNCTION("""COMPUTED_VALUE"""),71.26)</f>
        <v>71.26</v>
      </c>
      <c r="AO145" s="320">
        <f>IFERROR(__xludf.DUMMYFUNCTION("""COMPUTED_VALUE"""),16.45)</f>
        <v>16.45</v>
      </c>
    </row>
    <row r="146" ht="15.75" customHeight="1">
      <c r="A146" s="330">
        <f>IFERROR(__xludf.DUMMYFUNCTION("""COMPUTED_VALUE"""),46074.0)</f>
        <v>46074</v>
      </c>
      <c r="B146" s="319" t="str">
        <f>IFERROR(__xludf.DUMMYFUNCTION("""COMPUTED_VALUE"""),"A. 0")</f>
        <v>A. 0</v>
      </c>
      <c r="C146" s="320">
        <f>IFERROR(__xludf.DUMMYFUNCTION("""COMPUTED_VALUE"""),16281.0)</f>
        <v>16281</v>
      </c>
      <c r="D146" s="320">
        <f>IFERROR(__xludf.DUMMYFUNCTION("""COMPUTED_VALUE"""),21.21)</f>
        <v>21.21</v>
      </c>
      <c r="E146" s="320">
        <f>IFERROR(__xludf.DUMMYFUNCTION("""COMPUTED_VALUE"""),278.76)</f>
        <v>278.76</v>
      </c>
      <c r="F146" s="320">
        <f>IFERROR(__xludf.DUMMYFUNCTION("""COMPUTED_VALUE"""),0.0171)</f>
        <v>0.0171</v>
      </c>
      <c r="G146" s="320">
        <f>IFERROR(__xludf.DUMMYFUNCTION("""COMPUTED_VALUE"""),0.3)</f>
        <v>0.3</v>
      </c>
      <c r="H146" s="320">
        <f>IFERROR(__xludf.DUMMYFUNCTION("""COMPUTED_VALUE"""),5.689)</f>
        <v>5.689</v>
      </c>
      <c r="I146" s="320">
        <f>IFERROR(__xludf.DUMMYFUNCTION("""COMPUTED_VALUE"""),6.3)</f>
        <v>6.3</v>
      </c>
      <c r="J146" s="320">
        <f>IFERROR(__xludf.DUMMYFUNCTION("""COMPUTED_VALUE"""),2.87)</f>
        <v>2.87</v>
      </c>
      <c r="K146" s="320">
        <f>IFERROR(__xludf.DUMMYFUNCTION("""COMPUTED_VALUE"""),0.06)</f>
        <v>0.06</v>
      </c>
      <c r="L146" s="320">
        <f>IFERROR(__xludf.DUMMYFUNCTION("""COMPUTED_VALUE"""),0.0214)</f>
        <v>0.0214</v>
      </c>
      <c r="M146" s="320">
        <f>IFERROR(__xludf.DUMMYFUNCTION("""COMPUTED_VALUE"""),0.9806)</f>
        <v>0.9806</v>
      </c>
      <c r="N146" s="320">
        <f>IFERROR(__xludf.DUMMYFUNCTION("""COMPUTED_VALUE"""),0.7721)</f>
        <v>0.7721</v>
      </c>
      <c r="O146" s="320">
        <f>IFERROR(__xludf.DUMMYFUNCTION("""COMPUTED_VALUE"""),46.6397)</f>
        <v>46.6397</v>
      </c>
      <c r="P146" s="320">
        <f>IFERROR(__xludf.DUMMYFUNCTION("""COMPUTED_VALUE"""),26.31)</f>
        <v>26.31</v>
      </c>
      <c r="Q146" s="320">
        <f>IFERROR(__xludf.DUMMYFUNCTION("""COMPUTED_VALUE"""),26.26)</f>
        <v>26.26</v>
      </c>
      <c r="R146" s="320">
        <f>IFERROR(__xludf.DUMMYFUNCTION("""COMPUTED_VALUE"""),0.05)</f>
        <v>0.05</v>
      </c>
      <c r="S146" s="320">
        <f>IFERROR(__xludf.DUMMYFUNCTION("""COMPUTED_VALUE"""),1.18)</f>
        <v>1.18</v>
      </c>
      <c r="T146" s="320">
        <f>IFERROR(__xludf.DUMMYFUNCTION("""COMPUTED_VALUE"""),25.13)</f>
        <v>25.13</v>
      </c>
      <c r="U146" s="320">
        <f>IFERROR(__xludf.DUMMYFUNCTION("""COMPUTED_VALUE"""),2.77)</f>
        <v>2.77</v>
      </c>
      <c r="V146" s="320">
        <f>IFERROR(__xludf.DUMMYFUNCTION("""COMPUTED_VALUE"""),0.964)</f>
        <v>0.964</v>
      </c>
      <c r="W146" s="320">
        <f>IFERROR(__xludf.DUMMYFUNCTION("""COMPUTED_VALUE"""),4.49)</f>
        <v>4.49</v>
      </c>
      <c r="X146" s="320">
        <f>IFERROR(__xludf.DUMMYFUNCTION("""COMPUTED_VALUE"""),145.0)</f>
        <v>145</v>
      </c>
      <c r="Y146" s="320">
        <f>IFERROR(__xludf.DUMMYFUNCTION("""COMPUTED_VALUE"""),950.0)</f>
        <v>950</v>
      </c>
      <c r="Z146" s="320">
        <f>IFERROR(__xludf.DUMMYFUNCTION("""COMPUTED_VALUE"""),6718.0)</f>
        <v>6718</v>
      </c>
      <c r="AA146" s="320">
        <f>IFERROR(__xludf.DUMMYFUNCTION("""COMPUTED_VALUE"""),49.6524)</f>
        <v>49.6524</v>
      </c>
      <c r="AB146" s="320">
        <f>IFERROR(__xludf.DUMMYFUNCTION("""COMPUTED_VALUE"""),0.5058)</f>
        <v>0.5058</v>
      </c>
      <c r="AC146" s="106"/>
      <c r="AD146" s="106"/>
      <c r="AE146" s="106"/>
      <c r="AF146" s="106"/>
      <c r="AG146" s="106"/>
      <c r="AH146" s="320">
        <f>IFERROR(__xludf.DUMMYFUNCTION("""COMPUTED_VALUE"""),0.0)</f>
        <v>0</v>
      </c>
      <c r="AI146" s="320">
        <f>IFERROR(__xludf.DUMMYFUNCTION("""COMPUTED_VALUE"""),0.0)</f>
        <v>0</v>
      </c>
      <c r="AJ146" s="320">
        <f>IFERROR(__xludf.DUMMYFUNCTION("""COMPUTED_VALUE"""),0.0)</f>
        <v>0</v>
      </c>
      <c r="AK146" s="320">
        <f>IFERROR(__xludf.DUMMYFUNCTION("""COMPUTED_VALUE"""),0.2832)</f>
        <v>0.2832</v>
      </c>
      <c r="AL146" s="320">
        <f>IFERROR(__xludf.DUMMYFUNCTION("""COMPUTED_VALUE"""),17.25)</f>
        <v>17.25</v>
      </c>
      <c r="AM146" s="320">
        <f>IFERROR(__xludf.DUMMYFUNCTION("""COMPUTED_VALUE"""),9.0)</f>
        <v>9</v>
      </c>
      <c r="AN146" s="331"/>
      <c r="AO146" s="331"/>
    </row>
    <row r="147" ht="15.75" customHeight="1">
      <c r="A147" s="330">
        <f>IFERROR(__xludf.DUMMYFUNCTION("""COMPUTED_VALUE"""),46074.0)</f>
        <v>46074</v>
      </c>
      <c r="B147" s="319" t="str">
        <f>IFERROR(__xludf.DUMMYFUNCTION("""COMPUTED_VALUE"""),"B. 1-9")</f>
        <v>B. 1-9</v>
      </c>
      <c r="C147" s="320">
        <f>IFERROR(__xludf.DUMMYFUNCTION("""COMPUTED_VALUE"""),32692.0)</f>
        <v>32692</v>
      </c>
      <c r="D147" s="320">
        <f>IFERROR(__xludf.DUMMYFUNCTION("""COMPUTED_VALUE"""),42.6)</f>
        <v>42.6</v>
      </c>
      <c r="E147" s="320">
        <f>IFERROR(__xludf.DUMMYFUNCTION("""COMPUTED_VALUE"""),8372.41)</f>
        <v>8372.41</v>
      </c>
      <c r="F147" s="320">
        <f>IFERROR(__xludf.DUMMYFUNCTION("""COMPUTED_VALUE"""),0.2561)</f>
        <v>0.2561</v>
      </c>
      <c r="G147" s="320">
        <f>IFERROR(__xludf.DUMMYFUNCTION("""COMPUTED_VALUE"""),7.2)</f>
        <v>7.2</v>
      </c>
      <c r="H147" s="320">
        <f>IFERROR(__xludf.DUMMYFUNCTION("""COMPUTED_VALUE"""),3.5582)</f>
        <v>3.5582</v>
      </c>
      <c r="I147" s="320">
        <f>IFERROR(__xludf.DUMMYFUNCTION("""COMPUTED_VALUE"""),31.52)</f>
        <v>31.52</v>
      </c>
      <c r="J147" s="320">
        <f>IFERROR(__xludf.DUMMYFUNCTION("""COMPUTED_VALUE"""),16.99)</f>
        <v>16.99</v>
      </c>
      <c r="K147" s="320">
        <f>IFERROR(__xludf.DUMMYFUNCTION("""COMPUTED_VALUE"""),5.34)</f>
        <v>5.34</v>
      </c>
      <c r="L147" s="320">
        <f>IFERROR(__xludf.DUMMYFUNCTION("""COMPUTED_VALUE"""),0.3144)</f>
        <v>0.3144</v>
      </c>
      <c r="M147" s="320">
        <f>IFERROR(__xludf.DUMMYFUNCTION("""COMPUTED_VALUE"""),0.7578)</f>
        <v>0.7578</v>
      </c>
      <c r="N147" s="320">
        <f>IFERROR(__xludf.DUMMYFUNCTION("""COMPUTED_VALUE"""),0.5166)</f>
        <v>0.5166</v>
      </c>
      <c r="O147" s="320">
        <f>IFERROR(__xludf.DUMMYFUNCTION("""COMPUTED_VALUE"""),3.1807)</f>
        <v>3.1807</v>
      </c>
      <c r="P147" s="320">
        <f>IFERROR(__xludf.DUMMYFUNCTION("""COMPUTED_VALUE"""),74.83)</f>
        <v>74.83</v>
      </c>
      <c r="Q147" s="320">
        <f>IFERROR(__xludf.DUMMYFUNCTION("""COMPUTED_VALUE"""),63.71)</f>
        <v>63.71</v>
      </c>
      <c r="R147" s="320">
        <f>IFERROR(__xludf.DUMMYFUNCTION("""COMPUTED_VALUE"""),11.12)</f>
        <v>11.12</v>
      </c>
      <c r="S147" s="320">
        <f>IFERROR(__xludf.DUMMYFUNCTION("""COMPUTED_VALUE"""),18.69)</f>
        <v>18.69</v>
      </c>
      <c r="T147" s="320">
        <f>IFERROR(__xludf.DUMMYFUNCTION("""COMPUTED_VALUE"""),56.13)</f>
        <v>56.13</v>
      </c>
      <c r="U147" s="320">
        <f>IFERROR(__xludf.DUMMYFUNCTION("""COMPUTED_VALUE"""),79.92)</f>
        <v>79.92</v>
      </c>
      <c r="V147" s="320">
        <f>IFERROR(__xludf.DUMMYFUNCTION("""COMPUTED_VALUE"""),4.7049)</f>
        <v>4.7049</v>
      </c>
      <c r="W147" s="320">
        <f>IFERROR(__xludf.DUMMYFUNCTION("""COMPUTED_VALUE"""),24.98)</f>
        <v>24.98</v>
      </c>
      <c r="X147" s="320">
        <f>IFERROR(__xludf.DUMMYFUNCTION("""COMPUTED_VALUE"""),86.0)</f>
        <v>86</v>
      </c>
      <c r="Y147" s="320">
        <f>IFERROR(__xludf.DUMMYFUNCTION("""COMPUTED_VALUE"""),208.0)</f>
        <v>208</v>
      </c>
      <c r="Z147" s="320">
        <f>IFERROR(__xludf.DUMMYFUNCTION("""COMPUTED_VALUE"""),842.0)</f>
        <v>842</v>
      </c>
      <c r="AA147" s="320">
        <f>IFERROR(__xludf.DUMMYFUNCTION("""COMPUTED_VALUE"""),49.413)</f>
        <v>49.413</v>
      </c>
      <c r="AB147" s="320">
        <f>IFERROR(__xludf.DUMMYFUNCTION("""COMPUTED_VALUE"""),0.449)</f>
        <v>0.449</v>
      </c>
      <c r="AC147" s="320">
        <f>IFERROR(__xludf.DUMMYFUNCTION("""COMPUTED_VALUE"""),3.57)</f>
        <v>3.57</v>
      </c>
      <c r="AD147" s="320">
        <f>IFERROR(__xludf.DUMMYFUNCTION("""COMPUTED_VALUE"""),1.0)</f>
        <v>1</v>
      </c>
      <c r="AE147" s="320">
        <f>IFERROR(__xludf.DUMMYFUNCTION("""COMPUTED_VALUE"""),2.0)</f>
        <v>2</v>
      </c>
      <c r="AF147" s="320">
        <f>IFERROR(__xludf.DUMMYFUNCTION("""COMPUTED_VALUE"""),5.0)</f>
        <v>5</v>
      </c>
      <c r="AG147" s="320">
        <f>IFERROR(__xludf.DUMMYFUNCTION("""COMPUTED_VALUE"""),8.0)</f>
        <v>8</v>
      </c>
      <c r="AH147" s="320">
        <f>IFERROR(__xludf.DUMMYFUNCTION("""COMPUTED_VALUE"""),66.45)</f>
        <v>66.45</v>
      </c>
      <c r="AI147" s="320">
        <f>IFERROR(__xludf.DUMMYFUNCTION("""COMPUTED_VALUE"""),25.17)</f>
        <v>25.17</v>
      </c>
      <c r="AJ147" s="320">
        <f>IFERROR(__xludf.DUMMYFUNCTION("""COMPUTED_VALUE"""),7.2)</f>
        <v>7.2</v>
      </c>
      <c r="AK147" s="320">
        <f>IFERROR(__xludf.DUMMYFUNCTION("""COMPUTED_VALUE"""),0.2208)</f>
        <v>0.2208</v>
      </c>
      <c r="AL147" s="320">
        <f>IFERROR(__xludf.DUMMYFUNCTION("""COMPUTED_VALUE"""),22.56)</f>
        <v>22.56</v>
      </c>
      <c r="AM147" s="320">
        <f>IFERROR(__xludf.DUMMYFUNCTION("""COMPUTED_VALUE"""),41.15)</f>
        <v>41.15</v>
      </c>
      <c r="AN147" s="320">
        <f>IFERROR(__xludf.DUMMYFUNCTION("""COMPUTED_VALUE"""),67.84)</f>
        <v>67.84</v>
      </c>
      <c r="AO147" s="320">
        <f>IFERROR(__xludf.DUMMYFUNCTION("""COMPUTED_VALUE"""),15.3)</f>
        <v>15.3</v>
      </c>
    </row>
    <row r="148" ht="15.75" customHeight="1">
      <c r="A148" s="330">
        <f>IFERROR(__xludf.DUMMYFUNCTION("""COMPUTED_VALUE"""),46074.0)</f>
        <v>46074</v>
      </c>
      <c r="B148" s="319" t="str">
        <f>IFERROR(__xludf.DUMMYFUNCTION("""COMPUTED_VALUE"""),"C. 10-19")</f>
        <v>C. 10-19</v>
      </c>
      <c r="C148" s="320">
        <f>IFERROR(__xludf.DUMMYFUNCTION("""COMPUTED_VALUE"""),15930.0)</f>
        <v>15930</v>
      </c>
      <c r="D148" s="320">
        <f>IFERROR(__xludf.DUMMYFUNCTION("""COMPUTED_VALUE"""),20.76)</f>
        <v>20.76</v>
      </c>
      <c r="E148" s="320">
        <f>IFERROR(__xludf.DUMMYFUNCTION("""COMPUTED_VALUE"""),16785.4)</f>
        <v>16785.4</v>
      </c>
      <c r="F148" s="320">
        <f>IFERROR(__xludf.DUMMYFUNCTION("""COMPUTED_VALUE"""),1.0537)</f>
        <v>1.0537</v>
      </c>
      <c r="G148" s="320">
        <f>IFERROR(__xludf.DUMMYFUNCTION("""COMPUTED_VALUE"""),21.42)</f>
        <v>21.42</v>
      </c>
      <c r="H148" s="320">
        <f>IFERROR(__xludf.DUMMYFUNCTION("""COMPUTED_VALUE"""),4.9195)</f>
        <v>4.9195</v>
      </c>
      <c r="I148" s="320">
        <f>IFERROR(__xludf.DUMMYFUNCTION("""COMPUTED_VALUE"""),58.14)</f>
        <v>58.14</v>
      </c>
      <c r="J148" s="320">
        <f>IFERROR(__xludf.DUMMYFUNCTION("""COMPUTED_VALUE"""),33.19)</f>
        <v>33.19</v>
      </c>
      <c r="K148" s="320">
        <f>IFERROR(__xludf.DUMMYFUNCTION("""COMPUTED_VALUE"""),13.34)</f>
        <v>13.34</v>
      </c>
      <c r="L148" s="320">
        <f>IFERROR(__xludf.DUMMYFUNCTION("""COMPUTED_VALUE"""),0.402)</f>
        <v>0.402</v>
      </c>
      <c r="M148" s="320">
        <f>IFERROR(__xludf.DUMMYFUNCTION("""COMPUTED_VALUE"""),0.6629)</f>
        <v>0.6629</v>
      </c>
      <c r="N148" s="320">
        <f>IFERROR(__xludf.DUMMYFUNCTION("""COMPUTED_VALUE"""),0.382)</f>
        <v>0.382</v>
      </c>
      <c r="O148" s="320">
        <f>IFERROR(__xludf.DUMMYFUNCTION("""COMPUTED_VALUE"""),2.4877)</f>
        <v>2.4877</v>
      </c>
      <c r="P148" s="320">
        <f>IFERROR(__xludf.DUMMYFUNCTION("""COMPUTED_VALUE"""),172.15)</f>
        <v>172.15</v>
      </c>
      <c r="Q148" s="320">
        <f>IFERROR(__xludf.DUMMYFUNCTION("""COMPUTED_VALUE"""),144.29)</f>
        <v>144.29</v>
      </c>
      <c r="R148" s="320">
        <f>IFERROR(__xludf.DUMMYFUNCTION("""COMPUTED_VALUE"""),27.86)</f>
        <v>27.86</v>
      </c>
      <c r="S148" s="320">
        <f>IFERROR(__xludf.DUMMYFUNCTION("""COMPUTED_VALUE"""),70.63)</f>
        <v>70.63</v>
      </c>
      <c r="T148" s="320">
        <f>IFERROR(__xludf.DUMMYFUNCTION("""COMPUTED_VALUE"""),101.52)</f>
        <v>101.52</v>
      </c>
      <c r="U148" s="320">
        <f>IFERROR(__xludf.DUMMYFUNCTION("""COMPUTED_VALUE"""),181.59)</f>
        <v>181.59</v>
      </c>
      <c r="V148" s="320">
        <f>IFERROR(__xludf.DUMMYFUNCTION("""COMPUTED_VALUE"""),5.4717)</f>
        <v>5.4717</v>
      </c>
      <c r="W148" s="320">
        <f>IFERROR(__xludf.DUMMYFUNCTION("""COMPUTED_VALUE"""),41.03)</f>
        <v>41.03</v>
      </c>
      <c r="X148" s="320">
        <f>IFERROR(__xludf.DUMMYFUNCTION("""COMPUTED_VALUE"""),86.0)</f>
        <v>86</v>
      </c>
      <c r="Y148" s="320">
        <f>IFERROR(__xludf.DUMMYFUNCTION("""COMPUTED_VALUE"""),196.0)</f>
        <v>196</v>
      </c>
      <c r="Z148" s="320">
        <f>IFERROR(__xludf.DUMMYFUNCTION("""COMPUTED_VALUE"""),686.0)</f>
        <v>686</v>
      </c>
      <c r="AA148" s="320">
        <f>IFERROR(__xludf.DUMMYFUNCTION("""COMPUTED_VALUE"""),52.2323)</f>
        <v>52.2323</v>
      </c>
      <c r="AB148" s="320">
        <f>IFERROR(__xludf.DUMMYFUNCTION("""COMPUTED_VALUE"""),0.5455)</f>
        <v>0.5455</v>
      </c>
      <c r="AC148" s="320">
        <f>IFERROR(__xludf.DUMMYFUNCTION("""COMPUTED_VALUE"""),8.67)</f>
        <v>8.67</v>
      </c>
      <c r="AD148" s="320">
        <f>IFERROR(__xludf.DUMMYFUNCTION("""COMPUTED_VALUE"""),2.0)</f>
        <v>2</v>
      </c>
      <c r="AE148" s="320">
        <f>IFERROR(__xludf.DUMMYFUNCTION("""COMPUTED_VALUE"""),6.0)</f>
        <v>6</v>
      </c>
      <c r="AF148" s="320">
        <f>IFERROR(__xludf.DUMMYFUNCTION("""COMPUTED_VALUE"""),12.0)</f>
        <v>12</v>
      </c>
      <c r="AG148" s="320">
        <f>IFERROR(__xludf.DUMMYFUNCTION("""COMPUTED_VALUE"""),19.0)</f>
        <v>19</v>
      </c>
      <c r="AH148" s="320">
        <f>IFERROR(__xludf.DUMMYFUNCTION("""COMPUTED_VALUE"""),53.56)</f>
        <v>53.56</v>
      </c>
      <c r="AI148" s="320">
        <f>IFERROR(__xludf.DUMMYFUNCTION("""COMPUTED_VALUE"""),23.95)</f>
        <v>23.95</v>
      </c>
      <c r="AJ148" s="320">
        <f>IFERROR(__xludf.DUMMYFUNCTION("""COMPUTED_VALUE"""),4.31)</f>
        <v>4.31</v>
      </c>
      <c r="AK148" s="320">
        <f>IFERROR(__xludf.DUMMYFUNCTION("""COMPUTED_VALUE"""),0.1999)</f>
        <v>0.1999</v>
      </c>
      <c r="AL148" s="320">
        <f>IFERROR(__xludf.DUMMYFUNCTION("""COMPUTED_VALUE"""),22.77)</f>
        <v>22.77</v>
      </c>
      <c r="AM148" s="320">
        <f>IFERROR(__xludf.DUMMYFUNCTION("""COMPUTED_VALUE"""),121.51)</f>
        <v>121.51</v>
      </c>
      <c r="AN148" s="320">
        <f>IFERROR(__xludf.DUMMYFUNCTION("""COMPUTED_VALUE"""),73.73)</f>
        <v>73.73</v>
      </c>
      <c r="AO148" s="320">
        <f>IFERROR(__xludf.DUMMYFUNCTION("""COMPUTED_VALUE"""),16.79)</f>
        <v>16.79</v>
      </c>
    </row>
    <row r="149" ht="15.75" customHeight="1">
      <c r="A149" s="330">
        <f>IFERROR(__xludf.DUMMYFUNCTION("""COMPUTED_VALUE"""),46074.0)</f>
        <v>46074</v>
      </c>
      <c r="B149" s="319" t="str">
        <f>IFERROR(__xludf.DUMMYFUNCTION("""COMPUTED_VALUE"""),"D. 20-39")</f>
        <v>D. 20-39</v>
      </c>
      <c r="C149" s="320">
        <f>IFERROR(__xludf.DUMMYFUNCTION("""COMPUTED_VALUE"""),8374.0)</f>
        <v>8374</v>
      </c>
      <c r="D149" s="320">
        <f>IFERROR(__xludf.DUMMYFUNCTION("""COMPUTED_VALUE"""),10.91)</f>
        <v>10.91</v>
      </c>
      <c r="E149" s="320">
        <f>IFERROR(__xludf.DUMMYFUNCTION("""COMPUTED_VALUE"""),23832.04)</f>
        <v>23832.04</v>
      </c>
      <c r="F149" s="320">
        <f>IFERROR(__xludf.DUMMYFUNCTION("""COMPUTED_VALUE"""),2.846)</f>
        <v>2.846</v>
      </c>
      <c r="G149" s="320">
        <f>IFERROR(__xludf.DUMMYFUNCTION("""COMPUTED_VALUE"""),34.27)</f>
        <v>34.27</v>
      </c>
      <c r="H149" s="320">
        <f>IFERROR(__xludf.DUMMYFUNCTION("""COMPUTED_VALUE"""),8.3038)</f>
        <v>8.3038</v>
      </c>
      <c r="I149" s="320">
        <f>IFERROR(__xludf.DUMMYFUNCTION("""COMPUTED_VALUE"""),83.82)</f>
        <v>83.82</v>
      </c>
      <c r="J149" s="320">
        <f>IFERROR(__xludf.DUMMYFUNCTION("""COMPUTED_VALUE"""),49.62)</f>
        <v>49.62</v>
      </c>
      <c r="K149" s="320">
        <f>IFERROR(__xludf.DUMMYFUNCTION("""COMPUTED_VALUE"""),25.74)</f>
        <v>25.74</v>
      </c>
      <c r="L149" s="320">
        <f>IFERROR(__xludf.DUMMYFUNCTION("""COMPUTED_VALUE"""),0.5188)</f>
        <v>0.5188</v>
      </c>
      <c r="M149" s="320">
        <f>IFERROR(__xludf.DUMMYFUNCTION("""COMPUTED_VALUE"""),0.5577)</f>
        <v>0.5577</v>
      </c>
      <c r="N149" s="320">
        <f>IFERROR(__xludf.DUMMYFUNCTION("""COMPUTED_VALUE"""),0.3086)</f>
        <v>0.3086</v>
      </c>
      <c r="O149" s="320">
        <f>IFERROR(__xludf.DUMMYFUNCTION("""COMPUTED_VALUE"""),1.9276)</f>
        <v>1.9276</v>
      </c>
      <c r="P149" s="320">
        <f>IFERROR(__xludf.DUMMYFUNCTION("""COMPUTED_VALUE"""),346.26)</f>
        <v>346.26</v>
      </c>
      <c r="Q149" s="320">
        <f>IFERROR(__xludf.DUMMYFUNCTION("""COMPUTED_VALUE"""),292.08)</f>
        <v>292.08</v>
      </c>
      <c r="R149" s="320">
        <f>IFERROR(__xludf.DUMMYFUNCTION("""COMPUTED_VALUE"""),54.18)</f>
        <v>54.18</v>
      </c>
      <c r="S149" s="320">
        <f>IFERROR(__xludf.DUMMYFUNCTION("""COMPUTED_VALUE"""),180.67)</f>
        <v>180.67</v>
      </c>
      <c r="T149" s="320">
        <f>IFERROR(__xludf.DUMMYFUNCTION("""COMPUTED_VALUE"""),165.59)</f>
        <v>165.59</v>
      </c>
      <c r="U149" s="320">
        <f>IFERROR(__xludf.DUMMYFUNCTION("""COMPUTED_VALUE"""),364.26)</f>
        <v>364.26</v>
      </c>
      <c r="V149" s="320">
        <f>IFERROR(__xludf.DUMMYFUNCTION("""COMPUTED_VALUE"""),7.3407)</f>
        <v>7.3407</v>
      </c>
      <c r="W149" s="320">
        <f>IFERROR(__xludf.DUMMYFUNCTION("""COMPUTED_VALUE"""),52.18)</f>
        <v>52.18</v>
      </c>
      <c r="X149" s="320">
        <f>IFERROR(__xludf.DUMMYFUNCTION("""COMPUTED_VALUE"""),87.0)</f>
        <v>87</v>
      </c>
      <c r="Y149" s="320">
        <f>IFERROR(__xludf.DUMMYFUNCTION("""COMPUTED_VALUE"""),222.0)</f>
        <v>222</v>
      </c>
      <c r="Z149" s="320">
        <f>IFERROR(__xludf.DUMMYFUNCTION("""COMPUTED_VALUE"""),729.0)</f>
        <v>729</v>
      </c>
      <c r="AA149" s="320">
        <f>IFERROR(__xludf.DUMMYFUNCTION("""COMPUTED_VALUE"""),54.2803)</f>
        <v>54.2803</v>
      </c>
      <c r="AB149" s="320">
        <f>IFERROR(__xludf.DUMMYFUNCTION("""COMPUTED_VALUE"""),0.6403)</f>
        <v>0.6403</v>
      </c>
      <c r="AC149" s="320">
        <f>IFERROR(__xludf.DUMMYFUNCTION("""COMPUTED_VALUE"""),16.91)</f>
        <v>16.91</v>
      </c>
      <c r="AD149" s="320">
        <f>IFERROR(__xludf.DUMMYFUNCTION("""COMPUTED_VALUE"""),5.0)</f>
        <v>5</v>
      </c>
      <c r="AE149" s="320">
        <f>IFERROR(__xludf.DUMMYFUNCTION("""COMPUTED_VALUE"""),12.0)</f>
        <v>12</v>
      </c>
      <c r="AF149" s="320">
        <f>IFERROR(__xludf.DUMMYFUNCTION("""COMPUTED_VALUE"""),24.0)</f>
        <v>24</v>
      </c>
      <c r="AG149" s="320">
        <f>IFERROR(__xludf.DUMMYFUNCTION("""COMPUTED_VALUE"""),37.0)</f>
        <v>37</v>
      </c>
      <c r="AH149" s="320">
        <f>IFERROR(__xludf.DUMMYFUNCTION("""COMPUTED_VALUE"""),53.89)</f>
        <v>53.89</v>
      </c>
      <c r="AI149" s="320">
        <f>IFERROR(__xludf.DUMMYFUNCTION("""COMPUTED_VALUE"""),22.43)</f>
        <v>22.43</v>
      </c>
      <c r="AJ149" s="320">
        <f>IFERROR(__xludf.DUMMYFUNCTION("""COMPUTED_VALUE"""),7.14)</f>
        <v>7.14</v>
      </c>
      <c r="AK149" s="320">
        <f>IFERROR(__xludf.DUMMYFUNCTION("""COMPUTED_VALUE"""),0.1941)</f>
        <v>0.1941</v>
      </c>
      <c r="AL149" s="320">
        <f>IFERROR(__xludf.DUMMYFUNCTION("""COMPUTED_VALUE"""),22.96)</f>
        <v>22.96</v>
      </c>
      <c r="AM149" s="320">
        <f>IFERROR(__xludf.DUMMYFUNCTION("""COMPUTED_VALUE"""),269.12)</f>
        <v>269.12</v>
      </c>
      <c r="AN149" s="320">
        <f>IFERROR(__xludf.DUMMYFUNCTION("""COMPUTED_VALUE"""),74.25)</f>
        <v>74.25</v>
      </c>
      <c r="AO149" s="320">
        <f>IFERROR(__xludf.DUMMYFUNCTION("""COMPUTED_VALUE"""),17.05)</f>
        <v>17.05</v>
      </c>
    </row>
    <row r="150" ht="15.75" customHeight="1">
      <c r="A150" s="330">
        <f>IFERROR(__xludf.DUMMYFUNCTION("""COMPUTED_VALUE"""),46074.0)</f>
        <v>46074</v>
      </c>
      <c r="B150" s="319" t="str">
        <f>IFERROR(__xludf.DUMMYFUNCTION("""COMPUTED_VALUE"""),"E. 40-99")</f>
        <v>E. 40-99</v>
      </c>
      <c r="C150" s="320">
        <f>IFERROR(__xludf.DUMMYFUNCTION("""COMPUTED_VALUE"""),3103.0)</f>
        <v>3103</v>
      </c>
      <c r="D150" s="320">
        <f>IFERROR(__xludf.DUMMYFUNCTION("""COMPUTED_VALUE"""),4.04)</f>
        <v>4.04</v>
      </c>
      <c r="E150" s="320">
        <f>IFERROR(__xludf.DUMMYFUNCTION("""COMPUTED_VALUE"""),19823.46)</f>
        <v>19823.46</v>
      </c>
      <c r="F150" s="320">
        <f>IFERROR(__xludf.DUMMYFUNCTION("""COMPUTED_VALUE"""),6.3885)</f>
        <v>6.3885</v>
      </c>
      <c r="G150" s="320">
        <f>IFERROR(__xludf.DUMMYFUNCTION("""COMPUTED_VALUE"""),44.51)</f>
        <v>44.51</v>
      </c>
      <c r="H150" s="320">
        <f>IFERROR(__xludf.DUMMYFUNCTION("""COMPUTED_VALUE"""),14.3544)</f>
        <v>14.3544</v>
      </c>
      <c r="I150" s="320">
        <f>IFERROR(__xludf.DUMMYFUNCTION("""COMPUTED_VALUE"""),127.56)</f>
        <v>127.56</v>
      </c>
      <c r="J150" s="320">
        <f>IFERROR(__xludf.DUMMYFUNCTION("""COMPUTED_VALUE"""),79.48)</f>
        <v>79.48</v>
      </c>
      <c r="K150" s="320">
        <f>IFERROR(__xludf.DUMMYFUNCTION("""COMPUTED_VALUE"""),54.13)</f>
        <v>54.13</v>
      </c>
      <c r="L150" s="320">
        <f>IFERROR(__xludf.DUMMYFUNCTION("""COMPUTED_VALUE"""),0.681)</f>
        <v>0.681</v>
      </c>
      <c r="M150" s="320">
        <f>IFERROR(__xludf.DUMMYFUNCTION("""COMPUTED_VALUE"""),0.4132)</f>
        <v>0.4132</v>
      </c>
      <c r="N150" s="320">
        <f>IFERROR(__xludf.DUMMYFUNCTION("""COMPUTED_VALUE"""),0.2375)</f>
        <v>0.2375</v>
      </c>
      <c r="O150" s="320">
        <f>IFERROR(__xludf.DUMMYFUNCTION("""COMPUTED_VALUE"""),1.4683)</f>
        <v>1.4683</v>
      </c>
      <c r="P150" s="320">
        <f>IFERROR(__xludf.DUMMYFUNCTION("""COMPUTED_VALUE"""),712.64)</f>
        <v>712.64</v>
      </c>
      <c r="Q150" s="320">
        <f>IFERROR(__xludf.DUMMYFUNCTION("""COMPUTED_VALUE"""),599.02)</f>
        <v>599.02</v>
      </c>
      <c r="R150" s="320">
        <f>IFERROR(__xludf.DUMMYFUNCTION("""COMPUTED_VALUE"""),113.61)</f>
        <v>113.61</v>
      </c>
      <c r="S150" s="320">
        <f>IFERROR(__xludf.DUMMYFUNCTION("""COMPUTED_VALUE"""),405.74)</f>
        <v>405.74</v>
      </c>
      <c r="T150" s="320">
        <f>IFERROR(__xludf.DUMMYFUNCTION("""COMPUTED_VALUE"""),306.89)</f>
        <v>306.89</v>
      </c>
      <c r="U150" s="320">
        <f>IFERROR(__xludf.DUMMYFUNCTION("""COMPUTED_VALUE"""),740.27)</f>
        <v>740.27</v>
      </c>
      <c r="V150" s="320">
        <f>IFERROR(__xludf.DUMMYFUNCTION("""COMPUTED_VALUE"""),9.3137)</f>
        <v>9.3137</v>
      </c>
      <c r="W150" s="320">
        <f>IFERROR(__xludf.DUMMYFUNCTION("""COMPUTED_VALUE"""),56.94)</f>
        <v>56.94</v>
      </c>
      <c r="X150" s="320">
        <f>IFERROR(__xludf.DUMMYFUNCTION("""COMPUTED_VALUE"""),100.0)</f>
        <v>100</v>
      </c>
      <c r="Y150" s="320">
        <f>IFERROR(__xludf.DUMMYFUNCTION("""COMPUTED_VALUE"""),320.0)</f>
        <v>320</v>
      </c>
      <c r="Z150" s="320">
        <f>IFERROR(__xludf.DUMMYFUNCTION("""COMPUTED_VALUE"""),1058.0)</f>
        <v>1058</v>
      </c>
      <c r="AA150" s="320">
        <f>IFERROR(__xludf.DUMMYFUNCTION("""COMPUTED_VALUE"""),57.5619)</f>
        <v>57.5619</v>
      </c>
      <c r="AB150" s="320">
        <f>IFERROR(__xludf.DUMMYFUNCTION("""COMPUTED_VALUE"""),0.7511)</f>
        <v>0.7511</v>
      </c>
      <c r="AC150" s="320">
        <f>IFERROR(__xludf.DUMMYFUNCTION("""COMPUTED_VALUE"""),36.18)</f>
        <v>36.18</v>
      </c>
      <c r="AD150" s="320">
        <f>IFERROR(__xludf.DUMMYFUNCTION("""COMPUTED_VALUE"""),11.0)</f>
        <v>11</v>
      </c>
      <c r="AE150" s="320">
        <f>IFERROR(__xludf.DUMMYFUNCTION("""COMPUTED_VALUE"""),27.0)</f>
        <v>27</v>
      </c>
      <c r="AF150" s="320">
        <f>IFERROR(__xludf.DUMMYFUNCTION("""COMPUTED_VALUE"""),51.0)</f>
        <v>51</v>
      </c>
      <c r="AG150" s="320">
        <f>IFERROR(__xludf.DUMMYFUNCTION("""COMPUTED_VALUE"""),79.0)</f>
        <v>79</v>
      </c>
      <c r="AH150" s="320">
        <f>IFERROR(__xludf.DUMMYFUNCTION("""COMPUTED_VALUE"""),49.34)</f>
        <v>49.34</v>
      </c>
      <c r="AI150" s="320">
        <f>IFERROR(__xludf.DUMMYFUNCTION("""COMPUTED_VALUE"""),19.34)</f>
        <v>19.34</v>
      </c>
      <c r="AJ150" s="320">
        <f>IFERROR(__xludf.DUMMYFUNCTION("""COMPUTED_VALUE"""),5.12)</f>
        <v>5.12</v>
      </c>
      <c r="AK150" s="320">
        <f>IFERROR(__xludf.DUMMYFUNCTION("""COMPUTED_VALUE"""),0.195)</f>
        <v>0.195</v>
      </c>
      <c r="AL150" s="320">
        <f>IFERROR(__xludf.DUMMYFUNCTION("""COMPUTED_VALUE"""),20.86)</f>
        <v>20.86</v>
      </c>
      <c r="AM150" s="320">
        <f>IFERROR(__xludf.DUMMYFUNCTION("""COMPUTED_VALUE"""),578.16)</f>
        <v>578.16</v>
      </c>
      <c r="AN150" s="320">
        <f>IFERROR(__xludf.DUMMYFUNCTION("""COMPUTED_VALUE"""),73.18)</f>
        <v>73.18</v>
      </c>
      <c r="AO150" s="320">
        <f>IFERROR(__xludf.DUMMYFUNCTION("""COMPUTED_VALUE"""),15.27)</f>
        <v>15.27</v>
      </c>
    </row>
    <row r="151" ht="15.75" customHeight="1">
      <c r="A151" s="330">
        <f>IFERROR(__xludf.DUMMYFUNCTION("""COMPUTED_VALUE"""),46074.0)</f>
        <v>46074</v>
      </c>
      <c r="B151" s="319" t="str">
        <f>IFERROR(__xludf.DUMMYFUNCTION("""COMPUTED_VALUE"""),"F. 100+")</f>
        <v>F. 100+</v>
      </c>
      <c r="C151" s="320">
        <f>IFERROR(__xludf.DUMMYFUNCTION("""COMPUTED_VALUE"""),365.0)</f>
        <v>365</v>
      </c>
      <c r="D151" s="320">
        <f>IFERROR(__xludf.DUMMYFUNCTION("""COMPUTED_VALUE"""),0.48)</f>
        <v>0.48</v>
      </c>
      <c r="E151" s="320">
        <f>IFERROR(__xludf.DUMMYFUNCTION("""COMPUTED_VALUE"""),4489.76)</f>
        <v>4489.76</v>
      </c>
      <c r="F151" s="320">
        <f>IFERROR(__xludf.DUMMYFUNCTION("""COMPUTED_VALUE"""),12.3007)</f>
        <v>12.3007</v>
      </c>
      <c r="G151" s="320">
        <f>IFERROR(__xludf.DUMMYFUNCTION("""COMPUTED_VALUE"""),47.67)</f>
        <v>47.67</v>
      </c>
      <c r="H151" s="320">
        <f>IFERROR(__xludf.DUMMYFUNCTION("""COMPUTED_VALUE"""),25.8032)</f>
        <v>25.8032</v>
      </c>
      <c r="I151" s="320">
        <f>IFERROR(__xludf.DUMMYFUNCTION("""COMPUTED_VALUE"""),235.91)</f>
        <v>235.91</v>
      </c>
      <c r="J151" s="320">
        <f>IFERROR(__xludf.DUMMYFUNCTION("""COMPUTED_VALUE"""),151.88)</f>
        <v>151.88</v>
      </c>
      <c r="K151" s="320">
        <f>IFERROR(__xludf.DUMMYFUNCTION("""COMPUTED_VALUE"""),123.71)</f>
        <v>123.71</v>
      </c>
      <c r="L151" s="320">
        <f>IFERROR(__xludf.DUMMYFUNCTION("""COMPUTED_VALUE"""),0.8145)</f>
        <v>0.8145</v>
      </c>
      <c r="M151" s="320">
        <f>IFERROR(__xludf.DUMMYFUNCTION("""COMPUTED_VALUE"""),0.2812)</f>
        <v>0.2812</v>
      </c>
      <c r="N151" s="320">
        <f>IFERROR(__xludf.DUMMYFUNCTION("""COMPUTED_VALUE"""),0.1784)</f>
        <v>0.1784</v>
      </c>
      <c r="O151" s="320">
        <f>IFERROR(__xludf.DUMMYFUNCTION("""COMPUTED_VALUE"""),1.2277)</f>
        <v>1.2277</v>
      </c>
      <c r="P151" s="320">
        <f>IFERROR(__xludf.DUMMYFUNCTION("""COMPUTED_VALUE"""),1358.03)</f>
        <v>1358.03</v>
      </c>
      <c r="Q151" s="320">
        <f>IFERROR(__xludf.DUMMYFUNCTION("""COMPUTED_VALUE"""),1096.28)</f>
        <v>1096.28</v>
      </c>
      <c r="R151" s="320">
        <f>IFERROR(__xludf.DUMMYFUNCTION("""COMPUTED_VALUE"""),261.75)</f>
        <v>261.75</v>
      </c>
      <c r="S151" s="320">
        <f>IFERROR(__xludf.DUMMYFUNCTION("""COMPUTED_VALUE"""),775.64)</f>
        <v>775.64</v>
      </c>
      <c r="T151" s="320">
        <f>IFERROR(__xludf.DUMMYFUNCTION("""COMPUTED_VALUE"""),582.39)</f>
        <v>582.39</v>
      </c>
      <c r="U151" s="320">
        <f>IFERROR(__xludf.DUMMYFUNCTION("""COMPUTED_VALUE"""),1438.49)</f>
        <v>1438.49</v>
      </c>
      <c r="V151" s="320">
        <f>IFERROR(__xludf.DUMMYFUNCTION("""COMPUTED_VALUE"""),9.4715)</f>
        <v>9.4715</v>
      </c>
      <c r="W151" s="320">
        <f>IFERROR(__xludf.DUMMYFUNCTION("""COMPUTED_VALUE"""),57.12)</f>
        <v>57.12</v>
      </c>
      <c r="X151" s="320">
        <f>IFERROR(__xludf.DUMMYFUNCTION("""COMPUTED_VALUE"""),116.0)</f>
        <v>116</v>
      </c>
      <c r="Y151" s="320">
        <f>IFERROR(__xludf.DUMMYFUNCTION("""COMPUTED_VALUE"""),558.0)</f>
        <v>558</v>
      </c>
      <c r="Z151" s="320">
        <f>IFERROR(__xludf.DUMMYFUNCTION("""COMPUTED_VALUE"""),2032.0)</f>
        <v>2032</v>
      </c>
      <c r="AA151" s="320">
        <f>IFERROR(__xludf.DUMMYFUNCTION("""COMPUTED_VALUE"""),61.4683)</f>
        <v>61.4683</v>
      </c>
      <c r="AB151" s="320">
        <f>IFERROR(__xludf.DUMMYFUNCTION("""COMPUTED_VALUE"""),0.8477)</f>
        <v>0.8477</v>
      </c>
      <c r="AC151" s="320">
        <f>IFERROR(__xludf.DUMMYFUNCTION("""COMPUTED_VALUE"""),81.19)</f>
        <v>81.19</v>
      </c>
      <c r="AD151" s="320">
        <f>IFERROR(__xludf.DUMMYFUNCTION("""COMPUTED_VALUE"""),25.0)</f>
        <v>25</v>
      </c>
      <c r="AE151" s="320">
        <f>IFERROR(__xludf.DUMMYFUNCTION("""COMPUTED_VALUE"""),64.0)</f>
        <v>64</v>
      </c>
      <c r="AF151" s="320">
        <f>IFERROR(__xludf.DUMMYFUNCTION("""COMPUTED_VALUE"""),114.0)</f>
        <v>114</v>
      </c>
      <c r="AG151" s="320">
        <f>IFERROR(__xludf.DUMMYFUNCTION("""COMPUTED_VALUE"""),169.0)</f>
        <v>169</v>
      </c>
      <c r="AH151" s="320">
        <f>IFERROR(__xludf.DUMMYFUNCTION("""COMPUTED_VALUE"""),41.64)</f>
        <v>41.64</v>
      </c>
      <c r="AI151" s="320">
        <f>IFERROR(__xludf.DUMMYFUNCTION("""COMPUTED_VALUE"""),9.04)</f>
        <v>9.04</v>
      </c>
      <c r="AJ151" s="320">
        <f>IFERROR(__xludf.DUMMYFUNCTION("""COMPUTED_VALUE"""),2.19)</f>
        <v>2.19</v>
      </c>
      <c r="AK151" s="320">
        <f>IFERROR(__xludf.DUMMYFUNCTION("""COMPUTED_VALUE"""),0.1479)</f>
        <v>0.1479</v>
      </c>
      <c r="AL151" s="320">
        <f>IFERROR(__xludf.DUMMYFUNCTION("""COMPUTED_VALUE"""),20.73)</f>
        <v>20.73</v>
      </c>
      <c r="AM151" s="320">
        <f>IFERROR(__xludf.DUMMYFUNCTION("""COMPUTED_VALUE"""),1075.55)</f>
        <v>1075.55</v>
      </c>
      <c r="AN151" s="320">
        <f>IFERROR(__xludf.DUMMYFUNCTION("""COMPUTED_VALUE"""),67.67)</f>
        <v>67.67</v>
      </c>
      <c r="AO151" s="320">
        <f>IFERROR(__xludf.DUMMYFUNCTION("""COMPUTED_VALUE"""),14.03)</f>
        <v>14.03</v>
      </c>
    </row>
    <row r="152" ht="15.75" customHeight="1">
      <c r="A152" s="330">
        <f>IFERROR(__xludf.DUMMYFUNCTION("""COMPUTED_VALUE"""),46075.0)</f>
        <v>46075</v>
      </c>
      <c r="B152" s="319" t="str">
        <f>IFERROR(__xludf.DUMMYFUNCTION("""COMPUTED_VALUE"""),"A. 0")</f>
        <v>A. 0</v>
      </c>
      <c r="C152" s="320">
        <f>IFERROR(__xludf.DUMMYFUNCTION("""COMPUTED_VALUE"""),16426.0)</f>
        <v>16426</v>
      </c>
      <c r="D152" s="320">
        <f>IFERROR(__xludf.DUMMYFUNCTION("""COMPUTED_VALUE"""),21.12)</f>
        <v>21.12</v>
      </c>
      <c r="E152" s="320">
        <f>IFERROR(__xludf.DUMMYFUNCTION("""COMPUTED_VALUE"""),246.32)</f>
        <v>246.32</v>
      </c>
      <c r="F152" s="320">
        <f>IFERROR(__xludf.DUMMYFUNCTION("""COMPUTED_VALUE"""),0.015)</f>
        <v>0.015</v>
      </c>
      <c r="G152" s="320">
        <f>IFERROR(__xludf.DUMMYFUNCTION("""COMPUTED_VALUE"""),0.23)</f>
        <v>0.23</v>
      </c>
      <c r="H152" s="320">
        <f>IFERROR(__xludf.DUMMYFUNCTION("""COMPUTED_VALUE"""),6.6573)</f>
        <v>6.6573</v>
      </c>
      <c r="I152" s="320">
        <f>IFERROR(__xludf.DUMMYFUNCTION("""COMPUTED_VALUE"""),6.52)</f>
        <v>6.52</v>
      </c>
      <c r="J152" s="320">
        <f>IFERROR(__xludf.DUMMYFUNCTION("""COMPUTED_VALUE"""),3.04)</f>
        <v>3.04</v>
      </c>
      <c r="K152" s="320">
        <f>IFERROR(__xludf.DUMMYFUNCTION("""COMPUTED_VALUE"""),0.02)</f>
        <v>0.02</v>
      </c>
      <c r="L152" s="320">
        <f>IFERROR(__xludf.DUMMYFUNCTION("""COMPUTED_VALUE"""),0.0071)</f>
        <v>0.0071</v>
      </c>
      <c r="M152" s="320">
        <f>IFERROR(__xludf.DUMMYFUNCTION("""COMPUTED_VALUE"""),0.9941)</f>
        <v>0.9941</v>
      </c>
      <c r="N152" s="320">
        <f>IFERROR(__xludf.DUMMYFUNCTION("""COMPUTED_VALUE"""),0.9028)</f>
        <v>0.9028</v>
      </c>
      <c r="O152" s="320">
        <f>IFERROR(__xludf.DUMMYFUNCTION("""COMPUTED_VALUE"""),141.6006)</f>
        <v>141.6006</v>
      </c>
      <c r="P152" s="320">
        <f>IFERROR(__xludf.DUMMYFUNCTION("""COMPUTED_VALUE"""),23.62)</f>
        <v>23.62</v>
      </c>
      <c r="Q152" s="320">
        <f>IFERROR(__xludf.DUMMYFUNCTION("""COMPUTED_VALUE"""),23.55)</f>
        <v>23.55</v>
      </c>
      <c r="R152" s="320">
        <f>IFERROR(__xludf.DUMMYFUNCTION("""COMPUTED_VALUE"""),0.06)</f>
        <v>0.06</v>
      </c>
      <c r="S152" s="320">
        <f>IFERROR(__xludf.DUMMYFUNCTION("""COMPUTED_VALUE"""),0.99)</f>
        <v>0.99</v>
      </c>
      <c r="T152" s="320">
        <f>IFERROR(__xludf.DUMMYFUNCTION("""COMPUTED_VALUE"""),22.63)</f>
        <v>22.63</v>
      </c>
      <c r="U152" s="320">
        <f>IFERROR(__xludf.DUMMYFUNCTION("""COMPUTED_VALUE"""),2.5)</f>
        <v>2.5</v>
      </c>
      <c r="V152" s="320">
        <f>IFERROR(__xludf.DUMMYFUNCTION("""COMPUTED_VALUE"""),0.8212)</f>
        <v>0.8212</v>
      </c>
      <c r="W152" s="320">
        <f>IFERROR(__xludf.DUMMYFUNCTION("""COMPUTED_VALUE"""),4.2)</f>
        <v>4.2</v>
      </c>
      <c r="X152" s="320">
        <f>IFERROR(__xludf.DUMMYFUNCTION("""COMPUTED_VALUE"""),135.0)</f>
        <v>135</v>
      </c>
      <c r="Y152" s="320">
        <f>IFERROR(__xludf.DUMMYFUNCTION("""COMPUTED_VALUE"""),970.0)</f>
        <v>970</v>
      </c>
      <c r="Z152" s="320">
        <f>IFERROR(__xludf.DUMMYFUNCTION("""COMPUTED_VALUE"""),6798.0)</f>
        <v>6798</v>
      </c>
      <c r="AA152" s="320">
        <f>IFERROR(__xludf.DUMMYFUNCTION("""COMPUTED_VALUE"""),49.7147)</f>
        <v>49.7147</v>
      </c>
      <c r="AB152" s="320">
        <f>IFERROR(__xludf.DUMMYFUNCTION("""COMPUTED_VALUE"""),0.5129)</f>
        <v>0.5129</v>
      </c>
      <c r="AC152" s="106"/>
      <c r="AD152" s="106"/>
      <c r="AE152" s="106"/>
      <c r="AF152" s="106"/>
      <c r="AG152" s="106"/>
      <c r="AH152" s="320">
        <f>IFERROR(__xludf.DUMMYFUNCTION("""COMPUTED_VALUE"""),0.0)</f>
        <v>0</v>
      </c>
      <c r="AI152" s="320">
        <f>IFERROR(__xludf.DUMMYFUNCTION("""COMPUTED_VALUE"""),0.0)</f>
        <v>0</v>
      </c>
      <c r="AJ152" s="320">
        <f>IFERROR(__xludf.DUMMYFUNCTION("""COMPUTED_VALUE"""),0.0)</f>
        <v>0</v>
      </c>
      <c r="AK152" s="320">
        <f>IFERROR(__xludf.DUMMYFUNCTION("""COMPUTED_VALUE"""),0.2853)</f>
        <v>0.2853</v>
      </c>
      <c r="AL152" s="320">
        <f>IFERROR(__xludf.DUMMYFUNCTION("""COMPUTED_VALUE"""),17.14)</f>
        <v>17.14</v>
      </c>
      <c r="AM152" s="320">
        <f>IFERROR(__xludf.DUMMYFUNCTION("""COMPUTED_VALUE"""),6.42)</f>
        <v>6.42</v>
      </c>
      <c r="AN152" s="331"/>
      <c r="AO152" s="331"/>
    </row>
    <row r="153" ht="15.75" customHeight="1">
      <c r="A153" s="330">
        <f>IFERROR(__xludf.DUMMYFUNCTION("""COMPUTED_VALUE"""),46075.0)</f>
        <v>46075</v>
      </c>
      <c r="B153" s="319" t="str">
        <f>IFERROR(__xludf.DUMMYFUNCTION("""COMPUTED_VALUE"""),"B. 1-9")</f>
        <v>B. 1-9</v>
      </c>
      <c r="C153" s="320">
        <f>IFERROR(__xludf.DUMMYFUNCTION("""COMPUTED_VALUE"""),33566.0)</f>
        <v>33566</v>
      </c>
      <c r="D153" s="320">
        <f>IFERROR(__xludf.DUMMYFUNCTION("""COMPUTED_VALUE"""),43.16)</f>
        <v>43.16</v>
      </c>
      <c r="E153" s="320">
        <f>IFERROR(__xludf.DUMMYFUNCTION("""COMPUTED_VALUE"""),8288.52)</f>
        <v>8288.52</v>
      </c>
      <c r="F153" s="320">
        <f>IFERROR(__xludf.DUMMYFUNCTION("""COMPUTED_VALUE"""),0.2469)</f>
        <v>0.2469</v>
      </c>
      <c r="G153" s="320">
        <f>IFERROR(__xludf.DUMMYFUNCTION("""COMPUTED_VALUE"""),6.97)</f>
        <v>6.97</v>
      </c>
      <c r="H153" s="320">
        <f>IFERROR(__xludf.DUMMYFUNCTION("""COMPUTED_VALUE"""),3.5421)</f>
        <v>3.5421</v>
      </c>
      <c r="I153" s="320">
        <f>IFERROR(__xludf.DUMMYFUNCTION("""COMPUTED_VALUE"""),35.76)</f>
        <v>35.76</v>
      </c>
      <c r="J153" s="320">
        <f>IFERROR(__xludf.DUMMYFUNCTION("""COMPUTED_VALUE"""),19.7)</f>
        <v>19.7</v>
      </c>
      <c r="K153" s="320">
        <f>IFERROR(__xludf.DUMMYFUNCTION("""COMPUTED_VALUE"""),5.41)</f>
        <v>5.41</v>
      </c>
      <c r="L153" s="320">
        <f>IFERROR(__xludf.DUMMYFUNCTION("""COMPUTED_VALUE"""),0.2745)</f>
        <v>0.2745</v>
      </c>
      <c r="M153" s="320">
        <f>IFERROR(__xludf.DUMMYFUNCTION("""COMPUTED_VALUE"""),0.7867)</f>
        <v>0.7867</v>
      </c>
      <c r="N153" s="320">
        <f>IFERROR(__xludf.DUMMYFUNCTION("""COMPUTED_VALUE"""),0.5338)</f>
        <v>0.5338</v>
      </c>
      <c r="O153" s="320">
        <f>IFERROR(__xludf.DUMMYFUNCTION("""COMPUTED_VALUE"""),3.643)</f>
        <v>3.643</v>
      </c>
      <c r="P153" s="320">
        <f>IFERROR(__xludf.DUMMYFUNCTION("""COMPUTED_VALUE"""),65.76)</f>
        <v>65.76</v>
      </c>
      <c r="Q153" s="320">
        <f>IFERROR(__xludf.DUMMYFUNCTION("""COMPUTED_VALUE"""),54.61)</f>
        <v>54.61</v>
      </c>
      <c r="R153" s="320">
        <f>IFERROR(__xludf.DUMMYFUNCTION("""COMPUTED_VALUE"""),11.14)</f>
        <v>11.14</v>
      </c>
      <c r="S153" s="320">
        <f>IFERROR(__xludf.DUMMYFUNCTION("""COMPUTED_VALUE"""),17.03)</f>
        <v>17.03</v>
      </c>
      <c r="T153" s="320">
        <f>IFERROR(__xludf.DUMMYFUNCTION("""COMPUTED_VALUE"""),48.73)</f>
        <v>48.73</v>
      </c>
      <c r="U153" s="320">
        <f>IFERROR(__xludf.DUMMYFUNCTION("""COMPUTED_VALUE"""),75.6)</f>
        <v>75.6</v>
      </c>
      <c r="V153" s="320">
        <f>IFERROR(__xludf.DUMMYFUNCTION("""COMPUTED_VALUE"""),3.8373)</f>
        <v>3.8373</v>
      </c>
      <c r="W153" s="320">
        <f>IFERROR(__xludf.DUMMYFUNCTION("""COMPUTED_VALUE"""),25.9)</f>
        <v>25.9</v>
      </c>
      <c r="X153" s="320">
        <f>IFERROR(__xludf.DUMMYFUNCTION("""COMPUTED_VALUE"""),84.0)</f>
        <v>84</v>
      </c>
      <c r="Y153" s="320">
        <f>IFERROR(__xludf.DUMMYFUNCTION("""COMPUTED_VALUE"""),196.0)</f>
        <v>196</v>
      </c>
      <c r="Z153" s="320">
        <f>IFERROR(__xludf.DUMMYFUNCTION("""COMPUTED_VALUE"""),835.0)</f>
        <v>835</v>
      </c>
      <c r="AA153" s="320">
        <f>IFERROR(__xludf.DUMMYFUNCTION("""COMPUTED_VALUE"""),49.3921)</f>
        <v>49.3921</v>
      </c>
      <c r="AB153" s="320">
        <f>IFERROR(__xludf.DUMMYFUNCTION("""COMPUTED_VALUE"""),0.4468)</f>
        <v>0.4468</v>
      </c>
      <c r="AC153" s="320">
        <f>IFERROR(__xludf.DUMMYFUNCTION("""COMPUTED_VALUE"""),3.46)</f>
        <v>3.46</v>
      </c>
      <c r="AD153" s="320">
        <f>IFERROR(__xludf.DUMMYFUNCTION("""COMPUTED_VALUE"""),1.0)</f>
        <v>1</v>
      </c>
      <c r="AE153" s="320">
        <f>IFERROR(__xludf.DUMMYFUNCTION("""COMPUTED_VALUE"""),2.0)</f>
        <v>2</v>
      </c>
      <c r="AF153" s="320">
        <f>IFERROR(__xludf.DUMMYFUNCTION("""COMPUTED_VALUE"""),4.0)</f>
        <v>4</v>
      </c>
      <c r="AG153" s="320">
        <f>IFERROR(__xludf.DUMMYFUNCTION("""COMPUTED_VALUE"""),8.0)</f>
        <v>8</v>
      </c>
      <c r="AH153" s="320">
        <f>IFERROR(__xludf.DUMMYFUNCTION("""COMPUTED_VALUE"""),66.22)</f>
        <v>66.22</v>
      </c>
      <c r="AI153" s="320">
        <f>IFERROR(__xludf.DUMMYFUNCTION("""COMPUTED_VALUE"""),23.89)</f>
        <v>23.89</v>
      </c>
      <c r="AJ153" s="320">
        <f>IFERROR(__xludf.DUMMYFUNCTION("""COMPUTED_VALUE"""),6.41)</f>
        <v>6.41</v>
      </c>
      <c r="AK153" s="320">
        <f>IFERROR(__xludf.DUMMYFUNCTION("""COMPUTED_VALUE"""),0.2371)</f>
        <v>0.2371</v>
      </c>
      <c r="AL153" s="320">
        <f>IFERROR(__xludf.DUMMYFUNCTION("""COMPUTED_VALUE"""),21.35)</f>
        <v>21.35</v>
      </c>
      <c r="AM153" s="320">
        <f>IFERROR(__xludf.DUMMYFUNCTION("""COMPUTED_VALUE"""),33.27)</f>
        <v>33.27</v>
      </c>
      <c r="AN153" s="320">
        <f>IFERROR(__xludf.DUMMYFUNCTION("""COMPUTED_VALUE"""),67.4)</f>
        <v>67.4</v>
      </c>
      <c r="AO153" s="320">
        <f>IFERROR(__xludf.DUMMYFUNCTION("""COMPUTED_VALUE"""),14.39)</f>
        <v>14.39</v>
      </c>
    </row>
    <row r="154" ht="15.75" customHeight="1">
      <c r="A154" s="330">
        <f>IFERROR(__xludf.DUMMYFUNCTION("""COMPUTED_VALUE"""),46075.0)</f>
        <v>46075</v>
      </c>
      <c r="B154" s="319" t="str">
        <f>IFERROR(__xludf.DUMMYFUNCTION("""COMPUTED_VALUE"""),"C. 10-19")</f>
        <v>C. 10-19</v>
      </c>
      <c r="C154" s="320">
        <f>IFERROR(__xludf.DUMMYFUNCTION("""COMPUTED_VALUE"""),15900.0)</f>
        <v>15900</v>
      </c>
      <c r="D154" s="320">
        <f>IFERROR(__xludf.DUMMYFUNCTION("""COMPUTED_VALUE"""),20.45)</f>
        <v>20.45</v>
      </c>
      <c r="E154" s="320">
        <f>IFERROR(__xludf.DUMMYFUNCTION("""COMPUTED_VALUE"""),17115.51)</f>
        <v>17115.51</v>
      </c>
      <c r="F154" s="320">
        <f>IFERROR(__xludf.DUMMYFUNCTION("""COMPUTED_VALUE"""),1.0764)</f>
        <v>1.0764</v>
      </c>
      <c r="G154" s="320">
        <f>IFERROR(__xludf.DUMMYFUNCTION("""COMPUTED_VALUE"""),22.22)</f>
        <v>22.22</v>
      </c>
      <c r="H154" s="320">
        <f>IFERROR(__xludf.DUMMYFUNCTION("""COMPUTED_VALUE"""),4.8445)</f>
        <v>4.8445</v>
      </c>
      <c r="I154" s="320">
        <f>IFERROR(__xludf.DUMMYFUNCTION("""COMPUTED_VALUE"""),65.48)</f>
        <v>65.48</v>
      </c>
      <c r="J154" s="320">
        <f>IFERROR(__xludf.DUMMYFUNCTION("""COMPUTED_VALUE"""),37.77)</f>
        <v>37.77</v>
      </c>
      <c r="K154" s="320">
        <f>IFERROR(__xludf.DUMMYFUNCTION("""COMPUTED_VALUE"""),13.82)</f>
        <v>13.82</v>
      </c>
      <c r="L154" s="320">
        <f>IFERROR(__xludf.DUMMYFUNCTION("""COMPUTED_VALUE"""),0.3659)</f>
        <v>0.3659</v>
      </c>
      <c r="M154" s="320">
        <f>IFERROR(__xludf.DUMMYFUNCTION("""COMPUTED_VALUE"""),0.6901)</f>
        <v>0.6901</v>
      </c>
      <c r="N154" s="320">
        <f>IFERROR(__xludf.DUMMYFUNCTION("""COMPUTED_VALUE"""),0.3962)</f>
        <v>0.3962</v>
      </c>
      <c r="O154" s="320">
        <f>IFERROR(__xludf.DUMMYFUNCTION("""COMPUTED_VALUE"""),2.7327)</f>
        <v>2.7327</v>
      </c>
      <c r="P154" s="320">
        <f>IFERROR(__xludf.DUMMYFUNCTION("""COMPUTED_VALUE"""),156.21)</f>
        <v>156.21</v>
      </c>
      <c r="Q154" s="320">
        <f>IFERROR(__xludf.DUMMYFUNCTION("""COMPUTED_VALUE"""),127.49)</f>
        <v>127.49</v>
      </c>
      <c r="R154" s="320">
        <f>IFERROR(__xludf.DUMMYFUNCTION("""COMPUTED_VALUE"""),28.72)</f>
        <v>28.72</v>
      </c>
      <c r="S154" s="320">
        <f>IFERROR(__xludf.DUMMYFUNCTION("""COMPUTED_VALUE"""),72.6)</f>
        <v>72.6</v>
      </c>
      <c r="T154" s="320">
        <f>IFERROR(__xludf.DUMMYFUNCTION("""COMPUTED_VALUE"""),83.61)</f>
        <v>83.61</v>
      </c>
      <c r="U154" s="320">
        <f>IFERROR(__xludf.DUMMYFUNCTION("""COMPUTED_VALUE"""),174.31)</f>
        <v>174.31</v>
      </c>
      <c r="V154" s="320">
        <f>IFERROR(__xludf.DUMMYFUNCTION("""COMPUTED_VALUE"""),4.615)</f>
        <v>4.615</v>
      </c>
      <c r="W154" s="320">
        <f>IFERROR(__xludf.DUMMYFUNCTION("""COMPUTED_VALUE"""),46.47)</f>
        <v>46.47</v>
      </c>
      <c r="X154" s="320">
        <f>IFERROR(__xludf.DUMMYFUNCTION("""COMPUTED_VALUE"""),79.0)</f>
        <v>79</v>
      </c>
      <c r="Y154" s="320">
        <f>IFERROR(__xludf.DUMMYFUNCTION("""COMPUTED_VALUE"""),168.0)</f>
        <v>168</v>
      </c>
      <c r="Z154" s="320">
        <f>IFERROR(__xludf.DUMMYFUNCTION("""COMPUTED_VALUE"""),557.0)</f>
        <v>557</v>
      </c>
      <c r="AA154" s="320">
        <f>IFERROR(__xludf.DUMMYFUNCTION("""COMPUTED_VALUE"""),52.162)</f>
        <v>52.162</v>
      </c>
      <c r="AB154" s="320">
        <f>IFERROR(__xludf.DUMMYFUNCTION("""COMPUTED_VALUE"""),0.5368)</f>
        <v>0.5368</v>
      </c>
      <c r="AC154" s="320">
        <f>IFERROR(__xludf.DUMMYFUNCTION("""COMPUTED_VALUE"""),8.59)</f>
        <v>8.59</v>
      </c>
      <c r="AD154" s="320">
        <f>IFERROR(__xludf.DUMMYFUNCTION("""COMPUTED_VALUE"""),3.0)</f>
        <v>3</v>
      </c>
      <c r="AE154" s="320">
        <f>IFERROR(__xludf.DUMMYFUNCTION("""COMPUTED_VALUE"""),6.0)</f>
        <v>6</v>
      </c>
      <c r="AF154" s="320">
        <f>IFERROR(__xludf.DUMMYFUNCTION("""COMPUTED_VALUE"""),12.0)</f>
        <v>12</v>
      </c>
      <c r="AG154" s="320">
        <f>IFERROR(__xludf.DUMMYFUNCTION("""COMPUTED_VALUE"""),19.0)</f>
        <v>19</v>
      </c>
      <c r="AH154" s="320">
        <f>IFERROR(__xludf.DUMMYFUNCTION("""COMPUTED_VALUE"""),52.58)</f>
        <v>52.58</v>
      </c>
      <c r="AI154" s="320">
        <f>IFERROR(__xludf.DUMMYFUNCTION("""COMPUTED_VALUE"""),23.51)</f>
        <v>23.51</v>
      </c>
      <c r="AJ154" s="320">
        <f>IFERROR(__xludf.DUMMYFUNCTION("""COMPUTED_VALUE"""),4.4)</f>
        <v>4.4</v>
      </c>
      <c r="AK154" s="320">
        <f>IFERROR(__xludf.DUMMYFUNCTION("""COMPUTED_VALUE"""),0.2097)</f>
        <v>0.2097</v>
      </c>
      <c r="AL154" s="320">
        <f>IFERROR(__xludf.DUMMYFUNCTION("""COMPUTED_VALUE"""),22.0)</f>
        <v>22</v>
      </c>
      <c r="AM154" s="320">
        <f>IFERROR(__xludf.DUMMYFUNCTION("""COMPUTED_VALUE"""),105.5)</f>
        <v>105.5</v>
      </c>
      <c r="AN154" s="320">
        <f>IFERROR(__xludf.DUMMYFUNCTION("""COMPUTED_VALUE"""),73.86)</f>
        <v>73.86</v>
      </c>
      <c r="AO154" s="320">
        <f>IFERROR(__xludf.DUMMYFUNCTION("""COMPUTED_VALUE"""),16.25)</f>
        <v>16.25</v>
      </c>
    </row>
    <row r="155" ht="15.75" customHeight="1">
      <c r="A155" s="330">
        <f>IFERROR(__xludf.DUMMYFUNCTION("""COMPUTED_VALUE"""),46075.0)</f>
        <v>46075</v>
      </c>
      <c r="B155" s="319" t="str">
        <f>IFERROR(__xludf.DUMMYFUNCTION("""COMPUTED_VALUE"""),"D. 20-39")</f>
        <v>D. 20-39</v>
      </c>
      <c r="C155" s="320">
        <f>IFERROR(__xludf.DUMMYFUNCTION("""COMPUTED_VALUE"""),8377.0)</f>
        <v>8377</v>
      </c>
      <c r="D155" s="320">
        <f>IFERROR(__xludf.DUMMYFUNCTION("""COMPUTED_VALUE"""),10.77)</f>
        <v>10.77</v>
      </c>
      <c r="E155" s="320">
        <f>IFERROR(__xludf.DUMMYFUNCTION("""COMPUTED_VALUE"""),24145.85)</f>
        <v>24145.85</v>
      </c>
      <c r="F155" s="320">
        <f>IFERROR(__xludf.DUMMYFUNCTION("""COMPUTED_VALUE"""),2.8824)</f>
        <v>2.8824</v>
      </c>
      <c r="G155" s="320">
        <f>IFERROR(__xludf.DUMMYFUNCTION("""COMPUTED_VALUE"""),34.81)</f>
        <v>34.81</v>
      </c>
      <c r="H155" s="320">
        <f>IFERROR(__xludf.DUMMYFUNCTION("""COMPUTED_VALUE"""),8.2805)</f>
        <v>8.2805</v>
      </c>
      <c r="I155" s="320">
        <f>IFERROR(__xludf.DUMMYFUNCTION("""COMPUTED_VALUE"""),90.73)</f>
        <v>90.73</v>
      </c>
      <c r="J155" s="320">
        <f>IFERROR(__xludf.DUMMYFUNCTION("""COMPUTED_VALUE"""),54.21)</f>
        <v>54.21</v>
      </c>
      <c r="K155" s="320">
        <f>IFERROR(__xludf.DUMMYFUNCTION("""COMPUTED_VALUE"""),26.96)</f>
        <v>26.96</v>
      </c>
      <c r="L155" s="320">
        <f>IFERROR(__xludf.DUMMYFUNCTION("""COMPUTED_VALUE"""),0.4972)</f>
        <v>0.4972</v>
      </c>
      <c r="M155" s="320">
        <f>IFERROR(__xludf.DUMMYFUNCTION("""COMPUTED_VALUE"""),0.5721)</f>
        <v>0.5721</v>
      </c>
      <c r="N155" s="320">
        <f>IFERROR(__xludf.DUMMYFUNCTION("""COMPUTED_VALUE"""),0.3117)</f>
        <v>0.3117</v>
      </c>
      <c r="O155" s="320">
        <f>IFERROR(__xludf.DUMMYFUNCTION("""COMPUTED_VALUE"""),2.0111)</f>
        <v>2.0111</v>
      </c>
      <c r="P155" s="320">
        <f>IFERROR(__xludf.DUMMYFUNCTION("""COMPUTED_VALUE"""),312.43)</f>
        <v>312.43</v>
      </c>
      <c r="Q155" s="320">
        <f>IFERROR(__xludf.DUMMYFUNCTION("""COMPUTED_VALUE"""),256.02)</f>
        <v>256.02</v>
      </c>
      <c r="R155" s="320">
        <f>IFERROR(__xludf.DUMMYFUNCTION("""COMPUTED_VALUE"""),56.41)</f>
        <v>56.41</v>
      </c>
      <c r="S155" s="320">
        <f>IFERROR(__xludf.DUMMYFUNCTION("""COMPUTED_VALUE"""),181.05)</f>
        <v>181.05</v>
      </c>
      <c r="T155" s="320">
        <f>IFERROR(__xludf.DUMMYFUNCTION("""COMPUTED_VALUE"""),131.37)</f>
        <v>131.37</v>
      </c>
      <c r="U155" s="320">
        <f>IFERROR(__xludf.DUMMYFUNCTION("""COMPUTED_VALUE"""),351.72)</f>
        <v>351.72</v>
      </c>
      <c r="V155" s="320">
        <f>IFERROR(__xludf.DUMMYFUNCTION("""COMPUTED_VALUE"""),6.4878)</f>
        <v>6.4878</v>
      </c>
      <c r="W155" s="320">
        <f>IFERROR(__xludf.DUMMYFUNCTION("""COMPUTED_VALUE"""),57.95)</f>
        <v>57.95</v>
      </c>
      <c r="X155" s="320">
        <f>IFERROR(__xludf.DUMMYFUNCTION("""COMPUTED_VALUE"""),82.0)</f>
        <v>82</v>
      </c>
      <c r="Y155" s="320">
        <f>IFERROR(__xludf.DUMMYFUNCTION("""COMPUTED_VALUE"""),191.0)</f>
        <v>191</v>
      </c>
      <c r="Z155" s="320">
        <f>IFERROR(__xludf.DUMMYFUNCTION("""COMPUTED_VALUE"""),680.0)</f>
        <v>680</v>
      </c>
      <c r="AA155" s="320">
        <f>IFERROR(__xludf.DUMMYFUNCTION("""COMPUTED_VALUE"""),54.6052)</f>
        <v>54.6052</v>
      </c>
      <c r="AB155" s="320">
        <f>IFERROR(__xludf.DUMMYFUNCTION("""COMPUTED_VALUE"""),0.647)</f>
        <v>0.647</v>
      </c>
      <c r="AC155" s="320">
        <f>IFERROR(__xludf.DUMMYFUNCTION("""COMPUTED_VALUE"""),17.04)</f>
        <v>17.04</v>
      </c>
      <c r="AD155" s="320">
        <f>IFERROR(__xludf.DUMMYFUNCTION("""COMPUTED_VALUE"""),6.0)</f>
        <v>6</v>
      </c>
      <c r="AE155" s="320">
        <f>IFERROR(__xludf.DUMMYFUNCTION("""COMPUTED_VALUE"""),12.0)</f>
        <v>12</v>
      </c>
      <c r="AF155" s="320">
        <f>IFERROR(__xludf.DUMMYFUNCTION("""COMPUTED_VALUE"""),24.0)</f>
        <v>24</v>
      </c>
      <c r="AG155" s="320">
        <f>IFERROR(__xludf.DUMMYFUNCTION("""COMPUTED_VALUE"""),37.0)</f>
        <v>37</v>
      </c>
      <c r="AH155" s="320">
        <f>IFERROR(__xludf.DUMMYFUNCTION("""COMPUTED_VALUE"""),53.78)</f>
        <v>53.78</v>
      </c>
      <c r="AI155" s="320">
        <f>IFERROR(__xludf.DUMMYFUNCTION("""COMPUTED_VALUE"""),22.07)</f>
        <v>22.07</v>
      </c>
      <c r="AJ155" s="320">
        <f>IFERROR(__xludf.DUMMYFUNCTION("""COMPUTED_VALUE"""),7.38)</f>
        <v>7.38</v>
      </c>
      <c r="AK155" s="320">
        <f>IFERROR(__xludf.DUMMYFUNCTION("""COMPUTED_VALUE"""),0.2185)</f>
        <v>0.2185</v>
      </c>
      <c r="AL155" s="320">
        <f>IFERROR(__xludf.DUMMYFUNCTION("""COMPUTED_VALUE"""),21.26)</f>
        <v>21.26</v>
      </c>
      <c r="AM155" s="320">
        <f>IFERROR(__xludf.DUMMYFUNCTION("""COMPUTED_VALUE"""),234.76)</f>
        <v>234.76</v>
      </c>
      <c r="AN155" s="320">
        <f>IFERROR(__xludf.DUMMYFUNCTION("""COMPUTED_VALUE"""),72.96)</f>
        <v>72.96</v>
      </c>
      <c r="AO155" s="320">
        <f>IFERROR(__xludf.DUMMYFUNCTION("""COMPUTED_VALUE"""),15.51)</f>
        <v>15.51</v>
      </c>
    </row>
    <row r="156" ht="15.75" customHeight="1">
      <c r="A156" s="330">
        <f>IFERROR(__xludf.DUMMYFUNCTION("""COMPUTED_VALUE"""),46075.0)</f>
        <v>46075</v>
      </c>
      <c r="B156" s="319" t="str">
        <f>IFERROR(__xludf.DUMMYFUNCTION("""COMPUTED_VALUE"""),"E. 40-99")</f>
        <v>E. 40-99</v>
      </c>
      <c r="C156" s="320">
        <f>IFERROR(__xludf.DUMMYFUNCTION("""COMPUTED_VALUE"""),3107.0)</f>
        <v>3107</v>
      </c>
      <c r="D156" s="320">
        <f>IFERROR(__xludf.DUMMYFUNCTION("""COMPUTED_VALUE"""),4.0)</f>
        <v>4</v>
      </c>
      <c r="E156" s="320">
        <f>IFERROR(__xludf.DUMMYFUNCTION("""COMPUTED_VALUE"""),21799.59)</f>
        <v>21799.59</v>
      </c>
      <c r="F156" s="320">
        <f>IFERROR(__xludf.DUMMYFUNCTION("""COMPUTED_VALUE"""),7.0163)</f>
        <v>7.0163</v>
      </c>
      <c r="G156" s="320">
        <f>IFERROR(__xludf.DUMMYFUNCTION("""COMPUTED_VALUE"""),45.99)</f>
        <v>45.99</v>
      </c>
      <c r="H156" s="320">
        <f>IFERROR(__xludf.DUMMYFUNCTION("""COMPUTED_VALUE"""),15.2551)</f>
        <v>15.2551</v>
      </c>
      <c r="I156" s="320">
        <f>IFERROR(__xludf.DUMMYFUNCTION("""COMPUTED_VALUE"""),135.65)</f>
        <v>135.65</v>
      </c>
      <c r="J156" s="320">
        <f>IFERROR(__xludf.DUMMYFUNCTION("""COMPUTED_VALUE"""),84.52)</f>
        <v>84.52</v>
      </c>
      <c r="K156" s="320">
        <f>IFERROR(__xludf.DUMMYFUNCTION("""COMPUTED_VALUE"""),55.42)</f>
        <v>55.42</v>
      </c>
      <c r="L156" s="320">
        <f>IFERROR(__xludf.DUMMYFUNCTION("""COMPUTED_VALUE"""),0.6557)</f>
        <v>0.6557</v>
      </c>
      <c r="M156" s="320">
        <f>IFERROR(__xludf.DUMMYFUNCTION("""COMPUTED_VALUE"""),0.4308)</f>
        <v>0.4308</v>
      </c>
      <c r="N156" s="320">
        <f>IFERROR(__xludf.DUMMYFUNCTION("""COMPUTED_VALUE"""),0.2421)</f>
        <v>0.2421</v>
      </c>
      <c r="O156" s="320">
        <f>IFERROR(__xludf.DUMMYFUNCTION("""COMPUTED_VALUE"""),1.525)</f>
        <v>1.525</v>
      </c>
      <c r="P156" s="320">
        <f>IFERROR(__xludf.DUMMYFUNCTION("""COMPUTED_VALUE"""),667.4)</f>
        <v>667.4</v>
      </c>
      <c r="Q156" s="320">
        <f>IFERROR(__xludf.DUMMYFUNCTION("""COMPUTED_VALUE"""),551.01)</f>
        <v>551.01</v>
      </c>
      <c r="R156" s="320">
        <f>IFERROR(__xludf.DUMMYFUNCTION("""COMPUTED_VALUE"""),116.39)</f>
        <v>116.39</v>
      </c>
      <c r="S156" s="320">
        <f>IFERROR(__xludf.DUMMYFUNCTION("""COMPUTED_VALUE"""),440.51)</f>
        <v>440.51</v>
      </c>
      <c r="T156" s="320">
        <f>IFERROR(__xludf.DUMMYFUNCTION("""COMPUTED_VALUE"""),226.89)</f>
        <v>226.89</v>
      </c>
      <c r="U156" s="320">
        <f>IFERROR(__xludf.DUMMYFUNCTION("""COMPUTED_VALUE"""),715.61)</f>
        <v>715.61</v>
      </c>
      <c r="V156" s="320">
        <f>IFERROR(__xludf.DUMMYFUNCTION("""COMPUTED_VALUE"""),8.467)</f>
        <v>8.467</v>
      </c>
      <c r="W156" s="320">
        <f>IFERROR(__xludf.DUMMYFUNCTION("""COMPUTED_VALUE"""),66.0)</f>
        <v>66</v>
      </c>
      <c r="X156" s="320">
        <f>IFERROR(__xludf.DUMMYFUNCTION("""COMPUTED_VALUE"""),92.0)</f>
        <v>92</v>
      </c>
      <c r="Y156" s="320">
        <f>IFERROR(__xludf.DUMMYFUNCTION("""COMPUTED_VALUE"""),288.0)</f>
        <v>288</v>
      </c>
      <c r="Z156" s="320">
        <f>IFERROR(__xludf.DUMMYFUNCTION("""COMPUTED_VALUE"""),1084.0)</f>
        <v>1084</v>
      </c>
      <c r="AA156" s="320">
        <f>IFERROR(__xludf.DUMMYFUNCTION("""COMPUTED_VALUE"""),57.5502)</f>
        <v>57.5502</v>
      </c>
      <c r="AB156" s="320">
        <f>IFERROR(__xludf.DUMMYFUNCTION("""COMPUTED_VALUE"""),0.759)</f>
        <v>0.759</v>
      </c>
      <c r="AC156" s="320">
        <f>IFERROR(__xludf.DUMMYFUNCTION("""COMPUTED_VALUE"""),36.01)</f>
        <v>36.01</v>
      </c>
      <c r="AD156" s="320">
        <f>IFERROR(__xludf.DUMMYFUNCTION("""COMPUTED_VALUE"""),12.0)</f>
        <v>12</v>
      </c>
      <c r="AE156" s="320">
        <f>IFERROR(__xludf.DUMMYFUNCTION("""COMPUTED_VALUE"""),27.0)</f>
        <v>27</v>
      </c>
      <c r="AF156" s="320">
        <f>IFERROR(__xludf.DUMMYFUNCTION("""COMPUTED_VALUE"""),50.0)</f>
        <v>50</v>
      </c>
      <c r="AG156" s="320">
        <f>IFERROR(__xludf.DUMMYFUNCTION("""COMPUTED_VALUE"""),77.0)</f>
        <v>77</v>
      </c>
      <c r="AH156" s="320">
        <f>IFERROR(__xludf.DUMMYFUNCTION("""COMPUTED_VALUE"""),48.79)</f>
        <v>48.79</v>
      </c>
      <c r="AI156" s="320">
        <f>IFERROR(__xludf.DUMMYFUNCTION("""COMPUTED_VALUE"""),18.22)</f>
        <v>18.22</v>
      </c>
      <c r="AJ156" s="320">
        <f>IFERROR(__xludf.DUMMYFUNCTION("""COMPUTED_VALUE"""),4.89)</f>
        <v>4.89</v>
      </c>
      <c r="AK156" s="320">
        <f>IFERROR(__xludf.DUMMYFUNCTION("""COMPUTED_VALUE"""),0.1957)</f>
        <v>0.1957</v>
      </c>
      <c r="AL156" s="320">
        <f>IFERROR(__xludf.DUMMYFUNCTION("""COMPUTED_VALUE"""),20.88)</f>
        <v>20.88</v>
      </c>
      <c r="AM156" s="320">
        <f>IFERROR(__xludf.DUMMYFUNCTION("""COMPUTED_VALUE"""),530.13)</f>
        <v>530.13</v>
      </c>
      <c r="AN156" s="320">
        <f>IFERROR(__xludf.DUMMYFUNCTION("""COMPUTED_VALUE"""),72.85)</f>
        <v>72.85</v>
      </c>
      <c r="AO156" s="320">
        <f>IFERROR(__xludf.DUMMYFUNCTION("""COMPUTED_VALUE"""),15.21)</f>
        <v>15.21</v>
      </c>
    </row>
    <row r="157" ht="15.75" customHeight="1">
      <c r="A157" s="330">
        <f>IFERROR(__xludf.DUMMYFUNCTION("""COMPUTED_VALUE"""),46075.0)</f>
        <v>46075</v>
      </c>
      <c r="B157" s="319" t="str">
        <f>IFERROR(__xludf.DUMMYFUNCTION("""COMPUTED_VALUE"""),"F. 100+")</f>
        <v>F. 100+</v>
      </c>
      <c r="C157" s="320">
        <f>IFERROR(__xludf.DUMMYFUNCTION("""COMPUTED_VALUE"""),390.0)</f>
        <v>390</v>
      </c>
      <c r="D157" s="320">
        <f>IFERROR(__xludf.DUMMYFUNCTION("""COMPUTED_VALUE"""),0.5)</f>
        <v>0.5</v>
      </c>
      <c r="E157" s="320">
        <f>IFERROR(__xludf.DUMMYFUNCTION("""COMPUTED_VALUE"""),5169.59)</f>
        <v>5169.59</v>
      </c>
      <c r="F157" s="320">
        <f>IFERROR(__xludf.DUMMYFUNCTION("""COMPUTED_VALUE"""),13.2554)</f>
        <v>13.2554</v>
      </c>
      <c r="G157" s="320">
        <f>IFERROR(__xludf.DUMMYFUNCTION("""COMPUTED_VALUE"""),51.54)</f>
        <v>51.54</v>
      </c>
      <c r="H157" s="320">
        <f>IFERROR(__xludf.DUMMYFUNCTION("""COMPUTED_VALUE"""),25.7194)</f>
        <v>25.7194</v>
      </c>
      <c r="I157" s="320">
        <f>IFERROR(__xludf.DUMMYFUNCTION("""COMPUTED_VALUE"""),244.44)</f>
        <v>244.44</v>
      </c>
      <c r="J157" s="320">
        <f>IFERROR(__xludf.DUMMYFUNCTION("""COMPUTED_VALUE"""),159.15)</f>
        <v>159.15</v>
      </c>
      <c r="K157" s="320">
        <f>IFERROR(__xludf.DUMMYFUNCTION("""COMPUTED_VALUE"""),125.69)</f>
        <v>125.69</v>
      </c>
      <c r="L157" s="320">
        <f>IFERROR(__xludf.DUMMYFUNCTION("""COMPUTED_VALUE"""),0.7898)</f>
        <v>0.7898</v>
      </c>
      <c r="M157" s="320">
        <f>IFERROR(__xludf.DUMMYFUNCTION("""COMPUTED_VALUE"""),0.2982)</f>
        <v>0.2982</v>
      </c>
      <c r="N157" s="320">
        <f>IFERROR(__xludf.DUMMYFUNCTION("""COMPUTED_VALUE"""),0.1809)</f>
        <v>0.1809</v>
      </c>
      <c r="O157" s="320">
        <f>IFERROR(__xludf.DUMMYFUNCTION("""COMPUTED_VALUE"""),1.2662)</f>
        <v>1.2662</v>
      </c>
      <c r="P157" s="320">
        <f>IFERROR(__xludf.DUMMYFUNCTION("""COMPUTED_VALUE"""),1275.46)</f>
        <v>1275.46</v>
      </c>
      <c r="Q157" s="320">
        <f>IFERROR(__xludf.DUMMYFUNCTION("""COMPUTED_VALUE"""),1011.08)</f>
        <v>1011.08</v>
      </c>
      <c r="R157" s="320">
        <f>IFERROR(__xludf.DUMMYFUNCTION("""COMPUTED_VALUE"""),264.37)</f>
        <v>264.37</v>
      </c>
      <c r="S157" s="320">
        <f>IFERROR(__xludf.DUMMYFUNCTION("""COMPUTED_VALUE"""),827.12)</f>
        <v>827.12</v>
      </c>
      <c r="T157" s="320">
        <f>IFERROR(__xludf.DUMMYFUNCTION("""COMPUTED_VALUE"""),448.34)</f>
        <v>448.34</v>
      </c>
      <c r="U157" s="320">
        <f>IFERROR(__xludf.DUMMYFUNCTION("""COMPUTED_VALUE"""),1410.51)</f>
        <v>1410.51</v>
      </c>
      <c r="V157" s="320">
        <f>IFERROR(__xludf.DUMMYFUNCTION("""COMPUTED_VALUE"""),8.8627)</f>
        <v>8.8627</v>
      </c>
      <c r="W157" s="320">
        <f>IFERROR(__xludf.DUMMYFUNCTION("""COMPUTED_VALUE"""),64.85)</f>
        <v>64.85</v>
      </c>
      <c r="X157" s="320">
        <f>IFERROR(__xludf.DUMMYFUNCTION("""COMPUTED_VALUE"""),111.0)</f>
        <v>111</v>
      </c>
      <c r="Y157" s="320">
        <f>IFERROR(__xludf.DUMMYFUNCTION("""COMPUTED_VALUE"""),437.0)</f>
        <v>437</v>
      </c>
      <c r="Z157" s="320">
        <f>IFERROR(__xludf.DUMMYFUNCTION("""COMPUTED_VALUE"""),1894.0)</f>
        <v>1894</v>
      </c>
      <c r="AA157" s="320">
        <f>IFERROR(__xludf.DUMMYFUNCTION("""COMPUTED_VALUE"""),61.8926)</f>
        <v>61.8926</v>
      </c>
      <c r="AB157" s="320">
        <f>IFERROR(__xludf.DUMMYFUNCTION("""COMPUTED_VALUE"""),0.8476)</f>
        <v>0.8476</v>
      </c>
      <c r="AC157" s="320">
        <f>IFERROR(__xludf.DUMMYFUNCTION("""COMPUTED_VALUE"""),79.67)</f>
        <v>79.67</v>
      </c>
      <c r="AD157" s="320">
        <f>IFERROR(__xludf.DUMMYFUNCTION("""COMPUTED_VALUE"""),28.0)</f>
        <v>28</v>
      </c>
      <c r="AE157" s="320">
        <f>IFERROR(__xludf.DUMMYFUNCTION("""COMPUTED_VALUE"""),63.0)</f>
        <v>63</v>
      </c>
      <c r="AF157" s="320">
        <f>IFERROR(__xludf.DUMMYFUNCTION("""COMPUTED_VALUE"""),122.0)</f>
        <v>122</v>
      </c>
      <c r="AG157" s="320">
        <f>IFERROR(__xludf.DUMMYFUNCTION("""COMPUTED_VALUE"""),171.0)</f>
        <v>171</v>
      </c>
      <c r="AH157" s="320">
        <f>IFERROR(__xludf.DUMMYFUNCTION("""COMPUTED_VALUE"""),40.77)</f>
        <v>40.77</v>
      </c>
      <c r="AI157" s="320">
        <f>IFERROR(__xludf.DUMMYFUNCTION("""COMPUTED_VALUE"""),9.74)</f>
        <v>9.74</v>
      </c>
      <c r="AJ157" s="320">
        <f>IFERROR(__xludf.DUMMYFUNCTION("""COMPUTED_VALUE"""),0.26)</f>
        <v>0.26</v>
      </c>
      <c r="AK157" s="320">
        <f>IFERROR(__xludf.DUMMYFUNCTION("""COMPUTED_VALUE"""),0.2)</f>
        <v>0.2</v>
      </c>
      <c r="AL157" s="320">
        <f>IFERROR(__xludf.DUMMYFUNCTION("""COMPUTED_VALUE"""),19.0)</f>
        <v>19</v>
      </c>
      <c r="AM157" s="320">
        <f>IFERROR(__xludf.DUMMYFUNCTION("""COMPUTED_VALUE"""),992.08)</f>
        <v>992.08</v>
      </c>
      <c r="AN157" s="320">
        <f>IFERROR(__xludf.DUMMYFUNCTION("""COMPUTED_VALUE"""),63.66)</f>
        <v>63.66</v>
      </c>
      <c r="AO157" s="320">
        <f>IFERROR(__xludf.DUMMYFUNCTION("""COMPUTED_VALUE"""),12.1)</f>
        <v>12.1</v>
      </c>
    </row>
    <row r="158" ht="15.75" customHeight="1">
      <c r="A158" s="330">
        <f>IFERROR(__xludf.DUMMYFUNCTION("""COMPUTED_VALUE"""),46076.0)</f>
        <v>46076</v>
      </c>
      <c r="B158" s="319" t="str">
        <f>IFERROR(__xludf.DUMMYFUNCTION("""COMPUTED_VALUE"""),"A. 0")</f>
        <v>A. 0</v>
      </c>
      <c r="C158" s="320">
        <f>IFERROR(__xludf.DUMMYFUNCTION("""COMPUTED_VALUE"""),15796.0)</f>
        <v>15796</v>
      </c>
      <c r="D158" s="320">
        <f>IFERROR(__xludf.DUMMYFUNCTION("""COMPUTED_VALUE"""),19.68)</f>
        <v>19.68</v>
      </c>
      <c r="E158" s="320">
        <f>IFERROR(__xludf.DUMMYFUNCTION("""COMPUTED_VALUE"""),623.14)</f>
        <v>623.14</v>
      </c>
      <c r="F158" s="320">
        <f>IFERROR(__xludf.DUMMYFUNCTION("""COMPUTED_VALUE"""),0.0394)</f>
        <v>0.0394</v>
      </c>
      <c r="G158" s="320">
        <f>IFERROR(__xludf.DUMMYFUNCTION("""COMPUTED_VALUE"""),0.23)</f>
        <v>0.23</v>
      </c>
      <c r="H158" s="320">
        <f>IFERROR(__xludf.DUMMYFUNCTION("""COMPUTED_VALUE"""),17.3094)</f>
        <v>17.3094</v>
      </c>
      <c r="I158" s="320">
        <f>IFERROR(__xludf.DUMMYFUNCTION("""COMPUTED_VALUE"""),5.72)</f>
        <v>5.72</v>
      </c>
      <c r="J158" s="320">
        <f>IFERROR(__xludf.DUMMYFUNCTION("""COMPUTED_VALUE"""),2.53)</f>
        <v>2.53</v>
      </c>
      <c r="K158" s="320">
        <f>IFERROR(__xludf.DUMMYFUNCTION("""COMPUTED_VALUE"""),0.08)</f>
        <v>0.08</v>
      </c>
      <c r="L158" s="320">
        <f>IFERROR(__xludf.DUMMYFUNCTION("""COMPUTED_VALUE"""),0.0306)</f>
        <v>0.0306</v>
      </c>
      <c r="M158" s="320">
        <f>IFERROR(__xludf.DUMMYFUNCTION("""COMPUTED_VALUE"""),0.9733)</f>
        <v>0.9733</v>
      </c>
      <c r="N158" s="320">
        <f>IFERROR(__xludf.DUMMYFUNCTION("""COMPUTED_VALUE"""),0.7246)</f>
        <v>0.7246</v>
      </c>
      <c r="O158" s="320">
        <f>IFERROR(__xludf.DUMMYFUNCTION("""COMPUTED_VALUE"""),32.6664)</f>
        <v>32.6664</v>
      </c>
      <c r="P158" s="320">
        <f>IFERROR(__xludf.DUMMYFUNCTION("""COMPUTED_VALUE"""),36.8)</f>
        <v>36.8</v>
      </c>
      <c r="Q158" s="320">
        <f>IFERROR(__xludf.DUMMYFUNCTION("""COMPUTED_VALUE"""),36.73)</f>
        <v>36.73</v>
      </c>
      <c r="R158" s="320">
        <f>IFERROR(__xludf.DUMMYFUNCTION("""COMPUTED_VALUE"""),0.07)</f>
        <v>0.07</v>
      </c>
      <c r="S158" s="320">
        <f>IFERROR(__xludf.DUMMYFUNCTION("""COMPUTED_VALUE"""),1.53)</f>
        <v>1.53</v>
      </c>
      <c r="T158" s="320">
        <f>IFERROR(__xludf.DUMMYFUNCTION("""COMPUTED_VALUE"""),35.28)</f>
        <v>35.28</v>
      </c>
      <c r="U158" s="320">
        <f>IFERROR(__xludf.DUMMYFUNCTION("""COMPUTED_VALUE"""),2.71)</f>
        <v>2.71</v>
      </c>
      <c r="V158" s="320">
        <f>IFERROR(__xludf.DUMMYFUNCTION("""COMPUTED_VALUE"""),1.0713)</f>
        <v>1.0713</v>
      </c>
      <c r="W158" s="320">
        <f>IFERROR(__xludf.DUMMYFUNCTION("""COMPUTED_VALUE"""),4.15)</f>
        <v>4.15</v>
      </c>
      <c r="X158" s="320">
        <f>IFERROR(__xludf.DUMMYFUNCTION("""COMPUTED_VALUE"""),192.0)</f>
        <v>192</v>
      </c>
      <c r="Y158" s="320">
        <f>IFERROR(__xludf.DUMMYFUNCTION("""COMPUTED_VALUE"""),1289.0)</f>
        <v>1289</v>
      </c>
      <c r="Z158" s="320">
        <f>IFERROR(__xludf.DUMMYFUNCTION("""COMPUTED_VALUE"""),7382.0)</f>
        <v>7382</v>
      </c>
      <c r="AA158" s="320">
        <f>IFERROR(__xludf.DUMMYFUNCTION("""COMPUTED_VALUE"""),49.6531)</f>
        <v>49.6531</v>
      </c>
      <c r="AB158" s="320">
        <f>IFERROR(__xludf.DUMMYFUNCTION("""COMPUTED_VALUE"""),0.5245)</f>
        <v>0.5245</v>
      </c>
      <c r="AC158" s="106"/>
      <c r="AD158" s="106"/>
      <c r="AE158" s="106"/>
      <c r="AF158" s="106"/>
      <c r="AG158" s="106"/>
      <c r="AH158" s="320">
        <f>IFERROR(__xludf.DUMMYFUNCTION("""COMPUTED_VALUE"""),0.0)</f>
        <v>0</v>
      </c>
      <c r="AI158" s="320">
        <f>IFERROR(__xludf.DUMMYFUNCTION("""COMPUTED_VALUE"""),0.0)</f>
        <v>0</v>
      </c>
      <c r="AJ158" s="320">
        <f>IFERROR(__xludf.DUMMYFUNCTION("""COMPUTED_VALUE"""),0.0)</f>
        <v>0</v>
      </c>
      <c r="AK158" s="320">
        <f>IFERROR(__xludf.DUMMYFUNCTION("""COMPUTED_VALUE"""),0.2823)</f>
        <v>0.2823</v>
      </c>
      <c r="AL158" s="320">
        <f>IFERROR(__xludf.DUMMYFUNCTION("""COMPUTED_VALUE"""),15.93)</f>
        <v>15.93</v>
      </c>
      <c r="AM158" s="320">
        <f>IFERROR(__xludf.DUMMYFUNCTION("""COMPUTED_VALUE"""),20.8)</f>
        <v>20.8</v>
      </c>
      <c r="AN158" s="331"/>
      <c r="AO158" s="331"/>
    </row>
    <row r="159" ht="15.75" customHeight="1">
      <c r="A159" s="330">
        <f>IFERROR(__xludf.DUMMYFUNCTION("""COMPUTED_VALUE"""),46076.0)</f>
        <v>46076</v>
      </c>
      <c r="B159" s="319" t="str">
        <f>IFERROR(__xludf.DUMMYFUNCTION("""COMPUTED_VALUE"""),"B. 1-9")</f>
        <v>B. 1-9</v>
      </c>
      <c r="C159" s="320">
        <f>IFERROR(__xludf.DUMMYFUNCTION("""COMPUTED_VALUE"""),34642.0)</f>
        <v>34642</v>
      </c>
      <c r="D159" s="320">
        <f>IFERROR(__xludf.DUMMYFUNCTION("""COMPUTED_VALUE"""),43.16)</f>
        <v>43.16</v>
      </c>
      <c r="E159" s="320">
        <f>IFERROR(__xludf.DUMMYFUNCTION("""COMPUTED_VALUE"""),7008.2)</f>
        <v>7008.2</v>
      </c>
      <c r="F159" s="320">
        <f>IFERROR(__xludf.DUMMYFUNCTION("""COMPUTED_VALUE"""),0.2023)</f>
        <v>0.2023</v>
      </c>
      <c r="G159" s="320">
        <f>IFERROR(__xludf.DUMMYFUNCTION("""COMPUTED_VALUE"""),6.09)</f>
        <v>6.09</v>
      </c>
      <c r="H159" s="320">
        <f>IFERROR(__xludf.DUMMYFUNCTION("""COMPUTED_VALUE"""),3.3198)</f>
        <v>3.3198</v>
      </c>
      <c r="I159" s="320">
        <f>IFERROR(__xludf.DUMMYFUNCTION("""COMPUTED_VALUE"""),35.88)</f>
        <v>35.88</v>
      </c>
      <c r="J159" s="320">
        <f>IFERROR(__xludf.DUMMYFUNCTION("""COMPUTED_VALUE"""),19.57)</f>
        <v>19.57</v>
      </c>
      <c r="K159" s="320">
        <f>IFERROR(__xludf.DUMMYFUNCTION("""COMPUTED_VALUE"""),5.61)</f>
        <v>5.61</v>
      </c>
      <c r="L159" s="320">
        <f>IFERROR(__xludf.DUMMYFUNCTION("""COMPUTED_VALUE"""),0.2867)</f>
        <v>0.2867</v>
      </c>
      <c r="M159" s="320">
        <f>IFERROR(__xludf.DUMMYFUNCTION("""COMPUTED_VALUE"""),0.7811)</f>
        <v>0.7811</v>
      </c>
      <c r="N159" s="320">
        <f>IFERROR(__xludf.DUMMYFUNCTION("""COMPUTED_VALUE"""),0.5418)</f>
        <v>0.5418</v>
      </c>
      <c r="O159" s="320">
        <f>IFERROR(__xludf.DUMMYFUNCTION("""COMPUTED_VALUE"""),3.4875)</f>
        <v>3.4875</v>
      </c>
      <c r="P159" s="320">
        <f>IFERROR(__xludf.DUMMYFUNCTION("""COMPUTED_VALUE"""),98.04)</f>
        <v>98.04</v>
      </c>
      <c r="Q159" s="320">
        <f>IFERROR(__xludf.DUMMYFUNCTION("""COMPUTED_VALUE"""),86.58)</f>
        <v>86.58</v>
      </c>
      <c r="R159" s="320">
        <f>IFERROR(__xludf.DUMMYFUNCTION("""COMPUTED_VALUE"""),11.46)</f>
        <v>11.46</v>
      </c>
      <c r="S159" s="320">
        <f>IFERROR(__xludf.DUMMYFUNCTION("""COMPUTED_VALUE"""),14.8)</f>
        <v>14.8</v>
      </c>
      <c r="T159" s="320">
        <f>IFERROR(__xludf.DUMMYFUNCTION("""COMPUTED_VALUE"""),83.24)</f>
        <v>83.24</v>
      </c>
      <c r="U159" s="320">
        <f>IFERROR(__xludf.DUMMYFUNCTION("""COMPUTED_VALUE"""),89.83)</f>
        <v>89.83</v>
      </c>
      <c r="V159" s="320">
        <f>IFERROR(__xludf.DUMMYFUNCTION("""COMPUTED_VALUE"""),4.589)</f>
        <v>4.589</v>
      </c>
      <c r="W159" s="320">
        <f>IFERROR(__xludf.DUMMYFUNCTION("""COMPUTED_VALUE"""),15.09)</f>
        <v>15.09</v>
      </c>
      <c r="X159" s="320">
        <f>IFERROR(__xludf.DUMMYFUNCTION("""COMPUTED_VALUE"""),91.0)</f>
        <v>91</v>
      </c>
      <c r="Y159" s="320">
        <f>IFERROR(__xludf.DUMMYFUNCTION("""COMPUTED_VALUE"""),207.0)</f>
        <v>207</v>
      </c>
      <c r="Z159" s="320">
        <f>IFERROR(__xludf.DUMMYFUNCTION("""COMPUTED_VALUE"""),781.0)</f>
        <v>781</v>
      </c>
      <c r="AA159" s="320">
        <f>IFERROR(__xludf.DUMMYFUNCTION("""COMPUTED_VALUE"""),49.4586)</f>
        <v>49.4586</v>
      </c>
      <c r="AB159" s="320">
        <f>IFERROR(__xludf.DUMMYFUNCTION("""COMPUTED_VALUE"""),0.4341)</f>
        <v>0.4341</v>
      </c>
      <c r="AC159" s="320">
        <f>IFERROR(__xludf.DUMMYFUNCTION("""COMPUTED_VALUE"""),3.51)</f>
        <v>3.51</v>
      </c>
      <c r="AD159" s="320">
        <f>IFERROR(__xludf.DUMMYFUNCTION("""COMPUTED_VALUE"""),1.0)</f>
        <v>1</v>
      </c>
      <c r="AE159" s="320">
        <f>IFERROR(__xludf.DUMMYFUNCTION("""COMPUTED_VALUE"""),2.0)</f>
        <v>2</v>
      </c>
      <c r="AF159" s="320">
        <f>IFERROR(__xludf.DUMMYFUNCTION("""COMPUTED_VALUE"""),4.0)</f>
        <v>4</v>
      </c>
      <c r="AG159" s="320">
        <f>IFERROR(__xludf.DUMMYFUNCTION("""COMPUTED_VALUE"""),8.0)</f>
        <v>8</v>
      </c>
      <c r="AH159" s="320">
        <f>IFERROR(__xludf.DUMMYFUNCTION("""COMPUTED_VALUE"""),67.43)</f>
        <v>67.43</v>
      </c>
      <c r="AI159" s="320">
        <f>IFERROR(__xludf.DUMMYFUNCTION("""COMPUTED_VALUE"""),24.51)</f>
        <v>24.51</v>
      </c>
      <c r="AJ159" s="320">
        <f>IFERROR(__xludf.DUMMYFUNCTION("""COMPUTED_VALUE"""),6.51)</f>
        <v>6.51</v>
      </c>
      <c r="AK159" s="320">
        <f>IFERROR(__xludf.DUMMYFUNCTION("""COMPUTED_VALUE"""),0.2092)</f>
        <v>0.2092</v>
      </c>
      <c r="AL159" s="320">
        <f>IFERROR(__xludf.DUMMYFUNCTION("""COMPUTED_VALUE"""),18.5)</f>
        <v>18.5</v>
      </c>
      <c r="AM159" s="320">
        <f>IFERROR(__xludf.DUMMYFUNCTION("""COMPUTED_VALUE"""),68.09)</f>
        <v>68.09</v>
      </c>
      <c r="AN159" s="320">
        <f>IFERROR(__xludf.DUMMYFUNCTION("""COMPUTED_VALUE"""),67.81)</f>
        <v>67.81</v>
      </c>
      <c r="AO159" s="320">
        <f>IFERROR(__xludf.DUMMYFUNCTION("""COMPUTED_VALUE"""),12.54)</f>
        <v>12.54</v>
      </c>
    </row>
    <row r="160" ht="15.75" customHeight="1">
      <c r="A160" s="330">
        <f>IFERROR(__xludf.DUMMYFUNCTION("""COMPUTED_VALUE"""),46076.0)</f>
        <v>46076</v>
      </c>
      <c r="B160" s="319" t="str">
        <f>IFERROR(__xludf.DUMMYFUNCTION("""COMPUTED_VALUE"""),"C. 10-19")</f>
        <v>C. 10-19</v>
      </c>
      <c r="C160" s="320">
        <f>IFERROR(__xludf.DUMMYFUNCTION("""COMPUTED_VALUE"""),17059.0)</f>
        <v>17059</v>
      </c>
      <c r="D160" s="320">
        <f>IFERROR(__xludf.DUMMYFUNCTION("""COMPUTED_VALUE"""),21.25)</f>
        <v>21.25</v>
      </c>
      <c r="E160" s="320">
        <f>IFERROR(__xludf.DUMMYFUNCTION("""COMPUTED_VALUE"""),17354.76)</f>
        <v>17354.76</v>
      </c>
      <c r="F160" s="320">
        <f>IFERROR(__xludf.DUMMYFUNCTION("""COMPUTED_VALUE"""),1.0173)</f>
        <v>1.0173</v>
      </c>
      <c r="G160" s="320">
        <f>IFERROR(__xludf.DUMMYFUNCTION("""COMPUTED_VALUE"""),19.51)</f>
        <v>19.51</v>
      </c>
      <c r="H160" s="320">
        <f>IFERROR(__xludf.DUMMYFUNCTION("""COMPUTED_VALUE"""),5.2132)</f>
        <v>5.2132</v>
      </c>
      <c r="I160" s="320">
        <f>IFERROR(__xludf.DUMMYFUNCTION("""COMPUTED_VALUE"""),64.5)</f>
        <v>64.5</v>
      </c>
      <c r="J160" s="320">
        <f>IFERROR(__xludf.DUMMYFUNCTION("""COMPUTED_VALUE"""),37.46)</f>
        <v>37.46</v>
      </c>
      <c r="K160" s="320">
        <f>IFERROR(__xludf.DUMMYFUNCTION("""COMPUTED_VALUE"""),14.5)</f>
        <v>14.5</v>
      </c>
      <c r="L160" s="320">
        <f>IFERROR(__xludf.DUMMYFUNCTION("""COMPUTED_VALUE"""),0.3871)</f>
        <v>0.3871</v>
      </c>
      <c r="M160" s="320">
        <f>IFERROR(__xludf.DUMMYFUNCTION("""COMPUTED_VALUE"""),0.6771)</f>
        <v>0.6771</v>
      </c>
      <c r="N160" s="320">
        <f>IFERROR(__xludf.DUMMYFUNCTION("""COMPUTED_VALUE"""),0.4)</f>
        <v>0.4</v>
      </c>
      <c r="O160" s="320">
        <f>IFERROR(__xludf.DUMMYFUNCTION("""COMPUTED_VALUE"""),2.5831)</f>
        <v>2.5831</v>
      </c>
      <c r="P160" s="320">
        <f>IFERROR(__xludf.DUMMYFUNCTION("""COMPUTED_VALUE"""),210.32)</f>
        <v>210.32</v>
      </c>
      <c r="Q160" s="320">
        <f>IFERROR(__xludf.DUMMYFUNCTION("""COMPUTED_VALUE"""),181.34)</f>
        <v>181.34</v>
      </c>
      <c r="R160" s="320">
        <f>IFERROR(__xludf.DUMMYFUNCTION("""COMPUTED_VALUE"""),28.98)</f>
        <v>28.98</v>
      </c>
      <c r="S160" s="320">
        <f>IFERROR(__xludf.DUMMYFUNCTION("""COMPUTED_VALUE"""),68.41)</f>
        <v>68.41</v>
      </c>
      <c r="T160" s="320">
        <f>IFERROR(__xludf.DUMMYFUNCTION("""COMPUTED_VALUE"""),141.91)</f>
        <v>141.91</v>
      </c>
      <c r="U160" s="320">
        <f>IFERROR(__xludf.DUMMYFUNCTION("""COMPUTED_VALUE"""),206.88)</f>
        <v>206.88</v>
      </c>
      <c r="V160" s="320">
        <f>IFERROR(__xludf.DUMMYFUNCTION("""COMPUTED_VALUE"""),5.5223)</f>
        <v>5.5223</v>
      </c>
      <c r="W160" s="320">
        <f>IFERROR(__xludf.DUMMYFUNCTION("""COMPUTED_VALUE"""),32.53)</f>
        <v>32.53</v>
      </c>
      <c r="X160" s="320">
        <f>IFERROR(__xludf.DUMMYFUNCTION("""COMPUTED_VALUE"""),85.0)</f>
        <v>85</v>
      </c>
      <c r="Y160" s="320">
        <f>IFERROR(__xludf.DUMMYFUNCTION("""COMPUTED_VALUE"""),196.0)</f>
        <v>196</v>
      </c>
      <c r="Z160" s="320">
        <f>IFERROR(__xludf.DUMMYFUNCTION("""COMPUTED_VALUE"""),604.0)</f>
        <v>604</v>
      </c>
      <c r="AA160" s="320">
        <f>IFERROR(__xludf.DUMMYFUNCTION("""COMPUTED_VALUE"""),52.3292)</f>
        <v>52.3292</v>
      </c>
      <c r="AB160" s="320">
        <f>IFERROR(__xludf.DUMMYFUNCTION("""COMPUTED_VALUE"""),0.5044)</f>
        <v>0.5044</v>
      </c>
      <c r="AC160" s="320">
        <f>IFERROR(__xludf.DUMMYFUNCTION("""COMPUTED_VALUE"""),8.79)</f>
        <v>8.79</v>
      </c>
      <c r="AD160" s="320">
        <f>IFERROR(__xludf.DUMMYFUNCTION("""COMPUTED_VALUE"""),3.0)</f>
        <v>3</v>
      </c>
      <c r="AE160" s="320">
        <f>IFERROR(__xludf.DUMMYFUNCTION("""COMPUTED_VALUE"""),6.0)</f>
        <v>6</v>
      </c>
      <c r="AF160" s="320">
        <f>IFERROR(__xludf.DUMMYFUNCTION("""COMPUTED_VALUE"""),12.0)</f>
        <v>12</v>
      </c>
      <c r="AG160" s="320">
        <f>IFERROR(__xludf.DUMMYFUNCTION("""COMPUTED_VALUE"""),20.0)</f>
        <v>20</v>
      </c>
      <c r="AH160" s="320">
        <f>IFERROR(__xludf.DUMMYFUNCTION("""COMPUTED_VALUE"""),52.76)</f>
        <v>52.76</v>
      </c>
      <c r="AI160" s="320">
        <f>IFERROR(__xludf.DUMMYFUNCTION("""COMPUTED_VALUE"""),24.05)</f>
        <v>24.05</v>
      </c>
      <c r="AJ160" s="320">
        <f>IFERROR(__xludf.DUMMYFUNCTION("""COMPUTED_VALUE"""),5.11)</f>
        <v>5.11</v>
      </c>
      <c r="AK160" s="320">
        <f>IFERROR(__xludf.DUMMYFUNCTION("""COMPUTED_VALUE"""),0.1779)</f>
        <v>0.1779</v>
      </c>
      <c r="AL160" s="320">
        <f>IFERROR(__xludf.DUMMYFUNCTION("""COMPUTED_VALUE"""),19.23)</f>
        <v>19.23</v>
      </c>
      <c r="AM160" s="320">
        <f>IFERROR(__xludf.DUMMYFUNCTION("""COMPUTED_VALUE"""),162.11)</f>
        <v>162.11</v>
      </c>
      <c r="AN160" s="320">
        <f>IFERROR(__xludf.DUMMYFUNCTION("""COMPUTED_VALUE"""),72.58)</f>
        <v>72.58</v>
      </c>
      <c r="AO160" s="320">
        <f>IFERROR(__xludf.DUMMYFUNCTION("""COMPUTED_VALUE"""),13.96)</f>
        <v>13.96</v>
      </c>
    </row>
    <row r="161" ht="15.75" customHeight="1">
      <c r="A161" s="330">
        <f>IFERROR(__xludf.DUMMYFUNCTION("""COMPUTED_VALUE"""),46076.0)</f>
        <v>46076</v>
      </c>
      <c r="B161" s="319" t="str">
        <f>IFERROR(__xludf.DUMMYFUNCTION("""COMPUTED_VALUE"""),"D. 20-39")</f>
        <v>D. 20-39</v>
      </c>
      <c r="C161" s="320">
        <f>IFERROR(__xludf.DUMMYFUNCTION("""COMPUTED_VALUE"""),8927.0)</f>
        <v>8927</v>
      </c>
      <c r="D161" s="320">
        <f>IFERROR(__xludf.DUMMYFUNCTION("""COMPUTED_VALUE"""),11.12)</f>
        <v>11.12</v>
      </c>
      <c r="E161" s="320">
        <f>IFERROR(__xludf.DUMMYFUNCTION("""COMPUTED_VALUE"""),25290.73)</f>
        <v>25290.73</v>
      </c>
      <c r="F161" s="320">
        <f>IFERROR(__xludf.DUMMYFUNCTION("""COMPUTED_VALUE"""),2.8331)</f>
        <v>2.8331</v>
      </c>
      <c r="G161" s="320">
        <f>IFERROR(__xludf.DUMMYFUNCTION("""COMPUTED_VALUE"""),33.57)</f>
        <v>33.57</v>
      </c>
      <c r="H161" s="320">
        <f>IFERROR(__xludf.DUMMYFUNCTION("""COMPUTED_VALUE"""),8.4387)</f>
        <v>8.4387</v>
      </c>
      <c r="I161" s="320">
        <f>IFERROR(__xludf.DUMMYFUNCTION("""COMPUTED_VALUE"""),92.44)</f>
        <v>92.44</v>
      </c>
      <c r="J161" s="320">
        <f>IFERROR(__xludf.DUMMYFUNCTION("""COMPUTED_VALUE"""),54.98)</f>
        <v>54.98</v>
      </c>
      <c r="K161" s="320">
        <f>IFERROR(__xludf.DUMMYFUNCTION("""COMPUTED_VALUE"""),29.18)</f>
        <v>29.18</v>
      </c>
      <c r="L161" s="320">
        <f>IFERROR(__xludf.DUMMYFUNCTION("""COMPUTED_VALUE"""),0.5308)</f>
        <v>0.5308</v>
      </c>
      <c r="M161" s="320">
        <f>IFERROR(__xludf.DUMMYFUNCTION("""COMPUTED_VALUE"""),0.5481)</f>
        <v>0.5481</v>
      </c>
      <c r="N161" s="320">
        <f>IFERROR(__xludf.DUMMYFUNCTION("""COMPUTED_VALUE"""),0.3075)</f>
        <v>0.3075</v>
      </c>
      <c r="O161" s="320">
        <f>IFERROR(__xludf.DUMMYFUNCTION("""COMPUTED_VALUE"""),1.884)</f>
        <v>1.884</v>
      </c>
      <c r="P161" s="320">
        <f>IFERROR(__xludf.DUMMYFUNCTION("""COMPUTED_VALUE"""),406.08)</f>
        <v>406.08</v>
      </c>
      <c r="Q161" s="320">
        <f>IFERROR(__xludf.DUMMYFUNCTION("""COMPUTED_VALUE"""),348.23)</f>
        <v>348.23</v>
      </c>
      <c r="R161" s="320">
        <f>IFERROR(__xludf.DUMMYFUNCTION("""COMPUTED_VALUE"""),57.85)</f>
        <v>57.85</v>
      </c>
      <c r="S161" s="320">
        <f>IFERROR(__xludf.DUMMYFUNCTION("""COMPUTED_VALUE"""),180.5)</f>
        <v>180.5</v>
      </c>
      <c r="T161" s="320">
        <f>IFERROR(__xludf.DUMMYFUNCTION("""COMPUTED_VALUE"""),225.58)</f>
        <v>225.58</v>
      </c>
      <c r="U161" s="320">
        <f>IFERROR(__xludf.DUMMYFUNCTION("""COMPUTED_VALUE"""),414.11)</f>
        <v>414.11</v>
      </c>
      <c r="V161" s="320">
        <f>IFERROR(__xludf.DUMMYFUNCTION("""COMPUTED_VALUE"""),7.5325)</f>
        <v>7.5325</v>
      </c>
      <c r="W161" s="320">
        <f>IFERROR(__xludf.DUMMYFUNCTION("""COMPUTED_VALUE"""),44.45)</f>
        <v>44.45</v>
      </c>
      <c r="X161" s="320">
        <f>IFERROR(__xludf.DUMMYFUNCTION("""COMPUTED_VALUE"""),89.0)</f>
        <v>89</v>
      </c>
      <c r="Y161" s="320">
        <f>IFERROR(__xludf.DUMMYFUNCTION("""COMPUTED_VALUE"""),233.0)</f>
        <v>233</v>
      </c>
      <c r="Z161" s="320">
        <f>IFERROR(__xludf.DUMMYFUNCTION("""COMPUTED_VALUE"""),772.0)</f>
        <v>772</v>
      </c>
      <c r="AA161" s="320">
        <f>IFERROR(__xludf.DUMMYFUNCTION("""COMPUTED_VALUE"""),54.535)</f>
        <v>54.535</v>
      </c>
      <c r="AB161" s="320">
        <f>IFERROR(__xludf.DUMMYFUNCTION("""COMPUTED_VALUE"""),0.5965)</f>
        <v>0.5965</v>
      </c>
      <c r="AC161" s="320">
        <f>IFERROR(__xludf.DUMMYFUNCTION("""COMPUTED_VALUE"""),17.86)</f>
        <v>17.86</v>
      </c>
      <c r="AD161" s="320">
        <f>IFERROR(__xludf.DUMMYFUNCTION("""COMPUTED_VALUE"""),6.0)</f>
        <v>6</v>
      </c>
      <c r="AE161" s="320">
        <f>IFERROR(__xludf.DUMMYFUNCTION("""COMPUTED_VALUE"""),14.0)</f>
        <v>14</v>
      </c>
      <c r="AF161" s="320">
        <f>IFERROR(__xludf.DUMMYFUNCTION("""COMPUTED_VALUE"""),26.0)</f>
        <v>26</v>
      </c>
      <c r="AG161" s="320">
        <f>IFERROR(__xludf.DUMMYFUNCTION("""COMPUTED_VALUE"""),38.0)</f>
        <v>38</v>
      </c>
      <c r="AH161" s="320">
        <f>IFERROR(__xludf.DUMMYFUNCTION("""COMPUTED_VALUE"""),57.85)</f>
        <v>57.85</v>
      </c>
      <c r="AI161" s="320">
        <f>IFERROR(__xludf.DUMMYFUNCTION("""COMPUTED_VALUE"""),25.48)</f>
        <v>25.48</v>
      </c>
      <c r="AJ161" s="320">
        <f>IFERROR(__xludf.DUMMYFUNCTION("""COMPUTED_VALUE"""),6.33)</f>
        <v>6.33</v>
      </c>
      <c r="AK161" s="320">
        <f>IFERROR(__xludf.DUMMYFUNCTION("""COMPUTED_VALUE"""),0.1784)</f>
        <v>0.1784</v>
      </c>
      <c r="AL161" s="320">
        <f>IFERROR(__xludf.DUMMYFUNCTION("""COMPUTED_VALUE"""),19.59)</f>
        <v>19.59</v>
      </c>
      <c r="AM161" s="320">
        <f>IFERROR(__xludf.DUMMYFUNCTION("""COMPUTED_VALUE"""),328.64)</f>
        <v>328.64</v>
      </c>
      <c r="AN161" s="320">
        <f>IFERROR(__xludf.DUMMYFUNCTION("""COMPUTED_VALUE"""),70.29)</f>
        <v>70.29</v>
      </c>
      <c r="AO161" s="320">
        <f>IFERROR(__xludf.DUMMYFUNCTION("""COMPUTED_VALUE"""),13.77)</f>
        <v>13.77</v>
      </c>
    </row>
    <row r="162" ht="15.75" customHeight="1">
      <c r="A162" s="330">
        <f>IFERROR(__xludf.DUMMYFUNCTION("""COMPUTED_VALUE"""),46076.0)</f>
        <v>46076</v>
      </c>
      <c r="B162" s="319" t="str">
        <f>IFERROR(__xludf.DUMMYFUNCTION("""COMPUTED_VALUE"""),"E. 40-99")</f>
        <v>E. 40-99</v>
      </c>
      <c r="C162" s="320">
        <f>IFERROR(__xludf.DUMMYFUNCTION("""COMPUTED_VALUE"""),3461.0)</f>
        <v>3461</v>
      </c>
      <c r="D162" s="320">
        <f>IFERROR(__xludf.DUMMYFUNCTION("""COMPUTED_VALUE"""),4.31)</f>
        <v>4.31</v>
      </c>
      <c r="E162" s="320">
        <f>IFERROR(__xludf.DUMMYFUNCTION("""COMPUTED_VALUE"""),23517.09)</f>
        <v>23517.09</v>
      </c>
      <c r="F162" s="320">
        <f>IFERROR(__xludf.DUMMYFUNCTION("""COMPUTED_VALUE"""),6.7949)</f>
        <v>6.7949</v>
      </c>
      <c r="G162" s="320">
        <f>IFERROR(__xludf.DUMMYFUNCTION("""COMPUTED_VALUE"""),43.43)</f>
        <v>43.43</v>
      </c>
      <c r="H162" s="320">
        <f>IFERROR(__xludf.DUMMYFUNCTION("""COMPUTED_VALUE"""),15.6468)</f>
        <v>15.6468</v>
      </c>
      <c r="I162" s="320">
        <f>IFERROR(__xludf.DUMMYFUNCTION("""COMPUTED_VALUE"""),143.88)</f>
        <v>143.88</v>
      </c>
      <c r="J162" s="320">
        <f>IFERROR(__xludf.DUMMYFUNCTION("""COMPUTED_VALUE"""),88.36)</f>
        <v>88.36</v>
      </c>
      <c r="K162" s="320">
        <f>IFERROR(__xludf.DUMMYFUNCTION("""COMPUTED_VALUE"""),60.99)</f>
        <v>60.99</v>
      </c>
      <c r="L162" s="320">
        <f>IFERROR(__xludf.DUMMYFUNCTION("""COMPUTED_VALUE"""),0.6902)</f>
        <v>0.6902</v>
      </c>
      <c r="M162" s="320">
        <f>IFERROR(__xludf.DUMMYFUNCTION("""COMPUTED_VALUE"""),0.4075)</f>
        <v>0.4075</v>
      </c>
      <c r="N162" s="320">
        <f>IFERROR(__xludf.DUMMYFUNCTION("""COMPUTED_VALUE"""),0.2412)</f>
        <v>0.2412</v>
      </c>
      <c r="O162" s="320">
        <f>IFERROR(__xludf.DUMMYFUNCTION("""COMPUTED_VALUE"""),1.4488)</f>
        <v>1.4488</v>
      </c>
      <c r="P162" s="320">
        <f>IFERROR(__xludf.DUMMYFUNCTION("""COMPUTED_VALUE"""),816.35)</f>
        <v>816.35</v>
      </c>
      <c r="Q162" s="320">
        <f>IFERROR(__xludf.DUMMYFUNCTION("""COMPUTED_VALUE"""),700.06)</f>
        <v>700.06</v>
      </c>
      <c r="R162" s="320">
        <f>IFERROR(__xludf.DUMMYFUNCTION("""COMPUTED_VALUE"""),116.29)</f>
        <v>116.29</v>
      </c>
      <c r="S162" s="320">
        <f>IFERROR(__xludf.DUMMYFUNCTION("""COMPUTED_VALUE"""),434.84)</f>
        <v>434.84</v>
      </c>
      <c r="T162" s="320">
        <f>IFERROR(__xludf.DUMMYFUNCTION("""COMPUTED_VALUE"""),381.51)</f>
        <v>381.51</v>
      </c>
      <c r="U162" s="320">
        <f>IFERROR(__xludf.DUMMYFUNCTION("""COMPUTED_VALUE"""),840.36)</f>
        <v>840.36</v>
      </c>
      <c r="V162" s="320">
        <f>IFERROR(__xludf.DUMMYFUNCTION("""COMPUTED_VALUE"""),9.5112)</f>
        <v>9.5112</v>
      </c>
      <c r="W162" s="320">
        <f>IFERROR(__xludf.DUMMYFUNCTION("""COMPUTED_VALUE"""),53.27)</f>
        <v>53.27</v>
      </c>
      <c r="X162" s="320">
        <f>IFERROR(__xludf.DUMMYFUNCTION("""COMPUTED_VALUE"""),107.0)</f>
        <v>107</v>
      </c>
      <c r="Y162" s="320">
        <f>IFERROR(__xludf.DUMMYFUNCTION("""COMPUTED_VALUE"""),387.0)</f>
        <v>387</v>
      </c>
      <c r="Z162" s="320">
        <f>IFERROR(__xludf.DUMMYFUNCTION("""COMPUTED_VALUE"""),1340.0)</f>
        <v>1340</v>
      </c>
      <c r="AA162" s="320">
        <f>IFERROR(__xludf.DUMMYFUNCTION("""COMPUTED_VALUE"""),57.4733)</f>
        <v>57.4733</v>
      </c>
      <c r="AB162" s="320">
        <f>IFERROR(__xludf.DUMMYFUNCTION("""COMPUTED_VALUE"""),0.6794)</f>
        <v>0.6794</v>
      </c>
      <c r="AC162" s="320">
        <f>IFERROR(__xludf.DUMMYFUNCTION("""COMPUTED_VALUE"""),36.48)</f>
        <v>36.48</v>
      </c>
      <c r="AD162" s="320">
        <f>IFERROR(__xludf.DUMMYFUNCTION("""COMPUTED_VALUE"""),13.0)</f>
        <v>13</v>
      </c>
      <c r="AE162" s="320">
        <f>IFERROR(__xludf.DUMMYFUNCTION("""COMPUTED_VALUE"""),30.0)</f>
        <v>30</v>
      </c>
      <c r="AF162" s="320">
        <f>IFERROR(__xludf.DUMMYFUNCTION("""COMPUTED_VALUE"""),50.0)</f>
        <v>50</v>
      </c>
      <c r="AG162" s="320">
        <f>IFERROR(__xludf.DUMMYFUNCTION("""COMPUTED_VALUE"""),77.0)</f>
        <v>77</v>
      </c>
      <c r="AH162" s="320">
        <f>IFERROR(__xludf.DUMMYFUNCTION("""COMPUTED_VALUE"""),52.04)</f>
        <v>52.04</v>
      </c>
      <c r="AI162" s="320">
        <f>IFERROR(__xludf.DUMMYFUNCTION("""COMPUTED_VALUE"""),17.74)</f>
        <v>17.74</v>
      </c>
      <c r="AJ162" s="320">
        <f>IFERROR(__xludf.DUMMYFUNCTION("""COMPUTED_VALUE"""),4.94)</f>
        <v>4.94</v>
      </c>
      <c r="AK162" s="320">
        <f>IFERROR(__xludf.DUMMYFUNCTION("""COMPUTED_VALUE"""),0.154)</f>
        <v>0.154</v>
      </c>
      <c r="AL162" s="320">
        <f>IFERROR(__xludf.DUMMYFUNCTION("""COMPUTED_VALUE"""),19.31)</f>
        <v>19.31</v>
      </c>
      <c r="AM162" s="320">
        <f>IFERROR(__xludf.DUMMYFUNCTION("""COMPUTED_VALUE"""),680.75)</f>
        <v>680.75</v>
      </c>
      <c r="AN162" s="320">
        <f>IFERROR(__xludf.DUMMYFUNCTION("""COMPUTED_VALUE"""),68.68)</f>
        <v>68.68</v>
      </c>
      <c r="AO162" s="320">
        <f>IFERROR(__xludf.DUMMYFUNCTION("""COMPUTED_VALUE"""),13.26)</f>
        <v>13.26</v>
      </c>
    </row>
    <row r="163" ht="15.75" customHeight="1">
      <c r="A163" s="330">
        <f>IFERROR(__xludf.DUMMYFUNCTION("""COMPUTED_VALUE"""),46076.0)</f>
        <v>46076</v>
      </c>
      <c r="B163" s="319" t="str">
        <f>IFERROR(__xludf.DUMMYFUNCTION("""COMPUTED_VALUE"""),"F. 100+")</f>
        <v>F. 100+</v>
      </c>
      <c r="C163" s="320">
        <f>IFERROR(__xludf.DUMMYFUNCTION("""COMPUTED_VALUE"""),374.0)</f>
        <v>374</v>
      </c>
      <c r="D163" s="320">
        <f>IFERROR(__xludf.DUMMYFUNCTION("""COMPUTED_VALUE"""),0.47)</f>
        <v>0.47</v>
      </c>
      <c r="E163" s="320">
        <f>IFERROR(__xludf.DUMMYFUNCTION("""COMPUTED_VALUE"""),4827.21)</f>
        <v>4827.21</v>
      </c>
      <c r="F163" s="320">
        <f>IFERROR(__xludf.DUMMYFUNCTION("""COMPUTED_VALUE"""),12.907)</f>
        <v>12.907</v>
      </c>
      <c r="G163" s="320">
        <f>IFERROR(__xludf.DUMMYFUNCTION("""COMPUTED_VALUE"""),48.66)</f>
        <v>48.66</v>
      </c>
      <c r="H163" s="320">
        <f>IFERROR(__xludf.DUMMYFUNCTION("""COMPUTED_VALUE"""),26.5231)</f>
        <v>26.5231</v>
      </c>
      <c r="I163" s="320">
        <f>IFERROR(__xludf.DUMMYFUNCTION("""COMPUTED_VALUE"""),248.26)</f>
        <v>248.26</v>
      </c>
      <c r="J163" s="320">
        <f>IFERROR(__xludf.DUMMYFUNCTION("""COMPUTED_VALUE"""),158.77)</f>
        <v>158.77</v>
      </c>
      <c r="K163" s="320">
        <f>IFERROR(__xludf.DUMMYFUNCTION("""COMPUTED_VALUE"""),130.39)</f>
        <v>130.39</v>
      </c>
      <c r="L163" s="320">
        <f>IFERROR(__xludf.DUMMYFUNCTION("""COMPUTED_VALUE"""),0.8212)</f>
        <v>0.8212</v>
      </c>
      <c r="M163" s="320">
        <f>IFERROR(__xludf.DUMMYFUNCTION("""COMPUTED_VALUE"""),0.2739)</f>
        <v>0.2739</v>
      </c>
      <c r="N163" s="320">
        <f>IFERROR(__xludf.DUMMYFUNCTION("""COMPUTED_VALUE"""),0.1782)</f>
        <v>0.1782</v>
      </c>
      <c r="O163" s="320">
        <f>IFERROR(__xludf.DUMMYFUNCTION("""COMPUTED_VALUE"""),1.2177)</f>
        <v>1.2177</v>
      </c>
      <c r="P163" s="320">
        <f>IFERROR(__xludf.DUMMYFUNCTION("""COMPUTED_VALUE"""),1480.6)</f>
        <v>1480.6</v>
      </c>
      <c r="Q163" s="320">
        <f>IFERROR(__xludf.DUMMYFUNCTION("""COMPUTED_VALUE"""),1206.49)</f>
        <v>1206.49</v>
      </c>
      <c r="R163" s="320">
        <f>IFERROR(__xludf.DUMMYFUNCTION("""COMPUTED_VALUE"""),274.12)</f>
        <v>274.12</v>
      </c>
      <c r="S163" s="320">
        <f>IFERROR(__xludf.DUMMYFUNCTION("""COMPUTED_VALUE"""),816.86)</f>
        <v>816.86</v>
      </c>
      <c r="T163" s="320">
        <f>IFERROR(__xludf.DUMMYFUNCTION("""COMPUTED_VALUE"""),663.75)</f>
        <v>663.75</v>
      </c>
      <c r="U163" s="320">
        <f>IFERROR(__xludf.DUMMYFUNCTION("""COMPUTED_VALUE"""),1500.13)</f>
        <v>1500.13</v>
      </c>
      <c r="V163" s="320">
        <f>IFERROR(__xludf.DUMMYFUNCTION("""COMPUTED_VALUE"""),9.4483)</f>
        <v>9.4483</v>
      </c>
      <c r="W163" s="320">
        <f>IFERROR(__xludf.DUMMYFUNCTION("""COMPUTED_VALUE"""),55.17)</f>
        <v>55.17</v>
      </c>
      <c r="X163" s="320">
        <f>IFERROR(__xludf.DUMMYFUNCTION("""COMPUTED_VALUE"""),142.0)</f>
        <v>142</v>
      </c>
      <c r="Y163" s="320">
        <f>IFERROR(__xludf.DUMMYFUNCTION("""COMPUTED_VALUE"""),509.0)</f>
        <v>509</v>
      </c>
      <c r="Z163" s="320">
        <f>IFERROR(__xludf.DUMMYFUNCTION("""COMPUTED_VALUE"""),2195.0)</f>
        <v>2195</v>
      </c>
      <c r="AA163" s="320">
        <f>IFERROR(__xludf.DUMMYFUNCTION("""COMPUTED_VALUE"""),62.4798)</f>
        <v>62.4798</v>
      </c>
      <c r="AB163" s="320">
        <f>IFERROR(__xludf.DUMMYFUNCTION("""COMPUTED_VALUE"""),0.8341)</f>
        <v>0.8341</v>
      </c>
      <c r="AC163" s="320">
        <f>IFERROR(__xludf.DUMMYFUNCTION("""COMPUTED_VALUE"""),84.77)</f>
        <v>84.77</v>
      </c>
      <c r="AD163" s="320">
        <f>IFERROR(__xludf.DUMMYFUNCTION("""COMPUTED_VALUE"""),31.0)</f>
        <v>31</v>
      </c>
      <c r="AE163" s="320">
        <f>IFERROR(__xludf.DUMMYFUNCTION("""COMPUTED_VALUE"""),64.0)</f>
        <v>64</v>
      </c>
      <c r="AF163" s="320">
        <f>IFERROR(__xludf.DUMMYFUNCTION("""COMPUTED_VALUE"""),118.0)</f>
        <v>118</v>
      </c>
      <c r="AG163" s="320">
        <f>IFERROR(__xludf.DUMMYFUNCTION("""COMPUTED_VALUE"""),185.0)</f>
        <v>185</v>
      </c>
      <c r="AH163" s="320">
        <f>IFERROR(__xludf.DUMMYFUNCTION("""COMPUTED_VALUE"""),40.91)</f>
        <v>40.91</v>
      </c>
      <c r="AI163" s="320">
        <f>IFERROR(__xludf.DUMMYFUNCTION("""COMPUTED_VALUE"""),10.96)</f>
        <v>10.96</v>
      </c>
      <c r="AJ163" s="320">
        <f>IFERROR(__xludf.DUMMYFUNCTION("""COMPUTED_VALUE"""),3.48)</f>
        <v>3.48</v>
      </c>
      <c r="AK163" s="320">
        <f>IFERROR(__xludf.DUMMYFUNCTION("""COMPUTED_VALUE"""),0.1658)</f>
        <v>0.1658</v>
      </c>
      <c r="AL163" s="320">
        <f>IFERROR(__xludf.DUMMYFUNCTION("""COMPUTED_VALUE"""),18.7)</f>
        <v>18.7</v>
      </c>
      <c r="AM163" s="320">
        <f>IFERROR(__xludf.DUMMYFUNCTION("""COMPUTED_VALUE"""),1187.78)</f>
        <v>1187.78</v>
      </c>
      <c r="AN163" s="320">
        <f>IFERROR(__xludf.DUMMYFUNCTION("""COMPUTED_VALUE"""),67.8)</f>
        <v>67.8</v>
      </c>
      <c r="AO163" s="320">
        <f>IFERROR(__xludf.DUMMYFUNCTION("""COMPUTED_VALUE"""),12.68)</f>
        <v>12.68</v>
      </c>
    </row>
    <row r="164" ht="15.75" customHeight="1">
      <c r="A164" s="330">
        <f>IFERROR(__xludf.DUMMYFUNCTION("""COMPUTED_VALUE"""),46077.0)</f>
        <v>46077</v>
      </c>
      <c r="B164" s="319" t="str">
        <f>IFERROR(__xludf.DUMMYFUNCTION("""COMPUTED_VALUE"""),"A. 0")</f>
        <v>A. 0</v>
      </c>
      <c r="C164" s="320">
        <f>IFERROR(__xludf.DUMMYFUNCTION("""COMPUTED_VALUE"""),17024.0)</f>
        <v>17024</v>
      </c>
      <c r="D164" s="320">
        <f>IFERROR(__xludf.DUMMYFUNCTION("""COMPUTED_VALUE"""),21.21)</f>
        <v>21.21</v>
      </c>
      <c r="E164" s="320">
        <f>IFERROR(__xludf.DUMMYFUNCTION("""COMPUTED_VALUE"""),74.08)</f>
        <v>74.08</v>
      </c>
      <c r="F164" s="320">
        <f>IFERROR(__xludf.DUMMYFUNCTION("""COMPUTED_VALUE"""),0.0044)</f>
        <v>0.0044</v>
      </c>
      <c r="G164" s="320">
        <f>IFERROR(__xludf.DUMMYFUNCTION("""COMPUTED_VALUE"""),0.12)</f>
        <v>0.12</v>
      </c>
      <c r="H164" s="320">
        <f>IFERROR(__xludf.DUMMYFUNCTION("""COMPUTED_VALUE"""),3.5276)</f>
        <v>3.5276</v>
      </c>
      <c r="I164" s="320">
        <f>IFERROR(__xludf.DUMMYFUNCTION("""COMPUTED_VALUE"""),6.15)</f>
        <v>6.15</v>
      </c>
      <c r="J164" s="320">
        <f>IFERROR(__xludf.DUMMYFUNCTION("""COMPUTED_VALUE"""),2.88)</f>
        <v>2.88</v>
      </c>
      <c r="K164" s="320">
        <f>IFERROR(__xludf.DUMMYFUNCTION("""COMPUTED_VALUE"""),0.04)</f>
        <v>0.04</v>
      </c>
      <c r="L164" s="320">
        <f>IFERROR(__xludf.DUMMYFUNCTION("""COMPUTED_VALUE"""),0.0133)</f>
        <v>0.0133</v>
      </c>
      <c r="M164" s="320">
        <f>IFERROR(__xludf.DUMMYFUNCTION("""COMPUTED_VALUE"""),0.9876)</f>
        <v>0.9876</v>
      </c>
      <c r="N164" s="320">
        <f>IFERROR(__xludf.DUMMYFUNCTION("""COMPUTED_VALUE"""),0.8261)</f>
        <v>0.8261</v>
      </c>
      <c r="O164" s="320">
        <f>IFERROR(__xludf.DUMMYFUNCTION("""COMPUTED_VALUE"""),75.0613)</f>
        <v>75.0613</v>
      </c>
      <c r="P164" s="320">
        <f>IFERROR(__xludf.DUMMYFUNCTION("""COMPUTED_VALUE"""),26.91)</f>
        <v>26.91</v>
      </c>
      <c r="Q164" s="320">
        <f>IFERROR(__xludf.DUMMYFUNCTION("""COMPUTED_VALUE"""),26.83)</f>
        <v>26.83</v>
      </c>
      <c r="R164" s="320">
        <f>IFERROR(__xludf.DUMMYFUNCTION("""COMPUTED_VALUE"""),0.08)</f>
        <v>0.08</v>
      </c>
      <c r="S164" s="320">
        <f>IFERROR(__xludf.DUMMYFUNCTION("""COMPUTED_VALUE"""),0.3)</f>
        <v>0.3</v>
      </c>
      <c r="T164" s="320">
        <f>IFERROR(__xludf.DUMMYFUNCTION("""COMPUTED_VALUE"""),26.61)</f>
        <v>26.61</v>
      </c>
      <c r="U164" s="320">
        <f>IFERROR(__xludf.DUMMYFUNCTION("""COMPUTED_VALUE"""),2.51)</f>
        <v>2.51</v>
      </c>
      <c r="V164" s="320">
        <f>IFERROR(__xludf.DUMMYFUNCTION("""COMPUTED_VALUE"""),0.8712)</f>
        <v>0.8712</v>
      </c>
      <c r="W164" s="320">
        <f>IFERROR(__xludf.DUMMYFUNCTION("""COMPUTED_VALUE"""),1.12)</f>
        <v>1.12</v>
      </c>
      <c r="X164" s="320">
        <f>IFERROR(__xludf.DUMMYFUNCTION("""COMPUTED_VALUE"""),159.0)</f>
        <v>159</v>
      </c>
      <c r="Y164" s="320">
        <f>IFERROR(__xludf.DUMMYFUNCTION("""COMPUTED_VALUE"""),1016.0)</f>
        <v>1016</v>
      </c>
      <c r="Z164" s="320">
        <f>IFERROR(__xludf.DUMMYFUNCTION("""COMPUTED_VALUE"""),6927.0)</f>
        <v>6927</v>
      </c>
      <c r="AA164" s="320">
        <f>IFERROR(__xludf.DUMMYFUNCTION("""COMPUTED_VALUE"""),49.5762)</f>
        <v>49.5762</v>
      </c>
      <c r="AB164" s="320">
        <f>IFERROR(__xludf.DUMMYFUNCTION("""COMPUTED_VALUE"""),0.5041)</f>
        <v>0.5041</v>
      </c>
      <c r="AC164" s="106"/>
      <c r="AD164" s="106"/>
      <c r="AE164" s="106"/>
      <c r="AF164" s="106"/>
      <c r="AG164" s="106"/>
      <c r="AH164" s="320">
        <f>IFERROR(__xludf.DUMMYFUNCTION("""COMPUTED_VALUE"""),0.0)</f>
        <v>0</v>
      </c>
      <c r="AI164" s="320">
        <f>IFERROR(__xludf.DUMMYFUNCTION("""COMPUTED_VALUE"""),0.0)</f>
        <v>0</v>
      </c>
      <c r="AJ164" s="320">
        <f>IFERROR(__xludf.DUMMYFUNCTION("""COMPUTED_VALUE"""),0.0)</f>
        <v>0</v>
      </c>
      <c r="AK164" s="320">
        <f>IFERROR(__xludf.DUMMYFUNCTION("""COMPUTED_VALUE"""),0.2619)</f>
        <v>0.2619</v>
      </c>
      <c r="AL164" s="320">
        <f>IFERROR(__xludf.DUMMYFUNCTION("""COMPUTED_VALUE"""),14.96)</f>
        <v>14.96</v>
      </c>
      <c r="AM164" s="320">
        <f>IFERROR(__xludf.DUMMYFUNCTION("""COMPUTED_VALUE"""),11.87)</f>
        <v>11.87</v>
      </c>
      <c r="AN164" s="331"/>
      <c r="AO164" s="331"/>
    </row>
    <row r="165" ht="15.75" customHeight="1">
      <c r="A165" s="330">
        <f>IFERROR(__xludf.DUMMYFUNCTION("""COMPUTED_VALUE"""),46077.0)</f>
        <v>46077</v>
      </c>
      <c r="B165" s="319" t="str">
        <f>IFERROR(__xludf.DUMMYFUNCTION("""COMPUTED_VALUE"""),"B. 1-9")</f>
        <v>B. 1-9</v>
      </c>
      <c r="C165" s="320">
        <f>IFERROR(__xludf.DUMMYFUNCTION("""COMPUTED_VALUE"""),34480.0)</f>
        <v>34480</v>
      </c>
      <c r="D165" s="320">
        <f>IFERROR(__xludf.DUMMYFUNCTION("""COMPUTED_VALUE"""),42.97)</f>
        <v>42.97</v>
      </c>
      <c r="E165" s="320">
        <f>IFERROR(__xludf.DUMMYFUNCTION("""COMPUTED_VALUE"""),6814.13)</f>
        <v>6814.13</v>
      </c>
      <c r="F165" s="320">
        <f>IFERROR(__xludf.DUMMYFUNCTION("""COMPUTED_VALUE"""),0.1976)</f>
        <v>0.1976</v>
      </c>
      <c r="G165" s="320">
        <f>IFERROR(__xludf.DUMMYFUNCTION("""COMPUTED_VALUE"""),6.08)</f>
        <v>6.08</v>
      </c>
      <c r="H165" s="320">
        <f>IFERROR(__xludf.DUMMYFUNCTION("""COMPUTED_VALUE"""),3.2495)</f>
        <v>3.2495</v>
      </c>
      <c r="I165" s="320">
        <f>IFERROR(__xludf.DUMMYFUNCTION("""COMPUTED_VALUE"""),30.62)</f>
        <v>30.62</v>
      </c>
      <c r="J165" s="320">
        <f>IFERROR(__xludf.DUMMYFUNCTION("""COMPUTED_VALUE"""),16.45)</f>
        <v>16.45</v>
      </c>
      <c r="K165" s="320">
        <f>IFERROR(__xludf.DUMMYFUNCTION("""COMPUTED_VALUE"""),5.09)</f>
        <v>5.09</v>
      </c>
      <c r="L165" s="320">
        <f>IFERROR(__xludf.DUMMYFUNCTION("""COMPUTED_VALUE"""),0.3094)</f>
        <v>0.3094</v>
      </c>
      <c r="M165" s="320">
        <f>IFERROR(__xludf.DUMMYFUNCTION("""COMPUTED_VALUE"""),0.7644)</f>
        <v>0.7644</v>
      </c>
      <c r="N165" s="320">
        <f>IFERROR(__xludf.DUMMYFUNCTION("""COMPUTED_VALUE"""),0.532)</f>
        <v>0.532</v>
      </c>
      <c r="O165" s="320">
        <f>IFERROR(__xludf.DUMMYFUNCTION("""COMPUTED_VALUE"""),3.2324)</f>
        <v>3.2324</v>
      </c>
      <c r="P165" s="320">
        <f>IFERROR(__xludf.DUMMYFUNCTION("""COMPUTED_VALUE"""),71.39)</f>
        <v>71.39</v>
      </c>
      <c r="Q165" s="320">
        <f>IFERROR(__xludf.DUMMYFUNCTION("""COMPUTED_VALUE"""),60.68)</f>
        <v>60.68</v>
      </c>
      <c r="R165" s="320">
        <f>IFERROR(__xludf.DUMMYFUNCTION("""COMPUTED_VALUE"""),10.71)</f>
        <v>10.71</v>
      </c>
      <c r="S165" s="320">
        <f>IFERROR(__xludf.DUMMYFUNCTION("""COMPUTED_VALUE"""),14.51)</f>
        <v>14.51</v>
      </c>
      <c r="T165" s="320">
        <f>IFERROR(__xludf.DUMMYFUNCTION("""COMPUTED_VALUE"""),56.87)</f>
        <v>56.87</v>
      </c>
      <c r="U165" s="320">
        <f>IFERROR(__xludf.DUMMYFUNCTION("""COMPUTED_VALUE"""),77.92)</f>
        <v>77.92</v>
      </c>
      <c r="V165" s="320">
        <f>IFERROR(__xludf.DUMMYFUNCTION("""COMPUTED_VALUE"""),4.7365)</f>
        <v>4.7365</v>
      </c>
      <c r="W165" s="320">
        <f>IFERROR(__xludf.DUMMYFUNCTION("""COMPUTED_VALUE"""),20.33)</f>
        <v>20.33</v>
      </c>
      <c r="X165" s="320">
        <f>IFERROR(__xludf.DUMMYFUNCTION("""COMPUTED_VALUE"""),88.0)</f>
        <v>88</v>
      </c>
      <c r="Y165" s="320">
        <f>IFERROR(__xludf.DUMMYFUNCTION("""COMPUTED_VALUE"""),207.0)</f>
        <v>207</v>
      </c>
      <c r="Z165" s="320">
        <f>IFERROR(__xludf.DUMMYFUNCTION("""COMPUTED_VALUE"""),790.0)</f>
        <v>790</v>
      </c>
      <c r="AA165" s="320">
        <f>IFERROR(__xludf.DUMMYFUNCTION("""COMPUTED_VALUE"""),49.552)</f>
        <v>49.552</v>
      </c>
      <c r="AB165" s="320">
        <f>IFERROR(__xludf.DUMMYFUNCTION("""COMPUTED_VALUE"""),0.4355)</f>
        <v>0.4355</v>
      </c>
      <c r="AC165" s="320">
        <f>IFERROR(__xludf.DUMMYFUNCTION("""COMPUTED_VALUE"""),3.45)</f>
        <v>3.45</v>
      </c>
      <c r="AD165" s="320">
        <f>IFERROR(__xludf.DUMMYFUNCTION("""COMPUTED_VALUE"""),1.0)</f>
        <v>1</v>
      </c>
      <c r="AE165" s="320">
        <f>IFERROR(__xludf.DUMMYFUNCTION("""COMPUTED_VALUE"""),2.0)</f>
        <v>2</v>
      </c>
      <c r="AF165" s="320">
        <f>IFERROR(__xludf.DUMMYFUNCTION("""COMPUTED_VALUE"""),4.0)</f>
        <v>4</v>
      </c>
      <c r="AG165" s="320">
        <f>IFERROR(__xludf.DUMMYFUNCTION("""COMPUTED_VALUE"""),8.0)</f>
        <v>8</v>
      </c>
      <c r="AH165" s="320">
        <f>IFERROR(__xludf.DUMMYFUNCTION("""COMPUTED_VALUE"""),65.29)</f>
        <v>65.29</v>
      </c>
      <c r="AI165" s="320">
        <f>IFERROR(__xludf.DUMMYFUNCTION("""COMPUTED_VALUE"""),23.58)</f>
        <v>23.58</v>
      </c>
      <c r="AJ165" s="320">
        <f>IFERROR(__xludf.DUMMYFUNCTION("""COMPUTED_VALUE"""),6.83)</f>
        <v>6.83</v>
      </c>
      <c r="AK165" s="320">
        <f>IFERROR(__xludf.DUMMYFUNCTION("""COMPUTED_VALUE"""),0.2075)</f>
        <v>0.2075</v>
      </c>
      <c r="AL165" s="320">
        <f>IFERROR(__xludf.DUMMYFUNCTION("""COMPUTED_VALUE"""),18.88)</f>
        <v>18.88</v>
      </c>
      <c r="AM165" s="320">
        <f>IFERROR(__xludf.DUMMYFUNCTION("""COMPUTED_VALUE"""),41.8)</f>
        <v>41.8</v>
      </c>
      <c r="AN165" s="320">
        <f>IFERROR(__xludf.DUMMYFUNCTION("""COMPUTED_VALUE"""),68.22)</f>
        <v>68.22</v>
      </c>
      <c r="AO165" s="320">
        <f>IFERROR(__xludf.DUMMYFUNCTION("""COMPUTED_VALUE"""),12.88)</f>
        <v>12.88</v>
      </c>
    </row>
    <row r="166" ht="15.75" customHeight="1">
      <c r="A166" s="330">
        <f>IFERROR(__xludf.DUMMYFUNCTION("""COMPUTED_VALUE"""),46077.0)</f>
        <v>46077</v>
      </c>
      <c r="B166" s="319" t="str">
        <f>IFERROR(__xludf.DUMMYFUNCTION("""COMPUTED_VALUE"""),"C. 10-19")</f>
        <v>C. 10-19</v>
      </c>
      <c r="C166" s="320">
        <f>IFERROR(__xludf.DUMMYFUNCTION("""COMPUTED_VALUE"""),16620.0)</f>
        <v>16620</v>
      </c>
      <c r="D166" s="320">
        <f>IFERROR(__xludf.DUMMYFUNCTION("""COMPUTED_VALUE"""),20.71)</f>
        <v>20.71</v>
      </c>
      <c r="E166" s="320">
        <f>IFERROR(__xludf.DUMMYFUNCTION("""COMPUTED_VALUE"""),17806.52)</f>
        <v>17806.52</v>
      </c>
      <c r="F166" s="320">
        <f>IFERROR(__xludf.DUMMYFUNCTION("""COMPUTED_VALUE"""),1.0714)</f>
        <v>1.0714</v>
      </c>
      <c r="G166" s="320">
        <f>IFERROR(__xludf.DUMMYFUNCTION("""COMPUTED_VALUE"""),21.25)</f>
        <v>21.25</v>
      </c>
      <c r="H166" s="320">
        <f>IFERROR(__xludf.DUMMYFUNCTION("""COMPUTED_VALUE"""),5.0429)</f>
        <v>5.0429</v>
      </c>
      <c r="I166" s="320">
        <f>IFERROR(__xludf.DUMMYFUNCTION("""COMPUTED_VALUE"""),55.33)</f>
        <v>55.33</v>
      </c>
      <c r="J166" s="320">
        <f>IFERROR(__xludf.DUMMYFUNCTION("""COMPUTED_VALUE"""),31.61)</f>
        <v>31.61</v>
      </c>
      <c r="K166" s="320">
        <f>IFERROR(__xludf.DUMMYFUNCTION("""COMPUTED_VALUE"""),13.42)</f>
        <v>13.42</v>
      </c>
      <c r="L166" s="320">
        <f>IFERROR(__xludf.DUMMYFUNCTION("""COMPUTED_VALUE"""),0.4246)</f>
        <v>0.4246</v>
      </c>
      <c r="M166" s="320">
        <f>IFERROR(__xludf.DUMMYFUNCTION("""COMPUTED_VALUE"""),0.6445)</f>
        <v>0.6445</v>
      </c>
      <c r="N166" s="320">
        <f>IFERROR(__xludf.DUMMYFUNCTION("""COMPUTED_VALUE"""),0.3749)</f>
        <v>0.3749</v>
      </c>
      <c r="O166" s="320">
        <f>IFERROR(__xludf.DUMMYFUNCTION("""COMPUTED_VALUE"""),2.355)</f>
        <v>2.355</v>
      </c>
      <c r="P166" s="320">
        <f>IFERROR(__xludf.DUMMYFUNCTION("""COMPUTED_VALUE"""),175.52)</f>
        <v>175.52</v>
      </c>
      <c r="Q166" s="320">
        <f>IFERROR(__xludf.DUMMYFUNCTION("""COMPUTED_VALUE"""),147.73)</f>
        <v>147.73</v>
      </c>
      <c r="R166" s="320">
        <f>IFERROR(__xludf.DUMMYFUNCTION("""COMPUTED_VALUE"""),27.79)</f>
        <v>27.79</v>
      </c>
      <c r="S166" s="320">
        <f>IFERROR(__xludf.DUMMYFUNCTION("""COMPUTED_VALUE"""),72.31)</f>
        <v>72.31</v>
      </c>
      <c r="T166" s="320">
        <f>IFERROR(__xludf.DUMMYFUNCTION("""COMPUTED_VALUE"""),103.21)</f>
        <v>103.21</v>
      </c>
      <c r="U166" s="320">
        <f>IFERROR(__xludf.DUMMYFUNCTION("""COMPUTED_VALUE"""),186.97)</f>
        <v>186.97</v>
      </c>
      <c r="V166" s="320">
        <f>IFERROR(__xludf.DUMMYFUNCTION("""COMPUTED_VALUE"""),5.9148)</f>
        <v>5.9148</v>
      </c>
      <c r="W166" s="320">
        <f>IFERROR(__xludf.DUMMYFUNCTION("""COMPUTED_VALUE"""),41.2)</f>
        <v>41.2</v>
      </c>
      <c r="X166" s="320">
        <f>IFERROR(__xludf.DUMMYFUNCTION("""COMPUTED_VALUE"""),85.0)</f>
        <v>85</v>
      </c>
      <c r="Y166" s="320">
        <f>IFERROR(__xludf.DUMMYFUNCTION("""COMPUTED_VALUE"""),194.0)</f>
        <v>194</v>
      </c>
      <c r="Z166" s="320">
        <f>IFERROR(__xludf.DUMMYFUNCTION("""COMPUTED_VALUE"""),646.0)</f>
        <v>646</v>
      </c>
      <c r="AA166" s="320">
        <f>IFERROR(__xludf.DUMMYFUNCTION("""COMPUTED_VALUE"""),52.4272)</f>
        <v>52.4272</v>
      </c>
      <c r="AB166" s="320">
        <f>IFERROR(__xludf.DUMMYFUNCTION("""COMPUTED_VALUE"""),0.5145)</f>
        <v>0.5145</v>
      </c>
      <c r="AC166" s="320">
        <f>IFERROR(__xludf.DUMMYFUNCTION("""COMPUTED_VALUE"""),8.83)</f>
        <v>8.83</v>
      </c>
      <c r="AD166" s="320">
        <f>IFERROR(__xludf.DUMMYFUNCTION("""COMPUTED_VALUE"""),2.0)</f>
        <v>2</v>
      </c>
      <c r="AE166" s="320">
        <f>IFERROR(__xludf.DUMMYFUNCTION("""COMPUTED_VALUE"""),6.0)</f>
        <v>6</v>
      </c>
      <c r="AF166" s="320">
        <f>IFERROR(__xludf.DUMMYFUNCTION("""COMPUTED_VALUE"""),12.0)</f>
        <v>12</v>
      </c>
      <c r="AG166" s="320">
        <f>IFERROR(__xludf.DUMMYFUNCTION("""COMPUTED_VALUE"""),20.0)</f>
        <v>20</v>
      </c>
      <c r="AH166" s="320">
        <f>IFERROR(__xludf.DUMMYFUNCTION("""COMPUTED_VALUE"""),52.8)</f>
        <v>52.8</v>
      </c>
      <c r="AI166" s="320">
        <f>IFERROR(__xludf.DUMMYFUNCTION("""COMPUTED_VALUE"""),24.97)</f>
        <v>24.97</v>
      </c>
      <c r="AJ166" s="320">
        <f>IFERROR(__xludf.DUMMYFUNCTION("""COMPUTED_VALUE"""),5.16)</f>
        <v>5.16</v>
      </c>
      <c r="AK166" s="320">
        <f>IFERROR(__xludf.DUMMYFUNCTION("""COMPUTED_VALUE"""),0.1781)</f>
        <v>0.1781</v>
      </c>
      <c r="AL166" s="320">
        <f>IFERROR(__xludf.DUMMYFUNCTION("""COMPUTED_VALUE"""),19.35)</f>
        <v>19.35</v>
      </c>
      <c r="AM166" s="320">
        <f>IFERROR(__xludf.DUMMYFUNCTION("""COMPUTED_VALUE"""),128.39)</f>
        <v>128.39</v>
      </c>
      <c r="AN166" s="320">
        <f>IFERROR(__xludf.DUMMYFUNCTION("""COMPUTED_VALUE"""),72.68)</f>
        <v>72.68</v>
      </c>
      <c r="AO166" s="320">
        <f>IFERROR(__xludf.DUMMYFUNCTION("""COMPUTED_VALUE"""),14.06)</f>
        <v>14.06</v>
      </c>
    </row>
    <row r="167" ht="15.75" customHeight="1">
      <c r="A167" s="330">
        <f>IFERROR(__xludf.DUMMYFUNCTION("""COMPUTED_VALUE"""),46077.0)</f>
        <v>46077</v>
      </c>
      <c r="B167" s="319" t="str">
        <f>IFERROR(__xludf.DUMMYFUNCTION("""COMPUTED_VALUE"""),"D. 20-39")</f>
        <v>D. 20-39</v>
      </c>
      <c r="C167" s="320">
        <f>IFERROR(__xludf.DUMMYFUNCTION("""COMPUTED_VALUE"""),8581.0)</f>
        <v>8581</v>
      </c>
      <c r="D167" s="320">
        <f>IFERROR(__xludf.DUMMYFUNCTION("""COMPUTED_VALUE"""),10.69)</f>
        <v>10.69</v>
      </c>
      <c r="E167" s="320">
        <f>IFERROR(__xludf.DUMMYFUNCTION("""COMPUTED_VALUE"""),25245.88)</f>
        <v>25245.88</v>
      </c>
      <c r="F167" s="320">
        <f>IFERROR(__xludf.DUMMYFUNCTION("""COMPUTED_VALUE"""),2.9421)</f>
        <v>2.9421</v>
      </c>
      <c r="G167" s="320">
        <f>IFERROR(__xludf.DUMMYFUNCTION("""COMPUTED_VALUE"""),34.2)</f>
        <v>34.2</v>
      </c>
      <c r="H167" s="320">
        <f>IFERROR(__xludf.DUMMYFUNCTION("""COMPUTED_VALUE"""),8.6017)</f>
        <v>8.6017</v>
      </c>
      <c r="I167" s="320">
        <f>IFERROR(__xludf.DUMMYFUNCTION("""COMPUTED_VALUE"""),80.12)</f>
        <v>80.12</v>
      </c>
      <c r="J167" s="320">
        <f>IFERROR(__xludf.DUMMYFUNCTION("""COMPUTED_VALUE"""),47.8)</f>
        <v>47.8</v>
      </c>
      <c r="K167" s="320">
        <f>IFERROR(__xludf.DUMMYFUNCTION("""COMPUTED_VALUE"""),27.24)</f>
        <v>27.24</v>
      </c>
      <c r="L167" s="320">
        <f>IFERROR(__xludf.DUMMYFUNCTION("""COMPUTED_VALUE"""),0.5698)</f>
        <v>0.5698</v>
      </c>
      <c r="M167" s="320">
        <f>IFERROR(__xludf.DUMMYFUNCTION("""COMPUTED_VALUE"""),0.5121)</f>
        <v>0.5121</v>
      </c>
      <c r="N167" s="320">
        <f>IFERROR(__xludf.DUMMYFUNCTION("""COMPUTED_VALUE"""),0.2861)</f>
        <v>0.2861</v>
      </c>
      <c r="O167" s="320">
        <f>IFERROR(__xludf.DUMMYFUNCTION("""COMPUTED_VALUE"""),1.755)</f>
        <v>1.755</v>
      </c>
      <c r="P167" s="320">
        <f>IFERROR(__xludf.DUMMYFUNCTION("""COMPUTED_VALUE"""),365.34)</f>
        <v>365.34</v>
      </c>
      <c r="Q167" s="320">
        <f>IFERROR(__xludf.DUMMYFUNCTION("""COMPUTED_VALUE"""),312.35)</f>
        <v>312.35</v>
      </c>
      <c r="R167" s="320">
        <f>IFERROR(__xludf.DUMMYFUNCTION("""COMPUTED_VALUE"""),52.99)</f>
        <v>52.99</v>
      </c>
      <c r="S167" s="320">
        <f>IFERROR(__xludf.DUMMYFUNCTION("""COMPUTED_VALUE"""),187.56)</f>
        <v>187.56</v>
      </c>
      <c r="T167" s="320">
        <f>IFERROR(__xludf.DUMMYFUNCTION("""COMPUTED_VALUE"""),177.78)</f>
        <v>177.78</v>
      </c>
      <c r="U167" s="320">
        <f>IFERROR(__xludf.DUMMYFUNCTION("""COMPUTED_VALUE"""),373.95)</f>
        <v>373.95</v>
      </c>
      <c r="V167" s="320">
        <f>IFERROR(__xludf.DUMMYFUNCTION("""COMPUTED_VALUE"""),7.8229)</f>
        <v>7.8229</v>
      </c>
      <c r="W167" s="320">
        <f>IFERROR(__xludf.DUMMYFUNCTION("""COMPUTED_VALUE"""),51.34)</f>
        <v>51.34</v>
      </c>
      <c r="X167" s="320">
        <f>IFERROR(__xludf.DUMMYFUNCTION("""COMPUTED_VALUE"""),90.0)</f>
        <v>90</v>
      </c>
      <c r="Y167" s="320">
        <f>IFERROR(__xludf.DUMMYFUNCTION("""COMPUTED_VALUE"""),251.0)</f>
        <v>251</v>
      </c>
      <c r="Z167" s="320">
        <f>IFERROR(__xludf.DUMMYFUNCTION("""COMPUTED_VALUE"""),809.0)</f>
        <v>809</v>
      </c>
      <c r="AA167" s="320">
        <f>IFERROR(__xludf.DUMMYFUNCTION("""COMPUTED_VALUE"""),54.815)</f>
        <v>54.815</v>
      </c>
      <c r="AB167" s="320">
        <f>IFERROR(__xludf.DUMMYFUNCTION("""COMPUTED_VALUE"""),0.6161)</f>
        <v>0.6161</v>
      </c>
      <c r="AC167" s="320">
        <f>IFERROR(__xludf.DUMMYFUNCTION("""COMPUTED_VALUE"""),17.01)</f>
        <v>17.01</v>
      </c>
      <c r="AD167" s="320">
        <f>IFERROR(__xludf.DUMMYFUNCTION("""COMPUTED_VALUE"""),5.0)</f>
        <v>5</v>
      </c>
      <c r="AE167" s="320">
        <f>IFERROR(__xludf.DUMMYFUNCTION("""COMPUTED_VALUE"""),13.0)</f>
        <v>13</v>
      </c>
      <c r="AF167" s="320">
        <f>IFERROR(__xludf.DUMMYFUNCTION("""COMPUTED_VALUE"""),25.0)</f>
        <v>25</v>
      </c>
      <c r="AG167" s="320">
        <f>IFERROR(__xludf.DUMMYFUNCTION("""COMPUTED_VALUE"""),37.0)</f>
        <v>37</v>
      </c>
      <c r="AH167" s="320">
        <f>IFERROR(__xludf.DUMMYFUNCTION("""COMPUTED_VALUE"""),54.81)</f>
        <v>54.81</v>
      </c>
      <c r="AI167" s="320">
        <f>IFERROR(__xludf.DUMMYFUNCTION("""COMPUTED_VALUE"""),23.47)</f>
        <v>23.47</v>
      </c>
      <c r="AJ167" s="320">
        <f>IFERROR(__xludf.DUMMYFUNCTION("""COMPUTED_VALUE"""),6.51)</f>
        <v>6.51</v>
      </c>
      <c r="AK167" s="320">
        <f>IFERROR(__xludf.DUMMYFUNCTION("""COMPUTED_VALUE"""),0.1797)</f>
        <v>0.1797</v>
      </c>
      <c r="AL167" s="320">
        <f>IFERROR(__xludf.DUMMYFUNCTION("""COMPUTED_VALUE"""),19.12)</f>
        <v>19.12</v>
      </c>
      <c r="AM167" s="320">
        <f>IFERROR(__xludf.DUMMYFUNCTION("""COMPUTED_VALUE"""),293.23)</f>
        <v>293.23</v>
      </c>
      <c r="AN167" s="320">
        <f>IFERROR(__xludf.DUMMYFUNCTION("""COMPUTED_VALUE"""),71.18)</f>
        <v>71.18</v>
      </c>
      <c r="AO167" s="320">
        <f>IFERROR(__xludf.DUMMYFUNCTION("""COMPUTED_VALUE"""),13.61)</f>
        <v>13.61</v>
      </c>
    </row>
    <row r="168" ht="15.75" customHeight="1">
      <c r="A168" s="330">
        <f>IFERROR(__xludf.DUMMYFUNCTION("""COMPUTED_VALUE"""),46077.0)</f>
        <v>46077</v>
      </c>
      <c r="B168" s="319" t="str">
        <f>IFERROR(__xludf.DUMMYFUNCTION("""COMPUTED_VALUE"""),"E. 40-99")</f>
        <v>E. 40-99</v>
      </c>
      <c r="C168" s="320">
        <f>IFERROR(__xludf.DUMMYFUNCTION("""COMPUTED_VALUE"""),3181.0)</f>
        <v>3181</v>
      </c>
      <c r="D168" s="320">
        <f>IFERROR(__xludf.DUMMYFUNCTION("""COMPUTED_VALUE"""),3.96)</f>
        <v>3.96</v>
      </c>
      <c r="E168" s="320">
        <f>IFERROR(__xludf.DUMMYFUNCTION("""COMPUTED_VALUE"""),19826.27)</f>
        <v>19826.27</v>
      </c>
      <c r="F168" s="320">
        <f>IFERROR(__xludf.DUMMYFUNCTION("""COMPUTED_VALUE"""),6.2327)</f>
        <v>6.2327</v>
      </c>
      <c r="G168" s="320">
        <f>IFERROR(__xludf.DUMMYFUNCTION("""COMPUTED_VALUE"""),42.0)</f>
        <v>42</v>
      </c>
      <c r="H168" s="320">
        <f>IFERROR(__xludf.DUMMYFUNCTION("""COMPUTED_VALUE"""),14.84)</f>
        <v>14.84</v>
      </c>
      <c r="I168" s="320">
        <f>IFERROR(__xludf.DUMMYFUNCTION("""COMPUTED_VALUE"""),124.54)</f>
        <v>124.54</v>
      </c>
      <c r="J168" s="320">
        <f>IFERROR(__xludf.DUMMYFUNCTION("""COMPUTED_VALUE"""),77.4)</f>
        <v>77.4</v>
      </c>
      <c r="K168" s="320">
        <f>IFERROR(__xludf.DUMMYFUNCTION("""COMPUTED_VALUE"""),53.68)</f>
        <v>53.68</v>
      </c>
      <c r="L168" s="320">
        <f>IFERROR(__xludf.DUMMYFUNCTION("""COMPUTED_VALUE"""),0.6935)</f>
        <v>0.6935</v>
      </c>
      <c r="M168" s="320">
        <f>IFERROR(__xludf.DUMMYFUNCTION("""COMPUTED_VALUE"""),0.4048)</f>
        <v>0.4048</v>
      </c>
      <c r="N168" s="320">
        <f>IFERROR(__xludf.DUMMYFUNCTION("""COMPUTED_VALUE"""),0.2366)</f>
        <v>0.2366</v>
      </c>
      <c r="O168" s="320">
        <f>IFERROR(__xludf.DUMMYFUNCTION("""COMPUTED_VALUE"""),1.442)</f>
        <v>1.442</v>
      </c>
      <c r="P168" s="320">
        <f>IFERROR(__xludf.DUMMYFUNCTION("""COMPUTED_VALUE"""),715.56)</f>
        <v>715.56</v>
      </c>
      <c r="Q168" s="320">
        <f>IFERROR(__xludf.DUMMYFUNCTION("""COMPUTED_VALUE"""),603.31)</f>
        <v>603.31</v>
      </c>
      <c r="R168" s="320">
        <f>IFERROR(__xludf.DUMMYFUNCTION("""COMPUTED_VALUE"""),112.26)</f>
        <v>112.26</v>
      </c>
      <c r="S168" s="320">
        <f>IFERROR(__xludf.DUMMYFUNCTION("""COMPUTED_VALUE"""),388.94)</f>
        <v>388.94</v>
      </c>
      <c r="T168" s="320">
        <f>IFERROR(__xludf.DUMMYFUNCTION("""COMPUTED_VALUE"""),326.62)</f>
        <v>326.62</v>
      </c>
      <c r="U168" s="320">
        <f>IFERROR(__xludf.DUMMYFUNCTION("""COMPUTED_VALUE"""),747.58)</f>
        <v>747.58</v>
      </c>
      <c r="V168" s="320">
        <f>IFERROR(__xludf.DUMMYFUNCTION("""COMPUTED_VALUE"""),9.6589)</f>
        <v>9.6589</v>
      </c>
      <c r="W168" s="320">
        <f>IFERROR(__xludf.DUMMYFUNCTION("""COMPUTED_VALUE"""),54.35)</f>
        <v>54.35</v>
      </c>
      <c r="X168" s="320">
        <f>IFERROR(__xludf.DUMMYFUNCTION("""COMPUTED_VALUE"""),100.0)</f>
        <v>100</v>
      </c>
      <c r="Y168" s="320">
        <f>IFERROR(__xludf.DUMMYFUNCTION("""COMPUTED_VALUE"""),337.0)</f>
        <v>337</v>
      </c>
      <c r="Z168" s="320">
        <f>IFERROR(__xludf.DUMMYFUNCTION("""COMPUTED_VALUE"""),1210.0)</f>
        <v>1210</v>
      </c>
      <c r="AA168" s="320">
        <f>IFERROR(__xludf.DUMMYFUNCTION("""COMPUTED_VALUE"""),58.1683)</f>
        <v>58.1683</v>
      </c>
      <c r="AB168" s="320">
        <f>IFERROR(__xludf.DUMMYFUNCTION("""COMPUTED_VALUE"""),0.7547)</f>
        <v>0.7547</v>
      </c>
      <c r="AC168" s="320">
        <f>IFERROR(__xludf.DUMMYFUNCTION("""COMPUTED_VALUE"""),36.3)</f>
        <v>36.3</v>
      </c>
      <c r="AD168" s="320">
        <f>IFERROR(__xludf.DUMMYFUNCTION("""COMPUTED_VALUE"""),12.0)</f>
        <v>12</v>
      </c>
      <c r="AE168" s="320">
        <f>IFERROR(__xludf.DUMMYFUNCTION("""COMPUTED_VALUE"""),28.0)</f>
        <v>28</v>
      </c>
      <c r="AF168" s="320">
        <f>IFERROR(__xludf.DUMMYFUNCTION("""COMPUTED_VALUE"""),51.0)</f>
        <v>51</v>
      </c>
      <c r="AG168" s="320">
        <f>IFERROR(__xludf.DUMMYFUNCTION("""COMPUTED_VALUE"""),79.0)</f>
        <v>79</v>
      </c>
      <c r="AH168" s="320">
        <f>IFERROR(__xludf.DUMMYFUNCTION("""COMPUTED_VALUE"""),50.08)</f>
        <v>50.08</v>
      </c>
      <c r="AI168" s="320">
        <f>IFERROR(__xludf.DUMMYFUNCTION("""COMPUTED_VALUE"""),19.02)</f>
        <v>19.02</v>
      </c>
      <c r="AJ168" s="320">
        <f>IFERROR(__xludf.DUMMYFUNCTION("""COMPUTED_VALUE"""),5.09)</f>
        <v>5.09</v>
      </c>
      <c r="AK168" s="320">
        <f>IFERROR(__xludf.DUMMYFUNCTION("""COMPUTED_VALUE"""),0.1732)</f>
        <v>0.1732</v>
      </c>
      <c r="AL168" s="320">
        <f>IFERROR(__xludf.DUMMYFUNCTION("""COMPUTED_VALUE"""),19.53)</f>
        <v>19.53</v>
      </c>
      <c r="AM168" s="320">
        <f>IFERROR(__xludf.DUMMYFUNCTION("""COMPUTED_VALUE"""),583.78)</f>
        <v>583.78</v>
      </c>
      <c r="AN168" s="320">
        <f>IFERROR(__xludf.DUMMYFUNCTION("""COMPUTED_VALUE"""),73.11)</f>
        <v>73.11</v>
      </c>
      <c r="AO168" s="320">
        <f>IFERROR(__xludf.DUMMYFUNCTION("""COMPUTED_VALUE"""),14.28)</f>
        <v>14.28</v>
      </c>
    </row>
    <row r="169" ht="15.75" customHeight="1">
      <c r="A169" s="330">
        <f>IFERROR(__xludf.DUMMYFUNCTION("""COMPUTED_VALUE"""),46077.0)</f>
        <v>46077</v>
      </c>
      <c r="B169" s="319" t="str">
        <f>IFERROR(__xludf.DUMMYFUNCTION("""COMPUTED_VALUE"""),"F. 100+")</f>
        <v>F. 100+</v>
      </c>
      <c r="C169" s="320">
        <f>IFERROR(__xludf.DUMMYFUNCTION("""COMPUTED_VALUE"""),363.0)</f>
        <v>363</v>
      </c>
      <c r="D169" s="320">
        <f>IFERROR(__xludf.DUMMYFUNCTION("""COMPUTED_VALUE"""),0.45)</f>
        <v>0.45</v>
      </c>
      <c r="E169" s="320">
        <f>IFERROR(__xludf.DUMMYFUNCTION("""COMPUTED_VALUE"""),3910.83)</f>
        <v>3910.83</v>
      </c>
      <c r="F169" s="320">
        <f>IFERROR(__xludf.DUMMYFUNCTION("""COMPUTED_VALUE"""),10.7736)</f>
        <v>10.7736</v>
      </c>
      <c r="G169" s="320">
        <f>IFERROR(__xludf.DUMMYFUNCTION("""COMPUTED_VALUE"""),45.18)</f>
        <v>45.18</v>
      </c>
      <c r="H169" s="320">
        <f>IFERROR(__xludf.DUMMYFUNCTION("""COMPUTED_VALUE"""),23.8465)</f>
        <v>23.8465</v>
      </c>
      <c r="I169" s="320">
        <f>IFERROR(__xludf.DUMMYFUNCTION("""COMPUTED_VALUE"""),235.91)</f>
        <v>235.91</v>
      </c>
      <c r="J169" s="320">
        <f>IFERROR(__xludf.DUMMYFUNCTION("""COMPUTED_VALUE"""),153.66)</f>
        <v>153.66</v>
      </c>
      <c r="K169" s="320">
        <f>IFERROR(__xludf.DUMMYFUNCTION("""COMPUTED_VALUE"""),124.38)</f>
        <v>124.38</v>
      </c>
      <c r="L169" s="320">
        <f>IFERROR(__xludf.DUMMYFUNCTION("""COMPUTED_VALUE"""),0.8095)</f>
        <v>0.8095</v>
      </c>
      <c r="M169" s="320">
        <f>IFERROR(__xludf.DUMMYFUNCTION("""COMPUTED_VALUE"""),0.2776)</f>
        <v>0.2776</v>
      </c>
      <c r="N169" s="320">
        <f>IFERROR(__xludf.DUMMYFUNCTION("""COMPUTED_VALUE"""),0.1696)</f>
        <v>0.1696</v>
      </c>
      <c r="O169" s="320">
        <f>IFERROR(__xludf.DUMMYFUNCTION("""COMPUTED_VALUE"""),1.2354)</f>
        <v>1.2354</v>
      </c>
      <c r="P169" s="320">
        <f>IFERROR(__xludf.DUMMYFUNCTION("""COMPUTED_VALUE"""),1274.19)</f>
        <v>1274.19</v>
      </c>
      <c r="Q169" s="320">
        <f>IFERROR(__xludf.DUMMYFUNCTION("""COMPUTED_VALUE"""),1014.35)</f>
        <v>1014.35</v>
      </c>
      <c r="R169" s="320">
        <f>IFERROR(__xludf.DUMMYFUNCTION("""COMPUTED_VALUE"""),259.83)</f>
        <v>259.83</v>
      </c>
      <c r="S169" s="320">
        <f>IFERROR(__xludf.DUMMYFUNCTION("""COMPUTED_VALUE"""),658.97)</f>
        <v>658.97</v>
      </c>
      <c r="T169" s="320">
        <f>IFERROR(__xludf.DUMMYFUNCTION("""COMPUTED_VALUE"""),615.22)</f>
        <v>615.22</v>
      </c>
      <c r="U169" s="320">
        <f>IFERROR(__xludf.DUMMYFUNCTION("""COMPUTED_VALUE"""),1309.37)</f>
        <v>1309.37</v>
      </c>
      <c r="V169" s="320">
        <f>IFERROR(__xludf.DUMMYFUNCTION("""COMPUTED_VALUE"""),8.5211)</f>
        <v>8.5211</v>
      </c>
      <c r="W169" s="320">
        <f>IFERROR(__xludf.DUMMYFUNCTION("""COMPUTED_VALUE"""),51.72)</f>
        <v>51.72</v>
      </c>
      <c r="X169" s="320">
        <f>IFERROR(__xludf.DUMMYFUNCTION("""COMPUTED_VALUE"""),128.0)</f>
        <v>128</v>
      </c>
      <c r="Y169" s="320">
        <f>IFERROR(__xludf.DUMMYFUNCTION("""COMPUTED_VALUE"""),465.0)</f>
        <v>465</v>
      </c>
      <c r="Z169" s="320">
        <f>IFERROR(__xludf.DUMMYFUNCTION("""COMPUTED_VALUE"""),2142.0)</f>
        <v>2142</v>
      </c>
      <c r="AA169" s="320">
        <f>IFERROR(__xludf.DUMMYFUNCTION("""COMPUTED_VALUE"""),62.7974)</f>
        <v>62.7974</v>
      </c>
      <c r="AB169" s="320">
        <f>IFERROR(__xludf.DUMMYFUNCTION("""COMPUTED_VALUE"""),0.8274)</f>
        <v>0.8274</v>
      </c>
      <c r="AC169" s="320">
        <f>IFERROR(__xludf.DUMMYFUNCTION("""COMPUTED_VALUE"""),80.33)</f>
        <v>80.33</v>
      </c>
      <c r="AD169" s="320">
        <f>IFERROR(__xludf.DUMMYFUNCTION("""COMPUTED_VALUE"""),30.0)</f>
        <v>30</v>
      </c>
      <c r="AE169" s="320">
        <f>IFERROR(__xludf.DUMMYFUNCTION("""COMPUTED_VALUE"""),60.0)</f>
        <v>60</v>
      </c>
      <c r="AF169" s="320">
        <f>IFERROR(__xludf.DUMMYFUNCTION("""COMPUTED_VALUE"""),109.0)</f>
        <v>109</v>
      </c>
      <c r="AG169" s="320">
        <f>IFERROR(__xludf.DUMMYFUNCTION("""COMPUTED_VALUE"""),176.0)</f>
        <v>176</v>
      </c>
      <c r="AH169" s="320">
        <f>IFERROR(__xludf.DUMMYFUNCTION("""COMPUTED_VALUE"""),38.57)</f>
        <v>38.57</v>
      </c>
      <c r="AI169" s="320">
        <f>IFERROR(__xludf.DUMMYFUNCTION("""COMPUTED_VALUE"""),10.47)</f>
        <v>10.47</v>
      </c>
      <c r="AJ169" s="320">
        <f>IFERROR(__xludf.DUMMYFUNCTION("""COMPUTED_VALUE"""),1.1)</f>
        <v>1.1</v>
      </c>
      <c r="AK169" s="320">
        <f>IFERROR(__xludf.DUMMYFUNCTION("""COMPUTED_VALUE"""),0.157)</f>
        <v>0.157</v>
      </c>
      <c r="AL169" s="320">
        <f>IFERROR(__xludf.DUMMYFUNCTION("""COMPUTED_VALUE"""),21.5)</f>
        <v>21.5</v>
      </c>
      <c r="AM169" s="320">
        <f>IFERROR(__xludf.DUMMYFUNCTION("""COMPUTED_VALUE"""),992.85)</f>
        <v>992.85</v>
      </c>
      <c r="AN169" s="320">
        <f>IFERROR(__xludf.DUMMYFUNCTION("""COMPUTED_VALUE"""),68.28)</f>
        <v>68.28</v>
      </c>
      <c r="AO169" s="320">
        <f>IFERROR(__xludf.DUMMYFUNCTION("""COMPUTED_VALUE"""),14.68)</f>
        <v>14.68</v>
      </c>
    </row>
    <row r="170" ht="15.75" customHeight="1">
      <c r="A170" s="330">
        <f>IFERROR(__xludf.DUMMYFUNCTION("""COMPUTED_VALUE"""),46078.0)</f>
        <v>46078</v>
      </c>
      <c r="B170" s="319" t="str">
        <f>IFERROR(__xludf.DUMMYFUNCTION("""COMPUTED_VALUE"""),"A. 0")</f>
        <v>A. 0</v>
      </c>
      <c r="C170" s="320">
        <f>IFERROR(__xludf.DUMMYFUNCTION("""COMPUTED_VALUE"""),17315.0)</f>
        <v>17315</v>
      </c>
      <c r="D170" s="320">
        <f>IFERROR(__xludf.DUMMYFUNCTION("""COMPUTED_VALUE"""),21.78)</f>
        <v>21.78</v>
      </c>
      <c r="E170" s="320">
        <f>IFERROR(__xludf.DUMMYFUNCTION("""COMPUTED_VALUE"""),197.48)</f>
        <v>197.48</v>
      </c>
      <c r="F170" s="320">
        <f>IFERROR(__xludf.DUMMYFUNCTION("""COMPUTED_VALUE"""),0.0114)</f>
        <v>0.0114</v>
      </c>
      <c r="G170" s="320">
        <f>IFERROR(__xludf.DUMMYFUNCTION("""COMPUTED_VALUE"""),0.17)</f>
        <v>0.17</v>
      </c>
      <c r="H170" s="320">
        <f>IFERROR(__xludf.DUMMYFUNCTION("""COMPUTED_VALUE"""),6.8097)</f>
        <v>6.8097</v>
      </c>
      <c r="I170" s="320">
        <f>IFERROR(__xludf.DUMMYFUNCTION("""COMPUTED_VALUE"""),6.53)</f>
        <v>6.53</v>
      </c>
      <c r="J170" s="320">
        <f>IFERROR(__xludf.DUMMYFUNCTION("""COMPUTED_VALUE"""),3.06)</f>
        <v>3.06</v>
      </c>
      <c r="K170" s="320">
        <f>IFERROR(__xludf.DUMMYFUNCTION("""COMPUTED_VALUE"""),0.04)</f>
        <v>0.04</v>
      </c>
      <c r="L170" s="320">
        <f>IFERROR(__xludf.DUMMYFUNCTION("""COMPUTED_VALUE"""),0.0131)</f>
        <v>0.0131</v>
      </c>
      <c r="M170" s="320">
        <f>IFERROR(__xludf.DUMMYFUNCTION("""COMPUTED_VALUE"""),0.9879)</f>
        <v>0.9879</v>
      </c>
      <c r="N170" s="320">
        <f>IFERROR(__xludf.DUMMYFUNCTION("""COMPUTED_VALUE"""),0.8179)</f>
        <v>0.8179</v>
      </c>
      <c r="O170" s="320">
        <f>IFERROR(__xludf.DUMMYFUNCTION("""COMPUTED_VALUE"""),76.089)</f>
        <v>76.089</v>
      </c>
      <c r="P170" s="320">
        <f>IFERROR(__xludf.DUMMYFUNCTION("""COMPUTED_VALUE"""),23.52)</f>
        <v>23.52</v>
      </c>
      <c r="Q170" s="320">
        <f>IFERROR(__xludf.DUMMYFUNCTION("""COMPUTED_VALUE"""),23.44)</f>
        <v>23.44</v>
      </c>
      <c r="R170" s="320">
        <f>IFERROR(__xludf.DUMMYFUNCTION("""COMPUTED_VALUE"""),0.08)</f>
        <v>0.08</v>
      </c>
      <c r="S170" s="320">
        <f>IFERROR(__xludf.DUMMYFUNCTION("""COMPUTED_VALUE"""),0.89)</f>
        <v>0.89</v>
      </c>
      <c r="T170" s="320">
        <f>IFERROR(__xludf.DUMMYFUNCTION("""COMPUTED_VALUE"""),22.63)</f>
        <v>22.63</v>
      </c>
      <c r="U170" s="320">
        <f>IFERROR(__xludf.DUMMYFUNCTION("""COMPUTED_VALUE"""),2.12)</f>
        <v>2.12</v>
      </c>
      <c r="V170" s="320">
        <f>IFERROR(__xludf.DUMMYFUNCTION("""COMPUTED_VALUE"""),0.6911)</f>
        <v>0.6911</v>
      </c>
      <c r="W170" s="320">
        <f>IFERROR(__xludf.DUMMYFUNCTION("""COMPUTED_VALUE"""),3.78)</f>
        <v>3.78</v>
      </c>
      <c r="X170" s="320">
        <f>IFERROR(__xludf.DUMMYFUNCTION("""COMPUTED_VALUE"""),141.0)</f>
        <v>141</v>
      </c>
      <c r="Y170" s="320">
        <f>IFERROR(__xludf.DUMMYFUNCTION("""COMPUTED_VALUE"""),1014.0)</f>
        <v>1014</v>
      </c>
      <c r="Z170" s="320">
        <f>IFERROR(__xludf.DUMMYFUNCTION("""COMPUTED_VALUE"""),6947.0)</f>
        <v>6947</v>
      </c>
      <c r="AA170" s="320">
        <f>IFERROR(__xludf.DUMMYFUNCTION("""COMPUTED_VALUE"""),49.7596)</f>
        <v>49.7596</v>
      </c>
      <c r="AB170" s="320">
        <f>IFERROR(__xludf.DUMMYFUNCTION("""COMPUTED_VALUE"""),0.5108)</f>
        <v>0.5108</v>
      </c>
      <c r="AC170" s="106"/>
      <c r="AD170" s="106"/>
      <c r="AE170" s="106"/>
      <c r="AF170" s="106"/>
      <c r="AG170" s="106"/>
      <c r="AH170" s="320">
        <f>IFERROR(__xludf.DUMMYFUNCTION("""COMPUTED_VALUE"""),0.0)</f>
        <v>0</v>
      </c>
      <c r="AI170" s="320">
        <f>IFERROR(__xludf.DUMMYFUNCTION("""COMPUTED_VALUE"""),0.0)</f>
        <v>0</v>
      </c>
      <c r="AJ170" s="320">
        <f>IFERROR(__xludf.DUMMYFUNCTION("""COMPUTED_VALUE"""),0.0)</f>
        <v>0</v>
      </c>
      <c r="AK170" s="320">
        <f>IFERROR(__xludf.DUMMYFUNCTION("""COMPUTED_VALUE"""),0.269)</f>
        <v>0.269</v>
      </c>
      <c r="AL170" s="320">
        <f>IFERROR(__xludf.DUMMYFUNCTION("""COMPUTED_VALUE"""),15.72)</f>
        <v>15.72</v>
      </c>
      <c r="AM170" s="320">
        <f>IFERROR(__xludf.DUMMYFUNCTION("""COMPUTED_VALUE"""),7.71)</f>
        <v>7.71</v>
      </c>
      <c r="AN170" s="331"/>
      <c r="AO170" s="331"/>
    </row>
    <row r="171" ht="15.75" customHeight="1">
      <c r="A171" s="330">
        <f>IFERROR(__xludf.DUMMYFUNCTION("""COMPUTED_VALUE"""),46078.0)</f>
        <v>46078</v>
      </c>
      <c r="B171" s="319" t="str">
        <f>IFERROR(__xludf.DUMMYFUNCTION("""COMPUTED_VALUE"""),"B. 1-9")</f>
        <v>B. 1-9</v>
      </c>
      <c r="C171" s="320">
        <f>IFERROR(__xludf.DUMMYFUNCTION("""COMPUTED_VALUE"""),34505.0)</f>
        <v>34505</v>
      </c>
      <c r="D171" s="320">
        <f>IFERROR(__xludf.DUMMYFUNCTION("""COMPUTED_VALUE"""),43.41)</f>
        <v>43.41</v>
      </c>
      <c r="E171" s="320">
        <f>IFERROR(__xludf.DUMMYFUNCTION("""COMPUTED_VALUE"""),8028.96)</f>
        <v>8028.96</v>
      </c>
      <c r="F171" s="320">
        <f>IFERROR(__xludf.DUMMYFUNCTION("""COMPUTED_VALUE"""),0.2327)</f>
        <v>0.2327</v>
      </c>
      <c r="G171" s="320">
        <f>IFERROR(__xludf.DUMMYFUNCTION("""COMPUTED_VALUE"""),6.68)</f>
        <v>6.68</v>
      </c>
      <c r="H171" s="320">
        <f>IFERROR(__xludf.DUMMYFUNCTION("""COMPUTED_VALUE"""),3.4848)</f>
        <v>3.4848</v>
      </c>
      <c r="I171" s="320">
        <f>IFERROR(__xludf.DUMMYFUNCTION("""COMPUTED_VALUE"""),33.15)</f>
        <v>33.15</v>
      </c>
      <c r="J171" s="320">
        <f>IFERROR(__xludf.DUMMYFUNCTION("""COMPUTED_VALUE"""),18.2)</f>
        <v>18.2</v>
      </c>
      <c r="K171" s="320">
        <f>IFERROR(__xludf.DUMMYFUNCTION("""COMPUTED_VALUE"""),5.08)</f>
        <v>5.08</v>
      </c>
      <c r="L171" s="320">
        <f>IFERROR(__xludf.DUMMYFUNCTION("""COMPUTED_VALUE"""),0.2792)</f>
        <v>0.2792</v>
      </c>
      <c r="M171" s="320">
        <f>IFERROR(__xludf.DUMMYFUNCTION("""COMPUTED_VALUE"""),0.7854)</f>
        <v>0.7854</v>
      </c>
      <c r="N171" s="320">
        <f>IFERROR(__xludf.DUMMYFUNCTION("""COMPUTED_VALUE"""),0.539)</f>
        <v>0.539</v>
      </c>
      <c r="O171" s="320">
        <f>IFERROR(__xludf.DUMMYFUNCTION("""COMPUTED_VALUE"""),3.5814)</f>
        <v>3.5814</v>
      </c>
      <c r="P171" s="320">
        <f>IFERROR(__xludf.DUMMYFUNCTION("""COMPUTED_VALUE"""),63.79)</f>
        <v>63.79</v>
      </c>
      <c r="Q171" s="320">
        <f>IFERROR(__xludf.DUMMYFUNCTION("""COMPUTED_VALUE"""),53.06)</f>
        <v>53.06</v>
      </c>
      <c r="R171" s="320">
        <f>IFERROR(__xludf.DUMMYFUNCTION("""COMPUTED_VALUE"""),10.73)</f>
        <v>10.73</v>
      </c>
      <c r="S171" s="320">
        <f>IFERROR(__xludf.DUMMYFUNCTION("""COMPUTED_VALUE"""),16.47)</f>
        <v>16.47</v>
      </c>
      <c r="T171" s="320">
        <f>IFERROR(__xludf.DUMMYFUNCTION("""COMPUTED_VALUE"""),47.32)</f>
        <v>47.32</v>
      </c>
      <c r="U171" s="320">
        <f>IFERROR(__xludf.DUMMYFUNCTION("""COMPUTED_VALUE"""),72.22)</f>
        <v>72.22</v>
      </c>
      <c r="V171" s="320">
        <f>IFERROR(__xludf.DUMMYFUNCTION("""COMPUTED_VALUE"""),3.9682)</f>
        <v>3.9682</v>
      </c>
      <c r="W171" s="320">
        <f>IFERROR(__xludf.DUMMYFUNCTION("""COMPUTED_VALUE"""),25.82)</f>
        <v>25.82</v>
      </c>
      <c r="X171" s="320">
        <f>IFERROR(__xludf.DUMMYFUNCTION("""COMPUTED_VALUE"""),84.0)</f>
        <v>84</v>
      </c>
      <c r="Y171" s="320">
        <f>IFERROR(__xludf.DUMMYFUNCTION("""COMPUTED_VALUE"""),193.0)</f>
        <v>193</v>
      </c>
      <c r="Z171" s="320">
        <f>IFERROR(__xludf.DUMMYFUNCTION("""COMPUTED_VALUE"""),786.0)</f>
        <v>786</v>
      </c>
      <c r="AA171" s="320">
        <f>IFERROR(__xludf.DUMMYFUNCTION("""COMPUTED_VALUE"""),49.5063)</f>
        <v>49.5063</v>
      </c>
      <c r="AB171" s="320">
        <f>IFERROR(__xludf.DUMMYFUNCTION("""COMPUTED_VALUE"""),0.4342)</f>
        <v>0.4342</v>
      </c>
      <c r="AC171" s="320">
        <f>IFERROR(__xludf.DUMMYFUNCTION("""COMPUTED_VALUE"""),3.36)</f>
        <v>3.36</v>
      </c>
      <c r="AD171" s="320">
        <f>IFERROR(__xludf.DUMMYFUNCTION("""COMPUTED_VALUE"""),1.0)</f>
        <v>1</v>
      </c>
      <c r="AE171" s="320">
        <f>IFERROR(__xludf.DUMMYFUNCTION("""COMPUTED_VALUE"""),2.0)</f>
        <v>2</v>
      </c>
      <c r="AF171" s="320">
        <f>IFERROR(__xludf.DUMMYFUNCTION("""COMPUTED_VALUE"""),4.0)</f>
        <v>4</v>
      </c>
      <c r="AG171" s="320">
        <f>IFERROR(__xludf.DUMMYFUNCTION("""COMPUTED_VALUE"""),8.0)</f>
        <v>8</v>
      </c>
      <c r="AH171" s="320">
        <f>IFERROR(__xludf.DUMMYFUNCTION("""COMPUTED_VALUE"""),64.06)</f>
        <v>64.06</v>
      </c>
      <c r="AI171" s="320">
        <f>IFERROR(__xludf.DUMMYFUNCTION("""COMPUTED_VALUE"""),22.82)</f>
        <v>22.82</v>
      </c>
      <c r="AJ171" s="320">
        <f>IFERROR(__xludf.DUMMYFUNCTION("""COMPUTED_VALUE"""),6.22)</f>
        <v>6.22</v>
      </c>
      <c r="AK171" s="320">
        <f>IFERROR(__xludf.DUMMYFUNCTION("""COMPUTED_VALUE"""),0.2161)</f>
        <v>0.2161</v>
      </c>
      <c r="AL171" s="320">
        <f>IFERROR(__xludf.DUMMYFUNCTION("""COMPUTED_VALUE"""),19.42)</f>
        <v>19.42</v>
      </c>
      <c r="AM171" s="320">
        <f>IFERROR(__xludf.DUMMYFUNCTION("""COMPUTED_VALUE"""),33.64)</f>
        <v>33.64</v>
      </c>
      <c r="AN171" s="320">
        <f>IFERROR(__xludf.DUMMYFUNCTION("""COMPUTED_VALUE"""),68.47)</f>
        <v>68.47</v>
      </c>
      <c r="AO171" s="320">
        <f>IFERROR(__xludf.DUMMYFUNCTION("""COMPUTED_VALUE"""),13.3)</f>
        <v>13.3</v>
      </c>
    </row>
    <row r="172" ht="15.75" customHeight="1">
      <c r="A172" s="330">
        <f>IFERROR(__xludf.DUMMYFUNCTION("""COMPUTED_VALUE"""),46078.0)</f>
        <v>46078</v>
      </c>
      <c r="B172" s="319" t="str">
        <f>IFERROR(__xludf.DUMMYFUNCTION("""COMPUTED_VALUE"""),"C. 10-19")</f>
        <v>C. 10-19</v>
      </c>
      <c r="C172" s="320">
        <f>IFERROR(__xludf.DUMMYFUNCTION("""COMPUTED_VALUE"""),16324.0)</f>
        <v>16324</v>
      </c>
      <c r="D172" s="320">
        <f>IFERROR(__xludf.DUMMYFUNCTION("""COMPUTED_VALUE"""),20.54)</f>
        <v>20.54</v>
      </c>
      <c r="E172" s="320">
        <f>IFERROR(__xludf.DUMMYFUNCTION("""COMPUTED_VALUE"""),19716.85)</f>
        <v>19716.85</v>
      </c>
      <c r="F172" s="320">
        <f>IFERROR(__xludf.DUMMYFUNCTION("""COMPUTED_VALUE"""),1.2078)</f>
        <v>1.2078</v>
      </c>
      <c r="G172" s="320">
        <f>IFERROR(__xludf.DUMMYFUNCTION("""COMPUTED_VALUE"""),22.97)</f>
        <v>22.97</v>
      </c>
      <c r="H172" s="320">
        <f>IFERROR(__xludf.DUMMYFUNCTION("""COMPUTED_VALUE"""),5.2578)</f>
        <v>5.2578</v>
      </c>
      <c r="I172" s="320">
        <f>IFERROR(__xludf.DUMMYFUNCTION("""COMPUTED_VALUE"""),60.35)</f>
        <v>60.35</v>
      </c>
      <c r="J172" s="320">
        <f>IFERROR(__xludf.DUMMYFUNCTION("""COMPUTED_VALUE"""),35.08)</f>
        <v>35.08</v>
      </c>
      <c r="K172" s="320">
        <f>IFERROR(__xludf.DUMMYFUNCTION("""COMPUTED_VALUE"""),13.77)</f>
        <v>13.77</v>
      </c>
      <c r="L172" s="320">
        <f>IFERROR(__xludf.DUMMYFUNCTION("""COMPUTED_VALUE"""),0.3927)</f>
        <v>0.3927</v>
      </c>
      <c r="M172" s="320">
        <f>IFERROR(__xludf.DUMMYFUNCTION("""COMPUTED_VALUE"""),0.668)</f>
        <v>0.668</v>
      </c>
      <c r="N172" s="320">
        <f>IFERROR(__xludf.DUMMYFUNCTION("""COMPUTED_VALUE"""),0.3815)</f>
        <v>0.3815</v>
      </c>
      <c r="O172" s="320">
        <f>IFERROR(__xludf.DUMMYFUNCTION("""COMPUTED_VALUE"""),2.5467)</f>
        <v>2.5467</v>
      </c>
      <c r="P172" s="320">
        <f>IFERROR(__xludf.DUMMYFUNCTION("""COMPUTED_VALUE"""),161.95)</f>
        <v>161.95</v>
      </c>
      <c r="Q172" s="320">
        <f>IFERROR(__xludf.DUMMYFUNCTION("""COMPUTED_VALUE"""),134.39)</f>
        <v>134.39</v>
      </c>
      <c r="R172" s="320">
        <f>IFERROR(__xludf.DUMMYFUNCTION("""COMPUTED_VALUE"""),27.57)</f>
        <v>27.57</v>
      </c>
      <c r="S172" s="320">
        <f>IFERROR(__xludf.DUMMYFUNCTION("""COMPUTED_VALUE"""),80.86)</f>
        <v>80.86</v>
      </c>
      <c r="T172" s="320">
        <f>IFERROR(__xludf.DUMMYFUNCTION("""COMPUTED_VALUE"""),81.1)</f>
        <v>81.1</v>
      </c>
      <c r="U172" s="320">
        <f>IFERROR(__xludf.DUMMYFUNCTION("""COMPUTED_VALUE"""),178.35)</f>
        <v>178.35</v>
      </c>
      <c r="V172" s="320">
        <f>IFERROR(__xludf.DUMMYFUNCTION("""COMPUTED_VALUE"""),5.0841)</f>
        <v>5.0841</v>
      </c>
      <c r="W172" s="320">
        <f>IFERROR(__xludf.DUMMYFUNCTION("""COMPUTED_VALUE"""),49.93)</f>
        <v>49.93</v>
      </c>
      <c r="X172" s="320">
        <f>IFERROR(__xludf.DUMMYFUNCTION("""COMPUTED_VALUE"""),81.0)</f>
        <v>81</v>
      </c>
      <c r="Y172" s="320">
        <f>IFERROR(__xludf.DUMMYFUNCTION("""COMPUTED_VALUE"""),170.0)</f>
        <v>170</v>
      </c>
      <c r="Z172" s="320">
        <f>IFERROR(__xludf.DUMMYFUNCTION("""COMPUTED_VALUE"""),580.0)</f>
        <v>580</v>
      </c>
      <c r="AA172" s="320">
        <f>IFERROR(__xludf.DUMMYFUNCTION("""COMPUTED_VALUE"""),52.419)</f>
        <v>52.419</v>
      </c>
      <c r="AB172" s="320">
        <f>IFERROR(__xludf.DUMMYFUNCTION("""COMPUTED_VALUE"""),0.5211)</f>
        <v>0.5211</v>
      </c>
      <c r="AC172" s="320">
        <f>IFERROR(__xludf.DUMMYFUNCTION("""COMPUTED_VALUE"""),8.42)</f>
        <v>8.42</v>
      </c>
      <c r="AD172" s="320">
        <f>IFERROR(__xludf.DUMMYFUNCTION("""COMPUTED_VALUE"""),2.0)</f>
        <v>2</v>
      </c>
      <c r="AE172" s="320">
        <f>IFERROR(__xludf.DUMMYFUNCTION("""COMPUTED_VALUE"""),6.0)</f>
        <v>6</v>
      </c>
      <c r="AF172" s="320">
        <f>IFERROR(__xludf.DUMMYFUNCTION("""COMPUTED_VALUE"""),12.0)</f>
        <v>12</v>
      </c>
      <c r="AG172" s="320">
        <f>IFERROR(__xludf.DUMMYFUNCTION("""COMPUTED_VALUE"""),19.0)</f>
        <v>19</v>
      </c>
      <c r="AH172" s="320">
        <f>IFERROR(__xludf.DUMMYFUNCTION("""COMPUTED_VALUE"""),51.68)</f>
        <v>51.68</v>
      </c>
      <c r="AI172" s="320">
        <f>IFERROR(__xludf.DUMMYFUNCTION("""COMPUTED_VALUE"""),23.14)</f>
        <v>23.14</v>
      </c>
      <c r="AJ172" s="320">
        <f>IFERROR(__xludf.DUMMYFUNCTION("""COMPUTED_VALUE"""),4.03)</f>
        <v>4.03</v>
      </c>
      <c r="AK172" s="320">
        <f>IFERROR(__xludf.DUMMYFUNCTION("""COMPUTED_VALUE"""),0.19)</f>
        <v>0.19</v>
      </c>
      <c r="AL172" s="320">
        <f>IFERROR(__xludf.DUMMYFUNCTION("""COMPUTED_VALUE"""),20.05)</f>
        <v>20.05</v>
      </c>
      <c r="AM172" s="320">
        <f>IFERROR(__xludf.DUMMYFUNCTION("""COMPUTED_VALUE"""),114.33)</f>
        <v>114.33</v>
      </c>
      <c r="AN172" s="320">
        <f>IFERROR(__xludf.DUMMYFUNCTION("""COMPUTED_VALUE"""),72.94)</f>
        <v>72.94</v>
      </c>
      <c r="AO172" s="320">
        <f>IFERROR(__xludf.DUMMYFUNCTION("""COMPUTED_VALUE"""),14.62)</f>
        <v>14.62</v>
      </c>
    </row>
    <row r="173" ht="15.75" customHeight="1">
      <c r="A173" s="330">
        <f>IFERROR(__xludf.DUMMYFUNCTION("""COMPUTED_VALUE"""),46078.0)</f>
        <v>46078</v>
      </c>
      <c r="B173" s="319" t="str">
        <f>IFERROR(__xludf.DUMMYFUNCTION("""COMPUTED_VALUE"""),"D. 20-39")</f>
        <v>D. 20-39</v>
      </c>
      <c r="C173" s="320">
        <f>IFERROR(__xludf.DUMMYFUNCTION("""COMPUTED_VALUE"""),7937.0)</f>
        <v>7937</v>
      </c>
      <c r="D173" s="320">
        <f>IFERROR(__xludf.DUMMYFUNCTION("""COMPUTED_VALUE"""),9.99)</f>
        <v>9.99</v>
      </c>
      <c r="E173" s="320">
        <f>IFERROR(__xludf.DUMMYFUNCTION("""COMPUTED_VALUE"""),22968.3)</f>
        <v>22968.3</v>
      </c>
      <c r="F173" s="320">
        <f>IFERROR(__xludf.DUMMYFUNCTION("""COMPUTED_VALUE"""),2.8938)</f>
        <v>2.8938</v>
      </c>
      <c r="G173" s="320">
        <f>IFERROR(__xludf.DUMMYFUNCTION("""COMPUTED_VALUE"""),34.64)</f>
        <v>34.64</v>
      </c>
      <c r="H173" s="320">
        <f>IFERROR(__xludf.DUMMYFUNCTION("""COMPUTED_VALUE"""),8.3551)</f>
        <v>8.3551</v>
      </c>
      <c r="I173" s="320">
        <f>IFERROR(__xludf.DUMMYFUNCTION("""COMPUTED_VALUE"""),80.94)</f>
        <v>80.94</v>
      </c>
      <c r="J173" s="320">
        <f>IFERROR(__xludf.DUMMYFUNCTION("""COMPUTED_VALUE"""),48.85)</f>
        <v>48.85</v>
      </c>
      <c r="K173" s="320">
        <f>IFERROR(__xludf.DUMMYFUNCTION("""COMPUTED_VALUE"""),25.53)</f>
        <v>25.53</v>
      </c>
      <c r="L173" s="320">
        <f>IFERROR(__xludf.DUMMYFUNCTION("""COMPUTED_VALUE"""),0.5227)</f>
        <v>0.5227</v>
      </c>
      <c r="M173" s="320">
        <f>IFERROR(__xludf.DUMMYFUNCTION("""COMPUTED_VALUE"""),0.55)</f>
        <v>0.55</v>
      </c>
      <c r="N173" s="320">
        <f>IFERROR(__xludf.DUMMYFUNCTION("""COMPUTED_VALUE"""),0.3029)</f>
        <v>0.3029</v>
      </c>
      <c r="O173" s="320">
        <f>IFERROR(__xludf.DUMMYFUNCTION("""COMPUTED_VALUE"""),1.9131)</f>
        <v>1.9131</v>
      </c>
      <c r="P173" s="320">
        <f>IFERROR(__xludf.DUMMYFUNCTION("""COMPUTED_VALUE"""),307.55)</f>
        <v>307.55</v>
      </c>
      <c r="Q173" s="320">
        <f>IFERROR(__xludf.DUMMYFUNCTION("""COMPUTED_VALUE"""),254.52)</f>
        <v>254.52</v>
      </c>
      <c r="R173" s="320">
        <f>IFERROR(__xludf.DUMMYFUNCTION("""COMPUTED_VALUE"""),53.03)</f>
        <v>53.03</v>
      </c>
      <c r="S173" s="320">
        <f>IFERROR(__xludf.DUMMYFUNCTION("""COMPUTED_VALUE"""),182.67)</f>
        <v>182.67</v>
      </c>
      <c r="T173" s="320">
        <f>IFERROR(__xludf.DUMMYFUNCTION("""COMPUTED_VALUE"""),124.88)</f>
        <v>124.88</v>
      </c>
      <c r="U173" s="320">
        <f>IFERROR(__xludf.DUMMYFUNCTION("""COMPUTED_VALUE"""),337.8)</f>
        <v>337.8</v>
      </c>
      <c r="V173" s="320">
        <f>IFERROR(__xludf.DUMMYFUNCTION("""COMPUTED_VALUE"""),6.9155)</f>
        <v>6.9155</v>
      </c>
      <c r="W173" s="320">
        <f>IFERROR(__xludf.DUMMYFUNCTION("""COMPUTED_VALUE"""),59.4)</f>
        <v>59.4</v>
      </c>
      <c r="X173" s="320">
        <f>IFERROR(__xludf.DUMMYFUNCTION("""COMPUTED_VALUE"""),83.0)</f>
        <v>83</v>
      </c>
      <c r="Y173" s="320">
        <f>IFERROR(__xludf.DUMMYFUNCTION("""COMPUTED_VALUE"""),199.0)</f>
        <v>199</v>
      </c>
      <c r="Z173" s="320">
        <f>IFERROR(__xludf.DUMMYFUNCTION("""COMPUTED_VALUE"""),718.0)</f>
        <v>718</v>
      </c>
      <c r="AA173" s="320">
        <f>IFERROR(__xludf.DUMMYFUNCTION("""COMPUTED_VALUE"""),54.9545)</f>
        <v>54.9545</v>
      </c>
      <c r="AB173" s="320">
        <f>IFERROR(__xludf.DUMMYFUNCTION("""COMPUTED_VALUE"""),0.6519)</f>
        <v>0.6519</v>
      </c>
      <c r="AC173" s="320">
        <f>IFERROR(__xludf.DUMMYFUNCTION("""COMPUTED_VALUE"""),16.51)</f>
        <v>16.51</v>
      </c>
      <c r="AD173" s="320">
        <f>IFERROR(__xludf.DUMMYFUNCTION("""COMPUTED_VALUE"""),5.0)</f>
        <v>5</v>
      </c>
      <c r="AE173" s="320">
        <f>IFERROR(__xludf.DUMMYFUNCTION("""COMPUTED_VALUE"""),12.0)</f>
        <v>12</v>
      </c>
      <c r="AF173" s="320">
        <f>IFERROR(__xludf.DUMMYFUNCTION("""COMPUTED_VALUE"""),24.0)</f>
        <v>24</v>
      </c>
      <c r="AG173" s="320">
        <f>IFERROR(__xludf.DUMMYFUNCTION("""COMPUTED_VALUE"""),36.0)</f>
        <v>36</v>
      </c>
      <c r="AH173" s="320">
        <f>IFERROR(__xludf.DUMMYFUNCTION("""COMPUTED_VALUE"""),53.13)</f>
        <v>53.13</v>
      </c>
      <c r="AI173" s="320">
        <f>IFERROR(__xludf.DUMMYFUNCTION("""COMPUTED_VALUE"""),22.41)</f>
        <v>22.41</v>
      </c>
      <c r="AJ173" s="320">
        <f>IFERROR(__xludf.DUMMYFUNCTION("""COMPUTED_VALUE"""),6.45)</f>
        <v>6.45</v>
      </c>
      <c r="AK173" s="320">
        <f>IFERROR(__xludf.DUMMYFUNCTION("""COMPUTED_VALUE"""),0.1908)</f>
        <v>0.1908</v>
      </c>
      <c r="AL173" s="320">
        <f>IFERROR(__xludf.DUMMYFUNCTION("""COMPUTED_VALUE"""),19.24)</f>
        <v>19.24</v>
      </c>
      <c r="AM173" s="320">
        <f>IFERROR(__xludf.DUMMYFUNCTION("""COMPUTED_VALUE"""),235.28)</f>
        <v>235.28</v>
      </c>
      <c r="AN173" s="320">
        <f>IFERROR(__xludf.DUMMYFUNCTION("""COMPUTED_VALUE"""),73.96)</f>
        <v>73.96</v>
      </c>
      <c r="AO173" s="320">
        <f>IFERROR(__xludf.DUMMYFUNCTION("""COMPUTED_VALUE"""),14.23)</f>
        <v>14.23</v>
      </c>
    </row>
    <row r="174" ht="15.75" customHeight="1">
      <c r="A174" s="330">
        <f>IFERROR(__xludf.DUMMYFUNCTION("""COMPUTED_VALUE"""),46078.0)</f>
        <v>46078</v>
      </c>
      <c r="B174" s="319" t="str">
        <f>IFERROR(__xludf.DUMMYFUNCTION("""COMPUTED_VALUE"""),"E. 40-99")</f>
        <v>E. 40-99</v>
      </c>
      <c r="C174" s="320">
        <f>IFERROR(__xludf.DUMMYFUNCTION("""COMPUTED_VALUE"""),3077.0)</f>
        <v>3077</v>
      </c>
      <c r="D174" s="320">
        <f>IFERROR(__xludf.DUMMYFUNCTION("""COMPUTED_VALUE"""),3.87)</f>
        <v>3.87</v>
      </c>
      <c r="E174" s="320">
        <f>IFERROR(__xludf.DUMMYFUNCTION("""COMPUTED_VALUE"""),20638.67)</f>
        <v>20638.67</v>
      </c>
      <c r="F174" s="320">
        <f>IFERROR(__xludf.DUMMYFUNCTION("""COMPUTED_VALUE"""),6.7074)</f>
        <v>6.7074</v>
      </c>
      <c r="G174" s="320">
        <f>IFERROR(__xludf.DUMMYFUNCTION("""COMPUTED_VALUE"""),45.47)</f>
        <v>45.47</v>
      </c>
      <c r="H174" s="320">
        <f>IFERROR(__xludf.DUMMYFUNCTION("""COMPUTED_VALUE"""),14.7524)</f>
        <v>14.7524</v>
      </c>
      <c r="I174" s="320">
        <f>IFERROR(__xludf.DUMMYFUNCTION("""COMPUTED_VALUE"""),129.01)</f>
        <v>129.01</v>
      </c>
      <c r="J174" s="320">
        <f>IFERROR(__xludf.DUMMYFUNCTION("""COMPUTED_VALUE"""),79.21)</f>
        <v>79.21</v>
      </c>
      <c r="K174" s="320">
        <f>IFERROR(__xludf.DUMMYFUNCTION("""COMPUTED_VALUE"""),52.29)</f>
        <v>52.29</v>
      </c>
      <c r="L174" s="320">
        <f>IFERROR(__xludf.DUMMYFUNCTION("""COMPUTED_VALUE"""),0.6602)</f>
        <v>0.6602</v>
      </c>
      <c r="M174" s="320">
        <f>IFERROR(__xludf.DUMMYFUNCTION("""COMPUTED_VALUE"""),0.4297)</f>
        <v>0.4297</v>
      </c>
      <c r="N174" s="320">
        <f>IFERROR(__xludf.DUMMYFUNCTION("""COMPUTED_VALUE"""),0.243)</f>
        <v>0.243</v>
      </c>
      <c r="O174" s="320">
        <f>IFERROR(__xludf.DUMMYFUNCTION("""COMPUTED_VALUE"""),1.5147)</f>
        <v>1.5147</v>
      </c>
      <c r="P174" s="320">
        <f>IFERROR(__xludf.DUMMYFUNCTION("""COMPUTED_VALUE"""),636.13)</f>
        <v>636.13</v>
      </c>
      <c r="Q174" s="320">
        <f>IFERROR(__xludf.DUMMYFUNCTION("""COMPUTED_VALUE"""),526.08)</f>
        <v>526.08</v>
      </c>
      <c r="R174" s="320">
        <f>IFERROR(__xludf.DUMMYFUNCTION("""COMPUTED_VALUE"""),110.05)</f>
        <v>110.05</v>
      </c>
      <c r="S174" s="320">
        <f>IFERROR(__xludf.DUMMYFUNCTION("""COMPUTED_VALUE"""),422.31)</f>
        <v>422.31</v>
      </c>
      <c r="T174" s="320">
        <f>IFERROR(__xludf.DUMMYFUNCTION("""COMPUTED_VALUE"""),213.82)</f>
        <v>213.82</v>
      </c>
      <c r="U174" s="320">
        <f>IFERROR(__xludf.DUMMYFUNCTION("""COMPUTED_VALUE"""),689.6)</f>
        <v>689.6</v>
      </c>
      <c r="V174" s="320">
        <f>IFERROR(__xludf.DUMMYFUNCTION("""COMPUTED_VALUE"""),8.7065)</f>
        <v>8.7065</v>
      </c>
      <c r="W174" s="320">
        <f>IFERROR(__xludf.DUMMYFUNCTION("""COMPUTED_VALUE"""),66.39)</f>
        <v>66.39</v>
      </c>
      <c r="X174" s="320">
        <f>IFERROR(__xludf.DUMMYFUNCTION("""COMPUTED_VALUE"""),91.0)</f>
        <v>91</v>
      </c>
      <c r="Y174" s="320">
        <f>IFERROR(__xludf.DUMMYFUNCTION("""COMPUTED_VALUE"""),272.0)</f>
        <v>272</v>
      </c>
      <c r="Z174" s="320">
        <f>IFERROR(__xludf.DUMMYFUNCTION("""COMPUTED_VALUE"""),1033.0)</f>
        <v>1033</v>
      </c>
      <c r="AA174" s="320">
        <f>IFERROR(__xludf.DUMMYFUNCTION("""COMPUTED_VALUE"""),58.1754)</f>
        <v>58.1754</v>
      </c>
      <c r="AB174" s="320">
        <f>IFERROR(__xludf.DUMMYFUNCTION("""COMPUTED_VALUE"""),0.7616)</f>
        <v>0.7616</v>
      </c>
      <c r="AC174" s="320">
        <f>IFERROR(__xludf.DUMMYFUNCTION("""COMPUTED_VALUE"""),34.92)</f>
        <v>34.92</v>
      </c>
      <c r="AD174" s="320">
        <f>IFERROR(__xludf.DUMMYFUNCTION("""COMPUTED_VALUE"""),11.0)</f>
        <v>11</v>
      </c>
      <c r="AE174" s="320">
        <f>IFERROR(__xludf.DUMMYFUNCTION("""COMPUTED_VALUE"""),25.0)</f>
        <v>25</v>
      </c>
      <c r="AF174" s="320">
        <f>IFERROR(__xludf.DUMMYFUNCTION("""COMPUTED_VALUE"""),50.0)</f>
        <v>50</v>
      </c>
      <c r="AG174" s="320">
        <f>IFERROR(__xludf.DUMMYFUNCTION("""COMPUTED_VALUE"""),78.0)</f>
        <v>78</v>
      </c>
      <c r="AH174" s="320">
        <f>IFERROR(__xludf.DUMMYFUNCTION("""COMPUTED_VALUE"""),46.77)</f>
        <v>46.77</v>
      </c>
      <c r="AI174" s="320">
        <f>IFERROR(__xludf.DUMMYFUNCTION("""COMPUTED_VALUE"""),18.88)</f>
        <v>18.88</v>
      </c>
      <c r="AJ174" s="320">
        <f>IFERROR(__xludf.DUMMYFUNCTION("""COMPUTED_VALUE"""),4.52)</f>
        <v>4.52</v>
      </c>
      <c r="AK174" s="320">
        <f>IFERROR(__xludf.DUMMYFUNCTION("""COMPUTED_VALUE"""),0.1784)</f>
        <v>0.1784</v>
      </c>
      <c r="AL174" s="320">
        <f>IFERROR(__xludf.DUMMYFUNCTION("""COMPUTED_VALUE"""),19.44)</f>
        <v>19.44</v>
      </c>
      <c r="AM174" s="320">
        <f>IFERROR(__xludf.DUMMYFUNCTION("""COMPUTED_VALUE"""),506.65)</f>
        <v>506.65</v>
      </c>
      <c r="AN174" s="320">
        <f>IFERROR(__xludf.DUMMYFUNCTION("""COMPUTED_VALUE"""),74.73)</f>
        <v>74.73</v>
      </c>
      <c r="AO174" s="320">
        <f>IFERROR(__xludf.DUMMYFUNCTION("""COMPUTED_VALUE"""),14.53)</f>
        <v>14.53</v>
      </c>
    </row>
    <row r="175" ht="15.75" customHeight="1">
      <c r="A175" s="330">
        <f>IFERROR(__xludf.DUMMYFUNCTION("""COMPUTED_VALUE"""),46078.0)</f>
        <v>46078</v>
      </c>
      <c r="B175" s="319" t="str">
        <f>IFERROR(__xludf.DUMMYFUNCTION("""COMPUTED_VALUE"""),"F. 100+")</f>
        <v>F. 100+</v>
      </c>
      <c r="C175" s="320">
        <f>IFERROR(__xludf.DUMMYFUNCTION("""COMPUTED_VALUE"""),330.0)</f>
        <v>330</v>
      </c>
      <c r="D175" s="320">
        <f>IFERROR(__xludf.DUMMYFUNCTION("""COMPUTED_VALUE"""),0.42)</f>
        <v>0.42</v>
      </c>
      <c r="E175" s="320">
        <f>IFERROR(__xludf.DUMMYFUNCTION("""COMPUTED_VALUE"""),4494.12)</f>
        <v>4494.12</v>
      </c>
      <c r="F175" s="320">
        <f>IFERROR(__xludf.DUMMYFUNCTION("""COMPUTED_VALUE"""),13.6185)</f>
        <v>13.6185</v>
      </c>
      <c r="G175" s="320">
        <f>IFERROR(__xludf.DUMMYFUNCTION("""COMPUTED_VALUE"""),47.58)</f>
        <v>47.58</v>
      </c>
      <c r="H175" s="320">
        <f>IFERROR(__xludf.DUMMYFUNCTION("""COMPUTED_VALUE"""),28.625)</f>
        <v>28.625</v>
      </c>
      <c r="I175" s="320">
        <f>IFERROR(__xludf.DUMMYFUNCTION("""COMPUTED_VALUE"""),229.49)</f>
        <v>229.49</v>
      </c>
      <c r="J175" s="320">
        <f>IFERROR(__xludf.DUMMYFUNCTION("""COMPUTED_VALUE"""),148.53)</f>
        <v>148.53</v>
      </c>
      <c r="K175" s="320">
        <f>IFERROR(__xludf.DUMMYFUNCTION("""COMPUTED_VALUE"""),118.88)</f>
        <v>118.88</v>
      </c>
      <c r="L175" s="320">
        <f>IFERROR(__xludf.DUMMYFUNCTION("""COMPUTED_VALUE"""),0.8004)</f>
        <v>0.8004</v>
      </c>
      <c r="M175" s="320">
        <f>IFERROR(__xludf.DUMMYFUNCTION("""COMPUTED_VALUE"""),0.2904)</f>
        <v>0.2904</v>
      </c>
      <c r="N175" s="320">
        <f>IFERROR(__xludf.DUMMYFUNCTION("""COMPUTED_VALUE"""),0.1847)</f>
        <v>0.1847</v>
      </c>
      <c r="O175" s="320">
        <f>IFERROR(__xludf.DUMMYFUNCTION("""COMPUTED_VALUE"""),1.2494)</f>
        <v>1.2494</v>
      </c>
      <c r="P175" s="320">
        <f>IFERROR(__xludf.DUMMYFUNCTION("""COMPUTED_VALUE"""),1258.58)</f>
        <v>1258.58</v>
      </c>
      <c r="Q175" s="320">
        <f>IFERROR(__xludf.DUMMYFUNCTION("""COMPUTED_VALUE"""),1007.45)</f>
        <v>1007.45</v>
      </c>
      <c r="R175" s="320">
        <f>IFERROR(__xludf.DUMMYFUNCTION("""COMPUTED_VALUE"""),251.14)</f>
        <v>251.14</v>
      </c>
      <c r="S175" s="320">
        <f>IFERROR(__xludf.DUMMYFUNCTION("""COMPUTED_VALUE"""),833.47)</f>
        <v>833.47</v>
      </c>
      <c r="T175" s="320">
        <f>IFERROR(__xludf.DUMMYFUNCTION("""COMPUTED_VALUE"""),425.12)</f>
        <v>425.12</v>
      </c>
      <c r="U175" s="320">
        <f>IFERROR(__xludf.DUMMYFUNCTION("""COMPUTED_VALUE"""),1318.94)</f>
        <v>1318.94</v>
      </c>
      <c r="V175" s="320">
        <f>IFERROR(__xludf.DUMMYFUNCTION("""COMPUTED_VALUE"""),8.8801)</f>
        <v>8.8801</v>
      </c>
      <c r="W175" s="320">
        <f>IFERROR(__xludf.DUMMYFUNCTION("""COMPUTED_VALUE"""),66.22)</f>
        <v>66.22</v>
      </c>
      <c r="X175" s="320">
        <f>IFERROR(__xludf.DUMMYFUNCTION("""COMPUTED_VALUE"""),130.0)</f>
        <v>130</v>
      </c>
      <c r="Y175" s="320">
        <f>IFERROR(__xludf.DUMMYFUNCTION("""COMPUTED_VALUE"""),564.0)</f>
        <v>564</v>
      </c>
      <c r="Z175" s="320">
        <f>IFERROR(__xludf.DUMMYFUNCTION("""COMPUTED_VALUE"""),2317.0)</f>
        <v>2317</v>
      </c>
      <c r="AA175" s="320">
        <f>IFERROR(__xludf.DUMMYFUNCTION("""COMPUTED_VALUE"""),62.0576)</f>
        <v>62.0576</v>
      </c>
      <c r="AB175" s="320">
        <f>IFERROR(__xludf.DUMMYFUNCTION("""COMPUTED_VALUE"""),0.8402)</f>
        <v>0.8402</v>
      </c>
      <c r="AC175" s="320">
        <f>IFERROR(__xludf.DUMMYFUNCTION("""COMPUTED_VALUE"""),75.75)</f>
        <v>75.75</v>
      </c>
      <c r="AD175" s="320">
        <f>IFERROR(__xludf.DUMMYFUNCTION("""COMPUTED_VALUE"""),29.0)</f>
        <v>29</v>
      </c>
      <c r="AE175" s="320">
        <f>IFERROR(__xludf.DUMMYFUNCTION("""COMPUTED_VALUE"""),53.0)</f>
        <v>53</v>
      </c>
      <c r="AF175" s="320">
        <f>IFERROR(__xludf.DUMMYFUNCTION("""COMPUTED_VALUE"""),105.0)</f>
        <v>105</v>
      </c>
      <c r="AG175" s="320">
        <f>IFERROR(__xludf.DUMMYFUNCTION("""COMPUTED_VALUE"""),169.0)</f>
        <v>169</v>
      </c>
      <c r="AH175" s="320">
        <f>IFERROR(__xludf.DUMMYFUNCTION("""COMPUTED_VALUE"""),36.36)</f>
        <v>36.36</v>
      </c>
      <c r="AI175" s="320">
        <f>IFERROR(__xludf.DUMMYFUNCTION("""COMPUTED_VALUE"""),9.09)</f>
        <v>9.09</v>
      </c>
      <c r="AJ175" s="320">
        <f>IFERROR(__xludf.DUMMYFUNCTION("""COMPUTED_VALUE"""),1.21)</f>
        <v>1.21</v>
      </c>
      <c r="AK175" s="320">
        <f>IFERROR(__xludf.DUMMYFUNCTION("""COMPUTED_VALUE"""),0.1061)</f>
        <v>0.1061</v>
      </c>
      <c r="AL175" s="320">
        <f>IFERROR(__xludf.DUMMYFUNCTION("""COMPUTED_VALUE"""),22.03)</f>
        <v>22.03</v>
      </c>
      <c r="AM175" s="320">
        <f>IFERROR(__xludf.DUMMYFUNCTION("""COMPUTED_VALUE"""),985.42)</f>
        <v>985.42</v>
      </c>
      <c r="AN175" s="320">
        <f>IFERROR(__xludf.DUMMYFUNCTION("""COMPUTED_VALUE"""),71.86)</f>
        <v>71.86</v>
      </c>
      <c r="AO175" s="320">
        <f>IFERROR(__xludf.DUMMYFUNCTION("""COMPUTED_VALUE"""),15.83)</f>
        <v>15.83</v>
      </c>
    </row>
    <row r="176" ht="15.75" customHeight="1">
      <c r="A176" s="330">
        <f>IFERROR(__xludf.DUMMYFUNCTION("""COMPUTED_VALUE"""),46079.0)</f>
        <v>46079</v>
      </c>
      <c r="B176" s="319" t="str">
        <f>IFERROR(__xludf.DUMMYFUNCTION("""COMPUTED_VALUE"""),"A. 0")</f>
        <v>A. 0</v>
      </c>
      <c r="C176" s="320">
        <f>IFERROR(__xludf.DUMMYFUNCTION("""COMPUTED_VALUE"""),18046.0)</f>
        <v>18046</v>
      </c>
      <c r="D176" s="320">
        <f>IFERROR(__xludf.DUMMYFUNCTION("""COMPUTED_VALUE"""),23.09)</f>
        <v>23.09</v>
      </c>
      <c r="E176" s="320">
        <f>IFERROR(__xludf.DUMMYFUNCTION("""COMPUTED_VALUE"""),146.62)</f>
        <v>146.62</v>
      </c>
      <c r="F176" s="320">
        <f>IFERROR(__xludf.DUMMYFUNCTION("""COMPUTED_VALUE"""),0.0081)</f>
        <v>0.0081</v>
      </c>
      <c r="G176" s="320">
        <f>IFERROR(__xludf.DUMMYFUNCTION("""COMPUTED_VALUE"""),0.22)</f>
        <v>0.22</v>
      </c>
      <c r="H176" s="320">
        <f>IFERROR(__xludf.DUMMYFUNCTION("""COMPUTED_VALUE"""),3.7595)</f>
        <v>3.7595</v>
      </c>
      <c r="I176" s="320">
        <f>IFERROR(__xludf.DUMMYFUNCTION("""COMPUTED_VALUE"""),6.5)</f>
        <v>6.5</v>
      </c>
      <c r="J176" s="320">
        <f>IFERROR(__xludf.DUMMYFUNCTION("""COMPUTED_VALUE"""),2.99)</f>
        <v>2.99</v>
      </c>
      <c r="K176" s="320">
        <f>IFERROR(__xludf.DUMMYFUNCTION("""COMPUTED_VALUE"""),0.03)</f>
        <v>0.03</v>
      </c>
      <c r="L176" s="320">
        <f>IFERROR(__xludf.DUMMYFUNCTION("""COMPUTED_VALUE"""),0.0109)</f>
        <v>0.0109</v>
      </c>
      <c r="M176" s="320">
        <f>IFERROR(__xludf.DUMMYFUNCTION("""COMPUTED_VALUE"""),0.9899)</f>
        <v>0.9899</v>
      </c>
      <c r="N176" s="320">
        <f>IFERROR(__xludf.DUMMYFUNCTION("""COMPUTED_VALUE"""),0.839)</f>
        <v>0.839</v>
      </c>
      <c r="O176" s="320">
        <f>IFERROR(__xludf.DUMMYFUNCTION("""COMPUTED_VALUE"""),91.8842)</f>
        <v>91.8842</v>
      </c>
      <c r="P176" s="320">
        <f>IFERROR(__xludf.DUMMYFUNCTION("""COMPUTED_VALUE"""),23.32)</f>
        <v>23.32</v>
      </c>
      <c r="Q176" s="320">
        <f>IFERROR(__xludf.DUMMYFUNCTION("""COMPUTED_VALUE"""),23.28)</f>
        <v>23.28</v>
      </c>
      <c r="R176" s="320">
        <f>IFERROR(__xludf.DUMMYFUNCTION("""COMPUTED_VALUE"""),0.04)</f>
        <v>0.04</v>
      </c>
      <c r="S176" s="320">
        <f>IFERROR(__xludf.DUMMYFUNCTION("""COMPUTED_VALUE"""),0.54)</f>
        <v>0.54</v>
      </c>
      <c r="T176" s="320">
        <f>IFERROR(__xludf.DUMMYFUNCTION("""COMPUTED_VALUE"""),22.77)</f>
        <v>22.77</v>
      </c>
      <c r="U176" s="320">
        <f>IFERROR(__xludf.DUMMYFUNCTION("""COMPUTED_VALUE"""),2.0)</f>
        <v>2</v>
      </c>
      <c r="V176" s="320">
        <f>IFERROR(__xludf.DUMMYFUNCTION("""COMPUTED_VALUE"""),0.6702)</f>
        <v>0.6702</v>
      </c>
      <c r="W176" s="320">
        <f>IFERROR(__xludf.DUMMYFUNCTION("""COMPUTED_VALUE"""),2.34)</f>
        <v>2.34</v>
      </c>
      <c r="X176" s="320">
        <f>IFERROR(__xludf.DUMMYFUNCTION("""COMPUTED_VALUE"""),129.0)</f>
        <v>129</v>
      </c>
      <c r="Y176" s="320">
        <f>IFERROR(__xludf.DUMMYFUNCTION("""COMPUTED_VALUE"""),810.0)</f>
        <v>810</v>
      </c>
      <c r="Z176" s="320">
        <f>IFERROR(__xludf.DUMMYFUNCTION("""COMPUTED_VALUE"""),6369.0)</f>
        <v>6369</v>
      </c>
      <c r="AA176" s="320">
        <f>IFERROR(__xludf.DUMMYFUNCTION("""COMPUTED_VALUE"""),49.6029)</f>
        <v>49.6029</v>
      </c>
      <c r="AB176" s="320">
        <f>IFERROR(__xludf.DUMMYFUNCTION("""COMPUTED_VALUE"""),0.4989)</f>
        <v>0.4989</v>
      </c>
      <c r="AC176" s="106"/>
      <c r="AD176" s="106"/>
      <c r="AE176" s="106"/>
      <c r="AF176" s="106"/>
      <c r="AG176" s="106"/>
      <c r="AH176" s="320">
        <f>IFERROR(__xludf.DUMMYFUNCTION("""COMPUTED_VALUE"""),0.0)</f>
        <v>0</v>
      </c>
      <c r="AI176" s="320">
        <f>IFERROR(__xludf.DUMMYFUNCTION("""COMPUTED_VALUE"""),0.0)</f>
        <v>0</v>
      </c>
      <c r="AJ176" s="320">
        <f>IFERROR(__xludf.DUMMYFUNCTION("""COMPUTED_VALUE"""),0.0)</f>
        <v>0</v>
      </c>
      <c r="AK176" s="320">
        <f>IFERROR(__xludf.DUMMYFUNCTION("""COMPUTED_VALUE"""),0.287)</f>
        <v>0.287</v>
      </c>
      <c r="AL176" s="320">
        <f>IFERROR(__xludf.DUMMYFUNCTION("""COMPUTED_VALUE"""),15.48)</f>
        <v>15.48</v>
      </c>
      <c r="AM176" s="320">
        <f>IFERROR(__xludf.DUMMYFUNCTION("""COMPUTED_VALUE"""),7.8)</f>
        <v>7.8</v>
      </c>
      <c r="AN176" s="331"/>
      <c r="AO176" s="331"/>
    </row>
    <row r="177" ht="15.75" customHeight="1">
      <c r="A177" s="330">
        <f>IFERROR(__xludf.DUMMYFUNCTION("""COMPUTED_VALUE"""),46079.0)</f>
        <v>46079</v>
      </c>
      <c r="B177" s="319" t="str">
        <f>IFERROR(__xludf.DUMMYFUNCTION("""COMPUTED_VALUE"""),"B. 1-9")</f>
        <v>B. 1-9</v>
      </c>
      <c r="C177" s="320">
        <f>IFERROR(__xludf.DUMMYFUNCTION("""COMPUTED_VALUE"""),33524.0)</f>
        <v>33524</v>
      </c>
      <c r="D177" s="320">
        <f>IFERROR(__xludf.DUMMYFUNCTION("""COMPUTED_VALUE"""),42.89)</f>
        <v>42.89</v>
      </c>
      <c r="E177" s="320">
        <f>IFERROR(__xludf.DUMMYFUNCTION("""COMPUTED_VALUE"""),8253.81)</f>
        <v>8253.81</v>
      </c>
      <c r="F177" s="320">
        <f>IFERROR(__xludf.DUMMYFUNCTION("""COMPUTED_VALUE"""),0.2462)</f>
        <v>0.2462</v>
      </c>
      <c r="G177" s="320">
        <f>IFERROR(__xludf.DUMMYFUNCTION("""COMPUTED_VALUE"""),6.76)</f>
        <v>6.76</v>
      </c>
      <c r="H177" s="320">
        <f>IFERROR(__xludf.DUMMYFUNCTION("""COMPUTED_VALUE"""),3.6409)</f>
        <v>3.6409</v>
      </c>
      <c r="I177" s="320">
        <f>IFERROR(__xludf.DUMMYFUNCTION("""COMPUTED_VALUE"""),29.58)</f>
        <v>29.58</v>
      </c>
      <c r="J177" s="320">
        <f>IFERROR(__xludf.DUMMYFUNCTION("""COMPUTED_VALUE"""),15.84)</f>
        <v>15.84</v>
      </c>
      <c r="K177" s="320">
        <f>IFERROR(__xludf.DUMMYFUNCTION("""COMPUTED_VALUE"""),4.9)</f>
        <v>4.9</v>
      </c>
      <c r="L177" s="320">
        <f>IFERROR(__xludf.DUMMYFUNCTION("""COMPUTED_VALUE"""),0.3096)</f>
        <v>0.3096</v>
      </c>
      <c r="M177" s="320">
        <f>IFERROR(__xludf.DUMMYFUNCTION("""COMPUTED_VALUE"""),0.763)</f>
        <v>0.763</v>
      </c>
      <c r="N177" s="320">
        <f>IFERROR(__xludf.DUMMYFUNCTION("""COMPUTED_VALUE"""),0.5254)</f>
        <v>0.5254</v>
      </c>
      <c r="O177" s="320">
        <f>IFERROR(__xludf.DUMMYFUNCTION("""COMPUTED_VALUE"""),3.2301)</f>
        <v>3.2301</v>
      </c>
      <c r="P177" s="320">
        <f>IFERROR(__xludf.DUMMYFUNCTION("""COMPUTED_VALUE"""),65.19)</f>
        <v>65.19</v>
      </c>
      <c r="Q177" s="320">
        <f>IFERROR(__xludf.DUMMYFUNCTION("""COMPUTED_VALUE"""),54.92)</f>
        <v>54.92</v>
      </c>
      <c r="R177" s="320">
        <f>IFERROR(__xludf.DUMMYFUNCTION("""COMPUTED_VALUE"""),10.28)</f>
        <v>10.28</v>
      </c>
      <c r="S177" s="320">
        <f>IFERROR(__xludf.DUMMYFUNCTION("""COMPUTED_VALUE"""),17.42)</f>
        <v>17.42</v>
      </c>
      <c r="T177" s="320">
        <f>IFERROR(__xludf.DUMMYFUNCTION("""COMPUTED_VALUE"""),47.77)</f>
        <v>47.77</v>
      </c>
      <c r="U177" s="320">
        <f>IFERROR(__xludf.DUMMYFUNCTION("""COMPUTED_VALUE"""),70.22)</f>
        <v>70.22</v>
      </c>
      <c r="V177" s="320">
        <f>IFERROR(__xludf.DUMMYFUNCTION("""COMPUTED_VALUE"""),4.4324)</f>
        <v>4.4324</v>
      </c>
      <c r="W177" s="320">
        <f>IFERROR(__xludf.DUMMYFUNCTION("""COMPUTED_VALUE"""),26.72)</f>
        <v>26.72</v>
      </c>
      <c r="X177" s="320">
        <f>IFERROR(__xludf.DUMMYFUNCTION("""COMPUTED_VALUE"""),85.0)</f>
        <v>85</v>
      </c>
      <c r="Y177" s="320">
        <f>IFERROR(__xludf.DUMMYFUNCTION("""COMPUTED_VALUE"""),198.0)</f>
        <v>198</v>
      </c>
      <c r="Z177" s="320">
        <f>IFERROR(__xludf.DUMMYFUNCTION("""COMPUTED_VALUE"""),784.0)</f>
        <v>784</v>
      </c>
      <c r="AA177" s="320">
        <f>IFERROR(__xludf.DUMMYFUNCTION("""COMPUTED_VALUE"""),49.5027)</f>
        <v>49.5027</v>
      </c>
      <c r="AB177" s="320">
        <f>IFERROR(__xludf.DUMMYFUNCTION("""COMPUTED_VALUE"""),0.4365)</f>
        <v>0.4365</v>
      </c>
      <c r="AC177" s="320">
        <f>IFERROR(__xludf.DUMMYFUNCTION("""COMPUTED_VALUE"""),3.34)</f>
        <v>3.34</v>
      </c>
      <c r="AD177" s="320">
        <f>IFERROR(__xludf.DUMMYFUNCTION("""COMPUTED_VALUE"""),1.0)</f>
        <v>1</v>
      </c>
      <c r="AE177" s="320">
        <f>IFERROR(__xludf.DUMMYFUNCTION("""COMPUTED_VALUE"""),2.0)</f>
        <v>2</v>
      </c>
      <c r="AF177" s="320">
        <f>IFERROR(__xludf.DUMMYFUNCTION("""COMPUTED_VALUE"""),4.0)</f>
        <v>4</v>
      </c>
      <c r="AG177" s="320">
        <f>IFERROR(__xludf.DUMMYFUNCTION("""COMPUTED_VALUE"""),8.0)</f>
        <v>8</v>
      </c>
      <c r="AH177" s="320">
        <f>IFERROR(__xludf.DUMMYFUNCTION("""COMPUTED_VALUE"""),62.8)</f>
        <v>62.8</v>
      </c>
      <c r="AI177" s="320">
        <f>IFERROR(__xludf.DUMMYFUNCTION("""COMPUTED_VALUE"""),22.48)</f>
        <v>22.48</v>
      </c>
      <c r="AJ177" s="320">
        <f>IFERROR(__xludf.DUMMYFUNCTION("""COMPUTED_VALUE"""),6.54)</f>
        <v>6.54</v>
      </c>
      <c r="AK177" s="320">
        <f>IFERROR(__xludf.DUMMYFUNCTION("""COMPUTED_VALUE"""),0.2269)</f>
        <v>0.2269</v>
      </c>
      <c r="AL177" s="320">
        <f>IFERROR(__xludf.DUMMYFUNCTION("""COMPUTED_VALUE"""),20.22)</f>
        <v>20.22</v>
      </c>
      <c r="AM177" s="320">
        <f>IFERROR(__xludf.DUMMYFUNCTION("""COMPUTED_VALUE"""),34.7)</f>
        <v>34.7</v>
      </c>
      <c r="AN177" s="320">
        <f>IFERROR(__xludf.DUMMYFUNCTION("""COMPUTED_VALUE"""),68.95)</f>
        <v>68.95</v>
      </c>
      <c r="AO177" s="320">
        <f>IFERROR(__xludf.DUMMYFUNCTION("""COMPUTED_VALUE"""),13.94)</f>
        <v>13.94</v>
      </c>
    </row>
    <row r="178" ht="15.75" customHeight="1">
      <c r="A178" s="330">
        <f>IFERROR(__xludf.DUMMYFUNCTION("""COMPUTED_VALUE"""),46079.0)</f>
        <v>46079</v>
      </c>
      <c r="B178" s="319" t="str">
        <f>IFERROR(__xludf.DUMMYFUNCTION("""COMPUTED_VALUE"""),"C. 10-19")</f>
        <v>C. 10-19</v>
      </c>
      <c r="C178" s="320">
        <f>IFERROR(__xludf.DUMMYFUNCTION("""COMPUTED_VALUE"""),15369.0)</f>
        <v>15369</v>
      </c>
      <c r="D178" s="320">
        <f>IFERROR(__xludf.DUMMYFUNCTION("""COMPUTED_VALUE"""),19.66)</f>
        <v>19.66</v>
      </c>
      <c r="E178" s="320">
        <f>IFERROR(__xludf.DUMMYFUNCTION("""COMPUTED_VALUE"""),17629.27)</f>
        <v>17629.27</v>
      </c>
      <c r="F178" s="320">
        <f>IFERROR(__xludf.DUMMYFUNCTION("""COMPUTED_VALUE"""),1.1471)</f>
        <v>1.1471</v>
      </c>
      <c r="G178" s="320">
        <f>IFERROR(__xludf.DUMMYFUNCTION("""COMPUTED_VALUE"""),22.46)</f>
        <v>22.46</v>
      </c>
      <c r="H178" s="320">
        <f>IFERROR(__xludf.DUMMYFUNCTION("""COMPUTED_VALUE"""),5.107)</f>
        <v>5.107</v>
      </c>
      <c r="I178" s="320">
        <f>IFERROR(__xludf.DUMMYFUNCTION("""COMPUTED_VALUE"""),53.26)</f>
        <v>53.26</v>
      </c>
      <c r="J178" s="320">
        <f>IFERROR(__xludf.DUMMYFUNCTION("""COMPUTED_VALUE"""),30.44)</f>
        <v>30.44</v>
      </c>
      <c r="K178" s="320">
        <f>IFERROR(__xludf.DUMMYFUNCTION("""COMPUTED_VALUE"""),13.25)</f>
        <v>13.25</v>
      </c>
      <c r="L178" s="320">
        <f>IFERROR(__xludf.DUMMYFUNCTION("""COMPUTED_VALUE"""),0.4351)</f>
        <v>0.4351</v>
      </c>
      <c r="M178" s="320">
        <f>IFERROR(__xludf.DUMMYFUNCTION("""COMPUTED_VALUE"""),0.6338)</f>
        <v>0.6338</v>
      </c>
      <c r="N178" s="320">
        <f>IFERROR(__xludf.DUMMYFUNCTION("""COMPUTED_VALUE"""),0.3632)</f>
        <v>0.3632</v>
      </c>
      <c r="O178" s="320">
        <f>IFERROR(__xludf.DUMMYFUNCTION("""COMPUTED_VALUE"""),2.2983)</f>
        <v>2.2983</v>
      </c>
      <c r="P178" s="320">
        <f>IFERROR(__xludf.DUMMYFUNCTION("""COMPUTED_VALUE"""),174.04)</f>
        <v>174.04</v>
      </c>
      <c r="Q178" s="320">
        <f>IFERROR(__xludf.DUMMYFUNCTION("""COMPUTED_VALUE"""),147.3)</f>
        <v>147.3</v>
      </c>
      <c r="R178" s="320">
        <f>IFERROR(__xludf.DUMMYFUNCTION("""COMPUTED_VALUE"""),26.73)</f>
        <v>26.73</v>
      </c>
      <c r="S178" s="320">
        <f>IFERROR(__xludf.DUMMYFUNCTION("""COMPUTED_VALUE"""),76.23)</f>
        <v>76.23</v>
      </c>
      <c r="T178" s="320">
        <f>IFERROR(__xludf.DUMMYFUNCTION("""COMPUTED_VALUE"""),97.81)</f>
        <v>97.81</v>
      </c>
      <c r="U178" s="320">
        <f>IFERROR(__xludf.DUMMYFUNCTION("""COMPUTED_VALUE"""),176.68)</f>
        <v>176.68</v>
      </c>
      <c r="V178" s="320">
        <f>IFERROR(__xludf.DUMMYFUNCTION("""COMPUTED_VALUE"""),5.8038)</f>
        <v>5.8038</v>
      </c>
      <c r="W178" s="320">
        <f>IFERROR(__xludf.DUMMYFUNCTION("""COMPUTED_VALUE"""),43.8)</f>
        <v>43.8</v>
      </c>
      <c r="X178" s="320">
        <f>IFERROR(__xludf.DUMMYFUNCTION("""COMPUTED_VALUE"""),82.0)</f>
        <v>82</v>
      </c>
      <c r="Y178" s="320">
        <f>IFERROR(__xludf.DUMMYFUNCTION("""COMPUTED_VALUE"""),188.0)</f>
        <v>188</v>
      </c>
      <c r="Z178" s="320">
        <f>IFERROR(__xludf.DUMMYFUNCTION("""COMPUTED_VALUE"""),627.0)</f>
        <v>627</v>
      </c>
      <c r="AA178" s="320">
        <f>IFERROR(__xludf.DUMMYFUNCTION("""COMPUTED_VALUE"""),52.4631)</f>
        <v>52.4631</v>
      </c>
      <c r="AB178" s="320">
        <f>IFERROR(__xludf.DUMMYFUNCTION("""COMPUTED_VALUE"""),0.5298)</f>
        <v>0.5298</v>
      </c>
      <c r="AC178" s="320">
        <f>IFERROR(__xludf.DUMMYFUNCTION("""COMPUTED_VALUE"""),8.52)</f>
        <v>8.52</v>
      </c>
      <c r="AD178" s="320">
        <f>IFERROR(__xludf.DUMMYFUNCTION("""COMPUTED_VALUE"""),2.0)</f>
        <v>2</v>
      </c>
      <c r="AE178" s="320">
        <f>IFERROR(__xludf.DUMMYFUNCTION("""COMPUTED_VALUE"""),6.0)</f>
        <v>6</v>
      </c>
      <c r="AF178" s="320">
        <f>IFERROR(__xludf.DUMMYFUNCTION("""COMPUTED_VALUE"""),12.0)</f>
        <v>12</v>
      </c>
      <c r="AG178" s="320">
        <f>IFERROR(__xludf.DUMMYFUNCTION("""COMPUTED_VALUE"""),19.0)</f>
        <v>19</v>
      </c>
      <c r="AH178" s="320">
        <f>IFERROR(__xludf.DUMMYFUNCTION("""COMPUTED_VALUE"""),50.95)</f>
        <v>50.95</v>
      </c>
      <c r="AI178" s="320">
        <f>IFERROR(__xludf.DUMMYFUNCTION("""COMPUTED_VALUE"""),22.8)</f>
        <v>22.8</v>
      </c>
      <c r="AJ178" s="320">
        <f>IFERROR(__xludf.DUMMYFUNCTION("""COMPUTED_VALUE"""),4.78)</f>
        <v>4.78</v>
      </c>
      <c r="AK178" s="320">
        <f>IFERROR(__xludf.DUMMYFUNCTION("""COMPUTED_VALUE"""),0.1909)</f>
        <v>0.1909</v>
      </c>
      <c r="AL178" s="320">
        <f>IFERROR(__xludf.DUMMYFUNCTION("""COMPUTED_VALUE"""),20.26)</f>
        <v>20.26</v>
      </c>
      <c r="AM178" s="320">
        <f>IFERROR(__xludf.DUMMYFUNCTION("""COMPUTED_VALUE"""),127.04)</f>
        <v>127.04</v>
      </c>
      <c r="AN178" s="320">
        <f>IFERROR(__xludf.DUMMYFUNCTION("""COMPUTED_VALUE"""),74.5)</f>
        <v>74.5</v>
      </c>
      <c r="AO178" s="320">
        <f>IFERROR(__xludf.DUMMYFUNCTION("""COMPUTED_VALUE"""),15.09)</f>
        <v>15.09</v>
      </c>
    </row>
    <row r="179" ht="15.75" customHeight="1">
      <c r="A179" s="330">
        <f>IFERROR(__xludf.DUMMYFUNCTION("""COMPUTED_VALUE"""),46079.0)</f>
        <v>46079</v>
      </c>
      <c r="B179" s="319" t="str">
        <f>IFERROR(__xludf.DUMMYFUNCTION("""COMPUTED_VALUE"""),"D. 20-39")</f>
        <v>D. 20-39</v>
      </c>
      <c r="C179" s="320">
        <f>IFERROR(__xludf.DUMMYFUNCTION("""COMPUTED_VALUE"""),7715.0)</f>
        <v>7715</v>
      </c>
      <c r="D179" s="320">
        <f>IFERROR(__xludf.DUMMYFUNCTION("""COMPUTED_VALUE"""),9.87)</f>
        <v>9.87</v>
      </c>
      <c r="E179" s="320">
        <f>IFERROR(__xludf.DUMMYFUNCTION("""COMPUTED_VALUE"""),20246.29)</f>
        <v>20246.29</v>
      </c>
      <c r="F179" s="320">
        <f>IFERROR(__xludf.DUMMYFUNCTION("""COMPUTED_VALUE"""),2.6243)</f>
        <v>2.6243</v>
      </c>
      <c r="G179" s="320">
        <f>IFERROR(__xludf.DUMMYFUNCTION("""COMPUTED_VALUE"""),33.22)</f>
        <v>33.22</v>
      </c>
      <c r="H179" s="320">
        <f>IFERROR(__xludf.DUMMYFUNCTION("""COMPUTED_VALUE"""),7.8994)</f>
        <v>7.8994</v>
      </c>
      <c r="I179" s="320">
        <f>IFERROR(__xludf.DUMMYFUNCTION("""COMPUTED_VALUE"""),74.63)</f>
        <v>74.63</v>
      </c>
      <c r="J179" s="320">
        <f>IFERROR(__xludf.DUMMYFUNCTION("""COMPUTED_VALUE"""),44.08)</f>
        <v>44.08</v>
      </c>
      <c r="K179" s="320">
        <f>IFERROR(__xludf.DUMMYFUNCTION("""COMPUTED_VALUE"""),25.06)</f>
        <v>25.06</v>
      </c>
      <c r="L179" s="320">
        <f>IFERROR(__xludf.DUMMYFUNCTION("""COMPUTED_VALUE"""),0.5684)</f>
        <v>0.5684</v>
      </c>
      <c r="M179" s="320">
        <f>IFERROR(__xludf.DUMMYFUNCTION("""COMPUTED_VALUE"""),0.5133)</f>
        <v>0.5133</v>
      </c>
      <c r="N179" s="320">
        <f>IFERROR(__xludf.DUMMYFUNCTION("""COMPUTED_VALUE"""),0.2869)</f>
        <v>0.2869</v>
      </c>
      <c r="O179" s="320">
        <f>IFERROR(__xludf.DUMMYFUNCTION("""COMPUTED_VALUE"""),1.7592)</f>
        <v>1.7592</v>
      </c>
      <c r="P179" s="320">
        <f>IFERROR(__xludf.DUMMYFUNCTION("""COMPUTED_VALUE"""),345.52)</f>
        <v>345.52</v>
      </c>
      <c r="Q179" s="320">
        <f>IFERROR(__xludf.DUMMYFUNCTION("""COMPUTED_VALUE"""),292.91)</f>
        <v>292.91</v>
      </c>
      <c r="R179" s="320">
        <f>IFERROR(__xludf.DUMMYFUNCTION("""COMPUTED_VALUE"""),52.61)</f>
        <v>52.61</v>
      </c>
      <c r="S179" s="320">
        <f>IFERROR(__xludf.DUMMYFUNCTION("""COMPUTED_VALUE"""),163.44)</f>
        <v>163.44</v>
      </c>
      <c r="T179" s="320">
        <f>IFERROR(__xludf.DUMMYFUNCTION("""COMPUTED_VALUE"""),182.07)</f>
        <v>182.07</v>
      </c>
      <c r="U179" s="320">
        <f>IFERROR(__xludf.DUMMYFUNCTION("""COMPUTED_VALUE"""),343.92)</f>
        <v>343.92</v>
      </c>
      <c r="V179" s="320">
        <f>IFERROR(__xludf.DUMMYFUNCTION("""COMPUTED_VALUE"""),7.8023)</f>
        <v>7.8023</v>
      </c>
      <c r="W179" s="320">
        <f>IFERROR(__xludf.DUMMYFUNCTION("""COMPUTED_VALUE"""),47.3)</f>
        <v>47.3</v>
      </c>
      <c r="X179" s="320">
        <f>IFERROR(__xludf.DUMMYFUNCTION("""COMPUTED_VALUE"""),89.0)</f>
        <v>89</v>
      </c>
      <c r="Y179" s="320">
        <f>IFERROR(__xludf.DUMMYFUNCTION("""COMPUTED_VALUE"""),237.0)</f>
        <v>237</v>
      </c>
      <c r="Z179" s="320">
        <f>IFERROR(__xludf.DUMMYFUNCTION("""COMPUTED_VALUE"""),731.0)</f>
        <v>731</v>
      </c>
      <c r="AA179" s="320">
        <f>IFERROR(__xludf.DUMMYFUNCTION("""COMPUTED_VALUE"""),54.9861)</f>
        <v>54.9861</v>
      </c>
      <c r="AB179" s="320">
        <f>IFERROR(__xludf.DUMMYFUNCTION("""COMPUTED_VALUE"""),0.6555)</f>
        <v>0.6555</v>
      </c>
      <c r="AC179" s="320">
        <f>IFERROR(__xludf.DUMMYFUNCTION("""COMPUTED_VALUE"""),17.06)</f>
        <v>17.06</v>
      </c>
      <c r="AD179" s="320">
        <f>IFERROR(__xludf.DUMMYFUNCTION("""COMPUTED_VALUE"""),5.0)</f>
        <v>5</v>
      </c>
      <c r="AE179" s="320">
        <f>IFERROR(__xludf.DUMMYFUNCTION("""COMPUTED_VALUE"""),12.0)</f>
        <v>12</v>
      </c>
      <c r="AF179" s="320">
        <f>IFERROR(__xludf.DUMMYFUNCTION("""COMPUTED_VALUE"""),25.0)</f>
        <v>25</v>
      </c>
      <c r="AG179" s="320">
        <f>IFERROR(__xludf.DUMMYFUNCTION("""COMPUTED_VALUE"""),38.0)</f>
        <v>38</v>
      </c>
      <c r="AH179" s="320">
        <f>IFERROR(__xludf.DUMMYFUNCTION("""COMPUTED_VALUE"""),54.13)</f>
        <v>54.13</v>
      </c>
      <c r="AI179" s="320">
        <f>IFERROR(__xludf.DUMMYFUNCTION("""COMPUTED_VALUE"""),23.42)</f>
        <v>23.42</v>
      </c>
      <c r="AJ179" s="320">
        <f>IFERROR(__xludf.DUMMYFUNCTION("""COMPUTED_VALUE"""),7.28)</f>
        <v>7.28</v>
      </c>
      <c r="AK179" s="320">
        <f>IFERROR(__xludf.DUMMYFUNCTION("""COMPUTED_VALUE"""),0.1981)</f>
        <v>0.1981</v>
      </c>
      <c r="AL179" s="320">
        <f>IFERROR(__xludf.DUMMYFUNCTION("""COMPUTED_VALUE"""),19.75)</f>
        <v>19.75</v>
      </c>
      <c r="AM179" s="320">
        <f>IFERROR(__xludf.DUMMYFUNCTION("""COMPUTED_VALUE"""),273.16)</f>
        <v>273.16</v>
      </c>
      <c r="AN179" s="320">
        <f>IFERROR(__xludf.DUMMYFUNCTION("""COMPUTED_VALUE"""),74.74)</f>
        <v>74.74</v>
      </c>
      <c r="AO179" s="320">
        <f>IFERROR(__xludf.DUMMYFUNCTION("""COMPUTED_VALUE"""),14.76)</f>
        <v>14.76</v>
      </c>
    </row>
    <row r="180" ht="15.75" customHeight="1">
      <c r="A180" s="330">
        <f>IFERROR(__xludf.DUMMYFUNCTION("""COMPUTED_VALUE"""),46079.0)</f>
        <v>46079</v>
      </c>
      <c r="B180" s="319" t="str">
        <f>IFERROR(__xludf.DUMMYFUNCTION("""COMPUTED_VALUE"""),"E. 40-99")</f>
        <v>E. 40-99</v>
      </c>
      <c r="C180" s="320">
        <f>IFERROR(__xludf.DUMMYFUNCTION("""COMPUTED_VALUE"""),3181.0)</f>
        <v>3181</v>
      </c>
      <c r="D180" s="320">
        <f>IFERROR(__xludf.DUMMYFUNCTION("""COMPUTED_VALUE"""),4.07)</f>
        <v>4.07</v>
      </c>
      <c r="E180" s="320">
        <f>IFERROR(__xludf.DUMMYFUNCTION("""COMPUTED_VALUE"""),18351.44)</f>
        <v>18351.44</v>
      </c>
      <c r="F180" s="320">
        <f>IFERROR(__xludf.DUMMYFUNCTION("""COMPUTED_VALUE"""),5.7691)</f>
        <v>5.7691</v>
      </c>
      <c r="G180" s="320">
        <f>IFERROR(__xludf.DUMMYFUNCTION("""COMPUTED_VALUE"""),40.33)</f>
        <v>40.33</v>
      </c>
      <c r="H180" s="320">
        <f>IFERROR(__xludf.DUMMYFUNCTION("""COMPUTED_VALUE"""),14.3035)</f>
        <v>14.3035</v>
      </c>
      <c r="I180" s="320">
        <f>IFERROR(__xludf.DUMMYFUNCTION("""COMPUTED_VALUE"""),120.75)</f>
        <v>120.75</v>
      </c>
      <c r="J180" s="320">
        <f>IFERROR(__xludf.DUMMYFUNCTION("""COMPUTED_VALUE"""),74.14)</f>
        <v>74.14</v>
      </c>
      <c r="K180" s="320">
        <f>IFERROR(__xludf.DUMMYFUNCTION("""COMPUTED_VALUE"""),53.14)</f>
        <v>53.14</v>
      </c>
      <c r="L180" s="320">
        <f>IFERROR(__xludf.DUMMYFUNCTION("""COMPUTED_VALUE"""),0.7168)</f>
        <v>0.7168</v>
      </c>
      <c r="M180" s="320">
        <f>IFERROR(__xludf.DUMMYFUNCTION("""COMPUTED_VALUE"""),0.3815)</f>
        <v>0.3815</v>
      </c>
      <c r="N180" s="320">
        <f>IFERROR(__xludf.DUMMYFUNCTION("""COMPUTED_VALUE"""),0.2256)</f>
        <v>0.2256</v>
      </c>
      <c r="O180" s="320">
        <f>IFERROR(__xludf.DUMMYFUNCTION("""COMPUTED_VALUE"""),1.3951)</f>
        <v>1.3951</v>
      </c>
      <c r="P180" s="320">
        <f>IFERROR(__xludf.DUMMYFUNCTION("""COMPUTED_VALUE"""),750.57)</f>
        <v>750.57</v>
      </c>
      <c r="Q180" s="320">
        <f>IFERROR(__xludf.DUMMYFUNCTION("""COMPUTED_VALUE"""),638.81)</f>
        <v>638.81</v>
      </c>
      <c r="R180" s="320">
        <f>IFERROR(__xludf.DUMMYFUNCTION("""COMPUTED_VALUE"""),111.76)</f>
        <v>111.76</v>
      </c>
      <c r="S180" s="320">
        <f>IFERROR(__xludf.DUMMYFUNCTION("""COMPUTED_VALUE"""),359.2)</f>
        <v>359.2</v>
      </c>
      <c r="T180" s="320">
        <f>IFERROR(__xludf.DUMMYFUNCTION("""COMPUTED_VALUE"""),391.37)</f>
        <v>391.37</v>
      </c>
      <c r="U180" s="320">
        <f>IFERROR(__xludf.DUMMYFUNCTION("""COMPUTED_VALUE"""),727.68)</f>
        <v>727.68</v>
      </c>
      <c r="V180" s="320">
        <f>IFERROR(__xludf.DUMMYFUNCTION("""COMPUTED_VALUE"""),9.8151)</f>
        <v>9.8151</v>
      </c>
      <c r="W180" s="320">
        <f>IFERROR(__xludf.DUMMYFUNCTION("""COMPUTED_VALUE"""),47.86)</f>
        <v>47.86</v>
      </c>
      <c r="X180" s="320">
        <f>IFERROR(__xludf.DUMMYFUNCTION("""COMPUTED_VALUE"""),114.0)</f>
        <v>114</v>
      </c>
      <c r="Y180" s="320">
        <f>IFERROR(__xludf.DUMMYFUNCTION("""COMPUTED_VALUE"""),398.0)</f>
        <v>398</v>
      </c>
      <c r="Z180" s="320">
        <f>IFERROR(__xludf.DUMMYFUNCTION("""COMPUTED_VALUE"""),1139.0)</f>
        <v>1139</v>
      </c>
      <c r="AA180" s="320">
        <f>IFERROR(__xludf.DUMMYFUNCTION("""COMPUTED_VALUE"""),58.0791)</f>
        <v>58.0791</v>
      </c>
      <c r="AB180" s="320">
        <f>IFERROR(__xludf.DUMMYFUNCTION("""COMPUTED_VALUE"""),0.7505)</f>
        <v>0.7505</v>
      </c>
      <c r="AC180" s="320">
        <f>IFERROR(__xludf.DUMMYFUNCTION("""COMPUTED_VALUE"""),37.28)</f>
        <v>37.28</v>
      </c>
      <c r="AD180" s="320">
        <f>IFERROR(__xludf.DUMMYFUNCTION("""COMPUTED_VALUE"""),12.0)</f>
        <v>12</v>
      </c>
      <c r="AE180" s="320">
        <f>IFERROR(__xludf.DUMMYFUNCTION("""COMPUTED_VALUE"""),29.0)</f>
        <v>29</v>
      </c>
      <c r="AF180" s="320">
        <f>IFERROR(__xludf.DUMMYFUNCTION("""COMPUTED_VALUE"""),52.0)</f>
        <v>52</v>
      </c>
      <c r="AG180" s="320">
        <f>IFERROR(__xludf.DUMMYFUNCTION("""COMPUTED_VALUE"""),81.0)</f>
        <v>81</v>
      </c>
      <c r="AH180" s="320">
        <f>IFERROR(__xludf.DUMMYFUNCTION("""COMPUTED_VALUE"""),52.18)</f>
        <v>52.18</v>
      </c>
      <c r="AI180" s="320">
        <f>IFERROR(__xludf.DUMMYFUNCTION("""COMPUTED_VALUE"""),19.93)</f>
        <v>19.93</v>
      </c>
      <c r="AJ180" s="320">
        <f>IFERROR(__xludf.DUMMYFUNCTION("""COMPUTED_VALUE"""),4.84)</f>
        <v>4.84</v>
      </c>
      <c r="AK180" s="320">
        <f>IFERROR(__xludf.DUMMYFUNCTION("""COMPUTED_VALUE"""),0.1861)</f>
        <v>0.1861</v>
      </c>
      <c r="AL180" s="320">
        <f>IFERROR(__xludf.DUMMYFUNCTION("""COMPUTED_VALUE"""),20.05)</f>
        <v>20.05</v>
      </c>
      <c r="AM180" s="320">
        <f>IFERROR(__xludf.DUMMYFUNCTION("""COMPUTED_VALUE"""),618.76)</f>
        <v>618.76</v>
      </c>
      <c r="AN180" s="320">
        <f>IFERROR(__xludf.DUMMYFUNCTION("""COMPUTED_VALUE"""),74.45)</f>
        <v>74.45</v>
      </c>
      <c r="AO180" s="320">
        <f>IFERROR(__xludf.DUMMYFUNCTION("""COMPUTED_VALUE"""),14.93)</f>
        <v>14.93</v>
      </c>
    </row>
    <row r="181" ht="15.75" customHeight="1">
      <c r="A181" s="330">
        <f>IFERROR(__xludf.DUMMYFUNCTION("""COMPUTED_VALUE"""),46079.0)</f>
        <v>46079</v>
      </c>
      <c r="B181" s="319" t="str">
        <f>IFERROR(__xludf.DUMMYFUNCTION("""COMPUTED_VALUE"""),"F. 100+")</f>
        <v>F. 100+</v>
      </c>
      <c r="C181" s="320">
        <f>IFERROR(__xludf.DUMMYFUNCTION("""COMPUTED_VALUE"""),329.0)</f>
        <v>329</v>
      </c>
      <c r="D181" s="320">
        <f>IFERROR(__xludf.DUMMYFUNCTION("""COMPUTED_VALUE"""),0.42)</f>
        <v>0.42</v>
      </c>
      <c r="E181" s="320">
        <f>IFERROR(__xludf.DUMMYFUNCTION("""COMPUTED_VALUE"""),3564.89)</f>
        <v>3564.89</v>
      </c>
      <c r="F181" s="320">
        <f>IFERROR(__xludf.DUMMYFUNCTION("""COMPUTED_VALUE"""),10.8355)</f>
        <v>10.8355</v>
      </c>
      <c r="G181" s="320">
        <f>IFERROR(__xludf.DUMMYFUNCTION("""COMPUTED_VALUE"""),44.07)</f>
        <v>44.07</v>
      </c>
      <c r="H181" s="320">
        <f>IFERROR(__xludf.DUMMYFUNCTION("""COMPUTED_VALUE"""),24.5854)</f>
        <v>24.5854</v>
      </c>
      <c r="I181" s="320">
        <f>IFERROR(__xludf.DUMMYFUNCTION("""COMPUTED_VALUE"""),214.32)</f>
        <v>214.32</v>
      </c>
      <c r="J181" s="320">
        <f>IFERROR(__xludf.DUMMYFUNCTION("""COMPUTED_VALUE"""),142.29)</f>
        <v>142.29</v>
      </c>
      <c r="K181" s="320">
        <f>IFERROR(__xludf.DUMMYFUNCTION("""COMPUTED_VALUE"""),118.07)</f>
        <v>118.07</v>
      </c>
      <c r="L181" s="320">
        <f>IFERROR(__xludf.DUMMYFUNCTION("""COMPUTED_VALUE"""),0.8298)</f>
        <v>0.8298</v>
      </c>
      <c r="M181" s="320">
        <f>IFERROR(__xludf.DUMMYFUNCTION("""COMPUTED_VALUE"""),0.2665)</f>
        <v>0.2665</v>
      </c>
      <c r="N181" s="320">
        <f>IFERROR(__xludf.DUMMYFUNCTION("""COMPUTED_VALUE"""),0.1706)</f>
        <v>0.1706</v>
      </c>
      <c r="O181" s="320">
        <f>IFERROR(__xludf.DUMMYFUNCTION("""COMPUTED_VALUE"""),1.2051)</f>
        <v>1.2051</v>
      </c>
      <c r="P181" s="320">
        <f>IFERROR(__xludf.DUMMYFUNCTION("""COMPUTED_VALUE"""),1413.4)</f>
        <v>1413.4</v>
      </c>
      <c r="Q181" s="320">
        <f>IFERROR(__xludf.DUMMYFUNCTION("""COMPUTED_VALUE"""),1164.47)</f>
        <v>1164.47</v>
      </c>
      <c r="R181" s="320">
        <f>IFERROR(__xludf.DUMMYFUNCTION("""COMPUTED_VALUE"""),248.92)</f>
        <v>248.92</v>
      </c>
      <c r="S181" s="320">
        <f>IFERROR(__xludf.DUMMYFUNCTION("""COMPUTED_VALUE"""),661.6)</f>
        <v>661.6</v>
      </c>
      <c r="T181" s="320">
        <f>IFERROR(__xludf.DUMMYFUNCTION("""COMPUTED_VALUE"""),751.8)</f>
        <v>751.8</v>
      </c>
      <c r="U181" s="320">
        <f>IFERROR(__xludf.DUMMYFUNCTION("""COMPUTED_VALUE"""),1371.73)</f>
        <v>1371.73</v>
      </c>
      <c r="V181" s="320">
        <f>IFERROR(__xludf.DUMMYFUNCTION("""COMPUTED_VALUE"""),9.6405)</f>
        <v>9.6405</v>
      </c>
      <c r="W181" s="320">
        <f>IFERROR(__xludf.DUMMYFUNCTION("""COMPUTED_VALUE"""),46.81)</f>
        <v>46.81</v>
      </c>
      <c r="X181" s="320">
        <f>IFERROR(__xludf.DUMMYFUNCTION("""COMPUTED_VALUE"""),196.0)</f>
        <v>196</v>
      </c>
      <c r="Y181" s="320">
        <f>IFERROR(__xludf.DUMMYFUNCTION("""COMPUTED_VALUE"""),721.0)</f>
        <v>721</v>
      </c>
      <c r="Z181" s="320">
        <f>IFERROR(__xludf.DUMMYFUNCTION("""COMPUTED_VALUE"""),2779.0)</f>
        <v>2779</v>
      </c>
      <c r="AA181" s="320">
        <f>IFERROR(__xludf.DUMMYFUNCTION("""COMPUTED_VALUE"""),62.7095)</f>
        <v>62.7095</v>
      </c>
      <c r="AB181" s="320">
        <f>IFERROR(__xludf.DUMMYFUNCTION("""COMPUTED_VALUE"""),0.8282)</f>
        <v>0.8282</v>
      </c>
      <c r="AC181" s="320">
        <f>IFERROR(__xludf.DUMMYFUNCTION("""COMPUTED_VALUE"""),80.67)</f>
        <v>80.67</v>
      </c>
      <c r="AD181" s="320">
        <f>IFERROR(__xludf.DUMMYFUNCTION("""COMPUTED_VALUE"""),31.0)</f>
        <v>31</v>
      </c>
      <c r="AE181" s="320">
        <f>IFERROR(__xludf.DUMMYFUNCTION("""COMPUTED_VALUE"""),64.0)</f>
        <v>64</v>
      </c>
      <c r="AF181" s="320">
        <f>IFERROR(__xludf.DUMMYFUNCTION("""COMPUTED_VALUE"""),108.0)</f>
        <v>108</v>
      </c>
      <c r="AG181" s="320">
        <f>IFERROR(__xludf.DUMMYFUNCTION("""COMPUTED_VALUE"""),168.0)</f>
        <v>168</v>
      </c>
      <c r="AH181" s="320">
        <f>IFERROR(__xludf.DUMMYFUNCTION("""COMPUTED_VALUE"""),41.95)</f>
        <v>41.95</v>
      </c>
      <c r="AI181" s="320">
        <f>IFERROR(__xludf.DUMMYFUNCTION("""COMPUTED_VALUE"""),8.81)</f>
        <v>8.81</v>
      </c>
      <c r="AJ181" s="320">
        <f>IFERROR(__xludf.DUMMYFUNCTION("""COMPUTED_VALUE"""),1.82)</f>
        <v>1.82</v>
      </c>
      <c r="AK181" s="320">
        <f>IFERROR(__xludf.DUMMYFUNCTION("""COMPUTED_VALUE"""),0.1337)</f>
        <v>0.1337</v>
      </c>
      <c r="AL181" s="320">
        <f>IFERROR(__xludf.DUMMYFUNCTION("""COMPUTED_VALUE"""),20.29)</f>
        <v>20.29</v>
      </c>
      <c r="AM181" s="320">
        <f>IFERROR(__xludf.DUMMYFUNCTION("""COMPUTED_VALUE"""),1144.19)</f>
        <v>1144.19</v>
      </c>
      <c r="AN181" s="320">
        <f>IFERROR(__xludf.DUMMYFUNCTION("""COMPUTED_VALUE"""),73.77)</f>
        <v>73.77</v>
      </c>
      <c r="AO181" s="320">
        <f>IFERROR(__xludf.DUMMYFUNCTION("""COMPUTED_VALUE"""),14.97)</f>
        <v>14.97</v>
      </c>
    </row>
    <row r="182" ht="15.75" customHeight="1">
      <c r="A182" s="330">
        <f>IFERROR(__xludf.DUMMYFUNCTION("""COMPUTED_VALUE"""),46080.0)</f>
        <v>46080</v>
      </c>
      <c r="B182" s="319" t="str">
        <f>IFERROR(__xludf.DUMMYFUNCTION("""COMPUTED_VALUE"""),"A. 0")</f>
        <v>A. 0</v>
      </c>
      <c r="C182" s="320">
        <f>IFERROR(__xludf.DUMMYFUNCTION("""COMPUTED_VALUE"""),15683.0)</f>
        <v>15683</v>
      </c>
      <c r="D182" s="320">
        <f>IFERROR(__xludf.DUMMYFUNCTION("""COMPUTED_VALUE"""),20.55)</f>
        <v>20.55</v>
      </c>
      <c r="E182" s="320">
        <f>IFERROR(__xludf.DUMMYFUNCTION("""COMPUTED_VALUE"""),271.73)</f>
        <v>271.73</v>
      </c>
      <c r="F182" s="320">
        <f>IFERROR(__xludf.DUMMYFUNCTION("""COMPUTED_VALUE"""),0.0173)</f>
        <v>0.0173</v>
      </c>
      <c r="G182" s="320">
        <f>IFERROR(__xludf.DUMMYFUNCTION("""COMPUTED_VALUE"""),0.29)</f>
        <v>0.29</v>
      </c>
      <c r="H182" s="320">
        <f>IFERROR(__xludf.DUMMYFUNCTION("""COMPUTED_VALUE"""),5.9072)</f>
        <v>5.9072</v>
      </c>
      <c r="I182" s="320">
        <f>IFERROR(__xludf.DUMMYFUNCTION("""COMPUTED_VALUE"""),5.91)</f>
        <v>5.91</v>
      </c>
      <c r="J182" s="320">
        <f>IFERROR(__xludf.DUMMYFUNCTION("""COMPUTED_VALUE"""),2.59)</f>
        <v>2.59</v>
      </c>
      <c r="K182" s="320">
        <f>IFERROR(__xludf.DUMMYFUNCTION("""COMPUTED_VALUE"""),0.03)</f>
        <v>0.03</v>
      </c>
      <c r="L182" s="320">
        <f>IFERROR(__xludf.DUMMYFUNCTION("""COMPUTED_VALUE"""),0.0104)</f>
        <v>0.0104</v>
      </c>
      <c r="M182" s="320">
        <f>IFERROR(__xludf.DUMMYFUNCTION("""COMPUTED_VALUE"""),0.9902)</f>
        <v>0.9902</v>
      </c>
      <c r="N182" s="320">
        <f>IFERROR(__xludf.DUMMYFUNCTION("""COMPUTED_VALUE"""),0.8669)</f>
        <v>0.8669</v>
      </c>
      <c r="O182" s="320">
        <f>IFERROR(__xludf.DUMMYFUNCTION("""COMPUTED_VALUE"""),96.1327)</f>
        <v>96.1327</v>
      </c>
      <c r="P182" s="320">
        <f>IFERROR(__xludf.DUMMYFUNCTION("""COMPUTED_VALUE"""),30.29)</f>
        <v>30.29</v>
      </c>
      <c r="Q182" s="320">
        <f>IFERROR(__xludf.DUMMYFUNCTION("""COMPUTED_VALUE"""),30.21)</f>
        <v>30.21</v>
      </c>
      <c r="R182" s="320">
        <f>IFERROR(__xludf.DUMMYFUNCTION("""COMPUTED_VALUE"""),0.08)</f>
        <v>0.08</v>
      </c>
      <c r="S182" s="320">
        <f>IFERROR(__xludf.DUMMYFUNCTION("""COMPUTED_VALUE"""),1.13)</f>
        <v>1.13</v>
      </c>
      <c r="T182" s="320">
        <f>IFERROR(__xludf.DUMMYFUNCTION("""COMPUTED_VALUE"""),29.16)</f>
        <v>29.16</v>
      </c>
      <c r="U182" s="320">
        <f>IFERROR(__xludf.DUMMYFUNCTION("""COMPUTED_VALUE"""),1.63)</f>
        <v>1.63</v>
      </c>
      <c r="V182" s="320">
        <f>IFERROR(__xludf.DUMMYFUNCTION("""COMPUTED_VALUE"""),0.631)</f>
        <v>0.631</v>
      </c>
      <c r="W182" s="320">
        <f>IFERROR(__xludf.DUMMYFUNCTION("""COMPUTED_VALUE"""),3.75)</f>
        <v>3.75</v>
      </c>
      <c r="X182" s="320">
        <f>IFERROR(__xludf.DUMMYFUNCTION("""COMPUTED_VALUE"""),167.0)</f>
        <v>167</v>
      </c>
      <c r="Y182" s="320">
        <f>IFERROR(__xludf.DUMMYFUNCTION("""COMPUTED_VALUE"""),1151.0)</f>
        <v>1151</v>
      </c>
      <c r="Z182" s="320">
        <f>IFERROR(__xludf.DUMMYFUNCTION("""COMPUTED_VALUE"""),7395.0)</f>
        <v>7395</v>
      </c>
      <c r="AA182" s="320">
        <f>IFERROR(__xludf.DUMMYFUNCTION("""COMPUTED_VALUE"""),49.7267)</f>
        <v>49.7267</v>
      </c>
      <c r="AB182" s="320">
        <f>IFERROR(__xludf.DUMMYFUNCTION("""COMPUTED_VALUE"""),0.5102)</f>
        <v>0.5102</v>
      </c>
      <c r="AC182" s="106"/>
      <c r="AD182" s="106"/>
      <c r="AE182" s="106"/>
      <c r="AF182" s="106"/>
      <c r="AG182" s="106"/>
      <c r="AH182" s="320">
        <f>IFERROR(__xludf.DUMMYFUNCTION("""COMPUTED_VALUE"""),0.0)</f>
        <v>0</v>
      </c>
      <c r="AI182" s="320">
        <f>IFERROR(__xludf.DUMMYFUNCTION("""COMPUTED_VALUE"""),0.0)</f>
        <v>0</v>
      </c>
      <c r="AJ182" s="320">
        <f>IFERROR(__xludf.DUMMYFUNCTION("""COMPUTED_VALUE"""),0.0)</f>
        <v>0</v>
      </c>
      <c r="AK182" s="320">
        <f>IFERROR(__xludf.DUMMYFUNCTION("""COMPUTED_VALUE"""),0.3027)</f>
        <v>0.3027</v>
      </c>
      <c r="AL182" s="320">
        <f>IFERROR(__xludf.DUMMYFUNCTION("""COMPUTED_VALUE"""),16.98)</f>
        <v>16.98</v>
      </c>
      <c r="AM182" s="320">
        <f>IFERROR(__xludf.DUMMYFUNCTION("""COMPUTED_VALUE"""),13.22)</f>
        <v>13.22</v>
      </c>
      <c r="AN182" s="331"/>
      <c r="AO182" s="331"/>
    </row>
    <row r="183" ht="15.75" customHeight="1">
      <c r="A183" s="330">
        <f>IFERROR(__xludf.DUMMYFUNCTION("""COMPUTED_VALUE"""),46080.0)</f>
        <v>46080</v>
      </c>
      <c r="B183" s="319" t="str">
        <f>IFERROR(__xludf.DUMMYFUNCTION("""COMPUTED_VALUE"""),"B. 1-9")</f>
        <v>B. 1-9</v>
      </c>
      <c r="C183" s="320">
        <f>IFERROR(__xludf.DUMMYFUNCTION("""COMPUTED_VALUE"""),33985.0)</f>
        <v>33985</v>
      </c>
      <c r="D183" s="320">
        <f>IFERROR(__xludf.DUMMYFUNCTION("""COMPUTED_VALUE"""),44.54)</f>
        <v>44.54</v>
      </c>
      <c r="E183" s="320">
        <f>IFERROR(__xludf.DUMMYFUNCTION("""COMPUTED_VALUE"""),9641.79)</f>
        <v>9641.79</v>
      </c>
      <c r="F183" s="320">
        <f>IFERROR(__xludf.DUMMYFUNCTION("""COMPUTED_VALUE"""),0.2837)</f>
        <v>0.2837</v>
      </c>
      <c r="G183" s="320">
        <f>IFERROR(__xludf.DUMMYFUNCTION("""COMPUTED_VALUE"""),7.57)</f>
        <v>7.57</v>
      </c>
      <c r="H183" s="320">
        <f>IFERROR(__xludf.DUMMYFUNCTION("""COMPUTED_VALUE"""),3.7458)</f>
        <v>3.7458</v>
      </c>
      <c r="I183" s="320">
        <f>IFERROR(__xludf.DUMMYFUNCTION("""COMPUTED_VALUE"""),34.24)</f>
        <v>34.24</v>
      </c>
      <c r="J183" s="320">
        <f>IFERROR(__xludf.DUMMYFUNCTION("""COMPUTED_VALUE"""),18.38)</f>
        <v>18.38</v>
      </c>
      <c r="K183" s="320">
        <f>IFERROR(__xludf.DUMMYFUNCTION("""COMPUTED_VALUE"""),5.53)</f>
        <v>5.53</v>
      </c>
      <c r="L183" s="320">
        <f>IFERROR(__xludf.DUMMYFUNCTION("""COMPUTED_VALUE"""),0.3009)</f>
        <v>0.3009</v>
      </c>
      <c r="M183" s="320">
        <f>IFERROR(__xludf.DUMMYFUNCTION("""COMPUTED_VALUE"""),0.7693)</f>
        <v>0.7693</v>
      </c>
      <c r="N183" s="320">
        <f>IFERROR(__xludf.DUMMYFUNCTION("""COMPUTED_VALUE"""),0.5184)</f>
        <v>0.5184</v>
      </c>
      <c r="O183" s="320">
        <f>IFERROR(__xludf.DUMMYFUNCTION("""COMPUTED_VALUE"""),3.3232)</f>
        <v>3.3232</v>
      </c>
      <c r="P183" s="320">
        <f>IFERROR(__xludf.DUMMYFUNCTION("""COMPUTED_VALUE"""),90.15)</f>
        <v>90.15</v>
      </c>
      <c r="Q183" s="320">
        <f>IFERROR(__xludf.DUMMYFUNCTION("""COMPUTED_VALUE"""),78.76)</f>
        <v>78.76</v>
      </c>
      <c r="R183" s="320">
        <f>IFERROR(__xludf.DUMMYFUNCTION("""COMPUTED_VALUE"""),11.38)</f>
        <v>11.38</v>
      </c>
      <c r="S183" s="320">
        <f>IFERROR(__xludf.DUMMYFUNCTION("""COMPUTED_VALUE"""),20.16)</f>
        <v>20.16</v>
      </c>
      <c r="T183" s="320">
        <f>IFERROR(__xludf.DUMMYFUNCTION("""COMPUTED_VALUE"""),69.99)</f>
        <v>69.99</v>
      </c>
      <c r="U183" s="320">
        <f>IFERROR(__xludf.DUMMYFUNCTION("""COMPUTED_VALUE"""),85.7)</f>
        <v>85.7</v>
      </c>
      <c r="V183" s="320">
        <f>IFERROR(__xludf.DUMMYFUNCTION("""COMPUTED_VALUE"""),4.6635)</f>
        <v>4.6635</v>
      </c>
      <c r="W183" s="320">
        <f>IFERROR(__xludf.DUMMYFUNCTION("""COMPUTED_VALUE"""),22.36)</f>
        <v>22.36</v>
      </c>
      <c r="X183" s="320">
        <f>IFERROR(__xludf.DUMMYFUNCTION("""COMPUTED_VALUE"""),87.0)</f>
        <v>87</v>
      </c>
      <c r="Y183" s="320">
        <f>IFERROR(__xludf.DUMMYFUNCTION("""COMPUTED_VALUE"""),213.0)</f>
        <v>213</v>
      </c>
      <c r="Z183" s="320">
        <f>IFERROR(__xludf.DUMMYFUNCTION("""COMPUTED_VALUE"""),804.0)</f>
        <v>804</v>
      </c>
      <c r="AA183" s="320">
        <f>IFERROR(__xludf.DUMMYFUNCTION("""COMPUTED_VALUE"""),49.4277)</f>
        <v>49.4277</v>
      </c>
      <c r="AB183" s="320">
        <f>IFERROR(__xludf.DUMMYFUNCTION("""COMPUTED_VALUE"""),0.4344)</f>
        <v>0.4344</v>
      </c>
      <c r="AC183" s="320">
        <f>IFERROR(__xludf.DUMMYFUNCTION("""COMPUTED_VALUE"""),3.58)</f>
        <v>3.58</v>
      </c>
      <c r="AD183" s="320">
        <f>IFERROR(__xludf.DUMMYFUNCTION("""COMPUTED_VALUE"""),1.0)</f>
        <v>1</v>
      </c>
      <c r="AE183" s="320">
        <f>IFERROR(__xludf.DUMMYFUNCTION("""COMPUTED_VALUE"""),2.0)</f>
        <v>2</v>
      </c>
      <c r="AF183" s="320">
        <f>IFERROR(__xludf.DUMMYFUNCTION("""COMPUTED_VALUE"""),5.0)</f>
        <v>5</v>
      </c>
      <c r="AG183" s="320">
        <f>IFERROR(__xludf.DUMMYFUNCTION("""COMPUTED_VALUE"""),8.0)</f>
        <v>8</v>
      </c>
      <c r="AH183" s="320">
        <f>IFERROR(__xludf.DUMMYFUNCTION("""COMPUTED_VALUE"""),66.91)</f>
        <v>66.91</v>
      </c>
      <c r="AI183" s="320">
        <f>IFERROR(__xludf.DUMMYFUNCTION("""COMPUTED_VALUE"""),25.2)</f>
        <v>25.2</v>
      </c>
      <c r="AJ183" s="320">
        <f>IFERROR(__xludf.DUMMYFUNCTION("""COMPUTED_VALUE"""),7.17)</f>
        <v>7.17</v>
      </c>
      <c r="AK183" s="320">
        <f>IFERROR(__xludf.DUMMYFUNCTION("""COMPUTED_VALUE"""),0.2361)</f>
        <v>0.2361</v>
      </c>
      <c r="AL183" s="320">
        <f>IFERROR(__xludf.DUMMYFUNCTION("""COMPUTED_VALUE"""),21.18)</f>
        <v>21.18</v>
      </c>
      <c r="AM183" s="320">
        <f>IFERROR(__xludf.DUMMYFUNCTION("""COMPUTED_VALUE"""),57.58)</f>
        <v>57.58</v>
      </c>
      <c r="AN183" s="320">
        <f>IFERROR(__xludf.DUMMYFUNCTION("""COMPUTED_VALUE"""),68.85)</f>
        <v>68.85</v>
      </c>
      <c r="AO183" s="320">
        <f>IFERROR(__xludf.DUMMYFUNCTION("""COMPUTED_VALUE"""),14.58)</f>
        <v>14.58</v>
      </c>
    </row>
    <row r="184" ht="15.75" customHeight="1">
      <c r="A184" s="330">
        <f>IFERROR(__xludf.DUMMYFUNCTION("""COMPUTED_VALUE"""),46080.0)</f>
        <v>46080</v>
      </c>
      <c r="B184" s="319" t="str">
        <f>IFERROR(__xludf.DUMMYFUNCTION("""COMPUTED_VALUE"""),"C. 10-19")</f>
        <v>C. 10-19</v>
      </c>
      <c r="C184" s="320">
        <f>IFERROR(__xludf.DUMMYFUNCTION("""COMPUTED_VALUE"""),15557.0)</f>
        <v>15557</v>
      </c>
      <c r="D184" s="320">
        <f>IFERROR(__xludf.DUMMYFUNCTION("""COMPUTED_VALUE"""),20.39)</f>
        <v>20.39</v>
      </c>
      <c r="E184" s="320">
        <f>IFERROR(__xludf.DUMMYFUNCTION("""COMPUTED_VALUE"""),18718.59)</f>
        <v>18718.59</v>
      </c>
      <c r="F184" s="320">
        <f>IFERROR(__xludf.DUMMYFUNCTION("""COMPUTED_VALUE"""),1.2032)</f>
        <v>1.2032</v>
      </c>
      <c r="G184" s="320">
        <f>IFERROR(__xludf.DUMMYFUNCTION("""COMPUTED_VALUE"""),23.56)</f>
        <v>23.56</v>
      </c>
      <c r="H184" s="320">
        <f>IFERROR(__xludf.DUMMYFUNCTION("""COMPUTED_VALUE"""),5.106)</f>
        <v>5.106</v>
      </c>
      <c r="I184" s="320">
        <f>IFERROR(__xludf.DUMMYFUNCTION("""COMPUTED_VALUE"""),61.05)</f>
        <v>61.05</v>
      </c>
      <c r="J184" s="320">
        <f>IFERROR(__xludf.DUMMYFUNCTION("""COMPUTED_VALUE"""),35.05)</f>
        <v>35.05</v>
      </c>
      <c r="K184" s="320">
        <f>IFERROR(__xludf.DUMMYFUNCTION("""COMPUTED_VALUE"""),14.27)</f>
        <v>14.27</v>
      </c>
      <c r="L184" s="320">
        <f>IFERROR(__xludf.DUMMYFUNCTION("""COMPUTED_VALUE"""),0.4072)</f>
        <v>0.4072</v>
      </c>
      <c r="M184" s="320">
        <f>IFERROR(__xludf.DUMMYFUNCTION("""COMPUTED_VALUE"""),0.6585)</f>
        <v>0.6585</v>
      </c>
      <c r="N184" s="320">
        <f>IFERROR(__xludf.DUMMYFUNCTION("""COMPUTED_VALUE"""),0.3762)</f>
        <v>0.3762</v>
      </c>
      <c r="O184" s="320">
        <f>IFERROR(__xludf.DUMMYFUNCTION("""COMPUTED_VALUE"""),2.4557)</f>
        <v>2.4557</v>
      </c>
      <c r="P184" s="320">
        <f>IFERROR(__xludf.DUMMYFUNCTION("""COMPUTED_VALUE"""),197.42)</f>
        <v>197.42</v>
      </c>
      <c r="Q184" s="320">
        <f>IFERROR(__xludf.DUMMYFUNCTION("""COMPUTED_VALUE"""),167.74)</f>
        <v>167.74</v>
      </c>
      <c r="R184" s="320">
        <f>IFERROR(__xludf.DUMMYFUNCTION("""COMPUTED_VALUE"""),29.68)</f>
        <v>29.68</v>
      </c>
      <c r="S184" s="320">
        <f>IFERROR(__xludf.DUMMYFUNCTION("""COMPUTED_VALUE"""),80.03)</f>
        <v>80.03</v>
      </c>
      <c r="T184" s="320">
        <f>IFERROR(__xludf.DUMMYFUNCTION("""COMPUTED_VALUE"""),117.4)</f>
        <v>117.4</v>
      </c>
      <c r="U184" s="320">
        <f>IFERROR(__xludf.DUMMYFUNCTION("""COMPUTED_VALUE"""),195.98)</f>
        <v>195.98</v>
      </c>
      <c r="V184" s="320">
        <f>IFERROR(__xludf.DUMMYFUNCTION("""COMPUTED_VALUE"""),5.591)</f>
        <v>5.591</v>
      </c>
      <c r="W184" s="320">
        <f>IFERROR(__xludf.DUMMYFUNCTION("""COMPUTED_VALUE"""),40.54)</f>
        <v>40.54</v>
      </c>
      <c r="X184" s="320">
        <f>IFERROR(__xludf.DUMMYFUNCTION("""COMPUTED_VALUE"""),85.0)</f>
        <v>85</v>
      </c>
      <c r="Y184" s="320">
        <f>IFERROR(__xludf.DUMMYFUNCTION("""COMPUTED_VALUE"""),190.0)</f>
        <v>190</v>
      </c>
      <c r="Z184" s="320">
        <f>IFERROR(__xludf.DUMMYFUNCTION("""COMPUTED_VALUE"""),586.0)</f>
        <v>586</v>
      </c>
      <c r="AA184" s="320">
        <f>IFERROR(__xludf.DUMMYFUNCTION("""COMPUTED_VALUE"""),52.3303)</f>
        <v>52.3303</v>
      </c>
      <c r="AB184" s="320">
        <f>IFERROR(__xludf.DUMMYFUNCTION("""COMPUTED_VALUE"""),0.5347)</f>
        <v>0.5347</v>
      </c>
      <c r="AC184" s="320">
        <f>IFERROR(__xludf.DUMMYFUNCTION("""COMPUTED_VALUE"""),9.07)</f>
        <v>9.07</v>
      </c>
      <c r="AD184" s="320">
        <f>IFERROR(__xludf.DUMMYFUNCTION("""COMPUTED_VALUE"""),3.0)</f>
        <v>3</v>
      </c>
      <c r="AE184" s="320">
        <f>IFERROR(__xludf.DUMMYFUNCTION("""COMPUTED_VALUE"""),6.0)</f>
        <v>6</v>
      </c>
      <c r="AF184" s="320">
        <f>IFERROR(__xludf.DUMMYFUNCTION("""COMPUTED_VALUE"""),12.0)</f>
        <v>12</v>
      </c>
      <c r="AG184" s="320">
        <f>IFERROR(__xludf.DUMMYFUNCTION("""COMPUTED_VALUE"""),20.0)</f>
        <v>20</v>
      </c>
      <c r="AH184" s="320">
        <f>IFERROR(__xludf.DUMMYFUNCTION("""COMPUTED_VALUE"""),55.09)</f>
        <v>55.09</v>
      </c>
      <c r="AI184" s="320">
        <f>IFERROR(__xludf.DUMMYFUNCTION("""COMPUTED_VALUE"""),24.76)</f>
        <v>24.76</v>
      </c>
      <c r="AJ184" s="320">
        <f>IFERROR(__xludf.DUMMYFUNCTION("""COMPUTED_VALUE"""),5.37)</f>
        <v>5.37</v>
      </c>
      <c r="AK184" s="320">
        <f>IFERROR(__xludf.DUMMYFUNCTION("""COMPUTED_VALUE"""),0.2055)</f>
        <v>0.2055</v>
      </c>
      <c r="AL184" s="320">
        <f>IFERROR(__xludf.DUMMYFUNCTION("""COMPUTED_VALUE"""),21.75)</f>
        <v>21.75</v>
      </c>
      <c r="AM184" s="320">
        <f>IFERROR(__xludf.DUMMYFUNCTION("""COMPUTED_VALUE"""),145.99)</f>
        <v>145.99</v>
      </c>
      <c r="AN184" s="320">
        <f>IFERROR(__xludf.DUMMYFUNCTION("""COMPUTED_VALUE"""),74.62)</f>
        <v>74.62</v>
      </c>
      <c r="AO184" s="320">
        <f>IFERROR(__xludf.DUMMYFUNCTION("""COMPUTED_VALUE"""),16.23)</f>
        <v>16.23</v>
      </c>
    </row>
    <row r="185" ht="15.75" customHeight="1">
      <c r="A185" s="330">
        <f>IFERROR(__xludf.DUMMYFUNCTION("""COMPUTED_VALUE"""),46080.0)</f>
        <v>46080</v>
      </c>
      <c r="B185" s="319" t="str">
        <f>IFERROR(__xludf.DUMMYFUNCTION("""COMPUTED_VALUE"""),"D. 20-39")</f>
        <v>D. 20-39</v>
      </c>
      <c r="C185" s="320">
        <f>IFERROR(__xludf.DUMMYFUNCTION("""COMPUTED_VALUE"""),7655.0)</f>
        <v>7655</v>
      </c>
      <c r="D185" s="320">
        <f>IFERROR(__xludf.DUMMYFUNCTION("""COMPUTED_VALUE"""),10.03)</f>
        <v>10.03</v>
      </c>
      <c r="E185" s="320">
        <f>IFERROR(__xludf.DUMMYFUNCTION("""COMPUTED_VALUE"""),22695.15)</f>
        <v>22695.15</v>
      </c>
      <c r="F185" s="320">
        <f>IFERROR(__xludf.DUMMYFUNCTION("""COMPUTED_VALUE"""),2.9647)</f>
        <v>2.9647</v>
      </c>
      <c r="G185" s="320">
        <f>IFERROR(__xludf.DUMMYFUNCTION("""COMPUTED_VALUE"""),35.51)</f>
        <v>35.51</v>
      </c>
      <c r="H185" s="320">
        <f>IFERROR(__xludf.DUMMYFUNCTION("""COMPUTED_VALUE"""),8.3499)</f>
        <v>8.3499</v>
      </c>
      <c r="I185" s="320">
        <f>IFERROR(__xludf.DUMMYFUNCTION("""COMPUTED_VALUE"""),85.02)</f>
        <v>85.02</v>
      </c>
      <c r="J185" s="320">
        <f>IFERROR(__xludf.DUMMYFUNCTION("""COMPUTED_VALUE"""),50.14)</f>
        <v>50.14</v>
      </c>
      <c r="K185" s="320">
        <f>IFERROR(__xludf.DUMMYFUNCTION("""COMPUTED_VALUE"""),26.68)</f>
        <v>26.68</v>
      </c>
      <c r="L185" s="320">
        <f>IFERROR(__xludf.DUMMYFUNCTION("""COMPUTED_VALUE"""),0.5322)</f>
        <v>0.5322</v>
      </c>
      <c r="M185" s="320">
        <f>IFERROR(__xludf.DUMMYFUNCTION("""COMPUTED_VALUE"""),0.545)</f>
        <v>0.545</v>
      </c>
      <c r="N185" s="320">
        <f>IFERROR(__xludf.DUMMYFUNCTION("""COMPUTED_VALUE"""),0.2998)</f>
        <v>0.2998</v>
      </c>
      <c r="O185" s="320">
        <f>IFERROR(__xludf.DUMMYFUNCTION("""COMPUTED_VALUE"""),1.8791)</f>
        <v>1.8791</v>
      </c>
      <c r="P185" s="320">
        <f>IFERROR(__xludf.DUMMYFUNCTION("""COMPUTED_VALUE"""),360.49)</f>
        <v>360.49</v>
      </c>
      <c r="Q185" s="320">
        <f>IFERROR(__xludf.DUMMYFUNCTION("""COMPUTED_VALUE"""),304.39)</f>
        <v>304.39</v>
      </c>
      <c r="R185" s="320">
        <f>IFERROR(__xludf.DUMMYFUNCTION("""COMPUTED_VALUE"""),56.1)</f>
        <v>56.1</v>
      </c>
      <c r="S185" s="320">
        <f>IFERROR(__xludf.DUMMYFUNCTION("""COMPUTED_VALUE"""),185.86)</f>
        <v>185.86</v>
      </c>
      <c r="T185" s="320">
        <f>IFERROR(__xludf.DUMMYFUNCTION("""COMPUTED_VALUE"""),174.63)</f>
        <v>174.63</v>
      </c>
      <c r="U185" s="320">
        <f>IFERROR(__xludf.DUMMYFUNCTION("""COMPUTED_VALUE"""),368.54)</f>
        <v>368.54</v>
      </c>
      <c r="V185" s="320">
        <f>IFERROR(__xludf.DUMMYFUNCTION("""COMPUTED_VALUE"""),7.3508)</f>
        <v>7.3508</v>
      </c>
      <c r="W185" s="320">
        <f>IFERROR(__xludf.DUMMYFUNCTION("""COMPUTED_VALUE"""),51.56)</f>
        <v>51.56</v>
      </c>
      <c r="X185" s="320">
        <f>IFERROR(__xludf.DUMMYFUNCTION("""COMPUTED_VALUE"""),88.0)</f>
        <v>88</v>
      </c>
      <c r="Y185" s="320">
        <f>IFERROR(__xludf.DUMMYFUNCTION("""COMPUTED_VALUE"""),225.0)</f>
        <v>225</v>
      </c>
      <c r="Z185" s="320">
        <f>IFERROR(__xludf.DUMMYFUNCTION("""COMPUTED_VALUE"""),679.0)</f>
        <v>679</v>
      </c>
      <c r="AA185" s="320">
        <f>IFERROR(__xludf.DUMMYFUNCTION("""COMPUTED_VALUE"""),55.0329)</f>
        <v>55.0329</v>
      </c>
      <c r="AB185" s="320">
        <f>IFERROR(__xludf.DUMMYFUNCTION("""COMPUTED_VALUE"""),0.658)</f>
        <v>0.658</v>
      </c>
      <c r="AC185" s="320">
        <f>IFERROR(__xludf.DUMMYFUNCTION("""COMPUTED_VALUE"""),17.51)</f>
        <v>17.51</v>
      </c>
      <c r="AD185" s="320">
        <f>IFERROR(__xludf.DUMMYFUNCTION("""COMPUTED_VALUE"""),6.0)</f>
        <v>6</v>
      </c>
      <c r="AE185" s="320">
        <f>IFERROR(__xludf.DUMMYFUNCTION("""COMPUTED_VALUE"""),13.0)</f>
        <v>13</v>
      </c>
      <c r="AF185" s="320">
        <f>IFERROR(__xludf.DUMMYFUNCTION("""COMPUTED_VALUE"""),24.0)</f>
        <v>24</v>
      </c>
      <c r="AG185" s="320">
        <f>IFERROR(__xludf.DUMMYFUNCTION("""COMPUTED_VALUE"""),38.0)</f>
        <v>38</v>
      </c>
      <c r="AH185" s="320">
        <f>IFERROR(__xludf.DUMMYFUNCTION("""COMPUTED_VALUE"""),56.21)</f>
        <v>56.21</v>
      </c>
      <c r="AI185" s="320">
        <f>IFERROR(__xludf.DUMMYFUNCTION("""COMPUTED_VALUE"""),23.11)</f>
        <v>23.11</v>
      </c>
      <c r="AJ185" s="320">
        <f>IFERROR(__xludf.DUMMYFUNCTION("""COMPUTED_VALUE"""),7.86)</f>
        <v>7.86</v>
      </c>
      <c r="AK185" s="320">
        <f>IFERROR(__xludf.DUMMYFUNCTION("""COMPUTED_VALUE"""),0.2107)</f>
        <v>0.2107</v>
      </c>
      <c r="AL185" s="320">
        <f>IFERROR(__xludf.DUMMYFUNCTION("""COMPUTED_VALUE"""),21.12)</f>
        <v>21.12</v>
      </c>
      <c r="AM185" s="320">
        <f>IFERROR(__xludf.DUMMYFUNCTION("""COMPUTED_VALUE"""),283.27)</f>
        <v>283.27</v>
      </c>
      <c r="AN185" s="320">
        <f>IFERROR(__xludf.DUMMYFUNCTION("""COMPUTED_VALUE"""),74.88)</f>
        <v>74.88</v>
      </c>
      <c r="AO185" s="320">
        <f>IFERROR(__xludf.DUMMYFUNCTION("""COMPUTED_VALUE"""),15.81)</f>
        <v>15.81</v>
      </c>
    </row>
    <row r="186" ht="15.75" customHeight="1">
      <c r="A186" s="330">
        <f>IFERROR(__xludf.DUMMYFUNCTION("""COMPUTED_VALUE"""),46080.0)</f>
        <v>46080</v>
      </c>
      <c r="B186" s="319" t="str">
        <f>IFERROR(__xludf.DUMMYFUNCTION("""COMPUTED_VALUE"""),"E. 40-99")</f>
        <v>E. 40-99</v>
      </c>
      <c r="C186" s="320">
        <f>IFERROR(__xludf.DUMMYFUNCTION("""COMPUTED_VALUE"""),3086.0)</f>
        <v>3086</v>
      </c>
      <c r="D186" s="320">
        <f>IFERROR(__xludf.DUMMYFUNCTION("""COMPUTED_VALUE"""),4.04)</f>
        <v>4.04</v>
      </c>
      <c r="E186" s="320">
        <f>IFERROR(__xludf.DUMMYFUNCTION("""COMPUTED_VALUE"""),19353.12)</f>
        <v>19353.12</v>
      </c>
      <c r="F186" s="320">
        <f>IFERROR(__xludf.DUMMYFUNCTION("""COMPUTED_VALUE"""),6.2713)</f>
        <v>6.2713</v>
      </c>
      <c r="G186" s="320">
        <f>IFERROR(__xludf.DUMMYFUNCTION("""COMPUTED_VALUE"""),45.07)</f>
        <v>45.07</v>
      </c>
      <c r="H186" s="320">
        <f>IFERROR(__xludf.DUMMYFUNCTION("""COMPUTED_VALUE"""),13.9131)</f>
        <v>13.9131</v>
      </c>
      <c r="I186" s="320">
        <f>IFERROR(__xludf.DUMMYFUNCTION("""COMPUTED_VALUE"""),129.91)</f>
        <v>129.91</v>
      </c>
      <c r="J186" s="320">
        <f>IFERROR(__xludf.DUMMYFUNCTION("""COMPUTED_VALUE"""),79.43)</f>
        <v>79.43</v>
      </c>
      <c r="K186" s="320">
        <f>IFERROR(__xludf.DUMMYFUNCTION("""COMPUTED_VALUE"""),53.96)</f>
        <v>53.96</v>
      </c>
      <c r="L186" s="320">
        <f>IFERROR(__xludf.DUMMYFUNCTION("""COMPUTED_VALUE"""),0.6793)</f>
        <v>0.6793</v>
      </c>
      <c r="M186" s="320">
        <f>IFERROR(__xludf.DUMMYFUNCTION("""COMPUTED_VALUE"""),0.4131)</f>
        <v>0.4131</v>
      </c>
      <c r="N186" s="320">
        <f>IFERROR(__xludf.DUMMYFUNCTION("""COMPUTED_VALUE"""),0.2354)</f>
        <v>0.2354</v>
      </c>
      <c r="O186" s="320">
        <f>IFERROR(__xludf.DUMMYFUNCTION("""COMPUTED_VALUE"""),1.4722)</f>
        <v>1.4722</v>
      </c>
      <c r="P186" s="320">
        <f>IFERROR(__xludf.DUMMYFUNCTION("""COMPUTED_VALUE"""),684.22)</f>
        <v>684.22</v>
      </c>
      <c r="Q186" s="320">
        <f>IFERROR(__xludf.DUMMYFUNCTION("""COMPUTED_VALUE"""),570.34)</f>
        <v>570.34</v>
      </c>
      <c r="R186" s="320">
        <f>IFERROR(__xludf.DUMMYFUNCTION("""COMPUTED_VALUE"""),113.88)</f>
        <v>113.88</v>
      </c>
      <c r="S186" s="320">
        <f>IFERROR(__xludf.DUMMYFUNCTION("""COMPUTED_VALUE"""),389.08)</f>
        <v>389.08</v>
      </c>
      <c r="T186" s="320">
        <f>IFERROR(__xludf.DUMMYFUNCTION("""COMPUTED_VALUE"""),295.14)</f>
        <v>295.14</v>
      </c>
      <c r="U186" s="320">
        <f>IFERROR(__xludf.DUMMYFUNCTION("""COMPUTED_VALUE"""),719.48)</f>
        <v>719.48</v>
      </c>
      <c r="V186" s="320">
        <f>IFERROR(__xludf.DUMMYFUNCTION("""COMPUTED_VALUE"""),9.0576)</f>
        <v>9.0576</v>
      </c>
      <c r="W186" s="320">
        <f>IFERROR(__xludf.DUMMYFUNCTION("""COMPUTED_VALUE"""),56.86)</f>
        <v>56.86</v>
      </c>
      <c r="X186" s="320">
        <f>IFERROR(__xludf.DUMMYFUNCTION("""COMPUTED_VALUE"""),108.0)</f>
        <v>108</v>
      </c>
      <c r="Y186" s="320">
        <f>IFERROR(__xludf.DUMMYFUNCTION("""COMPUTED_VALUE"""),349.0)</f>
        <v>349</v>
      </c>
      <c r="Z186" s="320">
        <f>IFERROR(__xludf.DUMMYFUNCTION("""COMPUTED_VALUE"""),1093.0)</f>
        <v>1093</v>
      </c>
      <c r="AA186" s="320">
        <f>IFERROR(__xludf.DUMMYFUNCTION("""COMPUTED_VALUE"""),58.2465)</f>
        <v>58.2465</v>
      </c>
      <c r="AB186" s="320">
        <f>IFERROR(__xludf.DUMMYFUNCTION("""COMPUTED_VALUE"""),0.7693)</f>
        <v>0.7693</v>
      </c>
      <c r="AC186" s="320">
        <f>IFERROR(__xludf.DUMMYFUNCTION("""COMPUTED_VALUE"""),36.23)</f>
        <v>36.23</v>
      </c>
      <c r="AD186" s="320">
        <f>IFERROR(__xludf.DUMMYFUNCTION("""COMPUTED_VALUE"""),12.0)</f>
        <v>12</v>
      </c>
      <c r="AE186" s="320">
        <f>IFERROR(__xludf.DUMMYFUNCTION("""COMPUTED_VALUE"""),28.0)</f>
        <v>28</v>
      </c>
      <c r="AF186" s="320">
        <f>IFERROR(__xludf.DUMMYFUNCTION("""COMPUTED_VALUE"""),51.0)</f>
        <v>51</v>
      </c>
      <c r="AG186" s="320">
        <f>IFERROR(__xludf.DUMMYFUNCTION("""COMPUTED_VALUE"""),79.0)</f>
        <v>79</v>
      </c>
      <c r="AH186" s="320">
        <f>IFERROR(__xludf.DUMMYFUNCTION("""COMPUTED_VALUE"""),50.03)</f>
        <v>50.03</v>
      </c>
      <c r="AI186" s="320">
        <f>IFERROR(__xludf.DUMMYFUNCTION("""COMPUTED_VALUE"""),18.7)</f>
        <v>18.7</v>
      </c>
      <c r="AJ186" s="320">
        <f>IFERROR(__xludf.DUMMYFUNCTION("""COMPUTED_VALUE"""),4.96)</f>
        <v>4.96</v>
      </c>
      <c r="AK186" s="320">
        <f>IFERROR(__xludf.DUMMYFUNCTION("""COMPUTED_VALUE"""),0.2003)</f>
        <v>0.2003</v>
      </c>
      <c r="AL186" s="320">
        <f>IFERROR(__xludf.DUMMYFUNCTION("""COMPUTED_VALUE"""),21.4)</f>
        <v>21.4</v>
      </c>
      <c r="AM186" s="320">
        <f>IFERROR(__xludf.DUMMYFUNCTION("""COMPUTED_VALUE"""),548.94)</f>
        <v>548.94</v>
      </c>
      <c r="AN186" s="320">
        <f>IFERROR(__xludf.DUMMYFUNCTION("""COMPUTED_VALUE"""),75.16)</f>
        <v>75.16</v>
      </c>
      <c r="AO186" s="320">
        <f>IFERROR(__xludf.DUMMYFUNCTION("""COMPUTED_VALUE"""),16.08)</f>
        <v>16.08</v>
      </c>
    </row>
    <row r="187" ht="15.75" customHeight="1">
      <c r="A187" s="330">
        <f>IFERROR(__xludf.DUMMYFUNCTION("""COMPUTED_VALUE"""),46080.0)</f>
        <v>46080</v>
      </c>
      <c r="B187" s="319" t="str">
        <f>IFERROR(__xludf.DUMMYFUNCTION("""COMPUTED_VALUE"""),"F. 100+")</f>
        <v>F. 100+</v>
      </c>
      <c r="C187" s="320">
        <f>IFERROR(__xludf.DUMMYFUNCTION("""COMPUTED_VALUE"""),344.0)</f>
        <v>344</v>
      </c>
      <c r="D187" s="320">
        <f>IFERROR(__xludf.DUMMYFUNCTION("""COMPUTED_VALUE"""),0.45)</f>
        <v>0.45</v>
      </c>
      <c r="E187" s="320">
        <f>IFERROR(__xludf.DUMMYFUNCTION("""COMPUTED_VALUE"""),4280.8)</f>
        <v>4280.8</v>
      </c>
      <c r="F187" s="320">
        <f>IFERROR(__xludf.DUMMYFUNCTION("""COMPUTED_VALUE"""),12.4442)</f>
        <v>12.4442</v>
      </c>
      <c r="G187" s="320">
        <f>IFERROR(__xludf.DUMMYFUNCTION("""COMPUTED_VALUE"""),48.26)</f>
        <v>48.26</v>
      </c>
      <c r="H187" s="320">
        <f>IFERROR(__xludf.DUMMYFUNCTION("""COMPUTED_VALUE"""),25.788)</f>
        <v>25.788</v>
      </c>
      <c r="I187" s="320">
        <f>IFERROR(__xludf.DUMMYFUNCTION("""COMPUTED_VALUE"""),232.72)</f>
        <v>232.72</v>
      </c>
      <c r="J187" s="320">
        <f>IFERROR(__xludf.DUMMYFUNCTION("""COMPUTED_VALUE"""),150.23)</f>
        <v>150.23</v>
      </c>
      <c r="K187" s="320">
        <f>IFERROR(__xludf.DUMMYFUNCTION("""COMPUTED_VALUE"""),120.36)</f>
        <v>120.36</v>
      </c>
      <c r="L187" s="320">
        <f>IFERROR(__xludf.DUMMYFUNCTION("""COMPUTED_VALUE"""),0.8011)</f>
        <v>0.8011</v>
      </c>
      <c r="M187" s="320">
        <f>IFERROR(__xludf.DUMMYFUNCTION("""COMPUTED_VALUE"""),0.2911)</f>
        <v>0.2911</v>
      </c>
      <c r="N187" s="320">
        <f>IFERROR(__xludf.DUMMYFUNCTION("""COMPUTED_VALUE"""),0.1763)</f>
        <v>0.1763</v>
      </c>
      <c r="O187" s="320">
        <f>IFERROR(__xludf.DUMMYFUNCTION("""COMPUTED_VALUE"""),1.2482)</f>
        <v>1.2482</v>
      </c>
      <c r="P187" s="320">
        <f>IFERROR(__xludf.DUMMYFUNCTION("""COMPUTED_VALUE"""),1313.92)</f>
        <v>1313.92</v>
      </c>
      <c r="Q187" s="320">
        <f>IFERROR(__xludf.DUMMYFUNCTION("""COMPUTED_VALUE"""),1063.39)</f>
        <v>1063.39</v>
      </c>
      <c r="R187" s="320">
        <f>IFERROR(__xludf.DUMMYFUNCTION("""COMPUTED_VALUE"""),250.54)</f>
        <v>250.54</v>
      </c>
      <c r="S187" s="320">
        <f>IFERROR(__xludf.DUMMYFUNCTION("""COMPUTED_VALUE"""),732.79)</f>
        <v>732.79</v>
      </c>
      <c r="T187" s="320">
        <f>IFERROR(__xludf.DUMMYFUNCTION("""COMPUTED_VALUE"""),581.13)</f>
        <v>581.13</v>
      </c>
      <c r="U187" s="320">
        <f>IFERROR(__xludf.DUMMYFUNCTION("""COMPUTED_VALUE"""),1434.01)</f>
        <v>1434.01</v>
      </c>
      <c r="V187" s="320">
        <f>IFERROR(__xludf.DUMMYFUNCTION("""COMPUTED_VALUE"""),9.5453)</f>
        <v>9.5453</v>
      </c>
      <c r="W187" s="320">
        <f>IFERROR(__xludf.DUMMYFUNCTION("""COMPUTED_VALUE"""),55.77)</f>
        <v>55.77</v>
      </c>
      <c r="X187" s="320">
        <f>IFERROR(__xludf.DUMMYFUNCTION("""COMPUTED_VALUE"""),139.0)</f>
        <v>139</v>
      </c>
      <c r="Y187" s="320">
        <f>IFERROR(__xludf.DUMMYFUNCTION("""COMPUTED_VALUE"""),687.0)</f>
        <v>687</v>
      </c>
      <c r="Z187" s="320">
        <f>IFERROR(__xludf.DUMMYFUNCTION("""COMPUTED_VALUE"""),2502.0)</f>
        <v>2502</v>
      </c>
      <c r="AA187" s="320">
        <f>IFERROR(__xludf.DUMMYFUNCTION("""COMPUTED_VALUE"""),62.056)</f>
        <v>62.056</v>
      </c>
      <c r="AB187" s="320">
        <f>IFERROR(__xludf.DUMMYFUNCTION("""COMPUTED_VALUE"""),0.8276)</f>
        <v>0.8276</v>
      </c>
      <c r="AC187" s="320">
        <f>IFERROR(__xludf.DUMMYFUNCTION("""COMPUTED_VALUE"""),80.59)</f>
        <v>80.59</v>
      </c>
      <c r="AD187" s="320">
        <f>IFERROR(__xludf.DUMMYFUNCTION("""COMPUTED_VALUE"""),28.0)</f>
        <v>28</v>
      </c>
      <c r="AE187" s="320">
        <f>IFERROR(__xludf.DUMMYFUNCTION("""COMPUTED_VALUE"""),61.0)</f>
        <v>61</v>
      </c>
      <c r="AF187" s="320">
        <f>IFERROR(__xludf.DUMMYFUNCTION("""COMPUTED_VALUE"""),120.0)</f>
        <v>120</v>
      </c>
      <c r="AG187" s="320">
        <f>IFERROR(__xludf.DUMMYFUNCTION("""COMPUTED_VALUE"""),168.0)</f>
        <v>168</v>
      </c>
      <c r="AH187" s="320">
        <f>IFERROR(__xludf.DUMMYFUNCTION("""COMPUTED_VALUE"""),42.15)</f>
        <v>42.15</v>
      </c>
      <c r="AI187" s="320">
        <f>IFERROR(__xludf.DUMMYFUNCTION("""COMPUTED_VALUE"""),8.72)</f>
        <v>8.72</v>
      </c>
      <c r="AJ187" s="320">
        <f>IFERROR(__xludf.DUMMYFUNCTION("""COMPUTED_VALUE"""),1.74)</f>
        <v>1.74</v>
      </c>
      <c r="AK187" s="320">
        <f>IFERROR(__xludf.DUMMYFUNCTION("""COMPUTED_VALUE"""),0.1337)</f>
        <v>0.1337</v>
      </c>
      <c r="AL187" s="320">
        <f>IFERROR(__xludf.DUMMYFUNCTION("""COMPUTED_VALUE"""),24.0)</f>
        <v>24</v>
      </c>
      <c r="AM187" s="320">
        <f>IFERROR(__xludf.DUMMYFUNCTION("""COMPUTED_VALUE"""),1039.39)</f>
        <v>1039.39</v>
      </c>
      <c r="AN187" s="320">
        <f>IFERROR(__xludf.DUMMYFUNCTION("""COMPUTED_VALUE"""),72.26)</f>
        <v>72.26</v>
      </c>
      <c r="AO187" s="320">
        <f>IFERROR(__xludf.DUMMYFUNCTION("""COMPUTED_VALUE"""),17.34)</f>
        <v>17.34</v>
      </c>
    </row>
    <row r="188" ht="15.75" customHeight="1">
      <c r="A188" s="330">
        <f>IFERROR(__xludf.DUMMYFUNCTION("""COMPUTED_VALUE"""),46081.0)</f>
        <v>46081</v>
      </c>
      <c r="B188" s="319" t="str">
        <f>IFERROR(__xludf.DUMMYFUNCTION("""COMPUTED_VALUE"""),"A. 0")</f>
        <v>A. 0</v>
      </c>
      <c r="C188" s="320">
        <f>IFERROR(__xludf.DUMMYFUNCTION("""COMPUTED_VALUE"""),16244.0)</f>
        <v>16244</v>
      </c>
      <c r="D188" s="320">
        <f>IFERROR(__xludf.DUMMYFUNCTION("""COMPUTED_VALUE"""),21.61)</f>
        <v>21.61</v>
      </c>
      <c r="E188" s="320">
        <f>IFERROR(__xludf.DUMMYFUNCTION("""COMPUTED_VALUE"""),282.25)</f>
        <v>282.25</v>
      </c>
      <c r="F188" s="320">
        <f>IFERROR(__xludf.DUMMYFUNCTION("""COMPUTED_VALUE"""),0.0174)</f>
        <v>0.0174</v>
      </c>
      <c r="G188" s="320">
        <f>IFERROR(__xludf.DUMMYFUNCTION("""COMPUTED_VALUE"""),0.2)</f>
        <v>0.2</v>
      </c>
      <c r="H188" s="320">
        <f>IFERROR(__xludf.DUMMYFUNCTION("""COMPUTED_VALUE"""),8.8203)</f>
        <v>8.8203</v>
      </c>
      <c r="I188" s="320">
        <f>IFERROR(__xludf.DUMMYFUNCTION("""COMPUTED_VALUE"""),6.04)</f>
        <v>6.04</v>
      </c>
      <c r="J188" s="320">
        <f>IFERROR(__xludf.DUMMYFUNCTION("""COMPUTED_VALUE"""),2.73)</f>
        <v>2.73</v>
      </c>
      <c r="K188" s="320">
        <f>IFERROR(__xludf.DUMMYFUNCTION("""COMPUTED_VALUE"""),0.05)</f>
        <v>0.05</v>
      </c>
      <c r="L188" s="320">
        <f>IFERROR(__xludf.DUMMYFUNCTION("""COMPUTED_VALUE"""),0.0178)</f>
        <v>0.0178</v>
      </c>
      <c r="M188" s="320">
        <f>IFERROR(__xludf.DUMMYFUNCTION("""COMPUTED_VALUE"""),0.983)</f>
        <v>0.983</v>
      </c>
      <c r="N188" s="320">
        <f>IFERROR(__xludf.DUMMYFUNCTION("""COMPUTED_VALUE"""),0.776)</f>
        <v>0.776</v>
      </c>
      <c r="O188" s="320">
        <f>IFERROR(__xludf.DUMMYFUNCTION("""COMPUTED_VALUE"""),56.0986)</f>
        <v>56.0986</v>
      </c>
      <c r="P188" s="320">
        <f>IFERROR(__xludf.DUMMYFUNCTION("""COMPUTED_VALUE"""),26.86)</f>
        <v>26.86</v>
      </c>
      <c r="Q188" s="320">
        <f>IFERROR(__xludf.DUMMYFUNCTION("""COMPUTED_VALUE"""),26.8)</f>
        <v>26.8</v>
      </c>
      <c r="R188" s="320">
        <f>IFERROR(__xludf.DUMMYFUNCTION("""COMPUTED_VALUE"""),0.07)</f>
        <v>0.07</v>
      </c>
      <c r="S188" s="320">
        <f>IFERROR(__xludf.DUMMYFUNCTION("""COMPUTED_VALUE"""),1.32)</f>
        <v>1.32</v>
      </c>
      <c r="T188" s="320">
        <f>IFERROR(__xludf.DUMMYFUNCTION("""COMPUTED_VALUE"""),25.54)</f>
        <v>25.54</v>
      </c>
      <c r="U188" s="320">
        <f>IFERROR(__xludf.DUMMYFUNCTION("""COMPUTED_VALUE"""),1.97)</f>
        <v>1.97</v>
      </c>
      <c r="V188" s="320">
        <f>IFERROR(__xludf.DUMMYFUNCTION("""COMPUTED_VALUE"""),0.7211)</f>
        <v>0.7211</v>
      </c>
      <c r="W188" s="320">
        <f>IFERROR(__xludf.DUMMYFUNCTION("""COMPUTED_VALUE"""),4.92)</f>
        <v>4.92</v>
      </c>
      <c r="X188" s="320">
        <f>IFERROR(__xludf.DUMMYFUNCTION("""COMPUTED_VALUE"""),140.0)</f>
        <v>140</v>
      </c>
      <c r="Y188" s="320">
        <f>IFERROR(__xludf.DUMMYFUNCTION("""COMPUTED_VALUE"""),1003.0)</f>
        <v>1003</v>
      </c>
      <c r="Z188" s="320">
        <f>IFERROR(__xludf.DUMMYFUNCTION("""COMPUTED_VALUE"""),6558.0)</f>
        <v>6558</v>
      </c>
      <c r="AA188" s="320">
        <f>IFERROR(__xludf.DUMMYFUNCTION("""COMPUTED_VALUE"""),49.6621)</f>
        <v>49.6621</v>
      </c>
      <c r="AB188" s="320">
        <f>IFERROR(__xludf.DUMMYFUNCTION("""COMPUTED_VALUE"""),0.4956)</f>
        <v>0.4956</v>
      </c>
      <c r="AC188" s="106"/>
      <c r="AD188" s="106"/>
      <c r="AE188" s="106"/>
      <c r="AF188" s="106"/>
      <c r="AG188" s="106"/>
      <c r="AH188" s="320">
        <f>IFERROR(__xludf.DUMMYFUNCTION("""COMPUTED_VALUE"""),0.0)</f>
        <v>0</v>
      </c>
      <c r="AI188" s="320">
        <f>IFERROR(__xludf.DUMMYFUNCTION("""COMPUTED_VALUE"""),0.0)</f>
        <v>0</v>
      </c>
      <c r="AJ188" s="320">
        <f>IFERROR(__xludf.DUMMYFUNCTION("""COMPUTED_VALUE"""),0.0)</f>
        <v>0</v>
      </c>
      <c r="AK188" s="320">
        <f>IFERROR(__xludf.DUMMYFUNCTION("""COMPUTED_VALUE"""),0.2889)</f>
        <v>0.2889</v>
      </c>
      <c r="AL188" s="320">
        <f>IFERROR(__xludf.DUMMYFUNCTION("""COMPUTED_VALUE"""),17.36)</f>
        <v>17.36</v>
      </c>
      <c r="AM188" s="320">
        <f>IFERROR(__xludf.DUMMYFUNCTION("""COMPUTED_VALUE"""),9.44)</f>
        <v>9.44</v>
      </c>
      <c r="AN188" s="331"/>
      <c r="AO188" s="331"/>
    </row>
    <row r="189" ht="15.75" customHeight="1">
      <c r="A189" s="330">
        <f>IFERROR(__xludf.DUMMYFUNCTION("""COMPUTED_VALUE"""),46081.0)</f>
        <v>46081</v>
      </c>
      <c r="B189" s="319" t="str">
        <f>IFERROR(__xludf.DUMMYFUNCTION("""COMPUTED_VALUE"""),"B. 1-9")</f>
        <v>B. 1-9</v>
      </c>
      <c r="C189" s="320">
        <f>IFERROR(__xludf.DUMMYFUNCTION("""COMPUTED_VALUE"""),32799.0)</f>
        <v>32799</v>
      </c>
      <c r="D189" s="320">
        <f>IFERROR(__xludf.DUMMYFUNCTION("""COMPUTED_VALUE"""),43.63)</f>
        <v>43.63</v>
      </c>
      <c r="E189" s="320">
        <f>IFERROR(__xludf.DUMMYFUNCTION("""COMPUTED_VALUE"""),8903.81)</f>
        <v>8903.81</v>
      </c>
      <c r="F189" s="320">
        <f>IFERROR(__xludf.DUMMYFUNCTION("""COMPUTED_VALUE"""),0.2715)</f>
        <v>0.2715</v>
      </c>
      <c r="G189" s="320">
        <f>IFERROR(__xludf.DUMMYFUNCTION("""COMPUTED_VALUE"""),7.49)</f>
        <v>7.49</v>
      </c>
      <c r="H189" s="320">
        <f>IFERROR(__xludf.DUMMYFUNCTION("""COMPUTED_VALUE"""),3.6253)</f>
        <v>3.6253</v>
      </c>
      <c r="I189" s="320">
        <f>IFERROR(__xludf.DUMMYFUNCTION("""COMPUTED_VALUE"""),32.42)</f>
        <v>32.42</v>
      </c>
      <c r="J189" s="320">
        <f>IFERROR(__xludf.DUMMYFUNCTION("""COMPUTED_VALUE"""),17.39)</f>
        <v>17.39</v>
      </c>
      <c r="K189" s="320">
        <f>IFERROR(__xludf.DUMMYFUNCTION("""COMPUTED_VALUE"""),5.45)</f>
        <v>5.45</v>
      </c>
      <c r="L189" s="320">
        <f>IFERROR(__xludf.DUMMYFUNCTION("""COMPUTED_VALUE"""),0.3133)</f>
        <v>0.3133</v>
      </c>
      <c r="M189" s="320">
        <f>IFERROR(__xludf.DUMMYFUNCTION("""COMPUTED_VALUE"""),0.7599)</f>
        <v>0.7599</v>
      </c>
      <c r="N189" s="320">
        <f>IFERROR(__xludf.DUMMYFUNCTION("""COMPUTED_VALUE"""),0.5116)</f>
        <v>0.5116</v>
      </c>
      <c r="O189" s="320">
        <f>IFERROR(__xludf.DUMMYFUNCTION("""COMPUTED_VALUE"""),3.1918)</f>
        <v>3.1918</v>
      </c>
      <c r="P189" s="320">
        <f>IFERROR(__xludf.DUMMYFUNCTION("""COMPUTED_VALUE"""),77.2)</f>
        <v>77.2</v>
      </c>
      <c r="Q189" s="320">
        <f>IFERROR(__xludf.DUMMYFUNCTION("""COMPUTED_VALUE"""),66.11)</f>
        <v>66.11</v>
      </c>
      <c r="R189" s="320">
        <f>IFERROR(__xludf.DUMMYFUNCTION("""COMPUTED_VALUE"""),11.09)</f>
        <v>11.09</v>
      </c>
      <c r="S189" s="320">
        <f>IFERROR(__xludf.DUMMYFUNCTION("""COMPUTED_VALUE"""),19.44)</f>
        <v>19.44</v>
      </c>
      <c r="T189" s="320">
        <f>IFERROR(__xludf.DUMMYFUNCTION("""COMPUTED_VALUE"""),57.76)</f>
        <v>57.76</v>
      </c>
      <c r="U189" s="320">
        <f>IFERROR(__xludf.DUMMYFUNCTION("""COMPUTED_VALUE"""),82.64)</f>
        <v>82.64</v>
      </c>
      <c r="V189" s="320">
        <f>IFERROR(__xludf.DUMMYFUNCTION("""COMPUTED_VALUE"""),4.7532)</f>
        <v>4.7532</v>
      </c>
      <c r="W189" s="320">
        <f>IFERROR(__xludf.DUMMYFUNCTION("""COMPUTED_VALUE"""),25.19)</f>
        <v>25.19</v>
      </c>
      <c r="X189" s="320">
        <f>IFERROR(__xludf.DUMMYFUNCTION("""COMPUTED_VALUE"""),87.0)</f>
        <v>87</v>
      </c>
      <c r="Y189" s="320">
        <f>IFERROR(__xludf.DUMMYFUNCTION("""COMPUTED_VALUE"""),205.0)</f>
        <v>205</v>
      </c>
      <c r="Z189" s="320">
        <f>IFERROR(__xludf.DUMMYFUNCTION("""COMPUTED_VALUE"""),804.0)</f>
        <v>804</v>
      </c>
      <c r="AA189" s="320">
        <f>IFERROR(__xludf.DUMMYFUNCTION("""COMPUTED_VALUE"""),49.4294)</f>
        <v>49.4294</v>
      </c>
      <c r="AB189" s="320">
        <f>IFERROR(__xludf.DUMMYFUNCTION("""COMPUTED_VALUE"""),0.4367)</f>
        <v>0.4367</v>
      </c>
      <c r="AC189" s="320">
        <f>IFERROR(__xludf.DUMMYFUNCTION("""COMPUTED_VALUE"""),3.59)</f>
        <v>3.59</v>
      </c>
      <c r="AD189" s="320">
        <f>IFERROR(__xludf.DUMMYFUNCTION("""COMPUTED_VALUE"""),1.0)</f>
        <v>1</v>
      </c>
      <c r="AE189" s="320">
        <f>IFERROR(__xludf.DUMMYFUNCTION("""COMPUTED_VALUE"""),2.0)</f>
        <v>2</v>
      </c>
      <c r="AF189" s="320">
        <f>IFERROR(__xludf.DUMMYFUNCTION("""COMPUTED_VALUE"""),5.0)</f>
        <v>5</v>
      </c>
      <c r="AG189" s="320">
        <f>IFERROR(__xludf.DUMMYFUNCTION("""COMPUTED_VALUE"""),8.0)</f>
        <v>8</v>
      </c>
      <c r="AH189" s="320">
        <f>IFERROR(__xludf.DUMMYFUNCTION("""COMPUTED_VALUE"""),66.29)</f>
        <v>66.29</v>
      </c>
      <c r="AI189" s="320">
        <f>IFERROR(__xludf.DUMMYFUNCTION("""COMPUTED_VALUE"""),25.15)</f>
        <v>25.15</v>
      </c>
      <c r="AJ189" s="320">
        <f>IFERROR(__xludf.DUMMYFUNCTION("""COMPUTED_VALUE"""),7.36)</f>
        <v>7.36</v>
      </c>
      <c r="AK189" s="320">
        <f>IFERROR(__xludf.DUMMYFUNCTION("""COMPUTED_VALUE"""),0.2205)</f>
        <v>0.2205</v>
      </c>
      <c r="AL189" s="320">
        <f>IFERROR(__xludf.DUMMYFUNCTION("""COMPUTED_VALUE"""),23.0)</f>
        <v>23</v>
      </c>
      <c r="AM189" s="320">
        <f>IFERROR(__xludf.DUMMYFUNCTION("""COMPUTED_VALUE"""),43.11)</f>
        <v>43.11</v>
      </c>
      <c r="AN189" s="320">
        <f>IFERROR(__xludf.DUMMYFUNCTION("""COMPUTED_VALUE"""),68.64)</f>
        <v>68.64</v>
      </c>
      <c r="AO189" s="320">
        <f>IFERROR(__xludf.DUMMYFUNCTION("""COMPUTED_VALUE"""),15.79)</f>
        <v>15.79</v>
      </c>
    </row>
    <row r="190" ht="15.75" customHeight="1">
      <c r="A190" s="330">
        <f>IFERROR(__xludf.DUMMYFUNCTION("""COMPUTED_VALUE"""),46081.0)</f>
        <v>46081</v>
      </c>
      <c r="B190" s="319" t="str">
        <f>IFERROR(__xludf.DUMMYFUNCTION("""COMPUTED_VALUE"""),"C. 10-19")</f>
        <v>C. 10-19</v>
      </c>
      <c r="C190" s="320">
        <f>IFERROR(__xludf.DUMMYFUNCTION("""COMPUTED_VALUE"""),15214.0)</f>
        <v>15214</v>
      </c>
      <c r="D190" s="320">
        <f>IFERROR(__xludf.DUMMYFUNCTION("""COMPUTED_VALUE"""),20.24)</f>
        <v>20.24</v>
      </c>
      <c r="E190" s="320">
        <f>IFERROR(__xludf.DUMMYFUNCTION("""COMPUTED_VALUE"""),18359.35)</f>
        <v>18359.35</v>
      </c>
      <c r="F190" s="320">
        <f>IFERROR(__xludf.DUMMYFUNCTION("""COMPUTED_VALUE"""),1.2067)</f>
        <v>1.2067</v>
      </c>
      <c r="G190" s="320">
        <f>IFERROR(__xludf.DUMMYFUNCTION("""COMPUTED_VALUE"""),23.6)</f>
        <v>23.6</v>
      </c>
      <c r="H190" s="320">
        <f>IFERROR(__xludf.DUMMYFUNCTION("""COMPUTED_VALUE"""),5.1126)</f>
        <v>5.1126</v>
      </c>
      <c r="I190" s="320">
        <f>IFERROR(__xludf.DUMMYFUNCTION("""COMPUTED_VALUE"""),58.04)</f>
        <v>58.04</v>
      </c>
      <c r="J190" s="320">
        <f>IFERROR(__xludf.DUMMYFUNCTION("""COMPUTED_VALUE"""),33.11)</f>
        <v>33.11</v>
      </c>
      <c r="K190" s="320">
        <f>IFERROR(__xludf.DUMMYFUNCTION("""COMPUTED_VALUE"""),13.95)</f>
        <v>13.95</v>
      </c>
      <c r="L190" s="320">
        <f>IFERROR(__xludf.DUMMYFUNCTION("""COMPUTED_VALUE"""),0.4214)</f>
        <v>0.4214</v>
      </c>
      <c r="M190" s="320">
        <f>IFERROR(__xludf.DUMMYFUNCTION("""COMPUTED_VALUE"""),0.6466)</f>
        <v>0.6466</v>
      </c>
      <c r="N190" s="320">
        <f>IFERROR(__xludf.DUMMYFUNCTION("""COMPUTED_VALUE"""),0.3729)</f>
        <v>0.3729</v>
      </c>
      <c r="O190" s="320">
        <f>IFERROR(__xludf.DUMMYFUNCTION("""COMPUTED_VALUE"""),2.3728)</f>
        <v>2.3728</v>
      </c>
      <c r="P190" s="320">
        <f>IFERROR(__xludf.DUMMYFUNCTION("""COMPUTED_VALUE"""),185.85)</f>
        <v>185.85</v>
      </c>
      <c r="Q190" s="320">
        <f>IFERROR(__xludf.DUMMYFUNCTION("""COMPUTED_VALUE"""),156.72)</f>
        <v>156.72</v>
      </c>
      <c r="R190" s="320">
        <f>IFERROR(__xludf.DUMMYFUNCTION("""COMPUTED_VALUE"""),29.13)</f>
        <v>29.13</v>
      </c>
      <c r="S190" s="320">
        <f>IFERROR(__xludf.DUMMYFUNCTION("""COMPUTED_VALUE"""),79.95)</f>
        <v>79.95</v>
      </c>
      <c r="T190" s="320">
        <f>IFERROR(__xludf.DUMMYFUNCTION("""COMPUTED_VALUE"""),105.91)</f>
        <v>105.91</v>
      </c>
      <c r="U190" s="320">
        <f>IFERROR(__xludf.DUMMYFUNCTION("""COMPUTED_VALUE"""),195.12)</f>
        <v>195.12</v>
      </c>
      <c r="V190" s="320">
        <f>IFERROR(__xludf.DUMMYFUNCTION("""COMPUTED_VALUE"""),5.8935)</f>
        <v>5.8935</v>
      </c>
      <c r="W190" s="320">
        <f>IFERROR(__xludf.DUMMYFUNCTION("""COMPUTED_VALUE"""),43.02)</f>
        <v>43.02</v>
      </c>
      <c r="X190" s="320">
        <f>IFERROR(__xludf.DUMMYFUNCTION("""COMPUTED_VALUE"""),84.0)</f>
        <v>84</v>
      </c>
      <c r="Y190" s="320">
        <f>IFERROR(__xludf.DUMMYFUNCTION("""COMPUTED_VALUE"""),187.0)</f>
        <v>187</v>
      </c>
      <c r="Z190" s="320">
        <f>IFERROR(__xludf.DUMMYFUNCTION("""COMPUTED_VALUE"""),610.0)</f>
        <v>610</v>
      </c>
      <c r="AA190" s="320">
        <f>IFERROR(__xludf.DUMMYFUNCTION("""COMPUTED_VALUE"""),52.3238)</f>
        <v>52.3238</v>
      </c>
      <c r="AB190" s="320">
        <f>IFERROR(__xludf.DUMMYFUNCTION("""COMPUTED_VALUE"""),0.5437)</f>
        <v>0.5437</v>
      </c>
      <c r="AC190" s="320">
        <f>IFERROR(__xludf.DUMMYFUNCTION("""COMPUTED_VALUE"""),9.13)</f>
        <v>9.13</v>
      </c>
      <c r="AD190" s="320">
        <f>IFERROR(__xludf.DUMMYFUNCTION("""COMPUTED_VALUE"""),3.0)</f>
        <v>3</v>
      </c>
      <c r="AE190" s="320">
        <f>IFERROR(__xludf.DUMMYFUNCTION("""COMPUTED_VALUE"""),6.0)</f>
        <v>6</v>
      </c>
      <c r="AF190" s="320">
        <f>IFERROR(__xludf.DUMMYFUNCTION("""COMPUTED_VALUE"""),13.0)</f>
        <v>13</v>
      </c>
      <c r="AG190" s="320">
        <f>IFERROR(__xludf.DUMMYFUNCTION("""COMPUTED_VALUE"""),20.0)</f>
        <v>20</v>
      </c>
      <c r="AH190" s="320">
        <f>IFERROR(__xludf.DUMMYFUNCTION("""COMPUTED_VALUE"""),55.2)</f>
        <v>55.2</v>
      </c>
      <c r="AI190" s="320">
        <f>IFERROR(__xludf.DUMMYFUNCTION("""COMPUTED_VALUE"""),25.51)</f>
        <v>25.51</v>
      </c>
      <c r="AJ190" s="320">
        <f>IFERROR(__xludf.DUMMYFUNCTION("""COMPUTED_VALUE"""),5.4)</f>
        <v>5.4</v>
      </c>
      <c r="AK190" s="320">
        <f>IFERROR(__xludf.DUMMYFUNCTION("""COMPUTED_VALUE"""),0.2024)</f>
        <v>0.2024</v>
      </c>
      <c r="AL190" s="320">
        <f>IFERROR(__xludf.DUMMYFUNCTION("""COMPUTED_VALUE"""),23.29)</f>
        <v>23.29</v>
      </c>
      <c r="AM190" s="320">
        <f>IFERROR(__xludf.DUMMYFUNCTION("""COMPUTED_VALUE"""),133.43)</f>
        <v>133.43</v>
      </c>
      <c r="AN190" s="320">
        <f>IFERROR(__xludf.DUMMYFUNCTION("""COMPUTED_VALUE"""),74.16)</f>
        <v>74.16</v>
      </c>
      <c r="AO190" s="320">
        <f>IFERROR(__xludf.DUMMYFUNCTION("""COMPUTED_VALUE"""),17.27)</f>
        <v>17.27</v>
      </c>
    </row>
    <row r="191" ht="15.75" customHeight="1">
      <c r="A191" s="330">
        <f>IFERROR(__xludf.DUMMYFUNCTION("""COMPUTED_VALUE"""),46081.0)</f>
        <v>46081</v>
      </c>
      <c r="B191" s="319" t="str">
        <f>IFERROR(__xludf.DUMMYFUNCTION("""COMPUTED_VALUE"""),"D. 20-39")</f>
        <v>D. 20-39</v>
      </c>
      <c r="C191" s="320">
        <f>IFERROR(__xludf.DUMMYFUNCTION("""COMPUTED_VALUE"""),7571.0)</f>
        <v>7571</v>
      </c>
      <c r="D191" s="320">
        <f>IFERROR(__xludf.DUMMYFUNCTION("""COMPUTED_VALUE"""),10.07)</f>
        <v>10.07</v>
      </c>
      <c r="E191" s="320">
        <f>IFERROR(__xludf.DUMMYFUNCTION("""COMPUTED_VALUE"""),21702.72)</f>
        <v>21702.72</v>
      </c>
      <c r="F191" s="320">
        <f>IFERROR(__xludf.DUMMYFUNCTION("""COMPUTED_VALUE"""),2.8666)</f>
        <v>2.8666</v>
      </c>
      <c r="G191" s="320">
        <f>IFERROR(__xludf.DUMMYFUNCTION("""COMPUTED_VALUE"""),35.27)</f>
        <v>35.27</v>
      </c>
      <c r="H191" s="320">
        <f>IFERROR(__xludf.DUMMYFUNCTION("""COMPUTED_VALUE"""),8.1284)</f>
        <v>8.1284</v>
      </c>
      <c r="I191" s="320">
        <f>IFERROR(__xludf.DUMMYFUNCTION("""COMPUTED_VALUE"""),81.22)</f>
        <v>81.22</v>
      </c>
      <c r="J191" s="320">
        <f>IFERROR(__xludf.DUMMYFUNCTION("""COMPUTED_VALUE"""),47.84)</f>
        <v>47.84</v>
      </c>
      <c r="K191" s="320">
        <f>IFERROR(__xludf.DUMMYFUNCTION("""COMPUTED_VALUE"""),26.65)</f>
        <v>26.65</v>
      </c>
      <c r="L191" s="320">
        <f>IFERROR(__xludf.DUMMYFUNCTION("""COMPUTED_VALUE"""),0.5571)</f>
        <v>0.5571</v>
      </c>
      <c r="M191" s="320">
        <f>IFERROR(__xludf.DUMMYFUNCTION("""COMPUTED_VALUE"""),0.5234)</f>
        <v>0.5234</v>
      </c>
      <c r="N191" s="320">
        <f>IFERROR(__xludf.DUMMYFUNCTION("""COMPUTED_VALUE"""),0.2927)</f>
        <v>0.2927</v>
      </c>
      <c r="O191" s="320">
        <f>IFERROR(__xludf.DUMMYFUNCTION("""COMPUTED_VALUE"""),1.795)</f>
        <v>1.795</v>
      </c>
      <c r="P191" s="320">
        <f>IFERROR(__xludf.DUMMYFUNCTION("""COMPUTED_VALUE"""),359.08)</f>
        <v>359.08</v>
      </c>
      <c r="Q191" s="320">
        <f>IFERROR(__xludf.DUMMYFUNCTION("""COMPUTED_VALUE"""),302.73)</f>
        <v>302.73</v>
      </c>
      <c r="R191" s="320">
        <f>IFERROR(__xludf.DUMMYFUNCTION("""COMPUTED_VALUE"""),56.35)</f>
        <v>56.35</v>
      </c>
      <c r="S191" s="320">
        <f>IFERROR(__xludf.DUMMYFUNCTION("""COMPUTED_VALUE"""),180.22)</f>
        <v>180.22</v>
      </c>
      <c r="T191" s="320">
        <f>IFERROR(__xludf.DUMMYFUNCTION("""COMPUTED_VALUE"""),178.87)</f>
        <v>178.87</v>
      </c>
      <c r="U191" s="320">
        <f>IFERROR(__xludf.DUMMYFUNCTION("""COMPUTED_VALUE"""),371.9)</f>
        <v>371.9</v>
      </c>
      <c r="V191" s="320">
        <f>IFERROR(__xludf.DUMMYFUNCTION("""COMPUTED_VALUE"""),7.7737)</f>
        <v>7.7737</v>
      </c>
      <c r="W191" s="320">
        <f>IFERROR(__xludf.DUMMYFUNCTION("""COMPUTED_VALUE"""),50.19)</f>
        <v>50.19</v>
      </c>
      <c r="X191" s="320">
        <f>IFERROR(__xludf.DUMMYFUNCTION("""COMPUTED_VALUE"""),90.0)</f>
        <v>90</v>
      </c>
      <c r="Y191" s="320">
        <f>IFERROR(__xludf.DUMMYFUNCTION("""COMPUTED_VALUE"""),238.0)</f>
        <v>238</v>
      </c>
      <c r="Z191" s="320">
        <f>IFERROR(__xludf.DUMMYFUNCTION("""COMPUTED_VALUE"""),730.0)</f>
        <v>730</v>
      </c>
      <c r="AA191" s="320">
        <f>IFERROR(__xludf.DUMMYFUNCTION("""COMPUTED_VALUE"""),54.782)</f>
        <v>54.782</v>
      </c>
      <c r="AB191" s="320">
        <f>IFERROR(__xludf.DUMMYFUNCTION("""COMPUTED_VALUE"""),0.667)</f>
        <v>0.667</v>
      </c>
      <c r="AC191" s="320">
        <f>IFERROR(__xludf.DUMMYFUNCTION("""COMPUTED_VALUE"""),17.88)</f>
        <v>17.88</v>
      </c>
      <c r="AD191" s="320">
        <f>IFERROR(__xludf.DUMMYFUNCTION("""COMPUTED_VALUE"""),6.0)</f>
        <v>6</v>
      </c>
      <c r="AE191" s="320">
        <f>IFERROR(__xludf.DUMMYFUNCTION("""COMPUTED_VALUE"""),13.0)</f>
        <v>13</v>
      </c>
      <c r="AF191" s="320">
        <f>IFERROR(__xludf.DUMMYFUNCTION("""COMPUTED_VALUE"""),25.0)</f>
        <v>25</v>
      </c>
      <c r="AG191" s="320">
        <f>IFERROR(__xludf.DUMMYFUNCTION("""COMPUTED_VALUE"""),39.0)</f>
        <v>39</v>
      </c>
      <c r="AH191" s="320">
        <f>IFERROR(__xludf.DUMMYFUNCTION("""COMPUTED_VALUE"""),56.37)</f>
        <v>56.37</v>
      </c>
      <c r="AI191" s="320">
        <f>IFERROR(__xludf.DUMMYFUNCTION("""COMPUTED_VALUE"""),24.45)</f>
        <v>24.45</v>
      </c>
      <c r="AJ191" s="320">
        <f>IFERROR(__xludf.DUMMYFUNCTION("""COMPUTED_VALUE"""),8.64)</f>
        <v>8.64</v>
      </c>
      <c r="AK191" s="320">
        <f>IFERROR(__xludf.DUMMYFUNCTION("""COMPUTED_VALUE"""),0.2178)</f>
        <v>0.2178</v>
      </c>
      <c r="AL191" s="320">
        <f>IFERROR(__xludf.DUMMYFUNCTION("""COMPUTED_VALUE"""),23.03)</f>
        <v>23.03</v>
      </c>
      <c r="AM191" s="320">
        <f>IFERROR(__xludf.DUMMYFUNCTION("""COMPUTED_VALUE"""),279.7)</f>
        <v>279.7</v>
      </c>
      <c r="AN191" s="320">
        <f>IFERROR(__xludf.DUMMYFUNCTION("""COMPUTED_VALUE"""),73.72)</f>
        <v>73.72</v>
      </c>
      <c r="AO191" s="320">
        <f>IFERROR(__xludf.DUMMYFUNCTION("""COMPUTED_VALUE"""),16.98)</f>
        <v>16.98</v>
      </c>
    </row>
    <row r="192" ht="15.75" customHeight="1">
      <c r="A192" s="330">
        <f>IFERROR(__xludf.DUMMYFUNCTION("""COMPUTED_VALUE"""),46081.0)</f>
        <v>46081</v>
      </c>
      <c r="B192" s="319" t="str">
        <f>IFERROR(__xludf.DUMMYFUNCTION("""COMPUTED_VALUE"""),"E. 40-99")</f>
        <v>E. 40-99</v>
      </c>
      <c r="C192" s="320">
        <f>IFERROR(__xludf.DUMMYFUNCTION("""COMPUTED_VALUE"""),3003.0)</f>
        <v>3003</v>
      </c>
      <c r="D192" s="320">
        <f>IFERROR(__xludf.DUMMYFUNCTION("""COMPUTED_VALUE"""),3.99)</f>
        <v>3.99</v>
      </c>
      <c r="E192" s="320">
        <f>IFERROR(__xludf.DUMMYFUNCTION("""COMPUTED_VALUE"""),18501.74)</f>
        <v>18501.74</v>
      </c>
      <c r="F192" s="320">
        <f>IFERROR(__xludf.DUMMYFUNCTION("""COMPUTED_VALUE"""),6.1611)</f>
        <v>6.1611</v>
      </c>
      <c r="G192" s="320">
        <f>IFERROR(__xludf.DUMMYFUNCTION("""COMPUTED_VALUE"""),42.46)</f>
        <v>42.46</v>
      </c>
      <c r="H192" s="320">
        <f>IFERROR(__xludf.DUMMYFUNCTION("""COMPUTED_VALUE"""),14.5112)</f>
        <v>14.5112</v>
      </c>
      <c r="I192" s="320">
        <f>IFERROR(__xludf.DUMMYFUNCTION("""COMPUTED_VALUE"""),125.18)</f>
        <v>125.18</v>
      </c>
      <c r="J192" s="320">
        <f>IFERROR(__xludf.DUMMYFUNCTION("""COMPUTED_VALUE"""),76.73)</f>
        <v>76.73</v>
      </c>
      <c r="K192" s="320">
        <f>IFERROR(__xludf.DUMMYFUNCTION("""COMPUTED_VALUE"""),53.81)</f>
        <v>53.81</v>
      </c>
      <c r="L192" s="320">
        <f>IFERROR(__xludf.DUMMYFUNCTION("""COMPUTED_VALUE"""),0.7013)</f>
        <v>0.7013</v>
      </c>
      <c r="M192" s="320">
        <f>IFERROR(__xludf.DUMMYFUNCTION("""COMPUTED_VALUE"""),0.395)</f>
        <v>0.395</v>
      </c>
      <c r="N192" s="320">
        <f>IFERROR(__xludf.DUMMYFUNCTION("""COMPUTED_VALUE"""),0.2309)</f>
        <v>0.2309</v>
      </c>
      <c r="O192" s="320">
        <f>IFERROR(__xludf.DUMMYFUNCTION("""COMPUTED_VALUE"""),1.4258)</f>
        <v>1.4258</v>
      </c>
      <c r="P192" s="320">
        <f>IFERROR(__xludf.DUMMYFUNCTION("""COMPUTED_VALUE"""),710.89)</f>
        <v>710.89</v>
      </c>
      <c r="Q192" s="320">
        <f>IFERROR(__xludf.DUMMYFUNCTION("""COMPUTED_VALUE"""),598.14)</f>
        <v>598.14</v>
      </c>
      <c r="R192" s="320">
        <f>IFERROR(__xludf.DUMMYFUNCTION("""COMPUTED_VALUE"""),112.75)</f>
        <v>112.75</v>
      </c>
      <c r="S192" s="320">
        <f>IFERROR(__xludf.DUMMYFUNCTION("""COMPUTED_VALUE"""),386.05)</f>
        <v>386.05</v>
      </c>
      <c r="T192" s="320">
        <f>IFERROR(__xludf.DUMMYFUNCTION("""COMPUTED_VALUE"""),324.83)</f>
        <v>324.83</v>
      </c>
      <c r="U192" s="320">
        <f>IFERROR(__xludf.DUMMYFUNCTION("""COMPUTED_VALUE"""),734.4)</f>
        <v>734.4</v>
      </c>
      <c r="V192" s="320">
        <f>IFERROR(__xludf.DUMMYFUNCTION("""COMPUTED_VALUE"""),9.5718)</f>
        <v>9.5718</v>
      </c>
      <c r="W192" s="320">
        <f>IFERROR(__xludf.DUMMYFUNCTION("""COMPUTED_VALUE"""),54.31)</f>
        <v>54.31</v>
      </c>
      <c r="X192" s="320">
        <f>IFERROR(__xludf.DUMMYFUNCTION("""COMPUTED_VALUE"""),114.0)</f>
        <v>114</v>
      </c>
      <c r="Y192" s="320">
        <f>IFERROR(__xludf.DUMMYFUNCTION("""COMPUTED_VALUE"""),366.0)</f>
        <v>366</v>
      </c>
      <c r="Z192" s="320">
        <f>IFERROR(__xludf.DUMMYFUNCTION("""COMPUTED_VALUE"""),1058.0)</f>
        <v>1058</v>
      </c>
      <c r="AA192" s="320">
        <f>IFERROR(__xludf.DUMMYFUNCTION("""COMPUTED_VALUE"""),57.9946)</f>
        <v>57.9946</v>
      </c>
      <c r="AB192" s="320">
        <f>IFERROR(__xludf.DUMMYFUNCTION("""COMPUTED_VALUE"""),0.7668)</f>
        <v>0.7668</v>
      </c>
      <c r="AC192" s="320">
        <f>IFERROR(__xludf.DUMMYFUNCTION("""COMPUTED_VALUE"""),36.67)</f>
        <v>36.67</v>
      </c>
      <c r="AD192" s="320">
        <f>IFERROR(__xludf.DUMMYFUNCTION("""COMPUTED_VALUE"""),12.0)</f>
        <v>12</v>
      </c>
      <c r="AE192" s="320">
        <f>IFERROR(__xludf.DUMMYFUNCTION("""COMPUTED_VALUE"""),28.0)</f>
        <v>28</v>
      </c>
      <c r="AF192" s="320">
        <f>IFERROR(__xludf.DUMMYFUNCTION("""COMPUTED_VALUE"""),51.0)</f>
        <v>51</v>
      </c>
      <c r="AG192" s="320">
        <f>IFERROR(__xludf.DUMMYFUNCTION("""COMPUTED_VALUE"""),79.0)</f>
        <v>79</v>
      </c>
      <c r="AH192" s="320">
        <f>IFERROR(__xludf.DUMMYFUNCTION("""COMPUTED_VALUE"""),50.32)</f>
        <v>50.32</v>
      </c>
      <c r="AI192" s="320">
        <f>IFERROR(__xludf.DUMMYFUNCTION("""COMPUTED_VALUE"""),20.15)</f>
        <v>20.15</v>
      </c>
      <c r="AJ192" s="320">
        <f>IFERROR(__xludf.DUMMYFUNCTION("""COMPUTED_VALUE"""),5.0)</f>
        <v>5</v>
      </c>
      <c r="AK192" s="320">
        <f>IFERROR(__xludf.DUMMYFUNCTION("""COMPUTED_VALUE"""),0.1908)</f>
        <v>0.1908</v>
      </c>
      <c r="AL192" s="320">
        <f>IFERROR(__xludf.DUMMYFUNCTION("""COMPUTED_VALUE"""),22.44)</f>
        <v>22.44</v>
      </c>
      <c r="AM192" s="320">
        <f>IFERROR(__xludf.DUMMYFUNCTION("""COMPUTED_VALUE"""),575.7)</f>
        <v>575.7</v>
      </c>
      <c r="AN192" s="320">
        <f>IFERROR(__xludf.DUMMYFUNCTION("""COMPUTED_VALUE"""),74.85)</f>
        <v>74.85</v>
      </c>
      <c r="AO192" s="320">
        <f>IFERROR(__xludf.DUMMYFUNCTION("""COMPUTED_VALUE"""),16.8)</f>
        <v>16.8</v>
      </c>
    </row>
    <row r="193" ht="15.75" customHeight="1">
      <c r="A193" s="330">
        <f>IFERROR(__xludf.DUMMYFUNCTION("""COMPUTED_VALUE"""),46081.0)</f>
        <v>46081</v>
      </c>
      <c r="B193" s="319" t="str">
        <f>IFERROR(__xludf.DUMMYFUNCTION("""COMPUTED_VALUE"""),"F. 100+")</f>
        <v>F. 100+</v>
      </c>
      <c r="C193" s="320">
        <f>IFERROR(__xludf.DUMMYFUNCTION("""COMPUTED_VALUE"""),348.0)</f>
        <v>348</v>
      </c>
      <c r="D193" s="320">
        <f>IFERROR(__xludf.DUMMYFUNCTION("""COMPUTED_VALUE"""),0.46)</f>
        <v>0.46</v>
      </c>
      <c r="E193" s="320">
        <f>IFERROR(__xludf.DUMMYFUNCTION("""COMPUTED_VALUE"""),5504.25)</f>
        <v>5504.25</v>
      </c>
      <c r="F193" s="320">
        <f>IFERROR(__xludf.DUMMYFUNCTION("""COMPUTED_VALUE"""),15.8168)</f>
        <v>15.8168</v>
      </c>
      <c r="G193" s="320">
        <f>IFERROR(__xludf.DUMMYFUNCTION("""COMPUTED_VALUE"""),50.0)</f>
        <v>50</v>
      </c>
      <c r="H193" s="320">
        <f>IFERROR(__xludf.DUMMYFUNCTION("""COMPUTED_VALUE"""),31.6336)</f>
        <v>31.6336</v>
      </c>
      <c r="I193" s="320">
        <f>IFERROR(__xludf.DUMMYFUNCTION("""COMPUTED_VALUE"""),251.65)</f>
        <v>251.65</v>
      </c>
      <c r="J193" s="320">
        <f>IFERROR(__xludf.DUMMYFUNCTION("""COMPUTED_VALUE"""),161.35)</f>
        <v>161.35</v>
      </c>
      <c r="K193" s="320">
        <f>IFERROR(__xludf.DUMMYFUNCTION("""COMPUTED_VALUE"""),132.07)</f>
        <v>132.07</v>
      </c>
      <c r="L193" s="320">
        <f>IFERROR(__xludf.DUMMYFUNCTION("""COMPUTED_VALUE"""),0.8185)</f>
        <v>0.8185</v>
      </c>
      <c r="M193" s="320">
        <f>IFERROR(__xludf.DUMMYFUNCTION("""COMPUTED_VALUE"""),0.2796)</f>
        <v>0.2796</v>
      </c>
      <c r="N193" s="320">
        <f>IFERROR(__xludf.DUMMYFUNCTION("""COMPUTED_VALUE"""),0.1804)</f>
        <v>0.1804</v>
      </c>
      <c r="O193" s="320">
        <f>IFERROR(__xludf.DUMMYFUNCTION("""COMPUTED_VALUE"""),1.2217)</f>
        <v>1.2217</v>
      </c>
      <c r="P193" s="320">
        <f>IFERROR(__xludf.DUMMYFUNCTION("""COMPUTED_VALUE"""),1651.05)</f>
        <v>1651.05</v>
      </c>
      <c r="Q193" s="320">
        <f>IFERROR(__xludf.DUMMYFUNCTION("""COMPUTED_VALUE"""),1371.46)</f>
        <v>1371.46</v>
      </c>
      <c r="R193" s="320">
        <f>IFERROR(__xludf.DUMMYFUNCTION("""COMPUTED_VALUE"""),279.58)</f>
        <v>279.58</v>
      </c>
      <c r="S193" s="320">
        <f>IFERROR(__xludf.DUMMYFUNCTION("""COMPUTED_VALUE"""),964.08)</f>
        <v>964.08</v>
      </c>
      <c r="T193" s="320">
        <f>IFERROR(__xludf.DUMMYFUNCTION("""COMPUTED_VALUE"""),686.97)</f>
        <v>686.97</v>
      </c>
      <c r="U193" s="320">
        <f>IFERROR(__xludf.DUMMYFUNCTION("""COMPUTED_VALUE"""),1685.92)</f>
        <v>1685.92</v>
      </c>
      <c r="V193" s="320">
        <f>IFERROR(__xludf.DUMMYFUNCTION("""COMPUTED_VALUE"""),10.4486)</f>
        <v>10.4486</v>
      </c>
      <c r="W193" s="320">
        <f>IFERROR(__xludf.DUMMYFUNCTION("""COMPUTED_VALUE"""),58.39)</f>
        <v>58.39</v>
      </c>
      <c r="X193" s="320">
        <f>IFERROR(__xludf.DUMMYFUNCTION("""COMPUTED_VALUE"""),202.0)</f>
        <v>202</v>
      </c>
      <c r="Y193" s="320">
        <f>IFERROR(__xludf.DUMMYFUNCTION("""COMPUTED_VALUE"""),848.0)</f>
        <v>848</v>
      </c>
      <c r="Z193" s="320">
        <f>IFERROR(__xludf.DUMMYFUNCTION("""COMPUTED_VALUE"""),2929.0)</f>
        <v>2929</v>
      </c>
      <c r="AA193" s="320">
        <f>IFERROR(__xludf.DUMMYFUNCTION("""COMPUTED_VALUE"""),61.9901)</f>
        <v>61.9901</v>
      </c>
      <c r="AB193" s="320">
        <f>IFERROR(__xludf.DUMMYFUNCTION("""COMPUTED_VALUE"""),0.8332)</f>
        <v>0.8332</v>
      </c>
      <c r="AC193" s="320">
        <f>IFERROR(__xludf.DUMMYFUNCTION("""COMPUTED_VALUE"""),88.15)</f>
        <v>88.15</v>
      </c>
      <c r="AD193" s="320">
        <f>IFERROR(__xludf.DUMMYFUNCTION("""COMPUTED_VALUE"""),33.0)</f>
        <v>33</v>
      </c>
      <c r="AE193" s="320">
        <f>IFERROR(__xludf.DUMMYFUNCTION("""COMPUTED_VALUE"""),70.0)</f>
        <v>70</v>
      </c>
      <c r="AF193" s="320">
        <f>IFERROR(__xludf.DUMMYFUNCTION("""COMPUTED_VALUE"""),119.0)</f>
        <v>119</v>
      </c>
      <c r="AG193" s="320">
        <f>IFERROR(__xludf.DUMMYFUNCTION("""COMPUTED_VALUE"""),186.0)</f>
        <v>186</v>
      </c>
      <c r="AH193" s="320">
        <f>IFERROR(__xludf.DUMMYFUNCTION("""COMPUTED_VALUE"""),45.4)</f>
        <v>45.4</v>
      </c>
      <c r="AI193" s="320">
        <f>IFERROR(__xludf.DUMMYFUNCTION("""COMPUTED_VALUE"""),12.07)</f>
        <v>12.07</v>
      </c>
      <c r="AJ193" s="320">
        <f>IFERROR(__xludf.DUMMYFUNCTION("""COMPUTED_VALUE"""),2.01)</f>
        <v>2.01</v>
      </c>
      <c r="AK193" s="320">
        <f>IFERROR(__xludf.DUMMYFUNCTION("""COMPUTED_VALUE"""),0.1868)</f>
        <v>0.1868</v>
      </c>
      <c r="AL193" s="320">
        <f>IFERROR(__xludf.DUMMYFUNCTION("""COMPUTED_VALUE"""),25.86)</f>
        <v>25.86</v>
      </c>
      <c r="AM193" s="320">
        <f>IFERROR(__xludf.DUMMYFUNCTION("""COMPUTED_VALUE"""),1345.6)</f>
        <v>1345.6</v>
      </c>
      <c r="AN193" s="320">
        <f>IFERROR(__xludf.DUMMYFUNCTION("""COMPUTED_VALUE"""),70.4)</f>
        <v>70.4</v>
      </c>
      <c r="AO193" s="320">
        <f>IFERROR(__xludf.DUMMYFUNCTION("""COMPUTED_VALUE"""),18.21)</f>
        <v>18.21</v>
      </c>
    </row>
    <row r="194" ht="15.75" customHeight="1">
      <c r="A194" s="330">
        <f>IFERROR(__xludf.DUMMYFUNCTION("""COMPUTED_VALUE"""),46082.0)</f>
        <v>46082</v>
      </c>
      <c r="B194" s="319" t="str">
        <f>IFERROR(__xludf.DUMMYFUNCTION("""COMPUTED_VALUE"""),"A. 0")</f>
        <v>A. 0</v>
      </c>
      <c r="C194" s="320">
        <f>IFERROR(__xludf.DUMMYFUNCTION("""COMPUTED_VALUE"""),16316.0)</f>
        <v>16316</v>
      </c>
      <c r="D194" s="320">
        <f>IFERROR(__xludf.DUMMYFUNCTION("""COMPUTED_VALUE"""),21.53)</f>
        <v>21.53</v>
      </c>
      <c r="E194" s="320">
        <f>IFERROR(__xludf.DUMMYFUNCTION("""COMPUTED_VALUE"""),83.15)</f>
        <v>83.15</v>
      </c>
      <c r="F194" s="320">
        <f>IFERROR(__xludf.DUMMYFUNCTION("""COMPUTED_VALUE"""),0.0051)</f>
        <v>0.0051</v>
      </c>
      <c r="G194" s="320">
        <f>IFERROR(__xludf.DUMMYFUNCTION("""COMPUTED_VALUE"""),0.17)</f>
        <v>0.17</v>
      </c>
      <c r="H194" s="320">
        <f>IFERROR(__xludf.DUMMYFUNCTION("""COMPUTED_VALUE"""),3.0796)</f>
        <v>3.0796</v>
      </c>
      <c r="I194" s="320">
        <f>IFERROR(__xludf.DUMMYFUNCTION("""COMPUTED_VALUE"""),6.49)</f>
        <v>6.49</v>
      </c>
      <c r="J194" s="320">
        <f>IFERROR(__xludf.DUMMYFUNCTION("""COMPUTED_VALUE"""),2.97)</f>
        <v>2.97</v>
      </c>
      <c r="K194" s="320">
        <f>IFERROR(__xludf.DUMMYFUNCTION("""COMPUTED_VALUE"""),0.07)</f>
        <v>0.07</v>
      </c>
      <c r="L194" s="320">
        <f>IFERROR(__xludf.DUMMYFUNCTION("""COMPUTED_VALUE"""),0.0251)</f>
        <v>0.0251</v>
      </c>
      <c r="M194" s="320">
        <f>IFERROR(__xludf.DUMMYFUNCTION("""COMPUTED_VALUE"""),0.9756)</f>
        <v>0.9756</v>
      </c>
      <c r="N194" s="320">
        <f>IFERROR(__xludf.DUMMYFUNCTION("""COMPUTED_VALUE"""),0.6966)</f>
        <v>0.6966</v>
      </c>
      <c r="O194" s="320">
        <f>IFERROR(__xludf.DUMMYFUNCTION("""COMPUTED_VALUE"""),39.8741)</f>
        <v>39.8741</v>
      </c>
      <c r="P194" s="320">
        <f>IFERROR(__xludf.DUMMYFUNCTION("""COMPUTED_VALUE"""),23.28)</f>
        <v>23.28</v>
      </c>
      <c r="Q194" s="320">
        <f>IFERROR(__xludf.DUMMYFUNCTION("""COMPUTED_VALUE"""),23.21)</f>
        <v>23.21</v>
      </c>
      <c r="R194" s="320">
        <f>IFERROR(__xludf.DUMMYFUNCTION("""COMPUTED_VALUE"""),0.07)</f>
        <v>0.07</v>
      </c>
      <c r="S194" s="320">
        <f>IFERROR(__xludf.DUMMYFUNCTION("""COMPUTED_VALUE"""),0.43)</f>
        <v>0.43</v>
      </c>
      <c r="T194" s="320">
        <f>IFERROR(__xludf.DUMMYFUNCTION("""COMPUTED_VALUE"""),22.85)</f>
        <v>22.85</v>
      </c>
      <c r="U194" s="320">
        <f>IFERROR(__xludf.DUMMYFUNCTION("""COMPUTED_VALUE"""),1.67)</f>
        <v>1.67</v>
      </c>
      <c r="V194" s="320">
        <f>IFERROR(__xludf.DUMMYFUNCTION("""COMPUTED_VALUE"""),0.5614)</f>
        <v>0.5614</v>
      </c>
      <c r="W194" s="320">
        <f>IFERROR(__xludf.DUMMYFUNCTION("""COMPUTED_VALUE"""),1.83)</f>
        <v>1.83</v>
      </c>
      <c r="X194" s="320">
        <f>IFERROR(__xludf.DUMMYFUNCTION("""COMPUTED_VALUE"""),141.0)</f>
        <v>141</v>
      </c>
      <c r="Y194" s="320">
        <f>IFERROR(__xludf.DUMMYFUNCTION("""COMPUTED_VALUE"""),1039.0)</f>
        <v>1039</v>
      </c>
      <c r="Z194" s="320">
        <f>IFERROR(__xludf.DUMMYFUNCTION("""COMPUTED_VALUE"""),6965.0)</f>
        <v>6965</v>
      </c>
      <c r="AA194" s="320">
        <f>IFERROR(__xludf.DUMMYFUNCTION("""COMPUTED_VALUE"""),49.7476)</f>
        <v>49.7476</v>
      </c>
      <c r="AB194" s="320">
        <f>IFERROR(__xludf.DUMMYFUNCTION("""COMPUTED_VALUE"""),0.5107)</f>
        <v>0.5107</v>
      </c>
      <c r="AC194" s="106"/>
      <c r="AD194" s="106"/>
      <c r="AE194" s="106"/>
      <c r="AF194" s="106"/>
      <c r="AG194" s="106"/>
      <c r="AH194" s="320">
        <f>IFERROR(__xludf.DUMMYFUNCTION("""COMPUTED_VALUE"""),0.0)</f>
        <v>0</v>
      </c>
      <c r="AI194" s="320">
        <f>IFERROR(__xludf.DUMMYFUNCTION("""COMPUTED_VALUE"""),0.0)</f>
        <v>0</v>
      </c>
      <c r="AJ194" s="320">
        <f>IFERROR(__xludf.DUMMYFUNCTION("""COMPUTED_VALUE"""),0.0)</f>
        <v>0</v>
      </c>
      <c r="AK194" s="320">
        <f>IFERROR(__xludf.DUMMYFUNCTION("""COMPUTED_VALUE"""),0.2835)</f>
        <v>0.2835</v>
      </c>
      <c r="AL194" s="320">
        <f>IFERROR(__xludf.DUMMYFUNCTION("""COMPUTED_VALUE"""),17.21)</f>
        <v>17.21</v>
      </c>
      <c r="AM194" s="320">
        <f>IFERROR(__xludf.DUMMYFUNCTION("""COMPUTED_VALUE"""),6.0)</f>
        <v>6</v>
      </c>
      <c r="AN194" s="331"/>
      <c r="AO194" s="331"/>
    </row>
    <row r="195" ht="15.75" customHeight="1">
      <c r="A195" s="330">
        <f>IFERROR(__xludf.DUMMYFUNCTION("""COMPUTED_VALUE"""),46082.0)</f>
        <v>46082</v>
      </c>
      <c r="B195" s="319" t="str">
        <f>IFERROR(__xludf.DUMMYFUNCTION("""COMPUTED_VALUE"""),"B. 1-9")</f>
        <v>B. 1-9</v>
      </c>
      <c r="C195" s="320">
        <f>IFERROR(__xludf.DUMMYFUNCTION("""COMPUTED_VALUE"""),33144.0)</f>
        <v>33144</v>
      </c>
      <c r="D195" s="320">
        <f>IFERROR(__xludf.DUMMYFUNCTION("""COMPUTED_VALUE"""),43.74)</f>
        <v>43.74</v>
      </c>
      <c r="E195" s="320">
        <f>IFERROR(__xludf.DUMMYFUNCTION("""COMPUTED_VALUE"""),8751.61)</f>
        <v>8751.61</v>
      </c>
      <c r="F195" s="320">
        <f>IFERROR(__xludf.DUMMYFUNCTION("""COMPUTED_VALUE"""),0.264)</f>
        <v>0.264</v>
      </c>
      <c r="G195" s="320">
        <f>IFERROR(__xludf.DUMMYFUNCTION("""COMPUTED_VALUE"""),7.28)</f>
        <v>7.28</v>
      </c>
      <c r="H195" s="320">
        <f>IFERROR(__xludf.DUMMYFUNCTION("""COMPUTED_VALUE"""),3.6254)</f>
        <v>3.6254</v>
      </c>
      <c r="I195" s="320">
        <f>IFERROR(__xludf.DUMMYFUNCTION("""COMPUTED_VALUE"""),35.91)</f>
        <v>35.91</v>
      </c>
      <c r="J195" s="320">
        <f>IFERROR(__xludf.DUMMYFUNCTION("""COMPUTED_VALUE"""),19.74)</f>
        <v>19.74</v>
      </c>
      <c r="K195" s="320">
        <f>IFERROR(__xludf.DUMMYFUNCTION("""COMPUTED_VALUE"""),5.44)</f>
        <v>5.44</v>
      </c>
      <c r="L195" s="320">
        <f>IFERROR(__xludf.DUMMYFUNCTION("""COMPUTED_VALUE"""),0.2753)</f>
        <v>0.2753</v>
      </c>
      <c r="M195" s="320">
        <f>IFERROR(__xludf.DUMMYFUNCTION("""COMPUTED_VALUE"""),0.7866)</f>
        <v>0.7866</v>
      </c>
      <c r="N195" s="320">
        <f>IFERROR(__xludf.DUMMYFUNCTION("""COMPUTED_VALUE"""),0.5322)</f>
        <v>0.5322</v>
      </c>
      <c r="O195" s="320">
        <f>IFERROR(__xludf.DUMMYFUNCTION("""COMPUTED_VALUE"""),3.6317)</f>
        <v>3.6317</v>
      </c>
      <c r="P195" s="320">
        <f>IFERROR(__xludf.DUMMYFUNCTION("""COMPUTED_VALUE"""),68.18)</f>
        <v>68.18</v>
      </c>
      <c r="Q195" s="320">
        <f>IFERROR(__xludf.DUMMYFUNCTION("""COMPUTED_VALUE"""),57.0)</f>
        <v>57</v>
      </c>
      <c r="R195" s="320">
        <f>IFERROR(__xludf.DUMMYFUNCTION("""COMPUTED_VALUE"""),11.18)</f>
        <v>11.18</v>
      </c>
      <c r="S195" s="320">
        <f>IFERROR(__xludf.DUMMYFUNCTION("""COMPUTED_VALUE"""),18.75)</f>
        <v>18.75</v>
      </c>
      <c r="T195" s="320">
        <f>IFERROR(__xludf.DUMMYFUNCTION("""COMPUTED_VALUE"""),49.43)</f>
        <v>49.43</v>
      </c>
      <c r="U195" s="320">
        <f>IFERROR(__xludf.DUMMYFUNCTION("""COMPUTED_VALUE"""),76.34)</f>
        <v>76.34</v>
      </c>
      <c r="V195" s="320">
        <f>IFERROR(__xludf.DUMMYFUNCTION("""COMPUTED_VALUE"""),3.8668)</f>
        <v>3.8668</v>
      </c>
      <c r="W195" s="320">
        <f>IFERROR(__xludf.DUMMYFUNCTION("""COMPUTED_VALUE"""),27.5)</f>
        <v>27.5</v>
      </c>
      <c r="X195" s="320">
        <f>IFERROR(__xludf.DUMMYFUNCTION("""COMPUTED_VALUE"""),84.0)</f>
        <v>84</v>
      </c>
      <c r="Y195" s="320">
        <f>IFERROR(__xludf.DUMMYFUNCTION("""COMPUTED_VALUE"""),190.0)</f>
        <v>190</v>
      </c>
      <c r="Z195" s="320">
        <f>IFERROR(__xludf.DUMMYFUNCTION("""COMPUTED_VALUE"""),814.0)</f>
        <v>814</v>
      </c>
      <c r="AA195" s="320">
        <f>IFERROR(__xludf.DUMMYFUNCTION("""COMPUTED_VALUE"""),49.3519)</f>
        <v>49.3519</v>
      </c>
      <c r="AB195" s="320">
        <f>IFERROR(__xludf.DUMMYFUNCTION("""COMPUTED_VALUE"""),0.4319)</f>
        <v>0.4319</v>
      </c>
      <c r="AC195" s="320">
        <f>IFERROR(__xludf.DUMMYFUNCTION("""COMPUTED_VALUE"""),3.48)</f>
        <v>3.48</v>
      </c>
      <c r="AD195" s="320">
        <f>IFERROR(__xludf.DUMMYFUNCTION("""COMPUTED_VALUE"""),1.0)</f>
        <v>1</v>
      </c>
      <c r="AE195" s="320">
        <f>IFERROR(__xludf.DUMMYFUNCTION("""COMPUTED_VALUE"""),2.0)</f>
        <v>2</v>
      </c>
      <c r="AF195" s="320">
        <f>IFERROR(__xludf.DUMMYFUNCTION("""COMPUTED_VALUE"""),4.0)</f>
        <v>4</v>
      </c>
      <c r="AG195" s="320">
        <f>IFERROR(__xludf.DUMMYFUNCTION("""COMPUTED_VALUE"""),8.0)</f>
        <v>8</v>
      </c>
      <c r="AH195" s="320">
        <f>IFERROR(__xludf.DUMMYFUNCTION("""COMPUTED_VALUE"""),65.88)</f>
        <v>65.88</v>
      </c>
      <c r="AI195" s="320">
        <f>IFERROR(__xludf.DUMMYFUNCTION("""COMPUTED_VALUE"""),23.82)</f>
        <v>23.82</v>
      </c>
      <c r="AJ195" s="320">
        <f>IFERROR(__xludf.DUMMYFUNCTION("""COMPUTED_VALUE"""),6.82)</f>
        <v>6.82</v>
      </c>
      <c r="AK195" s="320">
        <f>IFERROR(__xludf.DUMMYFUNCTION("""COMPUTED_VALUE"""),0.2289)</f>
        <v>0.2289</v>
      </c>
      <c r="AL195" s="320">
        <f>IFERROR(__xludf.DUMMYFUNCTION("""COMPUTED_VALUE"""),21.5)</f>
        <v>21.5</v>
      </c>
      <c r="AM195" s="320">
        <f>IFERROR(__xludf.DUMMYFUNCTION("""COMPUTED_VALUE"""),35.51)</f>
        <v>35.51</v>
      </c>
      <c r="AN195" s="320">
        <f>IFERROR(__xludf.DUMMYFUNCTION("""COMPUTED_VALUE"""),68.27)</f>
        <v>68.27</v>
      </c>
      <c r="AO195" s="320">
        <f>IFERROR(__xludf.DUMMYFUNCTION("""COMPUTED_VALUE"""),14.68)</f>
        <v>14.68</v>
      </c>
    </row>
    <row r="196" ht="15.75" customHeight="1">
      <c r="A196" s="330">
        <f>IFERROR(__xludf.DUMMYFUNCTION("""COMPUTED_VALUE"""),46082.0)</f>
        <v>46082</v>
      </c>
      <c r="B196" s="319" t="str">
        <f>IFERROR(__xludf.DUMMYFUNCTION("""COMPUTED_VALUE"""),"C. 10-19")</f>
        <v>C. 10-19</v>
      </c>
      <c r="C196" s="320">
        <f>IFERROR(__xludf.DUMMYFUNCTION("""COMPUTED_VALUE"""),15104.0)</f>
        <v>15104</v>
      </c>
      <c r="D196" s="320">
        <f>IFERROR(__xludf.DUMMYFUNCTION("""COMPUTED_VALUE"""),19.93)</f>
        <v>19.93</v>
      </c>
      <c r="E196" s="320">
        <f>IFERROR(__xludf.DUMMYFUNCTION("""COMPUTED_VALUE"""),18759.48)</f>
        <v>18759.48</v>
      </c>
      <c r="F196" s="320">
        <f>IFERROR(__xludf.DUMMYFUNCTION("""COMPUTED_VALUE"""),1.242)</f>
        <v>1.242</v>
      </c>
      <c r="G196" s="320">
        <f>IFERROR(__xludf.DUMMYFUNCTION("""COMPUTED_VALUE"""),24.2)</f>
        <v>24.2</v>
      </c>
      <c r="H196" s="320">
        <f>IFERROR(__xludf.DUMMYFUNCTION("""COMPUTED_VALUE"""),5.1326)</f>
        <v>5.1326</v>
      </c>
      <c r="I196" s="320">
        <f>IFERROR(__xludf.DUMMYFUNCTION("""COMPUTED_VALUE"""),63.38)</f>
        <v>63.38</v>
      </c>
      <c r="J196" s="320">
        <f>IFERROR(__xludf.DUMMYFUNCTION("""COMPUTED_VALUE"""),36.95)</f>
        <v>36.95</v>
      </c>
      <c r="K196" s="320">
        <f>IFERROR(__xludf.DUMMYFUNCTION("""COMPUTED_VALUE"""),14.21)</f>
        <v>14.21</v>
      </c>
      <c r="L196" s="320">
        <f>IFERROR(__xludf.DUMMYFUNCTION("""COMPUTED_VALUE"""),0.3846)</f>
        <v>0.3846</v>
      </c>
      <c r="M196" s="320">
        <f>IFERROR(__xludf.DUMMYFUNCTION("""COMPUTED_VALUE"""),0.6745)</f>
        <v>0.6745</v>
      </c>
      <c r="N196" s="320">
        <f>IFERROR(__xludf.DUMMYFUNCTION("""COMPUTED_VALUE"""),0.3855)</f>
        <v>0.3855</v>
      </c>
      <c r="O196" s="320">
        <f>IFERROR(__xludf.DUMMYFUNCTION("""COMPUTED_VALUE"""),2.6003)</f>
        <v>2.6003</v>
      </c>
      <c r="P196" s="320">
        <f>IFERROR(__xludf.DUMMYFUNCTION("""COMPUTED_VALUE"""),167.93)</f>
        <v>167.93</v>
      </c>
      <c r="Q196" s="320">
        <f>IFERROR(__xludf.DUMMYFUNCTION("""COMPUTED_VALUE"""),138.27)</f>
        <v>138.27</v>
      </c>
      <c r="R196" s="320">
        <f>IFERROR(__xludf.DUMMYFUNCTION("""COMPUTED_VALUE"""),29.66)</f>
        <v>29.66</v>
      </c>
      <c r="S196" s="320">
        <f>IFERROR(__xludf.DUMMYFUNCTION("""COMPUTED_VALUE"""),81.99)</f>
        <v>81.99</v>
      </c>
      <c r="T196" s="320">
        <f>IFERROR(__xludf.DUMMYFUNCTION("""COMPUTED_VALUE"""),85.94)</f>
        <v>85.94</v>
      </c>
      <c r="U196" s="320">
        <f>IFERROR(__xludf.DUMMYFUNCTION("""COMPUTED_VALUE"""),184.65)</f>
        <v>184.65</v>
      </c>
      <c r="V196" s="320">
        <f>IFERROR(__xludf.DUMMYFUNCTION("""COMPUTED_VALUE"""),4.9968)</f>
        <v>4.9968</v>
      </c>
      <c r="W196" s="320">
        <f>IFERROR(__xludf.DUMMYFUNCTION("""COMPUTED_VALUE"""),48.82)</f>
        <v>48.82</v>
      </c>
      <c r="X196" s="320">
        <f>IFERROR(__xludf.DUMMYFUNCTION("""COMPUTED_VALUE"""),80.0)</f>
        <v>80</v>
      </c>
      <c r="Y196" s="320">
        <f>IFERROR(__xludf.DUMMYFUNCTION("""COMPUTED_VALUE"""),172.0)</f>
        <v>172</v>
      </c>
      <c r="Z196" s="320">
        <f>IFERROR(__xludf.DUMMYFUNCTION("""COMPUTED_VALUE"""),549.0)</f>
        <v>549</v>
      </c>
      <c r="AA196" s="320">
        <f>IFERROR(__xludf.DUMMYFUNCTION("""COMPUTED_VALUE"""),52.3655)</f>
        <v>52.3655</v>
      </c>
      <c r="AB196" s="320">
        <f>IFERROR(__xludf.DUMMYFUNCTION("""COMPUTED_VALUE"""),0.5432)</f>
        <v>0.5432</v>
      </c>
      <c r="AC196" s="320">
        <f>IFERROR(__xludf.DUMMYFUNCTION("""COMPUTED_VALUE"""),8.97)</f>
        <v>8.97</v>
      </c>
      <c r="AD196" s="320">
        <f>IFERROR(__xludf.DUMMYFUNCTION("""COMPUTED_VALUE"""),3.0)</f>
        <v>3</v>
      </c>
      <c r="AE196" s="320">
        <f>IFERROR(__xludf.DUMMYFUNCTION("""COMPUTED_VALUE"""),6.0)</f>
        <v>6</v>
      </c>
      <c r="AF196" s="320">
        <f>IFERROR(__xludf.DUMMYFUNCTION("""COMPUTED_VALUE"""),12.0)</f>
        <v>12</v>
      </c>
      <c r="AG196" s="320">
        <f>IFERROR(__xludf.DUMMYFUNCTION("""COMPUTED_VALUE"""),20.0)</f>
        <v>20</v>
      </c>
      <c r="AH196" s="320">
        <f>IFERROR(__xludf.DUMMYFUNCTION("""COMPUTED_VALUE"""),54.43)</f>
        <v>54.43</v>
      </c>
      <c r="AI196" s="320">
        <f>IFERROR(__xludf.DUMMYFUNCTION("""COMPUTED_VALUE"""),24.29)</f>
        <v>24.29</v>
      </c>
      <c r="AJ196" s="320">
        <f>IFERROR(__xludf.DUMMYFUNCTION("""COMPUTED_VALUE"""),5.18)</f>
        <v>5.18</v>
      </c>
      <c r="AK196" s="320">
        <f>IFERROR(__xludf.DUMMYFUNCTION("""COMPUTED_VALUE"""),0.2056)</f>
        <v>0.2056</v>
      </c>
      <c r="AL196" s="320">
        <f>IFERROR(__xludf.DUMMYFUNCTION("""COMPUTED_VALUE"""),21.65)</f>
        <v>21.65</v>
      </c>
      <c r="AM196" s="320">
        <f>IFERROR(__xludf.DUMMYFUNCTION("""COMPUTED_VALUE"""),116.62)</f>
        <v>116.62</v>
      </c>
      <c r="AN196" s="320">
        <f>IFERROR(__xludf.DUMMYFUNCTION("""COMPUTED_VALUE"""),74.09)</f>
        <v>74.09</v>
      </c>
      <c r="AO196" s="320">
        <f>IFERROR(__xludf.DUMMYFUNCTION("""COMPUTED_VALUE"""),16.04)</f>
        <v>16.04</v>
      </c>
    </row>
    <row r="197" ht="15.75" customHeight="1">
      <c r="A197" s="330">
        <f>IFERROR(__xludf.DUMMYFUNCTION("""COMPUTED_VALUE"""),46082.0)</f>
        <v>46082</v>
      </c>
      <c r="B197" s="319" t="str">
        <f>IFERROR(__xludf.DUMMYFUNCTION("""COMPUTED_VALUE"""),"D. 20-39")</f>
        <v>D. 20-39</v>
      </c>
      <c r="C197" s="320">
        <f>IFERROR(__xludf.DUMMYFUNCTION("""COMPUTED_VALUE"""),7760.0)</f>
        <v>7760</v>
      </c>
      <c r="D197" s="320">
        <f>IFERROR(__xludf.DUMMYFUNCTION("""COMPUTED_VALUE"""),10.24)</f>
        <v>10.24</v>
      </c>
      <c r="E197" s="320">
        <f>IFERROR(__xludf.DUMMYFUNCTION("""COMPUTED_VALUE"""),25368.58)</f>
        <v>25368.58</v>
      </c>
      <c r="F197" s="320">
        <f>IFERROR(__xludf.DUMMYFUNCTION("""COMPUTED_VALUE"""),3.2691)</f>
        <v>3.2691</v>
      </c>
      <c r="G197" s="320">
        <f>IFERROR(__xludf.DUMMYFUNCTION("""COMPUTED_VALUE"""),36.79)</f>
        <v>36.79</v>
      </c>
      <c r="H197" s="320">
        <f>IFERROR(__xludf.DUMMYFUNCTION("""COMPUTED_VALUE"""),8.8857)</f>
        <v>8.8857</v>
      </c>
      <c r="I197" s="320">
        <f>IFERROR(__xludf.DUMMYFUNCTION("""COMPUTED_VALUE"""),87.01)</f>
        <v>87.01</v>
      </c>
      <c r="J197" s="320">
        <f>IFERROR(__xludf.DUMMYFUNCTION("""COMPUTED_VALUE"""),51.78)</f>
        <v>51.78</v>
      </c>
      <c r="K197" s="320">
        <f>IFERROR(__xludf.DUMMYFUNCTION("""COMPUTED_VALUE"""),27.67)</f>
        <v>27.67</v>
      </c>
      <c r="L197" s="320">
        <f>IFERROR(__xludf.DUMMYFUNCTION("""COMPUTED_VALUE"""),0.5343)</f>
        <v>0.5343</v>
      </c>
      <c r="M197" s="320">
        <f>IFERROR(__xludf.DUMMYFUNCTION("""COMPUTED_VALUE"""),0.5416)</f>
        <v>0.5416</v>
      </c>
      <c r="N197" s="320">
        <f>IFERROR(__xludf.DUMMYFUNCTION("""COMPUTED_VALUE"""),0.296)</f>
        <v>0.296</v>
      </c>
      <c r="O197" s="320">
        <f>IFERROR(__xludf.DUMMYFUNCTION("""COMPUTED_VALUE"""),1.8716)</f>
        <v>1.8716</v>
      </c>
      <c r="P197" s="320">
        <f>IFERROR(__xludf.DUMMYFUNCTION("""COMPUTED_VALUE"""),346.91)</f>
        <v>346.91</v>
      </c>
      <c r="Q197" s="320">
        <f>IFERROR(__xludf.DUMMYFUNCTION("""COMPUTED_VALUE"""),288.98)</f>
        <v>288.98</v>
      </c>
      <c r="R197" s="320">
        <f>IFERROR(__xludf.DUMMYFUNCTION("""COMPUTED_VALUE"""),57.93)</f>
        <v>57.93</v>
      </c>
      <c r="S197" s="320">
        <f>IFERROR(__xludf.DUMMYFUNCTION("""COMPUTED_VALUE"""),206.38)</f>
        <v>206.38</v>
      </c>
      <c r="T197" s="320">
        <f>IFERROR(__xludf.DUMMYFUNCTION("""COMPUTED_VALUE"""),140.53)</f>
        <v>140.53</v>
      </c>
      <c r="U197" s="320">
        <f>IFERROR(__xludf.DUMMYFUNCTION("""COMPUTED_VALUE"""),374.92)</f>
        <v>374.92</v>
      </c>
      <c r="V197" s="320">
        <f>IFERROR(__xludf.DUMMYFUNCTION("""COMPUTED_VALUE"""),7.2409)</f>
        <v>7.2409</v>
      </c>
      <c r="W197" s="320">
        <f>IFERROR(__xludf.DUMMYFUNCTION("""COMPUTED_VALUE"""),59.49)</f>
        <v>59.49</v>
      </c>
      <c r="X197" s="320">
        <f>IFERROR(__xludf.DUMMYFUNCTION("""COMPUTED_VALUE"""),84.0)</f>
        <v>84</v>
      </c>
      <c r="Y197" s="320">
        <f>IFERROR(__xludf.DUMMYFUNCTION("""COMPUTED_VALUE"""),210.0)</f>
        <v>210</v>
      </c>
      <c r="Z197" s="320">
        <f>IFERROR(__xludf.DUMMYFUNCTION("""COMPUTED_VALUE"""),708.0)</f>
        <v>708</v>
      </c>
      <c r="AA197" s="320">
        <f>IFERROR(__xludf.DUMMYFUNCTION("""COMPUTED_VALUE"""),54.8665)</f>
        <v>54.8665</v>
      </c>
      <c r="AB197" s="320">
        <f>IFERROR(__xludf.DUMMYFUNCTION("""COMPUTED_VALUE"""),0.6662)</f>
        <v>0.6662</v>
      </c>
      <c r="AC197" s="320">
        <f>IFERROR(__xludf.DUMMYFUNCTION("""COMPUTED_VALUE"""),18.12)</f>
        <v>18.12</v>
      </c>
      <c r="AD197" s="320">
        <f>IFERROR(__xludf.DUMMYFUNCTION("""COMPUTED_VALUE"""),6.0)</f>
        <v>6</v>
      </c>
      <c r="AE197" s="320">
        <f>IFERROR(__xludf.DUMMYFUNCTION("""COMPUTED_VALUE"""),13.0)</f>
        <v>13</v>
      </c>
      <c r="AF197" s="320">
        <f>IFERROR(__xludf.DUMMYFUNCTION("""COMPUTED_VALUE"""),25.0)</f>
        <v>25</v>
      </c>
      <c r="AG197" s="320">
        <f>IFERROR(__xludf.DUMMYFUNCTION("""COMPUTED_VALUE"""),39.0)</f>
        <v>39</v>
      </c>
      <c r="AH197" s="320">
        <f>IFERROR(__xludf.DUMMYFUNCTION("""COMPUTED_VALUE"""),55.85)</f>
        <v>55.85</v>
      </c>
      <c r="AI197" s="320">
        <f>IFERROR(__xludf.DUMMYFUNCTION("""COMPUTED_VALUE"""),24.83)</f>
        <v>24.83</v>
      </c>
      <c r="AJ197" s="320">
        <f>IFERROR(__xludf.DUMMYFUNCTION("""COMPUTED_VALUE"""),8.81)</f>
        <v>8.81</v>
      </c>
      <c r="AK197" s="320">
        <f>IFERROR(__xludf.DUMMYFUNCTION("""COMPUTED_VALUE"""),0.225)</f>
        <v>0.225</v>
      </c>
      <c r="AL197" s="320">
        <f>IFERROR(__xludf.DUMMYFUNCTION("""COMPUTED_VALUE"""),20.14)</f>
        <v>20.14</v>
      </c>
      <c r="AM197" s="320">
        <f>IFERROR(__xludf.DUMMYFUNCTION("""COMPUTED_VALUE"""),268.84)</f>
        <v>268.84</v>
      </c>
      <c r="AN197" s="320">
        <f>IFERROR(__xludf.DUMMYFUNCTION("""COMPUTED_VALUE"""),72.98)</f>
        <v>72.98</v>
      </c>
      <c r="AO197" s="320">
        <f>IFERROR(__xludf.DUMMYFUNCTION("""COMPUTED_VALUE"""),14.7)</f>
        <v>14.7</v>
      </c>
    </row>
    <row r="198" ht="15.75" customHeight="1">
      <c r="A198" s="330">
        <f>IFERROR(__xludf.DUMMYFUNCTION("""COMPUTED_VALUE"""),46082.0)</f>
        <v>46082</v>
      </c>
      <c r="B198" s="319" t="str">
        <f>IFERROR(__xludf.DUMMYFUNCTION("""COMPUTED_VALUE"""),"E. 40-99")</f>
        <v>E. 40-99</v>
      </c>
      <c r="C198" s="320">
        <f>IFERROR(__xludf.DUMMYFUNCTION("""COMPUTED_VALUE"""),3101.0)</f>
        <v>3101</v>
      </c>
      <c r="D198" s="320">
        <f>IFERROR(__xludf.DUMMYFUNCTION("""COMPUTED_VALUE"""),4.09)</f>
        <v>4.09</v>
      </c>
      <c r="E198" s="320">
        <f>IFERROR(__xludf.DUMMYFUNCTION("""COMPUTED_VALUE"""),21848.27)</f>
        <v>21848.27</v>
      </c>
      <c r="F198" s="320">
        <f>IFERROR(__xludf.DUMMYFUNCTION("""COMPUTED_VALUE"""),7.0456)</f>
        <v>7.0456</v>
      </c>
      <c r="G198" s="320">
        <f>IFERROR(__xludf.DUMMYFUNCTION("""COMPUTED_VALUE"""),46.21)</f>
        <v>46.21</v>
      </c>
      <c r="H198" s="320">
        <f>IFERROR(__xludf.DUMMYFUNCTION("""COMPUTED_VALUE"""),15.2465)</f>
        <v>15.2465</v>
      </c>
      <c r="I198" s="320">
        <f>IFERROR(__xludf.DUMMYFUNCTION("""COMPUTED_VALUE"""),131.67)</f>
        <v>131.67</v>
      </c>
      <c r="J198" s="320">
        <f>IFERROR(__xludf.DUMMYFUNCTION("""COMPUTED_VALUE"""),81.85)</f>
        <v>81.85</v>
      </c>
      <c r="K198" s="320">
        <f>IFERROR(__xludf.DUMMYFUNCTION("""COMPUTED_VALUE"""),54.99)</f>
        <v>54.99</v>
      </c>
      <c r="L198" s="320">
        <f>IFERROR(__xludf.DUMMYFUNCTION("""COMPUTED_VALUE"""),0.6719)</f>
        <v>0.6719</v>
      </c>
      <c r="M198" s="320">
        <f>IFERROR(__xludf.DUMMYFUNCTION("""COMPUTED_VALUE"""),0.4167)</f>
        <v>0.4167</v>
      </c>
      <c r="N198" s="320">
        <f>IFERROR(__xludf.DUMMYFUNCTION("""COMPUTED_VALUE"""),0.2348)</f>
        <v>0.2348</v>
      </c>
      <c r="O198" s="320">
        <f>IFERROR(__xludf.DUMMYFUNCTION("""COMPUTED_VALUE"""),1.4884)</f>
        <v>1.4884</v>
      </c>
      <c r="P198" s="320">
        <f>IFERROR(__xludf.DUMMYFUNCTION("""COMPUTED_VALUE"""),683.43)</f>
        <v>683.43</v>
      </c>
      <c r="Q198" s="320">
        <f>IFERROR(__xludf.DUMMYFUNCTION("""COMPUTED_VALUE"""),567.79)</f>
        <v>567.79</v>
      </c>
      <c r="R198" s="320">
        <f>IFERROR(__xludf.DUMMYFUNCTION("""COMPUTED_VALUE"""),115.64)</f>
        <v>115.64</v>
      </c>
      <c r="S198" s="320">
        <f>IFERROR(__xludf.DUMMYFUNCTION("""COMPUTED_VALUE"""),434.39)</f>
        <v>434.39</v>
      </c>
      <c r="T198" s="320">
        <f>IFERROR(__xludf.DUMMYFUNCTION("""COMPUTED_VALUE"""),249.04)</f>
        <v>249.04</v>
      </c>
      <c r="U198" s="320">
        <f>IFERROR(__xludf.DUMMYFUNCTION("""COMPUTED_VALUE"""),722.93)</f>
        <v>722.93</v>
      </c>
      <c r="V198" s="320">
        <f>IFERROR(__xludf.DUMMYFUNCTION("""COMPUTED_VALUE"""),8.8326)</f>
        <v>8.8326</v>
      </c>
      <c r="W198" s="320">
        <f>IFERROR(__xludf.DUMMYFUNCTION("""COMPUTED_VALUE"""),63.56)</f>
        <v>63.56</v>
      </c>
      <c r="X198" s="320">
        <f>IFERROR(__xludf.DUMMYFUNCTION("""COMPUTED_VALUE"""),98.0)</f>
        <v>98</v>
      </c>
      <c r="Y198" s="320">
        <f>IFERROR(__xludf.DUMMYFUNCTION("""COMPUTED_VALUE"""),315.0)</f>
        <v>315</v>
      </c>
      <c r="Z198" s="320">
        <f>IFERROR(__xludf.DUMMYFUNCTION("""COMPUTED_VALUE"""),960.0)</f>
        <v>960</v>
      </c>
      <c r="AA198" s="320">
        <f>IFERROR(__xludf.DUMMYFUNCTION("""COMPUTED_VALUE"""),58.1471)</f>
        <v>58.1471</v>
      </c>
      <c r="AB198" s="320">
        <f>IFERROR(__xludf.DUMMYFUNCTION("""COMPUTED_VALUE"""),0.7688)</f>
        <v>0.7688</v>
      </c>
      <c r="AC198" s="320">
        <f>IFERROR(__xludf.DUMMYFUNCTION("""COMPUTED_VALUE"""),36.45)</f>
        <v>36.45</v>
      </c>
      <c r="AD198" s="320">
        <f>IFERROR(__xludf.DUMMYFUNCTION("""COMPUTED_VALUE"""),12.0)</f>
        <v>12</v>
      </c>
      <c r="AE198" s="320">
        <f>IFERROR(__xludf.DUMMYFUNCTION("""COMPUTED_VALUE"""),26.0)</f>
        <v>26</v>
      </c>
      <c r="AF198" s="320">
        <f>IFERROR(__xludf.DUMMYFUNCTION("""COMPUTED_VALUE"""),51.0)</f>
        <v>51</v>
      </c>
      <c r="AG198" s="320">
        <f>IFERROR(__xludf.DUMMYFUNCTION("""COMPUTED_VALUE"""),81.0)</f>
        <v>81</v>
      </c>
      <c r="AH198" s="320">
        <f>IFERROR(__xludf.DUMMYFUNCTION("""COMPUTED_VALUE"""),48.31)</f>
        <v>48.31</v>
      </c>
      <c r="AI198" s="320">
        <f>IFERROR(__xludf.DUMMYFUNCTION("""COMPUTED_VALUE"""),19.51)</f>
        <v>19.51</v>
      </c>
      <c r="AJ198" s="320">
        <f>IFERROR(__xludf.DUMMYFUNCTION("""COMPUTED_VALUE"""),5.68)</f>
        <v>5.68</v>
      </c>
      <c r="AK198" s="320">
        <f>IFERROR(__xludf.DUMMYFUNCTION("""COMPUTED_VALUE"""),0.2038)</f>
        <v>0.2038</v>
      </c>
      <c r="AL198" s="320">
        <f>IFERROR(__xludf.DUMMYFUNCTION("""COMPUTED_VALUE"""),19.64)</f>
        <v>19.64</v>
      </c>
      <c r="AM198" s="320">
        <f>IFERROR(__xludf.DUMMYFUNCTION("""COMPUTED_VALUE"""),548.15)</f>
        <v>548.15</v>
      </c>
      <c r="AN198" s="320">
        <f>IFERROR(__xludf.DUMMYFUNCTION("""COMPUTED_VALUE"""),73.65)</f>
        <v>73.65</v>
      </c>
      <c r="AO198" s="320">
        <f>IFERROR(__xludf.DUMMYFUNCTION("""COMPUTED_VALUE"""),14.46)</f>
        <v>14.46</v>
      </c>
    </row>
    <row r="199" ht="15.75" customHeight="1">
      <c r="A199" s="330">
        <f>IFERROR(__xludf.DUMMYFUNCTION("""COMPUTED_VALUE"""),46082.0)</f>
        <v>46082</v>
      </c>
      <c r="B199" s="319" t="str">
        <f>IFERROR(__xludf.DUMMYFUNCTION("""COMPUTED_VALUE"""),"F. 100+")</f>
        <v>F. 100+</v>
      </c>
      <c r="C199" s="320">
        <f>IFERROR(__xludf.DUMMYFUNCTION("""COMPUTED_VALUE"""),351.0)</f>
        <v>351</v>
      </c>
      <c r="D199" s="320">
        <f>IFERROR(__xludf.DUMMYFUNCTION("""COMPUTED_VALUE"""),0.46)</f>
        <v>0.46</v>
      </c>
      <c r="E199" s="320">
        <f>IFERROR(__xludf.DUMMYFUNCTION("""COMPUTED_VALUE"""),4521.92)</f>
        <v>4521.92</v>
      </c>
      <c r="F199" s="320">
        <f>IFERROR(__xludf.DUMMYFUNCTION("""COMPUTED_VALUE"""),12.883)</f>
        <v>12.883</v>
      </c>
      <c r="G199" s="320">
        <f>IFERROR(__xludf.DUMMYFUNCTION("""COMPUTED_VALUE"""),47.29)</f>
        <v>47.29</v>
      </c>
      <c r="H199" s="320">
        <f>IFERROR(__xludf.DUMMYFUNCTION("""COMPUTED_VALUE"""),27.2405)</f>
        <v>27.2405</v>
      </c>
      <c r="I199" s="320">
        <f>IFERROR(__xludf.DUMMYFUNCTION("""COMPUTED_VALUE"""),232.78)</f>
        <v>232.78</v>
      </c>
      <c r="J199" s="320">
        <f>IFERROR(__xludf.DUMMYFUNCTION("""COMPUTED_VALUE"""),156.13)</f>
        <v>156.13</v>
      </c>
      <c r="K199" s="320">
        <f>IFERROR(__xludf.DUMMYFUNCTION("""COMPUTED_VALUE"""),129.4)</f>
        <v>129.4</v>
      </c>
      <c r="L199" s="320">
        <f>IFERROR(__xludf.DUMMYFUNCTION("""COMPUTED_VALUE"""),0.8288)</f>
        <v>0.8288</v>
      </c>
      <c r="M199" s="320">
        <f>IFERROR(__xludf.DUMMYFUNCTION("""COMPUTED_VALUE"""),0.2635)</f>
        <v>0.2635</v>
      </c>
      <c r="N199" s="320">
        <f>IFERROR(__xludf.DUMMYFUNCTION("""COMPUTED_VALUE"""),0.1668)</f>
        <v>0.1668</v>
      </c>
      <c r="O199" s="320">
        <f>IFERROR(__xludf.DUMMYFUNCTION("""COMPUTED_VALUE"""),1.2066)</f>
        <v>1.2066</v>
      </c>
      <c r="P199" s="320">
        <f>IFERROR(__xludf.DUMMYFUNCTION("""COMPUTED_VALUE"""),1306.74)</f>
        <v>1306.74</v>
      </c>
      <c r="Q199" s="320">
        <f>IFERROR(__xludf.DUMMYFUNCTION("""COMPUTED_VALUE"""),1035.15)</f>
        <v>1035.15</v>
      </c>
      <c r="R199" s="320">
        <f>IFERROR(__xludf.DUMMYFUNCTION("""COMPUTED_VALUE"""),271.6)</f>
        <v>271.6</v>
      </c>
      <c r="S199" s="320">
        <f>IFERROR(__xludf.DUMMYFUNCTION("""COMPUTED_VALUE"""),763.68)</f>
        <v>763.68</v>
      </c>
      <c r="T199" s="320">
        <f>IFERROR(__xludf.DUMMYFUNCTION("""COMPUTED_VALUE"""),543.07)</f>
        <v>543.07</v>
      </c>
      <c r="U199" s="320">
        <f>IFERROR(__xludf.DUMMYFUNCTION("""COMPUTED_VALUE"""),1430.2)</f>
        <v>1430.2</v>
      </c>
      <c r="V199" s="320">
        <f>IFERROR(__xludf.DUMMYFUNCTION("""COMPUTED_VALUE"""),9.1602)</f>
        <v>9.1602</v>
      </c>
      <c r="W199" s="320">
        <f>IFERROR(__xludf.DUMMYFUNCTION("""COMPUTED_VALUE"""),58.44)</f>
        <v>58.44</v>
      </c>
      <c r="X199" s="320">
        <f>IFERROR(__xludf.DUMMYFUNCTION("""COMPUTED_VALUE"""),207.0)</f>
        <v>207</v>
      </c>
      <c r="Y199" s="320">
        <f>IFERROR(__xludf.DUMMYFUNCTION("""COMPUTED_VALUE"""),774.0)</f>
        <v>774</v>
      </c>
      <c r="Z199" s="320">
        <f>IFERROR(__xludf.DUMMYFUNCTION("""COMPUTED_VALUE"""),2503.0)</f>
        <v>2503</v>
      </c>
      <c r="AA199" s="320">
        <f>IFERROR(__xludf.DUMMYFUNCTION("""COMPUTED_VALUE"""),61.8233)</f>
        <v>61.8233</v>
      </c>
      <c r="AB199" s="320">
        <f>IFERROR(__xludf.DUMMYFUNCTION("""COMPUTED_VALUE"""),0.858)</f>
        <v>0.858</v>
      </c>
      <c r="AC199" s="320">
        <f>IFERROR(__xludf.DUMMYFUNCTION("""COMPUTED_VALUE"""),90.31)</f>
        <v>90.31</v>
      </c>
      <c r="AD199" s="320">
        <f>IFERROR(__xludf.DUMMYFUNCTION("""COMPUTED_VALUE"""),30.0)</f>
        <v>30</v>
      </c>
      <c r="AE199" s="320">
        <f>IFERROR(__xludf.DUMMYFUNCTION("""COMPUTED_VALUE"""),71.0)</f>
        <v>71</v>
      </c>
      <c r="AF199" s="320">
        <f>IFERROR(__xludf.DUMMYFUNCTION("""COMPUTED_VALUE"""),130.0)</f>
        <v>130</v>
      </c>
      <c r="AG199" s="320">
        <f>IFERROR(__xludf.DUMMYFUNCTION("""COMPUTED_VALUE"""),184.0)</f>
        <v>184</v>
      </c>
      <c r="AH199" s="320">
        <f>IFERROR(__xludf.DUMMYFUNCTION("""COMPUTED_VALUE"""),46.72)</f>
        <v>46.72</v>
      </c>
      <c r="AI199" s="320">
        <f>IFERROR(__xludf.DUMMYFUNCTION("""COMPUTED_VALUE"""),11.4)</f>
        <v>11.4</v>
      </c>
      <c r="AJ199" s="320">
        <f>IFERROR(__xludf.DUMMYFUNCTION("""COMPUTED_VALUE"""),3.42)</f>
        <v>3.42</v>
      </c>
      <c r="AK199" s="320">
        <f>IFERROR(__xludf.DUMMYFUNCTION("""COMPUTED_VALUE"""),0.1795)</f>
        <v>0.1795</v>
      </c>
      <c r="AL199" s="320">
        <f>IFERROR(__xludf.DUMMYFUNCTION("""COMPUTED_VALUE"""),18.21)</f>
        <v>18.21</v>
      </c>
      <c r="AM199" s="320">
        <f>IFERROR(__xludf.DUMMYFUNCTION("""COMPUTED_VALUE"""),1016.94)</f>
        <v>1016.94</v>
      </c>
      <c r="AN199" s="320">
        <f>IFERROR(__xludf.DUMMYFUNCTION("""COMPUTED_VALUE"""),65.12)</f>
        <v>65.12</v>
      </c>
      <c r="AO199" s="320">
        <f>IFERROR(__xludf.DUMMYFUNCTION("""COMPUTED_VALUE"""),11.86)</f>
        <v>11.86</v>
      </c>
    </row>
    <row r="200" ht="15.75" customHeight="1">
      <c r="A200" s="330">
        <f>IFERROR(__xludf.DUMMYFUNCTION("""COMPUTED_VALUE"""),46083.0)</f>
        <v>46083</v>
      </c>
      <c r="B200" s="319" t="str">
        <f>IFERROR(__xludf.DUMMYFUNCTION("""COMPUTED_VALUE"""),"A. 0")</f>
        <v>A. 0</v>
      </c>
      <c r="C200" s="320">
        <f>IFERROR(__xludf.DUMMYFUNCTION("""COMPUTED_VALUE"""),15964.0)</f>
        <v>15964</v>
      </c>
      <c r="D200" s="320">
        <f>IFERROR(__xludf.DUMMYFUNCTION("""COMPUTED_VALUE"""),20.27)</f>
        <v>20.27</v>
      </c>
      <c r="E200" s="320">
        <f>IFERROR(__xludf.DUMMYFUNCTION("""COMPUTED_VALUE"""),291.49)</f>
        <v>291.49</v>
      </c>
      <c r="F200" s="320">
        <f>IFERROR(__xludf.DUMMYFUNCTION("""COMPUTED_VALUE"""),0.0183)</f>
        <v>0.0183</v>
      </c>
      <c r="G200" s="320">
        <f>IFERROR(__xludf.DUMMYFUNCTION("""COMPUTED_VALUE"""),0.27)</f>
        <v>0.27</v>
      </c>
      <c r="H200" s="320">
        <f>IFERROR(__xludf.DUMMYFUNCTION("""COMPUTED_VALUE"""),6.7788)</f>
        <v>6.7788</v>
      </c>
      <c r="I200" s="320">
        <f>IFERROR(__xludf.DUMMYFUNCTION("""COMPUTED_VALUE"""),5.85)</f>
        <v>5.85</v>
      </c>
      <c r="J200" s="320">
        <f>IFERROR(__xludf.DUMMYFUNCTION("""COMPUTED_VALUE"""),2.57)</f>
        <v>2.57</v>
      </c>
      <c r="K200" s="320">
        <f>IFERROR(__xludf.DUMMYFUNCTION("""COMPUTED_VALUE"""),0.13)</f>
        <v>0.13</v>
      </c>
      <c r="L200" s="320">
        <f>IFERROR(__xludf.DUMMYFUNCTION("""COMPUTED_VALUE"""),0.0504)</f>
        <v>0.0504</v>
      </c>
      <c r="M200" s="320">
        <f>IFERROR(__xludf.DUMMYFUNCTION("""COMPUTED_VALUE"""),0.9549)</f>
        <v>0.9549</v>
      </c>
      <c r="N200" s="320">
        <f>IFERROR(__xludf.DUMMYFUNCTION("""COMPUTED_VALUE"""),0.6)</f>
        <v>0.6</v>
      </c>
      <c r="O200" s="320">
        <f>IFERROR(__xludf.DUMMYFUNCTION("""COMPUTED_VALUE"""),19.857)</f>
        <v>19.857</v>
      </c>
      <c r="P200" s="320">
        <f>IFERROR(__xludf.DUMMYFUNCTION("""COMPUTED_VALUE"""),37.16)</f>
        <v>37.16</v>
      </c>
      <c r="Q200" s="320">
        <f>IFERROR(__xludf.DUMMYFUNCTION("""COMPUTED_VALUE"""),37.08)</f>
        <v>37.08</v>
      </c>
      <c r="R200" s="320">
        <f>IFERROR(__xludf.DUMMYFUNCTION("""COMPUTED_VALUE"""),0.08)</f>
        <v>0.08</v>
      </c>
      <c r="S200" s="320">
        <f>IFERROR(__xludf.DUMMYFUNCTION("""COMPUTED_VALUE"""),1.34)</f>
        <v>1.34</v>
      </c>
      <c r="T200" s="320">
        <f>IFERROR(__xludf.DUMMYFUNCTION("""COMPUTED_VALUE"""),35.82)</f>
        <v>35.82</v>
      </c>
      <c r="U200" s="320">
        <f>IFERROR(__xludf.DUMMYFUNCTION("""COMPUTED_VALUE"""),2.86)</f>
        <v>2.86</v>
      </c>
      <c r="V200" s="320">
        <f>IFERROR(__xludf.DUMMYFUNCTION("""COMPUTED_VALUE"""),1.1118)</f>
        <v>1.1118</v>
      </c>
      <c r="W200" s="320">
        <f>IFERROR(__xludf.DUMMYFUNCTION("""COMPUTED_VALUE"""),3.61)</f>
        <v>3.61</v>
      </c>
      <c r="X200" s="320">
        <f>IFERROR(__xludf.DUMMYFUNCTION("""COMPUTED_VALUE"""),191.0)</f>
        <v>191</v>
      </c>
      <c r="Y200" s="320">
        <f>IFERROR(__xludf.DUMMYFUNCTION("""COMPUTED_VALUE"""),1216.0)</f>
        <v>1216</v>
      </c>
      <c r="Z200" s="320">
        <f>IFERROR(__xludf.DUMMYFUNCTION("""COMPUTED_VALUE"""),7552.0)</f>
        <v>7552</v>
      </c>
      <c r="AA200" s="320">
        <f>IFERROR(__xludf.DUMMYFUNCTION("""COMPUTED_VALUE"""),49.9188)</f>
        <v>49.9188</v>
      </c>
      <c r="AB200" s="320">
        <f>IFERROR(__xludf.DUMMYFUNCTION("""COMPUTED_VALUE"""),0.5152)</f>
        <v>0.5152</v>
      </c>
      <c r="AC200" s="106"/>
      <c r="AD200" s="106"/>
      <c r="AE200" s="106"/>
      <c r="AF200" s="106"/>
      <c r="AG200" s="106"/>
      <c r="AH200" s="320">
        <f>IFERROR(__xludf.DUMMYFUNCTION("""COMPUTED_VALUE"""),0.0)</f>
        <v>0</v>
      </c>
      <c r="AI200" s="320">
        <f>IFERROR(__xludf.DUMMYFUNCTION("""COMPUTED_VALUE"""),0.0)</f>
        <v>0</v>
      </c>
      <c r="AJ200" s="320">
        <f>IFERROR(__xludf.DUMMYFUNCTION("""COMPUTED_VALUE"""),0.0)</f>
        <v>0</v>
      </c>
      <c r="AK200" s="320">
        <f>IFERROR(__xludf.DUMMYFUNCTION("""COMPUTED_VALUE"""),0.2736)</f>
        <v>0.2736</v>
      </c>
      <c r="AL200" s="320">
        <f>IFERROR(__xludf.DUMMYFUNCTION("""COMPUTED_VALUE"""),15.83)</f>
        <v>15.83</v>
      </c>
      <c r="AM200" s="320">
        <f>IFERROR(__xludf.DUMMYFUNCTION("""COMPUTED_VALUE"""),21.25)</f>
        <v>21.25</v>
      </c>
      <c r="AN200" s="331"/>
      <c r="AO200" s="331"/>
    </row>
    <row r="201" ht="15.75" customHeight="1">
      <c r="A201" s="330">
        <f>IFERROR(__xludf.DUMMYFUNCTION("""COMPUTED_VALUE"""),46083.0)</f>
        <v>46083</v>
      </c>
      <c r="B201" s="319" t="str">
        <f>IFERROR(__xludf.DUMMYFUNCTION("""COMPUTED_VALUE"""),"B. 1-9")</f>
        <v>B. 1-9</v>
      </c>
      <c r="C201" s="320">
        <f>IFERROR(__xludf.DUMMYFUNCTION("""COMPUTED_VALUE"""),34364.0)</f>
        <v>34364</v>
      </c>
      <c r="D201" s="320">
        <f>IFERROR(__xludf.DUMMYFUNCTION("""COMPUTED_VALUE"""),43.64)</f>
        <v>43.64</v>
      </c>
      <c r="E201" s="320">
        <f>IFERROR(__xludf.DUMMYFUNCTION("""COMPUTED_VALUE"""),7307.66)</f>
        <v>7307.66</v>
      </c>
      <c r="F201" s="320">
        <f>IFERROR(__xludf.DUMMYFUNCTION("""COMPUTED_VALUE"""),0.2127)</f>
        <v>0.2127</v>
      </c>
      <c r="G201" s="320">
        <f>IFERROR(__xludf.DUMMYFUNCTION("""COMPUTED_VALUE"""),6.16)</f>
        <v>6.16</v>
      </c>
      <c r="H201" s="320">
        <f>IFERROR(__xludf.DUMMYFUNCTION("""COMPUTED_VALUE"""),3.4535)</f>
        <v>3.4535</v>
      </c>
      <c r="I201" s="320">
        <f>IFERROR(__xludf.DUMMYFUNCTION("""COMPUTED_VALUE"""),35.84)</f>
        <v>35.84</v>
      </c>
      <c r="J201" s="320">
        <f>IFERROR(__xludf.DUMMYFUNCTION("""COMPUTED_VALUE"""),19.25)</f>
        <v>19.25</v>
      </c>
      <c r="K201" s="320">
        <f>IFERROR(__xludf.DUMMYFUNCTION("""COMPUTED_VALUE"""),5.51)</f>
        <v>5.51</v>
      </c>
      <c r="L201" s="320">
        <f>IFERROR(__xludf.DUMMYFUNCTION("""COMPUTED_VALUE"""),0.2863)</f>
        <v>0.2863</v>
      </c>
      <c r="M201" s="320">
        <f>IFERROR(__xludf.DUMMYFUNCTION("""COMPUTED_VALUE"""),0.7835)</f>
        <v>0.7835</v>
      </c>
      <c r="N201" s="320">
        <f>IFERROR(__xludf.DUMMYFUNCTION("""COMPUTED_VALUE"""),0.5396)</f>
        <v>0.5396</v>
      </c>
      <c r="O201" s="320">
        <f>IFERROR(__xludf.DUMMYFUNCTION("""COMPUTED_VALUE"""),3.4926)</f>
        <v>3.4926</v>
      </c>
      <c r="P201" s="320">
        <f>IFERROR(__xludf.DUMMYFUNCTION("""COMPUTED_VALUE"""),99.65)</f>
        <v>99.65</v>
      </c>
      <c r="Q201" s="320">
        <f>IFERROR(__xludf.DUMMYFUNCTION("""COMPUTED_VALUE"""),88.44)</f>
        <v>88.44</v>
      </c>
      <c r="R201" s="320">
        <f>IFERROR(__xludf.DUMMYFUNCTION("""COMPUTED_VALUE"""),11.21)</f>
        <v>11.21</v>
      </c>
      <c r="S201" s="320">
        <f>IFERROR(__xludf.DUMMYFUNCTION("""COMPUTED_VALUE"""),15.43)</f>
        <v>15.43</v>
      </c>
      <c r="T201" s="320">
        <f>IFERROR(__xludf.DUMMYFUNCTION("""COMPUTED_VALUE"""),84.22)</f>
        <v>84.22</v>
      </c>
      <c r="U201" s="320">
        <f>IFERROR(__xludf.DUMMYFUNCTION("""COMPUTED_VALUE"""),90.38)</f>
        <v>90.38</v>
      </c>
      <c r="V201" s="320">
        <f>IFERROR(__xludf.DUMMYFUNCTION("""COMPUTED_VALUE"""),4.6942)</f>
        <v>4.6942</v>
      </c>
      <c r="W201" s="320">
        <f>IFERROR(__xludf.DUMMYFUNCTION("""COMPUTED_VALUE"""),15.49)</f>
        <v>15.49</v>
      </c>
      <c r="X201" s="320">
        <f>IFERROR(__xludf.DUMMYFUNCTION("""COMPUTED_VALUE"""),88.0)</f>
        <v>88</v>
      </c>
      <c r="Y201" s="320">
        <f>IFERROR(__xludf.DUMMYFUNCTION("""COMPUTED_VALUE"""),210.0)</f>
        <v>210</v>
      </c>
      <c r="Z201" s="320">
        <f>IFERROR(__xludf.DUMMYFUNCTION("""COMPUTED_VALUE"""),804.0)</f>
        <v>804</v>
      </c>
      <c r="AA201" s="320">
        <f>IFERROR(__xludf.DUMMYFUNCTION("""COMPUTED_VALUE"""),49.3402)</f>
        <v>49.3402</v>
      </c>
      <c r="AB201" s="320">
        <f>IFERROR(__xludf.DUMMYFUNCTION("""COMPUTED_VALUE"""),0.4225)</f>
        <v>0.4225</v>
      </c>
      <c r="AC201" s="320">
        <f>IFERROR(__xludf.DUMMYFUNCTION("""COMPUTED_VALUE"""),3.49)</f>
        <v>3.49</v>
      </c>
      <c r="AD201" s="320">
        <f>IFERROR(__xludf.DUMMYFUNCTION("""COMPUTED_VALUE"""),1.0)</f>
        <v>1</v>
      </c>
      <c r="AE201" s="320">
        <f>IFERROR(__xludf.DUMMYFUNCTION("""COMPUTED_VALUE"""),2.0)</f>
        <v>2</v>
      </c>
      <c r="AF201" s="320">
        <f>IFERROR(__xludf.DUMMYFUNCTION("""COMPUTED_VALUE"""),4.0)</f>
        <v>4</v>
      </c>
      <c r="AG201" s="320">
        <f>IFERROR(__xludf.DUMMYFUNCTION("""COMPUTED_VALUE"""),8.0)</f>
        <v>8</v>
      </c>
      <c r="AH201" s="320">
        <f>IFERROR(__xludf.DUMMYFUNCTION("""COMPUTED_VALUE"""),67.13)</f>
        <v>67.13</v>
      </c>
      <c r="AI201" s="320">
        <f>IFERROR(__xludf.DUMMYFUNCTION("""COMPUTED_VALUE"""),23.96)</f>
        <v>23.96</v>
      </c>
      <c r="AJ201" s="320">
        <f>IFERROR(__xludf.DUMMYFUNCTION("""COMPUTED_VALUE"""),6.57)</f>
        <v>6.57</v>
      </c>
      <c r="AK201" s="320">
        <f>IFERROR(__xludf.DUMMYFUNCTION("""COMPUTED_VALUE"""),0.2029)</f>
        <v>0.2029</v>
      </c>
      <c r="AL201" s="320">
        <f>IFERROR(__xludf.DUMMYFUNCTION("""COMPUTED_VALUE"""),18.87)</f>
        <v>18.87</v>
      </c>
      <c r="AM201" s="320">
        <f>IFERROR(__xludf.DUMMYFUNCTION("""COMPUTED_VALUE"""),69.58)</f>
        <v>69.58</v>
      </c>
      <c r="AN201" s="320">
        <f>IFERROR(__xludf.DUMMYFUNCTION("""COMPUTED_VALUE"""),68.53)</f>
        <v>68.53</v>
      </c>
      <c r="AO201" s="320">
        <f>IFERROR(__xludf.DUMMYFUNCTION("""COMPUTED_VALUE"""),12.93)</f>
        <v>12.93</v>
      </c>
    </row>
    <row r="202" ht="15.75" customHeight="1">
      <c r="A202" s="330">
        <f>IFERROR(__xludf.DUMMYFUNCTION("""COMPUTED_VALUE"""),46083.0)</f>
        <v>46083</v>
      </c>
      <c r="B202" s="319" t="str">
        <f>IFERROR(__xludf.DUMMYFUNCTION("""COMPUTED_VALUE"""),"C. 10-19")</f>
        <v>C. 10-19</v>
      </c>
      <c r="C202" s="320">
        <f>IFERROR(__xludf.DUMMYFUNCTION("""COMPUTED_VALUE"""),16347.0)</f>
        <v>16347</v>
      </c>
      <c r="D202" s="320">
        <f>IFERROR(__xludf.DUMMYFUNCTION("""COMPUTED_VALUE"""),20.76)</f>
        <v>20.76</v>
      </c>
      <c r="E202" s="320">
        <f>IFERROR(__xludf.DUMMYFUNCTION("""COMPUTED_VALUE"""),18473.41)</f>
        <v>18473.41</v>
      </c>
      <c r="F202" s="320">
        <f>IFERROR(__xludf.DUMMYFUNCTION("""COMPUTED_VALUE"""),1.1301)</f>
        <v>1.1301</v>
      </c>
      <c r="G202" s="320">
        <f>IFERROR(__xludf.DUMMYFUNCTION("""COMPUTED_VALUE"""),22.05)</f>
        <v>22.05</v>
      </c>
      <c r="H202" s="320">
        <f>IFERROR(__xludf.DUMMYFUNCTION("""COMPUTED_VALUE"""),5.1244)</f>
        <v>5.1244</v>
      </c>
      <c r="I202" s="320">
        <f>IFERROR(__xludf.DUMMYFUNCTION("""COMPUTED_VALUE"""),64.12)</f>
        <v>64.12</v>
      </c>
      <c r="J202" s="320">
        <f>IFERROR(__xludf.DUMMYFUNCTION("""COMPUTED_VALUE"""),36.79)</f>
        <v>36.79</v>
      </c>
      <c r="K202" s="320">
        <f>IFERROR(__xludf.DUMMYFUNCTION("""COMPUTED_VALUE"""),15.07)</f>
        <v>15.07</v>
      </c>
      <c r="L202" s="320">
        <f>IFERROR(__xludf.DUMMYFUNCTION("""COMPUTED_VALUE"""),0.4096)</f>
        <v>0.4096</v>
      </c>
      <c r="M202" s="320">
        <f>IFERROR(__xludf.DUMMYFUNCTION("""COMPUTED_VALUE"""),0.6573)</f>
        <v>0.6573</v>
      </c>
      <c r="N202" s="320">
        <f>IFERROR(__xludf.DUMMYFUNCTION("""COMPUTED_VALUE"""),0.3793)</f>
        <v>0.3793</v>
      </c>
      <c r="O202" s="320">
        <f>IFERROR(__xludf.DUMMYFUNCTION("""COMPUTED_VALUE"""),2.4414)</f>
        <v>2.4414</v>
      </c>
      <c r="P202" s="320">
        <f>IFERROR(__xludf.DUMMYFUNCTION("""COMPUTED_VALUE"""),223.17)</f>
        <v>223.17</v>
      </c>
      <c r="Q202" s="320">
        <f>IFERROR(__xludf.DUMMYFUNCTION("""COMPUTED_VALUE"""),193.82)</f>
        <v>193.82</v>
      </c>
      <c r="R202" s="320">
        <f>IFERROR(__xludf.DUMMYFUNCTION("""COMPUTED_VALUE"""),29.35)</f>
        <v>29.35</v>
      </c>
      <c r="S202" s="320">
        <f>IFERROR(__xludf.DUMMYFUNCTION("""COMPUTED_VALUE"""),75.28)</f>
        <v>75.28</v>
      </c>
      <c r="T202" s="320">
        <f>IFERROR(__xludf.DUMMYFUNCTION("""COMPUTED_VALUE"""),147.89)</f>
        <v>147.89</v>
      </c>
      <c r="U202" s="320">
        <f>IFERROR(__xludf.DUMMYFUNCTION("""COMPUTED_VALUE"""),215.03)</f>
        <v>215.03</v>
      </c>
      <c r="V202" s="320">
        <f>IFERROR(__xludf.DUMMYFUNCTION("""COMPUTED_VALUE"""),5.844)</f>
        <v>5.844</v>
      </c>
      <c r="W202" s="320">
        <f>IFERROR(__xludf.DUMMYFUNCTION("""COMPUTED_VALUE"""),33.73)</f>
        <v>33.73</v>
      </c>
      <c r="X202" s="320">
        <f>IFERROR(__xludf.DUMMYFUNCTION("""COMPUTED_VALUE"""),85.0)</f>
        <v>85</v>
      </c>
      <c r="Y202" s="320">
        <f>IFERROR(__xludf.DUMMYFUNCTION("""COMPUTED_VALUE"""),198.0)</f>
        <v>198</v>
      </c>
      <c r="Z202" s="320">
        <f>IFERROR(__xludf.DUMMYFUNCTION("""COMPUTED_VALUE"""),623.0)</f>
        <v>623</v>
      </c>
      <c r="AA202" s="320">
        <f>IFERROR(__xludf.DUMMYFUNCTION("""COMPUTED_VALUE"""),52.3437)</f>
        <v>52.3437</v>
      </c>
      <c r="AB202" s="320">
        <f>IFERROR(__xludf.DUMMYFUNCTION("""COMPUTED_VALUE"""),0.508)</f>
        <v>0.508</v>
      </c>
      <c r="AC202" s="320">
        <f>IFERROR(__xludf.DUMMYFUNCTION("""COMPUTED_VALUE"""),9.24)</f>
        <v>9.24</v>
      </c>
      <c r="AD202" s="320">
        <f>IFERROR(__xludf.DUMMYFUNCTION("""COMPUTED_VALUE"""),3.0)</f>
        <v>3</v>
      </c>
      <c r="AE202" s="320">
        <f>IFERROR(__xludf.DUMMYFUNCTION("""COMPUTED_VALUE"""),6.0)</f>
        <v>6</v>
      </c>
      <c r="AF202" s="320">
        <f>IFERROR(__xludf.DUMMYFUNCTION("""COMPUTED_VALUE"""),13.0)</f>
        <v>13</v>
      </c>
      <c r="AG202" s="320">
        <f>IFERROR(__xludf.DUMMYFUNCTION("""COMPUTED_VALUE"""),21.0)</f>
        <v>21</v>
      </c>
      <c r="AH202" s="320">
        <f>IFERROR(__xludf.DUMMYFUNCTION("""COMPUTED_VALUE"""),54.62)</f>
        <v>54.62</v>
      </c>
      <c r="AI202" s="320">
        <f>IFERROR(__xludf.DUMMYFUNCTION("""COMPUTED_VALUE"""),25.74)</f>
        <v>25.74</v>
      </c>
      <c r="AJ202" s="320">
        <f>IFERROR(__xludf.DUMMYFUNCTION("""COMPUTED_VALUE"""),5.77)</f>
        <v>5.77</v>
      </c>
      <c r="AK202" s="320">
        <f>IFERROR(__xludf.DUMMYFUNCTION("""COMPUTED_VALUE"""),0.178)</f>
        <v>0.178</v>
      </c>
      <c r="AL202" s="320">
        <f>IFERROR(__xludf.DUMMYFUNCTION("""COMPUTED_VALUE"""),19.41)</f>
        <v>19.41</v>
      </c>
      <c r="AM202" s="320">
        <f>IFERROR(__xludf.DUMMYFUNCTION("""COMPUTED_VALUE"""),174.4)</f>
        <v>174.4</v>
      </c>
      <c r="AN202" s="320">
        <f>IFERROR(__xludf.DUMMYFUNCTION("""COMPUTED_VALUE"""),72.76)</f>
        <v>72.76</v>
      </c>
      <c r="AO202" s="320">
        <f>IFERROR(__xludf.DUMMYFUNCTION("""COMPUTED_VALUE"""),14.12)</f>
        <v>14.12</v>
      </c>
    </row>
    <row r="203" ht="15.75" customHeight="1">
      <c r="A203" s="330">
        <f>IFERROR(__xludf.DUMMYFUNCTION("""COMPUTED_VALUE"""),46083.0)</f>
        <v>46083</v>
      </c>
      <c r="B203" s="319" t="str">
        <f>IFERROR(__xludf.DUMMYFUNCTION("""COMPUTED_VALUE"""),"D. 20-39")</f>
        <v>D. 20-39</v>
      </c>
      <c r="C203" s="320">
        <f>IFERROR(__xludf.DUMMYFUNCTION("""COMPUTED_VALUE"""),8320.0)</f>
        <v>8320</v>
      </c>
      <c r="D203" s="320">
        <f>IFERROR(__xludf.DUMMYFUNCTION("""COMPUTED_VALUE"""),10.56)</f>
        <v>10.56</v>
      </c>
      <c r="E203" s="320">
        <f>IFERROR(__xludf.DUMMYFUNCTION("""COMPUTED_VALUE"""),23855.16)</f>
        <v>23855.16</v>
      </c>
      <c r="F203" s="320">
        <f>IFERROR(__xludf.DUMMYFUNCTION("""COMPUTED_VALUE"""),2.8672)</f>
        <v>2.8672</v>
      </c>
      <c r="G203" s="320">
        <f>IFERROR(__xludf.DUMMYFUNCTION("""COMPUTED_VALUE"""),34.58)</f>
        <v>34.58</v>
      </c>
      <c r="H203" s="320">
        <f>IFERROR(__xludf.DUMMYFUNCTION("""COMPUTED_VALUE"""),8.2917)</f>
        <v>8.2917</v>
      </c>
      <c r="I203" s="320">
        <f>IFERROR(__xludf.DUMMYFUNCTION("""COMPUTED_VALUE"""),90.83)</f>
        <v>90.83</v>
      </c>
      <c r="J203" s="320">
        <f>IFERROR(__xludf.DUMMYFUNCTION("""COMPUTED_VALUE"""),53.8)</f>
        <v>53.8</v>
      </c>
      <c r="K203" s="320">
        <f>IFERROR(__xludf.DUMMYFUNCTION("""COMPUTED_VALUE"""),29.78)</f>
        <v>29.78</v>
      </c>
      <c r="L203" s="320">
        <f>IFERROR(__xludf.DUMMYFUNCTION("""COMPUTED_VALUE"""),0.5535)</f>
        <v>0.5535</v>
      </c>
      <c r="M203" s="320">
        <f>IFERROR(__xludf.DUMMYFUNCTION("""COMPUTED_VALUE"""),0.5275)</f>
        <v>0.5275</v>
      </c>
      <c r="N203" s="320">
        <f>IFERROR(__xludf.DUMMYFUNCTION("""COMPUTED_VALUE"""),0.2913)</f>
        <v>0.2913</v>
      </c>
      <c r="O203" s="320">
        <f>IFERROR(__xludf.DUMMYFUNCTION("""COMPUTED_VALUE"""),1.8067)</f>
        <v>1.8067</v>
      </c>
      <c r="P203" s="320">
        <f>IFERROR(__xludf.DUMMYFUNCTION("""COMPUTED_VALUE"""),419.77)</f>
        <v>419.77</v>
      </c>
      <c r="Q203" s="320">
        <f>IFERROR(__xludf.DUMMYFUNCTION("""COMPUTED_VALUE"""),361.54)</f>
        <v>361.54</v>
      </c>
      <c r="R203" s="320">
        <f>IFERROR(__xludf.DUMMYFUNCTION("""COMPUTED_VALUE"""),58.24)</f>
        <v>58.24</v>
      </c>
      <c r="S203" s="320">
        <f>IFERROR(__xludf.DUMMYFUNCTION("""COMPUTED_VALUE"""),183.92)</f>
        <v>183.92</v>
      </c>
      <c r="T203" s="320">
        <f>IFERROR(__xludf.DUMMYFUNCTION("""COMPUTED_VALUE"""),235.86)</f>
        <v>235.86</v>
      </c>
      <c r="U203" s="320">
        <f>IFERROR(__xludf.DUMMYFUNCTION("""COMPUTED_VALUE"""),419.89)</f>
        <v>419.89</v>
      </c>
      <c r="V203" s="320">
        <f>IFERROR(__xludf.DUMMYFUNCTION("""COMPUTED_VALUE"""),7.8042)</f>
        <v>7.8042</v>
      </c>
      <c r="W203" s="320">
        <f>IFERROR(__xludf.DUMMYFUNCTION("""COMPUTED_VALUE"""),43.81)</f>
        <v>43.81</v>
      </c>
      <c r="X203" s="320">
        <f>IFERROR(__xludf.DUMMYFUNCTION("""COMPUTED_VALUE"""),92.0)</f>
        <v>92</v>
      </c>
      <c r="Y203" s="320">
        <f>IFERROR(__xludf.DUMMYFUNCTION("""COMPUTED_VALUE"""),254.0)</f>
        <v>254</v>
      </c>
      <c r="Z203" s="320">
        <f>IFERROR(__xludf.DUMMYFUNCTION("""COMPUTED_VALUE"""),799.0)</f>
        <v>799</v>
      </c>
      <c r="AA203" s="320">
        <f>IFERROR(__xludf.DUMMYFUNCTION("""COMPUTED_VALUE"""),54.8747)</f>
        <v>54.8747</v>
      </c>
      <c r="AB203" s="320">
        <f>IFERROR(__xludf.DUMMYFUNCTION("""COMPUTED_VALUE"""),0.6145)</f>
        <v>0.6145</v>
      </c>
      <c r="AC203" s="320">
        <f>IFERROR(__xludf.DUMMYFUNCTION("""COMPUTED_VALUE"""),18.37)</f>
        <v>18.37</v>
      </c>
      <c r="AD203" s="320">
        <f>IFERROR(__xludf.DUMMYFUNCTION("""COMPUTED_VALUE"""),6.0)</f>
        <v>6</v>
      </c>
      <c r="AE203" s="320">
        <f>IFERROR(__xludf.DUMMYFUNCTION("""COMPUTED_VALUE"""),14.0)</f>
        <v>14</v>
      </c>
      <c r="AF203" s="320">
        <f>IFERROR(__xludf.DUMMYFUNCTION("""COMPUTED_VALUE"""),26.0)</f>
        <v>26</v>
      </c>
      <c r="AG203" s="320">
        <f>IFERROR(__xludf.DUMMYFUNCTION("""COMPUTED_VALUE"""),39.0)</f>
        <v>39</v>
      </c>
      <c r="AH203" s="320">
        <f>IFERROR(__xludf.DUMMYFUNCTION("""COMPUTED_VALUE"""),59.48)</f>
        <v>59.48</v>
      </c>
      <c r="AI203" s="320">
        <f>IFERROR(__xludf.DUMMYFUNCTION("""COMPUTED_VALUE"""),26.21)</f>
        <v>26.21</v>
      </c>
      <c r="AJ203" s="320">
        <f>IFERROR(__xludf.DUMMYFUNCTION("""COMPUTED_VALUE"""),7.66)</f>
        <v>7.66</v>
      </c>
      <c r="AK203" s="320">
        <f>IFERROR(__xludf.DUMMYFUNCTION("""COMPUTED_VALUE"""),0.176)</f>
        <v>0.176</v>
      </c>
      <c r="AL203" s="320">
        <f>IFERROR(__xludf.DUMMYFUNCTION("""COMPUTED_VALUE"""),19.31)</f>
        <v>19.31</v>
      </c>
      <c r="AM203" s="320">
        <f>IFERROR(__xludf.DUMMYFUNCTION("""COMPUTED_VALUE"""),342.22)</f>
        <v>342.22</v>
      </c>
      <c r="AN203" s="320">
        <f>IFERROR(__xludf.DUMMYFUNCTION("""COMPUTED_VALUE"""),71.12)</f>
        <v>71.12</v>
      </c>
      <c r="AO203" s="320">
        <f>IFERROR(__xludf.DUMMYFUNCTION("""COMPUTED_VALUE"""),13.73)</f>
        <v>13.73</v>
      </c>
    </row>
    <row r="204" ht="15.75" customHeight="1">
      <c r="A204" s="330">
        <f>IFERROR(__xludf.DUMMYFUNCTION("""COMPUTED_VALUE"""),46083.0)</f>
        <v>46083</v>
      </c>
      <c r="B204" s="319" t="str">
        <f>IFERROR(__xludf.DUMMYFUNCTION("""COMPUTED_VALUE"""),"E. 40-99")</f>
        <v>E. 40-99</v>
      </c>
      <c r="C204" s="320">
        <f>IFERROR(__xludf.DUMMYFUNCTION("""COMPUTED_VALUE"""),3395.0)</f>
        <v>3395</v>
      </c>
      <c r="D204" s="320">
        <f>IFERROR(__xludf.DUMMYFUNCTION("""COMPUTED_VALUE"""),4.31)</f>
        <v>4.31</v>
      </c>
      <c r="E204" s="320">
        <f>IFERROR(__xludf.DUMMYFUNCTION("""COMPUTED_VALUE"""),22617.61)</f>
        <v>22617.61</v>
      </c>
      <c r="F204" s="320">
        <f>IFERROR(__xludf.DUMMYFUNCTION("""COMPUTED_VALUE"""),6.662)</f>
        <v>6.662</v>
      </c>
      <c r="G204" s="320">
        <f>IFERROR(__xludf.DUMMYFUNCTION("""COMPUTED_VALUE"""),44.68)</f>
        <v>44.68</v>
      </c>
      <c r="H204" s="320">
        <f>IFERROR(__xludf.DUMMYFUNCTION("""COMPUTED_VALUE"""),14.9094)</f>
        <v>14.9094</v>
      </c>
      <c r="I204" s="320">
        <f>IFERROR(__xludf.DUMMYFUNCTION("""COMPUTED_VALUE"""),141.8)</f>
        <v>141.8</v>
      </c>
      <c r="J204" s="320">
        <f>IFERROR(__xludf.DUMMYFUNCTION("""COMPUTED_VALUE"""),87.25)</f>
        <v>87.25</v>
      </c>
      <c r="K204" s="320">
        <f>IFERROR(__xludf.DUMMYFUNCTION("""COMPUTED_VALUE"""),61.79)</f>
        <v>61.79</v>
      </c>
      <c r="L204" s="320">
        <f>IFERROR(__xludf.DUMMYFUNCTION("""COMPUTED_VALUE"""),0.7082)</f>
        <v>0.7082</v>
      </c>
      <c r="M204" s="320">
        <f>IFERROR(__xludf.DUMMYFUNCTION("""COMPUTED_VALUE"""),0.3877)</f>
        <v>0.3877</v>
      </c>
      <c r="N204" s="320">
        <f>IFERROR(__xludf.DUMMYFUNCTION("""COMPUTED_VALUE"""),0.2263)</f>
        <v>0.2263</v>
      </c>
      <c r="O204" s="320">
        <f>IFERROR(__xludf.DUMMYFUNCTION("""COMPUTED_VALUE"""),1.4121)</f>
        <v>1.4121</v>
      </c>
      <c r="P204" s="320">
        <f>IFERROR(__xludf.DUMMYFUNCTION("""COMPUTED_VALUE"""),829.67)</f>
        <v>829.67</v>
      </c>
      <c r="Q204" s="320">
        <f>IFERROR(__xludf.DUMMYFUNCTION("""COMPUTED_VALUE"""),713.24)</f>
        <v>713.24</v>
      </c>
      <c r="R204" s="320">
        <f>IFERROR(__xludf.DUMMYFUNCTION("""COMPUTED_VALUE"""),116.43)</f>
        <v>116.43</v>
      </c>
      <c r="S204" s="320">
        <f>IFERROR(__xludf.DUMMYFUNCTION("""COMPUTED_VALUE"""),420.13)</f>
        <v>420.13</v>
      </c>
      <c r="T204" s="320">
        <f>IFERROR(__xludf.DUMMYFUNCTION("""COMPUTED_VALUE"""),409.53)</f>
        <v>409.53</v>
      </c>
      <c r="U204" s="320">
        <f>IFERROR(__xludf.DUMMYFUNCTION("""COMPUTED_VALUE"""),837.0)</f>
        <v>837</v>
      </c>
      <c r="V204" s="320">
        <f>IFERROR(__xludf.DUMMYFUNCTION("""COMPUTED_VALUE"""),9.5933)</f>
        <v>9.5933</v>
      </c>
      <c r="W204" s="320">
        <f>IFERROR(__xludf.DUMMYFUNCTION("""COMPUTED_VALUE"""),50.64)</f>
        <v>50.64</v>
      </c>
      <c r="X204" s="320">
        <f>IFERROR(__xludf.DUMMYFUNCTION("""COMPUTED_VALUE"""),108.0)</f>
        <v>108</v>
      </c>
      <c r="Y204" s="320">
        <f>IFERROR(__xludf.DUMMYFUNCTION("""COMPUTED_VALUE"""),397.0)</f>
        <v>397</v>
      </c>
      <c r="Z204" s="320">
        <f>IFERROR(__xludf.DUMMYFUNCTION("""COMPUTED_VALUE"""),1191.0)</f>
        <v>1191</v>
      </c>
      <c r="AA204" s="320">
        <f>IFERROR(__xludf.DUMMYFUNCTION("""COMPUTED_VALUE"""),57.9582)</f>
        <v>57.9582</v>
      </c>
      <c r="AB204" s="320">
        <f>IFERROR(__xludf.DUMMYFUNCTION("""COMPUTED_VALUE"""),0.6861)</f>
        <v>0.6861</v>
      </c>
      <c r="AC204" s="320">
        <f>IFERROR(__xludf.DUMMYFUNCTION("""COMPUTED_VALUE"""),37.39)</f>
        <v>37.39</v>
      </c>
      <c r="AD204" s="320">
        <f>IFERROR(__xludf.DUMMYFUNCTION("""COMPUTED_VALUE"""),14.0)</f>
        <v>14</v>
      </c>
      <c r="AE204" s="320">
        <f>IFERROR(__xludf.DUMMYFUNCTION("""COMPUTED_VALUE"""),30.0)</f>
        <v>30</v>
      </c>
      <c r="AF204" s="320">
        <f>IFERROR(__xludf.DUMMYFUNCTION("""COMPUTED_VALUE"""),49.0)</f>
        <v>49</v>
      </c>
      <c r="AG204" s="320">
        <f>IFERROR(__xludf.DUMMYFUNCTION("""COMPUTED_VALUE"""),79.0)</f>
        <v>79</v>
      </c>
      <c r="AH204" s="320">
        <f>IFERROR(__xludf.DUMMYFUNCTION("""COMPUTED_VALUE"""),54.02)</f>
        <v>54.02</v>
      </c>
      <c r="AI204" s="320">
        <f>IFERROR(__xludf.DUMMYFUNCTION("""COMPUTED_VALUE"""),19.29)</f>
        <v>19.29</v>
      </c>
      <c r="AJ204" s="320">
        <f>IFERROR(__xludf.DUMMYFUNCTION("""COMPUTED_VALUE"""),4.8)</f>
        <v>4.8</v>
      </c>
      <c r="AK204" s="320">
        <f>IFERROR(__xludf.DUMMYFUNCTION("""COMPUTED_VALUE"""),0.1626)</f>
        <v>0.1626</v>
      </c>
      <c r="AL204" s="320">
        <f>IFERROR(__xludf.DUMMYFUNCTION("""COMPUTED_VALUE"""),20.45)</f>
        <v>20.45</v>
      </c>
      <c r="AM204" s="320">
        <f>IFERROR(__xludf.DUMMYFUNCTION("""COMPUTED_VALUE"""),692.79)</f>
        <v>692.79</v>
      </c>
      <c r="AN204" s="320">
        <f>IFERROR(__xludf.DUMMYFUNCTION("""COMPUTED_VALUE"""),69.71)</f>
        <v>69.71</v>
      </c>
      <c r="AO204" s="320">
        <f>IFERROR(__xludf.DUMMYFUNCTION("""COMPUTED_VALUE"""),14.26)</f>
        <v>14.26</v>
      </c>
    </row>
    <row r="205" ht="15.75" customHeight="1">
      <c r="A205" s="330">
        <f>IFERROR(__xludf.DUMMYFUNCTION("""COMPUTED_VALUE"""),46083.0)</f>
        <v>46083</v>
      </c>
      <c r="B205" s="319" t="str">
        <f>IFERROR(__xludf.DUMMYFUNCTION("""COMPUTED_VALUE"""),"F. 100+")</f>
        <v>F. 100+</v>
      </c>
      <c r="C205" s="320">
        <f>IFERROR(__xludf.DUMMYFUNCTION("""COMPUTED_VALUE"""),362.0)</f>
        <v>362</v>
      </c>
      <c r="D205" s="320">
        <f>IFERROR(__xludf.DUMMYFUNCTION("""COMPUTED_VALUE"""),0.46)</f>
        <v>0.46</v>
      </c>
      <c r="E205" s="320">
        <f>IFERROR(__xludf.DUMMYFUNCTION("""COMPUTED_VALUE"""),4536.37)</f>
        <v>4536.37</v>
      </c>
      <c r="F205" s="320">
        <f>IFERROR(__xludf.DUMMYFUNCTION("""COMPUTED_VALUE"""),12.5314)</f>
        <v>12.5314</v>
      </c>
      <c r="G205" s="320">
        <f>IFERROR(__xludf.DUMMYFUNCTION("""COMPUTED_VALUE"""),46.69)</f>
        <v>46.69</v>
      </c>
      <c r="H205" s="320">
        <f>IFERROR(__xludf.DUMMYFUNCTION("""COMPUTED_VALUE"""),26.8424)</f>
        <v>26.8424</v>
      </c>
      <c r="I205" s="320">
        <f>IFERROR(__xludf.DUMMYFUNCTION("""COMPUTED_VALUE"""),250.94)</f>
        <v>250.94</v>
      </c>
      <c r="J205" s="320">
        <f>IFERROR(__xludf.DUMMYFUNCTION("""COMPUTED_VALUE"""),168.82)</f>
        <v>168.82</v>
      </c>
      <c r="K205" s="320">
        <f>IFERROR(__xludf.DUMMYFUNCTION("""COMPUTED_VALUE"""),140.71)</f>
        <v>140.71</v>
      </c>
      <c r="L205" s="320">
        <f>IFERROR(__xludf.DUMMYFUNCTION("""COMPUTED_VALUE"""),0.8335)</f>
        <v>0.8335</v>
      </c>
      <c r="M205" s="320">
        <f>IFERROR(__xludf.DUMMYFUNCTION("""COMPUTED_VALUE"""),0.2598)</f>
        <v>0.2598</v>
      </c>
      <c r="N205" s="320">
        <f>IFERROR(__xludf.DUMMYFUNCTION("""COMPUTED_VALUE"""),0.1663)</f>
        <v>0.1663</v>
      </c>
      <c r="O205" s="320">
        <f>IFERROR(__xludf.DUMMYFUNCTION("""COMPUTED_VALUE"""),1.1998)</f>
        <v>1.1998</v>
      </c>
      <c r="P205" s="320">
        <f>IFERROR(__xludf.DUMMYFUNCTION("""COMPUTED_VALUE"""),1564.25)</f>
        <v>1564.25</v>
      </c>
      <c r="Q205" s="320">
        <f>IFERROR(__xludf.DUMMYFUNCTION("""COMPUTED_VALUE"""),1267.92)</f>
        <v>1267.92</v>
      </c>
      <c r="R205" s="320">
        <f>IFERROR(__xludf.DUMMYFUNCTION("""COMPUTED_VALUE"""),296.33)</f>
        <v>296.33</v>
      </c>
      <c r="S205" s="320">
        <f>IFERROR(__xludf.DUMMYFUNCTION("""COMPUTED_VALUE"""),758.04)</f>
        <v>758.04</v>
      </c>
      <c r="T205" s="320">
        <f>IFERROR(__xludf.DUMMYFUNCTION("""COMPUTED_VALUE"""),806.21)</f>
        <v>806.21</v>
      </c>
      <c r="U205" s="320">
        <f>IFERROR(__xludf.DUMMYFUNCTION("""COMPUTED_VALUE"""),1587.57)</f>
        <v>1587.57</v>
      </c>
      <c r="V205" s="320">
        <f>IFERROR(__xludf.DUMMYFUNCTION("""COMPUTED_VALUE"""),9.4039)</f>
        <v>9.4039</v>
      </c>
      <c r="W205" s="320">
        <f>IFERROR(__xludf.DUMMYFUNCTION("""COMPUTED_VALUE"""),48.46)</f>
        <v>48.46</v>
      </c>
      <c r="X205" s="320">
        <f>IFERROR(__xludf.DUMMYFUNCTION("""COMPUTED_VALUE"""),176.0)</f>
        <v>176</v>
      </c>
      <c r="Y205" s="320">
        <f>IFERROR(__xludf.DUMMYFUNCTION("""COMPUTED_VALUE"""),824.0)</f>
        <v>824</v>
      </c>
      <c r="Z205" s="320">
        <f>IFERROR(__xludf.DUMMYFUNCTION("""COMPUTED_VALUE"""),2745.0)</f>
        <v>2745</v>
      </c>
      <c r="AA205" s="320">
        <f>IFERROR(__xludf.DUMMYFUNCTION("""COMPUTED_VALUE"""),61.51)</f>
        <v>61.51</v>
      </c>
      <c r="AB205" s="320">
        <f>IFERROR(__xludf.DUMMYFUNCTION("""COMPUTED_VALUE"""),0.852)</f>
        <v>0.852</v>
      </c>
      <c r="AC205" s="320">
        <f>IFERROR(__xludf.DUMMYFUNCTION("""COMPUTED_VALUE"""),90.76)</f>
        <v>90.76</v>
      </c>
      <c r="AD205" s="320">
        <f>IFERROR(__xludf.DUMMYFUNCTION("""COMPUTED_VALUE"""),38.0)</f>
        <v>38</v>
      </c>
      <c r="AE205" s="320">
        <f>IFERROR(__xludf.DUMMYFUNCTION("""COMPUTED_VALUE"""),80.0)</f>
        <v>80</v>
      </c>
      <c r="AF205" s="320">
        <f>IFERROR(__xludf.DUMMYFUNCTION("""COMPUTED_VALUE"""),128.0)</f>
        <v>128</v>
      </c>
      <c r="AG205" s="320">
        <f>IFERROR(__xludf.DUMMYFUNCTION("""COMPUTED_VALUE"""),174.0)</f>
        <v>174</v>
      </c>
      <c r="AH205" s="320">
        <f>IFERROR(__xludf.DUMMYFUNCTION("""COMPUTED_VALUE"""),50.28)</f>
        <v>50.28</v>
      </c>
      <c r="AI205" s="320">
        <f>IFERROR(__xludf.DUMMYFUNCTION("""COMPUTED_VALUE"""),9.39)</f>
        <v>9.39</v>
      </c>
      <c r="AJ205" s="320">
        <f>IFERROR(__xludf.DUMMYFUNCTION("""COMPUTED_VALUE"""),0.55)</f>
        <v>0.55</v>
      </c>
      <c r="AK205" s="320">
        <f>IFERROR(__xludf.DUMMYFUNCTION("""COMPUTED_VALUE"""),0.1575)</f>
        <v>0.1575</v>
      </c>
      <c r="AL205" s="320">
        <f>IFERROR(__xludf.DUMMYFUNCTION("""COMPUTED_VALUE"""),21.98)</f>
        <v>21.98</v>
      </c>
      <c r="AM205" s="320">
        <f>IFERROR(__xludf.DUMMYFUNCTION("""COMPUTED_VALUE"""),1245.94)</f>
        <v>1245.94</v>
      </c>
      <c r="AN205" s="320">
        <f>IFERROR(__xludf.DUMMYFUNCTION("""COMPUTED_VALUE"""),68.82)</f>
        <v>68.82</v>
      </c>
      <c r="AO205" s="320">
        <f>IFERROR(__xludf.DUMMYFUNCTION("""COMPUTED_VALUE"""),15.13)</f>
        <v>15.13</v>
      </c>
    </row>
    <row r="206" ht="15.75" customHeight="1">
      <c r="A206" s="330">
        <f>IFERROR(__xludf.DUMMYFUNCTION("""COMPUTED_VALUE"""),46084.0)</f>
        <v>46084</v>
      </c>
      <c r="B206" s="319" t="str">
        <f>IFERROR(__xludf.DUMMYFUNCTION("""COMPUTED_VALUE"""),"A. 0")</f>
        <v>A. 0</v>
      </c>
      <c r="C206" s="320">
        <f>IFERROR(__xludf.DUMMYFUNCTION("""COMPUTED_VALUE"""),15211.0)</f>
        <v>15211</v>
      </c>
      <c r="D206" s="320">
        <f>IFERROR(__xludf.DUMMYFUNCTION("""COMPUTED_VALUE"""),19.24)</f>
        <v>19.24</v>
      </c>
      <c r="E206" s="320">
        <f>IFERROR(__xludf.DUMMYFUNCTION("""COMPUTED_VALUE"""),381.0)</f>
        <v>381</v>
      </c>
      <c r="F206" s="320">
        <f>IFERROR(__xludf.DUMMYFUNCTION("""COMPUTED_VALUE"""),0.025)</f>
        <v>0.025</v>
      </c>
      <c r="G206" s="320">
        <f>IFERROR(__xludf.DUMMYFUNCTION("""COMPUTED_VALUE"""),0.87)</f>
        <v>0.87</v>
      </c>
      <c r="H206" s="320">
        <f>IFERROR(__xludf.DUMMYFUNCTION("""COMPUTED_VALUE"""),2.8864)</f>
        <v>2.8864</v>
      </c>
      <c r="I206" s="320">
        <f>IFERROR(__xludf.DUMMYFUNCTION("""COMPUTED_VALUE"""),6.27)</f>
        <v>6.27</v>
      </c>
      <c r="J206" s="320">
        <f>IFERROR(__xludf.DUMMYFUNCTION("""COMPUTED_VALUE"""),2.73)</f>
        <v>2.73</v>
      </c>
      <c r="K206" s="320">
        <f>IFERROR(__xludf.DUMMYFUNCTION("""COMPUTED_VALUE"""),0.03)</f>
        <v>0.03</v>
      </c>
      <c r="L206" s="320">
        <f>IFERROR(__xludf.DUMMYFUNCTION("""COMPUTED_VALUE"""),0.0128)</f>
        <v>0.0128</v>
      </c>
      <c r="M206" s="320">
        <f>IFERROR(__xludf.DUMMYFUNCTION("""COMPUTED_VALUE"""),0.9878)</f>
        <v>0.9878</v>
      </c>
      <c r="N206" s="320">
        <f>IFERROR(__xludf.DUMMYFUNCTION("""COMPUTED_VALUE"""),0.8309)</f>
        <v>0.8309</v>
      </c>
      <c r="O206" s="320">
        <f>IFERROR(__xludf.DUMMYFUNCTION("""COMPUTED_VALUE"""),78.3724)</f>
        <v>78.3724</v>
      </c>
      <c r="P206" s="320">
        <f>IFERROR(__xludf.DUMMYFUNCTION("""COMPUTED_VALUE"""),33.71)</f>
        <v>33.71</v>
      </c>
      <c r="Q206" s="320">
        <f>IFERROR(__xludf.DUMMYFUNCTION("""COMPUTED_VALUE"""),33.65)</f>
        <v>33.65</v>
      </c>
      <c r="R206" s="320">
        <f>IFERROR(__xludf.DUMMYFUNCTION("""COMPUTED_VALUE"""),0.06)</f>
        <v>0.06</v>
      </c>
      <c r="S206" s="320">
        <f>IFERROR(__xludf.DUMMYFUNCTION("""COMPUTED_VALUE"""),0.98)</f>
        <v>0.98</v>
      </c>
      <c r="T206" s="320">
        <f>IFERROR(__xludf.DUMMYFUNCTION("""COMPUTED_VALUE"""),32.73)</f>
        <v>32.73</v>
      </c>
      <c r="U206" s="320">
        <f>IFERROR(__xludf.DUMMYFUNCTION("""COMPUTED_VALUE"""),2.06)</f>
        <v>2.06</v>
      </c>
      <c r="V206" s="320">
        <f>IFERROR(__xludf.DUMMYFUNCTION("""COMPUTED_VALUE"""),0.7574)</f>
        <v>0.7574</v>
      </c>
      <c r="W206" s="320">
        <f>IFERROR(__xludf.DUMMYFUNCTION("""COMPUTED_VALUE"""),2.91)</f>
        <v>2.91</v>
      </c>
      <c r="X206" s="320">
        <f>IFERROR(__xludf.DUMMYFUNCTION("""COMPUTED_VALUE"""),165.0)</f>
        <v>165</v>
      </c>
      <c r="Y206" s="320">
        <f>IFERROR(__xludf.DUMMYFUNCTION("""COMPUTED_VALUE"""),1061.0)</f>
        <v>1061</v>
      </c>
      <c r="Z206" s="320">
        <f>IFERROR(__xludf.DUMMYFUNCTION("""COMPUTED_VALUE"""),7358.0)</f>
        <v>7358</v>
      </c>
      <c r="AA206" s="320">
        <f>IFERROR(__xludf.DUMMYFUNCTION("""COMPUTED_VALUE"""),49.6635)</f>
        <v>49.6635</v>
      </c>
      <c r="AB206" s="320">
        <f>IFERROR(__xludf.DUMMYFUNCTION("""COMPUTED_VALUE"""),0.4922)</f>
        <v>0.4922</v>
      </c>
      <c r="AC206" s="106"/>
      <c r="AD206" s="106"/>
      <c r="AE206" s="106"/>
      <c r="AF206" s="106"/>
      <c r="AG206" s="106"/>
      <c r="AH206" s="320">
        <f>IFERROR(__xludf.DUMMYFUNCTION("""COMPUTED_VALUE"""),0.0)</f>
        <v>0</v>
      </c>
      <c r="AI206" s="320">
        <f>IFERROR(__xludf.DUMMYFUNCTION("""COMPUTED_VALUE"""),0.0)</f>
        <v>0</v>
      </c>
      <c r="AJ206" s="320">
        <f>IFERROR(__xludf.DUMMYFUNCTION("""COMPUTED_VALUE"""),0.0)</f>
        <v>0</v>
      </c>
      <c r="AK206" s="320">
        <f>IFERROR(__xludf.DUMMYFUNCTION("""COMPUTED_VALUE"""),0.2828)</f>
        <v>0.2828</v>
      </c>
      <c r="AL206" s="320">
        <f>IFERROR(__xludf.DUMMYFUNCTION("""COMPUTED_VALUE"""),16.79)</f>
        <v>16.79</v>
      </c>
      <c r="AM206" s="320">
        <f>IFERROR(__xludf.DUMMYFUNCTION("""COMPUTED_VALUE"""),16.86)</f>
        <v>16.86</v>
      </c>
      <c r="AN206" s="331"/>
      <c r="AO206" s="331"/>
    </row>
    <row r="207" ht="15.75" customHeight="1">
      <c r="A207" s="330">
        <f>IFERROR(__xludf.DUMMYFUNCTION("""COMPUTED_VALUE"""),46084.0)</f>
        <v>46084</v>
      </c>
      <c r="B207" s="319" t="str">
        <f>IFERROR(__xludf.DUMMYFUNCTION("""COMPUTED_VALUE"""),"B. 1-9")</f>
        <v>B. 1-9</v>
      </c>
      <c r="C207" s="320">
        <f>IFERROR(__xludf.DUMMYFUNCTION("""COMPUTED_VALUE"""),34233.0)</f>
        <v>34233</v>
      </c>
      <c r="D207" s="320">
        <f>IFERROR(__xludf.DUMMYFUNCTION("""COMPUTED_VALUE"""),43.3)</f>
        <v>43.3</v>
      </c>
      <c r="E207" s="320">
        <f>IFERROR(__xludf.DUMMYFUNCTION("""COMPUTED_VALUE"""),11421.49)</f>
        <v>11421.49</v>
      </c>
      <c r="F207" s="320">
        <f>IFERROR(__xludf.DUMMYFUNCTION("""COMPUTED_VALUE"""),0.3336)</f>
        <v>0.3336</v>
      </c>
      <c r="G207" s="320">
        <f>IFERROR(__xludf.DUMMYFUNCTION("""COMPUTED_VALUE"""),9.28)</f>
        <v>9.28</v>
      </c>
      <c r="H207" s="320">
        <f>IFERROR(__xludf.DUMMYFUNCTION("""COMPUTED_VALUE"""),3.5951)</f>
        <v>3.5951</v>
      </c>
      <c r="I207" s="320">
        <f>IFERROR(__xludf.DUMMYFUNCTION("""COMPUTED_VALUE"""),33.21)</f>
        <v>33.21</v>
      </c>
      <c r="J207" s="320">
        <f>IFERROR(__xludf.DUMMYFUNCTION("""COMPUTED_VALUE"""),17.72)</f>
        <v>17.72</v>
      </c>
      <c r="K207" s="320">
        <f>IFERROR(__xludf.DUMMYFUNCTION("""COMPUTED_VALUE"""),5.78)</f>
        <v>5.78</v>
      </c>
      <c r="L207" s="320">
        <f>IFERROR(__xludf.DUMMYFUNCTION("""COMPUTED_VALUE"""),0.326)</f>
        <v>0.326</v>
      </c>
      <c r="M207" s="320">
        <f>IFERROR(__xludf.DUMMYFUNCTION("""COMPUTED_VALUE"""),0.7481)</f>
        <v>0.7481</v>
      </c>
      <c r="N207" s="320">
        <f>IFERROR(__xludf.DUMMYFUNCTION("""COMPUTED_VALUE"""),0.4916)</f>
        <v>0.4916</v>
      </c>
      <c r="O207" s="320">
        <f>IFERROR(__xludf.DUMMYFUNCTION("""COMPUTED_VALUE"""),3.0676)</f>
        <v>3.0676</v>
      </c>
      <c r="P207" s="320">
        <f>IFERROR(__xludf.DUMMYFUNCTION("""COMPUTED_VALUE"""),93.7)</f>
        <v>93.7</v>
      </c>
      <c r="Q207" s="320">
        <f>IFERROR(__xludf.DUMMYFUNCTION("""COMPUTED_VALUE"""),81.75)</f>
        <v>81.75</v>
      </c>
      <c r="R207" s="320">
        <f>IFERROR(__xludf.DUMMYFUNCTION("""COMPUTED_VALUE"""),11.96)</f>
        <v>11.96</v>
      </c>
      <c r="S207" s="320">
        <f>IFERROR(__xludf.DUMMYFUNCTION("""COMPUTED_VALUE"""),18.91)</f>
        <v>18.91</v>
      </c>
      <c r="T207" s="320">
        <f>IFERROR(__xludf.DUMMYFUNCTION("""COMPUTED_VALUE"""),74.8)</f>
        <v>74.8</v>
      </c>
      <c r="U207" s="320">
        <f>IFERROR(__xludf.DUMMYFUNCTION("""COMPUTED_VALUE"""),86.4)</f>
        <v>86.4</v>
      </c>
      <c r="V207" s="320">
        <f>IFERROR(__xludf.DUMMYFUNCTION("""COMPUTED_VALUE"""),4.8751)</f>
        <v>4.8751</v>
      </c>
      <c r="W207" s="320">
        <f>IFERROR(__xludf.DUMMYFUNCTION("""COMPUTED_VALUE"""),20.18)</f>
        <v>20.18</v>
      </c>
      <c r="X207" s="320">
        <f>IFERROR(__xludf.DUMMYFUNCTION("""COMPUTED_VALUE"""),92.0)</f>
        <v>92</v>
      </c>
      <c r="Y207" s="320">
        <f>IFERROR(__xludf.DUMMYFUNCTION("""COMPUTED_VALUE"""),227.0)</f>
        <v>227</v>
      </c>
      <c r="Z207" s="320">
        <f>IFERROR(__xludf.DUMMYFUNCTION("""COMPUTED_VALUE"""),916.0)</f>
        <v>916</v>
      </c>
      <c r="AA207" s="320">
        <f>IFERROR(__xludf.DUMMYFUNCTION("""COMPUTED_VALUE"""),49.2463)</f>
        <v>49.2463</v>
      </c>
      <c r="AB207" s="320">
        <f>IFERROR(__xludf.DUMMYFUNCTION("""COMPUTED_VALUE"""),0.4324)</f>
        <v>0.4324</v>
      </c>
      <c r="AC207" s="320">
        <f>IFERROR(__xludf.DUMMYFUNCTION("""COMPUTED_VALUE"""),3.95)</f>
        <v>3.95</v>
      </c>
      <c r="AD207" s="320">
        <f>IFERROR(__xludf.DUMMYFUNCTION("""COMPUTED_VALUE"""),1.0)</f>
        <v>1</v>
      </c>
      <c r="AE207" s="320">
        <f>IFERROR(__xludf.DUMMYFUNCTION("""COMPUTED_VALUE"""),2.0)</f>
        <v>2</v>
      </c>
      <c r="AF207" s="320">
        <f>IFERROR(__xludf.DUMMYFUNCTION("""COMPUTED_VALUE"""),5.0)</f>
        <v>5</v>
      </c>
      <c r="AG207" s="320">
        <f>IFERROR(__xludf.DUMMYFUNCTION("""COMPUTED_VALUE"""),9.0)</f>
        <v>9</v>
      </c>
      <c r="AH207" s="320">
        <f>IFERROR(__xludf.DUMMYFUNCTION("""COMPUTED_VALUE"""),69.39)</f>
        <v>69.39</v>
      </c>
      <c r="AI207" s="320">
        <f>IFERROR(__xludf.DUMMYFUNCTION("""COMPUTED_VALUE"""),28.81)</f>
        <v>28.81</v>
      </c>
      <c r="AJ207" s="320">
        <f>IFERROR(__xludf.DUMMYFUNCTION("""COMPUTED_VALUE"""),9.32)</f>
        <v>9.32</v>
      </c>
      <c r="AK207" s="320">
        <f>IFERROR(__xludf.DUMMYFUNCTION("""COMPUTED_VALUE"""),0.2091)</f>
        <v>0.2091</v>
      </c>
      <c r="AL207" s="320">
        <f>IFERROR(__xludf.DUMMYFUNCTION("""COMPUTED_VALUE"""),20.85)</f>
        <v>20.85</v>
      </c>
      <c r="AM207" s="320">
        <f>IFERROR(__xludf.DUMMYFUNCTION("""COMPUTED_VALUE"""),60.9)</f>
        <v>60.9</v>
      </c>
      <c r="AN207" s="320">
        <f>IFERROR(__xludf.DUMMYFUNCTION("""COMPUTED_VALUE"""),67.72)</f>
        <v>67.72</v>
      </c>
      <c r="AO207" s="320">
        <f>IFERROR(__xludf.DUMMYFUNCTION("""COMPUTED_VALUE"""),14.12)</f>
        <v>14.12</v>
      </c>
    </row>
    <row r="208" ht="15.75" customHeight="1">
      <c r="A208" s="330">
        <f>IFERROR(__xludf.DUMMYFUNCTION("""COMPUTED_VALUE"""),46084.0)</f>
        <v>46084</v>
      </c>
      <c r="B208" s="319" t="str">
        <f>IFERROR(__xludf.DUMMYFUNCTION("""COMPUTED_VALUE"""),"C. 10-19")</f>
        <v>C. 10-19</v>
      </c>
      <c r="C208" s="320">
        <f>IFERROR(__xludf.DUMMYFUNCTION("""COMPUTED_VALUE"""),17051.0)</f>
        <v>17051</v>
      </c>
      <c r="D208" s="320">
        <f>IFERROR(__xludf.DUMMYFUNCTION("""COMPUTED_VALUE"""),21.57)</f>
        <v>21.57</v>
      </c>
      <c r="E208" s="320">
        <f>IFERROR(__xludf.DUMMYFUNCTION("""COMPUTED_VALUE"""),24574.76)</f>
        <v>24574.76</v>
      </c>
      <c r="F208" s="320">
        <f>IFERROR(__xludf.DUMMYFUNCTION("""COMPUTED_VALUE"""),1.4413)</f>
        <v>1.4413</v>
      </c>
      <c r="G208" s="320">
        <f>IFERROR(__xludf.DUMMYFUNCTION("""COMPUTED_VALUE"""),28.6)</f>
        <v>28.6</v>
      </c>
      <c r="H208" s="320">
        <f>IFERROR(__xludf.DUMMYFUNCTION("""COMPUTED_VALUE"""),5.0399)</f>
        <v>5.0399</v>
      </c>
      <c r="I208" s="320">
        <f>IFERROR(__xludf.DUMMYFUNCTION("""COMPUTED_VALUE"""),62.39)</f>
        <v>62.39</v>
      </c>
      <c r="J208" s="320">
        <f>IFERROR(__xludf.DUMMYFUNCTION("""COMPUTED_VALUE"""),35.61)</f>
        <v>35.61</v>
      </c>
      <c r="K208" s="320">
        <f>IFERROR(__xludf.DUMMYFUNCTION("""COMPUTED_VALUE"""),16.36)</f>
        <v>16.36</v>
      </c>
      <c r="L208" s="320">
        <f>IFERROR(__xludf.DUMMYFUNCTION("""COMPUTED_VALUE"""),0.4595)</f>
        <v>0.4595</v>
      </c>
      <c r="M208" s="320">
        <f>IFERROR(__xludf.DUMMYFUNCTION("""COMPUTED_VALUE"""),0.6101)</f>
        <v>0.6101</v>
      </c>
      <c r="N208" s="320">
        <f>IFERROR(__xludf.DUMMYFUNCTION("""COMPUTED_VALUE"""),0.3328)</f>
        <v>0.3328</v>
      </c>
      <c r="O208" s="320">
        <f>IFERROR(__xludf.DUMMYFUNCTION("""COMPUTED_VALUE"""),2.1764)</f>
        <v>2.1764</v>
      </c>
      <c r="P208" s="320">
        <f>IFERROR(__xludf.DUMMYFUNCTION("""COMPUTED_VALUE"""),229.89)</f>
        <v>229.89</v>
      </c>
      <c r="Q208" s="320">
        <f>IFERROR(__xludf.DUMMYFUNCTION("""COMPUTED_VALUE"""),197.35)</f>
        <v>197.35</v>
      </c>
      <c r="R208" s="320">
        <f>IFERROR(__xludf.DUMMYFUNCTION("""COMPUTED_VALUE"""),32.55)</f>
        <v>32.55</v>
      </c>
      <c r="S208" s="320">
        <f>IFERROR(__xludf.DUMMYFUNCTION("""COMPUTED_VALUE"""),82.6)</f>
        <v>82.6</v>
      </c>
      <c r="T208" s="320">
        <f>IFERROR(__xludf.DUMMYFUNCTION("""COMPUTED_VALUE"""),147.29)</f>
        <v>147.29</v>
      </c>
      <c r="U208" s="320">
        <f>IFERROR(__xludf.DUMMYFUNCTION("""COMPUTED_VALUE"""),212.92)</f>
        <v>212.92</v>
      </c>
      <c r="V208" s="320">
        <f>IFERROR(__xludf.DUMMYFUNCTION("""COMPUTED_VALUE"""),5.979)</f>
        <v>5.979</v>
      </c>
      <c r="W208" s="320">
        <f>IFERROR(__xludf.DUMMYFUNCTION("""COMPUTED_VALUE"""),35.93)</f>
        <v>35.93</v>
      </c>
      <c r="X208" s="320">
        <f>IFERROR(__xludf.DUMMYFUNCTION("""COMPUTED_VALUE"""),91.0)</f>
        <v>91</v>
      </c>
      <c r="Y208" s="320">
        <f>IFERROR(__xludf.DUMMYFUNCTION("""COMPUTED_VALUE"""),224.0)</f>
        <v>224</v>
      </c>
      <c r="Z208" s="320">
        <f>IFERROR(__xludf.DUMMYFUNCTION("""COMPUTED_VALUE"""),711.0)</f>
        <v>711</v>
      </c>
      <c r="AA208" s="320">
        <f>IFERROR(__xludf.DUMMYFUNCTION("""COMPUTED_VALUE"""),52.2611)</f>
        <v>52.2611</v>
      </c>
      <c r="AB208" s="320">
        <f>IFERROR(__xludf.DUMMYFUNCTION("""COMPUTED_VALUE"""),0.5189)</f>
        <v>0.5189</v>
      </c>
      <c r="AC208" s="320">
        <f>IFERROR(__xludf.DUMMYFUNCTION("""COMPUTED_VALUE"""),10.58)</f>
        <v>10.58</v>
      </c>
      <c r="AD208" s="320">
        <f>IFERROR(__xludf.DUMMYFUNCTION("""COMPUTED_VALUE"""),3.0)</f>
        <v>3</v>
      </c>
      <c r="AE208" s="320">
        <f>IFERROR(__xludf.DUMMYFUNCTION("""COMPUTED_VALUE"""),8.0)</f>
        <v>8</v>
      </c>
      <c r="AF208" s="320">
        <f>IFERROR(__xludf.DUMMYFUNCTION("""COMPUTED_VALUE"""),15.0)</f>
        <v>15</v>
      </c>
      <c r="AG208" s="320">
        <f>IFERROR(__xludf.DUMMYFUNCTION("""COMPUTED_VALUE"""),24.0)</f>
        <v>24</v>
      </c>
      <c r="AH208" s="320">
        <f>IFERROR(__xludf.DUMMYFUNCTION("""COMPUTED_VALUE"""),61.84)</f>
        <v>61.84</v>
      </c>
      <c r="AI208" s="320">
        <f>IFERROR(__xludf.DUMMYFUNCTION("""COMPUTED_VALUE"""),31.39)</f>
        <v>31.39</v>
      </c>
      <c r="AJ208" s="320">
        <f>IFERROR(__xludf.DUMMYFUNCTION("""COMPUTED_VALUE"""),7.96)</f>
        <v>7.96</v>
      </c>
      <c r="AK208" s="320">
        <f>IFERROR(__xludf.DUMMYFUNCTION("""COMPUTED_VALUE"""),0.1787)</f>
        <v>0.1787</v>
      </c>
      <c r="AL208" s="320">
        <f>IFERROR(__xludf.DUMMYFUNCTION("""COMPUTED_VALUE"""),24.44)</f>
        <v>24.44</v>
      </c>
      <c r="AM208" s="320">
        <f>IFERROR(__xludf.DUMMYFUNCTION("""COMPUTED_VALUE"""),172.9)</f>
        <v>172.9</v>
      </c>
      <c r="AN208" s="320">
        <f>IFERROR(__xludf.DUMMYFUNCTION("""COMPUTED_VALUE"""),72.13)</f>
        <v>72.13</v>
      </c>
      <c r="AO208" s="320">
        <f>IFERROR(__xludf.DUMMYFUNCTION("""COMPUTED_VALUE"""),17.63)</f>
        <v>17.63</v>
      </c>
    </row>
    <row r="209" ht="15.75" customHeight="1">
      <c r="A209" s="330">
        <f>IFERROR(__xludf.DUMMYFUNCTION("""COMPUTED_VALUE"""),46084.0)</f>
        <v>46084</v>
      </c>
      <c r="B209" s="319" t="str">
        <f>IFERROR(__xludf.DUMMYFUNCTION("""COMPUTED_VALUE"""),"D. 20-39")</f>
        <v>D. 20-39</v>
      </c>
      <c r="C209" s="320">
        <f>IFERROR(__xludf.DUMMYFUNCTION("""COMPUTED_VALUE"""),8890.0)</f>
        <v>8890</v>
      </c>
      <c r="D209" s="320">
        <f>IFERROR(__xludf.DUMMYFUNCTION("""COMPUTED_VALUE"""),11.25)</f>
        <v>11.25</v>
      </c>
      <c r="E209" s="320">
        <f>IFERROR(__xludf.DUMMYFUNCTION("""COMPUTED_VALUE"""),26865.98)</f>
        <v>26865.98</v>
      </c>
      <c r="F209" s="320">
        <f>IFERROR(__xludf.DUMMYFUNCTION("""COMPUTED_VALUE"""),3.022)</f>
        <v>3.022</v>
      </c>
      <c r="G209" s="320">
        <f>IFERROR(__xludf.DUMMYFUNCTION("""COMPUTED_VALUE"""),40.16)</f>
        <v>40.16</v>
      </c>
      <c r="H209" s="320">
        <f>IFERROR(__xludf.DUMMYFUNCTION("""COMPUTED_VALUE"""),7.5255)</f>
        <v>7.5255</v>
      </c>
      <c r="I209" s="320">
        <f>IFERROR(__xludf.DUMMYFUNCTION("""COMPUTED_VALUE"""),90.96)</f>
        <v>90.96</v>
      </c>
      <c r="J209" s="320">
        <f>IFERROR(__xludf.DUMMYFUNCTION("""COMPUTED_VALUE"""),54.2)</f>
        <v>54.2</v>
      </c>
      <c r="K209" s="320">
        <f>IFERROR(__xludf.DUMMYFUNCTION("""COMPUTED_VALUE"""),32.01)</f>
        <v>32.01</v>
      </c>
      <c r="L209" s="320">
        <f>IFERROR(__xludf.DUMMYFUNCTION("""COMPUTED_VALUE"""),0.5906)</f>
        <v>0.5906</v>
      </c>
      <c r="M209" s="320">
        <f>IFERROR(__xludf.DUMMYFUNCTION("""COMPUTED_VALUE"""),0.4911)</f>
        <v>0.4911</v>
      </c>
      <c r="N209" s="320">
        <f>IFERROR(__xludf.DUMMYFUNCTION("""COMPUTED_VALUE"""),0.2647)</f>
        <v>0.2647</v>
      </c>
      <c r="O209" s="320">
        <f>IFERROR(__xludf.DUMMYFUNCTION("""COMPUTED_VALUE"""),1.6932)</f>
        <v>1.6932</v>
      </c>
      <c r="P209" s="320">
        <f>IFERROR(__xludf.DUMMYFUNCTION("""COMPUTED_VALUE"""),446.99)</f>
        <v>446.99</v>
      </c>
      <c r="Q209" s="320">
        <f>IFERROR(__xludf.DUMMYFUNCTION("""COMPUTED_VALUE"""),385.01)</f>
        <v>385.01</v>
      </c>
      <c r="R209" s="320">
        <f>IFERROR(__xludf.DUMMYFUNCTION("""COMPUTED_VALUE"""),61.98)</f>
        <v>61.98</v>
      </c>
      <c r="S209" s="320">
        <f>IFERROR(__xludf.DUMMYFUNCTION("""COMPUTED_VALUE"""),177.02)</f>
        <v>177.02</v>
      </c>
      <c r="T209" s="320">
        <f>IFERROR(__xludf.DUMMYFUNCTION("""COMPUTED_VALUE"""),269.97)</f>
        <v>269.97</v>
      </c>
      <c r="U209" s="320">
        <f>IFERROR(__xludf.DUMMYFUNCTION("""COMPUTED_VALUE"""),421.17)</f>
        <v>421.17</v>
      </c>
      <c r="V209" s="320">
        <f>IFERROR(__xludf.DUMMYFUNCTION("""COMPUTED_VALUE"""),7.7703)</f>
        <v>7.7703</v>
      </c>
      <c r="W209" s="320">
        <f>IFERROR(__xludf.DUMMYFUNCTION("""COMPUTED_VALUE"""),39.6)</f>
        <v>39.6</v>
      </c>
      <c r="X209" s="320">
        <f>IFERROR(__xludf.DUMMYFUNCTION("""COMPUTED_VALUE"""),100.0)</f>
        <v>100</v>
      </c>
      <c r="Y209" s="320">
        <f>IFERROR(__xludf.DUMMYFUNCTION("""COMPUTED_VALUE"""),305.0)</f>
        <v>305</v>
      </c>
      <c r="Z209" s="320">
        <f>IFERROR(__xludf.DUMMYFUNCTION("""COMPUTED_VALUE"""),894.0)</f>
        <v>894</v>
      </c>
      <c r="AA209" s="320">
        <f>IFERROR(__xludf.DUMMYFUNCTION("""COMPUTED_VALUE"""),54.7671)</f>
        <v>54.7671</v>
      </c>
      <c r="AB209" s="320">
        <f>IFERROR(__xludf.DUMMYFUNCTION("""COMPUTED_VALUE"""),0.6267)</f>
        <v>0.6267</v>
      </c>
      <c r="AC209" s="320">
        <f>IFERROR(__xludf.DUMMYFUNCTION("""COMPUTED_VALUE"""),19.84)</f>
        <v>19.84</v>
      </c>
      <c r="AD209" s="320">
        <f>IFERROR(__xludf.DUMMYFUNCTION("""COMPUTED_VALUE"""),7.0)</f>
        <v>7</v>
      </c>
      <c r="AE209" s="320">
        <f>IFERROR(__xludf.DUMMYFUNCTION("""COMPUTED_VALUE"""),16.0)</f>
        <v>16</v>
      </c>
      <c r="AF209" s="320">
        <f>IFERROR(__xludf.DUMMYFUNCTION("""COMPUTED_VALUE"""),28.0)</f>
        <v>28</v>
      </c>
      <c r="AG209" s="320">
        <f>IFERROR(__xludf.DUMMYFUNCTION("""COMPUTED_VALUE"""),41.0)</f>
        <v>41</v>
      </c>
      <c r="AH209" s="320">
        <f>IFERROR(__xludf.DUMMYFUNCTION("""COMPUTED_VALUE"""),63.54)</f>
        <v>63.54</v>
      </c>
      <c r="AI209" s="320">
        <f>IFERROR(__xludf.DUMMYFUNCTION("""COMPUTED_VALUE"""),28.99)</f>
        <v>28.99</v>
      </c>
      <c r="AJ209" s="320">
        <f>IFERROR(__xludf.DUMMYFUNCTION("""COMPUTED_VALUE"""),9.75)</f>
        <v>9.75</v>
      </c>
      <c r="AK209" s="320">
        <f>IFERROR(__xludf.DUMMYFUNCTION("""COMPUTED_VALUE"""),0.175)</f>
        <v>0.175</v>
      </c>
      <c r="AL209" s="320">
        <f>IFERROR(__xludf.DUMMYFUNCTION("""COMPUTED_VALUE"""),26.36)</f>
        <v>26.36</v>
      </c>
      <c r="AM209" s="320">
        <f>IFERROR(__xludf.DUMMYFUNCTION("""COMPUTED_VALUE"""),358.64)</f>
        <v>358.64</v>
      </c>
      <c r="AN209" s="320">
        <f>IFERROR(__xludf.DUMMYFUNCTION("""COMPUTED_VALUE"""),71.42)</f>
        <v>71.42</v>
      </c>
      <c r="AO209" s="320">
        <f>IFERROR(__xludf.DUMMYFUNCTION("""COMPUTED_VALUE"""),18.83)</f>
        <v>18.83</v>
      </c>
    </row>
    <row r="210" ht="15.75" customHeight="1">
      <c r="A210" s="330">
        <f>IFERROR(__xludf.DUMMYFUNCTION("""COMPUTED_VALUE"""),46084.0)</f>
        <v>46084</v>
      </c>
      <c r="B210" s="319" t="str">
        <f>IFERROR(__xludf.DUMMYFUNCTION("""COMPUTED_VALUE"""),"E. 40-99")</f>
        <v>E. 40-99</v>
      </c>
      <c r="C210" s="320">
        <f>IFERROR(__xludf.DUMMYFUNCTION("""COMPUTED_VALUE"""),3271.0)</f>
        <v>3271</v>
      </c>
      <c r="D210" s="320">
        <f>IFERROR(__xludf.DUMMYFUNCTION("""COMPUTED_VALUE"""),4.14)</f>
        <v>4.14</v>
      </c>
      <c r="E210" s="320">
        <f>IFERROR(__xludf.DUMMYFUNCTION("""COMPUTED_VALUE"""),19434.67)</f>
        <v>19434.67</v>
      </c>
      <c r="F210" s="320">
        <f>IFERROR(__xludf.DUMMYFUNCTION("""COMPUTED_VALUE"""),5.9415)</f>
        <v>5.9415</v>
      </c>
      <c r="G210" s="320">
        <f>IFERROR(__xludf.DUMMYFUNCTION("""COMPUTED_VALUE"""),46.65)</f>
        <v>46.65</v>
      </c>
      <c r="H210" s="320">
        <f>IFERROR(__xludf.DUMMYFUNCTION("""COMPUTED_VALUE"""),12.7357)</f>
        <v>12.7357</v>
      </c>
      <c r="I210" s="320">
        <f>IFERROR(__xludf.DUMMYFUNCTION("""COMPUTED_VALUE"""),136.79)</f>
        <v>136.79</v>
      </c>
      <c r="J210" s="320">
        <f>IFERROR(__xludf.DUMMYFUNCTION("""COMPUTED_VALUE"""),85.32)</f>
        <v>85.32</v>
      </c>
      <c r="K210" s="320">
        <f>IFERROR(__xludf.DUMMYFUNCTION("""COMPUTED_VALUE"""),60.53)</f>
        <v>60.53</v>
      </c>
      <c r="L210" s="320">
        <f>IFERROR(__xludf.DUMMYFUNCTION("""COMPUTED_VALUE"""),0.7095)</f>
        <v>0.7095</v>
      </c>
      <c r="M210" s="320">
        <f>IFERROR(__xludf.DUMMYFUNCTION("""COMPUTED_VALUE"""),0.3866)</f>
        <v>0.3866</v>
      </c>
      <c r="N210" s="320">
        <f>IFERROR(__xludf.DUMMYFUNCTION("""COMPUTED_VALUE"""),0.2246)</f>
        <v>0.2246</v>
      </c>
      <c r="O210" s="320">
        <f>IFERROR(__xludf.DUMMYFUNCTION("""COMPUTED_VALUE"""),1.4094)</f>
        <v>1.4094</v>
      </c>
      <c r="P210" s="320">
        <f>IFERROR(__xludf.DUMMYFUNCTION("""COMPUTED_VALUE"""),872.82)</f>
        <v>872.82</v>
      </c>
      <c r="Q210" s="320">
        <f>IFERROR(__xludf.DUMMYFUNCTION("""COMPUTED_VALUE"""),747.61)</f>
        <v>747.61</v>
      </c>
      <c r="R210" s="320">
        <f>IFERROR(__xludf.DUMMYFUNCTION("""COMPUTED_VALUE"""),125.22)</f>
        <v>125.22</v>
      </c>
      <c r="S210" s="320">
        <f>IFERROR(__xludf.DUMMYFUNCTION("""COMPUTED_VALUE"""),355.61)</f>
        <v>355.61</v>
      </c>
      <c r="T210" s="320">
        <f>IFERROR(__xludf.DUMMYFUNCTION("""COMPUTED_VALUE"""),517.22)</f>
        <v>517.22</v>
      </c>
      <c r="U210" s="320">
        <f>IFERROR(__xludf.DUMMYFUNCTION("""COMPUTED_VALUE"""),816.2)</f>
        <v>816.2</v>
      </c>
      <c r="V210" s="320">
        <f>IFERROR(__xludf.DUMMYFUNCTION("""COMPUTED_VALUE"""),9.5668)</f>
        <v>9.5668</v>
      </c>
      <c r="W210" s="320">
        <f>IFERROR(__xludf.DUMMYFUNCTION("""COMPUTED_VALUE"""),40.74)</f>
        <v>40.74</v>
      </c>
      <c r="X210" s="320">
        <f>IFERROR(__xludf.DUMMYFUNCTION("""COMPUTED_VALUE"""),131.0)</f>
        <v>131</v>
      </c>
      <c r="Y210" s="320">
        <f>IFERROR(__xludf.DUMMYFUNCTION("""COMPUTED_VALUE"""),458.0)</f>
        <v>458</v>
      </c>
      <c r="Z210" s="320">
        <f>IFERROR(__xludf.DUMMYFUNCTION("""COMPUTED_VALUE"""),1136.0)</f>
        <v>1136</v>
      </c>
      <c r="AA210" s="320">
        <f>IFERROR(__xludf.DUMMYFUNCTION("""COMPUTED_VALUE"""),57.759)</f>
        <v>57.759</v>
      </c>
      <c r="AB210" s="320">
        <f>IFERROR(__xludf.DUMMYFUNCTION("""COMPUTED_VALUE"""),0.7489)</f>
        <v>0.7489</v>
      </c>
      <c r="AC210" s="320">
        <f>IFERROR(__xludf.DUMMYFUNCTION("""COMPUTED_VALUE"""),40.52)</f>
        <v>40.52</v>
      </c>
      <c r="AD210" s="320">
        <f>IFERROR(__xludf.DUMMYFUNCTION("""COMPUTED_VALUE"""),16.0)</f>
        <v>16</v>
      </c>
      <c r="AE210" s="320">
        <f>IFERROR(__xludf.DUMMYFUNCTION("""COMPUTED_VALUE"""),33.0)</f>
        <v>33</v>
      </c>
      <c r="AF210" s="320">
        <f>IFERROR(__xludf.DUMMYFUNCTION("""COMPUTED_VALUE"""),55.0)</f>
        <v>55</v>
      </c>
      <c r="AG210" s="320">
        <f>IFERROR(__xludf.DUMMYFUNCTION("""COMPUTED_VALUE"""),85.0)</f>
        <v>85</v>
      </c>
      <c r="AH210" s="320">
        <f>IFERROR(__xludf.DUMMYFUNCTION("""COMPUTED_VALUE"""),55.76)</f>
        <v>55.76</v>
      </c>
      <c r="AI210" s="320">
        <f>IFERROR(__xludf.DUMMYFUNCTION("""COMPUTED_VALUE"""),21.52)</f>
        <v>21.52</v>
      </c>
      <c r="AJ210" s="320">
        <f>IFERROR(__xludf.DUMMYFUNCTION("""COMPUTED_VALUE"""),6.08)</f>
        <v>6.08</v>
      </c>
      <c r="AK210" s="320">
        <f>IFERROR(__xludf.DUMMYFUNCTION("""COMPUTED_VALUE"""),0.1706)</f>
        <v>0.1706</v>
      </c>
      <c r="AL210" s="320">
        <f>IFERROR(__xludf.DUMMYFUNCTION("""COMPUTED_VALUE"""),26.69)</f>
        <v>26.69</v>
      </c>
      <c r="AM210" s="320">
        <f>IFERROR(__xludf.DUMMYFUNCTION("""COMPUTED_VALUE"""),720.91)</f>
        <v>720.91</v>
      </c>
      <c r="AN210" s="320">
        <f>IFERROR(__xludf.DUMMYFUNCTION("""COMPUTED_VALUE"""),73.8)</f>
        <v>73.8</v>
      </c>
      <c r="AO210" s="320">
        <f>IFERROR(__xludf.DUMMYFUNCTION("""COMPUTED_VALUE"""),19.7)</f>
        <v>19.7</v>
      </c>
    </row>
    <row r="211" ht="15.75" customHeight="1">
      <c r="A211" s="330">
        <f>IFERROR(__xludf.DUMMYFUNCTION("""COMPUTED_VALUE"""),46084.0)</f>
        <v>46084</v>
      </c>
      <c r="B211" s="319" t="str">
        <f>IFERROR(__xludf.DUMMYFUNCTION("""COMPUTED_VALUE"""),"F. 100+")</f>
        <v>F. 100+</v>
      </c>
      <c r="C211" s="320">
        <f>IFERROR(__xludf.DUMMYFUNCTION("""COMPUTED_VALUE"""),397.0)</f>
        <v>397</v>
      </c>
      <c r="D211" s="320">
        <f>IFERROR(__xludf.DUMMYFUNCTION("""COMPUTED_VALUE"""),0.5)</f>
        <v>0.5</v>
      </c>
      <c r="E211" s="320">
        <f>IFERROR(__xludf.DUMMYFUNCTION("""COMPUTED_VALUE"""),3978.95)</f>
        <v>3978.95</v>
      </c>
      <c r="F211" s="320">
        <f>IFERROR(__xludf.DUMMYFUNCTION("""COMPUTED_VALUE"""),10.0225)</f>
        <v>10.0225</v>
      </c>
      <c r="G211" s="320">
        <f>IFERROR(__xludf.DUMMYFUNCTION("""COMPUTED_VALUE"""),48.61)</f>
        <v>48.61</v>
      </c>
      <c r="H211" s="320">
        <f>IFERROR(__xludf.DUMMYFUNCTION("""COMPUTED_VALUE"""),20.6163)</f>
        <v>20.6163</v>
      </c>
      <c r="I211" s="320">
        <f>IFERROR(__xludf.DUMMYFUNCTION("""COMPUTED_VALUE"""),235.73)</f>
        <v>235.73</v>
      </c>
      <c r="J211" s="320">
        <f>IFERROR(__xludf.DUMMYFUNCTION("""COMPUTED_VALUE"""),154.37)</f>
        <v>154.37</v>
      </c>
      <c r="K211" s="320">
        <f>IFERROR(__xludf.DUMMYFUNCTION("""COMPUTED_VALUE"""),130.56)</f>
        <v>130.56</v>
      </c>
      <c r="L211" s="320">
        <f>IFERROR(__xludf.DUMMYFUNCTION("""COMPUTED_VALUE"""),0.8458)</f>
        <v>0.8458</v>
      </c>
      <c r="M211" s="320">
        <f>IFERROR(__xludf.DUMMYFUNCTION("""COMPUTED_VALUE"""),0.2526)</f>
        <v>0.2526</v>
      </c>
      <c r="N211" s="320">
        <f>IFERROR(__xludf.DUMMYFUNCTION("""COMPUTED_VALUE"""),0.165)</f>
        <v>0.165</v>
      </c>
      <c r="O211" s="320">
        <f>IFERROR(__xludf.DUMMYFUNCTION("""COMPUTED_VALUE"""),1.1824)</f>
        <v>1.1824</v>
      </c>
      <c r="P211" s="320">
        <f>IFERROR(__xludf.DUMMYFUNCTION("""COMPUTED_VALUE"""),1634.34)</f>
        <v>1634.34</v>
      </c>
      <c r="Q211" s="320">
        <f>IFERROR(__xludf.DUMMYFUNCTION("""COMPUTED_VALUE"""),1360.14)</f>
        <v>1360.14</v>
      </c>
      <c r="R211" s="320">
        <f>IFERROR(__xludf.DUMMYFUNCTION("""COMPUTED_VALUE"""),274.19)</f>
        <v>274.19</v>
      </c>
      <c r="S211" s="320">
        <f>IFERROR(__xludf.DUMMYFUNCTION("""COMPUTED_VALUE"""),598.21)</f>
        <v>598.21</v>
      </c>
      <c r="T211" s="320">
        <f>IFERROR(__xludf.DUMMYFUNCTION("""COMPUTED_VALUE"""),1036.13)</f>
        <v>1036.13</v>
      </c>
      <c r="U211" s="320">
        <f>IFERROR(__xludf.DUMMYFUNCTION("""COMPUTED_VALUE"""),1524.18)</f>
        <v>1524.18</v>
      </c>
      <c r="V211" s="320">
        <f>IFERROR(__xludf.DUMMYFUNCTION("""COMPUTED_VALUE"""),9.8734)</f>
        <v>9.8734</v>
      </c>
      <c r="W211" s="320">
        <f>IFERROR(__xludf.DUMMYFUNCTION("""COMPUTED_VALUE"""),36.6)</f>
        <v>36.6</v>
      </c>
      <c r="X211" s="320">
        <f>IFERROR(__xludf.DUMMYFUNCTION("""COMPUTED_VALUE"""),310.0)</f>
        <v>310</v>
      </c>
      <c r="Y211" s="320">
        <f>IFERROR(__xludf.DUMMYFUNCTION("""COMPUTED_VALUE"""),1008.0)</f>
        <v>1008</v>
      </c>
      <c r="Z211" s="320">
        <f>IFERROR(__xludf.DUMMYFUNCTION("""COMPUTED_VALUE"""),2880.0)</f>
        <v>2880</v>
      </c>
      <c r="AA211" s="320">
        <f>IFERROR(__xludf.DUMMYFUNCTION("""COMPUTED_VALUE"""),62.2459)</f>
        <v>62.2459</v>
      </c>
      <c r="AB211" s="320">
        <f>IFERROR(__xludf.DUMMYFUNCTION("""COMPUTED_VALUE"""),0.8462)</f>
        <v>0.8462</v>
      </c>
      <c r="AC211" s="320">
        <f>IFERROR(__xludf.DUMMYFUNCTION("""COMPUTED_VALUE"""),92.06)</f>
        <v>92.06</v>
      </c>
      <c r="AD211" s="320">
        <f>IFERROR(__xludf.DUMMYFUNCTION("""COMPUTED_VALUE"""),40.0)</f>
        <v>40</v>
      </c>
      <c r="AE211" s="320">
        <f>IFERROR(__xludf.DUMMYFUNCTION("""COMPUTED_VALUE"""),77.0)</f>
        <v>77</v>
      </c>
      <c r="AF211" s="320">
        <f>IFERROR(__xludf.DUMMYFUNCTION("""COMPUTED_VALUE"""),129.0)</f>
        <v>129</v>
      </c>
      <c r="AG211" s="320">
        <f>IFERROR(__xludf.DUMMYFUNCTION("""COMPUTED_VALUE"""),177.0)</f>
        <v>177</v>
      </c>
      <c r="AH211" s="320">
        <f>IFERROR(__xludf.DUMMYFUNCTION("""COMPUTED_VALUE"""),48.36)</f>
        <v>48.36</v>
      </c>
      <c r="AI211" s="320">
        <f>IFERROR(__xludf.DUMMYFUNCTION("""COMPUTED_VALUE"""),10.08)</f>
        <v>10.08</v>
      </c>
      <c r="AJ211" s="320">
        <f>IFERROR(__xludf.DUMMYFUNCTION("""COMPUTED_VALUE"""),1.01)</f>
        <v>1.01</v>
      </c>
      <c r="AK211" s="320">
        <f>IFERROR(__xludf.DUMMYFUNCTION("""COMPUTED_VALUE"""),0.1159)</f>
        <v>0.1159</v>
      </c>
      <c r="AL211" s="320">
        <f>IFERROR(__xludf.DUMMYFUNCTION("""COMPUTED_VALUE"""),29.38)</f>
        <v>29.38</v>
      </c>
      <c r="AM211" s="320">
        <f>IFERROR(__xludf.DUMMYFUNCTION("""COMPUTED_VALUE"""),1330.76)</f>
        <v>1330.76</v>
      </c>
      <c r="AN211" s="320">
        <f>IFERROR(__xludf.DUMMYFUNCTION("""COMPUTED_VALUE"""),71.18)</f>
        <v>71.18</v>
      </c>
      <c r="AO211" s="320">
        <f>IFERROR(__xludf.DUMMYFUNCTION("""COMPUTED_VALUE"""),20.91)</f>
        <v>20.91</v>
      </c>
    </row>
    <row r="212" ht="15.75" customHeight="1">
      <c r="A212" s="330">
        <f>IFERROR(__xludf.DUMMYFUNCTION("""COMPUTED_VALUE"""),46085.0)</f>
        <v>46085</v>
      </c>
      <c r="B212" s="319" t="str">
        <f>IFERROR(__xludf.DUMMYFUNCTION("""COMPUTED_VALUE"""),"A. 0")</f>
        <v>A. 0</v>
      </c>
      <c r="C212" s="320">
        <f>IFERROR(__xludf.DUMMYFUNCTION("""COMPUTED_VALUE"""),15780.0)</f>
        <v>15780</v>
      </c>
      <c r="D212" s="320">
        <f>IFERROR(__xludf.DUMMYFUNCTION("""COMPUTED_VALUE"""),20.31)</f>
        <v>20.31</v>
      </c>
      <c r="E212" s="320">
        <f>IFERROR(__xludf.DUMMYFUNCTION("""COMPUTED_VALUE"""),263.96)</f>
        <v>263.96</v>
      </c>
      <c r="F212" s="320">
        <f>IFERROR(__xludf.DUMMYFUNCTION("""COMPUTED_VALUE"""),0.0167)</f>
        <v>0.0167</v>
      </c>
      <c r="G212" s="320">
        <f>IFERROR(__xludf.DUMMYFUNCTION("""COMPUTED_VALUE"""),0.39)</f>
        <v>0.39</v>
      </c>
      <c r="H212" s="320">
        <f>IFERROR(__xludf.DUMMYFUNCTION("""COMPUTED_VALUE"""),4.3272)</f>
        <v>4.3272</v>
      </c>
      <c r="I212" s="320">
        <f>IFERROR(__xludf.DUMMYFUNCTION("""COMPUTED_VALUE"""),6.81)</f>
        <v>6.81</v>
      </c>
      <c r="J212" s="320">
        <f>IFERROR(__xludf.DUMMYFUNCTION("""COMPUTED_VALUE"""),3.19)</f>
        <v>3.19</v>
      </c>
      <c r="K212" s="320">
        <f>IFERROR(__xludf.DUMMYFUNCTION("""COMPUTED_VALUE"""),0.05)</f>
        <v>0.05</v>
      </c>
      <c r="L212" s="320">
        <f>IFERROR(__xludf.DUMMYFUNCTION("""COMPUTED_VALUE"""),0.0168)</f>
        <v>0.0168</v>
      </c>
      <c r="M212" s="320">
        <f>IFERROR(__xludf.DUMMYFUNCTION("""COMPUTED_VALUE"""),0.9845)</f>
        <v>0.9845</v>
      </c>
      <c r="N212" s="320">
        <f>IFERROR(__xludf.DUMMYFUNCTION("""COMPUTED_VALUE"""),0.7797)</f>
        <v>0.7797</v>
      </c>
      <c r="O212" s="320">
        <f>IFERROR(__xludf.DUMMYFUNCTION("""COMPUTED_VALUE"""),59.6943)</f>
        <v>59.6943</v>
      </c>
      <c r="P212" s="320">
        <f>IFERROR(__xludf.DUMMYFUNCTION("""COMPUTED_VALUE"""),24.28)</f>
        <v>24.28</v>
      </c>
      <c r="Q212" s="320">
        <f>IFERROR(__xludf.DUMMYFUNCTION("""COMPUTED_VALUE"""),24.21)</f>
        <v>24.21</v>
      </c>
      <c r="R212" s="320">
        <f>IFERROR(__xludf.DUMMYFUNCTION("""COMPUTED_VALUE"""),0.08)</f>
        <v>0.08</v>
      </c>
      <c r="S212" s="320">
        <f>IFERROR(__xludf.DUMMYFUNCTION("""COMPUTED_VALUE"""),1.17)</f>
        <v>1.17</v>
      </c>
      <c r="T212" s="320">
        <f>IFERROR(__xludf.DUMMYFUNCTION("""COMPUTED_VALUE"""),23.11)</f>
        <v>23.11</v>
      </c>
      <c r="U212" s="320">
        <f>IFERROR(__xludf.DUMMYFUNCTION("""COMPUTED_VALUE"""),1.86)</f>
        <v>1.86</v>
      </c>
      <c r="V212" s="320">
        <f>IFERROR(__xludf.DUMMYFUNCTION("""COMPUTED_VALUE"""),0.5816)</f>
        <v>0.5816</v>
      </c>
      <c r="W212" s="320">
        <f>IFERROR(__xludf.DUMMYFUNCTION("""COMPUTED_VALUE"""),4.82)</f>
        <v>4.82</v>
      </c>
      <c r="X212" s="320">
        <f>IFERROR(__xludf.DUMMYFUNCTION("""COMPUTED_VALUE"""),150.0)</f>
        <v>150</v>
      </c>
      <c r="Y212" s="320">
        <f>IFERROR(__xludf.DUMMYFUNCTION("""COMPUTED_VALUE"""),1082.0)</f>
        <v>1082</v>
      </c>
      <c r="Z212" s="320">
        <f>IFERROR(__xludf.DUMMYFUNCTION("""COMPUTED_VALUE"""),7221.0)</f>
        <v>7221</v>
      </c>
      <c r="AA212" s="320">
        <f>IFERROR(__xludf.DUMMYFUNCTION("""COMPUTED_VALUE"""),49.6812)</f>
        <v>49.6812</v>
      </c>
      <c r="AB212" s="320">
        <f>IFERROR(__xludf.DUMMYFUNCTION("""COMPUTED_VALUE"""),0.4977)</f>
        <v>0.4977</v>
      </c>
      <c r="AC212" s="106"/>
      <c r="AD212" s="106"/>
      <c r="AE212" s="106"/>
      <c r="AF212" s="106"/>
      <c r="AG212" s="106"/>
      <c r="AH212" s="320">
        <f>IFERROR(__xludf.DUMMYFUNCTION("""COMPUTED_VALUE"""),0.0)</f>
        <v>0</v>
      </c>
      <c r="AI212" s="320">
        <f>IFERROR(__xludf.DUMMYFUNCTION("""COMPUTED_VALUE"""),0.0)</f>
        <v>0</v>
      </c>
      <c r="AJ212" s="320">
        <f>IFERROR(__xludf.DUMMYFUNCTION("""COMPUTED_VALUE"""),0.0)</f>
        <v>0</v>
      </c>
      <c r="AK212" s="320">
        <f>IFERROR(__xludf.DUMMYFUNCTION("""COMPUTED_VALUE"""),0.2741)</f>
        <v>0.2741</v>
      </c>
      <c r="AL212" s="320">
        <f>IFERROR(__xludf.DUMMYFUNCTION("""COMPUTED_VALUE"""),14.74)</f>
        <v>14.74</v>
      </c>
      <c r="AM212" s="320">
        <f>IFERROR(__xludf.DUMMYFUNCTION("""COMPUTED_VALUE"""),9.46)</f>
        <v>9.46</v>
      </c>
      <c r="AN212" s="331"/>
      <c r="AO212" s="331"/>
    </row>
    <row r="213" ht="15.75" customHeight="1">
      <c r="A213" s="330">
        <f>IFERROR(__xludf.DUMMYFUNCTION("""COMPUTED_VALUE"""),46085.0)</f>
        <v>46085</v>
      </c>
      <c r="B213" s="319" t="str">
        <f>IFERROR(__xludf.DUMMYFUNCTION("""COMPUTED_VALUE"""),"B. 1-9")</f>
        <v>B. 1-9</v>
      </c>
      <c r="C213" s="320">
        <f>IFERROR(__xludf.DUMMYFUNCTION("""COMPUTED_VALUE"""),33171.0)</f>
        <v>33171</v>
      </c>
      <c r="D213" s="320">
        <f>IFERROR(__xludf.DUMMYFUNCTION("""COMPUTED_VALUE"""),42.69)</f>
        <v>42.69</v>
      </c>
      <c r="E213" s="320">
        <f>IFERROR(__xludf.DUMMYFUNCTION("""COMPUTED_VALUE"""),9221.65)</f>
        <v>9221.65</v>
      </c>
      <c r="F213" s="320">
        <f>IFERROR(__xludf.DUMMYFUNCTION("""COMPUTED_VALUE"""),0.278)</f>
        <v>0.278</v>
      </c>
      <c r="G213" s="320">
        <f>IFERROR(__xludf.DUMMYFUNCTION("""COMPUTED_VALUE"""),7.95)</f>
        <v>7.95</v>
      </c>
      <c r="H213" s="320">
        <f>IFERROR(__xludf.DUMMYFUNCTION("""COMPUTED_VALUE"""),3.497)</f>
        <v>3.497</v>
      </c>
      <c r="I213" s="320">
        <f>IFERROR(__xludf.DUMMYFUNCTION("""COMPUTED_VALUE"""),34.57)</f>
        <v>34.57</v>
      </c>
      <c r="J213" s="320">
        <f>IFERROR(__xludf.DUMMYFUNCTION("""COMPUTED_VALUE"""),18.75)</f>
        <v>18.75</v>
      </c>
      <c r="K213" s="320">
        <f>IFERROR(__xludf.DUMMYFUNCTION("""COMPUTED_VALUE"""),5.56)</f>
        <v>5.56</v>
      </c>
      <c r="L213" s="320">
        <f>IFERROR(__xludf.DUMMYFUNCTION("""COMPUTED_VALUE"""),0.2967)</f>
        <v>0.2967</v>
      </c>
      <c r="M213" s="320">
        <f>IFERROR(__xludf.DUMMYFUNCTION("""COMPUTED_VALUE"""),0.7688)</f>
        <v>0.7688</v>
      </c>
      <c r="N213" s="320">
        <f>IFERROR(__xludf.DUMMYFUNCTION("""COMPUTED_VALUE"""),0.5042)</f>
        <v>0.5042</v>
      </c>
      <c r="O213" s="320">
        <f>IFERROR(__xludf.DUMMYFUNCTION("""COMPUTED_VALUE"""),3.3702)</f>
        <v>3.3702</v>
      </c>
      <c r="P213" s="320">
        <f>IFERROR(__xludf.DUMMYFUNCTION("""COMPUTED_VALUE"""),72.49)</f>
        <v>72.49</v>
      </c>
      <c r="Q213" s="320">
        <f>IFERROR(__xludf.DUMMYFUNCTION("""COMPUTED_VALUE"""),60.85)</f>
        <v>60.85</v>
      </c>
      <c r="R213" s="320">
        <f>IFERROR(__xludf.DUMMYFUNCTION("""COMPUTED_VALUE"""),11.64)</f>
        <v>11.64</v>
      </c>
      <c r="S213" s="320">
        <f>IFERROR(__xludf.DUMMYFUNCTION("""COMPUTED_VALUE"""),15.9)</f>
        <v>15.9</v>
      </c>
      <c r="T213" s="320">
        <f>IFERROR(__xludf.DUMMYFUNCTION("""COMPUTED_VALUE"""),56.6)</f>
        <v>56.6</v>
      </c>
      <c r="U213" s="320">
        <f>IFERROR(__xludf.DUMMYFUNCTION("""COMPUTED_VALUE"""),76.9)</f>
        <v>76.9</v>
      </c>
      <c r="V213" s="320">
        <f>IFERROR(__xludf.DUMMYFUNCTION("""COMPUTED_VALUE"""),4.101)</f>
        <v>4.101</v>
      </c>
      <c r="W213" s="320">
        <f>IFERROR(__xludf.DUMMYFUNCTION("""COMPUTED_VALUE"""),21.93)</f>
        <v>21.93</v>
      </c>
      <c r="X213" s="320">
        <f>IFERROR(__xludf.DUMMYFUNCTION("""COMPUTED_VALUE"""),88.0)</f>
        <v>88</v>
      </c>
      <c r="Y213" s="320">
        <f>IFERROR(__xludf.DUMMYFUNCTION("""COMPUTED_VALUE"""),213.0)</f>
        <v>213</v>
      </c>
      <c r="Z213" s="320">
        <f>IFERROR(__xludf.DUMMYFUNCTION("""COMPUTED_VALUE"""),882.0)</f>
        <v>882</v>
      </c>
      <c r="AA213" s="320">
        <f>IFERROR(__xludf.DUMMYFUNCTION("""COMPUTED_VALUE"""),49.3871)</f>
        <v>49.3871</v>
      </c>
      <c r="AB213" s="320">
        <f>IFERROR(__xludf.DUMMYFUNCTION("""COMPUTED_VALUE"""),0.4339)</f>
        <v>0.4339</v>
      </c>
      <c r="AC213" s="320">
        <f>IFERROR(__xludf.DUMMYFUNCTION("""COMPUTED_VALUE"""),3.73)</f>
        <v>3.73</v>
      </c>
      <c r="AD213" s="320">
        <f>IFERROR(__xludf.DUMMYFUNCTION("""COMPUTED_VALUE"""),1.0)</f>
        <v>1</v>
      </c>
      <c r="AE213" s="320">
        <f>IFERROR(__xludf.DUMMYFUNCTION("""COMPUTED_VALUE"""),2.0)</f>
        <v>2</v>
      </c>
      <c r="AF213" s="320">
        <f>IFERROR(__xludf.DUMMYFUNCTION("""COMPUTED_VALUE"""),5.0)</f>
        <v>5</v>
      </c>
      <c r="AG213" s="320">
        <f>IFERROR(__xludf.DUMMYFUNCTION("""COMPUTED_VALUE"""),8.0)</f>
        <v>8</v>
      </c>
      <c r="AH213" s="320">
        <f>IFERROR(__xludf.DUMMYFUNCTION("""COMPUTED_VALUE"""),67.52)</f>
        <v>67.52</v>
      </c>
      <c r="AI213" s="320">
        <f>IFERROR(__xludf.DUMMYFUNCTION("""COMPUTED_VALUE"""),26.82)</f>
        <v>26.82</v>
      </c>
      <c r="AJ213" s="320">
        <f>IFERROR(__xludf.DUMMYFUNCTION("""COMPUTED_VALUE"""),8.12)</f>
        <v>8.12</v>
      </c>
      <c r="AK213" s="320">
        <f>IFERROR(__xludf.DUMMYFUNCTION("""COMPUTED_VALUE"""),0.2073)</f>
        <v>0.2073</v>
      </c>
      <c r="AL213" s="320">
        <f>IFERROR(__xludf.DUMMYFUNCTION("""COMPUTED_VALUE"""),19.85)</f>
        <v>19.85</v>
      </c>
      <c r="AM213" s="320">
        <f>IFERROR(__xludf.DUMMYFUNCTION("""COMPUTED_VALUE"""),41.0)</f>
        <v>41</v>
      </c>
      <c r="AN213" s="320">
        <f>IFERROR(__xludf.DUMMYFUNCTION("""COMPUTED_VALUE"""),68.2)</f>
        <v>68.2</v>
      </c>
      <c r="AO213" s="320">
        <f>IFERROR(__xludf.DUMMYFUNCTION("""COMPUTED_VALUE"""),13.54)</f>
        <v>13.54</v>
      </c>
    </row>
    <row r="214" ht="15.75" customHeight="1">
      <c r="A214" s="330">
        <f>IFERROR(__xludf.DUMMYFUNCTION("""COMPUTED_VALUE"""),46085.0)</f>
        <v>46085</v>
      </c>
      <c r="B214" s="319" t="str">
        <f>IFERROR(__xludf.DUMMYFUNCTION("""COMPUTED_VALUE"""),"C. 10-19")</f>
        <v>C. 10-19</v>
      </c>
      <c r="C214" s="320">
        <f>IFERROR(__xludf.DUMMYFUNCTION("""COMPUTED_VALUE"""),16513.0)</f>
        <v>16513</v>
      </c>
      <c r="D214" s="320">
        <f>IFERROR(__xludf.DUMMYFUNCTION("""COMPUTED_VALUE"""),21.25)</f>
        <v>21.25</v>
      </c>
      <c r="E214" s="320">
        <f>IFERROR(__xludf.DUMMYFUNCTION("""COMPUTED_VALUE"""),21050.88)</f>
        <v>21050.88</v>
      </c>
      <c r="F214" s="320">
        <f>IFERROR(__xludf.DUMMYFUNCTION("""COMPUTED_VALUE"""),1.2748)</f>
        <v>1.2748</v>
      </c>
      <c r="G214" s="320">
        <f>IFERROR(__xludf.DUMMYFUNCTION("""COMPUTED_VALUE"""),25.3)</f>
        <v>25.3</v>
      </c>
      <c r="H214" s="320">
        <f>IFERROR(__xludf.DUMMYFUNCTION("""COMPUTED_VALUE"""),5.0385)</f>
        <v>5.0385</v>
      </c>
      <c r="I214" s="320">
        <f>IFERROR(__xludf.DUMMYFUNCTION("""COMPUTED_VALUE"""),62.15)</f>
        <v>62.15</v>
      </c>
      <c r="J214" s="320">
        <f>IFERROR(__xludf.DUMMYFUNCTION("""COMPUTED_VALUE"""),35.98)</f>
        <v>35.98</v>
      </c>
      <c r="K214" s="320">
        <f>IFERROR(__xludf.DUMMYFUNCTION("""COMPUTED_VALUE"""),15.2)</f>
        <v>15.2</v>
      </c>
      <c r="L214" s="320">
        <f>IFERROR(__xludf.DUMMYFUNCTION("""COMPUTED_VALUE"""),0.4226)</f>
        <v>0.4226</v>
      </c>
      <c r="M214" s="320">
        <f>IFERROR(__xludf.DUMMYFUNCTION("""COMPUTED_VALUE"""),0.6393)</f>
        <v>0.6393</v>
      </c>
      <c r="N214" s="320">
        <f>IFERROR(__xludf.DUMMYFUNCTION("""COMPUTED_VALUE"""),0.3473)</f>
        <v>0.3473</v>
      </c>
      <c r="O214" s="320">
        <f>IFERROR(__xludf.DUMMYFUNCTION("""COMPUTED_VALUE"""),2.3665)</f>
        <v>2.3665</v>
      </c>
      <c r="P214" s="320">
        <f>IFERROR(__xludf.DUMMYFUNCTION("""COMPUTED_VALUE"""),175.11)</f>
        <v>175.11</v>
      </c>
      <c r="Q214" s="320">
        <f>IFERROR(__xludf.DUMMYFUNCTION("""COMPUTED_VALUE"""),145.26)</f>
        <v>145.26</v>
      </c>
      <c r="R214" s="320">
        <f>IFERROR(__xludf.DUMMYFUNCTION("""COMPUTED_VALUE"""),29.85)</f>
        <v>29.85</v>
      </c>
      <c r="S214" s="320">
        <f>IFERROR(__xludf.DUMMYFUNCTION("""COMPUTED_VALUE"""),75.43)</f>
        <v>75.43</v>
      </c>
      <c r="T214" s="320">
        <f>IFERROR(__xludf.DUMMYFUNCTION("""COMPUTED_VALUE"""),99.69)</f>
        <v>99.69</v>
      </c>
      <c r="U214" s="320">
        <f>IFERROR(__xludf.DUMMYFUNCTION("""COMPUTED_VALUE"""),183.73)</f>
        <v>183.73</v>
      </c>
      <c r="V214" s="320">
        <f>IFERROR(__xludf.DUMMYFUNCTION("""COMPUTED_VALUE"""),5.1065)</f>
        <v>5.1065</v>
      </c>
      <c r="W214" s="320">
        <f>IFERROR(__xludf.DUMMYFUNCTION("""COMPUTED_VALUE"""),43.07)</f>
        <v>43.07</v>
      </c>
      <c r="X214" s="320">
        <f>IFERROR(__xludf.DUMMYFUNCTION("""COMPUTED_VALUE"""),85.0)</f>
        <v>85</v>
      </c>
      <c r="Y214" s="320">
        <f>IFERROR(__xludf.DUMMYFUNCTION("""COMPUTED_VALUE"""),197.0)</f>
        <v>197</v>
      </c>
      <c r="Z214" s="320">
        <f>IFERROR(__xludf.DUMMYFUNCTION("""COMPUTED_VALUE"""),646.0)</f>
        <v>646</v>
      </c>
      <c r="AA214" s="320">
        <f>IFERROR(__xludf.DUMMYFUNCTION("""COMPUTED_VALUE"""),52.3941)</f>
        <v>52.3941</v>
      </c>
      <c r="AB214" s="320">
        <f>IFERROR(__xludf.DUMMYFUNCTION("""COMPUTED_VALUE"""),0.5374)</f>
        <v>0.5374</v>
      </c>
      <c r="AC214" s="320">
        <f>IFERROR(__xludf.DUMMYFUNCTION("""COMPUTED_VALUE"""),9.34)</f>
        <v>9.34</v>
      </c>
      <c r="AD214" s="320">
        <f>IFERROR(__xludf.DUMMYFUNCTION("""COMPUTED_VALUE"""),3.0)</f>
        <v>3</v>
      </c>
      <c r="AE214" s="320">
        <f>IFERROR(__xludf.DUMMYFUNCTION("""COMPUTED_VALUE"""),7.0)</f>
        <v>7</v>
      </c>
      <c r="AF214" s="320">
        <f>IFERROR(__xludf.DUMMYFUNCTION("""COMPUTED_VALUE"""),13.0)</f>
        <v>13</v>
      </c>
      <c r="AG214" s="320">
        <f>IFERROR(__xludf.DUMMYFUNCTION("""COMPUTED_VALUE"""),21.0)</f>
        <v>21</v>
      </c>
      <c r="AH214" s="320">
        <f>IFERROR(__xludf.DUMMYFUNCTION("""COMPUTED_VALUE"""),56.57)</f>
        <v>56.57</v>
      </c>
      <c r="AI214" s="320">
        <f>IFERROR(__xludf.DUMMYFUNCTION("""COMPUTED_VALUE"""),26.62)</f>
        <v>26.62</v>
      </c>
      <c r="AJ214" s="320">
        <f>IFERROR(__xludf.DUMMYFUNCTION("""COMPUTED_VALUE"""),5.54)</f>
        <v>5.54</v>
      </c>
      <c r="AK214" s="320">
        <f>IFERROR(__xludf.DUMMYFUNCTION("""COMPUTED_VALUE"""),0.1749)</f>
        <v>0.1749</v>
      </c>
      <c r="AL214" s="320">
        <f>IFERROR(__xludf.DUMMYFUNCTION("""COMPUTED_VALUE"""),21.48)</f>
        <v>21.48</v>
      </c>
      <c r="AM214" s="320">
        <f>IFERROR(__xludf.DUMMYFUNCTION("""COMPUTED_VALUE"""),123.78)</f>
        <v>123.78</v>
      </c>
      <c r="AN214" s="320">
        <f>IFERROR(__xludf.DUMMYFUNCTION("""COMPUTED_VALUE"""),73.07)</f>
        <v>73.07</v>
      </c>
      <c r="AO214" s="320">
        <f>IFERROR(__xludf.DUMMYFUNCTION("""COMPUTED_VALUE"""),15.7)</f>
        <v>15.7</v>
      </c>
    </row>
    <row r="215" ht="15.75" customHeight="1">
      <c r="A215" s="330">
        <f>IFERROR(__xludf.DUMMYFUNCTION("""COMPUTED_VALUE"""),46085.0)</f>
        <v>46085</v>
      </c>
      <c r="B215" s="319" t="str">
        <f>IFERROR(__xludf.DUMMYFUNCTION("""COMPUTED_VALUE"""),"D. 20-39")</f>
        <v>D. 20-39</v>
      </c>
      <c r="C215" s="320">
        <f>IFERROR(__xludf.DUMMYFUNCTION("""COMPUTED_VALUE"""),8564.0)</f>
        <v>8564</v>
      </c>
      <c r="D215" s="320">
        <f>IFERROR(__xludf.DUMMYFUNCTION("""COMPUTED_VALUE"""),11.02)</f>
        <v>11.02</v>
      </c>
      <c r="E215" s="320">
        <f>IFERROR(__xludf.DUMMYFUNCTION("""COMPUTED_VALUE"""),23949.07)</f>
        <v>23949.07</v>
      </c>
      <c r="F215" s="320">
        <f>IFERROR(__xludf.DUMMYFUNCTION("""COMPUTED_VALUE"""),2.7965)</f>
        <v>2.7965</v>
      </c>
      <c r="G215" s="320">
        <f>IFERROR(__xludf.DUMMYFUNCTION("""COMPUTED_VALUE"""),36.49)</f>
        <v>36.49</v>
      </c>
      <c r="H215" s="320">
        <f>IFERROR(__xludf.DUMMYFUNCTION("""COMPUTED_VALUE"""),7.6637)</f>
        <v>7.6637</v>
      </c>
      <c r="I215" s="320">
        <f>IFERROR(__xludf.DUMMYFUNCTION("""COMPUTED_VALUE"""),84.98)</f>
        <v>84.98</v>
      </c>
      <c r="J215" s="320">
        <f>IFERROR(__xludf.DUMMYFUNCTION("""COMPUTED_VALUE"""),50.84)</f>
        <v>50.84</v>
      </c>
      <c r="K215" s="320">
        <f>IFERROR(__xludf.DUMMYFUNCTION("""COMPUTED_VALUE"""),27.22)</f>
        <v>27.22</v>
      </c>
      <c r="L215" s="320">
        <f>IFERROR(__xludf.DUMMYFUNCTION("""COMPUTED_VALUE"""),0.5355)</f>
        <v>0.5355</v>
      </c>
      <c r="M215" s="320">
        <f>IFERROR(__xludf.DUMMYFUNCTION("""COMPUTED_VALUE"""),0.5369)</f>
        <v>0.5369</v>
      </c>
      <c r="N215" s="320">
        <f>IFERROR(__xludf.DUMMYFUNCTION("""COMPUTED_VALUE"""),0.288)</f>
        <v>0.288</v>
      </c>
      <c r="O215" s="320">
        <f>IFERROR(__xludf.DUMMYFUNCTION("""COMPUTED_VALUE"""),1.8675)</f>
        <v>1.8675</v>
      </c>
      <c r="P215" s="320">
        <f>IFERROR(__xludf.DUMMYFUNCTION("""COMPUTED_VALUE"""),324.39)</f>
        <v>324.39</v>
      </c>
      <c r="Q215" s="320">
        <f>IFERROR(__xludf.DUMMYFUNCTION("""COMPUTED_VALUE"""),268.02)</f>
        <v>268.02</v>
      </c>
      <c r="R215" s="320">
        <f>IFERROR(__xludf.DUMMYFUNCTION("""COMPUTED_VALUE"""),56.37)</f>
        <v>56.37</v>
      </c>
      <c r="S215" s="320">
        <f>IFERROR(__xludf.DUMMYFUNCTION("""COMPUTED_VALUE"""),167.24)</f>
        <v>167.24</v>
      </c>
      <c r="T215" s="320">
        <f>IFERROR(__xludf.DUMMYFUNCTION("""COMPUTED_VALUE"""),157.15)</f>
        <v>157.15</v>
      </c>
      <c r="U215" s="320">
        <f>IFERROR(__xludf.DUMMYFUNCTION("""COMPUTED_VALUE"""),342.71)</f>
        <v>342.71</v>
      </c>
      <c r="V215" s="320">
        <f>IFERROR(__xludf.DUMMYFUNCTION("""COMPUTED_VALUE"""),6.7414)</f>
        <v>6.7414</v>
      </c>
      <c r="W215" s="320">
        <f>IFERROR(__xludf.DUMMYFUNCTION("""COMPUTED_VALUE"""),51.56)</f>
        <v>51.56</v>
      </c>
      <c r="X215" s="320">
        <f>IFERROR(__xludf.DUMMYFUNCTION("""COMPUTED_VALUE"""),87.0)</f>
        <v>87</v>
      </c>
      <c r="Y215" s="320">
        <f>IFERROR(__xludf.DUMMYFUNCTION("""COMPUTED_VALUE"""),227.0)</f>
        <v>227</v>
      </c>
      <c r="Z215" s="320">
        <f>IFERROR(__xludf.DUMMYFUNCTION("""COMPUTED_VALUE"""),725.0)</f>
        <v>725</v>
      </c>
      <c r="AA215" s="320">
        <f>IFERROR(__xludf.DUMMYFUNCTION("""COMPUTED_VALUE"""),54.7438)</f>
        <v>54.7438</v>
      </c>
      <c r="AB215" s="320">
        <f>IFERROR(__xludf.DUMMYFUNCTION("""COMPUTED_VALUE"""),0.6685)</f>
        <v>0.6685</v>
      </c>
      <c r="AC215" s="320">
        <f>IFERROR(__xludf.DUMMYFUNCTION("""COMPUTED_VALUE"""),17.76)</f>
        <v>17.76</v>
      </c>
      <c r="AD215" s="320">
        <f>IFERROR(__xludf.DUMMYFUNCTION("""COMPUTED_VALUE"""),6.0)</f>
        <v>6</v>
      </c>
      <c r="AE215" s="320">
        <f>IFERROR(__xludf.DUMMYFUNCTION("""COMPUTED_VALUE"""),13.0)</f>
        <v>13</v>
      </c>
      <c r="AF215" s="320">
        <f>IFERROR(__xludf.DUMMYFUNCTION("""COMPUTED_VALUE"""),25.0)</f>
        <v>25</v>
      </c>
      <c r="AG215" s="320">
        <f>IFERROR(__xludf.DUMMYFUNCTION("""COMPUTED_VALUE"""),38.0)</f>
        <v>38</v>
      </c>
      <c r="AH215" s="320">
        <f>IFERROR(__xludf.DUMMYFUNCTION("""COMPUTED_VALUE"""),56.56)</f>
        <v>56.56</v>
      </c>
      <c r="AI215" s="320">
        <f>IFERROR(__xludf.DUMMYFUNCTION("""COMPUTED_VALUE"""),24.79)</f>
        <v>24.79</v>
      </c>
      <c r="AJ215" s="320">
        <f>IFERROR(__xludf.DUMMYFUNCTION("""COMPUTED_VALUE"""),7.72)</f>
        <v>7.72</v>
      </c>
      <c r="AK215" s="320">
        <f>IFERROR(__xludf.DUMMYFUNCTION("""COMPUTED_VALUE"""),0.188)</f>
        <v>0.188</v>
      </c>
      <c r="AL215" s="320">
        <f>IFERROR(__xludf.DUMMYFUNCTION("""COMPUTED_VALUE"""),21.27)</f>
        <v>21.27</v>
      </c>
      <c r="AM215" s="320">
        <f>IFERROR(__xludf.DUMMYFUNCTION("""COMPUTED_VALUE"""),246.75)</f>
        <v>246.75</v>
      </c>
      <c r="AN215" s="320">
        <f>IFERROR(__xludf.DUMMYFUNCTION("""COMPUTED_VALUE"""),73.77)</f>
        <v>73.77</v>
      </c>
      <c r="AO215" s="320">
        <f>IFERROR(__xludf.DUMMYFUNCTION("""COMPUTED_VALUE"""),15.69)</f>
        <v>15.69</v>
      </c>
    </row>
    <row r="216" ht="15.75" customHeight="1">
      <c r="A216" s="330">
        <f>IFERROR(__xludf.DUMMYFUNCTION("""COMPUTED_VALUE"""),46085.0)</f>
        <v>46085</v>
      </c>
      <c r="B216" s="319" t="str">
        <f>IFERROR(__xludf.DUMMYFUNCTION("""COMPUTED_VALUE"""),"E. 40-99")</f>
        <v>E. 40-99</v>
      </c>
      <c r="C216" s="320">
        <f>IFERROR(__xludf.DUMMYFUNCTION("""COMPUTED_VALUE"""),3303.0)</f>
        <v>3303</v>
      </c>
      <c r="D216" s="320">
        <f>IFERROR(__xludf.DUMMYFUNCTION("""COMPUTED_VALUE"""),4.25)</f>
        <v>4.25</v>
      </c>
      <c r="E216" s="320">
        <f>IFERROR(__xludf.DUMMYFUNCTION("""COMPUTED_VALUE"""),19884.47)</f>
        <v>19884.47</v>
      </c>
      <c r="F216" s="320">
        <f>IFERROR(__xludf.DUMMYFUNCTION("""COMPUTED_VALUE"""),6.0201)</f>
        <v>6.0201</v>
      </c>
      <c r="G216" s="320">
        <f>IFERROR(__xludf.DUMMYFUNCTION("""COMPUTED_VALUE"""),45.14)</f>
        <v>45.14</v>
      </c>
      <c r="H216" s="320">
        <f>IFERROR(__xludf.DUMMYFUNCTION("""COMPUTED_VALUE"""),13.3363)</f>
        <v>13.3363</v>
      </c>
      <c r="I216" s="320">
        <f>IFERROR(__xludf.DUMMYFUNCTION("""COMPUTED_VALUE"""),131.0)</f>
        <v>131</v>
      </c>
      <c r="J216" s="320">
        <f>IFERROR(__xludf.DUMMYFUNCTION("""COMPUTED_VALUE"""),81.03)</f>
        <v>81.03</v>
      </c>
      <c r="K216" s="320">
        <f>IFERROR(__xludf.DUMMYFUNCTION("""COMPUTED_VALUE"""),55.58)</f>
        <v>55.58</v>
      </c>
      <c r="L216" s="320">
        <f>IFERROR(__xludf.DUMMYFUNCTION("""COMPUTED_VALUE"""),0.686)</f>
        <v>0.686</v>
      </c>
      <c r="M216" s="320">
        <f>IFERROR(__xludf.DUMMYFUNCTION("""COMPUTED_VALUE"""),0.4028)</f>
        <v>0.4028</v>
      </c>
      <c r="N216" s="320">
        <f>IFERROR(__xludf.DUMMYFUNCTION("""COMPUTED_VALUE"""),0.225)</f>
        <v>0.225</v>
      </c>
      <c r="O216" s="320">
        <f>IFERROR(__xludf.DUMMYFUNCTION("""COMPUTED_VALUE"""),1.4577)</f>
        <v>1.4577</v>
      </c>
      <c r="P216" s="320">
        <f>IFERROR(__xludf.DUMMYFUNCTION("""COMPUTED_VALUE"""),658.8)</f>
        <v>658.8</v>
      </c>
      <c r="Q216" s="320">
        <f>IFERROR(__xludf.DUMMYFUNCTION("""COMPUTED_VALUE"""),542.08)</f>
        <v>542.08</v>
      </c>
      <c r="R216" s="320">
        <f>IFERROR(__xludf.DUMMYFUNCTION("""COMPUTED_VALUE"""),116.72)</f>
        <v>116.72</v>
      </c>
      <c r="S216" s="320">
        <f>IFERROR(__xludf.DUMMYFUNCTION("""COMPUTED_VALUE"""),373.04)</f>
        <v>373.04</v>
      </c>
      <c r="T216" s="320">
        <f>IFERROR(__xludf.DUMMYFUNCTION("""COMPUTED_VALUE"""),285.77)</f>
        <v>285.77</v>
      </c>
      <c r="U216" s="320">
        <f>IFERROR(__xludf.DUMMYFUNCTION("""COMPUTED_VALUE"""),701.97)</f>
        <v>701.97</v>
      </c>
      <c r="V216" s="320">
        <f>IFERROR(__xludf.DUMMYFUNCTION("""COMPUTED_VALUE"""),8.6636)</f>
        <v>8.6636</v>
      </c>
      <c r="W216" s="320">
        <f>IFERROR(__xludf.DUMMYFUNCTION("""COMPUTED_VALUE"""),56.62)</f>
        <v>56.62</v>
      </c>
      <c r="X216" s="320">
        <f>IFERROR(__xludf.DUMMYFUNCTION("""COMPUTED_VALUE"""),107.0)</f>
        <v>107</v>
      </c>
      <c r="Y216" s="320">
        <f>IFERROR(__xludf.DUMMYFUNCTION("""COMPUTED_VALUE"""),371.0)</f>
        <v>371</v>
      </c>
      <c r="Z216" s="320">
        <f>IFERROR(__xludf.DUMMYFUNCTION("""COMPUTED_VALUE"""),1074.0)</f>
        <v>1074</v>
      </c>
      <c r="AA216" s="320">
        <f>IFERROR(__xludf.DUMMYFUNCTION("""COMPUTED_VALUE"""),58.0838)</f>
        <v>58.0838</v>
      </c>
      <c r="AB216" s="320">
        <f>IFERROR(__xludf.DUMMYFUNCTION("""COMPUTED_VALUE"""),0.7814)</f>
        <v>0.7814</v>
      </c>
      <c r="AC216" s="320">
        <f>IFERROR(__xludf.DUMMYFUNCTION("""COMPUTED_VALUE"""),37.95)</f>
        <v>37.95</v>
      </c>
      <c r="AD216" s="320">
        <f>IFERROR(__xludf.DUMMYFUNCTION("""COMPUTED_VALUE"""),12.0)</f>
        <v>12</v>
      </c>
      <c r="AE216" s="320">
        <f>IFERROR(__xludf.DUMMYFUNCTION("""COMPUTED_VALUE"""),29.0)</f>
        <v>29</v>
      </c>
      <c r="AF216" s="320">
        <f>IFERROR(__xludf.DUMMYFUNCTION("""COMPUTED_VALUE"""),54.0)</f>
        <v>54</v>
      </c>
      <c r="AG216" s="320">
        <f>IFERROR(__xludf.DUMMYFUNCTION("""COMPUTED_VALUE"""),83.0)</f>
        <v>83</v>
      </c>
      <c r="AH216" s="320">
        <f>IFERROR(__xludf.DUMMYFUNCTION("""COMPUTED_VALUE"""),50.95)</f>
        <v>50.95</v>
      </c>
      <c r="AI216" s="320">
        <f>IFERROR(__xludf.DUMMYFUNCTION("""COMPUTED_VALUE"""),21.28)</f>
        <v>21.28</v>
      </c>
      <c r="AJ216" s="320">
        <f>IFERROR(__xludf.DUMMYFUNCTION("""COMPUTED_VALUE"""),5.63)</f>
        <v>5.63</v>
      </c>
      <c r="AK216" s="320">
        <f>IFERROR(__xludf.DUMMYFUNCTION("""COMPUTED_VALUE"""),0.1726)</f>
        <v>0.1726</v>
      </c>
      <c r="AL216" s="320">
        <f>IFERROR(__xludf.DUMMYFUNCTION("""COMPUTED_VALUE"""),20.36)</f>
        <v>20.36</v>
      </c>
      <c r="AM216" s="320">
        <f>IFERROR(__xludf.DUMMYFUNCTION("""COMPUTED_VALUE"""),521.72)</f>
        <v>521.72</v>
      </c>
      <c r="AN216" s="320">
        <f>IFERROR(__xludf.DUMMYFUNCTION("""COMPUTED_VALUE"""),74.61)</f>
        <v>74.61</v>
      </c>
      <c r="AO216" s="320">
        <f>IFERROR(__xludf.DUMMYFUNCTION("""COMPUTED_VALUE"""),15.19)</f>
        <v>15.19</v>
      </c>
    </row>
    <row r="217" ht="15.75" customHeight="1">
      <c r="A217" s="330">
        <f>IFERROR(__xludf.DUMMYFUNCTION("""COMPUTED_VALUE"""),46085.0)</f>
        <v>46085</v>
      </c>
      <c r="B217" s="319" t="str">
        <f>IFERROR(__xludf.DUMMYFUNCTION("""COMPUTED_VALUE"""),"F. 100+")</f>
        <v>F. 100+</v>
      </c>
      <c r="C217" s="320">
        <f>IFERROR(__xludf.DUMMYFUNCTION("""COMPUTED_VALUE"""),375.0)</f>
        <v>375</v>
      </c>
      <c r="D217" s="320">
        <f>IFERROR(__xludf.DUMMYFUNCTION("""COMPUTED_VALUE"""),0.48)</f>
        <v>0.48</v>
      </c>
      <c r="E217" s="320">
        <f>IFERROR(__xludf.DUMMYFUNCTION("""COMPUTED_VALUE"""),4351.25)</f>
        <v>4351.25</v>
      </c>
      <c r="F217" s="320">
        <f>IFERROR(__xludf.DUMMYFUNCTION("""COMPUTED_VALUE"""),11.6033)</f>
        <v>11.6033</v>
      </c>
      <c r="G217" s="320">
        <f>IFERROR(__xludf.DUMMYFUNCTION("""COMPUTED_VALUE"""),49.07)</f>
        <v>49.07</v>
      </c>
      <c r="H217" s="320">
        <f>IFERROR(__xludf.DUMMYFUNCTION("""COMPUTED_VALUE"""),23.6481)</f>
        <v>23.6481</v>
      </c>
      <c r="I217" s="320">
        <f>IFERROR(__xludf.DUMMYFUNCTION("""COMPUTED_VALUE"""),235.47)</f>
        <v>235.47</v>
      </c>
      <c r="J217" s="320">
        <f>IFERROR(__xludf.DUMMYFUNCTION("""COMPUTED_VALUE"""),157.25)</f>
        <v>157.25</v>
      </c>
      <c r="K217" s="320">
        <f>IFERROR(__xludf.DUMMYFUNCTION("""COMPUTED_VALUE"""),127.82)</f>
        <v>127.82</v>
      </c>
      <c r="L217" s="320">
        <f>IFERROR(__xludf.DUMMYFUNCTION("""COMPUTED_VALUE"""),0.8129)</f>
        <v>0.8129</v>
      </c>
      <c r="M217" s="320">
        <f>IFERROR(__xludf.DUMMYFUNCTION("""COMPUTED_VALUE"""),0.2781)</f>
        <v>0.2781</v>
      </c>
      <c r="N217" s="320">
        <f>IFERROR(__xludf.DUMMYFUNCTION("""COMPUTED_VALUE"""),0.1731)</f>
        <v>0.1731</v>
      </c>
      <c r="O217" s="320">
        <f>IFERROR(__xludf.DUMMYFUNCTION("""COMPUTED_VALUE"""),1.2302)</f>
        <v>1.2302</v>
      </c>
      <c r="P217" s="320">
        <f>IFERROR(__xludf.DUMMYFUNCTION("""COMPUTED_VALUE"""),1276.96)</f>
        <v>1276.96</v>
      </c>
      <c r="Q217" s="320">
        <f>IFERROR(__xludf.DUMMYFUNCTION("""COMPUTED_VALUE"""),1009.04)</f>
        <v>1009.04</v>
      </c>
      <c r="R217" s="320">
        <f>IFERROR(__xludf.DUMMYFUNCTION("""COMPUTED_VALUE"""),267.92)</f>
        <v>267.92</v>
      </c>
      <c r="S217" s="320">
        <f>IFERROR(__xludf.DUMMYFUNCTION("""COMPUTED_VALUE"""),680.21)</f>
        <v>680.21</v>
      </c>
      <c r="T217" s="320">
        <f>IFERROR(__xludf.DUMMYFUNCTION("""COMPUTED_VALUE"""),596.75)</f>
        <v>596.75</v>
      </c>
      <c r="U217" s="320">
        <f>IFERROR(__xludf.DUMMYFUNCTION("""COMPUTED_VALUE"""),1369.6)</f>
        <v>1369.6</v>
      </c>
      <c r="V217" s="320">
        <f>IFERROR(__xludf.DUMMYFUNCTION("""COMPUTED_VALUE"""),8.7098)</f>
        <v>8.7098</v>
      </c>
      <c r="W217" s="320">
        <f>IFERROR(__xludf.DUMMYFUNCTION("""COMPUTED_VALUE"""),53.27)</f>
        <v>53.27</v>
      </c>
      <c r="X217" s="320">
        <f>IFERROR(__xludf.DUMMYFUNCTION("""COMPUTED_VALUE"""),181.0)</f>
        <v>181</v>
      </c>
      <c r="Y217" s="320">
        <f>IFERROR(__xludf.DUMMYFUNCTION("""COMPUTED_VALUE"""),762.0)</f>
        <v>762</v>
      </c>
      <c r="Z217" s="320">
        <f>IFERROR(__xludf.DUMMYFUNCTION("""COMPUTED_VALUE"""),2840.0)</f>
        <v>2840</v>
      </c>
      <c r="AA217" s="320">
        <f>IFERROR(__xludf.DUMMYFUNCTION("""COMPUTED_VALUE"""),62.0619)</f>
        <v>62.0619</v>
      </c>
      <c r="AB217" s="320">
        <f>IFERROR(__xludf.DUMMYFUNCTION("""COMPUTED_VALUE"""),0.8708)</f>
        <v>0.8708</v>
      </c>
      <c r="AC217" s="320">
        <f>IFERROR(__xludf.DUMMYFUNCTION("""COMPUTED_VALUE"""),86.31)</f>
        <v>86.31</v>
      </c>
      <c r="AD217" s="320">
        <f>IFERROR(__xludf.DUMMYFUNCTION("""COMPUTED_VALUE"""),29.0)</f>
        <v>29</v>
      </c>
      <c r="AE217" s="320">
        <f>IFERROR(__xludf.DUMMYFUNCTION("""COMPUTED_VALUE"""),74.0)</f>
        <v>74</v>
      </c>
      <c r="AF217" s="320">
        <f>IFERROR(__xludf.DUMMYFUNCTION("""COMPUTED_VALUE"""),124.0)</f>
        <v>124</v>
      </c>
      <c r="AG217" s="320">
        <f>IFERROR(__xludf.DUMMYFUNCTION("""COMPUTED_VALUE"""),168.0)</f>
        <v>168</v>
      </c>
      <c r="AH217" s="320">
        <f>IFERROR(__xludf.DUMMYFUNCTION("""COMPUTED_VALUE"""),47.47)</f>
        <v>47.47</v>
      </c>
      <c r="AI217" s="320">
        <f>IFERROR(__xludf.DUMMYFUNCTION("""COMPUTED_VALUE"""),8.8)</f>
        <v>8.8</v>
      </c>
      <c r="AJ217" s="320">
        <f>IFERROR(__xludf.DUMMYFUNCTION("""COMPUTED_VALUE"""),1.87)</f>
        <v>1.87</v>
      </c>
      <c r="AK217" s="320">
        <f>IFERROR(__xludf.DUMMYFUNCTION("""COMPUTED_VALUE"""),0.136)</f>
        <v>0.136</v>
      </c>
      <c r="AL217" s="320">
        <f>IFERROR(__xludf.DUMMYFUNCTION("""COMPUTED_VALUE"""),24.97)</f>
        <v>24.97</v>
      </c>
      <c r="AM217" s="320">
        <f>IFERROR(__xludf.DUMMYFUNCTION("""COMPUTED_VALUE"""),984.07)</f>
        <v>984.07</v>
      </c>
      <c r="AN217" s="320">
        <f>IFERROR(__xludf.DUMMYFUNCTION("""COMPUTED_VALUE"""),72.61)</f>
        <v>72.61</v>
      </c>
      <c r="AO217" s="320">
        <f>IFERROR(__xludf.DUMMYFUNCTION("""COMPUTED_VALUE"""),18.13)</f>
        <v>18.13</v>
      </c>
    </row>
    <row r="218" ht="15.75" customHeight="1">
      <c r="A218" s="330">
        <f>IFERROR(__xludf.DUMMYFUNCTION("""COMPUTED_VALUE"""),46086.0)</f>
        <v>46086</v>
      </c>
      <c r="B218" s="319" t="str">
        <f>IFERROR(__xludf.DUMMYFUNCTION("""COMPUTED_VALUE"""),"A. 0")</f>
        <v>A. 0</v>
      </c>
      <c r="C218" s="320">
        <f>IFERROR(__xludf.DUMMYFUNCTION("""COMPUTED_VALUE"""),16729.0)</f>
        <v>16729</v>
      </c>
      <c r="D218" s="320">
        <f>IFERROR(__xludf.DUMMYFUNCTION("""COMPUTED_VALUE"""),21.58)</f>
        <v>21.58</v>
      </c>
      <c r="E218" s="320">
        <f>IFERROR(__xludf.DUMMYFUNCTION("""COMPUTED_VALUE"""),176.44)</f>
        <v>176.44</v>
      </c>
      <c r="F218" s="320">
        <f>IFERROR(__xludf.DUMMYFUNCTION("""COMPUTED_VALUE"""),0.0105)</f>
        <v>0.0105</v>
      </c>
      <c r="G218" s="320">
        <f>IFERROR(__xludf.DUMMYFUNCTION("""COMPUTED_VALUE"""),0.26)</f>
        <v>0.26</v>
      </c>
      <c r="H218" s="320">
        <f>IFERROR(__xludf.DUMMYFUNCTION("""COMPUTED_VALUE"""),4.01)</f>
        <v>4.01</v>
      </c>
      <c r="I218" s="320">
        <f>IFERROR(__xludf.DUMMYFUNCTION("""COMPUTED_VALUE"""),6.57)</f>
        <v>6.57</v>
      </c>
      <c r="J218" s="320">
        <f>IFERROR(__xludf.DUMMYFUNCTION("""COMPUTED_VALUE"""),3.04)</f>
        <v>3.04</v>
      </c>
      <c r="K218" s="320">
        <f>IFERROR(__xludf.DUMMYFUNCTION("""COMPUTED_VALUE"""),0.04)</f>
        <v>0.04</v>
      </c>
      <c r="L218" s="320">
        <f>IFERROR(__xludf.DUMMYFUNCTION("""COMPUTED_VALUE"""),0.013)</f>
        <v>0.013</v>
      </c>
      <c r="M218" s="320">
        <f>IFERROR(__xludf.DUMMYFUNCTION("""COMPUTED_VALUE"""),0.9878)</f>
        <v>0.9878</v>
      </c>
      <c r="N218" s="320">
        <f>IFERROR(__xludf.DUMMYFUNCTION("""COMPUTED_VALUE"""),0.812)</f>
        <v>0.812</v>
      </c>
      <c r="O218" s="320">
        <f>IFERROR(__xludf.DUMMYFUNCTION("""COMPUTED_VALUE"""),76.9366)</f>
        <v>76.9366</v>
      </c>
      <c r="P218" s="320">
        <f>IFERROR(__xludf.DUMMYFUNCTION("""COMPUTED_VALUE"""),22.95)</f>
        <v>22.95</v>
      </c>
      <c r="Q218" s="320">
        <f>IFERROR(__xludf.DUMMYFUNCTION("""COMPUTED_VALUE"""),22.87)</f>
        <v>22.87</v>
      </c>
      <c r="R218" s="320">
        <f>IFERROR(__xludf.DUMMYFUNCTION("""COMPUTED_VALUE"""),0.08)</f>
        <v>0.08</v>
      </c>
      <c r="S218" s="320">
        <f>IFERROR(__xludf.DUMMYFUNCTION("""COMPUTED_VALUE"""),0.73)</f>
        <v>0.73</v>
      </c>
      <c r="T218" s="320">
        <f>IFERROR(__xludf.DUMMYFUNCTION("""COMPUTED_VALUE"""),22.21)</f>
        <v>22.21</v>
      </c>
      <c r="U218" s="320">
        <f>IFERROR(__xludf.DUMMYFUNCTION("""COMPUTED_VALUE"""),2.08)</f>
        <v>2.08</v>
      </c>
      <c r="V218" s="320">
        <f>IFERROR(__xludf.DUMMYFUNCTION("""COMPUTED_VALUE"""),0.6833)</f>
        <v>0.6833</v>
      </c>
      <c r="W218" s="320">
        <f>IFERROR(__xludf.DUMMYFUNCTION("""COMPUTED_VALUE"""),3.2)</f>
        <v>3.2</v>
      </c>
      <c r="X218" s="320">
        <f>IFERROR(__xludf.DUMMYFUNCTION("""COMPUTED_VALUE"""),139.0)</f>
        <v>139</v>
      </c>
      <c r="Y218" s="320">
        <f>IFERROR(__xludf.DUMMYFUNCTION("""COMPUTED_VALUE"""),952.0)</f>
        <v>952</v>
      </c>
      <c r="Z218" s="320">
        <f>IFERROR(__xludf.DUMMYFUNCTION("""COMPUTED_VALUE"""),6673.0)</f>
        <v>6673</v>
      </c>
      <c r="AA218" s="320">
        <f>IFERROR(__xludf.DUMMYFUNCTION("""COMPUTED_VALUE"""),49.6899)</f>
        <v>49.6899</v>
      </c>
      <c r="AB218" s="320">
        <f>IFERROR(__xludf.DUMMYFUNCTION("""COMPUTED_VALUE"""),0.5026)</f>
        <v>0.5026</v>
      </c>
      <c r="AC218" s="106"/>
      <c r="AD218" s="106"/>
      <c r="AE218" s="106"/>
      <c r="AF218" s="106"/>
      <c r="AG218" s="106"/>
      <c r="AH218" s="320">
        <f>IFERROR(__xludf.DUMMYFUNCTION("""COMPUTED_VALUE"""),0.0)</f>
        <v>0</v>
      </c>
      <c r="AI218" s="320">
        <f>IFERROR(__xludf.DUMMYFUNCTION("""COMPUTED_VALUE"""),0.0)</f>
        <v>0</v>
      </c>
      <c r="AJ218" s="320">
        <f>IFERROR(__xludf.DUMMYFUNCTION("""COMPUTED_VALUE"""),0.0)</f>
        <v>0</v>
      </c>
      <c r="AK218" s="320">
        <f>IFERROR(__xludf.DUMMYFUNCTION("""COMPUTED_VALUE"""),0.2789)</f>
        <v>0.2789</v>
      </c>
      <c r="AL218" s="320">
        <f>IFERROR(__xludf.DUMMYFUNCTION("""COMPUTED_VALUE"""),15.56)</f>
        <v>15.56</v>
      </c>
      <c r="AM218" s="320">
        <f>IFERROR(__xludf.DUMMYFUNCTION("""COMPUTED_VALUE"""),7.3)</f>
        <v>7.3</v>
      </c>
      <c r="AN218" s="331"/>
      <c r="AO218" s="331"/>
    </row>
    <row r="219" ht="15.75" customHeight="1">
      <c r="A219" s="330">
        <f>IFERROR(__xludf.DUMMYFUNCTION("""COMPUTED_VALUE"""),46086.0)</f>
        <v>46086</v>
      </c>
      <c r="B219" s="319" t="str">
        <f>IFERROR(__xludf.DUMMYFUNCTION("""COMPUTED_VALUE"""),"B. 1-9")</f>
        <v>B. 1-9</v>
      </c>
      <c r="C219" s="320">
        <f>IFERROR(__xludf.DUMMYFUNCTION("""COMPUTED_VALUE"""),32411.0)</f>
        <v>32411</v>
      </c>
      <c r="D219" s="320">
        <f>IFERROR(__xludf.DUMMYFUNCTION("""COMPUTED_VALUE"""),41.82)</f>
        <v>41.82</v>
      </c>
      <c r="E219" s="320">
        <f>IFERROR(__xludf.DUMMYFUNCTION("""COMPUTED_VALUE"""),8546.41)</f>
        <v>8546.41</v>
      </c>
      <c r="F219" s="320">
        <f>IFERROR(__xludf.DUMMYFUNCTION("""COMPUTED_VALUE"""),0.2637)</f>
        <v>0.2637</v>
      </c>
      <c r="G219" s="320">
        <f>IFERROR(__xludf.DUMMYFUNCTION("""COMPUTED_VALUE"""),7.22)</f>
        <v>7.22</v>
      </c>
      <c r="H219" s="320">
        <f>IFERROR(__xludf.DUMMYFUNCTION("""COMPUTED_VALUE"""),3.6508)</f>
        <v>3.6508</v>
      </c>
      <c r="I219" s="320">
        <f>IFERROR(__xludf.DUMMYFUNCTION("""COMPUTED_VALUE"""),30.52)</f>
        <v>30.52</v>
      </c>
      <c r="J219" s="320">
        <f>IFERROR(__xludf.DUMMYFUNCTION("""COMPUTED_VALUE"""),16.34)</f>
        <v>16.34</v>
      </c>
      <c r="K219" s="320">
        <f>IFERROR(__xludf.DUMMYFUNCTION("""COMPUTED_VALUE"""),5.21)</f>
        <v>5.21</v>
      </c>
      <c r="L219" s="320">
        <f>IFERROR(__xludf.DUMMYFUNCTION("""COMPUTED_VALUE"""),0.3186)</f>
        <v>0.3186</v>
      </c>
      <c r="M219" s="320">
        <f>IFERROR(__xludf.DUMMYFUNCTION("""COMPUTED_VALUE"""),0.7531)</f>
        <v>0.7531</v>
      </c>
      <c r="N219" s="320">
        <f>IFERROR(__xludf.DUMMYFUNCTION("""COMPUTED_VALUE"""),0.5015)</f>
        <v>0.5015</v>
      </c>
      <c r="O219" s="320">
        <f>IFERROR(__xludf.DUMMYFUNCTION("""COMPUTED_VALUE"""),3.1391)</f>
        <v>3.1391</v>
      </c>
      <c r="P219" s="320">
        <f>IFERROR(__xludf.DUMMYFUNCTION("""COMPUTED_VALUE"""),67.34)</f>
        <v>67.34</v>
      </c>
      <c r="Q219" s="320">
        <f>IFERROR(__xludf.DUMMYFUNCTION("""COMPUTED_VALUE"""),56.46)</f>
        <v>56.46</v>
      </c>
      <c r="R219" s="320">
        <f>IFERROR(__xludf.DUMMYFUNCTION("""COMPUTED_VALUE"""),10.88)</f>
        <v>10.88</v>
      </c>
      <c r="S219" s="320">
        <f>IFERROR(__xludf.DUMMYFUNCTION("""COMPUTED_VALUE"""),16.25)</f>
        <v>16.25</v>
      </c>
      <c r="T219" s="320">
        <f>IFERROR(__xludf.DUMMYFUNCTION("""COMPUTED_VALUE"""),51.1)</f>
        <v>51.1</v>
      </c>
      <c r="U219" s="320">
        <f>IFERROR(__xludf.DUMMYFUNCTION("""COMPUTED_VALUE"""),72.28)</f>
        <v>72.28</v>
      </c>
      <c r="V219" s="320">
        <f>IFERROR(__xludf.DUMMYFUNCTION("""COMPUTED_VALUE"""),4.423)</f>
        <v>4.423</v>
      </c>
      <c r="W219" s="320">
        <f>IFERROR(__xludf.DUMMYFUNCTION("""COMPUTED_VALUE"""),24.13)</f>
        <v>24.13</v>
      </c>
      <c r="X219" s="320">
        <f>IFERROR(__xludf.DUMMYFUNCTION("""COMPUTED_VALUE"""),86.0)</f>
        <v>86</v>
      </c>
      <c r="Y219" s="320">
        <f>IFERROR(__xludf.DUMMYFUNCTION("""COMPUTED_VALUE"""),206.0)</f>
        <v>206</v>
      </c>
      <c r="Z219" s="320">
        <f>IFERROR(__xludf.DUMMYFUNCTION("""COMPUTED_VALUE"""),865.0)</f>
        <v>865</v>
      </c>
      <c r="AA219" s="320">
        <f>IFERROR(__xludf.DUMMYFUNCTION("""COMPUTED_VALUE"""),49.5301)</f>
        <v>49.5301</v>
      </c>
      <c r="AB219" s="320">
        <f>IFERROR(__xludf.DUMMYFUNCTION("""COMPUTED_VALUE"""),0.4375)</f>
        <v>0.4375</v>
      </c>
      <c r="AC219" s="320">
        <f>IFERROR(__xludf.DUMMYFUNCTION("""COMPUTED_VALUE"""),3.56)</f>
        <v>3.56</v>
      </c>
      <c r="AD219" s="320">
        <f>IFERROR(__xludf.DUMMYFUNCTION("""COMPUTED_VALUE"""),1.0)</f>
        <v>1</v>
      </c>
      <c r="AE219" s="320">
        <f>IFERROR(__xludf.DUMMYFUNCTION("""COMPUTED_VALUE"""),2.0)</f>
        <v>2</v>
      </c>
      <c r="AF219" s="320">
        <f>IFERROR(__xludf.DUMMYFUNCTION("""COMPUTED_VALUE"""),5.0)</f>
        <v>5</v>
      </c>
      <c r="AG219" s="320">
        <f>IFERROR(__xludf.DUMMYFUNCTION("""COMPUTED_VALUE"""),8.0)</f>
        <v>8</v>
      </c>
      <c r="AH219" s="320">
        <f>IFERROR(__xludf.DUMMYFUNCTION("""COMPUTED_VALUE"""),65.72)</f>
        <v>65.72</v>
      </c>
      <c r="AI219" s="320">
        <f>IFERROR(__xludf.DUMMYFUNCTION("""COMPUTED_VALUE"""),25.4)</f>
        <v>25.4</v>
      </c>
      <c r="AJ219" s="320">
        <f>IFERROR(__xludf.DUMMYFUNCTION("""COMPUTED_VALUE"""),7.18)</f>
        <v>7.18</v>
      </c>
      <c r="AK219" s="320">
        <f>IFERROR(__xludf.DUMMYFUNCTION("""COMPUTED_VALUE"""),0.2234)</f>
        <v>0.2234</v>
      </c>
      <c r="AL219" s="320">
        <f>IFERROR(__xludf.DUMMYFUNCTION("""COMPUTED_VALUE"""),20.41)</f>
        <v>20.41</v>
      </c>
      <c r="AM219" s="320">
        <f>IFERROR(__xludf.DUMMYFUNCTION("""COMPUTED_VALUE"""),36.05)</f>
        <v>36.05</v>
      </c>
      <c r="AN219" s="320">
        <f>IFERROR(__xludf.DUMMYFUNCTION("""COMPUTED_VALUE"""),68.16)</f>
        <v>68.16</v>
      </c>
      <c r="AO219" s="320">
        <f>IFERROR(__xludf.DUMMYFUNCTION("""COMPUTED_VALUE"""),13.91)</f>
        <v>13.91</v>
      </c>
    </row>
    <row r="220" ht="15.75" customHeight="1">
      <c r="A220" s="330">
        <f>IFERROR(__xludf.DUMMYFUNCTION("""COMPUTED_VALUE"""),46086.0)</f>
        <v>46086</v>
      </c>
      <c r="B220" s="319" t="str">
        <f>IFERROR(__xludf.DUMMYFUNCTION("""COMPUTED_VALUE"""),"C. 10-19")</f>
        <v>C. 10-19</v>
      </c>
      <c r="C220" s="320">
        <f>IFERROR(__xludf.DUMMYFUNCTION("""COMPUTED_VALUE"""),16263.0)</f>
        <v>16263</v>
      </c>
      <c r="D220" s="320">
        <f>IFERROR(__xludf.DUMMYFUNCTION("""COMPUTED_VALUE"""),20.98)</f>
        <v>20.98</v>
      </c>
      <c r="E220" s="320">
        <f>IFERROR(__xludf.DUMMYFUNCTION("""COMPUTED_VALUE"""),18254.66)</f>
        <v>18254.66</v>
      </c>
      <c r="F220" s="320">
        <f>IFERROR(__xludf.DUMMYFUNCTION("""COMPUTED_VALUE"""),1.1225)</f>
        <v>1.1225</v>
      </c>
      <c r="G220" s="320">
        <f>IFERROR(__xludf.DUMMYFUNCTION("""COMPUTED_VALUE"""),23.08)</f>
        <v>23.08</v>
      </c>
      <c r="H220" s="320">
        <f>IFERROR(__xludf.DUMMYFUNCTION("""COMPUTED_VALUE"""),4.8627)</f>
        <v>4.8627</v>
      </c>
      <c r="I220" s="320">
        <f>IFERROR(__xludf.DUMMYFUNCTION("""COMPUTED_VALUE"""),55.09)</f>
        <v>55.09</v>
      </c>
      <c r="J220" s="320">
        <f>IFERROR(__xludf.DUMMYFUNCTION("""COMPUTED_VALUE"""),31.5)</f>
        <v>31.5</v>
      </c>
      <c r="K220" s="320">
        <f>IFERROR(__xludf.DUMMYFUNCTION("""COMPUTED_VALUE"""),13.5)</f>
        <v>13.5</v>
      </c>
      <c r="L220" s="320">
        <f>IFERROR(__xludf.DUMMYFUNCTION("""COMPUTED_VALUE"""),0.4286)</f>
        <v>0.4286</v>
      </c>
      <c r="M220" s="320">
        <f>IFERROR(__xludf.DUMMYFUNCTION("""COMPUTED_VALUE"""),0.6366)</f>
        <v>0.6366</v>
      </c>
      <c r="N220" s="320">
        <f>IFERROR(__xludf.DUMMYFUNCTION("""COMPUTED_VALUE"""),0.3564)</f>
        <v>0.3564</v>
      </c>
      <c r="O220" s="320">
        <f>IFERROR(__xludf.DUMMYFUNCTION("""COMPUTED_VALUE"""),2.333)</f>
        <v>2.333</v>
      </c>
      <c r="P220" s="320">
        <f>IFERROR(__xludf.DUMMYFUNCTION("""COMPUTED_VALUE"""),163.0)</f>
        <v>163</v>
      </c>
      <c r="Q220" s="320">
        <f>IFERROR(__xludf.DUMMYFUNCTION("""COMPUTED_VALUE"""),135.57)</f>
        <v>135.57</v>
      </c>
      <c r="R220" s="320">
        <f>IFERROR(__xludf.DUMMYFUNCTION("""COMPUTED_VALUE"""),27.43)</f>
        <v>27.43</v>
      </c>
      <c r="S220" s="320">
        <f>IFERROR(__xludf.DUMMYFUNCTION("""COMPUTED_VALUE"""),68.13)</f>
        <v>68.13</v>
      </c>
      <c r="T220" s="320">
        <f>IFERROR(__xludf.DUMMYFUNCTION("""COMPUTED_VALUE"""),94.87)</f>
        <v>94.87</v>
      </c>
      <c r="U220" s="320">
        <f>IFERROR(__xludf.DUMMYFUNCTION("""COMPUTED_VALUE"""),169.71)</f>
        <v>169.71</v>
      </c>
      <c r="V220" s="320">
        <f>IFERROR(__xludf.DUMMYFUNCTION("""COMPUTED_VALUE"""),5.3879)</f>
        <v>5.3879</v>
      </c>
      <c r="W220" s="320">
        <f>IFERROR(__xludf.DUMMYFUNCTION("""COMPUTED_VALUE"""),41.8)</f>
        <v>41.8</v>
      </c>
      <c r="X220" s="320">
        <f>IFERROR(__xludf.DUMMYFUNCTION("""COMPUTED_VALUE"""),84.0)</f>
        <v>84</v>
      </c>
      <c r="Y220" s="320">
        <f>IFERROR(__xludf.DUMMYFUNCTION("""COMPUTED_VALUE"""),189.0)</f>
        <v>189</v>
      </c>
      <c r="Z220" s="320">
        <f>IFERROR(__xludf.DUMMYFUNCTION("""COMPUTED_VALUE"""),632.0)</f>
        <v>632</v>
      </c>
      <c r="AA220" s="320">
        <f>IFERROR(__xludf.DUMMYFUNCTION("""COMPUTED_VALUE"""),52.5214)</f>
        <v>52.5214</v>
      </c>
      <c r="AB220" s="320">
        <f>IFERROR(__xludf.DUMMYFUNCTION("""COMPUTED_VALUE"""),0.5499)</f>
        <v>0.5499</v>
      </c>
      <c r="AC220" s="320">
        <f>IFERROR(__xludf.DUMMYFUNCTION("""COMPUTED_VALUE"""),8.68)</f>
        <v>8.68</v>
      </c>
      <c r="AD220" s="320">
        <f>IFERROR(__xludf.DUMMYFUNCTION("""COMPUTED_VALUE"""),2.0)</f>
        <v>2</v>
      </c>
      <c r="AE220" s="320">
        <f>IFERROR(__xludf.DUMMYFUNCTION("""COMPUTED_VALUE"""),6.0)</f>
        <v>6</v>
      </c>
      <c r="AF220" s="320">
        <f>IFERROR(__xludf.DUMMYFUNCTION("""COMPUTED_VALUE"""),12.0)</f>
        <v>12</v>
      </c>
      <c r="AG220" s="320">
        <f>IFERROR(__xludf.DUMMYFUNCTION("""COMPUTED_VALUE"""),19.0)</f>
        <v>19</v>
      </c>
      <c r="AH220" s="320">
        <f>IFERROR(__xludf.DUMMYFUNCTION("""COMPUTED_VALUE"""),53.98)</f>
        <v>53.98</v>
      </c>
      <c r="AI220" s="320">
        <f>IFERROR(__xludf.DUMMYFUNCTION("""COMPUTED_VALUE"""),23.96)</f>
        <v>23.96</v>
      </c>
      <c r="AJ220" s="320">
        <f>IFERROR(__xludf.DUMMYFUNCTION("""COMPUTED_VALUE"""),4.51)</f>
        <v>4.51</v>
      </c>
      <c r="AK220" s="320">
        <f>IFERROR(__xludf.DUMMYFUNCTION("""COMPUTED_VALUE"""),0.1987)</f>
        <v>0.1987</v>
      </c>
      <c r="AL220" s="320">
        <f>IFERROR(__xludf.DUMMYFUNCTION("""COMPUTED_VALUE"""),19.92)</f>
        <v>19.92</v>
      </c>
      <c r="AM220" s="320">
        <f>IFERROR(__xludf.DUMMYFUNCTION("""COMPUTED_VALUE"""),115.65)</f>
        <v>115.65</v>
      </c>
      <c r="AN220" s="320">
        <f>IFERROR(__xludf.DUMMYFUNCTION("""COMPUTED_VALUE"""),73.67)</f>
        <v>73.67</v>
      </c>
      <c r="AO220" s="320">
        <f>IFERROR(__xludf.DUMMYFUNCTION("""COMPUTED_VALUE"""),14.68)</f>
        <v>14.68</v>
      </c>
    </row>
    <row r="221" ht="15.75" customHeight="1">
      <c r="A221" s="330">
        <f>IFERROR(__xludf.DUMMYFUNCTION("""COMPUTED_VALUE"""),46086.0)</f>
        <v>46086</v>
      </c>
      <c r="B221" s="319" t="str">
        <f>IFERROR(__xludf.DUMMYFUNCTION("""COMPUTED_VALUE"""),"D. 20-39")</f>
        <v>D. 20-39</v>
      </c>
      <c r="C221" s="320">
        <f>IFERROR(__xludf.DUMMYFUNCTION("""COMPUTED_VALUE"""),8456.0)</f>
        <v>8456</v>
      </c>
      <c r="D221" s="320">
        <f>IFERROR(__xludf.DUMMYFUNCTION("""COMPUTED_VALUE"""),10.91)</f>
        <v>10.91</v>
      </c>
      <c r="E221" s="320">
        <f>IFERROR(__xludf.DUMMYFUNCTION("""COMPUTED_VALUE"""),21448.37)</f>
        <v>21448.37</v>
      </c>
      <c r="F221" s="320">
        <f>IFERROR(__xludf.DUMMYFUNCTION("""COMPUTED_VALUE"""),2.5365)</f>
        <v>2.5365</v>
      </c>
      <c r="G221" s="320">
        <f>IFERROR(__xludf.DUMMYFUNCTION("""COMPUTED_VALUE"""),34.25)</f>
        <v>34.25</v>
      </c>
      <c r="H221" s="320">
        <f>IFERROR(__xludf.DUMMYFUNCTION("""COMPUTED_VALUE"""),7.4062)</f>
        <v>7.4062</v>
      </c>
      <c r="I221" s="320">
        <f>IFERROR(__xludf.DUMMYFUNCTION("""COMPUTED_VALUE"""),78.28)</f>
        <v>78.28</v>
      </c>
      <c r="J221" s="320">
        <f>IFERROR(__xludf.DUMMYFUNCTION("""COMPUTED_VALUE"""),46.8)</f>
        <v>46.8</v>
      </c>
      <c r="K221" s="320">
        <f>IFERROR(__xludf.DUMMYFUNCTION("""COMPUTED_VALUE"""),25.53)</f>
        <v>25.53</v>
      </c>
      <c r="L221" s="320">
        <f>IFERROR(__xludf.DUMMYFUNCTION("""COMPUTED_VALUE"""),0.5454)</f>
        <v>0.5454</v>
      </c>
      <c r="M221" s="320">
        <f>IFERROR(__xludf.DUMMYFUNCTION("""COMPUTED_VALUE"""),0.5306)</f>
        <v>0.5306</v>
      </c>
      <c r="N221" s="320">
        <f>IFERROR(__xludf.DUMMYFUNCTION("""COMPUTED_VALUE"""),0.2907)</f>
        <v>0.2907</v>
      </c>
      <c r="O221" s="320">
        <f>IFERROR(__xludf.DUMMYFUNCTION("""COMPUTED_VALUE"""),1.8336)</f>
        <v>1.8336</v>
      </c>
      <c r="P221" s="320">
        <f>IFERROR(__xludf.DUMMYFUNCTION("""COMPUTED_VALUE"""),323.62)</f>
        <v>323.62</v>
      </c>
      <c r="Q221" s="320">
        <f>IFERROR(__xludf.DUMMYFUNCTION("""COMPUTED_VALUE"""),269.76)</f>
        <v>269.76</v>
      </c>
      <c r="R221" s="320">
        <f>IFERROR(__xludf.DUMMYFUNCTION("""COMPUTED_VALUE"""),53.86)</f>
        <v>53.86</v>
      </c>
      <c r="S221" s="320">
        <f>IFERROR(__xludf.DUMMYFUNCTION("""COMPUTED_VALUE"""),155.96)</f>
        <v>155.96</v>
      </c>
      <c r="T221" s="320">
        <f>IFERROR(__xludf.DUMMYFUNCTION("""COMPUTED_VALUE"""),167.66)</f>
        <v>167.66</v>
      </c>
      <c r="U221" s="320">
        <f>IFERROR(__xludf.DUMMYFUNCTION("""COMPUTED_VALUE"""),330.48)</f>
        <v>330.48</v>
      </c>
      <c r="V221" s="320">
        <f>IFERROR(__xludf.DUMMYFUNCTION("""COMPUTED_VALUE"""),7.0607)</f>
        <v>7.0607</v>
      </c>
      <c r="W221" s="320">
        <f>IFERROR(__xludf.DUMMYFUNCTION("""COMPUTED_VALUE"""),48.19)</f>
        <v>48.19</v>
      </c>
      <c r="X221" s="320">
        <f>IFERROR(__xludf.DUMMYFUNCTION("""COMPUTED_VALUE"""),87.0)</f>
        <v>87</v>
      </c>
      <c r="Y221" s="320">
        <f>IFERROR(__xludf.DUMMYFUNCTION("""COMPUTED_VALUE"""),225.0)</f>
        <v>225</v>
      </c>
      <c r="Z221" s="320">
        <f>IFERROR(__xludf.DUMMYFUNCTION("""COMPUTED_VALUE"""),706.0)</f>
        <v>706</v>
      </c>
      <c r="AA221" s="320">
        <f>IFERROR(__xludf.DUMMYFUNCTION("""COMPUTED_VALUE"""),54.7554)</f>
        <v>54.7554</v>
      </c>
      <c r="AB221" s="320">
        <f>IFERROR(__xludf.DUMMYFUNCTION("""COMPUTED_VALUE"""),0.6703)</f>
        <v>0.6703</v>
      </c>
      <c r="AC221" s="320">
        <f>IFERROR(__xludf.DUMMYFUNCTION("""COMPUTED_VALUE"""),16.93)</f>
        <v>16.93</v>
      </c>
      <c r="AD221" s="320">
        <f>IFERROR(__xludf.DUMMYFUNCTION("""COMPUTED_VALUE"""),6.0)</f>
        <v>6</v>
      </c>
      <c r="AE221" s="320">
        <f>IFERROR(__xludf.DUMMYFUNCTION("""COMPUTED_VALUE"""),13.0)</f>
        <v>13</v>
      </c>
      <c r="AF221" s="320">
        <f>IFERROR(__xludf.DUMMYFUNCTION("""COMPUTED_VALUE"""),24.0)</f>
        <v>24</v>
      </c>
      <c r="AG221" s="320">
        <f>IFERROR(__xludf.DUMMYFUNCTION("""COMPUTED_VALUE"""),36.0)</f>
        <v>36</v>
      </c>
      <c r="AH221" s="320">
        <f>IFERROR(__xludf.DUMMYFUNCTION("""COMPUTED_VALUE"""),55.88)</f>
        <v>55.88</v>
      </c>
      <c r="AI221" s="320">
        <f>IFERROR(__xludf.DUMMYFUNCTION("""COMPUTED_VALUE"""),22.45)</f>
        <v>22.45</v>
      </c>
      <c r="AJ221" s="320">
        <f>IFERROR(__xludf.DUMMYFUNCTION("""COMPUTED_VALUE"""),6.62)</f>
        <v>6.62</v>
      </c>
      <c r="AK221" s="320">
        <f>IFERROR(__xludf.DUMMYFUNCTION("""COMPUTED_VALUE"""),0.1952)</f>
        <v>0.1952</v>
      </c>
      <c r="AL221" s="320">
        <f>IFERROR(__xludf.DUMMYFUNCTION("""COMPUTED_VALUE"""),20.58)</f>
        <v>20.58</v>
      </c>
      <c r="AM221" s="320">
        <f>IFERROR(__xludf.DUMMYFUNCTION("""COMPUTED_VALUE"""),249.19)</f>
        <v>249.19</v>
      </c>
      <c r="AN221" s="320">
        <f>IFERROR(__xludf.DUMMYFUNCTION("""COMPUTED_VALUE"""),74.02)</f>
        <v>74.02</v>
      </c>
      <c r="AO221" s="320">
        <f>IFERROR(__xludf.DUMMYFUNCTION("""COMPUTED_VALUE"""),15.23)</f>
        <v>15.23</v>
      </c>
    </row>
    <row r="222" ht="15.75" customHeight="1">
      <c r="A222" s="330">
        <f>IFERROR(__xludf.DUMMYFUNCTION("""COMPUTED_VALUE"""),46086.0)</f>
        <v>46086</v>
      </c>
      <c r="B222" s="319" t="str">
        <f>IFERROR(__xludf.DUMMYFUNCTION("""COMPUTED_VALUE"""),"E. 40-99")</f>
        <v>E. 40-99</v>
      </c>
      <c r="C222" s="320">
        <f>IFERROR(__xludf.DUMMYFUNCTION("""COMPUTED_VALUE"""),3264.0)</f>
        <v>3264</v>
      </c>
      <c r="D222" s="320">
        <f>IFERROR(__xludf.DUMMYFUNCTION("""COMPUTED_VALUE"""),4.21)</f>
        <v>4.21</v>
      </c>
      <c r="E222" s="320">
        <f>IFERROR(__xludf.DUMMYFUNCTION("""COMPUTED_VALUE"""),19191.73)</f>
        <v>19191.73</v>
      </c>
      <c r="F222" s="320">
        <f>IFERROR(__xludf.DUMMYFUNCTION("""COMPUTED_VALUE"""),5.8798)</f>
        <v>5.8798</v>
      </c>
      <c r="G222" s="320">
        <f>IFERROR(__xludf.DUMMYFUNCTION("""COMPUTED_VALUE"""),43.66)</f>
        <v>43.66</v>
      </c>
      <c r="H222" s="320">
        <f>IFERROR(__xludf.DUMMYFUNCTION("""COMPUTED_VALUE"""),13.4679)</f>
        <v>13.4679</v>
      </c>
      <c r="I222" s="320">
        <f>IFERROR(__xludf.DUMMYFUNCTION("""COMPUTED_VALUE"""),127.4)</f>
        <v>127.4</v>
      </c>
      <c r="J222" s="320">
        <f>IFERROR(__xludf.DUMMYFUNCTION("""COMPUTED_VALUE"""),78.24)</f>
        <v>78.24</v>
      </c>
      <c r="K222" s="320">
        <f>IFERROR(__xludf.DUMMYFUNCTION("""COMPUTED_VALUE"""),54.52)</f>
        <v>54.52</v>
      </c>
      <c r="L222" s="320">
        <f>IFERROR(__xludf.DUMMYFUNCTION("""COMPUTED_VALUE"""),0.6968)</f>
        <v>0.6968</v>
      </c>
      <c r="M222" s="320">
        <f>IFERROR(__xludf.DUMMYFUNCTION("""COMPUTED_VALUE"""),0.3958)</f>
        <v>0.3958</v>
      </c>
      <c r="N222" s="320">
        <f>IFERROR(__xludf.DUMMYFUNCTION("""COMPUTED_VALUE"""),0.2265)</f>
        <v>0.2265</v>
      </c>
      <c r="O222" s="320">
        <f>IFERROR(__xludf.DUMMYFUNCTION("""COMPUTED_VALUE"""),1.4351)</f>
        <v>1.4351</v>
      </c>
      <c r="P222" s="320">
        <f>IFERROR(__xludf.DUMMYFUNCTION("""COMPUTED_VALUE"""),696.48)</f>
        <v>696.48</v>
      </c>
      <c r="Q222" s="320">
        <f>IFERROR(__xludf.DUMMYFUNCTION("""COMPUTED_VALUE"""),581.31)</f>
        <v>581.31</v>
      </c>
      <c r="R222" s="320">
        <f>IFERROR(__xludf.DUMMYFUNCTION("""COMPUTED_VALUE"""),115.16)</f>
        <v>115.16</v>
      </c>
      <c r="S222" s="320">
        <f>IFERROR(__xludf.DUMMYFUNCTION("""COMPUTED_VALUE"""),364.77)</f>
        <v>364.77</v>
      </c>
      <c r="T222" s="320">
        <f>IFERROR(__xludf.DUMMYFUNCTION("""COMPUTED_VALUE"""),331.71)</f>
        <v>331.71</v>
      </c>
      <c r="U222" s="320">
        <f>IFERROR(__xludf.DUMMYFUNCTION("""COMPUTED_VALUE"""),713.34)</f>
        <v>713.34</v>
      </c>
      <c r="V222" s="320">
        <f>IFERROR(__xludf.DUMMYFUNCTION("""COMPUTED_VALUE"""),9.1179)</f>
        <v>9.1179</v>
      </c>
      <c r="W222" s="320">
        <f>IFERROR(__xludf.DUMMYFUNCTION("""COMPUTED_VALUE"""),52.37)</f>
        <v>52.37</v>
      </c>
      <c r="X222" s="320">
        <f>IFERROR(__xludf.DUMMYFUNCTION("""COMPUTED_VALUE"""),105.0)</f>
        <v>105</v>
      </c>
      <c r="Y222" s="320">
        <f>IFERROR(__xludf.DUMMYFUNCTION("""COMPUTED_VALUE"""),374.0)</f>
        <v>374</v>
      </c>
      <c r="Z222" s="320">
        <f>IFERROR(__xludf.DUMMYFUNCTION("""COMPUTED_VALUE"""),1055.0)</f>
        <v>1055</v>
      </c>
      <c r="AA222" s="320">
        <f>IFERROR(__xludf.DUMMYFUNCTION("""COMPUTED_VALUE"""),57.8519)</f>
        <v>57.8519</v>
      </c>
      <c r="AB222" s="320">
        <f>IFERROR(__xludf.DUMMYFUNCTION("""COMPUTED_VALUE"""),0.7671)</f>
        <v>0.7671</v>
      </c>
      <c r="AC222" s="320">
        <f>IFERROR(__xludf.DUMMYFUNCTION("""COMPUTED_VALUE"""),37.4)</f>
        <v>37.4</v>
      </c>
      <c r="AD222" s="320">
        <f>IFERROR(__xludf.DUMMYFUNCTION("""COMPUTED_VALUE"""),13.0)</f>
        <v>13</v>
      </c>
      <c r="AE222" s="320">
        <f>IFERROR(__xludf.DUMMYFUNCTION("""COMPUTED_VALUE"""),29.0)</f>
        <v>29</v>
      </c>
      <c r="AF222" s="320">
        <f>IFERROR(__xludf.DUMMYFUNCTION("""COMPUTED_VALUE"""),53.0)</f>
        <v>53</v>
      </c>
      <c r="AG222" s="320">
        <f>IFERROR(__xludf.DUMMYFUNCTION("""COMPUTED_VALUE"""),79.0)</f>
        <v>79</v>
      </c>
      <c r="AH222" s="320">
        <f>IFERROR(__xludf.DUMMYFUNCTION("""COMPUTED_VALUE"""),51.87)</f>
        <v>51.87</v>
      </c>
      <c r="AI222" s="320">
        <f>IFERROR(__xludf.DUMMYFUNCTION("""COMPUTED_VALUE"""),20.1)</f>
        <v>20.1</v>
      </c>
      <c r="AJ222" s="320">
        <f>IFERROR(__xludf.DUMMYFUNCTION("""COMPUTED_VALUE"""),5.3)</f>
        <v>5.3</v>
      </c>
      <c r="AK222" s="320">
        <f>IFERROR(__xludf.DUMMYFUNCTION("""COMPUTED_VALUE"""),0.1728)</f>
        <v>0.1728</v>
      </c>
      <c r="AL222" s="320">
        <f>IFERROR(__xludf.DUMMYFUNCTION("""COMPUTED_VALUE"""),19.65)</f>
        <v>19.65</v>
      </c>
      <c r="AM222" s="320">
        <f>IFERROR(__xludf.DUMMYFUNCTION("""COMPUTED_VALUE"""),561.67)</f>
        <v>561.67</v>
      </c>
      <c r="AN222" s="320">
        <f>IFERROR(__xludf.DUMMYFUNCTION("""COMPUTED_VALUE"""),75.98)</f>
        <v>75.98</v>
      </c>
      <c r="AO222" s="320">
        <f>IFERROR(__xludf.DUMMYFUNCTION("""COMPUTED_VALUE"""),14.93)</f>
        <v>14.93</v>
      </c>
    </row>
    <row r="223" ht="15.75" customHeight="1">
      <c r="A223" s="330">
        <f>IFERROR(__xludf.DUMMYFUNCTION("""COMPUTED_VALUE"""),46086.0)</f>
        <v>46086</v>
      </c>
      <c r="B223" s="319" t="str">
        <f>IFERROR(__xludf.DUMMYFUNCTION("""COMPUTED_VALUE"""),"F. 100+")</f>
        <v>F. 100+</v>
      </c>
      <c r="C223" s="320">
        <f>IFERROR(__xludf.DUMMYFUNCTION("""COMPUTED_VALUE"""),384.0)</f>
        <v>384</v>
      </c>
      <c r="D223" s="320">
        <f>IFERROR(__xludf.DUMMYFUNCTION("""COMPUTED_VALUE"""),0.5)</f>
        <v>0.5</v>
      </c>
      <c r="E223" s="320">
        <f>IFERROR(__xludf.DUMMYFUNCTION("""COMPUTED_VALUE"""),4641.82)</f>
        <v>4641.82</v>
      </c>
      <c r="F223" s="320">
        <f>IFERROR(__xludf.DUMMYFUNCTION("""COMPUTED_VALUE"""),12.0881)</f>
        <v>12.0881</v>
      </c>
      <c r="G223" s="320">
        <f>IFERROR(__xludf.DUMMYFUNCTION("""COMPUTED_VALUE"""),48.7)</f>
        <v>48.7</v>
      </c>
      <c r="H223" s="320">
        <f>IFERROR(__xludf.DUMMYFUNCTION("""COMPUTED_VALUE"""),24.8226)</f>
        <v>24.8226</v>
      </c>
      <c r="I223" s="320">
        <f>IFERROR(__xludf.DUMMYFUNCTION("""COMPUTED_VALUE"""),223.16)</f>
        <v>223.16</v>
      </c>
      <c r="J223" s="320">
        <f>IFERROR(__xludf.DUMMYFUNCTION("""COMPUTED_VALUE"""),147.49)</f>
        <v>147.49</v>
      </c>
      <c r="K223" s="320">
        <f>IFERROR(__xludf.DUMMYFUNCTION("""COMPUTED_VALUE"""),120.05)</f>
        <v>120.05</v>
      </c>
      <c r="L223" s="320">
        <f>IFERROR(__xludf.DUMMYFUNCTION("""COMPUTED_VALUE"""),0.8139)</f>
        <v>0.8139</v>
      </c>
      <c r="M223" s="320">
        <f>IFERROR(__xludf.DUMMYFUNCTION("""COMPUTED_VALUE"""),0.2811)</f>
        <v>0.2811</v>
      </c>
      <c r="N223" s="320">
        <f>IFERROR(__xludf.DUMMYFUNCTION("""COMPUTED_VALUE"""),0.1754)</f>
        <v>0.1754</v>
      </c>
      <c r="O223" s="320">
        <f>IFERROR(__xludf.DUMMYFUNCTION("""COMPUTED_VALUE"""),1.2286)</f>
        <v>1.2286</v>
      </c>
      <c r="P223" s="320">
        <f>IFERROR(__xludf.DUMMYFUNCTION("""COMPUTED_VALUE"""),1368.4)</f>
        <v>1368.4</v>
      </c>
      <c r="Q223" s="320">
        <f>IFERROR(__xludf.DUMMYFUNCTION("""COMPUTED_VALUE"""),1114.15)</f>
        <v>1114.15</v>
      </c>
      <c r="R223" s="320">
        <f>IFERROR(__xludf.DUMMYFUNCTION("""COMPUTED_VALUE"""),254.24)</f>
        <v>254.24</v>
      </c>
      <c r="S223" s="320">
        <f>IFERROR(__xludf.DUMMYFUNCTION("""COMPUTED_VALUE"""),744.49)</f>
        <v>744.49</v>
      </c>
      <c r="T223" s="320">
        <f>IFERROR(__xludf.DUMMYFUNCTION("""COMPUTED_VALUE"""),623.9)</f>
        <v>623.9</v>
      </c>
      <c r="U223" s="320">
        <f>IFERROR(__xludf.DUMMYFUNCTION("""COMPUTED_VALUE"""),1394.92)</f>
        <v>1394.92</v>
      </c>
      <c r="V223" s="320">
        <f>IFERROR(__xludf.DUMMYFUNCTION("""COMPUTED_VALUE"""),9.4574)</f>
        <v>9.4574</v>
      </c>
      <c r="W223" s="320">
        <f>IFERROR(__xludf.DUMMYFUNCTION("""COMPUTED_VALUE"""),54.41)</f>
        <v>54.41</v>
      </c>
      <c r="X223" s="320">
        <f>IFERROR(__xludf.DUMMYFUNCTION("""COMPUTED_VALUE"""),176.0)</f>
        <v>176</v>
      </c>
      <c r="Y223" s="320">
        <f>IFERROR(__xludf.DUMMYFUNCTION("""COMPUTED_VALUE"""),708.0)</f>
        <v>708</v>
      </c>
      <c r="Z223" s="320">
        <f>IFERROR(__xludf.DUMMYFUNCTION("""COMPUTED_VALUE"""),2484.0)</f>
        <v>2484</v>
      </c>
      <c r="AA223" s="320">
        <f>IFERROR(__xludf.DUMMYFUNCTION("""COMPUTED_VALUE"""),62.0885)</f>
        <v>62.0885</v>
      </c>
      <c r="AB223" s="320">
        <f>IFERROR(__xludf.DUMMYFUNCTION("""COMPUTED_VALUE"""),0.8466)</f>
        <v>0.8466</v>
      </c>
      <c r="AC223" s="320">
        <f>IFERROR(__xludf.DUMMYFUNCTION("""COMPUTED_VALUE"""),84.27)</f>
        <v>84.27</v>
      </c>
      <c r="AD223" s="320">
        <f>IFERROR(__xludf.DUMMYFUNCTION("""COMPUTED_VALUE"""),29.0)</f>
        <v>29</v>
      </c>
      <c r="AE223" s="320">
        <f>IFERROR(__xludf.DUMMYFUNCTION("""COMPUTED_VALUE"""),68.0)</f>
        <v>68</v>
      </c>
      <c r="AF223" s="320">
        <f>IFERROR(__xludf.DUMMYFUNCTION("""COMPUTED_VALUE"""),125.0)</f>
        <v>125</v>
      </c>
      <c r="AG223" s="320">
        <f>IFERROR(__xludf.DUMMYFUNCTION("""COMPUTED_VALUE"""),170.0)</f>
        <v>170</v>
      </c>
      <c r="AH223" s="320">
        <f>IFERROR(__xludf.DUMMYFUNCTION("""COMPUTED_VALUE"""),44.01)</f>
        <v>44.01</v>
      </c>
      <c r="AI223" s="320">
        <f>IFERROR(__xludf.DUMMYFUNCTION("""COMPUTED_VALUE"""),8.85)</f>
        <v>8.85</v>
      </c>
      <c r="AJ223" s="320">
        <f>IFERROR(__xludf.DUMMYFUNCTION("""COMPUTED_VALUE"""),1.3)</f>
        <v>1.3</v>
      </c>
      <c r="AK223" s="320">
        <f>IFERROR(__xludf.DUMMYFUNCTION("""COMPUTED_VALUE"""),0.1146)</f>
        <v>0.1146</v>
      </c>
      <c r="AL223" s="320">
        <f>IFERROR(__xludf.DUMMYFUNCTION("""COMPUTED_VALUE"""),22.5)</f>
        <v>22.5</v>
      </c>
      <c r="AM223" s="320">
        <f>IFERROR(__xludf.DUMMYFUNCTION("""COMPUTED_VALUE"""),1091.65)</f>
        <v>1091.65</v>
      </c>
      <c r="AN223" s="320">
        <f>IFERROR(__xludf.DUMMYFUNCTION("""COMPUTED_VALUE"""),72.54)</f>
        <v>72.54</v>
      </c>
      <c r="AO223" s="320">
        <f>IFERROR(__xludf.DUMMYFUNCTION("""COMPUTED_VALUE"""),16.32)</f>
        <v>16.32</v>
      </c>
    </row>
    <row r="224" ht="15.75" customHeight="1">
      <c r="A224" s="330">
        <f>IFERROR(__xludf.DUMMYFUNCTION("""COMPUTED_VALUE"""),46087.0)</f>
        <v>46087</v>
      </c>
      <c r="B224" s="319" t="str">
        <f>IFERROR(__xludf.DUMMYFUNCTION("""COMPUTED_VALUE"""),"A. 0")</f>
        <v>A. 0</v>
      </c>
      <c r="C224" s="320">
        <f>IFERROR(__xludf.DUMMYFUNCTION("""COMPUTED_VALUE"""),14345.0)</f>
        <v>14345</v>
      </c>
      <c r="D224" s="320">
        <f>IFERROR(__xludf.DUMMYFUNCTION("""COMPUTED_VALUE"""),18.81)</f>
        <v>18.81</v>
      </c>
      <c r="E224" s="320">
        <f>IFERROR(__xludf.DUMMYFUNCTION("""COMPUTED_VALUE"""),245.23)</f>
        <v>245.23</v>
      </c>
      <c r="F224" s="320">
        <f>IFERROR(__xludf.DUMMYFUNCTION("""COMPUTED_VALUE"""),0.0171)</f>
        <v>0.0171</v>
      </c>
      <c r="G224" s="320">
        <f>IFERROR(__xludf.DUMMYFUNCTION("""COMPUTED_VALUE"""),0.4)</f>
        <v>0.4</v>
      </c>
      <c r="H224" s="320">
        <f>IFERROR(__xludf.DUMMYFUNCTION("""COMPUTED_VALUE"""),4.2281)</f>
        <v>4.2281</v>
      </c>
      <c r="I224" s="320">
        <f>IFERROR(__xludf.DUMMYFUNCTION("""COMPUTED_VALUE"""),5.69)</f>
        <v>5.69</v>
      </c>
      <c r="J224" s="320">
        <f>IFERROR(__xludf.DUMMYFUNCTION("""COMPUTED_VALUE"""),2.43)</f>
        <v>2.43</v>
      </c>
      <c r="K224" s="320">
        <f>IFERROR(__xludf.DUMMYFUNCTION("""COMPUTED_VALUE"""),0.05)</f>
        <v>0.05</v>
      </c>
      <c r="L224" s="320">
        <f>IFERROR(__xludf.DUMMYFUNCTION("""COMPUTED_VALUE"""),0.0194)</f>
        <v>0.0194</v>
      </c>
      <c r="M224" s="320">
        <f>IFERROR(__xludf.DUMMYFUNCTION("""COMPUTED_VALUE"""),0.9824)</f>
        <v>0.9824</v>
      </c>
      <c r="N224" s="320">
        <f>IFERROR(__xludf.DUMMYFUNCTION("""COMPUTED_VALUE"""),0.7985)</f>
        <v>0.7985</v>
      </c>
      <c r="O224" s="320">
        <f>IFERROR(__xludf.DUMMYFUNCTION("""COMPUTED_VALUE"""),51.4815)</f>
        <v>51.4815</v>
      </c>
      <c r="P224" s="320">
        <f>IFERROR(__xludf.DUMMYFUNCTION("""COMPUTED_VALUE"""),31.86)</f>
        <v>31.86</v>
      </c>
      <c r="Q224" s="320">
        <f>IFERROR(__xludf.DUMMYFUNCTION("""COMPUTED_VALUE"""),31.79)</f>
        <v>31.79</v>
      </c>
      <c r="R224" s="320">
        <f>IFERROR(__xludf.DUMMYFUNCTION("""COMPUTED_VALUE"""),0.07)</f>
        <v>0.07</v>
      </c>
      <c r="S224" s="320">
        <f>IFERROR(__xludf.DUMMYFUNCTION("""COMPUTED_VALUE"""),1.26)</f>
        <v>1.26</v>
      </c>
      <c r="T224" s="320">
        <f>IFERROR(__xludf.DUMMYFUNCTION("""COMPUTED_VALUE"""),30.59)</f>
        <v>30.59</v>
      </c>
      <c r="U224" s="320">
        <f>IFERROR(__xludf.DUMMYFUNCTION("""COMPUTED_VALUE"""),1.84)</f>
        <v>1.84</v>
      </c>
      <c r="V224" s="320">
        <f>IFERROR(__xludf.DUMMYFUNCTION("""COMPUTED_VALUE"""),0.7589)</f>
        <v>0.7589</v>
      </c>
      <c r="W224" s="320">
        <f>IFERROR(__xludf.DUMMYFUNCTION("""COMPUTED_VALUE"""),3.97)</f>
        <v>3.97</v>
      </c>
      <c r="X224" s="320">
        <f>IFERROR(__xludf.DUMMYFUNCTION("""COMPUTED_VALUE"""),181.0)</f>
        <v>181</v>
      </c>
      <c r="Y224" s="320">
        <f>IFERROR(__xludf.DUMMYFUNCTION("""COMPUTED_VALUE"""),1293.0)</f>
        <v>1293</v>
      </c>
      <c r="Z224" s="320">
        <f>IFERROR(__xludf.DUMMYFUNCTION("""COMPUTED_VALUE"""),7429.0)</f>
        <v>7429</v>
      </c>
      <c r="AA224" s="320">
        <f>IFERROR(__xludf.DUMMYFUNCTION("""COMPUTED_VALUE"""),49.8753)</f>
        <v>49.8753</v>
      </c>
      <c r="AB224" s="320">
        <f>IFERROR(__xludf.DUMMYFUNCTION("""COMPUTED_VALUE"""),0.5166)</f>
        <v>0.5166</v>
      </c>
      <c r="AC224" s="106"/>
      <c r="AD224" s="106"/>
      <c r="AE224" s="106"/>
      <c r="AF224" s="106"/>
      <c r="AG224" s="106"/>
      <c r="AH224" s="320">
        <f>IFERROR(__xludf.DUMMYFUNCTION("""COMPUTED_VALUE"""),0.0)</f>
        <v>0</v>
      </c>
      <c r="AI224" s="320">
        <f>IFERROR(__xludf.DUMMYFUNCTION("""COMPUTED_VALUE"""),0.0)</f>
        <v>0</v>
      </c>
      <c r="AJ224" s="320">
        <f>IFERROR(__xludf.DUMMYFUNCTION("""COMPUTED_VALUE"""),0.0)</f>
        <v>0</v>
      </c>
      <c r="AK224" s="320">
        <f>IFERROR(__xludf.DUMMYFUNCTION("""COMPUTED_VALUE"""),0.2962)</f>
        <v>0.2962</v>
      </c>
      <c r="AL224" s="320">
        <f>IFERROR(__xludf.DUMMYFUNCTION("""COMPUTED_VALUE"""),16.98)</f>
        <v>16.98</v>
      </c>
      <c r="AM224" s="320">
        <f>IFERROR(__xludf.DUMMYFUNCTION("""COMPUTED_VALUE"""),14.8)</f>
        <v>14.8</v>
      </c>
      <c r="AN224" s="331"/>
      <c r="AO224" s="331"/>
    </row>
    <row r="225" ht="15.75" customHeight="1">
      <c r="A225" s="330">
        <f>IFERROR(__xludf.DUMMYFUNCTION("""COMPUTED_VALUE"""),46087.0)</f>
        <v>46087</v>
      </c>
      <c r="B225" s="319" t="str">
        <f>IFERROR(__xludf.DUMMYFUNCTION("""COMPUTED_VALUE"""),"B. 1-9")</f>
        <v>B. 1-9</v>
      </c>
      <c r="C225" s="320">
        <f>IFERROR(__xludf.DUMMYFUNCTION("""COMPUTED_VALUE"""),32976.0)</f>
        <v>32976</v>
      </c>
      <c r="D225" s="320">
        <f>IFERROR(__xludf.DUMMYFUNCTION("""COMPUTED_VALUE"""),43.25)</f>
        <v>43.25</v>
      </c>
      <c r="E225" s="320">
        <f>IFERROR(__xludf.DUMMYFUNCTION("""COMPUTED_VALUE"""),8380.66)</f>
        <v>8380.66</v>
      </c>
      <c r="F225" s="320">
        <f>IFERROR(__xludf.DUMMYFUNCTION("""COMPUTED_VALUE"""),0.2541)</f>
        <v>0.2541</v>
      </c>
      <c r="G225" s="320">
        <f>IFERROR(__xludf.DUMMYFUNCTION("""COMPUTED_VALUE"""),7.44)</f>
        <v>7.44</v>
      </c>
      <c r="H225" s="320">
        <f>IFERROR(__xludf.DUMMYFUNCTION("""COMPUTED_VALUE"""),3.4137)</f>
        <v>3.4137</v>
      </c>
      <c r="I225" s="320">
        <f>IFERROR(__xludf.DUMMYFUNCTION("""COMPUTED_VALUE"""),33.9)</f>
        <v>33.9</v>
      </c>
      <c r="J225" s="320">
        <f>IFERROR(__xludf.DUMMYFUNCTION("""COMPUTED_VALUE"""),18.15)</f>
        <v>18.15</v>
      </c>
      <c r="K225" s="320">
        <f>IFERROR(__xludf.DUMMYFUNCTION("""COMPUTED_VALUE"""),5.82)</f>
        <v>5.82</v>
      </c>
      <c r="L225" s="320">
        <f>IFERROR(__xludf.DUMMYFUNCTION("""COMPUTED_VALUE"""),0.3209)</f>
        <v>0.3209</v>
      </c>
      <c r="M225" s="320">
        <f>IFERROR(__xludf.DUMMYFUNCTION("""COMPUTED_VALUE"""),0.7495)</f>
        <v>0.7495</v>
      </c>
      <c r="N225" s="320">
        <f>IFERROR(__xludf.DUMMYFUNCTION("""COMPUTED_VALUE"""),0.4955)</f>
        <v>0.4955</v>
      </c>
      <c r="O225" s="320">
        <f>IFERROR(__xludf.DUMMYFUNCTION("""COMPUTED_VALUE"""),3.1166)</f>
        <v>3.1166</v>
      </c>
      <c r="P225" s="320">
        <f>IFERROR(__xludf.DUMMYFUNCTION("""COMPUTED_VALUE"""),89.46)</f>
        <v>89.46</v>
      </c>
      <c r="Q225" s="320">
        <f>IFERROR(__xludf.DUMMYFUNCTION("""COMPUTED_VALUE"""),77.39)</f>
        <v>77.39</v>
      </c>
      <c r="R225" s="320">
        <f>IFERROR(__xludf.DUMMYFUNCTION("""COMPUTED_VALUE"""),12.07)</f>
        <v>12.07</v>
      </c>
      <c r="S225" s="320">
        <f>IFERROR(__xludf.DUMMYFUNCTION("""COMPUTED_VALUE"""),16.45)</f>
        <v>16.45</v>
      </c>
      <c r="T225" s="320">
        <f>IFERROR(__xludf.DUMMYFUNCTION("""COMPUTED_VALUE"""),73.01)</f>
        <v>73.01</v>
      </c>
      <c r="U225" s="320">
        <f>IFERROR(__xludf.DUMMYFUNCTION("""COMPUTED_VALUE"""),82.67)</f>
        <v>82.67</v>
      </c>
      <c r="V225" s="320">
        <f>IFERROR(__xludf.DUMMYFUNCTION("""COMPUTED_VALUE"""),4.5543)</f>
        <v>4.5543</v>
      </c>
      <c r="W225" s="320">
        <f>IFERROR(__xludf.DUMMYFUNCTION("""COMPUTED_VALUE"""),18.39)</f>
        <v>18.39</v>
      </c>
      <c r="X225" s="320">
        <f>IFERROR(__xludf.DUMMYFUNCTION("""COMPUTED_VALUE"""),90.0)</f>
        <v>90</v>
      </c>
      <c r="Y225" s="320">
        <f>IFERROR(__xludf.DUMMYFUNCTION("""COMPUTED_VALUE"""),221.0)</f>
        <v>221</v>
      </c>
      <c r="Z225" s="320">
        <f>IFERROR(__xludf.DUMMYFUNCTION("""COMPUTED_VALUE"""),886.0)</f>
        <v>886</v>
      </c>
      <c r="AA225" s="320">
        <f>IFERROR(__xludf.DUMMYFUNCTION("""COMPUTED_VALUE"""),49.4785)</f>
        <v>49.4785</v>
      </c>
      <c r="AB225" s="320">
        <f>IFERROR(__xludf.DUMMYFUNCTION("""COMPUTED_VALUE"""),0.4382)</f>
        <v>0.4382</v>
      </c>
      <c r="AC225" s="320">
        <f>IFERROR(__xludf.DUMMYFUNCTION("""COMPUTED_VALUE"""),3.84)</f>
        <v>3.84</v>
      </c>
      <c r="AD225" s="320">
        <f>IFERROR(__xludf.DUMMYFUNCTION("""COMPUTED_VALUE"""),1.0)</f>
        <v>1</v>
      </c>
      <c r="AE225" s="320">
        <f>IFERROR(__xludf.DUMMYFUNCTION("""COMPUTED_VALUE"""),2.0)</f>
        <v>2</v>
      </c>
      <c r="AF225" s="320">
        <f>IFERROR(__xludf.DUMMYFUNCTION("""COMPUTED_VALUE"""),5.0)</f>
        <v>5</v>
      </c>
      <c r="AG225" s="320">
        <f>IFERROR(__xludf.DUMMYFUNCTION("""COMPUTED_VALUE"""),9.0)</f>
        <v>9</v>
      </c>
      <c r="AH225" s="320">
        <f>IFERROR(__xludf.DUMMYFUNCTION("""COMPUTED_VALUE"""),70.31)</f>
        <v>70.31</v>
      </c>
      <c r="AI225" s="320">
        <f>IFERROR(__xludf.DUMMYFUNCTION("""COMPUTED_VALUE"""),28.68)</f>
        <v>28.68</v>
      </c>
      <c r="AJ225" s="320">
        <f>IFERROR(__xludf.DUMMYFUNCTION("""COMPUTED_VALUE"""),8.22)</f>
        <v>8.22</v>
      </c>
      <c r="AK225" s="320">
        <f>IFERROR(__xludf.DUMMYFUNCTION("""COMPUTED_VALUE"""),0.2302)</f>
        <v>0.2302</v>
      </c>
      <c r="AL225" s="320">
        <f>IFERROR(__xludf.DUMMYFUNCTION("""COMPUTED_VALUE"""),21.28)</f>
        <v>21.28</v>
      </c>
      <c r="AM225" s="320">
        <f>IFERROR(__xludf.DUMMYFUNCTION("""COMPUTED_VALUE"""),56.1)</f>
        <v>56.1</v>
      </c>
      <c r="AN225" s="320">
        <f>IFERROR(__xludf.DUMMYFUNCTION("""COMPUTED_VALUE"""),68.4)</f>
        <v>68.4</v>
      </c>
      <c r="AO225" s="320">
        <f>IFERROR(__xludf.DUMMYFUNCTION("""COMPUTED_VALUE"""),14.56)</f>
        <v>14.56</v>
      </c>
    </row>
    <row r="226" ht="15.75" customHeight="1">
      <c r="A226" s="330">
        <f>IFERROR(__xludf.DUMMYFUNCTION("""COMPUTED_VALUE"""),46087.0)</f>
        <v>46087</v>
      </c>
      <c r="B226" s="319" t="str">
        <f>IFERROR(__xludf.DUMMYFUNCTION("""COMPUTED_VALUE"""),"C. 10-19")</f>
        <v>C. 10-19</v>
      </c>
      <c r="C226" s="320">
        <f>IFERROR(__xludf.DUMMYFUNCTION("""COMPUTED_VALUE"""),16582.0)</f>
        <v>16582</v>
      </c>
      <c r="D226" s="320">
        <f>IFERROR(__xludf.DUMMYFUNCTION("""COMPUTED_VALUE"""),21.75)</f>
        <v>21.75</v>
      </c>
      <c r="E226" s="320">
        <f>IFERROR(__xludf.DUMMYFUNCTION("""COMPUTED_VALUE"""),17803.04)</f>
        <v>17803.04</v>
      </c>
      <c r="F226" s="320">
        <f>IFERROR(__xludf.DUMMYFUNCTION("""COMPUTED_VALUE"""),1.0736)</f>
        <v>1.0736</v>
      </c>
      <c r="G226" s="320">
        <f>IFERROR(__xludf.DUMMYFUNCTION("""COMPUTED_VALUE"""),22.71)</f>
        <v>22.71</v>
      </c>
      <c r="H226" s="320">
        <f>IFERROR(__xludf.DUMMYFUNCTION("""COMPUTED_VALUE"""),4.7286)</f>
        <v>4.7286</v>
      </c>
      <c r="I226" s="320">
        <f>IFERROR(__xludf.DUMMYFUNCTION("""COMPUTED_VALUE"""),61.25)</f>
        <v>61.25</v>
      </c>
      <c r="J226" s="320">
        <f>IFERROR(__xludf.DUMMYFUNCTION("""COMPUTED_VALUE"""),35.06)</f>
        <v>35.06</v>
      </c>
      <c r="K226" s="320">
        <f>IFERROR(__xludf.DUMMYFUNCTION("""COMPUTED_VALUE"""),14.6)</f>
        <v>14.6</v>
      </c>
      <c r="L226" s="320">
        <f>IFERROR(__xludf.DUMMYFUNCTION("""COMPUTED_VALUE"""),0.4164)</f>
        <v>0.4164</v>
      </c>
      <c r="M226" s="320">
        <f>IFERROR(__xludf.DUMMYFUNCTION("""COMPUTED_VALUE"""),0.6476)</f>
        <v>0.6476</v>
      </c>
      <c r="N226" s="320">
        <f>IFERROR(__xludf.DUMMYFUNCTION("""COMPUTED_VALUE"""),0.3711)</f>
        <v>0.3711</v>
      </c>
      <c r="O226" s="320">
        <f>IFERROR(__xludf.DUMMYFUNCTION("""COMPUTED_VALUE"""),2.4014)</f>
        <v>2.4014</v>
      </c>
      <c r="P226" s="320">
        <f>IFERROR(__xludf.DUMMYFUNCTION("""COMPUTED_VALUE"""),187.87)</f>
        <v>187.87</v>
      </c>
      <c r="Q226" s="320">
        <f>IFERROR(__xludf.DUMMYFUNCTION("""COMPUTED_VALUE"""),157.25)</f>
        <v>157.25</v>
      </c>
      <c r="R226" s="320">
        <f>IFERROR(__xludf.DUMMYFUNCTION("""COMPUTED_VALUE"""),30.62)</f>
        <v>30.62</v>
      </c>
      <c r="S226" s="320">
        <f>IFERROR(__xludf.DUMMYFUNCTION("""COMPUTED_VALUE"""),67.68)</f>
        <v>67.68</v>
      </c>
      <c r="T226" s="320">
        <f>IFERROR(__xludf.DUMMYFUNCTION("""COMPUTED_VALUE"""),120.19)</f>
        <v>120.19</v>
      </c>
      <c r="U226" s="320">
        <f>IFERROR(__xludf.DUMMYFUNCTION("""COMPUTED_VALUE"""),186.57)</f>
        <v>186.57</v>
      </c>
      <c r="V226" s="320">
        <f>IFERROR(__xludf.DUMMYFUNCTION("""COMPUTED_VALUE"""),5.3216)</f>
        <v>5.3216</v>
      </c>
      <c r="W226" s="320">
        <f>IFERROR(__xludf.DUMMYFUNCTION("""COMPUTED_VALUE"""),36.03)</f>
        <v>36.03</v>
      </c>
      <c r="X226" s="320">
        <f>IFERROR(__xludf.DUMMYFUNCTION("""COMPUTED_VALUE"""),84.0)</f>
        <v>84</v>
      </c>
      <c r="Y226" s="320">
        <f>IFERROR(__xludf.DUMMYFUNCTION("""COMPUTED_VALUE"""),190.0)</f>
        <v>190</v>
      </c>
      <c r="Z226" s="320">
        <f>IFERROR(__xludf.DUMMYFUNCTION("""COMPUTED_VALUE"""),614.0)</f>
        <v>614</v>
      </c>
      <c r="AA226" s="320">
        <f>IFERROR(__xludf.DUMMYFUNCTION("""COMPUTED_VALUE"""),52.4189)</f>
        <v>52.4189</v>
      </c>
      <c r="AB226" s="320">
        <f>IFERROR(__xludf.DUMMYFUNCTION("""COMPUTED_VALUE"""),0.548)</f>
        <v>0.548</v>
      </c>
      <c r="AC226" s="320">
        <f>IFERROR(__xludf.DUMMYFUNCTION("""COMPUTED_VALUE"""),9.32)</f>
        <v>9.32</v>
      </c>
      <c r="AD226" s="320">
        <f>IFERROR(__xludf.DUMMYFUNCTION("""COMPUTED_VALUE"""),3.0)</f>
        <v>3</v>
      </c>
      <c r="AE226" s="320">
        <f>IFERROR(__xludf.DUMMYFUNCTION("""COMPUTED_VALUE"""),7.0)</f>
        <v>7</v>
      </c>
      <c r="AF226" s="320">
        <f>IFERROR(__xludf.DUMMYFUNCTION("""COMPUTED_VALUE"""),13.0)</f>
        <v>13</v>
      </c>
      <c r="AG226" s="320">
        <f>IFERROR(__xludf.DUMMYFUNCTION("""COMPUTED_VALUE"""),20.0)</f>
        <v>20</v>
      </c>
      <c r="AH226" s="320">
        <f>IFERROR(__xludf.DUMMYFUNCTION("""COMPUTED_VALUE"""),58.36)</f>
        <v>58.36</v>
      </c>
      <c r="AI226" s="320">
        <f>IFERROR(__xludf.DUMMYFUNCTION("""COMPUTED_VALUE"""),26.2)</f>
        <v>26.2</v>
      </c>
      <c r="AJ226" s="320">
        <f>IFERROR(__xludf.DUMMYFUNCTION("""COMPUTED_VALUE"""),5.0)</f>
        <v>5</v>
      </c>
      <c r="AK226" s="320">
        <f>IFERROR(__xludf.DUMMYFUNCTION("""COMPUTED_VALUE"""),0.2114)</f>
        <v>0.2114</v>
      </c>
      <c r="AL226" s="320">
        <f>IFERROR(__xludf.DUMMYFUNCTION("""COMPUTED_VALUE"""),21.7)</f>
        <v>21.7</v>
      </c>
      <c r="AM226" s="320">
        <f>IFERROR(__xludf.DUMMYFUNCTION("""COMPUTED_VALUE"""),135.54)</f>
        <v>135.54</v>
      </c>
      <c r="AN226" s="320">
        <f>IFERROR(__xludf.DUMMYFUNCTION("""COMPUTED_VALUE"""),73.28)</f>
        <v>73.28</v>
      </c>
      <c r="AO226" s="320">
        <f>IFERROR(__xludf.DUMMYFUNCTION("""COMPUTED_VALUE"""),15.9)</f>
        <v>15.9</v>
      </c>
    </row>
    <row r="227" ht="15.75" customHeight="1">
      <c r="A227" s="330">
        <f>IFERROR(__xludf.DUMMYFUNCTION("""COMPUTED_VALUE"""),46087.0)</f>
        <v>46087</v>
      </c>
      <c r="B227" s="319" t="str">
        <f>IFERROR(__xludf.DUMMYFUNCTION("""COMPUTED_VALUE"""),"D. 20-39")</f>
        <v>D. 20-39</v>
      </c>
      <c r="C227" s="320">
        <f>IFERROR(__xludf.DUMMYFUNCTION("""COMPUTED_VALUE"""),8607.0)</f>
        <v>8607</v>
      </c>
      <c r="D227" s="320">
        <f>IFERROR(__xludf.DUMMYFUNCTION("""COMPUTED_VALUE"""),11.29)</f>
        <v>11.29</v>
      </c>
      <c r="E227" s="320">
        <f>IFERROR(__xludf.DUMMYFUNCTION("""COMPUTED_VALUE"""),22332.71)</f>
        <v>22332.71</v>
      </c>
      <c r="F227" s="320">
        <f>IFERROR(__xludf.DUMMYFUNCTION("""COMPUTED_VALUE"""),2.5947)</f>
        <v>2.5947</v>
      </c>
      <c r="G227" s="320">
        <f>IFERROR(__xludf.DUMMYFUNCTION("""COMPUTED_VALUE"""),34.83)</f>
        <v>34.83</v>
      </c>
      <c r="H227" s="320">
        <f>IFERROR(__xludf.DUMMYFUNCTION("""COMPUTED_VALUE"""),7.4492)</f>
        <v>7.4492</v>
      </c>
      <c r="I227" s="320">
        <f>IFERROR(__xludf.DUMMYFUNCTION("""COMPUTED_VALUE"""),86.41)</f>
        <v>86.41</v>
      </c>
      <c r="J227" s="320">
        <f>IFERROR(__xludf.DUMMYFUNCTION("""COMPUTED_VALUE"""),51.06)</f>
        <v>51.06</v>
      </c>
      <c r="K227" s="320">
        <f>IFERROR(__xludf.DUMMYFUNCTION("""COMPUTED_VALUE"""),27.14)</f>
        <v>27.14</v>
      </c>
      <c r="L227" s="320">
        <f>IFERROR(__xludf.DUMMYFUNCTION("""COMPUTED_VALUE"""),0.5316)</f>
        <v>0.5316</v>
      </c>
      <c r="M227" s="320">
        <f>IFERROR(__xludf.DUMMYFUNCTION("""COMPUTED_VALUE"""),0.5419)</f>
        <v>0.5419</v>
      </c>
      <c r="N227" s="320">
        <f>IFERROR(__xludf.DUMMYFUNCTION("""COMPUTED_VALUE"""),0.3007)</f>
        <v>0.3007</v>
      </c>
      <c r="O227" s="320">
        <f>IFERROR(__xludf.DUMMYFUNCTION("""COMPUTED_VALUE"""),1.8813)</f>
        <v>1.8813</v>
      </c>
      <c r="P227" s="320">
        <f>IFERROR(__xludf.DUMMYFUNCTION("""COMPUTED_VALUE"""),337.26)</f>
        <v>337.26</v>
      </c>
      <c r="Q227" s="320">
        <f>IFERROR(__xludf.DUMMYFUNCTION("""COMPUTED_VALUE"""),280.03)</f>
        <v>280.03</v>
      </c>
      <c r="R227" s="320">
        <f>IFERROR(__xludf.DUMMYFUNCTION("""COMPUTED_VALUE"""),57.23)</f>
        <v>57.23</v>
      </c>
      <c r="S227" s="320">
        <f>IFERROR(__xludf.DUMMYFUNCTION("""COMPUTED_VALUE"""),162.91)</f>
        <v>162.91</v>
      </c>
      <c r="T227" s="320">
        <f>IFERROR(__xludf.DUMMYFUNCTION("""COMPUTED_VALUE"""),174.35)</f>
        <v>174.35</v>
      </c>
      <c r="U227" s="320">
        <f>IFERROR(__xludf.DUMMYFUNCTION("""COMPUTED_VALUE"""),349.27)</f>
        <v>349.27</v>
      </c>
      <c r="V227" s="320">
        <f>IFERROR(__xludf.DUMMYFUNCTION("""COMPUTED_VALUE"""),6.8402)</f>
        <v>6.8402</v>
      </c>
      <c r="W227" s="320">
        <f>IFERROR(__xludf.DUMMYFUNCTION("""COMPUTED_VALUE"""),48.3)</f>
        <v>48.3</v>
      </c>
      <c r="X227" s="320">
        <f>IFERROR(__xludf.DUMMYFUNCTION("""COMPUTED_VALUE"""),87.0)</f>
        <v>87</v>
      </c>
      <c r="Y227" s="320">
        <f>IFERROR(__xludf.DUMMYFUNCTION("""COMPUTED_VALUE"""),213.0)</f>
        <v>213</v>
      </c>
      <c r="Z227" s="320">
        <f>IFERROR(__xludf.DUMMYFUNCTION("""COMPUTED_VALUE"""),692.0)</f>
        <v>692</v>
      </c>
      <c r="AA227" s="320">
        <f>IFERROR(__xludf.DUMMYFUNCTION("""COMPUTED_VALUE"""),54.7192)</f>
        <v>54.7192</v>
      </c>
      <c r="AB227" s="320">
        <f>IFERROR(__xludf.DUMMYFUNCTION("""COMPUTED_VALUE"""),0.6626)</f>
        <v>0.6626</v>
      </c>
      <c r="AC227" s="320">
        <f>IFERROR(__xludf.DUMMYFUNCTION("""COMPUTED_VALUE"""),17.34)</f>
        <v>17.34</v>
      </c>
      <c r="AD227" s="320">
        <f>IFERROR(__xludf.DUMMYFUNCTION("""COMPUTED_VALUE"""),6.0)</f>
        <v>6</v>
      </c>
      <c r="AE227" s="320">
        <f>IFERROR(__xludf.DUMMYFUNCTION("""COMPUTED_VALUE"""),14.0)</f>
        <v>14</v>
      </c>
      <c r="AF227" s="320">
        <f>IFERROR(__xludf.DUMMYFUNCTION("""COMPUTED_VALUE"""),24.0)</f>
        <v>24</v>
      </c>
      <c r="AG227" s="320">
        <f>IFERROR(__xludf.DUMMYFUNCTION("""COMPUTED_VALUE"""),36.0)</f>
        <v>36</v>
      </c>
      <c r="AH227" s="320">
        <f>IFERROR(__xludf.DUMMYFUNCTION("""COMPUTED_VALUE"""),57.8)</f>
        <v>57.8</v>
      </c>
      <c r="AI227" s="320">
        <f>IFERROR(__xludf.DUMMYFUNCTION("""COMPUTED_VALUE"""),23.16)</f>
        <v>23.16</v>
      </c>
      <c r="AJ227" s="320">
        <f>IFERROR(__xludf.DUMMYFUNCTION("""COMPUTED_VALUE"""),6.53)</f>
        <v>6.53</v>
      </c>
      <c r="AK227" s="320">
        <f>IFERROR(__xludf.DUMMYFUNCTION("""COMPUTED_VALUE"""),0.2081)</f>
        <v>0.2081</v>
      </c>
      <c r="AL227" s="320">
        <f>IFERROR(__xludf.DUMMYFUNCTION("""COMPUTED_VALUE"""),20.81)</f>
        <v>20.81</v>
      </c>
      <c r="AM227" s="320">
        <f>IFERROR(__xludf.DUMMYFUNCTION("""COMPUTED_VALUE"""),259.22)</f>
        <v>259.22</v>
      </c>
      <c r="AN227" s="320">
        <f>IFERROR(__xludf.DUMMYFUNCTION("""COMPUTED_VALUE"""),74.62)</f>
        <v>74.62</v>
      </c>
      <c r="AO227" s="320">
        <f>IFERROR(__xludf.DUMMYFUNCTION("""COMPUTED_VALUE"""),15.53)</f>
        <v>15.53</v>
      </c>
    </row>
    <row r="228" ht="15.75" customHeight="1">
      <c r="A228" s="330">
        <f>IFERROR(__xludf.DUMMYFUNCTION("""COMPUTED_VALUE"""),46087.0)</f>
        <v>46087</v>
      </c>
      <c r="B228" s="319" t="str">
        <f>IFERROR(__xludf.DUMMYFUNCTION("""COMPUTED_VALUE"""),"E. 40-99")</f>
        <v>E. 40-99</v>
      </c>
      <c r="C228" s="320">
        <f>IFERROR(__xludf.DUMMYFUNCTION("""COMPUTED_VALUE"""),3344.0)</f>
        <v>3344</v>
      </c>
      <c r="D228" s="320">
        <f>IFERROR(__xludf.DUMMYFUNCTION("""COMPUTED_VALUE"""),4.39)</f>
        <v>4.39</v>
      </c>
      <c r="E228" s="320">
        <f>IFERROR(__xludf.DUMMYFUNCTION("""COMPUTED_VALUE"""),20330.39)</f>
        <v>20330.39</v>
      </c>
      <c r="F228" s="320">
        <f>IFERROR(__xludf.DUMMYFUNCTION("""COMPUTED_VALUE"""),6.0797)</f>
        <v>6.0797</v>
      </c>
      <c r="G228" s="320">
        <f>IFERROR(__xludf.DUMMYFUNCTION("""COMPUTED_VALUE"""),46.14)</f>
        <v>46.14</v>
      </c>
      <c r="H228" s="320">
        <f>IFERROR(__xludf.DUMMYFUNCTION("""COMPUTED_VALUE"""),13.1759)</f>
        <v>13.1759</v>
      </c>
      <c r="I228" s="320">
        <f>IFERROR(__xludf.DUMMYFUNCTION("""COMPUTED_VALUE"""),137.65)</f>
        <v>137.65</v>
      </c>
      <c r="J228" s="320">
        <f>IFERROR(__xludf.DUMMYFUNCTION("""COMPUTED_VALUE"""),83.93)</f>
        <v>83.93</v>
      </c>
      <c r="K228" s="320">
        <f>IFERROR(__xludf.DUMMYFUNCTION("""COMPUTED_VALUE"""),56.45)</f>
        <v>56.45</v>
      </c>
      <c r="L228" s="320">
        <f>IFERROR(__xludf.DUMMYFUNCTION("""COMPUTED_VALUE"""),0.6726)</f>
        <v>0.6726</v>
      </c>
      <c r="M228" s="320">
        <f>IFERROR(__xludf.DUMMYFUNCTION("""COMPUTED_VALUE"""),0.4137)</f>
        <v>0.4137</v>
      </c>
      <c r="N228" s="320">
        <f>IFERROR(__xludf.DUMMYFUNCTION("""COMPUTED_VALUE"""),0.2353)</f>
        <v>0.2353</v>
      </c>
      <c r="O228" s="320">
        <f>IFERROR(__xludf.DUMMYFUNCTION("""COMPUTED_VALUE"""),1.4867)</f>
        <v>1.4867</v>
      </c>
      <c r="P228" s="320">
        <f>IFERROR(__xludf.DUMMYFUNCTION("""COMPUTED_VALUE"""),679.88)</f>
        <v>679.88</v>
      </c>
      <c r="Q228" s="320">
        <f>IFERROR(__xludf.DUMMYFUNCTION("""COMPUTED_VALUE"""),560.2)</f>
        <v>560.2</v>
      </c>
      <c r="R228" s="320">
        <f>IFERROR(__xludf.DUMMYFUNCTION("""COMPUTED_VALUE"""),119.68)</f>
        <v>119.68</v>
      </c>
      <c r="S228" s="320">
        <f>IFERROR(__xludf.DUMMYFUNCTION("""COMPUTED_VALUE"""),385.64)</f>
        <v>385.64</v>
      </c>
      <c r="T228" s="320">
        <f>IFERROR(__xludf.DUMMYFUNCTION("""COMPUTED_VALUE"""),294.24)</f>
        <v>294.24</v>
      </c>
      <c r="U228" s="320">
        <f>IFERROR(__xludf.DUMMYFUNCTION("""COMPUTED_VALUE"""),713.41)</f>
        <v>713.41</v>
      </c>
      <c r="V228" s="320">
        <f>IFERROR(__xludf.DUMMYFUNCTION("""COMPUTED_VALUE"""),8.5004)</f>
        <v>8.5004</v>
      </c>
      <c r="W228" s="320">
        <f>IFERROR(__xludf.DUMMYFUNCTION("""COMPUTED_VALUE"""),56.72)</f>
        <v>56.72</v>
      </c>
      <c r="X228" s="320">
        <f>IFERROR(__xludf.DUMMYFUNCTION("""COMPUTED_VALUE"""),102.0)</f>
        <v>102</v>
      </c>
      <c r="Y228" s="320">
        <f>IFERROR(__xludf.DUMMYFUNCTION("""COMPUTED_VALUE"""),321.0)</f>
        <v>321</v>
      </c>
      <c r="Z228" s="320">
        <f>IFERROR(__xludf.DUMMYFUNCTION("""COMPUTED_VALUE"""),969.0)</f>
        <v>969</v>
      </c>
      <c r="AA228" s="320">
        <f>IFERROR(__xludf.DUMMYFUNCTION("""COMPUTED_VALUE"""),57.8016)</f>
        <v>57.8016</v>
      </c>
      <c r="AB228" s="320">
        <f>IFERROR(__xludf.DUMMYFUNCTION("""COMPUTED_VALUE"""),0.7658)</f>
        <v>0.7658</v>
      </c>
      <c r="AC228" s="320">
        <f>IFERROR(__xludf.DUMMYFUNCTION("""COMPUTED_VALUE"""),37.08)</f>
        <v>37.08</v>
      </c>
      <c r="AD228" s="320">
        <f>IFERROR(__xludf.DUMMYFUNCTION("""COMPUTED_VALUE"""),12.0)</f>
        <v>12</v>
      </c>
      <c r="AE228" s="320">
        <f>IFERROR(__xludf.DUMMYFUNCTION("""COMPUTED_VALUE"""),28.0)</f>
        <v>28</v>
      </c>
      <c r="AF228" s="320">
        <f>IFERROR(__xludf.DUMMYFUNCTION("""COMPUTED_VALUE"""),51.0)</f>
        <v>51</v>
      </c>
      <c r="AG228" s="320">
        <f>IFERROR(__xludf.DUMMYFUNCTION("""COMPUTED_VALUE"""),80.0)</f>
        <v>80</v>
      </c>
      <c r="AH228" s="320">
        <f>IFERROR(__xludf.DUMMYFUNCTION("""COMPUTED_VALUE"""),50.06)</f>
        <v>50.06</v>
      </c>
      <c r="AI228" s="320">
        <f>IFERROR(__xludf.DUMMYFUNCTION("""COMPUTED_VALUE"""),19.56)</f>
        <v>19.56</v>
      </c>
      <c r="AJ228" s="320">
        <f>IFERROR(__xludf.DUMMYFUNCTION("""COMPUTED_VALUE"""),5.29)</f>
        <v>5.29</v>
      </c>
      <c r="AK228" s="320">
        <f>IFERROR(__xludf.DUMMYFUNCTION("""COMPUTED_VALUE"""),0.1872)</f>
        <v>0.1872</v>
      </c>
      <c r="AL228" s="320">
        <f>IFERROR(__xludf.DUMMYFUNCTION("""COMPUTED_VALUE"""),20.91)</f>
        <v>20.91</v>
      </c>
      <c r="AM228" s="320">
        <f>IFERROR(__xludf.DUMMYFUNCTION("""COMPUTED_VALUE"""),539.29)</f>
        <v>539.29</v>
      </c>
      <c r="AN228" s="320">
        <f>IFERROR(__xludf.DUMMYFUNCTION("""COMPUTED_VALUE"""),75.67)</f>
        <v>75.67</v>
      </c>
      <c r="AO228" s="320">
        <f>IFERROR(__xludf.DUMMYFUNCTION("""COMPUTED_VALUE"""),15.82)</f>
        <v>15.82</v>
      </c>
    </row>
    <row r="229" ht="15.75" customHeight="1">
      <c r="A229" s="330">
        <f>IFERROR(__xludf.DUMMYFUNCTION("""COMPUTED_VALUE"""),46087.0)</f>
        <v>46087</v>
      </c>
      <c r="B229" s="319" t="str">
        <f>IFERROR(__xludf.DUMMYFUNCTION("""COMPUTED_VALUE"""),"F. 100+")</f>
        <v>F. 100+</v>
      </c>
      <c r="C229" s="320">
        <f>IFERROR(__xludf.DUMMYFUNCTION("""COMPUTED_VALUE"""),390.0)</f>
        <v>390</v>
      </c>
      <c r="D229" s="320">
        <f>IFERROR(__xludf.DUMMYFUNCTION("""COMPUTED_VALUE"""),0.51)</f>
        <v>0.51</v>
      </c>
      <c r="E229" s="320">
        <f>IFERROR(__xludf.DUMMYFUNCTION("""COMPUTED_VALUE"""),4715.59)</f>
        <v>4715.59</v>
      </c>
      <c r="F229" s="320">
        <f>IFERROR(__xludf.DUMMYFUNCTION("""COMPUTED_VALUE"""),12.0913)</f>
        <v>12.0913</v>
      </c>
      <c r="G229" s="320">
        <f>IFERROR(__xludf.DUMMYFUNCTION("""COMPUTED_VALUE"""),51.54)</f>
        <v>51.54</v>
      </c>
      <c r="H229" s="320">
        <f>IFERROR(__xludf.DUMMYFUNCTION("""COMPUTED_VALUE"""),23.4606)</f>
        <v>23.4606</v>
      </c>
      <c r="I229" s="320">
        <f>IFERROR(__xludf.DUMMYFUNCTION("""COMPUTED_VALUE"""),250.73)</f>
        <v>250.73</v>
      </c>
      <c r="J229" s="320">
        <f>IFERROR(__xludf.DUMMYFUNCTION("""COMPUTED_VALUE"""),160.32)</f>
        <v>160.32</v>
      </c>
      <c r="K229" s="320">
        <f>IFERROR(__xludf.DUMMYFUNCTION("""COMPUTED_VALUE"""),128.86)</f>
        <v>128.86</v>
      </c>
      <c r="L229" s="320">
        <f>IFERROR(__xludf.DUMMYFUNCTION("""COMPUTED_VALUE"""),0.8038)</f>
        <v>0.8038</v>
      </c>
      <c r="M229" s="320">
        <f>IFERROR(__xludf.DUMMYFUNCTION("""COMPUTED_VALUE"""),0.2895)</f>
        <v>0.2895</v>
      </c>
      <c r="N229" s="320">
        <f>IFERROR(__xludf.DUMMYFUNCTION("""COMPUTED_VALUE"""),0.1774)</f>
        <v>0.1774</v>
      </c>
      <c r="O229" s="320">
        <f>IFERROR(__xludf.DUMMYFUNCTION("""COMPUTED_VALUE"""),1.2442)</f>
        <v>1.2442</v>
      </c>
      <c r="P229" s="320">
        <f>IFERROR(__xludf.DUMMYFUNCTION("""COMPUTED_VALUE"""),1304.12)</f>
        <v>1304.12</v>
      </c>
      <c r="Q229" s="320">
        <f>IFERROR(__xludf.DUMMYFUNCTION("""COMPUTED_VALUE"""),1033.24)</f>
        <v>1033.24</v>
      </c>
      <c r="R229" s="320">
        <f>IFERROR(__xludf.DUMMYFUNCTION("""COMPUTED_VALUE"""),270.88)</f>
        <v>270.88</v>
      </c>
      <c r="S229" s="320">
        <f>IFERROR(__xludf.DUMMYFUNCTION("""COMPUTED_VALUE"""),750.17)</f>
        <v>750.17</v>
      </c>
      <c r="T229" s="320">
        <f>IFERROR(__xludf.DUMMYFUNCTION("""COMPUTED_VALUE"""),553.95)</f>
        <v>553.95</v>
      </c>
      <c r="U229" s="320">
        <f>IFERROR(__xludf.DUMMYFUNCTION("""COMPUTED_VALUE"""),1445.13)</f>
        <v>1445.13</v>
      </c>
      <c r="V229" s="320">
        <f>IFERROR(__xludf.DUMMYFUNCTION("""COMPUTED_VALUE"""),9.0141)</f>
        <v>9.0141</v>
      </c>
      <c r="W229" s="320">
        <f>IFERROR(__xludf.DUMMYFUNCTION("""COMPUTED_VALUE"""),57.52)</f>
        <v>57.52</v>
      </c>
      <c r="X229" s="320">
        <f>IFERROR(__xludf.DUMMYFUNCTION("""COMPUTED_VALUE"""),146.0)</f>
        <v>146</v>
      </c>
      <c r="Y229" s="320">
        <f>IFERROR(__xludf.DUMMYFUNCTION("""COMPUTED_VALUE"""),564.0)</f>
        <v>564</v>
      </c>
      <c r="Z229" s="320">
        <f>IFERROR(__xludf.DUMMYFUNCTION("""COMPUTED_VALUE"""),2280.0)</f>
        <v>2280</v>
      </c>
      <c r="AA229" s="320">
        <f>IFERROR(__xludf.DUMMYFUNCTION("""COMPUTED_VALUE"""),61.5856)</f>
        <v>61.5856</v>
      </c>
      <c r="AB229" s="320">
        <f>IFERROR(__xludf.DUMMYFUNCTION("""COMPUTED_VALUE"""),0.8293)</f>
        <v>0.8293</v>
      </c>
      <c r="AC229" s="320">
        <f>IFERROR(__xludf.DUMMYFUNCTION("""COMPUTED_VALUE"""),87.42)</f>
        <v>87.42</v>
      </c>
      <c r="AD229" s="320">
        <f>IFERROR(__xludf.DUMMYFUNCTION("""COMPUTED_VALUE"""),32.0)</f>
        <v>32</v>
      </c>
      <c r="AE229" s="320">
        <f>IFERROR(__xludf.DUMMYFUNCTION("""COMPUTED_VALUE"""),71.0)</f>
        <v>71</v>
      </c>
      <c r="AF229" s="320">
        <f>IFERROR(__xludf.DUMMYFUNCTION("""COMPUTED_VALUE"""),128.0)</f>
        <v>128</v>
      </c>
      <c r="AG229" s="320">
        <f>IFERROR(__xludf.DUMMYFUNCTION("""COMPUTED_VALUE"""),176.0)</f>
        <v>176</v>
      </c>
      <c r="AH229" s="320">
        <f>IFERROR(__xludf.DUMMYFUNCTION("""COMPUTED_VALUE"""),43.33)</f>
        <v>43.33</v>
      </c>
      <c r="AI229" s="320">
        <f>IFERROR(__xludf.DUMMYFUNCTION("""COMPUTED_VALUE"""),10.0)</f>
        <v>10</v>
      </c>
      <c r="AJ229" s="320">
        <f>IFERROR(__xludf.DUMMYFUNCTION("""COMPUTED_VALUE"""),2.56)</f>
        <v>2.56</v>
      </c>
      <c r="AK229" s="320">
        <f>IFERROR(__xludf.DUMMYFUNCTION("""COMPUTED_VALUE"""),0.1359)</f>
        <v>0.1359</v>
      </c>
      <c r="AL229" s="320">
        <f>IFERROR(__xludf.DUMMYFUNCTION("""COMPUTED_VALUE"""),19.91)</f>
        <v>19.91</v>
      </c>
      <c r="AM229" s="320">
        <f>IFERROR(__xludf.DUMMYFUNCTION("""COMPUTED_VALUE"""),1013.33)</f>
        <v>1013.33</v>
      </c>
      <c r="AN229" s="320">
        <f>IFERROR(__xludf.DUMMYFUNCTION("""COMPUTED_VALUE"""),73.92)</f>
        <v>73.92</v>
      </c>
      <c r="AO229" s="320">
        <f>IFERROR(__xludf.DUMMYFUNCTION("""COMPUTED_VALUE"""),14.72)</f>
        <v>14.72</v>
      </c>
    </row>
    <row r="230" ht="15.75" customHeight="1">
      <c r="A230" s="330">
        <f>IFERROR(__xludf.DUMMYFUNCTION("""COMPUTED_VALUE"""),46088.0)</f>
        <v>46088</v>
      </c>
      <c r="B230" s="319" t="str">
        <f>IFERROR(__xludf.DUMMYFUNCTION("""COMPUTED_VALUE"""),"A. 0")</f>
        <v>A. 0</v>
      </c>
      <c r="C230" s="320">
        <f>IFERROR(__xludf.DUMMYFUNCTION("""COMPUTED_VALUE"""),15074.0)</f>
        <v>15074</v>
      </c>
      <c r="D230" s="320">
        <f>IFERROR(__xludf.DUMMYFUNCTION("""COMPUTED_VALUE"""),19.83)</f>
        <v>19.83</v>
      </c>
      <c r="E230" s="320">
        <f>IFERROR(__xludf.DUMMYFUNCTION("""COMPUTED_VALUE"""),129.16)</f>
        <v>129.16</v>
      </c>
      <c r="F230" s="320">
        <f>IFERROR(__xludf.DUMMYFUNCTION("""COMPUTED_VALUE"""),0.0086)</f>
        <v>0.0086</v>
      </c>
      <c r="G230" s="320">
        <f>IFERROR(__xludf.DUMMYFUNCTION("""COMPUTED_VALUE"""),0.25)</f>
        <v>0.25</v>
      </c>
      <c r="H230" s="320">
        <f>IFERROR(__xludf.DUMMYFUNCTION("""COMPUTED_VALUE"""),3.3989)</f>
        <v>3.3989</v>
      </c>
      <c r="I230" s="320">
        <f>IFERROR(__xludf.DUMMYFUNCTION("""COMPUTED_VALUE"""),5.79)</f>
        <v>5.79</v>
      </c>
      <c r="J230" s="320">
        <f>IFERROR(__xludf.DUMMYFUNCTION("""COMPUTED_VALUE"""),2.61)</f>
        <v>2.61</v>
      </c>
      <c r="K230" s="320">
        <f>IFERROR(__xludf.DUMMYFUNCTION("""COMPUTED_VALUE"""),0.04)</f>
        <v>0.04</v>
      </c>
      <c r="L230" s="320">
        <f>IFERROR(__xludf.DUMMYFUNCTION("""COMPUTED_VALUE"""),0.0169)</f>
        <v>0.0169</v>
      </c>
      <c r="M230" s="320">
        <f>IFERROR(__xludf.DUMMYFUNCTION("""COMPUTED_VALUE"""),0.9839)</f>
        <v>0.9839</v>
      </c>
      <c r="N230" s="320">
        <f>IFERROR(__xludf.DUMMYFUNCTION("""COMPUTED_VALUE"""),0.8092)</f>
        <v>0.8092</v>
      </c>
      <c r="O230" s="320">
        <f>IFERROR(__xludf.DUMMYFUNCTION("""COMPUTED_VALUE"""),59.1657)</f>
        <v>59.1657</v>
      </c>
      <c r="P230" s="320">
        <f>IFERROR(__xludf.DUMMYFUNCTION("""COMPUTED_VALUE"""),27.5)</f>
        <v>27.5</v>
      </c>
      <c r="Q230" s="320">
        <f>IFERROR(__xludf.DUMMYFUNCTION("""COMPUTED_VALUE"""),27.43)</f>
        <v>27.43</v>
      </c>
      <c r="R230" s="320">
        <f>IFERROR(__xludf.DUMMYFUNCTION("""COMPUTED_VALUE"""),0.07)</f>
        <v>0.07</v>
      </c>
      <c r="S230" s="320">
        <f>IFERROR(__xludf.DUMMYFUNCTION("""COMPUTED_VALUE"""),0.68)</f>
        <v>0.68</v>
      </c>
      <c r="T230" s="320">
        <f>IFERROR(__xludf.DUMMYFUNCTION("""COMPUTED_VALUE"""),26.82)</f>
        <v>26.82</v>
      </c>
      <c r="U230" s="320">
        <f>IFERROR(__xludf.DUMMYFUNCTION("""COMPUTED_VALUE"""),1.98)</f>
        <v>1.98</v>
      </c>
      <c r="V230" s="320">
        <f>IFERROR(__xludf.DUMMYFUNCTION("""COMPUTED_VALUE"""),0.7598)</f>
        <v>0.7598</v>
      </c>
      <c r="W230" s="320">
        <f>IFERROR(__xludf.DUMMYFUNCTION("""COMPUTED_VALUE"""),2.47)</f>
        <v>2.47</v>
      </c>
      <c r="X230" s="320">
        <f>IFERROR(__xludf.DUMMYFUNCTION("""COMPUTED_VALUE"""),157.0)</f>
        <v>157</v>
      </c>
      <c r="Y230" s="320">
        <f>IFERROR(__xludf.DUMMYFUNCTION("""COMPUTED_VALUE"""),1102.0)</f>
        <v>1102</v>
      </c>
      <c r="Z230" s="320">
        <f>IFERROR(__xludf.DUMMYFUNCTION("""COMPUTED_VALUE"""),7286.0)</f>
        <v>7286</v>
      </c>
      <c r="AA230" s="320">
        <f>IFERROR(__xludf.DUMMYFUNCTION("""COMPUTED_VALUE"""),49.7697)</f>
        <v>49.7697</v>
      </c>
      <c r="AB230" s="320">
        <f>IFERROR(__xludf.DUMMYFUNCTION("""COMPUTED_VALUE"""),0.5051)</f>
        <v>0.5051</v>
      </c>
      <c r="AC230" s="106"/>
      <c r="AD230" s="106"/>
      <c r="AE230" s="106"/>
      <c r="AF230" s="106"/>
      <c r="AG230" s="106"/>
      <c r="AH230" s="320">
        <f>IFERROR(__xludf.DUMMYFUNCTION("""COMPUTED_VALUE"""),0.0)</f>
        <v>0</v>
      </c>
      <c r="AI230" s="320">
        <f>IFERROR(__xludf.DUMMYFUNCTION("""COMPUTED_VALUE"""),0.0)</f>
        <v>0</v>
      </c>
      <c r="AJ230" s="320">
        <f>IFERROR(__xludf.DUMMYFUNCTION("""COMPUTED_VALUE"""),0.0)</f>
        <v>0</v>
      </c>
      <c r="AK230" s="320">
        <f>IFERROR(__xludf.DUMMYFUNCTION("""COMPUTED_VALUE"""),0.2758)</f>
        <v>0.2758</v>
      </c>
      <c r="AL230" s="320">
        <f>IFERROR(__xludf.DUMMYFUNCTION("""COMPUTED_VALUE"""),17.53)</f>
        <v>17.53</v>
      </c>
      <c r="AM230" s="320">
        <f>IFERROR(__xludf.DUMMYFUNCTION("""COMPUTED_VALUE"""),9.9)</f>
        <v>9.9</v>
      </c>
      <c r="AN230" s="331"/>
      <c r="AO230" s="331"/>
    </row>
    <row r="231" ht="15.75" customHeight="1">
      <c r="A231" s="330">
        <f>IFERROR(__xludf.DUMMYFUNCTION("""COMPUTED_VALUE"""),46088.0)</f>
        <v>46088</v>
      </c>
      <c r="B231" s="319" t="str">
        <f>IFERROR(__xludf.DUMMYFUNCTION("""COMPUTED_VALUE"""),"B. 1-9")</f>
        <v>B. 1-9</v>
      </c>
      <c r="C231" s="320">
        <f>IFERROR(__xludf.DUMMYFUNCTION("""COMPUTED_VALUE"""),31919.0)</f>
        <v>31919</v>
      </c>
      <c r="D231" s="320">
        <f>IFERROR(__xludf.DUMMYFUNCTION("""COMPUTED_VALUE"""),42.0)</f>
        <v>42</v>
      </c>
      <c r="E231" s="320">
        <f>IFERROR(__xludf.DUMMYFUNCTION("""COMPUTED_VALUE"""),8286.0)</f>
        <v>8286</v>
      </c>
      <c r="F231" s="320">
        <f>IFERROR(__xludf.DUMMYFUNCTION("""COMPUTED_VALUE"""),0.2596)</f>
        <v>0.2596</v>
      </c>
      <c r="G231" s="320">
        <f>IFERROR(__xludf.DUMMYFUNCTION("""COMPUTED_VALUE"""),7.26)</f>
        <v>7.26</v>
      </c>
      <c r="H231" s="320">
        <f>IFERROR(__xludf.DUMMYFUNCTION("""COMPUTED_VALUE"""),3.5746)</f>
        <v>3.5746</v>
      </c>
      <c r="I231" s="320">
        <f>IFERROR(__xludf.DUMMYFUNCTION("""COMPUTED_VALUE"""),32.18)</f>
        <v>32.18</v>
      </c>
      <c r="J231" s="320">
        <f>IFERROR(__xludf.DUMMYFUNCTION("""COMPUTED_VALUE"""),17.22)</f>
        <v>17.22</v>
      </c>
      <c r="K231" s="320">
        <f>IFERROR(__xludf.DUMMYFUNCTION("""COMPUTED_VALUE"""),5.62)</f>
        <v>5.62</v>
      </c>
      <c r="L231" s="320">
        <f>IFERROR(__xludf.DUMMYFUNCTION("""COMPUTED_VALUE"""),0.3263)</f>
        <v>0.3263</v>
      </c>
      <c r="M231" s="320">
        <f>IFERROR(__xludf.DUMMYFUNCTION("""COMPUTED_VALUE"""),0.7457)</f>
        <v>0.7457</v>
      </c>
      <c r="N231" s="320">
        <f>IFERROR(__xludf.DUMMYFUNCTION("""COMPUTED_VALUE"""),0.4987)</f>
        <v>0.4987</v>
      </c>
      <c r="O231" s="320">
        <f>IFERROR(__xludf.DUMMYFUNCTION("""COMPUTED_VALUE"""),3.0646)</f>
        <v>3.0646</v>
      </c>
      <c r="P231" s="320">
        <f>IFERROR(__xludf.DUMMYFUNCTION("""COMPUTED_VALUE"""),75.22)</f>
        <v>75.22</v>
      </c>
      <c r="Q231" s="320">
        <f>IFERROR(__xludf.DUMMYFUNCTION("""COMPUTED_VALUE"""),63.59)</f>
        <v>63.59</v>
      </c>
      <c r="R231" s="320">
        <f>IFERROR(__xludf.DUMMYFUNCTION("""COMPUTED_VALUE"""),11.63)</f>
        <v>11.63</v>
      </c>
      <c r="S231" s="320">
        <f>IFERROR(__xludf.DUMMYFUNCTION("""COMPUTED_VALUE"""),16.64)</f>
        <v>16.64</v>
      </c>
      <c r="T231" s="320">
        <f>IFERROR(__xludf.DUMMYFUNCTION("""COMPUTED_VALUE"""),58.58)</f>
        <v>58.58</v>
      </c>
      <c r="U231" s="320">
        <f>IFERROR(__xludf.DUMMYFUNCTION("""COMPUTED_VALUE"""),79.41)</f>
        <v>79.41</v>
      </c>
      <c r="V231" s="320">
        <f>IFERROR(__xludf.DUMMYFUNCTION("""COMPUTED_VALUE"""),4.6103)</f>
        <v>4.6103</v>
      </c>
      <c r="W231" s="320">
        <f>IFERROR(__xludf.DUMMYFUNCTION("""COMPUTED_VALUE"""),22.13)</f>
        <v>22.13</v>
      </c>
      <c r="X231" s="320">
        <f>IFERROR(__xludf.DUMMYFUNCTION("""COMPUTED_VALUE"""),87.0)</f>
        <v>87</v>
      </c>
      <c r="Y231" s="320">
        <f>IFERROR(__xludf.DUMMYFUNCTION("""COMPUTED_VALUE"""),215.0)</f>
        <v>215</v>
      </c>
      <c r="Z231" s="320">
        <f>IFERROR(__xludf.DUMMYFUNCTION("""COMPUTED_VALUE"""),882.0)</f>
        <v>882</v>
      </c>
      <c r="AA231" s="320">
        <f>IFERROR(__xludf.DUMMYFUNCTION("""COMPUTED_VALUE"""),49.565)</f>
        <v>49.565</v>
      </c>
      <c r="AB231" s="320">
        <f>IFERROR(__xludf.DUMMYFUNCTION("""COMPUTED_VALUE"""),0.4443)</f>
        <v>0.4443</v>
      </c>
      <c r="AC231" s="320">
        <f>IFERROR(__xludf.DUMMYFUNCTION("""COMPUTED_VALUE"""),3.76)</f>
        <v>3.76</v>
      </c>
      <c r="AD231" s="320">
        <f>IFERROR(__xludf.DUMMYFUNCTION("""COMPUTED_VALUE"""),1.0)</f>
        <v>1</v>
      </c>
      <c r="AE231" s="320">
        <f>IFERROR(__xludf.DUMMYFUNCTION("""COMPUTED_VALUE"""),2.0)</f>
        <v>2</v>
      </c>
      <c r="AF231" s="320">
        <f>IFERROR(__xludf.DUMMYFUNCTION("""COMPUTED_VALUE"""),5.0)</f>
        <v>5</v>
      </c>
      <c r="AG231" s="320">
        <f>IFERROR(__xludf.DUMMYFUNCTION("""COMPUTED_VALUE"""),9.0)</f>
        <v>9</v>
      </c>
      <c r="AH231" s="320">
        <f>IFERROR(__xludf.DUMMYFUNCTION("""COMPUTED_VALUE"""),68.28)</f>
        <v>68.28</v>
      </c>
      <c r="AI231" s="320">
        <f>IFERROR(__xludf.DUMMYFUNCTION("""COMPUTED_VALUE"""),27.5)</f>
        <v>27.5</v>
      </c>
      <c r="AJ231" s="320">
        <f>IFERROR(__xludf.DUMMYFUNCTION("""COMPUTED_VALUE"""),8.1)</f>
        <v>8.1</v>
      </c>
      <c r="AK231" s="320">
        <f>IFERROR(__xludf.DUMMYFUNCTION("""COMPUTED_VALUE"""),0.2186)</f>
        <v>0.2186</v>
      </c>
      <c r="AL231" s="320">
        <f>IFERROR(__xludf.DUMMYFUNCTION("""COMPUTED_VALUE"""),22.56)</f>
        <v>22.56</v>
      </c>
      <c r="AM231" s="320">
        <f>IFERROR(__xludf.DUMMYFUNCTION("""COMPUTED_VALUE"""),41.03)</f>
        <v>41.03</v>
      </c>
      <c r="AN231" s="320">
        <f>IFERROR(__xludf.DUMMYFUNCTION("""COMPUTED_VALUE"""),68.1)</f>
        <v>68.1</v>
      </c>
      <c r="AO231" s="320">
        <f>IFERROR(__xludf.DUMMYFUNCTION("""COMPUTED_VALUE"""),15.36)</f>
        <v>15.36</v>
      </c>
    </row>
    <row r="232" ht="15.75" customHeight="1">
      <c r="A232" s="330">
        <f>IFERROR(__xludf.DUMMYFUNCTION("""COMPUTED_VALUE"""),46088.0)</f>
        <v>46088</v>
      </c>
      <c r="B232" s="319" t="str">
        <f>IFERROR(__xludf.DUMMYFUNCTION("""COMPUTED_VALUE"""),"C. 10-19")</f>
        <v>C. 10-19</v>
      </c>
      <c r="C232" s="320">
        <f>IFERROR(__xludf.DUMMYFUNCTION("""COMPUTED_VALUE"""),16297.0)</f>
        <v>16297</v>
      </c>
      <c r="D232" s="320">
        <f>IFERROR(__xludf.DUMMYFUNCTION("""COMPUTED_VALUE"""),21.44)</f>
        <v>21.44</v>
      </c>
      <c r="E232" s="320">
        <f>IFERROR(__xludf.DUMMYFUNCTION("""COMPUTED_VALUE"""),17695.23)</f>
        <v>17695.23</v>
      </c>
      <c r="F232" s="320">
        <f>IFERROR(__xludf.DUMMYFUNCTION("""COMPUTED_VALUE"""),1.0858)</f>
        <v>1.0858</v>
      </c>
      <c r="G232" s="320">
        <f>IFERROR(__xludf.DUMMYFUNCTION("""COMPUTED_VALUE"""),22.57)</f>
        <v>22.57</v>
      </c>
      <c r="H232" s="320">
        <f>IFERROR(__xludf.DUMMYFUNCTION("""COMPUTED_VALUE"""),4.8111)</f>
        <v>4.8111</v>
      </c>
      <c r="I232" s="320">
        <f>IFERROR(__xludf.DUMMYFUNCTION("""COMPUTED_VALUE"""),57.75)</f>
        <v>57.75</v>
      </c>
      <c r="J232" s="320">
        <f>IFERROR(__xludf.DUMMYFUNCTION("""COMPUTED_VALUE"""),33.1)</f>
        <v>33.1</v>
      </c>
      <c r="K232" s="320">
        <f>IFERROR(__xludf.DUMMYFUNCTION("""COMPUTED_VALUE"""),13.96)</f>
        <v>13.96</v>
      </c>
      <c r="L232" s="320">
        <f>IFERROR(__xludf.DUMMYFUNCTION("""COMPUTED_VALUE"""),0.4216)</f>
        <v>0.4216</v>
      </c>
      <c r="M232" s="320">
        <f>IFERROR(__xludf.DUMMYFUNCTION("""COMPUTED_VALUE"""),0.6436)</f>
        <v>0.6436</v>
      </c>
      <c r="N232" s="320">
        <f>IFERROR(__xludf.DUMMYFUNCTION("""COMPUTED_VALUE"""),0.3694)</f>
        <v>0.3694</v>
      </c>
      <c r="O232" s="320">
        <f>IFERROR(__xludf.DUMMYFUNCTION("""COMPUTED_VALUE"""),2.3719)</f>
        <v>2.3719</v>
      </c>
      <c r="P232" s="320">
        <f>IFERROR(__xludf.DUMMYFUNCTION("""COMPUTED_VALUE"""),173.24)</f>
        <v>173.24</v>
      </c>
      <c r="Q232" s="320">
        <f>IFERROR(__xludf.DUMMYFUNCTION("""COMPUTED_VALUE"""),144.03)</f>
        <v>144.03</v>
      </c>
      <c r="R232" s="320">
        <f>IFERROR(__xludf.DUMMYFUNCTION("""COMPUTED_VALUE"""),29.21)</f>
        <v>29.21</v>
      </c>
      <c r="S232" s="320">
        <f>IFERROR(__xludf.DUMMYFUNCTION("""COMPUTED_VALUE"""),69.93)</f>
        <v>69.93</v>
      </c>
      <c r="T232" s="320">
        <f>IFERROR(__xludf.DUMMYFUNCTION("""COMPUTED_VALUE"""),103.3)</f>
        <v>103.3</v>
      </c>
      <c r="U232" s="320">
        <f>IFERROR(__xludf.DUMMYFUNCTION("""COMPUTED_VALUE"""),180.11)</f>
        <v>180.11</v>
      </c>
      <c r="V232" s="320">
        <f>IFERROR(__xludf.DUMMYFUNCTION("""COMPUTED_VALUE"""),5.441)</f>
        <v>5.441</v>
      </c>
      <c r="W232" s="320">
        <f>IFERROR(__xludf.DUMMYFUNCTION("""COMPUTED_VALUE"""),40.37)</f>
        <v>40.37</v>
      </c>
      <c r="X232" s="320">
        <f>IFERROR(__xludf.DUMMYFUNCTION("""COMPUTED_VALUE"""),84.0)</f>
        <v>84</v>
      </c>
      <c r="Y232" s="320">
        <f>IFERROR(__xludf.DUMMYFUNCTION("""COMPUTED_VALUE"""),186.0)</f>
        <v>186</v>
      </c>
      <c r="Z232" s="320">
        <f>IFERROR(__xludf.DUMMYFUNCTION("""COMPUTED_VALUE"""),628.0)</f>
        <v>628</v>
      </c>
      <c r="AA232" s="320">
        <f>IFERROR(__xludf.DUMMYFUNCTION("""COMPUTED_VALUE"""),52.4937)</f>
        <v>52.4937</v>
      </c>
      <c r="AB232" s="320">
        <f>IFERROR(__xludf.DUMMYFUNCTION("""COMPUTED_VALUE"""),0.5533)</f>
        <v>0.5533</v>
      </c>
      <c r="AC232" s="320">
        <f>IFERROR(__xludf.DUMMYFUNCTION("""COMPUTED_VALUE"""),9.08)</f>
        <v>9.08</v>
      </c>
      <c r="AD232" s="320">
        <f>IFERROR(__xludf.DUMMYFUNCTION("""COMPUTED_VALUE"""),3.0)</f>
        <v>3</v>
      </c>
      <c r="AE232" s="320">
        <f>IFERROR(__xludf.DUMMYFUNCTION("""COMPUTED_VALUE"""),6.0)</f>
        <v>6</v>
      </c>
      <c r="AF232" s="320">
        <f>IFERROR(__xludf.DUMMYFUNCTION("""COMPUTED_VALUE"""),13.0)</f>
        <v>13</v>
      </c>
      <c r="AG232" s="320">
        <f>IFERROR(__xludf.DUMMYFUNCTION("""COMPUTED_VALUE"""),20.0)</f>
        <v>20</v>
      </c>
      <c r="AH232" s="320">
        <f>IFERROR(__xludf.DUMMYFUNCTION("""COMPUTED_VALUE"""),56.05)</f>
        <v>56.05</v>
      </c>
      <c r="AI232" s="320">
        <f>IFERROR(__xludf.DUMMYFUNCTION("""COMPUTED_VALUE"""),25.89)</f>
        <v>25.89</v>
      </c>
      <c r="AJ232" s="320">
        <f>IFERROR(__xludf.DUMMYFUNCTION("""COMPUTED_VALUE"""),4.81)</f>
        <v>4.81</v>
      </c>
      <c r="AK232" s="320">
        <f>IFERROR(__xludf.DUMMYFUNCTION("""COMPUTED_VALUE"""),0.1989)</f>
        <v>0.1989</v>
      </c>
      <c r="AL232" s="320">
        <f>IFERROR(__xludf.DUMMYFUNCTION("""COMPUTED_VALUE"""),23.01)</f>
        <v>23.01</v>
      </c>
      <c r="AM232" s="320">
        <f>IFERROR(__xludf.DUMMYFUNCTION("""COMPUTED_VALUE"""),121.01)</f>
        <v>121.01</v>
      </c>
      <c r="AN232" s="320">
        <f>IFERROR(__xludf.DUMMYFUNCTION("""COMPUTED_VALUE"""),72.55)</f>
        <v>72.55</v>
      </c>
      <c r="AO232" s="320">
        <f>IFERROR(__xludf.DUMMYFUNCTION("""COMPUTED_VALUE"""),16.69)</f>
        <v>16.69</v>
      </c>
    </row>
    <row r="233" ht="15.75" customHeight="1">
      <c r="A233" s="330">
        <f>IFERROR(__xludf.DUMMYFUNCTION("""COMPUTED_VALUE"""),46088.0)</f>
        <v>46088</v>
      </c>
      <c r="B233" s="319" t="str">
        <f>IFERROR(__xludf.DUMMYFUNCTION("""COMPUTED_VALUE"""),"D. 20-39")</f>
        <v>D. 20-39</v>
      </c>
      <c r="C233" s="320">
        <f>IFERROR(__xludf.DUMMYFUNCTION("""COMPUTED_VALUE"""),8691.0)</f>
        <v>8691</v>
      </c>
      <c r="D233" s="320">
        <f>IFERROR(__xludf.DUMMYFUNCTION("""COMPUTED_VALUE"""),11.44)</f>
        <v>11.44</v>
      </c>
      <c r="E233" s="320">
        <f>IFERROR(__xludf.DUMMYFUNCTION("""COMPUTED_VALUE"""),22742.59)</f>
        <v>22742.59</v>
      </c>
      <c r="F233" s="320">
        <f>IFERROR(__xludf.DUMMYFUNCTION("""COMPUTED_VALUE"""),2.6168)</f>
        <v>2.6168</v>
      </c>
      <c r="G233" s="320">
        <f>IFERROR(__xludf.DUMMYFUNCTION("""COMPUTED_VALUE"""),34.32)</f>
        <v>34.32</v>
      </c>
      <c r="H233" s="320">
        <f>IFERROR(__xludf.DUMMYFUNCTION("""COMPUTED_VALUE"""),7.6241)</f>
        <v>7.6241</v>
      </c>
      <c r="I233" s="320">
        <f>IFERROR(__xludf.DUMMYFUNCTION("""COMPUTED_VALUE"""),83.99)</f>
        <v>83.99</v>
      </c>
      <c r="J233" s="320">
        <f>IFERROR(__xludf.DUMMYFUNCTION("""COMPUTED_VALUE"""),49.98)</f>
        <v>49.98</v>
      </c>
      <c r="K233" s="320">
        <f>IFERROR(__xludf.DUMMYFUNCTION("""COMPUTED_VALUE"""),27.01)</f>
        <v>27.01</v>
      </c>
      <c r="L233" s="320">
        <f>IFERROR(__xludf.DUMMYFUNCTION("""COMPUTED_VALUE"""),0.5403)</f>
        <v>0.5403</v>
      </c>
      <c r="M233" s="320">
        <f>IFERROR(__xludf.DUMMYFUNCTION("""COMPUTED_VALUE"""),0.5346)</f>
        <v>0.5346</v>
      </c>
      <c r="N233" s="320">
        <f>IFERROR(__xludf.DUMMYFUNCTION("""COMPUTED_VALUE"""),0.297)</f>
        <v>0.297</v>
      </c>
      <c r="O233" s="320">
        <f>IFERROR(__xludf.DUMMYFUNCTION("""COMPUTED_VALUE"""),1.8507)</f>
        <v>1.8507</v>
      </c>
      <c r="P233" s="320">
        <f>IFERROR(__xludf.DUMMYFUNCTION("""COMPUTED_VALUE"""),343.95)</f>
        <v>343.95</v>
      </c>
      <c r="Q233" s="320">
        <f>IFERROR(__xludf.DUMMYFUNCTION("""COMPUTED_VALUE"""),287.14)</f>
        <v>287.14</v>
      </c>
      <c r="R233" s="320">
        <f>IFERROR(__xludf.DUMMYFUNCTION("""COMPUTED_VALUE"""),56.82)</f>
        <v>56.82</v>
      </c>
      <c r="S233" s="320">
        <f>IFERROR(__xludf.DUMMYFUNCTION("""COMPUTED_VALUE"""),167.73)</f>
        <v>167.73</v>
      </c>
      <c r="T233" s="320">
        <f>IFERROR(__xludf.DUMMYFUNCTION("""COMPUTED_VALUE"""),176.23)</f>
        <v>176.23</v>
      </c>
      <c r="U233" s="320">
        <f>IFERROR(__xludf.DUMMYFUNCTION("""COMPUTED_VALUE"""),351.21)</f>
        <v>351.21</v>
      </c>
      <c r="V233" s="320">
        <f>IFERROR(__xludf.DUMMYFUNCTION("""COMPUTED_VALUE"""),7.0265)</f>
        <v>7.0265</v>
      </c>
      <c r="W233" s="320">
        <f>IFERROR(__xludf.DUMMYFUNCTION("""COMPUTED_VALUE"""),48.76)</f>
        <v>48.76</v>
      </c>
      <c r="X233" s="320">
        <f>IFERROR(__xludf.DUMMYFUNCTION("""COMPUTED_VALUE"""),88.0)</f>
        <v>88</v>
      </c>
      <c r="Y233" s="320">
        <f>IFERROR(__xludf.DUMMYFUNCTION("""COMPUTED_VALUE"""),227.0)</f>
        <v>227</v>
      </c>
      <c r="Z233" s="320">
        <f>IFERROR(__xludf.DUMMYFUNCTION("""COMPUTED_VALUE"""),686.0)</f>
        <v>686</v>
      </c>
      <c r="AA233" s="320">
        <f>IFERROR(__xludf.DUMMYFUNCTION("""COMPUTED_VALUE"""),54.692)</f>
        <v>54.692</v>
      </c>
      <c r="AB233" s="320">
        <f>IFERROR(__xludf.DUMMYFUNCTION("""COMPUTED_VALUE"""),0.6644)</f>
        <v>0.6644</v>
      </c>
      <c r="AC233" s="320">
        <f>IFERROR(__xludf.DUMMYFUNCTION("""COMPUTED_VALUE"""),17.58)</f>
        <v>17.58</v>
      </c>
      <c r="AD233" s="320">
        <f>IFERROR(__xludf.DUMMYFUNCTION("""COMPUTED_VALUE"""),6.0)</f>
        <v>6</v>
      </c>
      <c r="AE233" s="320">
        <f>IFERROR(__xludf.DUMMYFUNCTION("""COMPUTED_VALUE"""),13.0)</f>
        <v>13</v>
      </c>
      <c r="AF233" s="320">
        <f>IFERROR(__xludf.DUMMYFUNCTION("""COMPUTED_VALUE"""),25.0)</f>
        <v>25</v>
      </c>
      <c r="AG233" s="320">
        <f>IFERROR(__xludf.DUMMYFUNCTION("""COMPUTED_VALUE"""),37.0)</f>
        <v>37</v>
      </c>
      <c r="AH233" s="320">
        <f>IFERROR(__xludf.DUMMYFUNCTION("""COMPUTED_VALUE"""),57.78)</f>
        <v>57.78</v>
      </c>
      <c r="AI233" s="320">
        <f>IFERROR(__xludf.DUMMYFUNCTION("""COMPUTED_VALUE"""),23.58)</f>
        <v>23.58</v>
      </c>
      <c r="AJ233" s="320">
        <f>IFERROR(__xludf.DUMMYFUNCTION("""COMPUTED_VALUE"""),7.02)</f>
        <v>7.02</v>
      </c>
      <c r="AK233" s="320">
        <f>IFERROR(__xludf.DUMMYFUNCTION("""COMPUTED_VALUE"""),0.1993)</f>
        <v>0.1993</v>
      </c>
      <c r="AL233" s="320">
        <f>IFERROR(__xludf.DUMMYFUNCTION("""COMPUTED_VALUE"""),23.04)</f>
        <v>23.04</v>
      </c>
      <c r="AM233" s="320">
        <f>IFERROR(__xludf.DUMMYFUNCTION("""COMPUTED_VALUE"""),264.09)</f>
        <v>264.09</v>
      </c>
      <c r="AN233" s="320">
        <f>IFERROR(__xludf.DUMMYFUNCTION("""COMPUTED_VALUE"""),73.18)</f>
        <v>73.18</v>
      </c>
      <c r="AO233" s="320">
        <f>IFERROR(__xludf.DUMMYFUNCTION("""COMPUTED_VALUE"""),16.86)</f>
        <v>16.86</v>
      </c>
    </row>
    <row r="234" ht="15.75" customHeight="1">
      <c r="A234" s="330">
        <f>IFERROR(__xludf.DUMMYFUNCTION("""COMPUTED_VALUE"""),46088.0)</f>
        <v>46088</v>
      </c>
      <c r="B234" s="319" t="str">
        <f>IFERROR(__xludf.DUMMYFUNCTION("""COMPUTED_VALUE"""),"E. 40-99")</f>
        <v>E. 40-99</v>
      </c>
      <c r="C234" s="320">
        <f>IFERROR(__xludf.DUMMYFUNCTION("""COMPUTED_VALUE"""),3606.0)</f>
        <v>3606</v>
      </c>
      <c r="D234" s="320">
        <f>IFERROR(__xludf.DUMMYFUNCTION("""COMPUTED_VALUE"""),4.74)</f>
        <v>4.74</v>
      </c>
      <c r="E234" s="320">
        <f>IFERROR(__xludf.DUMMYFUNCTION("""COMPUTED_VALUE"""),21732.16)</f>
        <v>21732.16</v>
      </c>
      <c r="F234" s="320">
        <f>IFERROR(__xludf.DUMMYFUNCTION("""COMPUTED_VALUE"""),6.0267)</f>
        <v>6.0267</v>
      </c>
      <c r="G234" s="320">
        <f>IFERROR(__xludf.DUMMYFUNCTION("""COMPUTED_VALUE"""),44.01)</f>
        <v>44.01</v>
      </c>
      <c r="H234" s="320">
        <f>IFERROR(__xludf.DUMMYFUNCTION("""COMPUTED_VALUE"""),13.6939)</f>
        <v>13.6939</v>
      </c>
      <c r="I234" s="320">
        <f>IFERROR(__xludf.DUMMYFUNCTION("""COMPUTED_VALUE"""),133.55)</f>
        <v>133.55</v>
      </c>
      <c r="J234" s="320">
        <f>IFERROR(__xludf.DUMMYFUNCTION("""COMPUTED_VALUE"""),83.45)</f>
        <v>83.45</v>
      </c>
      <c r="K234" s="320">
        <f>IFERROR(__xludf.DUMMYFUNCTION("""COMPUTED_VALUE"""),56.75)</f>
        <v>56.75</v>
      </c>
      <c r="L234" s="320">
        <f>IFERROR(__xludf.DUMMYFUNCTION("""COMPUTED_VALUE"""),0.68)</f>
        <v>0.68</v>
      </c>
      <c r="M234" s="320">
        <f>IFERROR(__xludf.DUMMYFUNCTION("""COMPUTED_VALUE"""),0.4085)</f>
        <v>0.4085</v>
      </c>
      <c r="N234" s="320">
        <f>IFERROR(__xludf.DUMMYFUNCTION("""COMPUTED_VALUE"""),0.2321)</f>
        <v>0.2321</v>
      </c>
      <c r="O234" s="320">
        <f>IFERROR(__xludf.DUMMYFUNCTION("""COMPUTED_VALUE"""),1.4705)</f>
        <v>1.4705</v>
      </c>
      <c r="P234" s="320">
        <f>IFERROR(__xludf.DUMMYFUNCTION("""COMPUTED_VALUE"""),713.13)</f>
        <v>713.13</v>
      </c>
      <c r="Q234" s="320">
        <f>IFERROR(__xludf.DUMMYFUNCTION("""COMPUTED_VALUE"""),594.16)</f>
        <v>594.16</v>
      </c>
      <c r="R234" s="320">
        <f>IFERROR(__xludf.DUMMYFUNCTION("""COMPUTED_VALUE"""),118.97)</f>
        <v>118.97</v>
      </c>
      <c r="S234" s="320">
        <f>IFERROR(__xludf.DUMMYFUNCTION("""COMPUTED_VALUE"""),383.52)</f>
        <v>383.52</v>
      </c>
      <c r="T234" s="320">
        <f>IFERROR(__xludf.DUMMYFUNCTION("""COMPUTED_VALUE"""),329.61)</f>
        <v>329.61</v>
      </c>
      <c r="U234" s="320">
        <f>IFERROR(__xludf.DUMMYFUNCTION("""COMPUTED_VALUE"""),729.48)</f>
        <v>729.48</v>
      </c>
      <c r="V234" s="320">
        <f>IFERROR(__xludf.DUMMYFUNCTION("""COMPUTED_VALUE"""),8.7415)</f>
        <v>8.7415</v>
      </c>
      <c r="W234" s="320">
        <f>IFERROR(__xludf.DUMMYFUNCTION("""COMPUTED_VALUE"""),53.78)</f>
        <v>53.78</v>
      </c>
      <c r="X234" s="320">
        <f>IFERROR(__xludf.DUMMYFUNCTION("""COMPUTED_VALUE"""),100.0)</f>
        <v>100</v>
      </c>
      <c r="Y234" s="320">
        <f>IFERROR(__xludf.DUMMYFUNCTION("""COMPUTED_VALUE"""),343.0)</f>
        <v>343</v>
      </c>
      <c r="Z234" s="320">
        <f>IFERROR(__xludf.DUMMYFUNCTION("""COMPUTED_VALUE"""),971.0)</f>
        <v>971</v>
      </c>
      <c r="AA234" s="320">
        <f>IFERROR(__xludf.DUMMYFUNCTION("""COMPUTED_VALUE"""),57.625)</f>
        <v>57.625</v>
      </c>
      <c r="AB234" s="320">
        <f>IFERROR(__xludf.DUMMYFUNCTION("""COMPUTED_VALUE"""),0.7635)</f>
        <v>0.7635</v>
      </c>
      <c r="AC234" s="320">
        <f>IFERROR(__xludf.DUMMYFUNCTION("""COMPUTED_VALUE"""),37.68)</f>
        <v>37.68</v>
      </c>
      <c r="AD234" s="320">
        <f>IFERROR(__xludf.DUMMYFUNCTION("""COMPUTED_VALUE"""),12.0)</f>
        <v>12</v>
      </c>
      <c r="AE234" s="320">
        <f>IFERROR(__xludf.DUMMYFUNCTION("""COMPUTED_VALUE"""),29.0)</f>
        <v>29</v>
      </c>
      <c r="AF234" s="320">
        <f>IFERROR(__xludf.DUMMYFUNCTION("""COMPUTED_VALUE"""),52.0)</f>
        <v>52</v>
      </c>
      <c r="AG234" s="320">
        <f>IFERROR(__xludf.DUMMYFUNCTION("""COMPUTED_VALUE"""),81.0)</f>
        <v>81</v>
      </c>
      <c r="AH234" s="320">
        <f>IFERROR(__xludf.DUMMYFUNCTION("""COMPUTED_VALUE"""),52.0)</f>
        <v>52</v>
      </c>
      <c r="AI234" s="320">
        <f>IFERROR(__xludf.DUMMYFUNCTION("""COMPUTED_VALUE"""),20.33)</f>
        <v>20.33</v>
      </c>
      <c r="AJ234" s="320">
        <f>IFERROR(__xludf.DUMMYFUNCTION("""COMPUTED_VALUE"""),5.32)</f>
        <v>5.32</v>
      </c>
      <c r="AK234" s="320">
        <f>IFERROR(__xludf.DUMMYFUNCTION("""COMPUTED_VALUE"""),0.1755)</f>
        <v>0.1755</v>
      </c>
      <c r="AL234" s="320">
        <f>IFERROR(__xludf.DUMMYFUNCTION("""COMPUTED_VALUE"""),22.21)</f>
        <v>22.21</v>
      </c>
      <c r="AM234" s="320">
        <f>IFERROR(__xludf.DUMMYFUNCTION("""COMPUTED_VALUE"""),571.95)</f>
        <v>571.95</v>
      </c>
      <c r="AN234" s="320">
        <f>IFERROR(__xludf.DUMMYFUNCTION("""COMPUTED_VALUE"""),74.57)</f>
        <v>74.57</v>
      </c>
      <c r="AO234" s="320">
        <f>IFERROR(__xludf.DUMMYFUNCTION("""COMPUTED_VALUE"""),16.56)</f>
        <v>16.56</v>
      </c>
    </row>
    <row r="235" ht="15.75" customHeight="1">
      <c r="A235" s="330">
        <f>IFERROR(__xludf.DUMMYFUNCTION("""COMPUTED_VALUE"""),46088.0)</f>
        <v>46088</v>
      </c>
      <c r="B235" s="319" t="str">
        <f>IFERROR(__xludf.DUMMYFUNCTION("""COMPUTED_VALUE"""),"F. 100+")</f>
        <v>F. 100+</v>
      </c>
      <c r="C235" s="320">
        <f>IFERROR(__xludf.DUMMYFUNCTION("""COMPUTED_VALUE"""),413.0)</f>
        <v>413</v>
      </c>
      <c r="D235" s="320">
        <f>IFERROR(__xludf.DUMMYFUNCTION("""COMPUTED_VALUE"""),0.54)</f>
        <v>0.54</v>
      </c>
      <c r="E235" s="320">
        <f>IFERROR(__xludf.DUMMYFUNCTION("""COMPUTED_VALUE"""),5070.53)</f>
        <v>5070.53</v>
      </c>
      <c r="F235" s="320">
        <f>IFERROR(__xludf.DUMMYFUNCTION("""COMPUTED_VALUE"""),12.2773)</f>
        <v>12.2773</v>
      </c>
      <c r="G235" s="320">
        <f>IFERROR(__xludf.DUMMYFUNCTION("""COMPUTED_VALUE"""),48.91)</f>
        <v>48.91</v>
      </c>
      <c r="H235" s="320">
        <f>IFERROR(__xludf.DUMMYFUNCTION("""COMPUTED_VALUE"""),25.1016)</f>
        <v>25.1016</v>
      </c>
      <c r="I235" s="320">
        <f>IFERROR(__xludf.DUMMYFUNCTION("""COMPUTED_VALUE"""),248.83)</f>
        <v>248.83</v>
      </c>
      <c r="J235" s="320">
        <f>IFERROR(__xludf.DUMMYFUNCTION("""COMPUTED_VALUE"""),163.42)</f>
        <v>163.42</v>
      </c>
      <c r="K235" s="320">
        <f>IFERROR(__xludf.DUMMYFUNCTION("""COMPUTED_VALUE"""),130.5)</f>
        <v>130.5</v>
      </c>
      <c r="L235" s="320">
        <f>IFERROR(__xludf.DUMMYFUNCTION("""COMPUTED_VALUE"""),0.7985)</f>
        <v>0.7985</v>
      </c>
      <c r="M235" s="320">
        <f>IFERROR(__xludf.DUMMYFUNCTION("""COMPUTED_VALUE"""),0.2952)</f>
        <v>0.2952</v>
      </c>
      <c r="N235" s="320">
        <f>IFERROR(__xludf.DUMMYFUNCTION("""COMPUTED_VALUE"""),0.1814)</f>
        <v>0.1814</v>
      </c>
      <c r="O235" s="320">
        <f>IFERROR(__xludf.DUMMYFUNCTION("""COMPUTED_VALUE"""),1.2523)</f>
        <v>1.2523</v>
      </c>
      <c r="P235" s="320">
        <f>IFERROR(__xludf.DUMMYFUNCTION("""COMPUTED_VALUE"""),1407.12)</f>
        <v>1407.12</v>
      </c>
      <c r="Q235" s="320">
        <f>IFERROR(__xludf.DUMMYFUNCTION("""COMPUTED_VALUE"""),1132.46)</f>
        <v>1132.46</v>
      </c>
      <c r="R235" s="320">
        <f>IFERROR(__xludf.DUMMYFUNCTION("""COMPUTED_VALUE"""),274.66)</f>
        <v>274.66</v>
      </c>
      <c r="S235" s="320">
        <f>IFERROR(__xludf.DUMMYFUNCTION("""COMPUTED_VALUE"""),781.34)</f>
        <v>781.34</v>
      </c>
      <c r="T235" s="320">
        <f>IFERROR(__xludf.DUMMYFUNCTION("""COMPUTED_VALUE"""),625.77)</f>
        <v>625.77</v>
      </c>
      <c r="U235" s="320">
        <f>IFERROR(__xludf.DUMMYFUNCTION("""COMPUTED_VALUE"""),1472.52)</f>
        <v>1472.52</v>
      </c>
      <c r="V235" s="320">
        <f>IFERROR(__xludf.DUMMYFUNCTION("""COMPUTED_VALUE"""),9.0104)</f>
        <v>9.0104</v>
      </c>
      <c r="W235" s="320">
        <f>IFERROR(__xludf.DUMMYFUNCTION("""COMPUTED_VALUE"""),55.53)</f>
        <v>55.53</v>
      </c>
      <c r="X235" s="320">
        <f>IFERROR(__xludf.DUMMYFUNCTION("""COMPUTED_VALUE"""),135.0)</f>
        <v>135</v>
      </c>
      <c r="Y235" s="320">
        <f>IFERROR(__xludf.DUMMYFUNCTION("""COMPUTED_VALUE"""),540.0)</f>
        <v>540</v>
      </c>
      <c r="Z235" s="320">
        <f>IFERROR(__xludf.DUMMYFUNCTION("""COMPUTED_VALUE"""),2317.0)</f>
        <v>2317</v>
      </c>
      <c r="AA235" s="320">
        <f>IFERROR(__xludf.DUMMYFUNCTION("""COMPUTED_VALUE"""),61.2159)</f>
        <v>61.2159</v>
      </c>
      <c r="AB235" s="320">
        <f>IFERROR(__xludf.DUMMYFUNCTION("""COMPUTED_VALUE"""),0.838)</f>
        <v>0.838</v>
      </c>
      <c r="AC235" s="320">
        <f>IFERROR(__xludf.DUMMYFUNCTION("""COMPUTED_VALUE"""),86.26)</f>
        <v>86.26</v>
      </c>
      <c r="AD235" s="320">
        <f>IFERROR(__xludf.DUMMYFUNCTION("""COMPUTED_VALUE"""),29.0)</f>
        <v>29</v>
      </c>
      <c r="AE235" s="320">
        <f>IFERROR(__xludf.DUMMYFUNCTION("""COMPUTED_VALUE"""),64.0)</f>
        <v>64</v>
      </c>
      <c r="AF235" s="320">
        <f>IFERROR(__xludf.DUMMYFUNCTION("""COMPUTED_VALUE"""),123.0)</f>
        <v>123</v>
      </c>
      <c r="AG235" s="320">
        <f>IFERROR(__xludf.DUMMYFUNCTION("""COMPUTED_VALUE"""),186.0)</f>
        <v>186</v>
      </c>
      <c r="AH235" s="320">
        <f>IFERROR(__xludf.DUMMYFUNCTION("""COMPUTED_VALUE"""),44.79)</f>
        <v>44.79</v>
      </c>
      <c r="AI235" s="320">
        <f>IFERROR(__xludf.DUMMYFUNCTION("""COMPUTED_VALUE"""),12.11)</f>
        <v>12.11</v>
      </c>
      <c r="AJ235" s="320">
        <f>IFERROR(__xludf.DUMMYFUNCTION("""COMPUTED_VALUE"""),2.18)</f>
        <v>2.18</v>
      </c>
      <c r="AK235" s="320">
        <f>IFERROR(__xludf.DUMMYFUNCTION("""COMPUTED_VALUE"""),0.1429)</f>
        <v>0.1429</v>
      </c>
      <c r="AL235" s="320">
        <f>IFERROR(__xludf.DUMMYFUNCTION("""COMPUTED_VALUE"""),24.27)</f>
        <v>24.27</v>
      </c>
      <c r="AM235" s="320">
        <f>IFERROR(__xludf.DUMMYFUNCTION("""COMPUTED_VALUE"""),1108.18)</f>
        <v>1108.18</v>
      </c>
      <c r="AN235" s="320">
        <f>IFERROR(__xludf.DUMMYFUNCTION("""COMPUTED_VALUE"""),71.84)</f>
        <v>71.84</v>
      </c>
      <c r="AO235" s="320">
        <f>IFERROR(__xludf.DUMMYFUNCTION("""COMPUTED_VALUE"""),17.44)</f>
        <v>17.44</v>
      </c>
    </row>
    <row r="236" ht="15.75" customHeight="1">
      <c r="A236" s="330">
        <f>IFERROR(__xludf.DUMMYFUNCTION("""COMPUTED_VALUE"""),46089.0)</f>
        <v>46089</v>
      </c>
      <c r="B236" s="319" t="str">
        <f>IFERROR(__xludf.DUMMYFUNCTION("""COMPUTED_VALUE"""),"A. 0")</f>
        <v>A. 0</v>
      </c>
      <c r="C236" s="320">
        <f>IFERROR(__xludf.DUMMYFUNCTION("""COMPUTED_VALUE"""),15604.0)</f>
        <v>15604</v>
      </c>
      <c r="D236" s="320">
        <f>IFERROR(__xludf.DUMMYFUNCTION("""COMPUTED_VALUE"""),20.11)</f>
        <v>20.11</v>
      </c>
      <c r="E236" s="320">
        <f>IFERROR(__xludf.DUMMYFUNCTION("""COMPUTED_VALUE"""),138.94)</f>
        <v>138.94</v>
      </c>
      <c r="F236" s="320">
        <f>IFERROR(__xludf.DUMMYFUNCTION("""COMPUTED_VALUE"""),0.0089)</f>
        <v>0.0089</v>
      </c>
      <c r="G236" s="320">
        <f>IFERROR(__xludf.DUMMYFUNCTION("""COMPUTED_VALUE"""),0.26)</f>
        <v>0.26</v>
      </c>
      <c r="H236" s="320">
        <f>IFERROR(__xludf.DUMMYFUNCTION("""COMPUTED_VALUE"""),3.4735)</f>
        <v>3.4735</v>
      </c>
      <c r="I236" s="320">
        <f>IFERROR(__xludf.DUMMYFUNCTION("""COMPUTED_VALUE"""),6.3)</f>
        <v>6.3</v>
      </c>
      <c r="J236" s="320">
        <f>IFERROR(__xludf.DUMMYFUNCTION("""COMPUTED_VALUE"""),2.99)</f>
        <v>2.99</v>
      </c>
      <c r="K236" s="320">
        <f>IFERROR(__xludf.DUMMYFUNCTION("""COMPUTED_VALUE"""),0.05)</f>
        <v>0.05</v>
      </c>
      <c r="L236" s="320">
        <f>IFERROR(__xludf.DUMMYFUNCTION("""COMPUTED_VALUE"""),0.0184)</f>
        <v>0.0184</v>
      </c>
      <c r="M236" s="320">
        <f>IFERROR(__xludf.DUMMYFUNCTION("""COMPUTED_VALUE"""),0.9824)</f>
        <v>0.9824</v>
      </c>
      <c r="N236" s="320">
        <f>IFERROR(__xludf.DUMMYFUNCTION("""COMPUTED_VALUE"""),0.767)</f>
        <v>0.767</v>
      </c>
      <c r="O236" s="320">
        <f>IFERROR(__xludf.DUMMYFUNCTION("""COMPUTED_VALUE"""),54.4831)</f>
        <v>54.4831</v>
      </c>
      <c r="P236" s="320">
        <f>IFERROR(__xludf.DUMMYFUNCTION("""COMPUTED_VALUE"""),23.82)</f>
        <v>23.82</v>
      </c>
      <c r="Q236" s="320">
        <f>IFERROR(__xludf.DUMMYFUNCTION("""COMPUTED_VALUE"""),23.74)</f>
        <v>23.74</v>
      </c>
      <c r="R236" s="320">
        <f>IFERROR(__xludf.DUMMYFUNCTION("""COMPUTED_VALUE"""),0.08)</f>
        <v>0.08</v>
      </c>
      <c r="S236" s="320">
        <f>IFERROR(__xludf.DUMMYFUNCTION("""COMPUTED_VALUE"""),0.66)</f>
        <v>0.66</v>
      </c>
      <c r="T236" s="320">
        <f>IFERROR(__xludf.DUMMYFUNCTION("""COMPUTED_VALUE"""),23.16)</f>
        <v>23.16</v>
      </c>
      <c r="U236" s="320">
        <f>IFERROR(__xludf.DUMMYFUNCTION("""COMPUTED_VALUE"""),1.6)</f>
        <v>1.6</v>
      </c>
      <c r="V236" s="320">
        <f>IFERROR(__xludf.DUMMYFUNCTION("""COMPUTED_VALUE"""),0.5333)</f>
        <v>0.5333</v>
      </c>
      <c r="W236" s="320">
        <f>IFERROR(__xludf.DUMMYFUNCTION("""COMPUTED_VALUE"""),2.78)</f>
        <v>2.78</v>
      </c>
      <c r="X236" s="320">
        <f>IFERROR(__xludf.DUMMYFUNCTION("""COMPUTED_VALUE"""),148.0)</f>
        <v>148</v>
      </c>
      <c r="Y236" s="320">
        <f>IFERROR(__xludf.DUMMYFUNCTION("""COMPUTED_VALUE"""),1046.0)</f>
        <v>1046</v>
      </c>
      <c r="Z236" s="320">
        <f>IFERROR(__xludf.DUMMYFUNCTION("""COMPUTED_VALUE"""),7205.0)</f>
        <v>7205</v>
      </c>
      <c r="AA236" s="320">
        <f>IFERROR(__xludf.DUMMYFUNCTION("""COMPUTED_VALUE"""),50.0302)</f>
        <v>50.0302</v>
      </c>
      <c r="AB236" s="320">
        <f>IFERROR(__xludf.DUMMYFUNCTION("""COMPUTED_VALUE"""),0.5177)</f>
        <v>0.5177</v>
      </c>
      <c r="AC236" s="106"/>
      <c r="AD236" s="106"/>
      <c r="AE236" s="106"/>
      <c r="AF236" s="106"/>
      <c r="AG236" s="106"/>
      <c r="AH236" s="320">
        <f>IFERROR(__xludf.DUMMYFUNCTION("""COMPUTED_VALUE"""),0.0)</f>
        <v>0</v>
      </c>
      <c r="AI236" s="320">
        <f>IFERROR(__xludf.DUMMYFUNCTION("""COMPUTED_VALUE"""),0.0)</f>
        <v>0</v>
      </c>
      <c r="AJ236" s="320">
        <f>IFERROR(__xludf.DUMMYFUNCTION("""COMPUTED_VALUE"""),0.0)</f>
        <v>0</v>
      </c>
      <c r="AK236" s="320">
        <f>IFERROR(__xludf.DUMMYFUNCTION("""COMPUTED_VALUE"""),0.2947)</f>
        <v>0.2947</v>
      </c>
      <c r="AL236" s="320">
        <f>IFERROR(__xludf.DUMMYFUNCTION("""COMPUTED_VALUE"""),17.05)</f>
        <v>17.05</v>
      </c>
      <c r="AM236" s="320">
        <f>IFERROR(__xludf.DUMMYFUNCTION("""COMPUTED_VALUE"""),6.69)</f>
        <v>6.69</v>
      </c>
      <c r="AN236" s="331"/>
      <c r="AO236" s="331"/>
    </row>
    <row r="237" ht="15.75" customHeight="1">
      <c r="A237" s="330">
        <f>IFERROR(__xludf.DUMMYFUNCTION("""COMPUTED_VALUE"""),46089.0)</f>
        <v>46089</v>
      </c>
      <c r="B237" s="319" t="str">
        <f>IFERROR(__xludf.DUMMYFUNCTION("""COMPUTED_VALUE"""),"B. 1-9")</f>
        <v>B. 1-9</v>
      </c>
      <c r="C237" s="320">
        <f>IFERROR(__xludf.DUMMYFUNCTION("""COMPUTED_VALUE"""),32010.0)</f>
        <v>32010</v>
      </c>
      <c r="D237" s="320">
        <f>IFERROR(__xludf.DUMMYFUNCTION("""COMPUTED_VALUE"""),41.25)</f>
        <v>41.25</v>
      </c>
      <c r="E237" s="320">
        <f>IFERROR(__xludf.DUMMYFUNCTION("""COMPUTED_VALUE"""),7795.24)</f>
        <v>7795.24</v>
      </c>
      <c r="F237" s="320">
        <f>IFERROR(__xludf.DUMMYFUNCTION("""COMPUTED_VALUE"""),0.2435)</f>
        <v>0.2435</v>
      </c>
      <c r="G237" s="320">
        <f>IFERROR(__xludf.DUMMYFUNCTION("""COMPUTED_VALUE"""),7.17)</f>
        <v>7.17</v>
      </c>
      <c r="H237" s="320">
        <f>IFERROR(__xludf.DUMMYFUNCTION("""COMPUTED_VALUE"""),3.3966)</f>
        <v>3.3966</v>
      </c>
      <c r="I237" s="320">
        <f>IFERROR(__xludf.DUMMYFUNCTION("""COMPUTED_VALUE"""),36.49)</f>
        <v>36.49</v>
      </c>
      <c r="J237" s="320">
        <f>IFERROR(__xludf.DUMMYFUNCTION("""COMPUTED_VALUE"""),20.1)</f>
        <v>20.1</v>
      </c>
      <c r="K237" s="320">
        <f>IFERROR(__xludf.DUMMYFUNCTION("""COMPUTED_VALUE"""),5.6)</f>
        <v>5.6</v>
      </c>
      <c r="L237" s="320">
        <f>IFERROR(__xludf.DUMMYFUNCTION("""COMPUTED_VALUE"""),0.2787)</f>
        <v>0.2787</v>
      </c>
      <c r="M237" s="320">
        <f>IFERROR(__xludf.DUMMYFUNCTION("""COMPUTED_VALUE"""),0.7811)</f>
        <v>0.7811</v>
      </c>
      <c r="N237" s="320">
        <f>IFERROR(__xludf.DUMMYFUNCTION("""COMPUTED_VALUE"""),0.5248)</f>
        <v>0.5248</v>
      </c>
      <c r="O237" s="320">
        <f>IFERROR(__xludf.DUMMYFUNCTION("""COMPUTED_VALUE"""),3.588)</f>
        <v>3.588</v>
      </c>
      <c r="P237" s="320">
        <f>IFERROR(__xludf.DUMMYFUNCTION("""COMPUTED_VALUE"""),65.61)</f>
        <v>65.61</v>
      </c>
      <c r="Q237" s="320">
        <f>IFERROR(__xludf.DUMMYFUNCTION("""COMPUTED_VALUE"""),53.93)</f>
        <v>53.93</v>
      </c>
      <c r="R237" s="320">
        <f>IFERROR(__xludf.DUMMYFUNCTION("""COMPUTED_VALUE"""),11.68)</f>
        <v>11.68</v>
      </c>
      <c r="S237" s="320">
        <f>IFERROR(__xludf.DUMMYFUNCTION("""COMPUTED_VALUE"""),15.73)</f>
        <v>15.73</v>
      </c>
      <c r="T237" s="320">
        <f>IFERROR(__xludf.DUMMYFUNCTION("""COMPUTED_VALUE"""),49.88)</f>
        <v>49.88</v>
      </c>
      <c r="U237" s="320">
        <f>IFERROR(__xludf.DUMMYFUNCTION("""COMPUTED_VALUE"""),73.46)</f>
        <v>73.46</v>
      </c>
      <c r="V237" s="320">
        <f>IFERROR(__xludf.DUMMYFUNCTION("""COMPUTED_VALUE"""),3.6551)</f>
        <v>3.6551</v>
      </c>
      <c r="W237" s="320">
        <f>IFERROR(__xludf.DUMMYFUNCTION("""COMPUTED_VALUE"""),23.97)</f>
        <v>23.97</v>
      </c>
      <c r="X237" s="320">
        <f>IFERROR(__xludf.DUMMYFUNCTION("""COMPUTED_VALUE"""),85.0)</f>
        <v>85</v>
      </c>
      <c r="Y237" s="320">
        <f>IFERROR(__xludf.DUMMYFUNCTION("""COMPUTED_VALUE"""),211.0)</f>
        <v>211</v>
      </c>
      <c r="Z237" s="320">
        <f>IFERROR(__xludf.DUMMYFUNCTION("""COMPUTED_VALUE"""),878.0)</f>
        <v>878</v>
      </c>
      <c r="AA237" s="320">
        <f>IFERROR(__xludf.DUMMYFUNCTION("""COMPUTED_VALUE"""),49.6636)</f>
        <v>49.6636</v>
      </c>
      <c r="AB237" s="320">
        <f>IFERROR(__xludf.DUMMYFUNCTION("""COMPUTED_VALUE"""),0.4471)</f>
        <v>0.4471</v>
      </c>
      <c r="AC237" s="320">
        <f>IFERROR(__xludf.DUMMYFUNCTION("""COMPUTED_VALUE"""),3.6)</f>
        <v>3.6</v>
      </c>
      <c r="AD237" s="320">
        <f>IFERROR(__xludf.DUMMYFUNCTION("""COMPUTED_VALUE"""),1.0)</f>
        <v>1</v>
      </c>
      <c r="AE237" s="320">
        <f>IFERROR(__xludf.DUMMYFUNCTION("""COMPUTED_VALUE"""),2.0)</f>
        <v>2</v>
      </c>
      <c r="AF237" s="320">
        <f>IFERROR(__xludf.DUMMYFUNCTION("""COMPUTED_VALUE"""),5.0)</f>
        <v>5</v>
      </c>
      <c r="AG237" s="320">
        <f>IFERROR(__xludf.DUMMYFUNCTION("""COMPUTED_VALUE"""),8.0)</f>
        <v>8</v>
      </c>
      <c r="AH237" s="320">
        <f>IFERROR(__xludf.DUMMYFUNCTION("""COMPUTED_VALUE"""),67.91)</f>
        <v>67.91</v>
      </c>
      <c r="AI237" s="320">
        <f>IFERROR(__xludf.DUMMYFUNCTION("""COMPUTED_VALUE"""),25.65)</f>
        <v>25.65</v>
      </c>
      <c r="AJ237" s="320">
        <f>IFERROR(__xludf.DUMMYFUNCTION("""COMPUTED_VALUE"""),6.97)</f>
        <v>6.97</v>
      </c>
      <c r="AK237" s="320">
        <f>IFERROR(__xludf.DUMMYFUNCTION("""COMPUTED_VALUE"""),0.2358)</f>
        <v>0.2358</v>
      </c>
      <c r="AL237" s="320">
        <f>IFERROR(__xludf.DUMMYFUNCTION("""COMPUTED_VALUE"""),21.27)</f>
        <v>21.27</v>
      </c>
      <c r="AM237" s="320">
        <f>IFERROR(__xludf.DUMMYFUNCTION("""COMPUTED_VALUE"""),32.66)</f>
        <v>32.66</v>
      </c>
      <c r="AN237" s="320">
        <f>IFERROR(__xludf.DUMMYFUNCTION("""COMPUTED_VALUE"""),68.0)</f>
        <v>68</v>
      </c>
      <c r="AO237" s="320">
        <f>IFERROR(__xludf.DUMMYFUNCTION("""COMPUTED_VALUE"""),14.46)</f>
        <v>14.46</v>
      </c>
    </row>
    <row r="238" ht="15.75" customHeight="1">
      <c r="A238" s="330">
        <f>IFERROR(__xludf.DUMMYFUNCTION("""COMPUTED_VALUE"""),46089.0)</f>
        <v>46089</v>
      </c>
      <c r="B238" s="319" t="str">
        <f>IFERROR(__xludf.DUMMYFUNCTION("""COMPUTED_VALUE"""),"C. 10-19")</f>
        <v>C. 10-19</v>
      </c>
      <c r="C238" s="320">
        <f>IFERROR(__xludf.DUMMYFUNCTION("""COMPUTED_VALUE"""),16553.0)</f>
        <v>16553</v>
      </c>
      <c r="D238" s="320">
        <f>IFERROR(__xludf.DUMMYFUNCTION("""COMPUTED_VALUE"""),21.33)</f>
        <v>21.33</v>
      </c>
      <c r="E238" s="320">
        <f>IFERROR(__xludf.DUMMYFUNCTION("""COMPUTED_VALUE"""),16615.42)</f>
        <v>16615.42</v>
      </c>
      <c r="F238" s="320">
        <f>IFERROR(__xludf.DUMMYFUNCTION("""COMPUTED_VALUE"""),1.0038)</f>
        <v>1.0038</v>
      </c>
      <c r="G238" s="320">
        <f>IFERROR(__xludf.DUMMYFUNCTION("""COMPUTED_VALUE"""),21.19)</f>
        <v>21.19</v>
      </c>
      <c r="H238" s="320">
        <f>IFERROR(__xludf.DUMMYFUNCTION("""COMPUTED_VALUE"""),4.7378)</f>
        <v>4.7378</v>
      </c>
      <c r="I238" s="320">
        <f>IFERROR(__xludf.DUMMYFUNCTION("""COMPUTED_VALUE"""),64.73)</f>
        <v>64.73</v>
      </c>
      <c r="J238" s="320">
        <f>IFERROR(__xludf.DUMMYFUNCTION("""COMPUTED_VALUE"""),37.94)</f>
        <v>37.94</v>
      </c>
      <c r="K238" s="320">
        <f>IFERROR(__xludf.DUMMYFUNCTION("""COMPUTED_VALUE"""),14.05)</f>
        <v>14.05</v>
      </c>
      <c r="L238" s="320">
        <f>IFERROR(__xludf.DUMMYFUNCTION("""COMPUTED_VALUE"""),0.3702)</f>
        <v>0.3702</v>
      </c>
      <c r="M238" s="320">
        <f>IFERROR(__xludf.DUMMYFUNCTION("""COMPUTED_VALUE"""),0.6844)</f>
        <v>0.6844</v>
      </c>
      <c r="N238" s="320">
        <f>IFERROR(__xludf.DUMMYFUNCTION("""COMPUTED_VALUE"""),0.3918)</f>
        <v>0.3918</v>
      </c>
      <c r="O238" s="320">
        <f>IFERROR(__xludf.DUMMYFUNCTION("""COMPUTED_VALUE"""),2.7009)</f>
        <v>2.7009</v>
      </c>
      <c r="P238" s="320">
        <f>IFERROR(__xludf.DUMMYFUNCTION("""COMPUTED_VALUE"""),147.81)</f>
        <v>147.81</v>
      </c>
      <c r="Q238" s="320">
        <f>IFERROR(__xludf.DUMMYFUNCTION("""COMPUTED_VALUE"""),118.47)</f>
        <v>118.47</v>
      </c>
      <c r="R238" s="320">
        <f>IFERROR(__xludf.DUMMYFUNCTION("""COMPUTED_VALUE"""),29.34)</f>
        <v>29.34</v>
      </c>
      <c r="S238" s="320">
        <f>IFERROR(__xludf.DUMMYFUNCTION("""COMPUTED_VALUE"""),64.6)</f>
        <v>64.6</v>
      </c>
      <c r="T238" s="320">
        <f>IFERROR(__xludf.DUMMYFUNCTION("""COMPUTED_VALUE"""),83.21)</f>
        <v>83.21</v>
      </c>
      <c r="U238" s="320">
        <f>IFERROR(__xludf.DUMMYFUNCTION("""COMPUTED_VALUE"""),166.27)</f>
        <v>166.27</v>
      </c>
      <c r="V238" s="320">
        <f>IFERROR(__xludf.DUMMYFUNCTION("""COMPUTED_VALUE"""),4.3826)</f>
        <v>4.3826</v>
      </c>
      <c r="W238" s="320">
        <f>IFERROR(__xludf.DUMMYFUNCTION("""COMPUTED_VALUE"""),43.7)</f>
        <v>43.7</v>
      </c>
      <c r="X238" s="320">
        <f>IFERROR(__xludf.DUMMYFUNCTION("""COMPUTED_VALUE"""),80.0)</f>
        <v>80</v>
      </c>
      <c r="Y238" s="320">
        <f>IFERROR(__xludf.DUMMYFUNCTION("""COMPUTED_VALUE"""),168.0)</f>
        <v>168</v>
      </c>
      <c r="Z238" s="320">
        <f>IFERROR(__xludf.DUMMYFUNCTION("""COMPUTED_VALUE"""),609.0)</f>
        <v>609</v>
      </c>
      <c r="AA238" s="320">
        <f>IFERROR(__xludf.DUMMYFUNCTION("""COMPUTED_VALUE"""),52.4208)</f>
        <v>52.4208</v>
      </c>
      <c r="AB238" s="320">
        <f>IFERROR(__xludf.DUMMYFUNCTION("""COMPUTED_VALUE"""),0.5537)</f>
        <v>0.5537</v>
      </c>
      <c r="AC238" s="320">
        <f>IFERROR(__xludf.DUMMYFUNCTION("""COMPUTED_VALUE"""),8.72)</f>
        <v>8.72</v>
      </c>
      <c r="AD238" s="320">
        <f>IFERROR(__xludf.DUMMYFUNCTION("""COMPUTED_VALUE"""),3.0)</f>
        <v>3</v>
      </c>
      <c r="AE238" s="320">
        <f>IFERROR(__xludf.DUMMYFUNCTION("""COMPUTED_VALUE"""),6.0)</f>
        <v>6</v>
      </c>
      <c r="AF238" s="320">
        <f>IFERROR(__xludf.DUMMYFUNCTION("""COMPUTED_VALUE"""),12.0)</f>
        <v>12</v>
      </c>
      <c r="AG238" s="320">
        <f>IFERROR(__xludf.DUMMYFUNCTION("""COMPUTED_VALUE"""),19.0)</f>
        <v>19</v>
      </c>
      <c r="AH238" s="320">
        <f>IFERROR(__xludf.DUMMYFUNCTION("""COMPUTED_VALUE"""),53.92)</f>
        <v>53.92</v>
      </c>
      <c r="AI238" s="320">
        <f>IFERROR(__xludf.DUMMYFUNCTION("""COMPUTED_VALUE"""),23.94)</f>
        <v>23.94</v>
      </c>
      <c r="AJ238" s="320">
        <f>IFERROR(__xludf.DUMMYFUNCTION("""COMPUTED_VALUE"""),4.52)</f>
        <v>4.52</v>
      </c>
      <c r="AK238" s="320">
        <f>IFERROR(__xludf.DUMMYFUNCTION("""COMPUTED_VALUE"""),0.2163)</f>
        <v>0.2163</v>
      </c>
      <c r="AL238" s="320">
        <f>IFERROR(__xludf.DUMMYFUNCTION("""COMPUTED_VALUE"""),21.53)</f>
        <v>21.53</v>
      </c>
      <c r="AM238" s="320">
        <f>IFERROR(__xludf.DUMMYFUNCTION("""COMPUTED_VALUE"""),96.94)</f>
        <v>96.94</v>
      </c>
      <c r="AN238" s="320">
        <f>IFERROR(__xludf.DUMMYFUNCTION("""COMPUTED_VALUE"""),72.23)</f>
        <v>72.23</v>
      </c>
      <c r="AO238" s="320">
        <f>IFERROR(__xludf.DUMMYFUNCTION("""COMPUTED_VALUE"""),15.55)</f>
        <v>15.55</v>
      </c>
    </row>
    <row r="239" ht="15.75" customHeight="1">
      <c r="A239" s="330">
        <f>IFERROR(__xludf.DUMMYFUNCTION("""COMPUTED_VALUE"""),46089.0)</f>
        <v>46089</v>
      </c>
      <c r="B239" s="319" t="str">
        <f>IFERROR(__xludf.DUMMYFUNCTION("""COMPUTED_VALUE"""),"D. 20-39")</f>
        <v>D. 20-39</v>
      </c>
      <c r="C239" s="320">
        <f>IFERROR(__xludf.DUMMYFUNCTION("""COMPUTED_VALUE"""),9213.0)</f>
        <v>9213</v>
      </c>
      <c r="D239" s="320">
        <f>IFERROR(__xludf.DUMMYFUNCTION("""COMPUTED_VALUE"""),11.87)</f>
        <v>11.87</v>
      </c>
      <c r="E239" s="320">
        <f>IFERROR(__xludf.DUMMYFUNCTION("""COMPUTED_VALUE"""),24715.66)</f>
        <v>24715.66</v>
      </c>
      <c r="F239" s="320">
        <f>IFERROR(__xludf.DUMMYFUNCTION("""COMPUTED_VALUE"""),2.6827)</f>
        <v>2.6827</v>
      </c>
      <c r="G239" s="320">
        <f>IFERROR(__xludf.DUMMYFUNCTION("""COMPUTED_VALUE"""),35.06)</f>
        <v>35.06</v>
      </c>
      <c r="H239" s="320">
        <f>IFERROR(__xludf.DUMMYFUNCTION("""COMPUTED_VALUE"""),7.6519)</f>
        <v>7.6519</v>
      </c>
      <c r="I239" s="320">
        <f>IFERROR(__xludf.DUMMYFUNCTION("""COMPUTED_VALUE"""),92.45)</f>
        <v>92.45</v>
      </c>
      <c r="J239" s="320">
        <f>IFERROR(__xludf.DUMMYFUNCTION("""COMPUTED_VALUE"""),55.55)</f>
        <v>55.55</v>
      </c>
      <c r="K239" s="320">
        <f>IFERROR(__xludf.DUMMYFUNCTION("""COMPUTED_VALUE"""),27.89)</f>
        <v>27.89</v>
      </c>
      <c r="L239" s="320">
        <f>IFERROR(__xludf.DUMMYFUNCTION("""COMPUTED_VALUE"""),0.502)</f>
        <v>0.502</v>
      </c>
      <c r="M239" s="320">
        <f>IFERROR(__xludf.DUMMYFUNCTION("""COMPUTED_VALUE"""),0.5636)</f>
        <v>0.5636</v>
      </c>
      <c r="N239" s="320">
        <f>IFERROR(__xludf.DUMMYFUNCTION("""COMPUTED_VALUE"""),0.3052)</f>
        <v>0.3052</v>
      </c>
      <c r="O239" s="320">
        <f>IFERROR(__xludf.DUMMYFUNCTION("""COMPUTED_VALUE"""),1.9921)</f>
        <v>1.9921</v>
      </c>
      <c r="P239" s="320">
        <f>IFERROR(__xludf.DUMMYFUNCTION("""COMPUTED_VALUE"""),312.1)</f>
        <v>312.1</v>
      </c>
      <c r="Q239" s="320">
        <f>IFERROR(__xludf.DUMMYFUNCTION("""COMPUTED_VALUE"""),253.42)</f>
        <v>253.42</v>
      </c>
      <c r="R239" s="320">
        <f>IFERROR(__xludf.DUMMYFUNCTION("""COMPUTED_VALUE"""),58.68)</f>
        <v>58.68</v>
      </c>
      <c r="S239" s="320">
        <f>IFERROR(__xludf.DUMMYFUNCTION("""COMPUTED_VALUE"""),172.73)</f>
        <v>172.73</v>
      </c>
      <c r="T239" s="320">
        <f>IFERROR(__xludf.DUMMYFUNCTION("""COMPUTED_VALUE"""),139.38)</f>
        <v>139.38</v>
      </c>
      <c r="U239" s="320">
        <f>IFERROR(__xludf.DUMMYFUNCTION("""COMPUTED_VALUE"""),340.45)</f>
        <v>340.45</v>
      </c>
      <c r="V239" s="320">
        <f>IFERROR(__xludf.DUMMYFUNCTION("""COMPUTED_VALUE"""),6.1287)</f>
        <v>6.1287</v>
      </c>
      <c r="W239" s="320">
        <f>IFERROR(__xludf.DUMMYFUNCTION("""COMPUTED_VALUE"""),55.34)</f>
        <v>55.34</v>
      </c>
      <c r="X239" s="320">
        <f>IFERROR(__xludf.DUMMYFUNCTION("""COMPUTED_VALUE"""),83.0)</f>
        <v>83</v>
      </c>
      <c r="Y239" s="320">
        <f>IFERROR(__xludf.DUMMYFUNCTION("""COMPUTED_VALUE"""),188.0)</f>
        <v>188</v>
      </c>
      <c r="Z239" s="320">
        <f>IFERROR(__xludf.DUMMYFUNCTION("""COMPUTED_VALUE"""),627.0)</f>
        <v>627</v>
      </c>
      <c r="AA239" s="320">
        <f>IFERROR(__xludf.DUMMYFUNCTION("""COMPUTED_VALUE"""),54.4889)</f>
        <v>54.4889</v>
      </c>
      <c r="AB239" s="320">
        <f>IFERROR(__xludf.DUMMYFUNCTION("""COMPUTED_VALUE"""),0.661)</f>
        <v>0.661</v>
      </c>
      <c r="AC239" s="320">
        <f>IFERROR(__xludf.DUMMYFUNCTION("""COMPUTED_VALUE"""),17.35)</f>
        <v>17.35</v>
      </c>
      <c r="AD239" s="320">
        <f>IFERROR(__xludf.DUMMYFUNCTION("""COMPUTED_VALUE"""),6.0)</f>
        <v>6</v>
      </c>
      <c r="AE239" s="320">
        <f>IFERROR(__xludf.DUMMYFUNCTION("""COMPUTED_VALUE"""),13.0)</f>
        <v>13</v>
      </c>
      <c r="AF239" s="320">
        <f>IFERROR(__xludf.DUMMYFUNCTION("""COMPUTED_VALUE"""),24.0)</f>
        <v>24</v>
      </c>
      <c r="AG239" s="320">
        <f>IFERROR(__xludf.DUMMYFUNCTION("""COMPUTED_VALUE"""),37.0)</f>
        <v>37</v>
      </c>
      <c r="AH239" s="320">
        <f>IFERROR(__xludf.DUMMYFUNCTION("""COMPUTED_VALUE"""),55.68)</f>
        <v>55.68</v>
      </c>
      <c r="AI239" s="320">
        <f>IFERROR(__xludf.DUMMYFUNCTION("""COMPUTED_VALUE"""),22.93)</f>
        <v>22.93</v>
      </c>
      <c r="AJ239" s="320">
        <f>IFERROR(__xludf.DUMMYFUNCTION("""COMPUTED_VALUE"""),7.33)</f>
        <v>7.33</v>
      </c>
      <c r="AK239" s="320">
        <f>IFERROR(__xludf.DUMMYFUNCTION("""COMPUTED_VALUE"""),0.2245)</f>
        <v>0.2245</v>
      </c>
      <c r="AL239" s="320">
        <f>IFERROR(__xludf.DUMMYFUNCTION("""COMPUTED_VALUE"""),20.9)</f>
        <v>20.9</v>
      </c>
      <c r="AM239" s="320">
        <f>IFERROR(__xludf.DUMMYFUNCTION("""COMPUTED_VALUE"""),232.53)</f>
        <v>232.53</v>
      </c>
      <c r="AN239" s="320">
        <f>IFERROR(__xludf.DUMMYFUNCTION("""COMPUTED_VALUE"""),72.11)</f>
        <v>72.11</v>
      </c>
      <c r="AO239" s="320">
        <f>IFERROR(__xludf.DUMMYFUNCTION("""COMPUTED_VALUE"""),15.07)</f>
        <v>15.07</v>
      </c>
    </row>
    <row r="240" ht="15.75" customHeight="1">
      <c r="A240" s="330">
        <f>IFERROR(__xludf.DUMMYFUNCTION("""COMPUTED_VALUE"""),46089.0)</f>
        <v>46089</v>
      </c>
      <c r="B240" s="319" t="str">
        <f>IFERROR(__xludf.DUMMYFUNCTION("""COMPUTED_VALUE"""),"E. 40-99")</f>
        <v>E. 40-99</v>
      </c>
      <c r="C240" s="320">
        <f>IFERROR(__xludf.DUMMYFUNCTION("""COMPUTED_VALUE"""),3781.0)</f>
        <v>3781</v>
      </c>
      <c r="D240" s="320">
        <f>IFERROR(__xludf.DUMMYFUNCTION("""COMPUTED_VALUE"""),4.87)</f>
        <v>4.87</v>
      </c>
      <c r="E240" s="320">
        <f>IFERROR(__xludf.DUMMYFUNCTION("""COMPUTED_VALUE"""),24202.78)</f>
        <v>24202.78</v>
      </c>
      <c r="F240" s="320">
        <f>IFERROR(__xludf.DUMMYFUNCTION("""COMPUTED_VALUE"""),6.4012)</f>
        <v>6.4012</v>
      </c>
      <c r="G240" s="320">
        <f>IFERROR(__xludf.DUMMYFUNCTION("""COMPUTED_VALUE"""),45.23)</f>
        <v>45.23</v>
      </c>
      <c r="H240" s="320">
        <f>IFERROR(__xludf.DUMMYFUNCTION("""COMPUTED_VALUE"""),14.1537)</f>
        <v>14.1537</v>
      </c>
      <c r="I240" s="320">
        <f>IFERROR(__xludf.DUMMYFUNCTION("""COMPUTED_VALUE"""),137.94)</f>
        <v>137.94</v>
      </c>
      <c r="J240" s="320">
        <f>IFERROR(__xludf.DUMMYFUNCTION("""COMPUTED_VALUE"""),86.82)</f>
        <v>86.82</v>
      </c>
      <c r="K240" s="320">
        <f>IFERROR(__xludf.DUMMYFUNCTION("""COMPUTED_VALUE"""),55.53)</f>
        <v>55.53</v>
      </c>
      <c r="L240" s="320">
        <f>IFERROR(__xludf.DUMMYFUNCTION("""COMPUTED_VALUE"""),0.6396)</f>
        <v>0.6396</v>
      </c>
      <c r="M240" s="320">
        <f>IFERROR(__xludf.DUMMYFUNCTION("""COMPUTED_VALUE"""),0.4411)</f>
        <v>0.4411</v>
      </c>
      <c r="N240" s="320">
        <f>IFERROR(__xludf.DUMMYFUNCTION("""COMPUTED_VALUE"""),0.2421)</f>
        <v>0.2421</v>
      </c>
      <c r="O240" s="320">
        <f>IFERROR(__xludf.DUMMYFUNCTION("""COMPUTED_VALUE"""),1.5634)</f>
        <v>1.5634</v>
      </c>
      <c r="P240" s="320">
        <f>IFERROR(__xludf.DUMMYFUNCTION("""COMPUTED_VALUE"""),643.6)</f>
        <v>643.6</v>
      </c>
      <c r="Q240" s="320">
        <f>IFERROR(__xludf.DUMMYFUNCTION("""COMPUTED_VALUE"""),526.82)</f>
        <v>526.82</v>
      </c>
      <c r="R240" s="320">
        <f>IFERROR(__xludf.DUMMYFUNCTION("""COMPUTED_VALUE"""),116.78)</f>
        <v>116.78</v>
      </c>
      <c r="S240" s="320">
        <f>IFERROR(__xludf.DUMMYFUNCTION("""COMPUTED_VALUE"""),407.87)</f>
        <v>407.87</v>
      </c>
      <c r="T240" s="320">
        <f>IFERROR(__xludf.DUMMYFUNCTION("""COMPUTED_VALUE"""),235.73)</f>
        <v>235.73</v>
      </c>
      <c r="U240" s="320">
        <f>IFERROR(__xludf.DUMMYFUNCTION("""COMPUTED_VALUE"""),688.75)</f>
        <v>688.75</v>
      </c>
      <c r="V240" s="320">
        <f>IFERROR(__xludf.DUMMYFUNCTION("""COMPUTED_VALUE"""),7.9328)</f>
        <v>7.9328</v>
      </c>
      <c r="W240" s="320">
        <f>IFERROR(__xludf.DUMMYFUNCTION("""COMPUTED_VALUE"""),63.37)</f>
        <v>63.37</v>
      </c>
      <c r="X240" s="320">
        <f>IFERROR(__xludf.DUMMYFUNCTION("""COMPUTED_VALUE"""),94.0)</f>
        <v>94</v>
      </c>
      <c r="Y240" s="320">
        <f>IFERROR(__xludf.DUMMYFUNCTION("""COMPUTED_VALUE"""),273.0)</f>
        <v>273</v>
      </c>
      <c r="Z240" s="320">
        <f>IFERROR(__xludf.DUMMYFUNCTION("""COMPUTED_VALUE"""),901.0)</f>
        <v>901</v>
      </c>
      <c r="AA240" s="320">
        <f>IFERROR(__xludf.DUMMYFUNCTION("""COMPUTED_VALUE"""),57.3771)</f>
        <v>57.3771</v>
      </c>
      <c r="AB240" s="320">
        <f>IFERROR(__xludf.DUMMYFUNCTION("""COMPUTED_VALUE"""),0.7641)</f>
        <v>0.7641</v>
      </c>
      <c r="AC240" s="320">
        <f>IFERROR(__xludf.DUMMYFUNCTION("""COMPUTED_VALUE"""),35.73)</f>
        <v>35.73</v>
      </c>
      <c r="AD240" s="320">
        <f>IFERROR(__xludf.DUMMYFUNCTION("""COMPUTED_VALUE"""),11.0)</f>
        <v>11</v>
      </c>
      <c r="AE240" s="320">
        <f>IFERROR(__xludf.DUMMYFUNCTION("""COMPUTED_VALUE"""),26.0)</f>
        <v>26</v>
      </c>
      <c r="AF240" s="320">
        <f>IFERROR(__xludf.DUMMYFUNCTION("""COMPUTED_VALUE"""),51.0)</f>
        <v>51</v>
      </c>
      <c r="AG240" s="320">
        <f>IFERROR(__xludf.DUMMYFUNCTION("""COMPUTED_VALUE"""),78.0)</f>
        <v>78</v>
      </c>
      <c r="AH240" s="320">
        <f>IFERROR(__xludf.DUMMYFUNCTION("""COMPUTED_VALUE"""),48.48)</f>
        <v>48.48</v>
      </c>
      <c r="AI240" s="320">
        <f>IFERROR(__xludf.DUMMYFUNCTION("""COMPUTED_VALUE"""),18.43)</f>
        <v>18.43</v>
      </c>
      <c r="AJ240" s="320">
        <f>IFERROR(__xludf.DUMMYFUNCTION("""COMPUTED_VALUE"""),5.1)</f>
        <v>5.1</v>
      </c>
      <c r="AK240" s="320">
        <f>IFERROR(__xludf.DUMMYFUNCTION("""COMPUTED_VALUE"""),0.1955)</f>
        <v>0.1955</v>
      </c>
      <c r="AL240" s="320">
        <f>IFERROR(__xludf.DUMMYFUNCTION("""COMPUTED_VALUE"""),20.88)</f>
        <v>20.88</v>
      </c>
      <c r="AM240" s="320">
        <f>IFERROR(__xludf.DUMMYFUNCTION("""COMPUTED_VALUE"""),505.94)</f>
        <v>505.94</v>
      </c>
      <c r="AN240" s="320">
        <f>IFERROR(__xludf.DUMMYFUNCTION("""COMPUTED_VALUE"""),73.93)</f>
        <v>73.93</v>
      </c>
      <c r="AO240" s="320">
        <f>IFERROR(__xludf.DUMMYFUNCTION("""COMPUTED_VALUE"""),15.44)</f>
        <v>15.44</v>
      </c>
    </row>
    <row r="241" ht="15.75" customHeight="1">
      <c r="A241" s="330">
        <f>IFERROR(__xludf.DUMMYFUNCTION("""COMPUTED_VALUE"""),46089.0)</f>
        <v>46089</v>
      </c>
      <c r="B241" s="319" t="str">
        <f>IFERROR(__xludf.DUMMYFUNCTION("""COMPUTED_VALUE"""),"F. 100+")</f>
        <v>F. 100+</v>
      </c>
      <c r="C241" s="320">
        <f>IFERROR(__xludf.DUMMYFUNCTION("""COMPUTED_VALUE"""),437.0)</f>
        <v>437</v>
      </c>
      <c r="D241" s="320">
        <f>IFERROR(__xludf.DUMMYFUNCTION("""COMPUTED_VALUE"""),0.56)</f>
        <v>0.56</v>
      </c>
      <c r="E241" s="320">
        <f>IFERROR(__xludf.DUMMYFUNCTION("""COMPUTED_VALUE"""),4970.17)</f>
        <v>4970.17</v>
      </c>
      <c r="F241" s="320">
        <f>IFERROR(__xludf.DUMMYFUNCTION("""COMPUTED_VALUE"""),11.3734)</f>
        <v>11.3734</v>
      </c>
      <c r="G241" s="320">
        <f>IFERROR(__xludf.DUMMYFUNCTION("""COMPUTED_VALUE"""),51.03)</f>
        <v>51.03</v>
      </c>
      <c r="H241" s="320">
        <f>IFERROR(__xludf.DUMMYFUNCTION("""COMPUTED_VALUE"""),22.2878)</f>
        <v>22.2878</v>
      </c>
      <c r="I241" s="320">
        <f>IFERROR(__xludf.DUMMYFUNCTION("""COMPUTED_VALUE"""),246.53)</f>
        <v>246.53</v>
      </c>
      <c r="J241" s="320">
        <f>IFERROR(__xludf.DUMMYFUNCTION("""COMPUTED_VALUE"""),163.38)</f>
        <v>163.38</v>
      </c>
      <c r="K241" s="320">
        <f>IFERROR(__xludf.DUMMYFUNCTION("""COMPUTED_VALUE"""),126.8)</f>
        <v>126.8</v>
      </c>
      <c r="L241" s="320">
        <f>IFERROR(__xludf.DUMMYFUNCTION("""COMPUTED_VALUE"""),0.7761)</f>
        <v>0.7761</v>
      </c>
      <c r="M241" s="320">
        <f>IFERROR(__xludf.DUMMYFUNCTION("""COMPUTED_VALUE"""),0.3071)</f>
        <v>0.3071</v>
      </c>
      <c r="N241" s="320">
        <f>IFERROR(__xludf.DUMMYFUNCTION("""COMPUTED_VALUE"""),0.1819)</f>
        <v>0.1819</v>
      </c>
      <c r="O241" s="320">
        <f>IFERROR(__xludf.DUMMYFUNCTION("""COMPUTED_VALUE"""),1.2885)</f>
        <v>1.2885</v>
      </c>
      <c r="P241" s="320">
        <f>IFERROR(__xludf.DUMMYFUNCTION("""COMPUTED_VALUE"""),1154.22)</f>
        <v>1154.22</v>
      </c>
      <c r="Q241" s="320">
        <f>IFERROR(__xludf.DUMMYFUNCTION("""COMPUTED_VALUE"""),891.22)</f>
        <v>891.22</v>
      </c>
      <c r="R241" s="320">
        <f>IFERROR(__xludf.DUMMYFUNCTION("""COMPUTED_VALUE"""),263.0)</f>
        <v>263</v>
      </c>
      <c r="S241" s="320">
        <f>IFERROR(__xludf.DUMMYFUNCTION("""COMPUTED_VALUE"""),711.84)</f>
        <v>711.84</v>
      </c>
      <c r="T241" s="320">
        <f>IFERROR(__xludf.DUMMYFUNCTION("""COMPUTED_VALUE"""),442.38)</f>
        <v>442.38</v>
      </c>
      <c r="U241" s="320">
        <f>IFERROR(__xludf.DUMMYFUNCTION("""COMPUTED_VALUE"""),1277.8)</f>
        <v>1277.8</v>
      </c>
      <c r="V241" s="320">
        <f>IFERROR(__xludf.DUMMYFUNCTION("""COMPUTED_VALUE"""),7.8212)</f>
        <v>7.8212</v>
      </c>
      <c r="W241" s="320">
        <f>IFERROR(__xludf.DUMMYFUNCTION("""COMPUTED_VALUE"""),61.67)</f>
        <v>61.67</v>
      </c>
      <c r="X241" s="320">
        <f>IFERROR(__xludf.DUMMYFUNCTION("""COMPUTED_VALUE"""),110.0)</f>
        <v>110</v>
      </c>
      <c r="Y241" s="320">
        <f>IFERROR(__xludf.DUMMYFUNCTION("""COMPUTED_VALUE"""),422.0)</f>
        <v>422</v>
      </c>
      <c r="Z241" s="320">
        <f>IFERROR(__xludf.DUMMYFUNCTION("""COMPUTED_VALUE"""),2131.0)</f>
        <v>2131</v>
      </c>
      <c r="AA241" s="320">
        <f>IFERROR(__xludf.DUMMYFUNCTION("""COMPUTED_VALUE"""),60.9287)</f>
        <v>60.9287</v>
      </c>
      <c r="AB241" s="320">
        <f>IFERROR(__xludf.DUMMYFUNCTION("""COMPUTED_VALUE"""),0.8356)</f>
        <v>0.8356</v>
      </c>
      <c r="AC241" s="320">
        <f>IFERROR(__xludf.DUMMYFUNCTION("""COMPUTED_VALUE"""),76.83)</f>
        <v>76.83</v>
      </c>
      <c r="AD241" s="320">
        <f>IFERROR(__xludf.DUMMYFUNCTION("""COMPUTED_VALUE"""),25.0)</f>
        <v>25</v>
      </c>
      <c r="AE241" s="320">
        <f>IFERROR(__xludf.DUMMYFUNCTION("""COMPUTED_VALUE"""),61.0)</f>
        <v>61</v>
      </c>
      <c r="AF241" s="320">
        <f>IFERROR(__xludf.DUMMYFUNCTION("""COMPUTED_VALUE"""),113.0)</f>
        <v>113</v>
      </c>
      <c r="AG241" s="320">
        <f>IFERROR(__xludf.DUMMYFUNCTION("""COMPUTED_VALUE"""),173.0)</f>
        <v>173</v>
      </c>
      <c r="AH241" s="320">
        <f>IFERROR(__xludf.DUMMYFUNCTION("""COMPUTED_VALUE"""),39.59)</f>
        <v>39.59</v>
      </c>
      <c r="AI241" s="320">
        <f>IFERROR(__xludf.DUMMYFUNCTION("""COMPUTED_VALUE"""),9.38)</f>
        <v>9.38</v>
      </c>
      <c r="AJ241" s="320">
        <f>IFERROR(__xludf.DUMMYFUNCTION("""COMPUTED_VALUE"""),0.69)</f>
        <v>0.69</v>
      </c>
      <c r="AK241" s="320">
        <f>IFERROR(__xludf.DUMMYFUNCTION("""COMPUTED_VALUE"""),0.151)</f>
        <v>0.151</v>
      </c>
      <c r="AL241" s="320">
        <f>IFERROR(__xludf.DUMMYFUNCTION("""COMPUTED_VALUE"""),22.47)</f>
        <v>22.47</v>
      </c>
      <c r="AM241" s="320">
        <f>IFERROR(__xludf.DUMMYFUNCTION("""COMPUTED_VALUE"""),868.75)</f>
        <v>868.75</v>
      </c>
      <c r="AN241" s="320">
        <f>IFERROR(__xludf.DUMMYFUNCTION("""COMPUTED_VALUE"""),69.14)</f>
        <v>69.14</v>
      </c>
      <c r="AO241" s="320">
        <f>IFERROR(__xludf.DUMMYFUNCTION("""COMPUTED_VALUE"""),15.54)</f>
        <v>15.54</v>
      </c>
    </row>
    <row r="242" ht="15.75" customHeight="1">
      <c r="A242" s="330">
        <f>IFERROR(__xludf.DUMMYFUNCTION("""COMPUTED_VALUE"""),46090.0)</f>
        <v>46090</v>
      </c>
      <c r="B242" s="319" t="str">
        <f>IFERROR(__xludf.DUMMYFUNCTION("""COMPUTED_VALUE"""),"A. 0")</f>
        <v>A. 0</v>
      </c>
      <c r="C242" s="320">
        <f>IFERROR(__xludf.DUMMYFUNCTION("""COMPUTED_VALUE"""),14895.0)</f>
        <v>14895</v>
      </c>
      <c r="D242" s="320">
        <f>IFERROR(__xludf.DUMMYFUNCTION("""COMPUTED_VALUE"""),18.68)</f>
        <v>18.68</v>
      </c>
      <c r="E242" s="320">
        <f>IFERROR(__xludf.DUMMYFUNCTION("""COMPUTED_VALUE"""),211.21)</f>
        <v>211.21</v>
      </c>
      <c r="F242" s="320">
        <f>IFERROR(__xludf.DUMMYFUNCTION("""COMPUTED_VALUE"""),0.0142)</f>
        <v>0.0142</v>
      </c>
      <c r="G242" s="320">
        <f>IFERROR(__xludf.DUMMYFUNCTION("""COMPUTED_VALUE"""),0.28)</f>
        <v>0.28</v>
      </c>
      <c r="H242" s="320">
        <f>IFERROR(__xludf.DUMMYFUNCTION("""COMPUTED_VALUE"""),5.1515)</f>
        <v>5.1515</v>
      </c>
      <c r="I242" s="320">
        <f>IFERROR(__xludf.DUMMYFUNCTION("""COMPUTED_VALUE"""),5.42)</f>
        <v>5.42</v>
      </c>
      <c r="J242" s="320">
        <f>IFERROR(__xludf.DUMMYFUNCTION("""COMPUTED_VALUE"""),2.43)</f>
        <v>2.43</v>
      </c>
      <c r="K242" s="320">
        <f>IFERROR(__xludf.DUMMYFUNCTION("""COMPUTED_VALUE"""),0.09)</f>
        <v>0.09</v>
      </c>
      <c r="L242" s="320">
        <f>IFERROR(__xludf.DUMMYFUNCTION("""COMPUTED_VALUE"""),0.0364)</f>
        <v>0.0364</v>
      </c>
      <c r="M242" s="320">
        <f>IFERROR(__xludf.DUMMYFUNCTION("""COMPUTED_VALUE"""),0.9677)</f>
        <v>0.9677</v>
      </c>
      <c r="N242" s="320">
        <f>IFERROR(__xludf.DUMMYFUNCTION("""COMPUTED_VALUE"""),0.6774)</f>
        <v>0.6774</v>
      </c>
      <c r="O242" s="320">
        <f>IFERROR(__xludf.DUMMYFUNCTION("""COMPUTED_VALUE"""),27.4761)</f>
        <v>27.4761</v>
      </c>
      <c r="P242" s="320">
        <f>IFERROR(__xludf.DUMMYFUNCTION("""COMPUTED_VALUE"""),36.8)</f>
        <v>36.8</v>
      </c>
      <c r="Q242" s="320">
        <f>IFERROR(__xludf.DUMMYFUNCTION("""COMPUTED_VALUE"""),36.71)</f>
        <v>36.71</v>
      </c>
      <c r="R242" s="320">
        <f>IFERROR(__xludf.DUMMYFUNCTION("""COMPUTED_VALUE"""),0.09)</f>
        <v>0.09</v>
      </c>
      <c r="S242" s="320">
        <f>IFERROR(__xludf.DUMMYFUNCTION("""COMPUTED_VALUE"""),1.04)</f>
        <v>1.04</v>
      </c>
      <c r="T242" s="320">
        <f>IFERROR(__xludf.DUMMYFUNCTION("""COMPUTED_VALUE"""),35.76)</f>
        <v>35.76</v>
      </c>
      <c r="U242" s="320">
        <f>IFERROR(__xludf.DUMMYFUNCTION("""COMPUTED_VALUE"""),2.55)</f>
        <v>2.55</v>
      </c>
      <c r="V242" s="320">
        <f>IFERROR(__xludf.DUMMYFUNCTION("""COMPUTED_VALUE"""),1.0515)</f>
        <v>1.0515</v>
      </c>
      <c r="W242" s="320">
        <f>IFERROR(__xludf.DUMMYFUNCTION("""COMPUTED_VALUE"""),2.83)</f>
        <v>2.83</v>
      </c>
      <c r="X242" s="320">
        <f>IFERROR(__xludf.DUMMYFUNCTION("""COMPUTED_VALUE"""),197.0)</f>
        <v>197</v>
      </c>
      <c r="Y242" s="320">
        <f>IFERROR(__xludf.DUMMYFUNCTION("""COMPUTED_VALUE"""),1399.0)</f>
        <v>1399</v>
      </c>
      <c r="Z242" s="320">
        <f>IFERROR(__xludf.DUMMYFUNCTION("""COMPUTED_VALUE"""),8140.0)</f>
        <v>8140</v>
      </c>
      <c r="AA242" s="320">
        <f>IFERROR(__xludf.DUMMYFUNCTION("""COMPUTED_VALUE"""),50.2518)</f>
        <v>50.2518</v>
      </c>
      <c r="AB242" s="320">
        <f>IFERROR(__xludf.DUMMYFUNCTION("""COMPUTED_VALUE"""),0.5248)</f>
        <v>0.5248</v>
      </c>
      <c r="AC242" s="106"/>
      <c r="AD242" s="106"/>
      <c r="AE242" s="106"/>
      <c r="AF242" s="106"/>
      <c r="AG242" s="106"/>
      <c r="AH242" s="320">
        <f>IFERROR(__xludf.DUMMYFUNCTION("""COMPUTED_VALUE"""),0.0)</f>
        <v>0</v>
      </c>
      <c r="AI242" s="320">
        <f>IFERROR(__xludf.DUMMYFUNCTION("""COMPUTED_VALUE"""),0.0)</f>
        <v>0</v>
      </c>
      <c r="AJ242" s="320">
        <f>IFERROR(__xludf.DUMMYFUNCTION("""COMPUTED_VALUE"""),0.0)</f>
        <v>0</v>
      </c>
      <c r="AK242" s="320">
        <f>IFERROR(__xludf.DUMMYFUNCTION("""COMPUTED_VALUE"""),0.2694)</f>
        <v>0.2694</v>
      </c>
      <c r="AL242" s="320">
        <f>IFERROR(__xludf.DUMMYFUNCTION("""COMPUTED_VALUE"""),15.97)</f>
        <v>15.97</v>
      </c>
      <c r="AM242" s="320">
        <f>IFERROR(__xludf.DUMMYFUNCTION("""COMPUTED_VALUE"""),20.74)</f>
        <v>20.74</v>
      </c>
      <c r="AN242" s="331"/>
      <c r="AO242" s="331"/>
    </row>
    <row r="243" ht="15.75" customHeight="1">
      <c r="A243" s="330">
        <f>IFERROR(__xludf.DUMMYFUNCTION("""COMPUTED_VALUE"""),46090.0)</f>
        <v>46090</v>
      </c>
      <c r="B243" s="319" t="str">
        <f>IFERROR(__xludf.DUMMYFUNCTION("""COMPUTED_VALUE"""),"B. 1-9")</f>
        <v>B. 1-9</v>
      </c>
      <c r="C243" s="320">
        <f>IFERROR(__xludf.DUMMYFUNCTION("""COMPUTED_VALUE"""),32570.0)</f>
        <v>32570</v>
      </c>
      <c r="D243" s="320">
        <f>IFERROR(__xludf.DUMMYFUNCTION("""COMPUTED_VALUE"""),40.84)</f>
        <v>40.84</v>
      </c>
      <c r="E243" s="320">
        <f>IFERROR(__xludf.DUMMYFUNCTION("""COMPUTED_VALUE"""),6203.51)</f>
        <v>6203.51</v>
      </c>
      <c r="F243" s="320">
        <f>IFERROR(__xludf.DUMMYFUNCTION("""COMPUTED_VALUE"""),0.1905)</f>
        <v>0.1905</v>
      </c>
      <c r="G243" s="320">
        <f>IFERROR(__xludf.DUMMYFUNCTION("""COMPUTED_VALUE"""),5.83)</f>
        <v>5.83</v>
      </c>
      <c r="H243" s="320">
        <f>IFERROR(__xludf.DUMMYFUNCTION("""COMPUTED_VALUE"""),3.265)</f>
        <v>3.265</v>
      </c>
      <c r="I243" s="320">
        <f>IFERROR(__xludf.DUMMYFUNCTION("""COMPUTED_VALUE"""),35.03)</f>
        <v>35.03</v>
      </c>
      <c r="J243" s="320">
        <f>IFERROR(__xludf.DUMMYFUNCTION("""COMPUTED_VALUE"""),18.99)</f>
        <v>18.99</v>
      </c>
      <c r="K243" s="320">
        <f>IFERROR(__xludf.DUMMYFUNCTION("""COMPUTED_VALUE"""),5.57)</f>
        <v>5.57</v>
      </c>
      <c r="L243" s="320">
        <f>IFERROR(__xludf.DUMMYFUNCTION("""COMPUTED_VALUE"""),0.2934)</f>
        <v>0.2934</v>
      </c>
      <c r="M243" s="320">
        <f>IFERROR(__xludf.DUMMYFUNCTION("""COMPUTED_VALUE"""),0.7752)</f>
        <v>0.7752</v>
      </c>
      <c r="N243" s="320">
        <f>IFERROR(__xludf.DUMMYFUNCTION("""COMPUTED_VALUE"""),0.5348)</f>
        <v>0.5348</v>
      </c>
      <c r="O243" s="320">
        <f>IFERROR(__xludf.DUMMYFUNCTION("""COMPUTED_VALUE"""),3.4079)</f>
        <v>3.4079</v>
      </c>
      <c r="P243" s="320">
        <f>IFERROR(__xludf.DUMMYFUNCTION("""COMPUTED_VALUE"""),95.27)</f>
        <v>95.27</v>
      </c>
      <c r="Q243" s="320">
        <f>IFERROR(__xludf.DUMMYFUNCTION("""COMPUTED_VALUE"""),83.91)</f>
        <v>83.91</v>
      </c>
      <c r="R243" s="320">
        <f>IFERROR(__xludf.DUMMYFUNCTION("""COMPUTED_VALUE"""),11.35)</f>
        <v>11.35</v>
      </c>
      <c r="S243" s="320">
        <f>IFERROR(__xludf.DUMMYFUNCTION("""COMPUTED_VALUE"""),12.96)</f>
        <v>12.96</v>
      </c>
      <c r="T243" s="320">
        <f>IFERROR(__xludf.DUMMYFUNCTION("""COMPUTED_VALUE"""),82.31)</f>
        <v>82.31</v>
      </c>
      <c r="U243" s="320">
        <f>IFERROR(__xludf.DUMMYFUNCTION("""COMPUTED_VALUE"""),85.63)</f>
        <v>85.63</v>
      </c>
      <c r="V243" s="320">
        <f>IFERROR(__xludf.DUMMYFUNCTION("""COMPUTED_VALUE"""),4.5102)</f>
        <v>4.5102</v>
      </c>
      <c r="W243" s="320">
        <f>IFERROR(__xludf.DUMMYFUNCTION("""COMPUTED_VALUE"""),13.61)</f>
        <v>13.61</v>
      </c>
      <c r="X243" s="320">
        <f>IFERROR(__xludf.DUMMYFUNCTION("""COMPUTED_VALUE"""),94.0)</f>
        <v>94</v>
      </c>
      <c r="Y243" s="320">
        <f>IFERROR(__xludf.DUMMYFUNCTION("""COMPUTED_VALUE"""),221.0)</f>
        <v>221</v>
      </c>
      <c r="Z243" s="320">
        <f>IFERROR(__xludf.DUMMYFUNCTION("""COMPUTED_VALUE"""),866.0)</f>
        <v>866</v>
      </c>
      <c r="AA243" s="320">
        <f>IFERROR(__xludf.DUMMYFUNCTION("""COMPUTED_VALUE"""),49.654)</f>
        <v>49.654</v>
      </c>
      <c r="AB243" s="320">
        <f>IFERROR(__xludf.DUMMYFUNCTION("""COMPUTED_VALUE"""),0.4392)</f>
        <v>0.4392</v>
      </c>
      <c r="AC243" s="320">
        <f>IFERROR(__xludf.DUMMYFUNCTION("""COMPUTED_VALUE"""),3.53)</f>
        <v>3.53</v>
      </c>
      <c r="AD243" s="320">
        <f>IFERROR(__xludf.DUMMYFUNCTION("""COMPUTED_VALUE"""),1.0)</f>
        <v>1</v>
      </c>
      <c r="AE243" s="320">
        <f>IFERROR(__xludf.DUMMYFUNCTION("""COMPUTED_VALUE"""),2.0)</f>
        <v>2</v>
      </c>
      <c r="AF243" s="320">
        <f>IFERROR(__xludf.DUMMYFUNCTION("""COMPUTED_VALUE"""),5.0)</f>
        <v>5</v>
      </c>
      <c r="AG243" s="320">
        <f>IFERROR(__xludf.DUMMYFUNCTION("""COMPUTED_VALUE"""),8.0)</f>
        <v>8</v>
      </c>
      <c r="AH243" s="320">
        <f>IFERROR(__xludf.DUMMYFUNCTION("""COMPUTED_VALUE"""),68.74)</f>
        <v>68.74</v>
      </c>
      <c r="AI243" s="320">
        <f>IFERROR(__xludf.DUMMYFUNCTION("""COMPUTED_VALUE"""),25.27)</f>
        <v>25.27</v>
      </c>
      <c r="AJ243" s="320">
        <f>IFERROR(__xludf.DUMMYFUNCTION("""COMPUTED_VALUE"""),6.3)</f>
        <v>6.3</v>
      </c>
      <c r="AK243" s="320">
        <f>IFERROR(__xludf.DUMMYFUNCTION("""COMPUTED_VALUE"""),0.2099)</f>
        <v>0.2099</v>
      </c>
      <c r="AL243" s="320">
        <f>IFERROR(__xludf.DUMMYFUNCTION("""COMPUTED_VALUE"""),18.57)</f>
        <v>18.57</v>
      </c>
      <c r="AM243" s="320">
        <f>IFERROR(__xludf.DUMMYFUNCTION("""COMPUTED_VALUE"""),65.35)</f>
        <v>65.35</v>
      </c>
      <c r="AN243" s="320">
        <f>IFERROR(__xludf.DUMMYFUNCTION("""COMPUTED_VALUE"""),68.71)</f>
        <v>68.71</v>
      </c>
      <c r="AO243" s="320">
        <f>IFERROR(__xludf.DUMMYFUNCTION("""COMPUTED_VALUE"""),12.76)</f>
        <v>12.76</v>
      </c>
    </row>
    <row r="244" ht="15.75" customHeight="1">
      <c r="A244" s="330">
        <f>IFERROR(__xludf.DUMMYFUNCTION("""COMPUTED_VALUE"""),46090.0)</f>
        <v>46090</v>
      </c>
      <c r="B244" s="319" t="str">
        <f>IFERROR(__xludf.DUMMYFUNCTION("""COMPUTED_VALUE"""),"C. 10-19")</f>
        <v>C. 10-19</v>
      </c>
      <c r="C244" s="320">
        <f>IFERROR(__xludf.DUMMYFUNCTION("""COMPUTED_VALUE"""),18098.0)</f>
        <v>18098</v>
      </c>
      <c r="D244" s="320">
        <f>IFERROR(__xludf.DUMMYFUNCTION("""COMPUTED_VALUE"""),22.69)</f>
        <v>22.69</v>
      </c>
      <c r="E244" s="320">
        <f>IFERROR(__xludf.DUMMYFUNCTION("""COMPUTED_VALUE"""),15655.06)</f>
        <v>15655.06</v>
      </c>
      <c r="F244" s="320">
        <f>IFERROR(__xludf.DUMMYFUNCTION("""COMPUTED_VALUE"""),0.865)</f>
        <v>0.865</v>
      </c>
      <c r="G244" s="320">
        <f>IFERROR(__xludf.DUMMYFUNCTION("""COMPUTED_VALUE"""),18.91)</f>
        <v>18.91</v>
      </c>
      <c r="H244" s="320">
        <f>IFERROR(__xludf.DUMMYFUNCTION("""COMPUTED_VALUE"""),4.5735)</f>
        <v>4.5735</v>
      </c>
      <c r="I244" s="320">
        <f>IFERROR(__xludf.DUMMYFUNCTION("""COMPUTED_VALUE"""),62.19)</f>
        <v>62.19</v>
      </c>
      <c r="J244" s="320">
        <f>IFERROR(__xludf.DUMMYFUNCTION("""COMPUTED_VALUE"""),35.64)</f>
        <v>35.64</v>
      </c>
      <c r="K244" s="320">
        <f>IFERROR(__xludf.DUMMYFUNCTION("""COMPUTED_VALUE"""),13.96)</f>
        <v>13.96</v>
      </c>
      <c r="L244" s="320">
        <f>IFERROR(__xludf.DUMMYFUNCTION("""COMPUTED_VALUE"""),0.3919)</f>
        <v>0.3919</v>
      </c>
      <c r="M244" s="320">
        <f>IFERROR(__xludf.DUMMYFUNCTION("""COMPUTED_VALUE"""),0.6718)</f>
        <v>0.6718</v>
      </c>
      <c r="N244" s="320">
        <f>IFERROR(__xludf.DUMMYFUNCTION("""COMPUTED_VALUE"""),0.3977)</f>
        <v>0.3977</v>
      </c>
      <c r="O244" s="320">
        <f>IFERROR(__xludf.DUMMYFUNCTION("""COMPUTED_VALUE"""),2.552)</f>
        <v>2.552</v>
      </c>
      <c r="P244" s="320">
        <f>IFERROR(__xludf.DUMMYFUNCTION("""COMPUTED_VALUE"""),194.75)</f>
        <v>194.75</v>
      </c>
      <c r="Q244" s="320">
        <f>IFERROR(__xludf.DUMMYFUNCTION("""COMPUTED_VALUE"""),167.11)</f>
        <v>167.11</v>
      </c>
      <c r="R244" s="320">
        <f>IFERROR(__xludf.DUMMYFUNCTION("""COMPUTED_VALUE"""),27.64)</f>
        <v>27.64</v>
      </c>
      <c r="S244" s="320">
        <f>IFERROR(__xludf.DUMMYFUNCTION("""COMPUTED_VALUE"""),57.11)</f>
        <v>57.11</v>
      </c>
      <c r="T244" s="320">
        <f>IFERROR(__xludf.DUMMYFUNCTION("""COMPUTED_VALUE"""),137.64)</f>
        <v>137.64</v>
      </c>
      <c r="U244" s="320">
        <f>IFERROR(__xludf.DUMMYFUNCTION("""COMPUTED_VALUE"""),189.88)</f>
        <v>189.88</v>
      </c>
      <c r="V244" s="320">
        <f>IFERROR(__xludf.DUMMYFUNCTION("""COMPUTED_VALUE"""),5.3283)</f>
        <v>5.3283</v>
      </c>
      <c r="W244" s="320">
        <f>IFERROR(__xludf.DUMMYFUNCTION("""COMPUTED_VALUE"""),29.33)</f>
        <v>29.33</v>
      </c>
      <c r="X244" s="320">
        <f>IFERROR(__xludf.DUMMYFUNCTION("""COMPUTED_VALUE"""),87.0)</f>
        <v>87</v>
      </c>
      <c r="Y244" s="320">
        <f>IFERROR(__xludf.DUMMYFUNCTION("""COMPUTED_VALUE"""),195.0)</f>
        <v>195</v>
      </c>
      <c r="Z244" s="320">
        <f>IFERROR(__xludf.DUMMYFUNCTION("""COMPUTED_VALUE"""),615.0)</f>
        <v>615</v>
      </c>
      <c r="AA244" s="320">
        <f>IFERROR(__xludf.DUMMYFUNCTION("""COMPUTED_VALUE"""),52.3379)</f>
        <v>52.3379</v>
      </c>
      <c r="AB244" s="320">
        <f>IFERROR(__xludf.DUMMYFUNCTION("""COMPUTED_VALUE"""),0.513)</f>
        <v>0.513</v>
      </c>
      <c r="AC244" s="320">
        <f>IFERROR(__xludf.DUMMYFUNCTION("""COMPUTED_VALUE"""),8.41)</f>
        <v>8.41</v>
      </c>
      <c r="AD244" s="320">
        <f>IFERROR(__xludf.DUMMYFUNCTION("""COMPUTED_VALUE"""),3.0)</f>
        <v>3</v>
      </c>
      <c r="AE244" s="320">
        <f>IFERROR(__xludf.DUMMYFUNCTION("""COMPUTED_VALUE"""),6.0)</f>
        <v>6</v>
      </c>
      <c r="AF244" s="320">
        <f>IFERROR(__xludf.DUMMYFUNCTION("""COMPUTED_VALUE"""),12.0)</f>
        <v>12</v>
      </c>
      <c r="AG244" s="320">
        <f>IFERROR(__xludf.DUMMYFUNCTION("""COMPUTED_VALUE"""),18.0)</f>
        <v>18</v>
      </c>
      <c r="AH244" s="320">
        <f>IFERROR(__xludf.DUMMYFUNCTION("""COMPUTED_VALUE"""),53.46)</f>
        <v>53.46</v>
      </c>
      <c r="AI244" s="320">
        <f>IFERROR(__xludf.DUMMYFUNCTION("""COMPUTED_VALUE"""),22.84)</f>
        <v>22.84</v>
      </c>
      <c r="AJ244" s="320">
        <f>IFERROR(__xludf.DUMMYFUNCTION("""COMPUTED_VALUE"""),3.69)</f>
        <v>3.69</v>
      </c>
      <c r="AK244" s="320">
        <f>IFERROR(__xludf.DUMMYFUNCTION("""COMPUTED_VALUE"""),0.1858)</f>
        <v>0.1858</v>
      </c>
      <c r="AL244" s="320">
        <f>IFERROR(__xludf.DUMMYFUNCTION("""COMPUTED_VALUE"""),19.05)</f>
        <v>19.05</v>
      </c>
      <c r="AM244" s="320">
        <f>IFERROR(__xludf.DUMMYFUNCTION("""COMPUTED_VALUE"""),148.06)</f>
        <v>148.06</v>
      </c>
      <c r="AN244" s="320">
        <f>IFERROR(__xludf.DUMMYFUNCTION("""COMPUTED_VALUE"""),71.23)</f>
        <v>71.23</v>
      </c>
      <c r="AO244" s="320">
        <f>IFERROR(__xludf.DUMMYFUNCTION("""COMPUTED_VALUE"""),13.57)</f>
        <v>13.57</v>
      </c>
    </row>
    <row r="245" ht="15.75" customHeight="1">
      <c r="A245" s="330">
        <f>IFERROR(__xludf.DUMMYFUNCTION("""COMPUTED_VALUE"""),46090.0)</f>
        <v>46090</v>
      </c>
      <c r="B245" s="319" t="str">
        <f>IFERROR(__xludf.DUMMYFUNCTION("""COMPUTED_VALUE"""),"D. 20-39")</f>
        <v>D. 20-39</v>
      </c>
      <c r="C245" s="320">
        <f>IFERROR(__xludf.DUMMYFUNCTION("""COMPUTED_VALUE"""),9705.0)</f>
        <v>9705</v>
      </c>
      <c r="D245" s="320">
        <f>IFERROR(__xludf.DUMMYFUNCTION("""COMPUTED_VALUE"""),12.17)</f>
        <v>12.17</v>
      </c>
      <c r="E245" s="320">
        <f>IFERROR(__xludf.DUMMYFUNCTION("""COMPUTED_VALUE"""),22509.04)</f>
        <v>22509.04</v>
      </c>
      <c r="F245" s="320">
        <f>IFERROR(__xludf.DUMMYFUNCTION("""COMPUTED_VALUE"""),2.3193)</f>
        <v>2.3193</v>
      </c>
      <c r="G245" s="320">
        <f>IFERROR(__xludf.DUMMYFUNCTION("""COMPUTED_VALUE"""),31.44)</f>
        <v>31.44</v>
      </c>
      <c r="H245" s="320">
        <f>IFERROR(__xludf.DUMMYFUNCTION("""COMPUTED_VALUE"""),7.3776)</f>
        <v>7.3776</v>
      </c>
      <c r="I245" s="320">
        <f>IFERROR(__xludf.DUMMYFUNCTION("""COMPUTED_VALUE"""),90.82)</f>
        <v>90.82</v>
      </c>
      <c r="J245" s="320">
        <f>IFERROR(__xludf.DUMMYFUNCTION("""COMPUTED_VALUE"""),53.58)</f>
        <v>53.58</v>
      </c>
      <c r="K245" s="320">
        <f>IFERROR(__xludf.DUMMYFUNCTION("""COMPUTED_VALUE"""),28.2)</f>
        <v>28.2</v>
      </c>
      <c r="L245" s="320">
        <f>IFERROR(__xludf.DUMMYFUNCTION("""COMPUTED_VALUE"""),0.5264)</f>
        <v>0.5264</v>
      </c>
      <c r="M245" s="320">
        <f>IFERROR(__xludf.DUMMYFUNCTION("""COMPUTED_VALUE"""),0.5482)</f>
        <v>0.5482</v>
      </c>
      <c r="N245" s="320">
        <f>IFERROR(__xludf.DUMMYFUNCTION("""COMPUTED_VALUE"""),0.3071)</f>
        <v>0.3071</v>
      </c>
      <c r="O245" s="320">
        <f>IFERROR(__xludf.DUMMYFUNCTION("""COMPUTED_VALUE"""),1.8998)</f>
        <v>1.8998</v>
      </c>
      <c r="P245" s="320">
        <f>IFERROR(__xludf.DUMMYFUNCTION("""COMPUTED_VALUE"""),379.62)</f>
        <v>379.62</v>
      </c>
      <c r="Q245" s="320">
        <f>IFERROR(__xludf.DUMMYFUNCTION("""COMPUTED_VALUE"""),323.96)</f>
        <v>323.96</v>
      </c>
      <c r="R245" s="320">
        <f>IFERROR(__xludf.DUMMYFUNCTION("""COMPUTED_VALUE"""),55.67)</f>
        <v>55.67</v>
      </c>
      <c r="S245" s="320">
        <f>IFERROR(__xludf.DUMMYFUNCTION("""COMPUTED_VALUE"""),153.6)</f>
        <v>153.6</v>
      </c>
      <c r="T245" s="320">
        <f>IFERROR(__xludf.DUMMYFUNCTION("""COMPUTED_VALUE"""),226.03)</f>
        <v>226.03</v>
      </c>
      <c r="U245" s="320">
        <f>IFERROR(__xludf.DUMMYFUNCTION("""COMPUTED_VALUE"""),375.37)</f>
        <v>375.37</v>
      </c>
      <c r="V245" s="320">
        <f>IFERROR(__xludf.DUMMYFUNCTION("""COMPUTED_VALUE"""),7.0057)</f>
        <v>7.0057</v>
      </c>
      <c r="W245" s="320">
        <f>IFERROR(__xludf.DUMMYFUNCTION("""COMPUTED_VALUE"""),40.46)</f>
        <v>40.46</v>
      </c>
      <c r="X245" s="320">
        <f>IFERROR(__xludf.DUMMYFUNCTION("""COMPUTED_VALUE"""),90.0)</f>
        <v>90</v>
      </c>
      <c r="Y245" s="320">
        <f>IFERROR(__xludf.DUMMYFUNCTION("""COMPUTED_VALUE"""),230.0)</f>
        <v>230</v>
      </c>
      <c r="Z245" s="320">
        <f>IFERROR(__xludf.DUMMYFUNCTION("""COMPUTED_VALUE"""),736.0)</f>
        <v>736</v>
      </c>
      <c r="AA245" s="320">
        <f>IFERROR(__xludf.DUMMYFUNCTION("""COMPUTED_VALUE"""),54.4604)</f>
        <v>54.4604</v>
      </c>
      <c r="AB245" s="320">
        <f>IFERROR(__xludf.DUMMYFUNCTION("""COMPUTED_VALUE"""),0.5892)</f>
        <v>0.5892</v>
      </c>
      <c r="AC245" s="320">
        <f>IFERROR(__xludf.DUMMYFUNCTION("""COMPUTED_VALUE"""),16.83)</f>
        <v>16.83</v>
      </c>
      <c r="AD245" s="320">
        <f>IFERROR(__xludf.DUMMYFUNCTION("""COMPUTED_VALUE"""),6.0)</f>
        <v>6</v>
      </c>
      <c r="AE245" s="320">
        <f>IFERROR(__xludf.DUMMYFUNCTION("""COMPUTED_VALUE"""),13.0)</f>
        <v>13</v>
      </c>
      <c r="AF245" s="320">
        <f>IFERROR(__xludf.DUMMYFUNCTION("""COMPUTED_VALUE"""),24.0)</f>
        <v>24</v>
      </c>
      <c r="AG245" s="320">
        <f>IFERROR(__xludf.DUMMYFUNCTION("""COMPUTED_VALUE"""),36.0)</f>
        <v>36</v>
      </c>
      <c r="AH245" s="320">
        <f>IFERROR(__xludf.DUMMYFUNCTION("""COMPUTED_VALUE"""),55.9)</f>
        <v>55.9</v>
      </c>
      <c r="AI245" s="320">
        <f>IFERROR(__xludf.DUMMYFUNCTION("""COMPUTED_VALUE"""),22.18)</f>
        <v>22.18</v>
      </c>
      <c r="AJ245" s="320">
        <f>IFERROR(__xludf.DUMMYFUNCTION("""COMPUTED_VALUE"""),5.45)</f>
        <v>5.45</v>
      </c>
      <c r="AK245" s="320">
        <f>IFERROR(__xludf.DUMMYFUNCTION("""COMPUTED_VALUE"""),0.1719)</f>
        <v>0.1719</v>
      </c>
      <c r="AL245" s="320">
        <f>IFERROR(__xludf.DUMMYFUNCTION("""COMPUTED_VALUE"""),19.28)</f>
        <v>19.28</v>
      </c>
      <c r="AM245" s="320">
        <f>IFERROR(__xludf.DUMMYFUNCTION("""COMPUTED_VALUE"""),304.68)</f>
        <v>304.68</v>
      </c>
      <c r="AN245" s="320">
        <f>IFERROR(__xludf.DUMMYFUNCTION("""COMPUTED_VALUE"""),70.76)</f>
        <v>70.76</v>
      </c>
      <c r="AO245" s="320">
        <f>IFERROR(__xludf.DUMMYFUNCTION("""COMPUTED_VALUE"""),13.64)</f>
        <v>13.64</v>
      </c>
    </row>
    <row r="246" ht="15.75" customHeight="1">
      <c r="A246" s="330">
        <f>IFERROR(__xludf.DUMMYFUNCTION("""COMPUTED_VALUE"""),46090.0)</f>
        <v>46090</v>
      </c>
      <c r="B246" s="319" t="str">
        <f>IFERROR(__xludf.DUMMYFUNCTION("""COMPUTED_VALUE"""),"E. 40-99")</f>
        <v>E. 40-99</v>
      </c>
      <c r="C246" s="320">
        <f>IFERROR(__xludf.DUMMYFUNCTION("""COMPUTED_VALUE"""),4079.0)</f>
        <v>4079</v>
      </c>
      <c r="D246" s="320">
        <f>IFERROR(__xludf.DUMMYFUNCTION("""COMPUTED_VALUE"""),5.11)</f>
        <v>5.11</v>
      </c>
      <c r="E246" s="320">
        <f>IFERROR(__xludf.DUMMYFUNCTION("""COMPUTED_VALUE"""),24448.31)</f>
        <v>24448.31</v>
      </c>
      <c r="F246" s="320">
        <f>IFERROR(__xludf.DUMMYFUNCTION("""COMPUTED_VALUE"""),5.9937)</f>
        <v>5.9937</v>
      </c>
      <c r="G246" s="320">
        <f>IFERROR(__xludf.DUMMYFUNCTION("""COMPUTED_VALUE"""),44.01)</f>
        <v>44.01</v>
      </c>
      <c r="H246" s="320">
        <f>IFERROR(__xludf.DUMMYFUNCTION("""COMPUTED_VALUE"""),13.6202)</f>
        <v>13.6202</v>
      </c>
      <c r="I246" s="320">
        <f>IFERROR(__xludf.DUMMYFUNCTION("""COMPUTED_VALUE"""),142.36)</f>
        <v>142.36</v>
      </c>
      <c r="J246" s="320">
        <f>IFERROR(__xludf.DUMMYFUNCTION("""COMPUTED_VALUE"""),87.44)</f>
        <v>87.44</v>
      </c>
      <c r="K246" s="320">
        <f>IFERROR(__xludf.DUMMYFUNCTION("""COMPUTED_VALUE"""),58.49)</f>
        <v>58.49</v>
      </c>
      <c r="L246" s="320">
        <f>IFERROR(__xludf.DUMMYFUNCTION("""COMPUTED_VALUE"""),0.669)</f>
        <v>0.669</v>
      </c>
      <c r="M246" s="320">
        <f>IFERROR(__xludf.DUMMYFUNCTION("""COMPUTED_VALUE"""),0.4214)</f>
        <v>0.4214</v>
      </c>
      <c r="N246" s="320">
        <f>IFERROR(__xludf.DUMMYFUNCTION("""COMPUTED_VALUE"""),0.241)</f>
        <v>0.241</v>
      </c>
      <c r="O246" s="320">
        <f>IFERROR(__xludf.DUMMYFUNCTION("""COMPUTED_VALUE"""),1.4948)</f>
        <v>1.4948</v>
      </c>
      <c r="P246" s="320">
        <f>IFERROR(__xludf.DUMMYFUNCTION("""COMPUTED_VALUE"""),770.27)</f>
        <v>770.27</v>
      </c>
      <c r="Q246" s="320">
        <f>IFERROR(__xludf.DUMMYFUNCTION("""COMPUTED_VALUE"""),659.2)</f>
        <v>659.2</v>
      </c>
      <c r="R246" s="320">
        <f>IFERROR(__xludf.DUMMYFUNCTION("""COMPUTED_VALUE"""),111.07)</f>
        <v>111.07</v>
      </c>
      <c r="S246" s="320">
        <f>IFERROR(__xludf.DUMMYFUNCTION("""COMPUTED_VALUE"""),394.44)</f>
        <v>394.44</v>
      </c>
      <c r="T246" s="320">
        <f>IFERROR(__xludf.DUMMYFUNCTION("""COMPUTED_VALUE"""),375.82)</f>
        <v>375.82</v>
      </c>
      <c r="U246" s="320">
        <f>IFERROR(__xludf.DUMMYFUNCTION("""COMPUTED_VALUE"""),776.45)</f>
        <v>776.45</v>
      </c>
      <c r="V246" s="320">
        <f>IFERROR(__xludf.DUMMYFUNCTION("""COMPUTED_VALUE"""),8.8802)</f>
        <v>8.8802</v>
      </c>
      <c r="W246" s="320">
        <f>IFERROR(__xludf.DUMMYFUNCTION("""COMPUTED_VALUE"""),51.21)</f>
        <v>51.21</v>
      </c>
      <c r="X246" s="320">
        <f>IFERROR(__xludf.DUMMYFUNCTION("""COMPUTED_VALUE"""),103.0)</f>
        <v>103</v>
      </c>
      <c r="Y246" s="320">
        <f>IFERROR(__xludf.DUMMYFUNCTION("""COMPUTED_VALUE"""),337.0)</f>
        <v>337</v>
      </c>
      <c r="Z246" s="320">
        <f>IFERROR(__xludf.DUMMYFUNCTION("""COMPUTED_VALUE"""),1042.0)</f>
        <v>1042</v>
      </c>
      <c r="AA246" s="320">
        <f>IFERROR(__xludf.DUMMYFUNCTION("""COMPUTED_VALUE"""),57.3156)</f>
        <v>57.3156</v>
      </c>
      <c r="AB246" s="320">
        <f>IFERROR(__xludf.DUMMYFUNCTION("""COMPUTED_VALUE"""),0.6825)</f>
        <v>0.6825</v>
      </c>
      <c r="AC246" s="320">
        <f>IFERROR(__xludf.DUMMYFUNCTION("""COMPUTED_VALUE"""),34.59)</f>
        <v>34.59</v>
      </c>
      <c r="AD246" s="320">
        <f>IFERROR(__xludf.DUMMYFUNCTION("""COMPUTED_VALUE"""),12.0)</f>
        <v>12</v>
      </c>
      <c r="AE246" s="320">
        <f>IFERROR(__xludf.DUMMYFUNCTION("""COMPUTED_VALUE"""),27.0)</f>
        <v>27</v>
      </c>
      <c r="AF246" s="320">
        <f>IFERROR(__xludf.DUMMYFUNCTION("""COMPUTED_VALUE"""),45.0)</f>
        <v>45</v>
      </c>
      <c r="AG246" s="320">
        <f>IFERROR(__xludf.DUMMYFUNCTION("""COMPUTED_VALUE"""),74.0)</f>
        <v>74</v>
      </c>
      <c r="AH246" s="320">
        <f>IFERROR(__xludf.DUMMYFUNCTION("""COMPUTED_VALUE"""),48.59)</f>
        <v>48.59</v>
      </c>
      <c r="AI246" s="320">
        <f>IFERROR(__xludf.DUMMYFUNCTION("""COMPUTED_VALUE"""),15.98)</f>
        <v>15.98</v>
      </c>
      <c r="AJ246" s="320">
        <f>IFERROR(__xludf.DUMMYFUNCTION("""COMPUTED_VALUE"""),4.17)</f>
        <v>4.17</v>
      </c>
      <c r="AK246" s="320">
        <f>IFERROR(__xludf.DUMMYFUNCTION("""COMPUTED_VALUE"""),0.1422)</f>
        <v>0.1422</v>
      </c>
      <c r="AL246" s="320">
        <f>IFERROR(__xludf.DUMMYFUNCTION("""COMPUTED_VALUE"""),19.61)</f>
        <v>19.61</v>
      </c>
      <c r="AM246" s="320">
        <f>IFERROR(__xludf.DUMMYFUNCTION("""COMPUTED_VALUE"""),639.59)</f>
        <v>639.59</v>
      </c>
      <c r="AN246" s="320">
        <f>IFERROR(__xludf.DUMMYFUNCTION("""COMPUTED_VALUE"""),71.72)</f>
        <v>71.72</v>
      </c>
      <c r="AO246" s="320">
        <f>IFERROR(__xludf.DUMMYFUNCTION("""COMPUTED_VALUE"""),14.06)</f>
        <v>14.06</v>
      </c>
    </row>
    <row r="247" ht="15.75" customHeight="1">
      <c r="A247" s="330">
        <f>IFERROR(__xludf.DUMMYFUNCTION("""COMPUTED_VALUE"""),46090.0)</f>
        <v>46090</v>
      </c>
      <c r="B247" s="319" t="str">
        <f>IFERROR(__xludf.DUMMYFUNCTION("""COMPUTED_VALUE"""),"F. 100+")</f>
        <v>F. 100+</v>
      </c>
      <c r="C247" s="320">
        <f>IFERROR(__xludf.DUMMYFUNCTION("""COMPUTED_VALUE"""),411.0)</f>
        <v>411</v>
      </c>
      <c r="D247" s="320">
        <f>IFERROR(__xludf.DUMMYFUNCTION("""COMPUTED_VALUE"""),0.52)</f>
        <v>0.52</v>
      </c>
      <c r="E247" s="320">
        <f>IFERROR(__xludf.DUMMYFUNCTION("""COMPUTED_VALUE"""),4887.07)</f>
        <v>4887.07</v>
      </c>
      <c r="F247" s="320">
        <f>IFERROR(__xludf.DUMMYFUNCTION("""COMPUTED_VALUE"""),11.8907)</f>
        <v>11.8907</v>
      </c>
      <c r="G247" s="320">
        <f>IFERROR(__xludf.DUMMYFUNCTION("""COMPUTED_VALUE"""),44.04)</f>
        <v>44.04</v>
      </c>
      <c r="H247" s="320">
        <f>IFERROR(__xludf.DUMMYFUNCTION("""COMPUTED_VALUE"""),27.0004)</f>
        <v>27.0004</v>
      </c>
      <c r="I247" s="320">
        <f>IFERROR(__xludf.DUMMYFUNCTION("""COMPUTED_VALUE"""),253.28)</f>
        <v>253.28</v>
      </c>
      <c r="J247" s="320">
        <f>IFERROR(__xludf.DUMMYFUNCTION("""COMPUTED_VALUE"""),164.3)</f>
        <v>164.3</v>
      </c>
      <c r="K247" s="320">
        <f>IFERROR(__xludf.DUMMYFUNCTION("""COMPUTED_VALUE"""),131.28)</f>
        <v>131.28</v>
      </c>
      <c r="L247" s="320">
        <f>IFERROR(__xludf.DUMMYFUNCTION("""COMPUTED_VALUE"""),0.799)</f>
        <v>0.799</v>
      </c>
      <c r="M247" s="320">
        <f>IFERROR(__xludf.DUMMYFUNCTION("""COMPUTED_VALUE"""),0.2961)</f>
        <v>0.2961</v>
      </c>
      <c r="N247" s="320">
        <f>IFERROR(__xludf.DUMMYFUNCTION("""COMPUTED_VALUE"""),0.1821)</f>
        <v>0.1821</v>
      </c>
      <c r="O247" s="320">
        <f>IFERROR(__xludf.DUMMYFUNCTION("""COMPUTED_VALUE"""),1.2516)</f>
        <v>1.2516</v>
      </c>
      <c r="P247" s="320">
        <f>IFERROR(__xludf.DUMMYFUNCTION("""COMPUTED_VALUE"""),1441.78)</f>
        <v>1441.78</v>
      </c>
      <c r="Q247" s="320">
        <f>IFERROR(__xludf.DUMMYFUNCTION("""COMPUTED_VALUE"""),1167.95)</f>
        <v>1167.95</v>
      </c>
      <c r="R247" s="320">
        <f>IFERROR(__xludf.DUMMYFUNCTION("""COMPUTED_VALUE"""),273.83)</f>
        <v>273.83</v>
      </c>
      <c r="S247" s="320">
        <f>IFERROR(__xludf.DUMMYFUNCTION("""COMPUTED_VALUE"""),753.94)</f>
        <v>753.94</v>
      </c>
      <c r="T247" s="320">
        <f>IFERROR(__xludf.DUMMYFUNCTION("""COMPUTED_VALUE"""),687.84)</f>
        <v>687.84</v>
      </c>
      <c r="U247" s="320">
        <f>IFERROR(__xludf.DUMMYFUNCTION("""COMPUTED_VALUE"""),1458.76)</f>
        <v>1458.76</v>
      </c>
      <c r="V247" s="320">
        <f>IFERROR(__xludf.DUMMYFUNCTION("""COMPUTED_VALUE"""),8.8784)</f>
        <v>8.8784</v>
      </c>
      <c r="W247" s="320">
        <f>IFERROR(__xludf.DUMMYFUNCTION("""COMPUTED_VALUE"""),52.29)</f>
        <v>52.29</v>
      </c>
      <c r="X247" s="320">
        <f>IFERROR(__xludf.DUMMYFUNCTION("""COMPUTED_VALUE"""),138.0)</f>
        <v>138</v>
      </c>
      <c r="Y247" s="320">
        <f>IFERROR(__xludf.DUMMYFUNCTION("""COMPUTED_VALUE"""),492.0)</f>
        <v>492</v>
      </c>
      <c r="Z247" s="320">
        <f>IFERROR(__xludf.DUMMYFUNCTION("""COMPUTED_VALUE"""),1704.0)</f>
        <v>1704</v>
      </c>
      <c r="AA247" s="320">
        <f>IFERROR(__xludf.DUMMYFUNCTION("""COMPUTED_VALUE"""),61.5227)</f>
        <v>61.5227</v>
      </c>
      <c r="AB247" s="320">
        <f>IFERROR(__xludf.DUMMYFUNCTION("""COMPUTED_VALUE"""),0.8274)</f>
        <v>0.8274</v>
      </c>
      <c r="AC247" s="320">
        <f>IFERROR(__xludf.DUMMYFUNCTION("""COMPUTED_VALUE"""),87.23)</f>
        <v>87.23</v>
      </c>
      <c r="AD247" s="320">
        <f>IFERROR(__xludf.DUMMYFUNCTION("""COMPUTED_VALUE"""),27.0)</f>
        <v>27</v>
      </c>
      <c r="AE247" s="320">
        <f>IFERROR(__xludf.DUMMYFUNCTION("""COMPUTED_VALUE"""),62.0)</f>
        <v>62</v>
      </c>
      <c r="AF247" s="320">
        <f>IFERROR(__xludf.DUMMYFUNCTION("""COMPUTED_VALUE"""),126.0)</f>
        <v>126</v>
      </c>
      <c r="AG247" s="320">
        <f>IFERROR(__xludf.DUMMYFUNCTION("""COMPUTED_VALUE"""),203.0)</f>
        <v>203</v>
      </c>
      <c r="AH247" s="320">
        <f>IFERROR(__xludf.DUMMYFUNCTION("""COMPUTED_VALUE"""),40.63)</f>
        <v>40.63</v>
      </c>
      <c r="AI247" s="320">
        <f>IFERROR(__xludf.DUMMYFUNCTION("""COMPUTED_VALUE"""),14.84)</f>
        <v>14.84</v>
      </c>
      <c r="AJ247" s="320">
        <f>IFERROR(__xludf.DUMMYFUNCTION("""COMPUTED_VALUE"""),2.43)</f>
        <v>2.43</v>
      </c>
      <c r="AK247" s="320">
        <f>IFERROR(__xludf.DUMMYFUNCTION("""COMPUTED_VALUE"""),0.1241)</f>
        <v>0.1241</v>
      </c>
      <c r="AL247" s="320">
        <f>IFERROR(__xludf.DUMMYFUNCTION("""COMPUTED_VALUE"""),19.46)</f>
        <v>19.46</v>
      </c>
      <c r="AM247" s="320">
        <f>IFERROR(__xludf.DUMMYFUNCTION("""COMPUTED_VALUE"""),1148.48)</f>
        <v>1148.48</v>
      </c>
      <c r="AN247" s="320">
        <f>IFERROR(__xludf.DUMMYFUNCTION("""COMPUTED_VALUE"""),73.9)</f>
        <v>73.9</v>
      </c>
      <c r="AO247" s="320">
        <f>IFERROR(__xludf.DUMMYFUNCTION("""COMPUTED_VALUE"""),14.38)</f>
        <v>14.38</v>
      </c>
    </row>
    <row r="248" ht="15.75" customHeight="1">
      <c r="A248" s="330">
        <f>IFERROR(__xludf.DUMMYFUNCTION("""COMPUTED_VALUE"""),46091.0)</f>
        <v>46091</v>
      </c>
      <c r="B248" s="319" t="str">
        <f>IFERROR(__xludf.DUMMYFUNCTION("""COMPUTED_VALUE"""),"A. 0")</f>
        <v>A. 0</v>
      </c>
      <c r="C248" s="320">
        <f>IFERROR(__xludf.DUMMYFUNCTION("""COMPUTED_VALUE"""),15935.0)</f>
        <v>15935</v>
      </c>
      <c r="D248" s="320">
        <f>IFERROR(__xludf.DUMMYFUNCTION("""COMPUTED_VALUE"""),20.03)</f>
        <v>20.03</v>
      </c>
      <c r="E248" s="320">
        <f>IFERROR(__xludf.DUMMYFUNCTION("""COMPUTED_VALUE"""),118.9)</f>
        <v>118.9</v>
      </c>
      <c r="F248" s="320">
        <f>IFERROR(__xludf.DUMMYFUNCTION("""COMPUTED_VALUE"""),0.0075)</f>
        <v>0.0075</v>
      </c>
      <c r="G248" s="320">
        <f>IFERROR(__xludf.DUMMYFUNCTION("""COMPUTED_VALUE"""),0.22)</f>
        <v>0.22</v>
      </c>
      <c r="H248" s="320">
        <f>IFERROR(__xludf.DUMMYFUNCTION("""COMPUTED_VALUE"""),3.3971)</f>
        <v>3.3971</v>
      </c>
      <c r="I248" s="320">
        <f>IFERROR(__xludf.DUMMYFUNCTION("""COMPUTED_VALUE"""),6.26)</f>
        <v>6.26</v>
      </c>
      <c r="J248" s="320">
        <f>IFERROR(__xludf.DUMMYFUNCTION("""COMPUTED_VALUE"""),2.83)</f>
        <v>2.83</v>
      </c>
      <c r="K248" s="320">
        <f>IFERROR(__xludf.DUMMYFUNCTION("""COMPUTED_VALUE"""),0.08)</f>
        <v>0.08</v>
      </c>
      <c r="L248" s="320">
        <f>IFERROR(__xludf.DUMMYFUNCTION("""COMPUTED_VALUE"""),0.0293)</f>
        <v>0.0293</v>
      </c>
      <c r="M248" s="320">
        <f>IFERROR(__xludf.DUMMYFUNCTION("""COMPUTED_VALUE"""),0.9719)</f>
        <v>0.9719</v>
      </c>
      <c r="N248" s="320">
        <f>IFERROR(__xludf.DUMMYFUNCTION("""COMPUTED_VALUE"""),0.68)</f>
        <v>0.68</v>
      </c>
      <c r="O248" s="320">
        <f>IFERROR(__xludf.DUMMYFUNCTION("""COMPUTED_VALUE"""),34.1021)</f>
        <v>34.1021</v>
      </c>
      <c r="P248" s="320">
        <f>IFERROR(__xludf.DUMMYFUNCTION("""COMPUTED_VALUE"""),27.2)</f>
        <v>27.2</v>
      </c>
      <c r="Q248" s="320">
        <f>IFERROR(__xludf.DUMMYFUNCTION("""COMPUTED_VALUE"""),27.13)</f>
        <v>27.13</v>
      </c>
      <c r="R248" s="320">
        <f>IFERROR(__xludf.DUMMYFUNCTION("""COMPUTED_VALUE"""),0.07)</f>
        <v>0.07</v>
      </c>
      <c r="S248" s="320">
        <f>IFERROR(__xludf.DUMMYFUNCTION("""COMPUTED_VALUE"""),0.49)</f>
        <v>0.49</v>
      </c>
      <c r="T248" s="320">
        <f>IFERROR(__xludf.DUMMYFUNCTION("""COMPUTED_VALUE"""),26.71)</f>
        <v>26.71</v>
      </c>
      <c r="U248" s="320">
        <f>IFERROR(__xludf.DUMMYFUNCTION("""COMPUTED_VALUE"""),2.17)</f>
        <v>2.17</v>
      </c>
      <c r="V248" s="320">
        <f>IFERROR(__xludf.DUMMYFUNCTION("""COMPUTED_VALUE"""),0.7664)</f>
        <v>0.7664</v>
      </c>
      <c r="W248" s="320">
        <f>IFERROR(__xludf.DUMMYFUNCTION("""COMPUTED_VALUE"""),1.79)</f>
        <v>1.79</v>
      </c>
      <c r="X248" s="320">
        <f>IFERROR(__xludf.DUMMYFUNCTION("""COMPUTED_VALUE"""),171.0)</f>
        <v>171</v>
      </c>
      <c r="Y248" s="320">
        <f>IFERROR(__xludf.DUMMYFUNCTION("""COMPUTED_VALUE"""),1196.0)</f>
        <v>1196</v>
      </c>
      <c r="Z248" s="320">
        <f>IFERROR(__xludf.DUMMYFUNCTION("""COMPUTED_VALUE"""),7557.0)</f>
        <v>7557</v>
      </c>
      <c r="AA248" s="320">
        <f>IFERROR(__xludf.DUMMYFUNCTION("""COMPUTED_VALUE"""),49.9427)</f>
        <v>49.9427</v>
      </c>
      <c r="AB248" s="320">
        <f>IFERROR(__xludf.DUMMYFUNCTION("""COMPUTED_VALUE"""),0.5092)</f>
        <v>0.5092</v>
      </c>
      <c r="AC248" s="106"/>
      <c r="AD248" s="106"/>
      <c r="AE248" s="106"/>
      <c r="AF248" s="106"/>
      <c r="AG248" s="106"/>
      <c r="AH248" s="320">
        <f>IFERROR(__xludf.DUMMYFUNCTION("""COMPUTED_VALUE"""),0.0)</f>
        <v>0</v>
      </c>
      <c r="AI248" s="320">
        <f>IFERROR(__xludf.DUMMYFUNCTION("""COMPUTED_VALUE"""),0.0)</f>
        <v>0</v>
      </c>
      <c r="AJ248" s="320">
        <f>IFERROR(__xludf.DUMMYFUNCTION("""COMPUTED_VALUE"""),0.0)</f>
        <v>0</v>
      </c>
      <c r="AK248" s="320">
        <f>IFERROR(__xludf.DUMMYFUNCTION("""COMPUTED_VALUE"""),0.2562)</f>
        <v>0.2562</v>
      </c>
      <c r="AL248" s="320">
        <f>IFERROR(__xludf.DUMMYFUNCTION("""COMPUTED_VALUE"""),15.13)</f>
        <v>15.13</v>
      </c>
      <c r="AM248" s="320">
        <f>IFERROR(__xludf.DUMMYFUNCTION("""COMPUTED_VALUE"""),12.0)</f>
        <v>12</v>
      </c>
      <c r="AN248" s="331"/>
      <c r="AO248" s="331"/>
    </row>
    <row r="249" ht="15.75" customHeight="1">
      <c r="A249" s="330">
        <f>IFERROR(__xludf.DUMMYFUNCTION("""COMPUTED_VALUE"""),46091.0)</f>
        <v>46091</v>
      </c>
      <c r="B249" s="319" t="str">
        <f>IFERROR(__xludf.DUMMYFUNCTION("""COMPUTED_VALUE"""),"B. 1-9")</f>
        <v>B. 1-9</v>
      </c>
      <c r="C249" s="320">
        <f>IFERROR(__xludf.DUMMYFUNCTION("""COMPUTED_VALUE"""),32893.0)</f>
        <v>32893</v>
      </c>
      <c r="D249" s="320">
        <f>IFERROR(__xludf.DUMMYFUNCTION("""COMPUTED_VALUE"""),41.34)</f>
        <v>41.34</v>
      </c>
      <c r="E249" s="320">
        <f>IFERROR(__xludf.DUMMYFUNCTION("""COMPUTED_VALUE"""),6878.7)</f>
        <v>6878.7</v>
      </c>
      <c r="F249" s="320">
        <f>IFERROR(__xludf.DUMMYFUNCTION("""COMPUTED_VALUE"""),0.2091)</f>
        <v>0.2091</v>
      </c>
      <c r="G249" s="320">
        <f>IFERROR(__xludf.DUMMYFUNCTION("""COMPUTED_VALUE"""),6.24)</f>
        <v>6.24</v>
      </c>
      <c r="H249" s="320">
        <f>IFERROR(__xludf.DUMMYFUNCTION("""COMPUTED_VALUE"""),3.3538)</f>
        <v>3.3538</v>
      </c>
      <c r="I249" s="320">
        <f>IFERROR(__xludf.DUMMYFUNCTION("""COMPUTED_VALUE"""),29.74)</f>
        <v>29.74</v>
      </c>
      <c r="J249" s="320">
        <f>IFERROR(__xludf.DUMMYFUNCTION("""COMPUTED_VALUE"""),15.88)</f>
        <v>15.88</v>
      </c>
      <c r="K249" s="320">
        <f>IFERROR(__xludf.DUMMYFUNCTION("""COMPUTED_VALUE"""),5.08)</f>
        <v>5.08</v>
      </c>
      <c r="L249" s="320">
        <f>IFERROR(__xludf.DUMMYFUNCTION("""COMPUTED_VALUE"""),0.3198)</f>
        <v>0.3198</v>
      </c>
      <c r="M249" s="320">
        <f>IFERROR(__xludf.DUMMYFUNCTION("""COMPUTED_VALUE"""),0.7555)</f>
        <v>0.7555</v>
      </c>
      <c r="N249" s="320">
        <f>IFERROR(__xludf.DUMMYFUNCTION("""COMPUTED_VALUE"""),0.5228)</f>
        <v>0.5228</v>
      </c>
      <c r="O249" s="320">
        <f>IFERROR(__xludf.DUMMYFUNCTION("""COMPUTED_VALUE"""),3.1271)</f>
        <v>3.1271</v>
      </c>
      <c r="P249" s="320">
        <f>IFERROR(__xludf.DUMMYFUNCTION("""COMPUTED_VALUE"""),71.05)</f>
        <v>71.05</v>
      </c>
      <c r="Q249" s="320">
        <f>IFERROR(__xludf.DUMMYFUNCTION("""COMPUTED_VALUE"""),60.4)</f>
        <v>60.4</v>
      </c>
      <c r="R249" s="320">
        <f>IFERROR(__xludf.DUMMYFUNCTION("""COMPUTED_VALUE"""),10.65)</f>
        <v>10.65</v>
      </c>
      <c r="S249" s="320">
        <f>IFERROR(__xludf.DUMMYFUNCTION("""COMPUTED_VALUE"""),14.16)</f>
        <v>14.16</v>
      </c>
      <c r="T249" s="320">
        <f>IFERROR(__xludf.DUMMYFUNCTION("""COMPUTED_VALUE"""),56.9)</f>
        <v>56.9</v>
      </c>
      <c r="U249" s="320">
        <f>IFERROR(__xludf.DUMMYFUNCTION("""COMPUTED_VALUE"""),74.86)</f>
        <v>74.86</v>
      </c>
      <c r="V249" s="320">
        <f>IFERROR(__xludf.DUMMYFUNCTION("""COMPUTED_VALUE"""),4.714)</f>
        <v>4.714</v>
      </c>
      <c r="W249" s="320">
        <f>IFERROR(__xludf.DUMMYFUNCTION("""COMPUTED_VALUE"""),19.92)</f>
        <v>19.92</v>
      </c>
      <c r="X249" s="320">
        <f>IFERROR(__xludf.DUMMYFUNCTION("""COMPUTED_VALUE"""),89.0)</f>
        <v>89</v>
      </c>
      <c r="Y249" s="320">
        <f>IFERROR(__xludf.DUMMYFUNCTION("""COMPUTED_VALUE"""),217.0)</f>
        <v>217</v>
      </c>
      <c r="Z249" s="320">
        <f>IFERROR(__xludf.DUMMYFUNCTION("""COMPUTED_VALUE"""),863.0)</f>
        <v>863</v>
      </c>
      <c r="AA249" s="320">
        <f>IFERROR(__xludf.DUMMYFUNCTION("""COMPUTED_VALUE"""),49.7535)</f>
        <v>49.7535</v>
      </c>
      <c r="AB249" s="320">
        <f>IFERROR(__xludf.DUMMYFUNCTION("""COMPUTED_VALUE"""),0.443)</f>
        <v>0.443</v>
      </c>
      <c r="AC249" s="320">
        <f>IFERROR(__xludf.DUMMYFUNCTION("""COMPUTED_VALUE"""),3.46)</f>
        <v>3.46</v>
      </c>
      <c r="AD249" s="320">
        <f>IFERROR(__xludf.DUMMYFUNCTION("""COMPUTED_VALUE"""),1.0)</f>
        <v>1</v>
      </c>
      <c r="AE249" s="320">
        <f>IFERROR(__xludf.DUMMYFUNCTION("""COMPUTED_VALUE"""),2.0)</f>
        <v>2</v>
      </c>
      <c r="AF249" s="320">
        <f>IFERROR(__xludf.DUMMYFUNCTION("""COMPUTED_VALUE"""),4.0)</f>
        <v>4</v>
      </c>
      <c r="AG249" s="320">
        <f>IFERROR(__xludf.DUMMYFUNCTION("""COMPUTED_VALUE"""),8.0)</f>
        <v>8</v>
      </c>
      <c r="AH249" s="320">
        <f>IFERROR(__xludf.DUMMYFUNCTION("""COMPUTED_VALUE"""),66.1)</f>
        <v>66.1</v>
      </c>
      <c r="AI249" s="320">
        <f>IFERROR(__xludf.DUMMYFUNCTION("""COMPUTED_VALUE"""),24.18)</f>
        <v>24.18</v>
      </c>
      <c r="AJ249" s="320">
        <f>IFERROR(__xludf.DUMMYFUNCTION("""COMPUTED_VALUE"""),6.59)</f>
        <v>6.59</v>
      </c>
      <c r="AK249" s="320">
        <f>IFERROR(__xludf.DUMMYFUNCTION("""COMPUTED_VALUE"""),0.2047)</f>
        <v>0.2047</v>
      </c>
      <c r="AL249" s="320">
        <f>IFERROR(__xludf.DUMMYFUNCTION("""COMPUTED_VALUE"""),18.71)</f>
        <v>18.71</v>
      </c>
      <c r="AM249" s="320">
        <f>IFERROR(__xludf.DUMMYFUNCTION("""COMPUTED_VALUE"""),41.69)</f>
        <v>41.69</v>
      </c>
      <c r="AN249" s="320">
        <f>IFERROR(__xludf.DUMMYFUNCTION("""COMPUTED_VALUE"""),68.85)</f>
        <v>68.85</v>
      </c>
      <c r="AO249" s="320">
        <f>IFERROR(__xludf.DUMMYFUNCTION("""COMPUTED_VALUE"""),12.88)</f>
        <v>12.88</v>
      </c>
    </row>
    <row r="250" ht="15.75" customHeight="1">
      <c r="A250" s="330">
        <f>IFERROR(__xludf.DUMMYFUNCTION("""COMPUTED_VALUE"""),46091.0)</f>
        <v>46091</v>
      </c>
      <c r="B250" s="319" t="str">
        <f>IFERROR(__xludf.DUMMYFUNCTION("""COMPUTED_VALUE"""),"C. 10-19")</f>
        <v>C. 10-19</v>
      </c>
      <c r="C250" s="320">
        <f>IFERROR(__xludf.DUMMYFUNCTION("""COMPUTED_VALUE"""),17347.0)</f>
        <v>17347</v>
      </c>
      <c r="D250" s="320">
        <f>IFERROR(__xludf.DUMMYFUNCTION("""COMPUTED_VALUE"""),21.8)</f>
        <v>21.8</v>
      </c>
      <c r="E250" s="320">
        <f>IFERROR(__xludf.DUMMYFUNCTION("""COMPUTED_VALUE"""),16500.51)</f>
        <v>16500.51</v>
      </c>
      <c r="F250" s="320">
        <f>IFERROR(__xludf.DUMMYFUNCTION("""COMPUTED_VALUE"""),0.9512)</f>
        <v>0.9512</v>
      </c>
      <c r="G250" s="320">
        <f>IFERROR(__xludf.DUMMYFUNCTION("""COMPUTED_VALUE"""),20.6)</f>
        <v>20.6</v>
      </c>
      <c r="H250" s="320">
        <f>IFERROR(__xludf.DUMMYFUNCTION("""COMPUTED_VALUE"""),4.6168)</f>
        <v>4.6168</v>
      </c>
      <c r="I250" s="320">
        <f>IFERROR(__xludf.DUMMYFUNCTION("""COMPUTED_VALUE"""),54.1)</f>
        <v>54.1</v>
      </c>
      <c r="J250" s="320">
        <f>IFERROR(__xludf.DUMMYFUNCTION("""COMPUTED_VALUE"""),30.73)</f>
        <v>30.73</v>
      </c>
      <c r="K250" s="320">
        <f>IFERROR(__xludf.DUMMYFUNCTION("""COMPUTED_VALUE"""),13.11)</f>
        <v>13.11</v>
      </c>
      <c r="L250" s="320">
        <f>IFERROR(__xludf.DUMMYFUNCTION("""COMPUTED_VALUE"""),0.4266)</f>
        <v>0.4266</v>
      </c>
      <c r="M250" s="320">
        <f>IFERROR(__xludf.DUMMYFUNCTION("""COMPUTED_VALUE"""),0.6416)</f>
        <v>0.6416</v>
      </c>
      <c r="N250" s="320">
        <f>IFERROR(__xludf.DUMMYFUNCTION("""COMPUTED_VALUE"""),0.3764)</f>
        <v>0.3764</v>
      </c>
      <c r="O250" s="320">
        <f>IFERROR(__xludf.DUMMYFUNCTION("""COMPUTED_VALUE"""),2.3444)</f>
        <v>2.3444</v>
      </c>
      <c r="P250" s="320">
        <f>IFERROR(__xludf.DUMMYFUNCTION("""COMPUTED_VALUE"""),164.57)</f>
        <v>164.57</v>
      </c>
      <c r="Q250" s="320">
        <f>IFERROR(__xludf.DUMMYFUNCTION("""COMPUTED_VALUE"""),137.52)</f>
        <v>137.52</v>
      </c>
      <c r="R250" s="320">
        <f>IFERROR(__xludf.DUMMYFUNCTION("""COMPUTED_VALUE"""),27.05)</f>
        <v>27.05</v>
      </c>
      <c r="S250" s="320">
        <f>IFERROR(__xludf.DUMMYFUNCTION("""COMPUTED_VALUE"""),63.81)</f>
        <v>63.81</v>
      </c>
      <c r="T250" s="320">
        <f>IFERROR(__xludf.DUMMYFUNCTION("""COMPUTED_VALUE"""),100.76)</f>
        <v>100.76</v>
      </c>
      <c r="U250" s="320">
        <f>IFERROR(__xludf.DUMMYFUNCTION("""COMPUTED_VALUE"""),172.75)</f>
        <v>172.75</v>
      </c>
      <c r="V250" s="320">
        <f>IFERROR(__xludf.DUMMYFUNCTION("""COMPUTED_VALUE"""),5.6212)</f>
        <v>5.6212</v>
      </c>
      <c r="W250" s="320">
        <f>IFERROR(__xludf.DUMMYFUNCTION("""COMPUTED_VALUE"""),38.77)</f>
        <v>38.77</v>
      </c>
      <c r="X250" s="320">
        <f>IFERROR(__xludf.DUMMYFUNCTION("""COMPUTED_VALUE"""),85.0)</f>
        <v>85</v>
      </c>
      <c r="Y250" s="320">
        <f>IFERROR(__xludf.DUMMYFUNCTION("""COMPUTED_VALUE"""),197.0)</f>
        <v>197</v>
      </c>
      <c r="Z250" s="320">
        <f>IFERROR(__xludf.DUMMYFUNCTION("""COMPUTED_VALUE"""),649.0)</f>
        <v>649</v>
      </c>
      <c r="AA250" s="320">
        <f>IFERROR(__xludf.DUMMYFUNCTION("""COMPUTED_VALUE"""),52.5323)</f>
        <v>52.5323</v>
      </c>
      <c r="AB250" s="320">
        <f>IFERROR(__xludf.DUMMYFUNCTION("""COMPUTED_VALUE"""),0.5215)</f>
        <v>0.5215</v>
      </c>
      <c r="AC250" s="320">
        <f>IFERROR(__xludf.DUMMYFUNCTION("""COMPUTED_VALUE"""),8.44)</f>
        <v>8.44</v>
      </c>
      <c r="AD250" s="320">
        <f>IFERROR(__xludf.DUMMYFUNCTION("""COMPUTED_VALUE"""),2.0)</f>
        <v>2</v>
      </c>
      <c r="AE250" s="320">
        <f>IFERROR(__xludf.DUMMYFUNCTION("""COMPUTED_VALUE"""),6.0)</f>
        <v>6</v>
      </c>
      <c r="AF250" s="320">
        <f>IFERROR(__xludf.DUMMYFUNCTION("""COMPUTED_VALUE"""),12.0)</f>
        <v>12</v>
      </c>
      <c r="AG250" s="320">
        <f>IFERROR(__xludf.DUMMYFUNCTION("""COMPUTED_VALUE"""),19.0)</f>
        <v>19</v>
      </c>
      <c r="AH250" s="320">
        <f>IFERROR(__xludf.DUMMYFUNCTION("""COMPUTED_VALUE"""),52.11)</f>
        <v>52.11</v>
      </c>
      <c r="AI250" s="320">
        <f>IFERROR(__xludf.DUMMYFUNCTION("""COMPUTED_VALUE"""),23.13)</f>
        <v>23.13</v>
      </c>
      <c r="AJ250" s="320">
        <f>IFERROR(__xludf.DUMMYFUNCTION("""COMPUTED_VALUE"""),3.97)</f>
        <v>3.97</v>
      </c>
      <c r="AK250" s="320">
        <f>IFERROR(__xludf.DUMMYFUNCTION("""COMPUTED_VALUE"""),0.1863)</f>
        <v>0.1863</v>
      </c>
      <c r="AL250" s="320">
        <f>IFERROR(__xludf.DUMMYFUNCTION("""COMPUTED_VALUE"""),19.13)</f>
        <v>19.13</v>
      </c>
      <c r="AM250" s="320">
        <f>IFERROR(__xludf.DUMMYFUNCTION("""COMPUTED_VALUE"""),118.38)</f>
        <v>118.38</v>
      </c>
      <c r="AN250" s="320">
        <f>IFERROR(__xludf.DUMMYFUNCTION("""COMPUTED_VALUE"""),71.86)</f>
        <v>71.86</v>
      </c>
      <c r="AO250" s="320">
        <f>IFERROR(__xludf.DUMMYFUNCTION("""COMPUTED_VALUE"""),13.75)</f>
        <v>13.75</v>
      </c>
    </row>
    <row r="251" ht="15.75" customHeight="1">
      <c r="A251" s="330">
        <f>IFERROR(__xludf.DUMMYFUNCTION("""COMPUTED_VALUE"""),46091.0)</f>
        <v>46091</v>
      </c>
      <c r="B251" s="319" t="str">
        <f>IFERROR(__xludf.DUMMYFUNCTION("""COMPUTED_VALUE"""),"D. 20-39")</f>
        <v>D. 20-39</v>
      </c>
      <c r="C251" s="320">
        <f>IFERROR(__xludf.DUMMYFUNCTION("""COMPUTED_VALUE"""),9343.0)</f>
        <v>9343</v>
      </c>
      <c r="D251" s="320">
        <f>IFERROR(__xludf.DUMMYFUNCTION("""COMPUTED_VALUE"""),11.74)</f>
        <v>11.74</v>
      </c>
      <c r="E251" s="320">
        <f>IFERROR(__xludf.DUMMYFUNCTION("""COMPUTED_VALUE"""),24069.06)</f>
        <v>24069.06</v>
      </c>
      <c r="F251" s="320">
        <f>IFERROR(__xludf.DUMMYFUNCTION("""COMPUTED_VALUE"""),2.5762)</f>
        <v>2.5762</v>
      </c>
      <c r="G251" s="320">
        <f>IFERROR(__xludf.DUMMYFUNCTION("""COMPUTED_VALUE"""),33.3)</f>
        <v>33.3</v>
      </c>
      <c r="H251" s="320">
        <f>IFERROR(__xludf.DUMMYFUNCTION("""COMPUTED_VALUE"""),7.7368)</f>
        <v>7.7368</v>
      </c>
      <c r="I251" s="320">
        <f>IFERROR(__xludf.DUMMYFUNCTION("""COMPUTED_VALUE"""),81.83)</f>
        <v>81.83</v>
      </c>
      <c r="J251" s="320">
        <f>IFERROR(__xludf.DUMMYFUNCTION("""COMPUTED_VALUE"""),48.06)</f>
        <v>48.06</v>
      </c>
      <c r="K251" s="320">
        <f>IFERROR(__xludf.DUMMYFUNCTION("""COMPUTED_VALUE"""),27.15)</f>
        <v>27.15</v>
      </c>
      <c r="L251" s="320">
        <f>IFERROR(__xludf.DUMMYFUNCTION("""COMPUTED_VALUE"""),0.565)</f>
        <v>0.565</v>
      </c>
      <c r="M251" s="320">
        <f>IFERROR(__xludf.DUMMYFUNCTION("""COMPUTED_VALUE"""),0.5136)</f>
        <v>0.5136</v>
      </c>
      <c r="N251" s="320">
        <f>IFERROR(__xludf.DUMMYFUNCTION("""COMPUTED_VALUE"""),0.2856)</f>
        <v>0.2856</v>
      </c>
      <c r="O251" s="320">
        <f>IFERROR(__xludf.DUMMYFUNCTION("""COMPUTED_VALUE"""),1.7699)</f>
        <v>1.7699</v>
      </c>
      <c r="P251" s="320">
        <f>IFERROR(__xludf.DUMMYFUNCTION("""COMPUTED_VALUE"""),346.43)</f>
        <v>346.43</v>
      </c>
      <c r="Q251" s="320">
        <f>IFERROR(__xludf.DUMMYFUNCTION("""COMPUTED_VALUE"""),293.95)</f>
        <v>293.95</v>
      </c>
      <c r="R251" s="320">
        <f>IFERROR(__xludf.DUMMYFUNCTION("""COMPUTED_VALUE"""),52.48)</f>
        <v>52.48</v>
      </c>
      <c r="S251" s="320">
        <f>IFERROR(__xludf.DUMMYFUNCTION("""COMPUTED_VALUE"""),168.21)</f>
        <v>168.21</v>
      </c>
      <c r="T251" s="320">
        <f>IFERROR(__xludf.DUMMYFUNCTION("""COMPUTED_VALUE"""),178.22)</f>
        <v>178.22</v>
      </c>
      <c r="U251" s="320">
        <f>IFERROR(__xludf.DUMMYFUNCTION("""COMPUTED_VALUE"""),357.2)</f>
        <v>357.2</v>
      </c>
      <c r="V251" s="320">
        <f>IFERROR(__xludf.DUMMYFUNCTION("""COMPUTED_VALUE"""),7.4324)</f>
        <v>7.4324</v>
      </c>
      <c r="W251" s="320">
        <f>IFERROR(__xludf.DUMMYFUNCTION("""COMPUTED_VALUE"""),48.56)</f>
        <v>48.56</v>
      </c>
      <c r="X251" s="320">
        <f>IFERROR(__xludf.DUMMYFUNCTION("""COMPUTED_VALUE"""),92.0)</f>
        <v>92</v>
      </c>
      <c r="Y251" s="320">
        <f>IFERROR(__xludf.DUMMYFUNCTION("""COMPUTED_VALUE"""),227.0)</f>
        <v>227</v>
      </c>
      <c r="Z251" s="320">
        <f>IFERROR(__xludf.DUMMYFUNCTION("""COMPUTED_VALUE"""),734.0)</f>
        <v>734</v>
      </c>
      <c r="AA251" s="320">
        <f>IFERROR(__xludf.DUMMYFUNCTION("""COMPUTED_VALUE"""),54.6076)</f>
        <v>54.6076</v>
      </c>
      <c r="AB251" s="320">
        <f>IFERROR(__xludf.DUMMYFUNCTION("""COMPUTED_VALUE"""),0.6116)</f>
        <v>0.6116</v>
      </c>
      <c r="AC251" s="320">
        <f>IFERROR(__xludf.DUMMYFUNCTION("""COMPUTED_VALUE"""),16.38)</f>
        <v>16.38</v>
      </c>
      <c r="AD251" s="320">
        <f>IFERROR(__xludf.DUMMYFUNCTION("""COMPUTED_VALUE"""),5.0)</f>
        <v>5</v>
      </c>
      <c r="AE251" s="320">
        <f>IFERROR(__xludf.DUMMYFUNCTION("""COMPUTED_VALUE"""),12.0)</f>
        <v>12</v>
      </c>
      <c r="AF251" s="320">
        <f>IFERROR(__xludf.DUMMYFUNCTION("""COMPUTED_VALUE"""),23.0)</f>
        <v>23</v>
      </c>
      <c r="AG251" s="320">
        <f>IFERROR(__xludf.DUMMYFUNCTION("""COMPUTED_VALUE"""),35.0)</f>
        <v>35</v>
      </c>
      <c r="AH251" s="320">
        <f>IFERROR(__xludf.DUMMYFUNCTION("""COMPUTED_VALUE"""),54.2)</f>
        <v>54.2</v>
      </c>
      <c r="AI251" s="320">
        <f>IFERROR(__xludf.DUMMYFUNCTION("""COMPUTED_VALUE"""),21.38)</f>
        <v>21.38</v>
      </c>
      <c r="AJ251" s="320">
        <f>IFERROR(__xludf.DUMMYFUNCTION("""COMPUTED_VALUE"""),6.13)</f>
        <v>6.13</v>
      </c>
      <c r="AK251" s="320">
        <f>IFERROR(__xludf.DUMMYFUNCTION("""COMPUTED_VALUE"""),0.1704)</f>
        <v>0.1704</v>
      </c>
      <c r="AL251" s="320">
        <f>IFERROR(__xludf.DUMMYFUNCTION("""COMPUTED_VALUE"""),19.33)</f>
        <v>19.33</v>
      </c>
      <c r="AM251" s="320">
        <f>IFERROR(__xludf.DUMMYFUNCTION("""COMPUTED_VALUE"""),274.62)</f>
        <v>274.62</v>
      </c>
      <c r="AN251" s="320">
        <f>IFERROR(__xludf.DUMMYFUNCTION("""COMPUTED_VALUE"""),71.41)</f>
        <v>71.41</v>
      </c>
      <c r="AO251" s="320">
        <f>IFERROR(__xludf.DUMMYFUNCTION("""COMPUTED_VALUE"""),13.8)</f>
        <v>13.8</v>
      </c>
    </row>
    <row r="252" ht="15.75" customHeight="1">
      <c r="A252" s="330">
        <f>IFERROR(__xludf.DUMMYFUNCTION("""COMPUTED_VALUE"""),46091.0)</f>
        <v>46091</v>
      </c>
      <c r="B252" s="319" t="str">
        <f>IFERROR(__xludf.DUMMYFUNCTION("""COMPUTED_VALUE"""),"E. 40-99")</f>
        <v>E. 40-99</v>
      </c>
      <c r="C252" s="320">
        <f>IFERROR(__xludf.DUMMYFUNCTION("""COMPUTED_VALUE"""),3651.0)</f>
        <v>3651</v>
      </c>
      <c r="D252" s="320">
        <f>IFERROR(__xludf.DUMMYFUNCTION("""COMPUTED_VALUE"""),4.59)</f>
        <v>4.59</v>
      </c>
      <c r="E252" s="320">
        <f>IFERROR(__xludf.DUMMYFUNCTION("""COMPUTED_VALUE"""),20773.15)</f>
        <v>20773.15</v>
      </c>
      <c r="F252" s="320">
        <f>IFERROR(__xludf.DUMMYFUNCTION("""COMPUTED_VALUE"""),5.6897)</f>
        <v>5.6897</v>
      </c>
      <c r="G252" s="320">
        <f>IFERROR(__xludf.DUMMYFUNCTION("""COMPUTED_VALUE"""),42.56)</f>
        <v>42.56</v>
      </c>
      <c r="H252" s="320">
        <f>IFERROR(__xludf.DUMMYFUNCTION("""COMPUTED_VALUE"""),13.3675)</f>
        <v>13.3675</v>
      </c>
      <c r="I252" s="320">
        <f>IFERROR(__xludf.DUMMYFUNCTION("""COMPUTED_VALUE"""),122.56)</f>
        <v>122.56</v>
      </c>
      <c r="J252" s="320">
        <f>IFERROR(__xludf.DUMMYFUNCTION("""COMPUTED_VALUE"""),75.44)</f>
        <v>75.44</v>
      </c>
      <c r="K252" s="320">
        <f>IFERROR(__xludf.DUMMYFUNCTION("""COMPUTED_VALUE"""),50.94)</f>
        <v>50.94</v>
      </c>
      <c r="L252" s="320">
        <f>IFERROR(__xludf.DUMMYFUNCTION("""COMPUTED_VALUE"""),0.6752)</f>
        <v>0.6752</v>
      </c>
      <c r="M252" s="320">
        <f>IFERROR(__xludf.DUMMYFUNCTION("""COMPUTED_VALUE"""),0.415)</f>
        <v>0.415</v>
      </c>
      <c r="N252" s="320">
        <f>IFERROR(__xludf.DUMMYFUNCTION("""COMPUTED_VALUE"""),0.2377)</f>
        <v>0.2377</v>
      </c>
      <c r="O252" s="320">
        <f>IFERROR(__xludf.DUMMYFUNCTION("""COMPUTED_VALUE"""),1.4809)</f>
        <v>1.4809</v>
      </c>
      <c r="P252" s="320">
        <f>IFERROR(__xludf.DUMMYFUNCTION("""COMPUTED_VALUE"""),676.57)</f>
        <v>676.57</v>
      </c>
      <c r="Q252" s="320">
        <f>IFERROR(__xludf.DUMMYFUNCTION("""COMPUTED_VALUE"""),569.88)</f>
        <v>569.88</v>
      </c>
      <c r="R252" s="320">
        <f>IFERROR(__xludf.DUMMYFUNCTION("""COMPUTED_VALUE"""),106.7)</f>
        <v>106.7</v>
      </c>
      <c r="S252" s="320">
        <f>IFERROR(__xludf.DUMMYFUNCTION("""COMPUTED_VALUE"""),368.5)</f>
        <v>368.5</v>
      </c>
      <c r="T252" s="320">
        <f>IFERROR(__xludf.DUMMYFUNCTION("""COMPUTED_VALUE"""),308.07)</f>
        <v>308.07</v>
      </c>
      <c r="U252" s="320">
        <f>IFERROR(__xludf.DUMMYFUNCTION("""COMPUTED_VALUE"""),677.31)</f>
        <v>677.31</v>
      </c>
      <c r="V252" s="320">
        <f>IFERROR(__xludf.DUMMYFUNCTION("""COMPUTED_VALUE"""),8.9775)</f>
        <v>8.9775</v>
      </c>
      <c r="W252" s="320">
        <f>IFERROR(__xludf.DUMMYFUNCTION("""COMPUTED_VALUE"""),54.47)</f>
        <v>54.47</v>
      </c>
      <c r="X252" s="320">
        <f>IFERROR(__xludf.DUMMYFUNCTION("""COMPUTED_VALUE"""),97.0)</f>
        <v>97</v>
      </c>
      <c r="Y252" s="320">
        <f>IFERROR(__xludf.DUMMYFUNCTION("""COMPUTED_VALUE"""),317.0)</f>
        <v>317</v>
      </c>
      <c r="Z252" s="320">
        <f>IFERROR(__xludf.DUMMYFUNCTION("""COMPUTED_VALUE"""),971.0)</f>
        <v>971</v>
      </c>
      <c r="AA252" s="320">
        <f>IFERROR(__xludf.DUMMYFUNCTION("""COMPUTED_VALUE"""),57.4202)</f>
        <v>57.4202</v>
      </c>
      <c r="AB252" s="320">
        <f>IFERROR(__xludf.DUMMYFUNCTION("""COMPUTED_VALUE"""),0.7394)</f>
        <v>0.7394</v>
      </c>
      <c r="AC252" s="320">
        <f>IFERROR(__xludf.DUMMYFUNCTION("""COMPUTED_VALUE"""),34.05)</f>
        <v>34.05</v>
      </c>
      <c r="AD252" s="320">
        <f>IFERROR(__xludf.DUMMYFUNCTION("""COMPUTED_VALUE"""),11.0)</f>
        <v>11</v>
      </c>
      <c r="AE252" s="320">
        <f>IFERROR(__xludf.DUMMYFUNCTION("""COMPUTED_VALUE"""),25.0)</f>
        <v>25</v>
      </c>
      <c r="AF252" s="320">
        <f>IFERROR(__xludf.DUMMYFUNCTION("""COMPUTED_VALUE"""),49.0)</f>
        <v>49</v>
      </c>
      <c r="AG252" s="320">
        <f>IFERROR(__xludf.DUMMYFUNCTION("""COMPUTED_VALUE"""),75.0)</f>
        <v>75</v>
      </c>
      <c r="AH252" s="320">
        <f>IFERROR(__xludf.DUMMYFUNCTION("""COMPUTED_VALUE"""),46.29)</f>
        <v>46.29</v>
      </c>
      <c r="AI252" s="320">
        <f>IFERROR(__xludf.DUMMYFUNCTION("""COMPUTED_VALUE"""),17.34)</f>
        <v>17.34</v>
      </c>
      <c r="AJ252" s="320">
        <f>IFERROR(__xludf.DUMMYFUNCTION("""COMPUTED_VALUE"""),4.41)</f>
        <v>4.41</v>
      </c>
      <c r="AK252" s="320">
        <f>IFERROR(__xludf.DUMMYFUNCTION("""COMPUTED_VALUE"""),0.155)</f>
        <v>0.155</v>
      </c>
      <c r="AL252" s="320">
        <f>IFERROR(__xludf.DUMMYFUNCTION("""COMPUTED_VALUE"""),19.03)</f>
        <v>19.03</v>
      </c>
      <c r="AM252" s="320">
        <f>IFERROR(__xludf.DUMMYFUNCTION("""COMPUTED_VALUE"""),550.85)</f>
        <v>550.85</v>
      </c>
      <c r="AN252" s="320">
        <f>IFERROR(__xludf.DUMMYFUNCTION("""COMPUTED_VALUE"""),76.45)</f>
        <v>76.45</v>
      </c>
      <c r="AO252" s="320">
        <f>IFERROR(__xludf.DUMMYFUNCTION("""COMPUTED_VALUE"""),14.55)</f>
        <v>14.55</v>
      </c>
    </row>
    <row r="253" ht="15.75" customHeight="1">
      <c r="A253" s="330">
        <f>IFERROR(__xludf.DUMMYFUNCTION("""COMPUTED_VALUE"""),46091.0)</f>
        <v>46091</v>
      </c>
      <c r="B253" s="319" t="str">
        <f>IFERROR(__xludf.DUMMYFUNCTION("""COMPUTED_VALUE"""),"F. 100+")</f>
        <v>F. 100+</v>
      </c>
      <c r="C253" s="320">
        <f>IFERROR(__xludf.DUMMYFUNCTION("""COMPUTED_VALUE"""),403.0)</f>
        <v>403</v>
      </c>
      <c r="D253" s="320">
        <f>IFERROR(__xludf.DUMMYFUNCTION("""COMPUTED_VALUE"""),0.51)</f>
        <v>0.51</v>
      </c>
      <c r="E253" s="320">
        <f>IFERROR(__xludf.DUMMYFUNCTION("""COMPUTED_VALUE"""),4799.04)</f>
        <v>4799.04</v>
      </c>
      <c r="F253" s="320">
        <f>IFERROR(__xludf.DUMMYFUNCTION("""COMPUTED_VALUE"""),11.9083)</f>
        <v>11.9083</v>
      </c>
      <c r="G253" s="320">
        <f>IFERROR(__xludf.DUMMYFUNCTION("""COMPUTED_VALUE"""),49.63)</f>
        <v>49.63</v>
      </c>
      <c r="H253" s="320">
        <f>IFERROR(__xludf.DUMMYFUNCTION("""COMPUTED_VALUE"""),23.9952)</f>
        <v>23.9952</v>
      </c>
      <c r="I253" s="320">
        <f>IFERROR(__xludf.DUMMYFUNCTION("""COMPUTED_VALUE"""),248.32)</f>
        <v>248.32</v>
      </c>
      <c r="J253" s="320">
        <f>IFERROR(__xludf.DUMMYFUNCTION("""COMPUTED_VALUE"""),159.93)</f>
        <v>159.93</v>
      </c>
      <c r="K253" s="320">
        <f>IFERROR(__xludf.DUMMYFUNCTION("""COMPUTED_VALUE"""),131.03)</f>
        <v>131.03</v>
      </c>
      <c r="L253" s="320">
        <f>IFERROR(__xludf.DUMMYFUNCTION("""COMPUTED_VALUE"""),0.8193)</f>
        <v>0.8193</v>
      </c>
      <c r="M253" s="320">
        <f>IFERROR(__xludf.DUMMYFUNCTION("""COMPUTED_VALUE"""),0.2792)</f>
        <v>0.2792</v>
      </c>
      <c r="N253" s="320">
        <f>IFERROR(__xludf.DUMMYFUNCTION("""COMPUTED_VALUE"""),0.1752)</f>
        <v>0.1752</v>
      </c>
      <c r="O253" s="320">
        <f>IFERROR(__xludf.DUMMYFUNCTION("""COMPUTED_VALUE"""),1.2206)</f>
        <v>1.2206</v>
      </c>
      <c r="P253" s="320">
        <f>IFERROR(__xludf.DUMMYFUNCTION("""COMPUTED_VALUE"""),1408.86)</f>
        <v>1408.86</v>
      </c>
      <c r="Q253" s="320">
        <f>IFERROR(__xludf.DUMMYFUNCTION("""COMPUTED_VALUE"""),1134.83)</f>
        <v>1134.83</v>
      </c>
      <c r="R253" s="320">
        <f>IFERROR(__xludf.DUMMYFUNCTION("""COMPUTED_VALUE"""),274.03)</f>
        <v>274.03</v>
      </c>
      <c r="S253" s="320">
        <f>IFERROR(__xludf.DUMMYFUNCTION("""COMPUTED_VALUE"""),772.54)</f>
        <v>772.54</v>
      </c>
      <c r="T253" s="320">
        <f>IFERROR(__xludf.DUMMYFUNCTION("""COMPUTED_VALUE"""),636.32)</f>
        <v>636.32</v>
      </c>
      <c r="U253" s="320">
        <f>IFERROR(__xludf.DUMMYFUNCTION("""COMPUTED_VALUE"""),1447.77)</f>
        <v>1447.77</v>
      </c>
      <c r="V253" s="320">
        <f>IFERROR(__xludf.DUMMYFUNCTION("""COMPUTED_VALUE"""),9.0523)</f>
        <v>9.0523</v>
      </c>
      <c r="W253" s="320">
        <f>IFERROR(__xludf.DUMMYFUNCTION("""COMPUTED_VALUE"""),54.83)</f>
        <v>54.83</v>
      </c>
      <c r="X253" s="320">
        <f>IFERROR(__xludf.DUMMYFUNCTION("""COMPUTED_VALUE"""),134.0)</f>
        <v>134</v>
      </c>
      <c r="Y253" s="320">
        <f>IFERROR(__xludf.DUMMYFUNCTION("""COMPUTED_VALUE"""),578.0)</f>
        <v>578</v>
      </c>
      <c r="Z253" s="320">
        <f>IFERROR(__xludf.DUMMYFUNCTION("""COMPUTED_VALUE"""),1929.0)</f>
        <v>1929</v>
      </c>
      <c r="AA253" s="320">
        <f>IFERROR(__xludf.DUMMYFUNCTION("""COMPUTED_VALUE"""),61.386)</f>
        <v>61.386</v>
      </c>
      <c r="AB253" s="320">
        <f>IFERROR(__xludf.DUMMYFUNCTION("""COMPUTED_VALUE"""),0.8307)</f>
        <v>0.8307</v>
      </c>
      <c r="AC253" s="320">
        <f>IFERROR(__xludf.DUMMYFUNCTION("""COMPUTED_VALUE"""),88.19)</f>
        <v>88.19</v>
      </c>
      <c r="AD253" s="320">
        <f>IFERROR(__xludf.DUMMYFUNCTION("""COMPUTED_VALUE"""),28.0)</f>
        <v>28</v>
      </c>
      <c r="AE253" s="320">
        <f>IFERROR(__xludf.DUMMYFUNCTION("""COMPUTED_VALUE"""),70.0)</f>
        <v>70</v>
      </c>
      <c r="AF253" s="320">
        <f>IFERROR(__xludf.DUMMYFUNCTION("""COMPUTED_VALUE"""),120.0)</f>
        <v>120</v>
      </c>
      <c r="AG253" s="320">
        <f>IFERROR(__xludf.DUMMYFUNCTION("""COMPUTED_VALUE"""),182.0)</f>
        <v>182</v>
      </c>
      <c r="AH253" s="320">
        <f>IFERROR(__xludf.DUMMYFUNCTION("""COMPUTED_VALUE"""),44.42)</f>
        <v>44.42</v>
      </c>
      <c r="AI253" s="320">
        <f>IFERROR(__xludf.DUMMYFUNCTION("""COMPUTED_VALUE"""),10.67)</f>
        <v>10.67</v>
      </c>
      <c r="AJ253" s="320">
        <f>IFERROR(__xludf.DUMMYFUNCTION("""COMPUTED_VALUE"""),3.23)</f>
        <v>3.23</v>
      </c>
      <c r="AK253" s="320">
        <f>IFERROR(__xludf.DUMMYFUNCTION("""COMPUTED_VALUE"""),0.1117)</f>
        <v>0.1117</v>
      </c>
      <c r="AL253" s="320">
        <f>IFERROR(__xludf.DUMMYFUNCTION("""COMPUTED_VALUE"""),22.31)</f>
        <v>22.31</v>
      </c>
      <c r="AM253" s="320">
        <f>IFERROR(__xludf.DUMMYFUNCTION("""COMPUTED_VALUE"""),1112.52)</f>
        <v>1112.52</v>
      </c>
      <c r="AN253" s="320">
        <f>IFERROR(__xludf.DUMMYFUNCTION("""COMPUTED_VALUE"""),72.42)</f>
        <v>72.42</v>
      </c>
      <c r="AO253" s="320">
        <f>IFERROR(__xludf.DUMMYFUNCTION("""COMPUTED_VALUE"""),16.16)</f>
        <v>16.16</v>
      </c>
    </row>
    <row r="254" ht="15.75" customHeight="1">
      <c r="A254" s="330">
        <f>IFERROR(__xludf.DUMMYFUNCTION("""COMPUTED_VALUE"""),46092.0)</f>
        <v>46092</v>
      </c>
      <c r="B254" s="319" t="str">
        <f>IFERROR(__xludf.DUMMYFUNCTION("""COMPUTED_VALUE"""),"A. 0")</f>
        <v>A. 0</v>
      </c>
      <c r="C254" s="320">
        <f>IFERROR(__xludf.DUMMYFUNCTION("""COMPUTED_VALUE"""),16582.0)</f>
        <v>16582</v>
      </c>
      <c r="D254" s="320">
        <f>IFERROR(__xludf.DUMMYFUNCTION("""COMPUTED_VALUE"""),21.0)</f>
        <v>21</v>
      </c>
      <c r="E254" s="320">
        <f>IFERROR(__xludf.DUMMYFUNCTION("""COMPUTED_VALUE"""),150.5)</f>
        <v>150.5</v>
      </c>
      <c r="F254" s="320">
        <f>IFERROR(__xludf.DUMMYFUNCTION("""COMPUTED_VALUE"""),0.0091)</f>
        <v>0.0091</v>
      </c>
      <c r="G254" s="320">
        <f>IFERROR(__xludf.DUMMYFUNCTION("""COMPUTED_VALUE"""),0.2)</f>
        <v>0.2</v>
      </c>
      <c r="H254" s="320">
        <f>IFERROR(__xludf.DUMMYFUNCTION("""COMPUTED_VALUE"""),4.5606)</f>
        <v>4.5606</v>
      </c>
      <c r="I254" s="320">
        <f>IFERROR(__xludf.DUMMYFUNCTION("""COMPUTED_VALUE"""),6.57)</f>
        <v>6.57</v>
      </c>
      <c r="J254" s="320">
        <f>IFERROR(__xludf.DUMMYFUNCTION("""COMPUTED_VALUE"""),2.99)</f>
        <v>2.99</v>
      </c>
      <c r="K254" s="320">
        <f>IFERROR(__xludf.DUMMYFUNCTION("""COMPUTED_VALUE"""),0.09)</f>
        <v>0.09</v>
      </c>
      <c r="L254" s="320">
        <f>IFERROR(__xludf.DUMMYFUNCTION("""COMPUTED_VALUE"""),0.0291)</f>
        <v>0.0291</v>
      </c>
      <c r="M254" s="320">
        <f>IFERROR(__xludf.DUMMYFUNCTION("""COMPUTED_VALUE"""),0.9733)</f>
        <v>0.9733</v>
      </c>
      <c r="N254" s="320">
        <f>IFERROR(__xludf.DUMMYFUNCTION("""COMPUTED_VALUE"""),0.6988)</f>
        <v>0.6988</v>
      </c>
      <c r="O254" s="320">
        <f>IFERROR(__xludf.DUMMYFUNCTION("""COMPUTED_VALUE"""),34.3061)</f>
        <v>34.3061</v>
      </c>
      <c r="P254" s="320">
        <f>IFERROR(__xludf.DUMMYFUNCTION("""COMPUTED_VALUE"""),23.56)</f>
        <v>23.56</v>
      </c>
      <c r="Q254" s="320">
        <f>IFERROR(__xludf.DUMMYFUNCTION("""COMPUTED_VALUE"""),23.5)</f>
        <v>23.5</v>
      </c>
      <c r="R254" s="320">
        <f>IFERROR(__xludf.DUMMYFUNCTION("""COMPUTED_VALUE"""),0.07)</f>
        <v>0.07</v>
      </c>
      <c r="S254" s="320">
        <f>IFERROR(__xludf.DUMMYFUNCTION("""COMPUTED_VALUE"""),0.55)</f>
        <v>0.55</v>
      </c>
      <c r="T254" s="320">
        <f>IFERROR(__xludf.DUMMYFUNCTION("""COMPUTED_VALUE"""),23.01)</f>
        <v>23.01</v>
      </c>
      <c r="U254" s="320">
        <f>IFERROR(__xludf.DUMMYFUNCTION("""COMPUTED_VALUE"""),2.1)</f>
        <v>2.1</v>
      </c>
      <c r="V254" s="320">
        <f>IFERROR(__xludf.DUMMYFUNCTION("""COMPUTED_VALUE"""),0.7045)</f>
        <v>0.7045</v>
      </c>
      <c r="W254" s="320">
        <f>IFERROR(__xludf.DUMMYFUNCTION("""COMPUTED_VALUE"""),2.33)</f>
        <v>2.33</v>
      </c>
      <c r="X254" s="320">
        <f>IFERROR(__xludf.DUMMYFUNCTION("""COMPUTED_VALUE"""),152.0)</f>
        <v>152</v>
      </c>
      <c r="Y254" s="320">
        <f>IFERROR(__xludf.DUMMYFUNCTION("""COMPUTED_VALUE"""),1103.0)</f>
        <v>1103</v>
      </c>
      <c r="Z254" s="320">
        <f>IFERROR(__xludf.DUMMYFUNCTION("""COMPUTED_VALUE"""),7032.0)</f>
        <v>7032</v>
      </c>
      <c r="AA254" s="320">
        <f>IFERROR(__xludf.DUMMYFUNCTION("""COMPUTED_VALUE"""),50.1722)</f>
        <v>50.1722</v>
      </c>
      <c r="AB254" s="320">
        <f>IFERROR(__xludf.DUMMYFUNCTION("""COMPUTED_VALUE"""),0.5157)</f>
        <v>0.5157</v>
      </c>
      <c r="AC254" s="106"/>
      <c r="AD254" s="106"/>
      <c r="AE254" s="106"/>
      <c r="AF254" s="106"/>
      <c r="AG254" s="106"/>
      <c r="AH254" s="320">
        <f>IFERROR(__xludf.DUMMYFUNCTION("""COMPUTED_VALUE"""),0.0)</f>
        <v>0</v>
      </c>
      <c r="AI254" s="320">
        <f>IFERROR(__xludf.DUMMYFUNCTION("""COMPUTED_VALUE"""),0.0)</f>
        <v>0</v>
      </c>
      <c r="AJ254" s="320">
        <f>IFERROR(__xludf.DUMMYFUNCTION("""COMPUTED_VALUE"""),0.0)</f>
        <v>0</v>
      </c>
      <c r="AK254" s="320">
        <f>IFERROR(__xludf.DUMMYFUNCTION("""COMPUTED_VALUE"""),0.2656)</f>
        <v>0.2656</v>
      </c>
      <c r="AL254" s="320">
        <f>IFERROR(__xludf.DUMMYFUNCTION("""COMPUTED_VALUE"""),15.65)</f>
        <v>15.65</v>
      </c>
      <c r="AM254" s="320">
        <f>IFERROR(__xludf.DUMMYFUNCTION("""COMPUTED_VALUE"""),7.85)</f>
        <v>7.85</v>
      </c>
      <c r="AN254" s="331"/>
      <c r="AO254" s="331"/>
    </row>
    <row r="255" ht="15.75" customHeight="1">
      <c r="A255" s="330">
        <f>IFERROR(__xludf.DUMMYFUNCTION("""COMPUTED_VALUE"""),46092.0)</f>
        <v>46092</v>
      </c>
      <c r="B255" s="319" t="str">
        <f>IFERROR(__xludf.DUMMYFUNCTION("""COMPUTED_VALUE"""),"B. 1-9")</f>
        <v>B. 1-9</v>
      </c>
      <c r="C255" s="320">
        <f>IFERROR(__xludf.DUMMYFUNCTION("""COMPUTED_VALUE"""),32955.0)</f>
        <v>32955</v>
      </c>
      <c r="D255" s="320">
        <f>IFERROR(__xludf.DUMMYFUNCTION("""COMPUTED_VALUE"""),41.74)</f>
        <v>41.74</v>
      </c>
      <c r="E255" s="320">
        <f>IFERROR(__xludf.DUMMYFUNCTION("""COMPUTED_VALUE"""),7607.3)</f>
        <v>7607.3</v>
      </c>
      <c r="F255" s="320">
        <f>IFERROR(__xludf.DUMMYFUNCTION("""COMPUTED_VALUE"""),0.2308)</f>
        <v>0.2308</v>
      </c>
      <c r="G255" s="320">
        <f>IFERROR(__xludf.DUMMYFUNCTION("""COMPUTED_VALUE"""),6.59)</f>
        <v>6.59</v>
      </c>
      <c r="H255" s="320">
        <f>IFERROR(__xludf.DUMMYFUNCTION("""COMPUTED_VALUE"""),3.5008)</f>
        <v>3.5008</v>
      </c>
      <c r="I255" s="320">
        <f>IFERROR(__xludf.DUMMYFUNCTION("""COMPUTED_VALUE"""),32.15)</f>
        <v>32.15</v>
      </c>
      <c r="J255" s="320">
        <f>IFERROR(__xludf.DUMMYFUNCTION("""COMPUTED_VALUE"""),17.28)</f>
        <v>17.28</v>
      </c>
      <c r="K255" s="320">
        <f>IFERROR(__xludf.DUMMYFUNCTION("""COMPUTED_VALUE"""),5.06)</f>
        <v>5.06</v>
      </c>
      <c r="L255" s="320">
        <f>IFERROR(__xludf.DUMMYFUNCTION("""COMPUTED_VALUE"""),0.293)</f>
        <v>0.293</v>
      </c>
      <c r="M255" s="320">
        <f>IFERROR(__xludf.DUMMYFUNCTION("""COMPUTED_VALUE"""),0.7736)</f>
        <v>0.7736</v>
      </c>
      <c r="N255" s="320">
        <f>IFERROR(__xludf.DUMMYFUNCTION("""COMPUTED_VALUE"""),0.5309)</f>
        <v>0.5309</v>
      </c>
      <c r="O255" s="320">
        <f>IFERROR(__xludf.DUMMYFUNCTION("""COMPUTED_VALUE"""),3.4132)</f>
        <v>3.4132</v>
      </c>
      <c r="P255" s="320">
        <f>IFERROR(__xludf.DUMMYFUNCTION("""COMPUTED_VALUE"""),62.76)</f>
        <v>62.76</v>
      </c>
      <c r="Q255" s="320">
        <f>IFERROR(__xludf.DUMMYFUNCTION("""COMPUTED_VALUE"""),52.09)</f>
        <v>52.09</v>
      </c>
      <c r="R255" s="320">
        <f>IFERROR(__xludf.DUMMYFUNCTION("""COMPUTED_VALUE"""),10.67)</f>
        <v>10.67</v>
      </c>
      <c r="S255" s="320">
        <f>IFERROR(__xludf.DUMMYFUNCTION("""COMPUTED_VALUE"""),15.56)</f>
        <v>15.56</v>
      </c>
      <c r="T255" s="320">
        <f>IFERROR(__xludf.DUMMYFUNCTION("""COMPUTED_VALUE"""),47.2)</f>
        <v>47.2</v>
      </c>
      <c r="U255" s="320">
        <f>IFERROR(__xludf.DUMMYFUNCTION("""COMPUTED_VALUE"""),69.58)</f>
        <v>69.58</v>
      </c>
      <c r="V255" s="320">
        <f>IFERROR(__xludf.DUMMYFUNCTION("""COMPUTED_VALUE"""),4.0258)</f>
        <v>4.0258</v>
      </c>
      <c r="W255" s="320">
        <f>IFERROR(__xludf.DUMMYFUNCTION("""COMPUTED_VALUE"""),24.79)</f>
        <v>24.79</v>
      </c>
      <c r="X255" s="320">
        <f>IFERROR(__xludf.DUMMYFUNCTION("""COMPUTED_VALUE"""),87.0)</f>
        <v>87</v>
      </c>
      <c r="Y255" s="320">
        <f>IFERROR(__xludf.DUMMYFUNCTION("""COMPUTED_VALUE"""),207.0)</f>
        <v>207</v>
      </c>
      <c r="Z255" s="320">
        <f>IFERROR(__xludf.DUMMYFUNCTION("""COMPUTED_VALUE"""),873.0)</f>
        <v>873</v>
      </c>
      <c r="AA255" s="320">
        <f>IFERROR(__xludf.DUMMYFUNCTION("""COMPUTED_VALUE"""),49.8455)</f>
        <v>49.8455</v>
      </c>
      <c r="AB255" s="320">
        <f>IFERROR(__xludf.DUMMYFUNCTION("""COMPUTED_VALUE"""),0.4445)</f>
        <v>0.4445</v>
      </c>
      <c r="AC255" s="320">
        <f>IFERROR(__xludf.DUMMYFUNCTION("""COMPUTED_VALUE"""),3.38)</f>
        <v>3.38</v>
      </c>
      <c r="AD255" s="320">
        <f>IFERROR(__xludf.DUMMYFUNCTION("""COMPUTED_VALUE"""),1.0)</f>
        <v>1</v>
      </c>
      <c r="AE255" s="320">
        <f>IFERROR(__xludf.DUMMYFUNCTION("""COMPUTED_VALUE"""),2.0)</f>
        <v>2</v>
      </c>
      <c r="AF255" s="320">
        <f>IFERROR(__xludf.DUMMYFUNCTION("""COMPUTED_VALUE"""),4.0)</f>
        <v>4</v>
      </c>
      <c r="AG255" s="320">
        <f>IFERROR(__xludf.DUMMYFUNCTION("""COMPUTED_VALUE"""),8.0)</f>
        <v>8</v>
      </c>
      <c r="AH255" s="320">
        <f>IFERROR(__xludf.DUMMYFUNCTION("""COMPUTED_VALUE"""),65.28)</f>
        <v>65.28</v>
      </c>
      <c r="AI255" s="320">
        <f>IFERROR(__xludf.DUMMYFUNCTION("""COMPUTED_VALUE"""),23.33)</f>
        <v>23.33</v>
      </c>
      <c r="AJ255" s="320">
        <f>IFERROR(__xludf.DUMMYFUNCTION("""COMPUTED_VALUE"""),6.03)</f>
        <v>6.03</v>
      </c>
      <c r="AK255" s="320">
        <f>IFERROR(__xludf.DUMMYFUNCTION("""COMPUTED_VALUE"""),0.212)</f>
        <v>0.212</v>
      </c>
      <c r="AL255" s="320">
        <f>IFERROR(__xludf.DUMMYFUNCTION("""COMPUTED_VALUE"""),19.52)</f>
        <v>19.52</v>
      </c>
      <c r="AM255" s="320">
        <f>IFERROR(__xludf.DUMMYFUNCTION("""COMPUTED_VALUE"""),32.57)</f>
        <v>32.57</v>
      </c>
      <c r="AN255" s="320">
        <f>IFERROR(__xludf.DUMMYFUNCTION("""COMPUTED_VALUE"""),69.06)</f>
        <v>69.06</v>
      </c>
      <c r="AO255" s="320">
        <f>IFERROR(__xludf.DUMMYFUNCTION("""COMPUTED_VALUE"""),13.48)</f>
        <v>13.48</v>
      </c>
    </row>
    <row r="256" ht="15.75" customHeight="1">
      <c r="A256" s="330">
        <f>IFERROR(__xludf.DUMMYFUNCTION("""COMPUTED_VALUE"""),46092.0)</f>
        <v>46092</v>
      </c>
      <c r="B256" s="319" t="str">
        <f>IFERROR(__xludf.DUMMYFUNCTION("""COMPUTED_VALUE"""),"C. 10-19")</f>
        <v>C. 10-19</v>
      </c>
      <c r="C256" s="320">
        <f>IFERROR(__xludf.DUMMYFUNCTION("""COMPUTED_VALUE"""),16808.0)</f>
        <v>16808</v>
      </c>
      <c r="D256" s="320">
        <f>IFERROR(__xludf.DUMMYFUNCTION("""COMPUTED_VALUE"""),21.29)</f>
        <v>21.29</v>
      </c>
      <c r="E256" s="320">
        <f>IFERROR(__xludf.DUMMYFUNCTION("""COMPUTED_VALUE"""),17456.24)</f>
        <v>17456.24</v>
      </c>
      <c r="F256" s="320">
        <f>IFERROR(__xludf.DUMMYFUNCTION("""COMPUTED_VALUE"""),1.0386)</f>
        <v>1.0386</v>
      </c>
      <c r="G256" s="320">
        <f>IFERROR(__xludf.DUMMYFUNCTION("""COMPUTED_VALUE"""),21.14)</f>
        <v>21.14</v>
      </c>
      <c r="H256" s="320">
        <f>IFERROR(__xludf.DUMMYFUNCTION("""COMPUTED_VALUE"""),4.9131)</f>
        <v>4.9131</v>
      </c>
      <c r="I256" s="320">
        <f>IFERROR(__xludf.DUMMYFUNCTION("""COMPUTED_VALUE"""),58.63)</f>
        <v>58.63</v>
      </c>
      <c r="J256" s="320">
        <f>IFERROR(__xludf.DUMMYFUNCTION("""COMPUTED_VALUE"""),33.66)</f>
        <v>33.66</v>
      </c>
      <c r="K256" s="320">
        <f>IFERROR(__xludf.DUMMYFUNCTION("""COMPUTED_VALUE"""),13.58)</f>
        <v>13.58</v>
      </c>
      <c r="L256" s="320">
        <f>IFERROR(__xludf.DUMMYFUNCTION("""COMPUTED_VALUE"""),0.4034)</f>
        <v>0.4034</v>
      </c>
      <c r="M256" s="320">
        <f>IFERROR(__xludf.DUMMYFUNCTION("""COMPUTED_VALUE"""),0.6567)</f>
        <v>0.6567</v>
      </c>
      <c r="N256" s="320">
        <f>IFERROR(__xludf.DUMMYFUNCTION("""COMPUTED_VALUE"""),0.3727)</f>
        <v>0.3727</v>
      </c>
      <c r="O256" s="320">
        <f>IFERROR(__xludf.DUMMYFUNCTION("""COMPUTED_VALUE"""),2.4788)</f>
        <v>2.4788</v>
      </c>
      <c r="P256" s="320">
        <f>IFERROR(__xludf.DUMMYFUNCTION("""COMPUTED_VALUE"""),147.36)</f>
        <v>147.36</v>
      </c>
      <c r="Q256" s="320">
        <f>IFERROR(__xludf.DUMMYFUNCTION("""COMPUTED_VALUE"""),120.45)</f>
        <v>120.45</v>
      </c>
      <c r="R256" s="320">
        <f>IFERROR(__xludf.DUMMYFUNCTION("""COMPUTED_VALUE"""),26.91)</f>
        <v>26.91</v>
      </c>
      <c r="S256" s="320">
        <f>IFERROR(__xludf.DUMMYFUNCTION("""COMPUTED_VALUE"""),68.43)</f>
        <v>68.43</v>
      </c>
      <c r="T256" s="320">
        <f>IFERROR(__xludf.DUMMYFUNCTION("""COMPUTED_VALUE"""),78.92)</f>
        <v>78.92</v>
      </c>
      <c r="U256" s="320">
        <f>IFERROR(__xludf.DUMMYFUNCTION("""COMPUTED_VALUE"""),163.68)</f>
        <v>163.68</v>
      </c>
      <c r="V256" s="320">
        <f>IFERROR(__xludf.DUMMYFUNCTION("""COMPUTED_VALUE"""),4.8628)</f>
        <v>4.8628</v>
      </c>
      <c r="W256" s="320">
        <f>IFERROR(__xludf.DUMMYFUNCTION("""COMPUTED_VALUE"""),46.44)</f>
        <v>46.44</v>
      </c>
      <c r="X256" s="320">
        <f>IFERROR(__xludf.DUMMYFUNCTION("""COMPUTED_VALUE"""),80.0)</f>
        <v>80</v>
      </c>
      <c r="Y256" s="320">
        <f>IFERROR(__xludf.DUMMYFUNCTION("""COMPUTED_VALUE"""),170.0)</f>
        <v>170</v>
      </c>
      <c r="Z256" s="320">
        <f>IFERROR(__xludf.DUMMYFUNCTION("""COMPUTED_VALUE"""),605.0)</f>
        <v>605</v>
      </c>
      <c r="AA256" s="320">
        <f>IFERROR(__xludf.DUMMYFUNCTION("""COMPUTED_VALUE"""),52.4754)</f>
        <v>52.4754</v>
      </c>
      <c r="AB256" s="320">
        <f>IFERROR(__xludf.DUMMYFUNCTION("""COMPUTED_VALUE"""),0.5225)</f>
        <v>0.5225</v>
      </c>
      <c r="AC256" s="320">
        <f>IFERROR(__xludf.DUMMYFUNCTION("""COMPUTED_VALUE"""),8.14)</f>
        <v>8.14</v>
      </c>
      <c r="AD256" s="320">
        <f>IFERROR(__xludf.DUMMYFUNCTION("""COMPUTED_VALUE"""),2.0)</f>
        <v>2</v>
      </c>
      <c r="AE256" s="320">
        <f>IFERROR(__xludf.DUMMYFUNCTION("""COMPUTED_VALUE"""),6.0)</f>
        <v>6</v>
      </c>
      <c r="AF256" s="320">
        <f>IFERROR(__xludf.DUMMYFUNCTION("""COMPUTED_VALUE"""),11.0)</f>
        <v>11</v>
      </c>
      <c r="AG256" s="320">
        <f>IFERROR(__xludf.DUMMYFUNCTION("""COMPUTED_VALUE"""),18.0)</f>
        <v>18</v>
      </c>
      <c r="AH256" s="320">
        <f>IFERROR(__xludf.DUMMYFUNCTION("""COMPUTED_VALUE"""),50.29)</f>
        <v>50.29</v>
      </c>
      <c r="AI256" s="320">
        <f>IFERROR(__xludf.DUMMYFUNCTION("""COMPUTED_VALUE"""),21.54)</f>
        <v>21.54</v>
      </c>
      <c r="AJ256" s="320">
        <f>IFERROR(__xludf.DUMMYFUNCTION("""COMPUTED_VALUE"""),3.74)</f>
        <v>3.74</v>
      </c>
      <c r="AK256" s="320">
        <f>IFERROR(__xludf.DUMMYFUNCTION("""COMPUTED_VALUE"""),0.1896)</f>
        <v>0.1896</v>
      </c>
      <c r="AL256" s="320">
        <f>IFERROR(__xludf.DUMMYFUNCTION("""COMPUTED_VALUE"""),19.44)</f>
        <v>19.44</v>
      </c>
      <c r="AM256" s="320">
        <f>IFERROR(__xludf.DUMMYFUNCTION("""COMPUTED_VALUE"""),101.01)</f>
        <v>101.01</v>
      </c>
      <c r="AN256" s="320">
        <f>IFERROR(__xludf.DUMMYFUNCTION("""COMPUTED_VALUE"""),72.12)</f>
        <v>72.12</v>
      </c>
      <c r="AO256" s="320">
        <f>IFERROR(__xludf.DUMMYFUNCTION("""COMPUTED_VALUE"""),14.02)</f>
        <v>14.02</v>
      </c>
    </row>
    <row r="257" ht="15.75" customHeight="1">
      <c r="A257" s="330">
        <f>IFERROR(__xludf.DUMMYFUNCTION("""COMPUTED_VALUE"""),46092.0)</f>
        <v>46092</v>
      </c>
      <c r="B257" s="319" t="str">
        <f>IFERROR(__xludf.DUMMYFUNCTION("""COMPUTED_VALUE"""),"D. 20-39")</f>
        <v>D. 20-39</v>
      </c>
      <c r="C257" s="320">
        <f>IFERROR(__xludf.DUMMYFUNCTION("""COMPUTED_VALUE"""),8639.0)</f>
        <v>8639</v>
      </c>
      <c r="D257" s="320">
        <f>IFERROR(__xludf.DUMMYFUNCTION("""COMPUTED_VALUE"""),10.94)</f>
        <v>10.94</v>
      </c>
      <c r="E257" s="320">
        <f>IFERROR(__xludf.DUMMYFUNCTION("""COMPUTED_VALUE"""),22341.47)</f>
        <v>22341.47</v>
      </c>
      <c r="F257" s="320">
        <f>IFERROR(__xludf.DUMMYFUNCTION("""COMPUTED_VALUE"""),2.5861)</f>
        <v>2.5861</v>
      </c>
      <c r="G257" s="320">
        <f>IFERROR(__xludf.DUMMYFUNCTION("""COMPUTED_VALUE"""),33.44)</f>
        <v>33.44</v>
      </c>
      <c r="H257" s="320">
        <f>IFERROR(__xludf.DUMMYFUNCTION("""COMPUTED_VALUE"""),7.7333)</f>
        <v>7.7333</v>
      </c>
      <c r="I257" s="320">
        <f>IFERROR(__xludf.DUMMYFUNCTION("""COMPUTED_VALUE"""),82.57)</f>
        <v>82.57</v>
      </c>
      <c r="J257" s="320">
        <f>IFERROR(__xludf.DUMMYFUNCTION("""COMPUTED_VALUE"""),49.23)</f>
        <v>49.23</v>
      </c>
      <c r="K257" s="320">
        <f>IFERROR(__xludf.DUMMYFUNCTION("""COMPUTED_VALUE"""),25.64)</f>
        <v>25.64</v>
      </c>
      <c r="L257" s="320">
        <f>IFERROR(__xludf.DUMMYFUNCTION("""COMPUTED_VALUE"""),0.5208)</f>
        <v>0.5208</v>
      </c>
      <c r="M257" s="320">
        <f>IFERROR(__xludf.DUMMYFUNCTION("""COMPUTED_VALUE"""),0.549)</f>
        <v>0.549</v>
      </c>
      <c r="N257" s="320">
        <f>IFERROR(__xludf.DUMMYFUNCTION("""COMPUTED_VALUE"""),0.302)</f>
        <v>0.302</v>
      </c>
      <c r="O257" s="320">
        <f>IFERROR(__xludf.DUMMYFUNCTION("""COMPUTED_VALUE"""),1.9201)</f>
        <v>1.9201</v>
      </c>
      <c r="P257" s="320">
        <f>IFERROR(__xludf.DUMMYFUNCTION("""COMPUTED_VALUE"""),294.73)</f>
        <v>294.73</v>
      </c>
      <c r="Q257" s="320">
        <f>IFERROR(__xludf.DUMMYFUNCTION("""COMPUTED_VALUE"""),241.61)</f>
        <v>241.61</v>
      </c>
      <c r="R257" s="320">
        <f>IFERROR(__xludf.DUMMYFUNCTION("""COMPUTED_VALUE"""),53.11)</f>
        <v>53.11</v>
      </c>
      <c r="S257" s="320">
        <f>IFERROR(__xludf.DUMMYFUNCTION("""COMPUTED_VALUE"""),167.33)</f>
        <v>167.33</v>
      </c>
      <c r="T257" s="320">
        <f>IFERROR(__xludf.DUMMYFUNCTION("""COMPUTED_VALUE"""),127.4)</f>
        <v>127.4</v>
      </c>
      <c r="U257" s="320">
        <f>IFERROR(__xludf.DUMMYFUNCTION("""COMPUTED_VALUE"""),320.38)</f>
        <v>320.38</v>
      </c>
      <c r="V257" s="320">
        <f>IFERROR(__xludf.DUMMYFUNCTION("""COMPUTED_VALUE"""),6.5081)</f>
        <v>6.5081</v>
      </c>
      <c r="W257" s="320">
        <f>IFERROR(__xludf.DUMMYFUNCTION("""COMPUTED_VALUE"""),56.77)</f>
        <v>56.77</v>
      </c>
      <c r="X257" s="320">
        <f>IFERROR(__xludf.DUMMYFUNCTION("""COMPUTED_VALUE"""),83.0)</f>
        <v>83</v>
      </c>
      <c r="Y257" s="320">
        <f>IFERROR(__xludf.DUMMYFUNCTION("""COMPUTED_VALUE"""),189.0)</f>
        <v>189</v>
      </c>
      <c r="Z257" s="320">
        <f>IFERROR(__xludf.DUMMYFUNCTION("""COMPUTED_VALUE"""),634.0)</f>
        <v>634</v>
      </c>
      <c r="AA257" s="320">
        <f>IFERROR(__xludf.DUMMYFUNCTION("""COMPUTED_VALUE"""),54.7367)</f>
        <v>54.7367</v>
      </c>
      <c r="AB257" s="320">
        <f>IFERROR(__xludf.DUMMYFUNCTION("""COMPUTED_VALUE"""),0.6475)</f>
        <v>0.6475</v>
      </c>
      <c r="AC257" s="320">
        <f>IFERROR(__xludf.DUMMYFUNCTION("""COMPUTED_VALUE"""),16.5)</f>
        <v>16.5</v>
      </c>
      <c r="AD257" s="320">
        <f>IFERROR(__xludf.DUMMYFUNCTION("""COMPUTED_VALUE"""),5.0)</f>
        <v>5</v>
      </c>
      <c r="AE257" s="320">
        <f>IFERROR(__xludf.DUMMYFUNCTION("""COMPUTED_VALUE"""),12.0)</f>
        <v>12</v>
      </c>
      <c r="AF257" s="320">
        <f>IFERROR(__xludf.DUMMYFUNCTION("""COMPUTED_VALUE"""),23.0)</f>
        <v>23</v>
      </c>
      <c r="AG257" s="320">
        <f>IFERROR(__xludf.DUMMYFUNCTION("""COMPUTED_VALUE"""),36.0)</f>
        <v>36</v>
      </c>
      <c r="AH257" s="320">
        <f>IFERROR(__xludf.DUMMYFUNCTION("""COMPUTED_VALUE"""),52.66)</f>
        <v>52.66</v>
      </c>
      <c r="AI257" s="320">
        <f>IFERROR(__xludf.DUMMYFUNCTION("""COMPUTED_VALUE"""),22.05)</f>
        <v>22.05</v>
      </c>
      <c r="AJ257" s="320">
        <f>IFERROR(__xludf.DUMMYFUNCTION("""COMPUTED_VALUE"""),6.7)</f>
        <v>6.7</v>
      </c>
      <c r="AK257" s="320">
        <f>IFERROR(__xludf.DUMMYFUNCTION("""COMPUTED_VALUE"""),0.1946)</f>
        <v>0.1946</v>
      </c>
      <c r="AL257" s="320">
        <f>IFERROR(__xludf.DUMMYFUNCTION("""COMPUTED_VALUE"""),19.26)</f>
        <v>19.26</v>
      </c>
      <c r="AM257" s="320">
        <f>IFERROR(__xludf.DUMMYFUNCTION("""COMPUTED_VALUE"""),222.35)</f>
        <v>222.35</v>
      </c>
      <c r="AN257" s="320">
        <f>IFERROR(__xludf.DUMMYFUNCTION("""COMPUTED_VALUE"""),74.74)</f>
        <v>74.74</v>
      </c>
      <c r="AO257" s="320">
        <f>IFERROR(__xludf.DUMMYFUNCTION("""COMPUTED_VALUE"""),14.39)</f>
        <v>14.39</v>
      </c>
    </row>
    <row r="258" ht="15.75" customHeight="1">
      <c r="A258" s="330">
        <f>IFERROR(__xludf.DUMMYFUNCTION("""COMPUTED_VALUE"""),46092.0)</f>
        <v>46092</v>
      </c>
      <c r="B258" s="319" t="str">
        <f>IFERROR(__xludf.DUMMYFUNCTION("""COMPUTED_VALUE"""),"E. 40-99")</f>
        <v>E. 40-99</v>
      </c>
      <c r="C258" s="320">
        <f>IFERROR(__xludf.DUMMYFUNCTION("""COMPUTED_VALUE"""),3584.0)</f>
        <v>3584</v>
      </c>
      <c r="D258" s="320">
        <f>IFERROR(__xludf.DUMMYFUNCTION("""COMPUTED_VALUE"""),4.54)</f>
        <v>4.54</v>
      </c>
      <c r="E258" s="320">
        <f>IFERROR(__xludf.DUMMYFUNCTION("""COMPUTED_VALUE"""),22849.78)</f>
        <v>22849.78</v>
      </c>
      <c r="F258" s="320">
        <f>IFERROR(__xludf.DUMMYFUNCTION("""COMPUTED_VALUE"""),6.3755)</f>
        <v>6.3755</v>
      </c>
      <c r="G258" s="320">
        <f>IFERROR(__xludf.DUMMYFUNCTION("""COMPUTED_VALUE"""),45.73)</f>
        <v>45.73</v>
      </c>
      <c r="H258" s="320">
        <f>IFERROR(__xludf.DUMMYFUNCTION("""COMPUTED_VALUE"""),13.9413)</f>
        <v>13.9413</v>
      </c>
      <c r="I258" s="320">
        <f>IFERROR(__xludf.DUMMYFUNCTION("""COMPUTED_VALUE"""),130.34)</f>
        <v>130.34</v>
      </c>
      <c r="J258" s="320">
        <f>IFERROR(__xludf.DUMMYFUNCTION("""COMPUTED_VALUE"""),80.22)</f>
        <v>80.22</v>
      </c>
      <c r="K258" s="320">
        <f>IFERROR(__xludf.DUMMYFUNCTION("""COMPUTED_VALUE"""),52.22)</f>
        <v>52.22</v>
      </c>
      <c r="L258" s="320">
        <f>IFERROR(__xludf.DUMMYFUNCTION("""COMPUTED_VALUE"""),0.6509)</f>
        <v>0.6509</v>
      </c>
      <c r="M258" s="320">
        <f>IFERROR(__xludf.DUMMYFUNCTION("""COMPUTED_VALUE"""),0.4325)</f>
        <v>0.4325</v>
      </c>
      <c r="N258" s="320">
        <f>IFERROR(__xludf.DUMMYFUNCTION("""COMPUTED_VALUE"""),0.2411)</f>
        <v>0.2411</v>
      </c>
      <c r="O258" s="320">
        <f>IFERROR(__xludf.DUMMYFUNCTION("""COMPUTED_VALUE"""),1.5362)</f>
        <v>1.5362</v>
      </c>
      <c r="P258" s="320">
        <f>IFERROR(__xludf.DUMMYFUNCTION("""COMPUTED_VALUE"""),623.47)</f>
        <v>623.47</v>
      </c>
      <c r="Q258" s="320">
        <f>IFERROR(__xludf.DUMMYFUNCTION("""COMPUTED_VALUE"""),513.8)</f>
        <v>513.8</v>
      </c>
      <c r="R258" s="320">
        <f>IFERROR(__xludf.DUMMYFUNCTION("""COMPUTED_VALUE"""),109.67)</f>
        <v>109.67</v>
      </c>
      <c r="S258" s="320">
        <f>IFERROR(__xludf.DUMMYFUNCTION("""COMPUTED_VALUE"""),405.0)</f>
        <v>405</v>
      </c>
      <c r="T258" s="320">
        <f>IFERROR(__xludf.DUMMYFUNCTION("""COMPUTED_VALUE"""),218.47)</f>
        <v>218.47</v>
      </c>
      <c r="U258" s="320">
        <f>IFERROR(__xludf.DUMMYFUNCTION("""COMPUTED_VALUE"""),658.45)</f>
        <v>658.45</v>
      </c>
      <c r="V258" s="320">
        <f>IFERROR(__xludf.DUMMYFUNCTION("""COMPUTED_VALUE"""),8.208)</f>
        <v>8.208</v>
      </c>
      <c r="W258" s="320">
        <f>IFERROR(__xludf.DUMMYFUNCTION("""COMPUTED_VALUE"""),64.96)</f>
        <v>64.96</v>
      </c>
      <c r="X258" s="320">
        <f>IFERROR(__xludf.DUMMYFUNCTION("""COMPUTED_VALUE"""),89.0)</f>
        <v>89</v>
      </c>
      <c r="Y258" s="320">
        <f>IFERROR(__xludf.DUMMYFUNCTION("""COMPUTED_VALUE"""),276.0)</f>
        <v>276</v>
      </c>
      <c r="Z258" s="320">
        <f>IFERROR(__xludf.DUMMYFUNCTION("""COMPUTED_VALUE"""),940.0)</f>
        <v>940</v>
      </c>
      <c r="AA258" s="320">
        <f>IFERROR(__xludf.DUMMYFUNCTION("""COMPUTED_VALUE"""),57.6061)</f>
        <v>57.6061</v>
      </c>
      <c r="AB258" s="320">
        <f>IFERROR(__xludf.DUMMYFUNCTION("""COMPUTED_VALUE"""),0.7477)</f>
        <v>0.7477</v>
      </c>
      <c r="AC258" s="320">
        <f>IFERROR(__xludf.DUMMYFUNCTION("""COMPUTED_VALUE"""),34.37)</f>
        <v>34.37</v>
      </c>
      <c r="AD258" s="320">
        <f>IFERROR(__xludf.DUMMYFUNCTION("""COMPUTED_VALUE"""),10.0)</f>
        <v>10</v>
      </c>
      <c r="AE258" s="320">
        <f>IFERROR(__xludf.DUMMYFUNCTION("""COMPUTED_VALUE"""),24.0)</f>
        <v>24</v>
      </c>
      <c r="AF258" s="320">
        <f>IFERROR(__xludf.DUMMYFUNCTION("""COMPUTED_VALUE"""),49.0)</f>
        <v>49</v>
      </c>
      <c r="AG258" s="320">
        <f>IFERROR(__xludf.DUMMYFUNCTION("""COMPUTED_VALUE"""),79.0)</f>
        <v>79</v>
      </c>
      <c r="AH258" s="320">
        <f>IFERROR(__xludf.DUMMYFUNCTION("""COMPUTED_VALUE"""),45.31)</f>
        <v>45.31</v>
      </c>
      <c r="AI258" s="320">
        <f>IFERROR(__xludf.DUMMYFUNCTION("""COMPUTED_VALUE"""),18.3)</f>
        <v>18.3</v>
      </c>
      <c r="AJ258" s="320">
        <f>IFERROR(__xludf.DUMMYFUNCTION("""COMPUTED_VALUE"""),5.3)</f>
        <v>5.3</v>
      </c>
      <c r="AK258" s="320">
        <f>IFERROR(__xludf.DUMMYFUNCTION("""COMPUTED_VALUE"""),0.1473)</f>
        <v>0.1473</v>
      </c>
      <c r="AL258" s="320">
        <f>IFERROR(__xludf.DUMMYFUNCTION("""COMPUTED_VALUE"""),20.18)</f>
        <v>20.18</v>
      </c>
      <c r="AM258" s="320">
        <f>IFERROR(__xludf.DUMMYFUNCTION("""COMPUTED_VALUE"""),493.62)</f>
        <v>493.62</v>
      </c>
      <c r="AN258" s="320">
        <f>IFERROR(__xludf.DUMMYFUNCTION("""COMPUTED_VALUE"""),76.76)</f>
        <v>76.76</v>
      </c>
      <c r="AO258" s="320">
        <f>IFERROR(__xludf.DUMMYFUNCTION("""COMPUTED_VALUE"""),15.49)</f>
        <v>15.49</v>
      </c>
    </row>
    <row r="259" ht="15.75" customHeight="1">
      <c r="A259" s="330">
        <f>IFERROR(__xludf.DUMMYFUNCTION("""COMPUTED_VALUE"""),46092.0)</f>
        <v>46092</v>
      </c>
      <c r="B259" s="319" t="str">
        <f>IFERROR(__xludf.DUMMYFUNCTION("""COMPUTED_VALUE"""),"F. 100+")</f>
        <v>F. 100+</v>
      </c>
      <c r="C259" s="320">
        <f>IFERROR(__xludf.DUMMYFUNCTION("""COMPUTED_VALUE"""),390.0)</f>
        <v>390</v>
      </c>
      <c r="D259" s="320">
        <f>IFERROR(__xludf.DUMMYFUNCTION("""COMPUTED_VALUE"""),0.49)</f>
        <v>0.49</v>
      </c>
      <c r="E259" s="320">
        <f>IFERROR(__xludf.DUMMYFUNCTION("""COMPUTED_VALUE"""),4733.27)</f>
        <v>4733.27</v>
      </c>
      <c r="F259" s="320">
        <f>IFERROR(__xludf.DUMMYFUNCTION("""COMPUTED_VALUE"""),12.1366)</f>
        <v>12.1366</v>
      </c>
      <c r="G259" s="320">
        <f>IFERROR(__xludf.DUMMYFUNCTION("""COMPUTED_VALUE"""),51.54)</f>
        <v>51.54</v>
      </c>
      <c r="H259" s="320">
        <f>IFERROR(__xludf.DUMMYFUNCTION("""COMPUTED_VALUE"""),23.5486)</f>
        <v>23.5486</v>
      </c>
      <c r="I259" s="320">
        <f>IFERROR(__xludf.DUMMYFUNCTION("""COMPUTED_VALUE"""),255.21)</f>
        <v>255.21</v>
      </c>
      <c r="J259" s="320">
        <f>IFERROR(__xludf.DUMMYFUNCTION("""COMPUTED_VALUE"""),165.15)</f>
        <v>165.15</v>
      </c>
      <c r="K259" s="320">
        <f>IFERROR(__xludf.DUMMYFUNCTION("""COMPUTED_VALUE"""),129.74)</f>
        <v>129.74</v>
      </c>
      <c r="L259" s="320">
        <f>IFERROR(__xludf.DUMMYFUNCTION("""COMPUTED_VALUE"""),0.7856)</f>
        <v>0.7856</v>
      </c>
      <c r="M259" s="320">
        <f>IFERROR(__xludf.DUMMYFUNCTION("""COMPUTED_VALUE"""),0.3027)</f>
        <v>0.3027</v>
      </c>
      <c r="N259" s="320">
        <f>IFERROR(__xludf.DUMMYFUNCTION("""COMPUTED_VALUE"""),0.1795)</f>
        <v>0.1795</v>
      </c>
      <c r="O259" s="320">
        <f>IFERROR(__xludf.DUMMYFUNCTION("""COMPUTED_VALUE"""),1.273)</f>
        <v>1.273</v>
      </c>
      <c r="P259" s="320">
        <f>IFERROR(__xludf.DUMMYFUNCTION("""COMPUTED_VALUE"""),1219.35)</f>
        <v>1219.35</v>
      </c>
      <c r="Q259" s="320">
        <f>IFERROR(__xludf.DUMMYFUNCTION("""COMPUTED_VALUE"""),944.97)</f>
        <v>944.97</v>
      </c>
      <c r="R259" s="320">
        <f>IFERROR(__xludf.DUMMYFUNCTION("""COMPUTED_VALUE"""),274.38)</f>
        <v>274.38</v>
      </c>
      <c r="S259" s="320">
        <f>IFERROR(__xludf.DUMMYFUNCTION("""COMPUTED_VALUE"""),755.04)</f>
        <v>755.04</v>
      </c>
      <c r="T259" s="320">
        <f>IFERROR(__xludf.DUMMYFUNCTION("""COMPUTED_VALUE"""),464.31)</f>
        <v>464.31</v>
      </c>
      <c r="U259" s="320">
        <f>IFERROR(__xludf.DUMMYFUNCTION("""COMPUTED_VALUE"""),1330.77)</f>
        <v>1330.77</v>
      </c>
      <c r="V259" s="320">
        <f>IFERROR(__xludf.DUMMYFUNCTION("""COMPUTED_VALUE"""),8.0578)</f>
        <v>8.0578</v>
      </c>
      <c r="W259" s="320">
        <f>IFERROR(__xludf.DUMMYFUNCTION("""COMPUTED_VALUE"""),61.92)</f>
        <v>61.92</v>
      </c>
      <c r="X259" s="320">
        <f>IFERROR(__xludf.DUMMYFUNCTION("""COMPUTED_VALUE"""),113.0)</f>
        <v>113</v>
      </c>
      <c r="Y259" s="320">
        <f>IFERROR(__xludf.DUMMYFUNCTION("""COMPUTED_VALUE"""),480.0)</f>
        <v>480</v>
      </c>
      <c r="Z259" s="320">
        <f>IFERROR(__xludf.DUMMYFUNCTION("""COMPUTED_VALUE"""),1524.0)</f>
        <v>1524</v>
      </c>
      <c r="AA259" s="320">
        <f>IFERROR(__xludf.DUMMYFUNCTION("""COMPUTED_VALUE"""),61.8575)</f>
        <v>61.8575</v>
      </c>
      <c r="AB259" s="320">
        <f>IFERROR(__xludf.DUMMYFUNCTION("""COMPUTED_VALUE"""),0.8552)</f>
        <v>0.8552</v>
      </c>
      <c r="AC259" s="320">
        <f>IFERROR(__xludf.DUMMYFUNCTION("""COMPUTED_VALUE"""),86.01)</f>
        <v>86.01</v>
      </c>
      <c r="AD259" s="320">
        <f>IFERROR(__xludf.DUMMYFUNCTION("""COMPUTED_VALUE"""),29.0)</f>
        <v>29</v>
      </c>
      <c r="AE259" s="320">
        <f>IFERROR(__xludf.DUMMYFUNCTION("""COMPUTED_VALUE"""),66.0)</f>
        <v>66</v>
      </c>
      <c r="AF259" s="320">
        <f>IFERROR(__xludf.DUMMYFUNCTION("""COMPUTED_VALUE"""),120.0)</f>
        <v>120</v>
      </c>
      <c r="AG259" s="320">
        <f>IFERROR(__xludf.DUMMYFUNCTION("""COMPUTED_VALUE"""),183.0)</f>
        <v>183</v>
      </c>
      <c r="AH259" s="320">
        <f>IFERROR(__xludf.DUMMYFUNCTION("""COMPUTED_VALUE"""),42.82)</f>
        <v>42.82</v>
      </c>
      <c r="AI259" s="320">
        <f>IFERROR(__xludf.DUMMYFUNCTION("""COMPUTED_VALUE"""),10.77)</f>
        <v>10.77</v>
      </c>
      <c r="AJ259" s="320">
        <f>IFERROR(__xludf.DUMMYFUNCTION("""COMPUTED_VALUE"""),3.08)</f>
        <v>3.08</v>
      </c>
      <c r="AK259" s="320">
        <f>IFERROR(__xludf.DUMMYFUNCTION("""COMPUTED_VALUE"""),0.1179)</f>
        <v>0.1179</v>
      </c>
      <c r="AL259" s="320">
        <f>IFERROR(__xludf.DUMMYFUNCTION("""COMPUTED_VALUE"""),21.56)</f>
        <v>21.56</v>
      </c>
      <c r="AM259" s="320">
        <f>IFERROR(__xludf.DUMMYFUNCTION("""COMPUTED_VALUE"""),923.4)</f>
        <v>923.4</v>
      </c>
      <c r="AN259" s="320">
        <f>IFERROR(__xludf.DUMMYFUNCTION("""COMPUTED_VALUE"""),74.51)</f>
        <v>74.51</v>
      </c>
      <c r="AO259" s="320">
        <f>IFERROR(__xludf.DUMMYFUNCTION("""COMPUTED_VALUE"""),16.06)</f>
        <v>16.06</v>
      </c>
    </row>
    <row r="260" ht="15.75" customHeight="1">
      <c r="A260" s="330">
        <f>IFERROR(__xludf.DUMMYFUNCTION("""COMPUTED_VALUE"""),46093.0)</f>
        <v>46093</v>
      </c>
      <c r="B260" s="319" t="str">
        <f>IFERROR(__xludf.DUMMYFUNCTION("""COMPUTED_VALUE"""),"A. 0")</f>
        <v>A. 0</v>
      </c>
      <c r="C260" s="320">
        <f>IFERROR(__xludf.DUMMYFUNCTION("""COMPUTED_VALUE"""),17292.0)</f>
        <v>17292</v>
      </c>
      <c r="D260" s="320">
        <f>IFERROR(__xludf.DUMMYFUNCTION("""COMPUTED_VALUE"""),22.25)</f>
        <v>22.25</v>
      </c>
      <c r="E260" s="320">
        <f>IFERROR(__xludf.DUMMYFUNCTION("""COMPUTED_VALUE"""),132.31)</f>
        <v>132.31</v>
      </c>
      <c r="F260" s="320">
        <f>IFERROR(__xludf.DUMMYFUNCTION("""COMPUTED_VALUE"""),0.0077)</f>
        <v>0.0077</v>
      </c>
      <c r="G260" s="320">
        <f>IFERROR(__xludf.DUMMYFUNCTION("""COMPUTED_VALUE"""),0.16)</f>
        <v>0.16</v>
      </c>
      <c r="H260" s="320">
        <f>IFERROR(__xludf.DUMMYFUNCTION("""COMPUTED_VALUE"""),4.9004)</f>
        <v>4.9004</v>
      </c>
      <c r="I260" s="320">
        <f>IFERROR(__xludf.DUMMYFUNCTION("""COMPUTED_VALUE"""),6.46)</f>
        <v>6.46</v>
      </c>
      <c r="J260" s="320">
        <f>IFERROR(__xludf.DUMMYFUNCTION("""COMPUTED_VALUE"""),2.9)</f>
        <v>2.9</v>
      </c>
      <c r="K260" s="320">
        <f>IFERROR(__xludf.DUMMYFUNCTION("""COMPUTED_VALUE"""),0.04)</f>
        <v>0.04</v>
      </c>
      <c r="L260" s="320">
        <f>IFERROR(__xludf.DUMMYFUNCTION("""COMPUTED_VALUE"""),0.0131)</f>
        <v>0.0131</v>
      </c>
      <c r="M260" s="320">
        <f>IFERROR(__xludf.DUMMYFUNCTION("""COMPUTED_VALUE"""),0.9877)</f>
        <v>0.9877</v>
      </c>
      <c r="N260" s="320">
        <f>IFERROR(__xludf.DUMMYFUNCTION("""COMPUTED_VALUE"""),0.8277)</f>
        <v>0.8277</v>
      </c>
      <c r="O260" s="320">
        <f>IFERROR(__xludf.DUMMYFUNCTION("""COMPUTED_VALUE"""),76.607)</f>
        <v>76.607</v>
      </c>
      <c r="P260" s="320">
        <f>IFERROR(__xludf.DUMMYFUNCTION("""COMPUTED_VALUE"""),23.36)</f>
        <v>23.36</v>
      </c>
      <c r="Q260" s="320">
        <f>IFERROR(__xludf.DUMMYFUNCTION("""COMPUTED_VALUE"""),23.3)</f>
        <v>23.3</v>
      </c>
      <c r="R260" s="320">
        <f>IFERROR(__xludf.DUMMYFUNCTION("""COMPUTED_VALUE"""),0.05)</f>
        <v>0.05</v>
      </c>
      <c r="S260" s="320">
        <f>IFERROR(__xludf.DUMMYFUNCTION("""COMPUTED_VALUE"""),0.53)</f>
        <v>0.53</v>
      </c>
      <c r="T260" s="320">
        <f>IFERROR(__xludf.DUMMYFUNCTION("""COMPUTED_VALUE"""),22.83)</f>
        <v>22.83</v>
      </c>
      <c r="U260" s="320">
        <f>IFERROR(__xludf.DUMMYFUNCTION("""COMPUTED_VALUE"""),1.84)</f>
        <v>1.84</v>
      </c>
      <c r="V260" s="320">
        <f>IFERROR(__xludf.DUMMYFUNCTION("""COMPUTED_VALUE"""),0.6347)</f>
        <v>0.6347</v>
      </c>
      <c r="W260" s="320">
        <f>IFERROR(__xludf.DUMMYFUNCTION("""COMPUTED_VALUE"""),2.26)</f>
        <v>2.26</v>
      </c>
      <c r="X260" s="320">
        <f>IFERROR(__xludf.DUMMYFUNCTION("""COMPUTED_VALUE"""),138.0)</f>
        <v>138</v>
      </c>
      <c r="Y260" s="320">
        <f>IFERROR(__xludf.DUMMYFUNCTION("""COMPUTED_VALUE"""),944.0)</f>
        <v>944</v>
      </c>
      <c r="Z260" s="320">
        <f>IFERROR(__xludf.DUMMYFUNCTION("""COMPUTED_VALUE"""),6673.0)</f>
        <v>6673</v>
      </c>
      <c r="AA260" s="320">
        <f>IFERROR(__xludf.DUMMYFUNCTION("""COMPUTED_VALUE"""),49.8247)</f>
        <v>49.8247</v>
      </c>
      <c r="AB260" s="320">
        <f>IFERROR(__xludf.DUMMYFUNCTION("""COMPUTED_VALUE"""),0.5048)</f>
        <v>0.5048</v>
      </c>
      <c r="AC260" s="106"/>
      <c r="AD260" s="106"/>
      <c r="AE260" s="106"/>
      <c r="AF260" s="106"/>
      <c r="AG260" s="106"/>
      <c r="AH260" s="320">
        <f>IFERROR(__xludf.DUMMYFUNCTION("""COMPUTED_VALUE"""),0.0)</f>
        <v>0</v>
      </c>
      <c r="AI260" s="320">
        <f>IFERROR(__xludf.DUMMYFUNCTION("""COMPUTED_VALUE"""),0.0)</f>
        <v>0</v>
      </c>
      <c r="AJ260" s="320">
        <f>IFERROR(__xludf.DUMMYFUNCTION("""COMPUTED_VALUE"""),0.0)</f>
        <v>0</v>
      </c>
      <c r="AK260" s="320">
        <f>IFERROR(__xludf.DUMMYFUNCTION("""COMPUTED_VALUE"""),0.2739)</f>
        <v>0.2739</v>
      </c>
      <c r="AL260" s="320">
        <f>IFERROR(__xludf.DUMMYFUNCTION("""COMPUTED_VALUE"""),16.04)</f>
        <v>16.04</v>
      </c>
      <c r="AM260" s="320">
        <f>IFERROR(__xludf.DUMMYFUNCTION("""COMPUTED_VALUE"""),7.27)</f>
        <v>7.27</v>
      </c>
      <c r="AN260" s="331"/>
      <c r="AO260" s="331"/>
    </row>
    <row r="261" ht="15.75" customHeight="1">
      <c r="A261" s="330">
        <f>IFERROR(__xludf.DUMMYFUNCTION("""COMPUTED_VALUE"""),46093.0)</f>
        <v>46093</v>
      </c>
      <c r="B261" s="319" t="str">
        <f>IFERROR(__xludf.DUMMYFUNCTION("""COMPUTED_VALUE"""),"B. 1-9")</f>
        <v>B. 1-9</v>
      </c>
      <c r="C261" s="320">
        <f>IFERROR(__xludf.DUMMYFUNCTION("""COMPUTED_VALUE"""),32241.0)</f>
        <v>32241</v>
      </c>
      <c r="D261" s="320">
        <f>IFERROR(__xludf.DUMMYFUNCTION("""COMPUTED_VALUE"""),41.48)</f>
        <v>41.48</v>
      </c>
      <c r="E261" s="320">
        <f>IFERROR(__xludf.DUMMYFUNCTION("""COMPUTED_VALUE"""),6827.37)</f>
        <v>6827.37</v>
      </c>
      <c r="F261" s="320">
        <f>IFERROR(__xludf.DUMMYFUNCTION("""COMPUTED_VALUE"""),0.2118)</f>
        <v>0.2118</v>
      </c>
      <c r="G261" s="320">
        <f>IFERROR(__xludf.DUMMYFUNCTION("""COMPUTED_VALUE"""),6.7)</f>
        <v>6.7</v>
      </c>
      <c r="H261" s="320">
        <f>IFERROR(__xludf.DUMMYFUNCTION("""COMPUTED_VALUE"""),3.1594)</f>
        <v>3.1594</v>
      </c>
      <c r="I261" s="320">
        <f>IFERROR(__xludf.DUMMYFUNCTION("""COMPUTED_VALUE"""),28.95)</f>
        <v>28.95</v>
      </c>
      <c r="J261" s="320">
        <f>IFERROR(__xludf.DUMMYFUNCTION("""COMPUTED_VALUE"""),15.31)</f>
        <v>15.31</v>
      </c>
      <c r="K261" s="320">
        <f>IFERROR(__xludf.DUMMYFUNCTION("""COMPUTED_VALUE"""),4.93)</f>
        <v>4.93</v>
      </c>
      <c r="L261" s="320">
        <f>IFERROR(__xludf.DUMMYFUNCTION("""COMPUTED_VALUE"""),0.3221)</f>
        <v>0.3221</v>
      </c>
      <c r="M261" s="320">
        <f>IFERROR(__xludf.DUMMYFUNCTION("""COMPUTED_VALUE"""),0.7517)</f>
        <v>0.7517</v>
      </c>
      <c r="N261" s="320">
        <f>IFERROR(__xludf.DUMMYFUNCTION("""COMPUTED_VALUE"""),0.5158)</f>
        <v>0.5158</v>
      </c>
      <c r="O261" s="320">
        <f>IFERROR(__xludf.DUMMYFUNCTION("""COMPUTED_VALUE"""),3.1045)</f>
        <v>3.1045</v>
      </c>
      <c r="P261" s="320">
        <f>IFERROR(__xludf.DUMMYFUNCTION("""COMPUTED_VALUE"""),62.31)</f>
        <v>62.31</v>
      </c>
      <c r="Q261" s="320">
        <f>IFERROR(__xludf.DUMMYFUNCTION("""COMPUTED_VALUE"""),52.0)</f>
        <v>52</v>
      </c>
      <c r="R261" s="320">
        <f>IFERROR(__xludf.DUMMYFUNCTION("""COMPUTED_VALUE"""),10.31)</f>
        <v>10.31</v>
      </c>
      <c r="S261" s="320">
        <f>IFERROR(__xludf.DUMMYFUNCTION("""COMPUTED_VALUE"""),14.6)</f>
        <v>14.6</v>
      </c>
      <c r="T261" s="320">
        <f>IFERROR(__xludf.DUMMYFUNCTION("""COMPUTED_VALUE"""),47.72)</f>
        <v>47.72</v>
      </c>
      <c r="U261" s="320">
        <f>IFERROR(__xludf.DUMMYFUNCTION("""COMPUTED_VALUE"""),67.8)</f>
        <v>67.8</v>
      </c>
      <c r="V261" s="320">
        <f>IFERROR(__xludf.DUMMYFUNCTION("""COMPUTED_VALUE"""),4.4269)</f>
        <v>4.4269</v>
      </c>
      <c r="W261" s="320">
        <f>IFERROR(__xludf.DUMMYFUNCTION("""COMPUTED_VALUE"""),23.42)</f>
        <v>23.42</v>
      </c>
      <c r="X261" s="320">
        <f>IFERROR(__xludf.DUMMYFUNCTION("""COMPUTED_VALUE"""),84.0)</f>
        <v>84</v>
      </c>
      <c r="Y261" s="320">
        <f>IFERROR(__xludf.DUMMYFUNCTION("""COMPUTED_VALUE"""),204.0)</f>
        <v>204</v>
      </c>
      <c r="Z261" s="320">
        <f>IFERROR(__xludf.DUMMYFUNCTION("""COMPUTED_VALUE"""),874.0)</f>
        <v>874</v>
      </c>
      <c r="AA261" s="320">
        <f>IFERROR(__xludf.DUMMYFUNCTION("""COMPUTED_VALUE"""),49.9178)</f>
        <v>49.9178</v>
      </c>
      <c r="AB261" s="320">
        <f>IFERROR(__xludf.DUMMYFUNCTION("""COMPUTED_VALUE"""),0.4467)</f>
        <v>0.4467</v>
      </c>
      <c r="AC261" s="320">
        <f>IFERROR(__xludf.DUMMYFUNCTION("""COMPUTED_VALUE"""),3.39)</f>
        <v>3.39</v>
      </c>
      <c r="AD261" s="320">
        <f>IFERROR(__xludf.DUMMYFUNCTION("""COMPUTED_VALUE"""),1.0)</f>
        <v>1</v>
      </c>
      <c r="AE261" s="320">
        <f>IFERROR(__xludf.DUMMYFUNCTION("""COMPUTED_VALUE"""),2.0)</f>
        <v>2</v>
      </c>
      <c r="AF261" s="320">
        <f>IFERROR(__xludf.DUMMYFUNCTION("""COMPUTED_VALUE"""),4.0)</f>
        <v>4</v>
      </c>
      <c r="AG261" s="320">
        <f>IFERROR(__xludf.DUMMYFUNCTION("""COMPUTED_VALUE"""),8.0)</f>
        <v>8</v>
      </c>
      <c r="AH261" s="320">
        <f>IFERROR(__xludf.DUMMYFUNCTION("""COMPUTED_VALUE"""),64.58)</f>
        <v>64.58</v>
      </c>
      <c r="AI261" s="320">
        <f>IFERROR(__xludf.DUMMYFUNCTION("""COMPUTED_VALUE"""),23.37)</f>
        <v>23.37</v>
      </c>
      <c r="AJ261" s="320">
        <f>IFERROR(__xludf.DUMMYFUNCTION("""COMPUTED_VALUE"""),6.37)</f>
        <v>6.37</v>
      </c>
      <c r="AK261" s="320">
        <f>IFERROR(__xludf.DUMMYFUNCTION("""COMPUTED_VALUE"""),0.225)</f>
        <v>0.225</v>
      </c>
      <c r="AL261" s="320">
        <f>IFERROR(__xludf.DUMMYFUNCTION("""COMPUTED_VALUE"""),20.27)</f>
        <v>20.27</v>
      </c>
      <c r="AM261" s="320">
        <f>IFERROR(__xludf.DUMMYFUNCTION("""COMPUTED_VALUE"""),31.73)</f>
        <v>31.73</v>
      </c>
      <c r="AN261" s="320">
        <f>IFERROR(__xludf.DUMMYFUNCTION("""COMPUTED_VALUE"""),69.48)</f>
        <v>69.48</v>
      </c>
      <c r="AO261" s="320">
        <f>IFERROR(__xludf.DUMMYFUNCTION("""COMPUTED_VALUE"""),14.08)</f>
        <v>14.08</v>
      </c>
    </row>
    <row r="262" ht="15.75" customHeight="1">
      <c r="A262" s="330">
        <f>IFERROR(__xludf.DUMMYFUNCTION("""COMPUTED_VALUE"""),46093.0)</f>
        <v>46093</v>
      </c>
      <c r="B262" s="319" t="str">
        <f>IFERROR(__xludf.DUMMYFUNCTION("""COMPUTED_VALUE"""),"C. 10-19")</f>
        <v>C. 10-19</v>
      </c>
      <c r="C262" s="320">
        <f>IFERROR(__xludf.DUMMYFUNCTION("""COMPUTED_VALUE"""),15764.0)</f>
        <v>15764</v>
      </c>
      <c r="D262" s="320">
        <f>IFERROR(__xludf.DUMMYFUNCTION("""COMPUTED_VALUE"""),20.28)</f>
        <v>20.28</v>
      </c>
      <c r="E262" s="320">
        <f>IFERROR(__xludf.DUMMYFUNCTION("""COMPUTED_VALUE"""),15571.99)</f>
        <v>15571.99</v>
      </c>
      <c r="F262" s="320">
        <f>IFERROR(__xludf.DUMMYFUNCTION("""COMPUTED_VALUE"""),0.9878)</f>
        <v>0.9878</v>
      </c>
      <c r="G262" s="320">
        <f>IFERROR(__xludf.DUMMYFUNCTION("""COMPUTED_VALUE"""),20.67)</f>
        <v>20.67</v>
      </c>
      <c r="H262" s="320">
        <f>IFERROR(__xludf.DUMMYFUNCTION("""COMPUTED_VALUE"""),4.7781)</f>
        <v>4.7781</v>
      </c>
      <c r="I262" s="320">
        <f>IFERROR(__xludf.DUMMYFUNCTION("""COMPUTED_VALUE"""),51.82)</f>
        <v>51.82</v>
      </c>
      <c r="J262" s="320">
        <f>IFERROR(__xludf.DUMMYFUNCTION("""COMPUTED_VALUE"""),29.22)</f>
        <v>29.22</v>
      </c>
      <c r="K262" s="320">
        <f>IFERROR(__xludf.DUMMYFUNCTION("""COMPUTED_VALUE"""),12.93)</f>
        <v>12.93</v>
      </c>
      <c r="L262" s="320">
        <f>IFERROR(__xludf.DUMMYFUNCTION("""COMPUTED_VALUE"""),0.4426)</f>
        <v>0.4426</v>
      </c>
      <c r="M262" s="320">
        <f>IFERROR(__xludf.DUMMYFUNCTION("""COMPUTED_VALUE"""),0.625)</f>
        <v>0.625</v>
      </c>
      <c r="N262" s="320">
        <f>IFERROR(__xludf.DUMMYFUNCTION("""COMPUTED_VALUE"""),0.3594)</f>
        <v>0.3594</v>
      </c>
      <c r="O262" s="320">
        <f>IFERROR(__xludf.DUMMYFUNCTION("""COMPUTED_VALUE"""),2.2592)</f>
        <v>2.2592</v>
      </c>
      <c r="P262" s="320">
        <f>IFERROR(__xludf.DUMMYFUNCTION("""COMPUTED_VALUE"""),159.14)</f>
        <v>159.14</v>
      </c>
      <c r="Q262" s="320">
        <f>IFERROR(__xludf.DUMMYFUNCTION("""COMPUTED_VALUE"""),133.14)</f>
        <v>133.14</v>
      </c>
      <c r="R262" s="320">
        <f>IFERROR(__xludf.DUMMYFUNCTION("""COMPUTED_VALUE"""),26.0)</f>
        <v>26</v>
      </c>
      <c r="S262" s="320">
        <f>IFERROR(__xludf.DUMMYFUNCTION("""COMPUTED_VALUE"""),66.27)</f>
        <v>66.27</v>
      </c>
      <c r="T262" s="320">
        <f>IFERROR(__xludf.DUMMYFUNCTION("""COMPUTED_VALUE"""),92.87)</f>
        <v>92.87</v>
      </c>
      <c r="U262" s="320">
        <f>IFERROR(__xludf.DUMMYFUNCTION("""COMPUTED_VALUE"""),160.83)</f>
        <v>160.83</v>
      </c>
      <c r="V262" s="320">
        <f>IFERROR(__xludf.DUMMYFUNCTION("""COMPUTED_VALUE"""),5.5044)</f>
        <v>5.5044</v>
      </c>
      <c r="W262" s="320">
        <f>IFERROR(__xludf.DUMMYFUNCTION("""COMPUTED_VALUE"""),41.64)</f>
        <v>41.64</v>
      </c>
      <c r="X262" s="320">
        <f>IFERROR(__xludf.DUMMYFUNCTION("""COMPUTED_VALUE"""),83.0)</f>
        <v>83</v>
      </c>
      <c r="Y262" s="320">
        <f>IFERROR(__xludf.DUMMYFUNCTION("""COMPUTED_VALUE"""),187.0)</f>
        <v>187</v>
      </c>
      <c r="Z262" s="320">
        <f>IFERROR(__xludf.DUMMYFUNCTION("""COMPUTED_VALUE"""),612.0)</f>
        <v>612</v>
      </c>
      <c r="AA262" s="320">
        <f>IFERROR(__xludf.DUMMYFUNCTION("""COMPUTED_VALUE"""),52.4563)</f>
        <v>52.4563</v>
      </c>
      <c r="AB262" s="320">
        <f>IFERROR(__xludf.DUMMYFUNCTION("""COMPUTED_VALUE"""),0.5341)</f>
        <v>0.5341</v>
      </c>
      <c r="AC262" s="320">
        <f>IFERROR(__xludf.DUMMYFUNCTION("""COMPUTED_VALUE"""),8.21)</f>
        <v>8.21</v>
      </c>
      <c r="AD262" s="320">
        <f>IFERROR(__xludf.DUMMYFUNCTION("""COMPUTED_VALUE"""),2.0)</f>
        <v>2</v>
      </c>
      <c r="AE262" s="320">
        <f>IFERROR(__xludf.DUMMYFUNCTION("""COMPUTED_VALUE"""),6.0)</f>
        <v>6</v>
      </c>
      <c r="AF262" s="320">
        <f>IFERROR(__xludf.DUMMYFUNCTION("""COMPUTED_VALUE"""),11.0)</f>
        <v>11</v>
      </c>
      <c r="AG262" s="320">
        <f>IFERROR(__xludf.DUMMYFUNCTION("""COMPUTED_VALUE"""),19.0)</f>
        <v>19</v>
      </c>
      <c r="AH262" s="320">
        <f>IFERROR(__xludf.DUMMYFUNCTION("""COMPUTED_VALUE"""),49.91)</f>
        <v>49.91</v>
      </c>
      <c r="AI262" s="320">
        <f>IFERROR(__xludf.DUMMYFUNCTION("""COMPUTED_VALUE"""),22.08)</f>
        <v>22.08</v>
      </c>
      <c r="AJ262" s="320">
        <f>IFERROR(__xludf.DUMMYFUNCTION("""COMPUTED_VALUE"""),4.05)</f>
        <v>4.05</v>
      </c>
      <c r="AK262" s="320">
        <f>IFERROR(__xludf.DUMMYFUNCTION("""COMPUTED_VALUE"""),0.2057)</f>
        <v>0.2057</v>
      </c>
      <c r="AL262" s="320">
        <f>IFERROR(__xludf.DUMMYFUNCTION("""COMPUTED_VALUE"""),19.99)</f>
        <v>19.99</v>
      </c>
      <c r="AM262" s="320">
        <f>IFERROR(__xludf.DUMMYFUNCTION("""COMPUTED_VALUE"""),113.15)</f>
        <v>113.15</v>
      </c>
      <c r="AN262" s="320">
        <f>IFERROR(__xludf.DUMMYFUNCTION("""COMPUTED_VALUE"""),73.59)</f>
        <v>73.59</v>
      </c>
      <c r="AO262" s="320">
        <f>IFERROR(__xludf.DUMMYFUNCTION("""COMPUTED_VALUE"""),14.71)</f>
        <v>14.71</v>
      </c>
    </row>
    <row r="263" ht="15.75" customHeight="1">
      <c r="A263" s="330">
        <f>IFERROR(__xludf.DUMMYFUNCTION("""COMPUTED_VALUE"""),46093.0)</f>
        <v>46093</v>
      </c>
      <c r="B263" s="319" t="str">
        <f>IFERROR(__xludf.DUMMYFUNCTION("""COMPUTED_VALUE"""),"D. 20-39")</f>
        <v>D. 20-39</v>
      </c>
      <c r="C263" s="320">
        <f>IFERROR(__xludf.DUMMYFUNCTION("""COMPUTED_VALUE"""),8447.0)</f>
        <v>8447</v>
      </c>
      <c r="D263" s="320">
        <f>IFERROR(__xludf.DUMMYFUNCTION("""COMPUTED_VALUE"""),10.87)</f>
        <v>10.87</v>
      </c>
      <c r="E263" s="320">
        <f>IFERROR(__xludf.DUMMYFUNCTION("""COMPUTED_VALUE"""),19742.2)</f>
        <v>19742.2</v>
      </c>
      <c r="F263" s="320">
        <f>IFERROR(__xludf.DUMMYFUNCTION("""COMPUTED_VALUE"""),2.3372)</f>
        <v>2.3372</v>
      </c>
      <c r="G263" s="320">
        <f>IFERROR(__xludf.DUMMYFUNCTION("""COMPUTED_VALUE"""),31.04)</f>
        <v>31.04</v>
      </c>
      <c r="H263" s="320">
        <f>IFERROR(__xludf.DUMMYFUNCTION("""COMPUTED_VALUE"""),7.5294)</f>
        <v>7.5294</v>
      </c>
      <c r="I263" s="320">
        <f>IFERROR(__xludf.DUMMYFUNCTION("""COMPUTED_VALUE"""),77.84)</f>
        <v>77.84</v>
      </c>
      <c r="J263" s="320">
        <f>IFERROR(__xludf.DUMMYFUNCTION("""COMPUTED_VALUE"""),46.07)</f>
        <v>46.07</v>
      </c>
      <c r="K263" s="320">
        <f>IFERROR(__xludf.DUMMYFUNCTION("""COMPUTED_VALUE"""),25.34)</f>
        <v>25.34</v>
      </c>
      <c r="L263" s="320">
        <f>IFERROR(__xludf.DUMMYFUNCTION("""COMPUTED_VALUE"""),0.55)</f>
        <v>0.55</v>
      </c>
      <c r="M263" s="320">
        <f>IFERROR(__xludf.DUMMYFUNCTION("""COMPUTED_VALUE"""),0.526)</f>
        <v>0.526</v>
      </c>
      <c r="N263" s="320">
        <f>IFERROR(__xludf.DUMMYFUNCTION("""COMPUTED_VALUE"""),0.2928)</f>
        <v>0.2928</v>
      </c>
      <c r="O263" s="320">
        <f>IFERROR(__xludf.DUMMYFUNCTION("""COMPUTED_VALUE"""),1.8183)</f>
        <v>1.8183</v>
      </c>
      <c r="P263" s="320">
        <f>IFERROR(__xludf.DUMMYFUNCTION("""COMPUTED_VALUE"""),334.55)</f>
        <v>334.55</v>
      </c>
      <c r="Q263" s="320">
        <f>IFERROR(__xludf.DUMMYFUNCTION("""COMPUTED_VALUE"""),281.34)</f>
        <v>281.34</v>
      </c>
      <c r="R263" s="320">
        <f>IFERROR(__xludf.DUMMYFUNCTION("""COMPUTED_VALUE"""),53.21)</f>
        <v>53.21</v>
      </c>
      <c r="S263" s="320">
        <f>IFERROR(__xludf.DUMMYFUNCTION("""COMPUTED_VALUE"""),151.82)</f>
        <v>151.82</v>
      </c>
      <c r="T263" s="320">
        <f>IFERROR(__xludf.DUMMYFUNCTION("""COMPUTED_VALUE"""),182.73)</f>
        <v>182.73</v>
      </c>
      <c r="U263" s="320">
        <f>IFERROR(__xludf.DUMMYFUNCTION("""COMPUTED_VALUE"""),333.08)</f>
        <v>333.08</v>
      </c>
      <c r="V263" s="320">
        <f>IFERROR(__xludf.DUMMYFUNCTION("""COMPUTED_VALUE"""),7.2299)</f>
        <v>7.2299</v>
      </c>
      <c r="W263" s="320">
        <f>IFERROR(__xludf.DUMMYFUNCTION("""COMPUTED_VALUE"""),45.38)</f>
        <v>45.38</v>
      </c>
      <c r="X263" s="320">
        <f>IFERROR(__xludf.DUMMYFUNCTION("""COMPUTED_VALUE"""),88.0)</f>
        <v>88</v>
      </c>
      <c r="Y263" s="320">
        <f>IFERROR(__xludf.DUMMYFUNCTION("""COMPUTED_VALUE"""),229.0)</f>
        <v>229</v>
      </c>
      <c r="Z263" s="320">
        <f>IFERROR(__xludf.DUMMYFUNCTION("""COMPUTED_VALUE"""),683.0)</f>
        <v>683</v>
      </c>
      <c r="AA263" s="320">
        <f>IFERROR(__xludf.DUMMYFUNCTION("""COMPUTED_VALUE"""),54.7937)</f>
        <v>54.7937</v>
      </c>
      <c r="AB263" s="320">
        <f>IFERROR(__xludf.DUMMYFUNCTION("""COMPUTED_VALUE"""),0.6459)</f>
        <v>0.6459</v>
      </c>
      <c r="AC263" s="320">
        <f>IFERROR(__xludf.DUMMYFUNCTION("""COMPUTED_VALUE"""),16.82)</f>
        <v>16.82</v>
      </c>
      <c r="AD263" s="320">
        <f>IFERROR(__xludf.DUMMYFUNCTION("""COMPUTED_VALUE"""),5.0)</f>
        <v>5</v>
      </c>
      <c r="AE263" s="320">
        <f>IFERROR(__xludf.DUMMYFUNCTION("""COMPUTED_VALUE"""),12.0)</f>
        <v>12</v>
      </c>
      <c r="AF263" s="320">
        <f>IFERROR(__xludf.DUMMYFUNCTION("""COMPUTED_VALUE"""),24.0)</f>
        <v>24</v>
      </c>
      <c r="AG263" s="320">
        <f>IFERROR(__xludf.DUMMYFUNCTION("""COMPUTED_VALUE"""),38.0)</f>
        <v>38</v>
      </c>
      <c r="AH263" s="320">
        <f>IFERROR(__xludf.DUMMYFUNCTION("""COMPUTED_VALUE"""),53.66)</f>
        <v>53.66</v>
      </c>
      <c r="AI263" s="320">
        <f>IFERROR(__xludf.DUMMYFUNCTION("""COMPUTED_VALUE"""),22.4)</f>
        <v>22.4</v>
      </c>
      <c r="AJ263" s="320">
        <f>IFERROR(__xludf.DUMMYFUNCTION("""COMPUTED_VALUE"""),7.42)</f>
        <v>7.42</v>
      </c>
      <c r="AK263" s="320">
        <f>IFERROR(__xludf.DUMMYFUNCTION("""COMPUTED_VALUE"""),0.1972)</f>
        <v>0.1972</v>
      </c>
      <c r="AL263" s="320">
        <f>IFERROR(__xludf.DUMMYFUNCTION("""COMPUTED_VALUE"""),20.37)</f>
        <v>20.37</v>
      </c>
      <c r="AM263" s="320">
        <f>IFERROR(__xludf.DUMMYFUNCTION("""COMPUTED_VALUE"""),260.97)</f>
        <v>260.97</v>
      </c>
      <c r="AN263" s="320">
        <f>IFERROR(__xludf.DUMMYFUNCTION("""COMPUTED_VALUE"""),75.85)</f>
        <v>75.85</v>
      </c>
      <c r="AO263" s="320">
        <f>IFERROR(__xludf.DUMMYFUNCTION("""COMPUTED_VALUE"""),15.45)</f>
        <v>15.45</v>
      </c>
    </row>
    <row r="264" ht="15.75" customHeight="1">
      <c r="A264" s="330">
        <f>IFERROR(__xludf.DUMMYFUNCTION("""COMPUTED_VALUE"""),46093.0)</f>
        <v>46093</v>
      </c>
      <c r="B264" s="319" t="str">
        <f>IFERROR(__xludf.DUMMYFUNCTION("""COMPUTED_VALUE"""),"E. 40-99")</f>
        <v>E. 40-99</v>
      </c>
      <c r="C264" s="320">
        <f>IFERROR(__xludf.DUMMYFUNCTION("""COMPUTED_VALUE"""),3583.0)</f>
        <v>3583</v>
      </c>
      <c r="D264" s="320">
        <f>IFERROR(__xludf.DUMMYFUNCTION("""COMPUTED_VALUE"""),4.61)</f>
        <v>4.61</v>
      </c>
      <c r="E264" s="320">
        <f>IFERROR(__xludf.DUMMYFUNCTION("""COMPUTED_VALUE"""),18388.78)</f>
        <v>18388.78</v>
      </c>
      <c r="F264" s="320">
        <f>IFERROR(__xludf.DUMMYFUNCTION("""COMPUTED_VALUE"""),5.1322)</f>
        <v>5.1322</v>
      </c>
      <c r="G264" s="320">
        <f>IFERROR(__xludf.DUMMYFUNCTION("""COMPUTED_VALUE"""),41.33)</f>
        <v>41.33</v>
      </c>
      <c r="H264" s="320">
        <f>IFERROR(__xludf.DUMMYFUNCTION("""COMPUTED_VALUE"""),12.4165)</f>
        <v>12.4165</v>
      </c>
      <c r="I264" s="320">
        <f>IFERROR(__xludf.DUMMYFUNCTION("""COMPUTED_VALUE"""),123.85)</f>
        <v>123.85</v>
      </c>
      <c r="J264" s="320">
        <f>IFERROR(__xludf.DUMMYFUNCTION("""COMPUTED_VALUE"""),76.62)</f>
        <v>76.62</v>
      </c>
      <c r="K264" s="320">
        <f>IFERROR(__xludf.DUMMYFUNCTION("""COMPUTED_VALUE"""),52.98)</f>
        <v>52.98</v>
      </c>
      <c r="L264" s="320">
        <f>IFERROR(__xludf.DUMMYFUNCTION("""COMPUTED_VALUE"""),0.6914)</f>
        <v>0.6914</v>
      </c>
      <c r="M264" s="320">
        <f>IFERROR(__xludf.DUMMYFUNCTION("""COMPUTED_VALUE"""),0.3978)</f>
        <v>0.3978</v>
      </c>
      <c r="N264" s="320">
        <f>IFERROR(__xludf.DUMMYFUNCTION("""COMPUTED_VALUE"""),0.2278)</f>
        <v>0.2278</v>
      </c>
      <c r="O264" s="320">
        <f>IFERROR(__xludf.DUMMYFUNCTION("""COMPUTED_VALUE"""),1.4464)</f>
        <v>1.4464</v>
      </c>
      <c r="P264" s="320">
        <f>IFERROR(__xludf.DUMMYFUNCTION("""COMPUTED_VALUE"""),707.73)</f>
        <v>707.73</v>
      </c>
      <c r="Q264" s="320">
        <f>IFERROR(__xludf.DUMMYFUNCTION("""COMPUTED_VALUE"""),596.59)</f>
        <v>596.59</v>
      </c>
      <c r="R264" s="320">
        <f>IFERROR(__xludf.DUMMYFUNCTION("""COMPUTED_VALUE"""),111.14)</f>
        <v>111.14</v>
      </c>
      <c r="S264" s="320">
        <f>IFERROR(__xludf.DUMMYFUNCTION("""COMPUTED_VALUE"""),323.05)</f>
        <v>323.05</v>
      </c>
      <c r="T264" s="320">
        <f>IFERROR(__xludf.DUMMYFUNCTION("""COMPUTED_VALUE"""),384.68)</f>
        <v>384.68</v>
      </c>
      <c r="U264" s="320">
        <f>IFERROR(__xludf.DUMMYFUNCTION("""COMPUTED_VALUE"""),687.78)</f>
        <v>687.78</v>
      </c>
      <c r="V264" s="320">
        <f>IFERROR(__xludf.DUMMYFUNCTION("""COMPUTED_VALUE"""),8.976)</f>
        <v>8.976</v>
      </c>
      <c r="W264" s="320">
        <f>IFERROR(__xludf.DUMMYFUNCTION("""COMPUTED_VALUE"""),45.65)</f>
        <v>45.65</v>
      </c>
      <c r="X264" s="320">
        <f>IFERROR(__xludf.DUMMYFUNCTION("""COMPUTED_VALUE"""),103.0)</f>
        <v>103</v>
      </c>
      <c r="Y264" s="320">
        <f>IFERROR(__xludf.DUMMYFUNCTION("""COMPUTED_VALUE"""),347.0)</f>
        <v>347</v>
      </c>
      <c r="Z264" s="320">
        <f>IFERROR(__xludf.DUMMYFUNCTION("""COMPUTED_VALUE"""),937.0)</f>
        <v>937</v>
      </c>
      <c r="AA264" s="320">
        <f>IFERROR(__xludf.DUMMYFUNCTION("""COMPUTED_VALUE"""),57.5121)</f>
        <v>57.5121</v>
      </c>
      <c r="AB264" s="320">
        <f>IFERROR(__xludf.DUMMYFUNCTION("""COMPUTED_VALUE"""),0.7423)</f>
        <v>0.7423</v>
      </c>
      <c r="AC264" s="320">
        <f>IFERROR(__xludf.DUMMYFUNCTION("""COMPUTED_VALUE"""),35.8)</f>
        <v>35.8</v>
      </c>
      <c r="AD264" s="320">
        <f>IFERROR(__xludf.DUMMYFUNCTION("""COMPUTED_VALUE"""),11.0)</f>
        <v>11</v>
      </c>
      <c r="AE264" s="320">
        <f>IFERROR(__xludf.DUMMYFUNCTION("""COMPUTED_VALUE"""),29.0)</f>
        <v>29</v>
      </c>
      <c r="AF264" s="320">
        <f>IFERROR(__xludf.DUMMYFUNCTION("""COMPUTED_VALUE"""),51.0)</f>
        <v>51</v>
      </c>
      <c r="AG264" s="320">
        <f>IFERROR(__xludf.DUMMYFUNCTION("""COMPUTED_VALUE"""),77.0)</f>
        <v>77</v>
      </c>
      <c r="AH264" s="320">
        <f>IFERROR(__xludf.DUMMYFUNCTION("""COMPUTED_VALUE"""),50.93)</f>
        <v>50.93</v>
      </c>
      <c r="AI264" s="320">
        <f>IFERROR(__xludf.DUMMYFUNCTION("""COMPUTED_VALUE"""),19.12)</f>
        <v>19.12</v>
      </c>
      <c r="AJ264" s="320">
        <f>IFERROR(__xludf.DUMMYFUNCTION("""COMPUTED_VALUE"""),3.91)</f>
        <v>3.91</v>
      </c>
      <c r="AK264" s="320">
        <f>IFERROR(__xludf.DUMMYFUNCTION("""COMPUTED_VALUE"""),0.1677)</f>
        <v>0.1677</v>
      </c>
      <c r="AL264" s="320">
        <f>IFERROR(__xludf.DUMMYFUNCTION("""COMPUTED_VALUE"""),20.6)</f>
        <v>20.6</v>
      </c>
      <c r="AM264" s="320">
        <f>IFERROR(__xludf.DUMMYFUNCTION("""COMPUTED_VALUE"""),575.99)</f>
        <v>575.99</v>
      </c>
      <c r="AN264" s="320">
        <f>IFERROR(__xludf.DUMMYFUNCTION("""COMPUTED_VALUE"""),76.47)</f>
        <v>76.47</v>
      </c>
      <c r="AO264" s="320">
        <f>IFERROR(__xludf.DUMMYFUNCTION("""COMPUTED_VALUE"""),15.75)</f>
        <v>15.75</v>
      </c>
    </row>
    <row r="265" ht="15.75" customHeight="1">
      <c r="A265" s="330">
        <f>IFERROR(__xludf.DUMMYFUNCTION("""COMPUTED_VALUE"""),46093.0)</f>
        <v>46093</v>
      </c>
      <c r="B265" s="319" t="str">
        <f>IFERROR(__xludf.DUMMYFUNCTION("""COMPUTED_VALUE"""),"F. 100+")</f>
        <v>F. 100+</v>
      </c>
      <c r="C265" s="320">
        <f>IFERROR(__xludf.DUMMYFUNCTION("""COMPUTED_VALUE"""),403.0)</f>
        <v>403</v>
      </c>
      <c r="D265" s="320">
        <f>IFERROR(__xludf.DUMMYFUNCTION("""COMPUTED_VALUE"""),0.52)</f>
        <v>0.52</v>
      </c>
      <c r="E265" s="320">
        <f>IFERROR(__xludf.DUMMYFUNCTION("""COMPUTED_VALUE"""),3850.96)</f>
        <v>3850.96</v>
      </c>
      <c r="F265" s="320">
        <f>IFERROR(__xludf.DUMMYFUNCTION("""COMPUTED_VALUE"""),9.5557)</f>
        <v>9.5557</v>
      </c>
      <c r="G265" s="320">
        <f>IFERROR(__xludf.DUMMYFUNCTION("""COMPUTED_VALUE"""),40.69)</f>
        <v>40.69</v>
      </c>
      <c r="H265" s="320">
        <f>IFERROR(__xludf.DUMMYFUNCTION("""COMPUTED_VALUE"""),23.4815)</f>
        <v>23.4815</v>
      </c>
      <c r="I265" s="320">
        <f>IFERROR(__xludf.DUMMYFUNCTION("""COMPUTED_VALUE"""),236.12)</f>
        <v>236.12</v>
      </c>
      <c r="J265" s="320">
        <f>IFERROR(__xludf.DUMMYFUNCTION("""COMPUTED_VALUE"""),157.54)</f>
        <v>157.54</v>
      </c>
      <c r="K265" s="320">
        <f>IFERROR(__xludf.DUMMYFUNCTION("""COMPUTED_VALUE"""),125.96)</f>
        <v>125.96</v>
      </c>
      <c r="L265" s="320">
        <f>IFERROR(__xludf.DUMMYFUNCTION("""COMPUTED_VALUE"""),0.7995)</f>
        <v>0.7995</v>
      </c>
      <c r="M265" s="320">
        <f>IFERROR(__xludf.DUMMYFUNCTION("""COMPUTED_VALUE"""),0.289)</f>
        <v>0.289</v>
      </c>
      <c r="N265" s="320">
        <f>IFERROR(__xludf.DUMMYFUNCTION("""COMPUTED_VALUE"""),0.1704)</f>
        <v>0.1704</v>
      </c>
      <c r="O265" s="320">
        <f>IFERROR(__xludf.DUMMYFUNCTION("""COMPUTED_VALUE"""),1.2508)</f>
        <v>1.2508</v>
      </c>
      <c r="P265" s="320">
        <f>IFERROR(__xludf.DUMMYFUNCTION("""COMPUTED_VALUE"""),1384.41)</f>
        <v>1384.41</v>
      </c>
      <c r="Q265" s="320">
        <f>IFERROR(__xludf.DUMMYFUNCTION("""COMPUTED_VALUE"""),1119.25)</f>
        <v>1119.25</v>
      </c>
      <c r="R265" s="320">
        <f>IFERROR(__xludf.DUMMYFUNCTION("""COMPUTED_VALUE"""),265.16)</f>
        <v>265.16</v>
      </c>
      <c r="S265" s="320">
        <f>IFERROR(__xludf.DUMMYFUNCTION("""COMPUTED_VALUE"""),594.31)</f>
        <v>594.31</v>
      </c>
      <c r="T265" s="320">
        <f>IFERROR(__xludf.DUMMYFUNCTION("""COMPUTED_VALUE"""),790.11)</f>
        <v>790.11</v>
      </c>
      <c r="U265" s="320">
        <f>IFERROR(__xludf.DUMMYFUNCTION("""COMPUTED_VALUE"""),1342.06)</f>
        <v>1342.06</v>
      </c>
      <c r="V265" s="320">
        <f>IFERROR(__xludf.DUMMYFUNCTION("""COMPUTED_VALUE"""),8.5187)</f>
        <v>8.5187</v>
      </c>
      <c r="W265" s="320">
        <f>IFERROR(__xludf.DUMMYFUNCTION("""COMPUTED_VALUE"""),42.93)</f>
        <v>42.93</v>
      </c>
      <c r="X265" s="320">
        <f>IFERROR(__xludf.DUMMYFUNCTION("""COMPUTED_VALUE"""),200.0)</f>
        <v>200</v>
      </c>
      <c r="Y265" s="320">
        <f>IFERROR(__xludf.DUMMYFUNCTION("""COMPUTED_VALUE"""),602.0)</f>
        <v>602</v>
      </c>
      <c r="Z265" s="320">
        <f>IFERROR(__xludf.DUMMYFUNCTION("""COMPUTED_VALUE"""),1811.0)</f>
        <v>1811</v>
      </c>
      <c r="AA265" s="320">
        <f>IFERROR(__xludf.DUMMYFUNCTION("""COMPUTED_VALUE"""),61.4282)</f>
        <v>61.4282</v>
      </c>
      <c r="AB265" s="320">
        <f>IFERROR(__xludf.DUMMYFUNCTION("""COMPUTED_VALUE"""),0.821)</f>
        <v>0.821</v>
      </c>
      <c r="AC265" s="320">
        <f>IFERROR(__xludf.DUMMYFUNCTION("""COMPUTED_VALUE"""),86.74)</f>
        <v>86.74</v>
      </c>
      <c r="AD265" s="320">
        <f>IFERROR(__xludf.DUMMYFUNCTION("""COMPUTED_VALUE"""),31.0)</f>
        <v>31</v>
      </c>
      <c r="AE265" s="320">
        <f>IFERROR(__xludf.DUMMYFUNCTION("""COMPUTED_VALUE"""),62.0)</f>
        <v>62</v>
      </c>
      <c r="AF265" s="320">
        <f>IFERROR(__xludf.DUMMYFUNCTION("""COMPUTED_VALUE"""),118.0)</f>
        <v>118</v>
      </c>
      <c r="AG265" s="320">
        <f>IFERROR(__xludf.DUMMYFUNCTION("""COMPUTED_VALUE"""),200.0)</f>
        <v>200</v>
      </c>
      <c r="AH265" s="320">
        <f>IFERROR(__xludf.DUMMYFUNCTION("""COMPUTED_VALUE"""),42.43)</f>
        <v>42.43</v>
      </c>
      <c r="AI265" s="320">
        <f>IFERROR(__xludf.DUMMYFUNCTION("""COMPUTED_VALUE"""),13.65)</f>
        <v>13.65</v>
      </c>
      <c r="AJ265" s="320">
        <f>IFERROR(__xludf.DUMMYFUNCTION("""COMPUTED_VALUE"""),2.48)</f>
        <v>2.48</v>
      </c>
      <c r="AK265" s="320">
        <f>IFERROR(__xludf.DUMMYFUNCTION("""COMPUTED_VALUE"""),0.1439)</f>
        <v>0.1439</v>
      </c>
      <c r="AL265" s="320">
        <f>IFERROR(__xludf.DUMMYFUNCTION("""COMPUTED_VALUE"""),22.25)</f>
        <v>22.25</v>
      </c>
      <c r="AM265" s="320">
        <f>IFERROR(__xludf.DUMMYFUNCTION("""COMPUTED_VALUE"""),1097.01)</f>
        <v>1097.01</v>
      </c>
      <c r="AN265" s="320">
        <f>IFERROR(__xludf.DUMMYFUNCTION("""COMPUTED_VALUE"""),74.58)</f>
        <v>74.58</v>
      </c>
      <c r="AO265" s="320">
        <f>IFERROR(__xludf.DUMMYFUNCTION("""COMPUTED_VALUE"""),16.59)</f>
        <v>16.59</v>
      </c>
    </row>
    <row r="266" ht="15.75" customHeight="1">
      <c r="A266" s="330">
        <f>IFERROR(__xludf.DUMMYFUNCTION("""COMPUTED_VALUE"""),46094.0)</f>
        <v>46094</v>
      </c>
      <c r="B266" s="319" t="str">
        <f>IFERROR(__xludf.DUMMYFUNCTION("""COMPUTED_VALUE"""),"A. 0")</f>
        <v>A. 0</v>
      </c>
      <c r="C266" s="320">
        <f>IFERROR(__xludf.DUMMYFUNCTION("""COMPUTED_VALUE"""),15242.0)</f>
        <v>15242</v>
      </c>
      <c r="D266" s="320">
        <f>IFERROR(__xludf.DUMMYFUNCTION("""COMPUTED_VALUE"""),20.05)</f>
        <v>20.05</v>
      </c>
      <c r="E266" s="320">
        <f>IFERROR(__xludf.DUMMYFUNCTION("""COMPUTED_VALUE"""),39.79)</f>
        <v>39.79</v>
      </c>
      <c r="F266" s="320">
        <f>IFERROR(__xludf.DUMMYFUNCTION("""COMPUTED_VALUE"""),0.0026)</f>
        <v>0.0026</v>
      </c>
      <c r="G266" s="320">
        <f>IFERROR(__xludf.DUMMYFUNCTION("""COMPUTED_VALUE"""),0.35)</f>
        <v>0.35</v>
      </c>
      <c r="H266" s="320">
        <f>IFERROR(__xludf.DUMMYFUNCTION("""COMPUTED_VALUE"""),0.7508)</f>
        <v>0.7508</v>
      </c>
      <c r="I266" s="320">
        <f>IFERROR(__xludf.DUMMYFUNCTION("""COMPUTED_VALUE"""),5.49)</f>
        <v>5.49</v>
      </c>
      <c r="J266" s="320">
        <f>IFERROR(__xludf.DUMMYFUNCTION("""COMPUTED_VALUE"""),2.33)</f>
        <v>2.33</v>
      </c>
      <c r="K266" s="320">
        <f>IFERROR(__xludf.DUMMYFUNCTION("""COMPUTED_VALUE"""),0.06)</f>
        <v>0.06</v>
      </c>
      <c r="L266" s="320">
        <f>IFERROR(__xludf.DUMMYFUNCTION("""COMPUTED_VALUE"""),0.0236)</f>
        <v>0.0236</v>
      </c>
      <c r="M266" s="320">
        <f>IFERROR(__xludf.DUMMYFUNCTION("""COMPUTED_VALUE"""),0.9785)</f>
        <v>0.9785</v>
      </c>
      <c r="N266" s="320">
        <f>IFERROR(__xludf.DUMMYFUNCTION("""COMPUTED_VALUE"""),0.7503)</f>
        <v>0.7503</v>
      </c>
      <c r="O266" s="320">
        <f>IFERROR(__xludf.DUMMYFUNCTION("""COMPUTED_VALUE"""),42.3099)</f>
        <v>42.3099</v>
      </c>
      <c r="P266" s="320">
        <f>IFERROR(__xludf.DUMMYFUNCTION("""COMPUTED_VALUE"""),30.11)</f>
        <v>30.11</v>
      </c>
      <c r="Q266" s="320">
        <f>IFERROR(__xludf.DUMMYFUNCTION("""COMPUTED_VALUE"""),30.03)</f>
        <v>30.03</v>
      </c>
      <c r="R266" s="320">
        <f>IFERROR(__xludf.DUMMYFUNCTION("""COMPUTED_VALUE"""),0.08)</f>
        <v>0.08</v>
      </c>
      <c r="S266" s="320">
        <f>IFERROR(__xludf.DUMMYFUNCTION("""COMPUTED_VALUE"""),1.04)</f>
        <v>1.04</v>
      </c>
      <c r="T266" s="320">
        <f>IFERROR(__xludf.DUMMYFUNCTION("""COMPUTED_VALUE"""),29.07)</f>
        <v>29.07</v>
      </c>
      <c r="U266" s="320">
        <f>IFERROR(__xludf.DUMMYFUNCTION("""COMPUTED_VALUE"""),1.57)</f>
        <v>1.57</v>
      </c>
      <c r="V266" s="320">
        <f>IFERROR(__xludf.DUMMYFUNCTION("""COMPUTED_VALUE"""),0.6747)</f>
        <v>0.6747</v>
      </c>
      <c r="W266" s="320">
        <f>IFERROR(__xludf.DUMMYFUNCTION("""COMPUTED_VALUE"""),3.46)</f>
        <v>3.46</v>
      </c>
      <c r="X266" s="320">
        <f>IFERROR(__xludf.DUMMYFUNCTION("""COMPUTED_VALUE"""),184.0)</f>
        <v>184</v>
      </c>
      <c r="Y266" s="320">
        <f>IFERROR(__xludf.DUMMYFUNCTION("""COMPUTED_VALUE"""),1280.0)</f>
        <v>1280</v>
      </c>
      <c r="Z266" s="320">
        <f>IFERROR(__xludf.DUMMYFUNCTION("""COMPUTED_VALUE"""),7737.0)</f>
        <v>7737</v>
      </c>
      <c r="AA266" s="320">
        <f>IFERROR(__xludf.DUMMYFUNCTION("""COMPUTED_VALUE"""),50.2079)</f>
        <v>50.2079</v>
      </c>
      <c r="AB266" s="320">
        <f>IFERROR(__xludf.DUMMYFUNCTION("""COMPUTED_VALUE"""),0.5239)</f>
        <v>0.5239</v>
      </c>
      <c r="AC266" s="106"/>
      <c r="AD266" s="106"/>
      <c r="AE266" s="106"/>
      <c r="AF266" s="106"/>
      <c r="AG266" s="106"/>
      <c r="AH266" s="320">
        <f>IFERROR(__xludf.DUMMYFUNCTION("""COMPUTED_VALUE"""),0.0)</f>
        <v>0</v>
      </c>
      <c r="AI266" s="320">
        <f>IFERROR(__xludf.DUMMYFUNCTION("""COMPUTED_VALUE"""),0.0)</f>
        <v>0</v>
      </c>
      <c r="AJ266" s="320">
        <f>IFERROR(__xludf.DUMMYFUNCTION("""COMPUTED_VALUE"""),0.0)</f>
        <v>0</v>
      </c>
      <c r="AK266" s="320">
        <f>IFERROR(__xludf.DUMMYFUNCTION("""COMPUTED_VALUE"""),0.2939)</f>
        <v>0.2939</v>
      </c>
      <c r="AL266" s="320">
        <f>IFERROR(__xludf.DUMMYFUNCTION("""COMPUTED_VALUE"""),17.06)</f>
        <v>17.06</v>
      </c>
      <c r="AM266" s="320">
        <f>IFERROR(__xludf.DUMMYFUNCTION("""COMPUTED_VALUE"""),12.97)</f>
        <v>12.97</v>
      </c>
      <c r="AN266" s="331"/>
      <c r="AO266" s="331"/>
    </row>
    <row r="267" ht="15.75" customHeight="1">
      <c r="A267" s="330">
        <f>IFERROR(__xludf.DUMMYFUNCTION("""COMPUTED_VALUE"""),46094.0)</f>
        <v>46094</v>
      </c>
      <c r="B267" s="319" t="str">
        <f>IFERROR(__xludf.DUMMYFUNCTION("""COMPUTED_VALUE"""),"B. 1-9")</f>
        <v>B. 1-9</v>
      </c>
      <c r="C267" s="320">
        <f>IFERROR(__xludf.DUMMYFUNCTION("""COMPUTED_VALUE"""),32848.0)</f>
        <v>32848</v>
      </c>
      <c r="D267" s="320">
        <f>IFERROR(__xludf.DUMMYFUNCTION("""COMPUTED_VALUE"""),43.21)</f>
        <v>43.21</v>
      </c>
      <c r="E267" s="320">
        <f>IFERROR(__xludf.DUMMYFUNCTION("""COMPUTED_VALUE"""),8719.75)</f>
        <v>8719.75</v>
      </c>
      <c r="F267" s="320">
        <f>IFERROR(__xludf.DUMMYFUNCTION("""COMPUTED_VALUE"""),0.2655)</f>
        <v>0.2655</v>
      </c>
      <c r="G267" s="320">
        <f>IFERROR(__xludf.DUMMYFUNCTION("""COMPUTED_VALUE"""),7.22)</f>
        <v>7.22</v>
      </c>
      <c r="H267" s="320">
        <f>IFERROR(__xludf.DUMMYFUNCTION("""COMPUTED_VALUE"""),3.6777)</f>
        <v>3.6777</v>
      </c>
      <c r="I267" s="320">
        <f>IFERROR(__xludf.DUMMYFUNCTION("""COMPUTED_VALUE"""),33.58)</f>
        <v>33.58</v>
      </c>
      <c r="J267" s="320">
        <f>IFERROR(__xludf.DUMMYFUNCTION("""COMPUTED_VALUE"""),17.83)</f>
        <v>17.83</v>
      </c>
      <c r="K267" s="320">
        <f>IFERROR(__xludf.DUMMYFUNCTION("""COMPUTED_VALUE"""),5.6)</f>
        <v>5.6</v>
      </c>
      <c r="L267" s="320">
        <f>IFERROR(__xludf.DUMMYFUNCTION("""COMPUTED_VALUE"""),0.3142)</f>
        <v>0.3142</v>
      </c>
      <c r="M267" s="320">
        <f>IFERROR(__xludf.DUMMYFUNCTION("""COMPUTED_VALUE"""),0.7566)</f>
        <v>0.7566</v>
      </c>
      <c r="N267" s="320">
        <f>IFERROR(__xludf.DUMMYFUNCTION("""COMPUTED_VALUE"""),0.5075)</f>
        <v>0.5075</v>
      </c>
      <c r="O267" s="320">
        <f>IFERROR(__xludf.DUMMYFUNCTION("""COMPUTED_VALUE"""),3.1823)</f>
        <v>3.1823</v>
      </c>
      <c r="P267" s="320">
        <f>IFERROR(__xludf.DUMMYFUNCTION("""COMPUTED_VALUE"""),89.33)</f>
        <v>89.33</v>
      </c>
      <c r="Q267" s="320">
        <f>IFERROR(__xludf.DUMMYFUNCTION("""COMPUTED_VALUE"""),77.84)</f>
        <v>77.84</v>
      </c>
      <c r="R267" s="320">
        <f>IFERROR(__xludf.DUMMYFUNCTION("""COMPUTED_VALUE"""),11.49)</f>
        <v>11.49</v>
      </c>
      <c r="S267" s="320">
        <f>IFERROR(__xludf.DUMMYFUNCTION("""COMPUTED_VALUE"""),18.46)</f>
        <v>18.46</v>
      </c>
      <c r="T267" s="320">
        <f>IFERROR(__xludf.DUMMYFUNCTION("""COMPUTED_VALUE"""),70.87)</f>
        <v>70.87</v>
      </c>
      <c r="U267" s="320">
        <f>IFERROR(__xludf.DUMMYFUNCTION("""COMPUTED_VALUE"""),82.01)</f>
        <v>82.01</v>
      </c>
      <c r="V267" s="320">
        <f>IFERROR(__xludf.DUMMYFUNCTION("""COMPUTED_VALUE"""),4.5996)</f>
        <v>4.5996</v>
      </c>
      <c r="W267" s="320">
        <f>IFERROR(__xludf.DUMMYFUNCTION("""COMPUTED_VALUE"""),20.67)</f>
        <v>20.67</v>
      </c>
      <c r="X267" s="320">
        <f>IFERROR(__xludf.DUMMYFUNCTION("""COMPUTED_VALUE"""),89.0)</f>
        <v>89</v>
      </c>
      <c r="Y267" s="320">
        <f>IFERROR(__xludf.DUMMYFUNCTION("""COMPUTED_VALUE"""),215.0)</f>
        <v>215</v>
      </c>
      <c r="Z267" s="320">
        <f>IFERROR(__xludf.DUMMYFUNCTION("""COMPUTED_VALUE"""),843.0)</f>
        <v>843</v>
      </c>
      <c r="AA267" s="320">
        <f>IFERROR(__xludf.DUMMYFUNCTION("""COMPUTED_VALUE"""),49.7322)</f>
        <v>49.7322</v>
      </c>
      <c r="AB267" s="320">
        <f>IFERROR(__xludf.DUMMYFUNCTION("""COMPUTED_VALUE"""),0.4416)</f>
        <v>0.4416</v>
      </c>
      <c r="AC267" s="320">
        <f>IFERROR(__xludf.DUMMYFUNCTION("""COMPUTED_VALUE"""),3.64)</f>
        <v>3.64</v>
      </c>
      <c r="AD267" s="320">
        <f>IFERROR(__xludf.DUMMYFUNCTION("""COMPUTED_VALUE"""),1.0)</f>
        <v>1</v>
      </c>
      <c r="AE267" s="320">
        <f>IFERROR(__xludf.DUMMYFUNCTION("""COMPUTED_VALUE"""),2.0)</f>
        <v>2</v>
      </c>
      <c r="AF267" s="320">
        <f>IFERROR(__xludf.DUMMYFUNCTION("""COMPUTED_VALUE"""),5.0)</f>
        <v>5</v>
      </c>
      <c r="AG267" s="320">
        <f>IFERROR(__xludf.DUMMYFUNCTION("""COMPUTED_VALUE"""),8.0)</f>
        <v>8</v>
      </c>
      <c r="AH267" s="320">
        <f>IFERROR(__xludf.DUMMYFUNCTION("""COMPUTED_VALUE"""),68.05)</f>
        <v>68.05</v>
      </c>
      <c r="AI267" s="320">
        <f>IFERROR(__xludf.DUMMYFUNCTION("""COMPUTED_VALUE"""),26.04)</f>
        <v>26.04</v>
      </c>
      <c r="AJ267" s="320">
        <f>IFERROR(__xludf.DUMMYFUNCTION("""COMPUTED_VALUE"""),7.41)</f>
        <v>7.41</v>
      </c>
      <c r="AK267" s="320">
        <f>IFERROR(__xludf.DUMMYFUNCTION("""COMPUTED_VALUE"""),0.2345)</f>
        <v>0.2345</v>
      </c>
      <c r="AL267" s="320">
        <f>IFERROR(__xludf.DUMMYFUNCTION("""COMPUTED_VALUE"""),21.43)</f>
        <v>21.43</v>
      </c>
      <c r="AM267" s="320">
        <f>IFERROR(__xludf.DUMMYFUNCTION("""COMPUTED_VALUE"""),56.41)</f>
        <v>56.41</v>
      </c>
      <c r="AN267" s="320">
        <f>IFERROR(__xludf.DUMMYFUNCTION("""COMPUTED_VALUE"""),69.51)</f>
        <v>69.51</v>
      </c>
      <c r="AO267" s="320">
        <f>IFERROR(__xludf.DUMMYFUNCTION("""COMPUTED_VALUE"""),14.9)</f>
        <v>14.9</v>
      </c>
    </row>
    <row r="268" ht="15.75" customHeight="1">
      <c r="A268" s="330">
        <f>IFERROR(__xludf.DUMMYFUNCTION("""COMPUTED_VALUE"""),46094.0)</f>
        <v>46094</v>
      </c>
      <c r="B268" s="319" t="str">
        <f>IFERROR(__xludf.DUMMYFUNCTION("""COMPUTED_VALUE"""),"C. 10-19")</f>
        <v>C. 10-19</v>
      </c>
      <c r="C268" s="320">
        <f>IFERROR(__xludf.DUMMYFUNCTION("""COMPUTED_VALUE"""),15481.0)</f>
        <v>15481</v>
      </c>
      <c r="D268" s="320">
        <f>IFERROR(__xludf.DUMMYFUNCTION("""COMPUTED_VALUE"""),20.36)</f>
        <v>20.36</v>
      </c>
      <c r="E268" s="320">
        <f>IFERROR(__xludf.DUMMYFUNCTION("""COMPUTED_VALUE"""),16679.83)</f>
        <v>16679.83</v>
      </c>
      <c r="F268" s="320">
        <f>IFERROR(__xludf.DUMMYFUNCTION("""COMPUTED_VALUE"""),1.0774)</f>
        <v>1.0774</v>
      </c>
      <c r="G268" s="320">
        <f>IFERROR(__xludf.DUMMYFUNCTION("""COMPUTED_VALUE"""),22.11)</f>
        <v>22.11</v>
      </c>
      <c r="H268" s="320">
        <f>IFERROR(__xludf.DUMMYFUNCTION("""COMPUTED_VALUE"""),4.8729)</f>
        <v>4.8729</v>
      </c>
      <c r="I268" s="320">
        <f>IFERROR(__xludf.DUMMYFUNCTION("""COMPUTED_VALUE"""),60.47)</f>
        <v>60.47</v>
      </c>
      <c r="J268" s="320">
        <f>IFERROR(__xludf.DUMMYFUNCTION("""COMPUTED_VALUE"""),34.28)</f>
        <v>34.28</v>
      </c>
      <c r="K268" s="320">
        <f>IFERROR(__xludf.DUMMYFUNCTION("""COMPUTED_VALUE"""),14.31)</f>
        <v>14.31</v>
      </c>
      <c r="L268" s="320">
        <f>IFERROR(__xludf.DUMMYFUNCTION("""COMPUTED_VALUE"""),0.4174)</f>
        <v>0.4174</v>
      </c>
      <c r="M268" s="320">
        <f>IFERROR(__xludf.DUMMYFUNCTION("""COMPUTED_VALUE"""),0.6471)</f>
        <v>0.6471</v>
      </c>
      <c r="N268" s="320">
        <f>IFERROR(__xludf.DUMMYFUNCTION("""COMPUTED_VALUE"""),0.3724)</f>
        <v>0.3724</v>
      </c>
      <c r="O268" s="320">
        <f>IFERROR(__xludf.DUMMYFUNCTION("""COMPUTED_VALUE"""),2.3956)</f>
        <v>2.3956</v>
      </c>
      <c r="P268" s="320">
        <f>IFERROR(__xludf.DUMMYFUNCTION("""COMPUTED_VALUE"""),189.63)</f>
        <v>189.63</v>
      </c>
      <c r="Q268" s="320">
        <f>IFERROR(__xludf.DUMMYFUNCTION("""COMPUTED_VALUE"""),159.81)</f>
        <v>159.81</v>
      </c>
      <c r="R268" s="320">
        <f>IFERROR(__xludf.DUMMYFUNCTION("""COMPUTED_VALUE"""),29.83)</f>
        <v>29.83</v>
      </c>
      <c r="S268" s="320">
        <f>IFERROR(__xludf.DUMMYFUNCTION("""COMPUTED_VALUE"""),72.07)</f>
        <v>72.07</v>
      </c>
      <c r="T268" s="320">
        <f>IFERROR(__xludf.DUMMYFUNCTION("""COMPUTED_VALUE"""),117.57)</f>
        <v>117.57</v>
      </c>
      <c r="U268" s="320">
        <f>IFERROR(__xludf.DUMMYFUNCTION("""COMPUTED_VALUE"""),185.71)</f>
        <v>185.71</v>
      </c>
      <c r="V268" s="320">
        <f>IFERROR(__xludf.DUMMYFUNCTION("""COMPUTED_VALUE"""),5.4169)</f>
        <v>5.4169</v>
      </c>
      <c r="W268" s="320">
        <f>IFERROR(__xludf.DUMMYFUNCTION("""COMPUTED_VALUE"""),38.0)</f>
        <v>38</v>
      </c>
      <c r="X268" s="320">
        <f>IFERROR(__xludf.DUMMYFUNCTION("""COMPUTED_VALUE"""),85.0)</f>
        <v>85</v>
      </c>
      <c r="Y268" s="320">
        <f>IFERROR(__xludf.DUMMYFUNCTION("""COMPUTED_VALUE"""),196.0)</f>
        <v>196</v>
      </c>
      <c r="Z268" s="320">
        <f>IFERROR(__xludf.DUMMYFUNCTION("""COMPUTED_VALUE"""),593.0)</f>
        <v>593</v>
      </c>
      <c r="AA268" s="320">
        <f>IFERROR(__xludf.DUMMYFUNCTION("""COMPUTED_VALUE"""),52.3521)</f>
        <v>52.3521</v>
      </c>
      <c r="AB268" s="320">
        <f>IFERROR(__xludf.DUMMYFUNCTION("""COMPUTED_VALUE"""),0.5371)</f>
        <v>0.5371</v>
      </c>
      <c r="AC268" s="320">
        <f>IFERROR(__xludf.DUMMYFUNCTION("""COMPUTED_VALUE"""),9.1)</f>
        <v>9.1</v>
      </c>
      <c r="AD268" s="320">
        <f>IFERROR(__xludf.DUMMYFUNCTION("""COMPUTED_VALUE"""),3.0)</f>
        <v>3</v>
      </c>
      <c r="AE268" s="320">
        <f>IFERROR(__xludf.DUMMYFUNCTION("""COMPUTED_VALUE"""),7.0)</f>
        <v>7</v>
      </c>
      <c r="AF268" s="320">
        <f>IFERROR(__xludf.DUMMYFUNCTION("""COMPUTED_VALUE"""),12.0)</f>
        <v>12</v>
      </c>
      <c r="AG268" s="320">
        <f>IFERROR(__xludf.DUMMYFUNCTION("""COMPUTED_VALUE"""),20.0)</f>
        <v>20</v>
      </c>
      <c r="AH268" s="320">
        <f>IFERROR(__xludf.DUMMYFUNCTION("""COMPUTED_VALUE"""),55.69)</f>
        <v>55.69</v>
      </c>
      <c r="AI268" s="320">
        <f>IFERROR(__xludf.DUMMYFUNCTION("""COMPUTED_VALUE"""),25.16)</f>
        <v>25.16</v>
      </c>
      <c r="AJ268" s="320">
        <f>IFERROR(__xludf.DUMMYFUNCTION("""COMPUTED_VALUE"""),5.01)</f>
        <v>5.01</v>
      </c>
      <c r="AK268" s="320">
        <f>IFERROR(__xludf.DUMMYFUNCTION("""COMPUTED_VALUE"""),0.221)</f>
        <v>0.221</v>
      </c>
      <c r="AL268" s="320">
        <f>IFERROR(__xludf.DUMMYFUNCTION("""COMPUTED_VALUE"""),22.26)</f>
        <v>22.26</v>
      </c>
      <c r="AM268" s="320">
        <f>IFERROR(__xludf.DUMMYFUNCTION("""COMPUTED_VALUE"""),137.55)</f>
        <v>137.55</v>
      </c>
      <c r="AN268" s="320">
        <f>IFERROR(__xludf.DUMMYFUNCTION("""COMPUTED_VALUE"""),73.95)</f>
        <v>73.95</v>
      </c>
      <c r="AO268" s="320">
        <f>IFERROR(__xludf.DUMMYFUNCTION("""COMPUTED_VALUE"""),16.46)</f>
        <v>16.46</v>
      </c>
    </row>
    <row r="269" ht="15.75" customHeight="1">
      <c r="A269" s="330">
        <f>IFERROR(__xludf.DUMMYFUNCTION("""COMPUTED_VALUE"""),46094.0)</f>
        <v>46094</v>
      </c>
      <c r="B269" s="319" t="str">
        <f>IFERROR(__xludf.DUMMYFUNCTION("""COMPUTED_VALUE"""),"D. 20-39")</f>
        <v>D. 20-39</v>
      </c>
      <c r="C269" s="320">
        <f>IFERROR(__xludf.DUMMYFUNCTION("""COMPUTED_VALUE"""),8520.0)</f>
        <v>8520</v>
      </c>
      <c r="D269" s="320">
        <f>IFERROR(__xludf.DUMMYFUNCTION("""COMPUTED_VALUE"""),11.21)</f>
        <v>11.21</v>
      </c>
      <c r="E269" s="320">
        <f>IFERROR(__xludf.DUMMYFUNCTION("""COMPUTED_VALUE"""),21526.96)</f>
        <v>21526.96</v>
      </c>
      <c r="F269" s="320">
        <f>IFERROR(__xludf.DUMMYFUNCTION("""COMPUTED_VALUE"""),2.5266)</f>
        <v>2.5266</v>
      </c>
      <c r="G269" s="320">
        <f>IFERROR(__xludf.DUMMYFUNCTION("""COMPUTED_VALUE"""),33.81)</f>
        <v>33.81</v>
      </c>
      <c r="H269" s="320">
        <f>IFERROR(__xludf.DUMMYFUNCTION("""COMPUTED_VALUE"""),7.472)</f>
        <v>7.472</v>
      </c>
      <c r="I269" s="320">
        <f>IFERROR(__xludf.DUMMYFUNCTION("""COMPUTED_VALUE"""),87.96)</f>
        <v>87.96</v>
      </c>
      <c r="J269" s="320">
        <f>IFERROR(__xludf.DUMMYFUNCTION("""COMPUTED_VALUE"""),51.68)</f>
        <v>51.68</v>
      </c>
      <c r="K269" s="320">
        <f>IFERROR(__xludf.DUMMYFUNCTION("""COMPUTED_VALUE"""),27.37)</f>
        <v>27.37</v>
      </c>
      <c r="L269" s="320">
        <f>IFERROR(__xludf.DUMMYFUNCTION("""COMPUTED_VALUE"""),0.5297)</f>
        <v>0.5297</v>
      </c>
      <c r="M269" s="320">
        <f>IFERROR(__xludf.DUMMYFUNCTION("""COMPUTED_VALUE"""),0.5418)</f>
        <v>0.5418</v>
      </c>
      <c r="N269" s="320">
        <f>IFERROR(__xludf.DUMMYFUNCTION("""COMPUTED_VALUE"""),0.2989)</f>
        <v>0.2989</v>
      </c>
      <c r="O269" s="320">
        <f>IFERROR(__xludf.DUMMYFUNCTION("""COMPUTED_VALUE"""),1.8879)</f>
        <v>1.8879</v>
      </c>
      <c r="P269" s="320">
        <f>IFERROR(__xludf.DUMMYFUNCTION("""COMPUTED_VALUE"""),346.2)</f>
        <v>346.2</v>
      </c>
      <c r="Q269" s="320">
        <f>IFERROR(__xludf.DUMMYFUNCTION("""COMPUTED_VALUE"""),288.5)</f>
        <v>288.5</v>
      </c>
      <c r="R269" s="320">
        <f>IFERROR(__xludf.DUMMYFUNCTION("""COMPUTED_VALUE"""),57.7)</f>
        <v>57.7</v>
      </c>
      <c r="S269" s="320">
        <f>IFERROR(__xludf.DUMMYFUNCTION("""COMPUTED_VALUE"""),165.36)</f>
        <v>165.36</v>
      </c>
      <c r="T269" s="320">
        <f>IFERROR(__xludf.DUMMYFUNCTION("""COMPUTED_VALUE"""),180.84)</f>
        <v>180.84</v>
      </c>
      <c r="U269" s="320">
        <f>IFERROR(__xludf.DUMMYFUNCTION("""COMPUTED_VALUE"""),346.72)</f>
        <v>346.72</v>
      </c>
      <c r="V269" s="320">
        <f>IFERROR(__xludf.DUMMYFUNCTION("""COMPUTED_VALUE"""),6.7093)</f>
        <v>6.7093</v>
      </c>
      <c r="W269" s="320">
        <f>IFERROR(__xludf.DUMMYFUNCTION("""COMPUTED_VALUE"""),47.76)</f>
        <v>47.76</v>
      </c>
      <c r="X269" s="320">
        <f>IFERROR(__xludf.DUMMYFUNCTION("""COMPUTED_VALUE"""),90.0)</f>
        <v>90</v>
      </c>
      <c r="Y269" s="320">
        <f>IFERROR(__xludf.DUMMYFUNCTION("""COMPUTED_VALUE"""),228.0)</f>
        <v>228</v>
      </c>
      <c r="Z269" s="320">
        <f>IFERROR(__xludf.DUMMYFUNCTION("""COMPUTED_VALUE"""),669.0)</f>
        <v>669</v>
      </c>
      <c r="AA269" s="320">
        <f>IFERROR(__xludf.DUMMYFUNCTION("""COMPUTED_VALUE"""),54.6305)</f>
        <v>54.6305</v>
      </c>
      <c r="AB269" s="320">
        <f>IFERROR(__xludf.DUMMYFUNCTION("""COMPUTED_VALUE"""),0.6449)</f>
        <v>0.6449</v>
      </c>
      <c r="AC269" s="320">
        <f>IFERROR(__xludf.DUMMYFUNCTION("""COMPUTED_VALUE"""),17.4)</f>
        <v>17.4</v>
      </c>
      <c r="AD269" s="320">
        <f>IFERROR(__xludf.DUMMYFUNCTION("""COMPUTED_VALUE"""),6.0)</f>
        <v>6</v>
      </c>
      <c r="AE269" s="320">
        <f>IFERROR(__xludf.DUMMYFUNCTION("""COMPUTED_VALUE"""),13.0)</f>
        <v>13</v>
      </c>
      <c r="AF269" s="320">
        <f>IFERROR(__xludf.DUMMYFUNCTION("""COMPUTED_VALUE"""),24.0)</f>
        <v>24</v>
      </c>
      <c r="AG269" s="320">
        <f>IFERROR(__xludf.DUMMYFUNCTION("""COMPUTED_VALUE"""),37.0)</f>
        <v>37</v>
      </c>
      <c r="AH269" s="320">
        <f>IFERROR(__xludf.DUMMYFUNCTION("""COMPUTED_VALUE"""),56.89)</f>
        <v>56.89</v>
      </c>
      <c r="AI269" s="320">
        <f>IFERROR(__xludf.DUMMYFUNCTION("""COMPUTED_VALUE"""),23.25)</f>
        <v>23.25</v>
      </c>
      <c r="AJ269" s="320">
        <f>IFERROR(__xludf.DUMMYFUNCTION("""COMPUTED_VALUE"""),7.3)</f>
        <v>7.3</v>
      </c>
      <c r="AK269" s="320">
        <f>IFERROR(__xludf.DUMMYFUNCTION("""COMPUTED_VALUE"""),0.2086)</f>
        <v>0.2086</v>
      </c>
      <c r="AL269" s="320">
        <f>IFERROR(__xludf.DUMMYFUNCTION("""COMPUTED_VALUE"""),21.12)</f>
        <v>21.12</v>
      </c>
      <c r="AM269" s="320">
        <f>IFERROR(__xludf.DUMMYFUNCTION("""COMPUTED_VALUE"""),267.38)</f>
        <v>267.38</v>
      </c>
      <c r="AN269" s="320">
        <f>IFERROR(__xludf.DUMMYFUNCTION("""COMPUTED_VALUE"""),75.85)</f>
        <v>75.85</v>
      </c>
      <c r="AO269" s="320">
        <f>IFERROR(__xludf.DUMMYFUNCTION("""COMPUTED_VALUE"""),16.02)</f>
        <v>16.02</v>
      </c>
    </row>
    <row r="270" ht="15.75" customHeight="1">
      <c r="A270" s="330">
        <f>IFERROR(__xludf.DUMMYFUNCTION("""COMPUTED_VALUE"""),46094.0)</f>
        <v>46094</v>
      </c>
      <c r="B270" s="319" t="str">
        <f>IFERROR(__xludf.DUMMYFUNCTION("""COMPUTED_VALUE"""),"E. 40-99")</f>
        <v>E. 40-99</v>
      </c>
      <c r="C270" s="320">
        <f>IFERROR(__xludf.DUMMYFUNCTION("""COMPUTED_VALUE"""),3546.0)</f>
        <v>3546</v>
      </c>
      <c r="D270" s="320">
        <f>IFERROR(__xludf.DUMMYFUNCTION("""COMPUTED_VALUE"""),4.66)</f>
        <v>4.66</v>
      </c>
      <c r="E270" s="320">
        <f>IFERROR(__xludf.DUMMYFUNCTION("""COMPUTED_VALUE"""),20911.0)</f>
        <v>20911</v>
      </c>
      <c r="F270" s="320">
        <f>IFERROR(__xludf.DUMMYFUNCTION("""COMPUTED_VALUE"""),5.8971)</f>
        <v>5.8971</v>
      </c>
      <c r="G270" s="320">
        <f>IFERROR(__xludf.DUMMYFUNCTION("""COMPUTED_VALUE"""),43.71)</f>
        <v>43.71</v>
      </c>
      <c r="H270" s="320">
        <f>IFERROR(__xludf.DUMMYFUNCTION("""COMPUTED_VALUE"""),13.491)</f>
        <v>13.491</v>
      </c>
      <c r="I270" s="320">
        <f>IFERROR(__xludf.DUMMYFUNCTION("""COMPUTED_VALUE"""),132.01)</f>
        <v>132.01</v>
      </c>
      <c r="J270" s="320">
        <f>IFERROR(__xludf.DUMMYFUNCTION("""COMPUTED_VALUE"""),81.28)</f>
        <v>81.28</v>
      </c>
      <c r="K270" s="320">
        <f>IFERROR(__xludf.DUMMYFUNCTION("""COMPUTED_VALUE"""),54.61)</f>
        <v>54.61</v>
      </c>
      <c r="L270" s="320">
        <f>IFERROR(__xludf.DUMMYFUNCTION("""COMPUTED_VALUE"""),0.6719)</f>
        <v>0.6719</v>
      </c>
      <c r="M270" s="320">
        <f>IFERROR(__xludf.DUMMYFUNCTION("""COMPUTED_VALUE"""),0.4134)</f>
        <v>0.4134</v>
      </c>
      <c r="N270" s="320">
        <f>IFERROR(__xludf.DUMMYFUNCTION("""COMPUTED_VALUE"""),0.2301)</f>
        <v>0.2301</v>
      </c>
      <c r="O270" s="320">
        <f>IFERROR(__xludf.DUMMYFUNCTION("""COMPUTED_VALUE"""),1.4884)</f>
        <v>1.4884</v>
      </c>
      <c r="P270" s="320">
        <f>IFERROR(__xludf.DUMMYFUNCTION("""COMPUTED_VALUE"""),663.98)</f>
        <v>663.98</v>
      </c>
      <c r="Q270" s="320">
        <f>IFERROR(__xludf.DUMMYFUNCTION("""COMPUTED_VALUE"""),549.09)</f>
        <v>549.09</v>
      </c>
      <c r="R270" s="320">
        <f>IFERROR(__xludf.DUMMYFUNCTION("""COMPUTED_VALUE"""),114.89)</f>
        <v>114.89</v>
      </c>
      <c r="S270" s="320">
        <f>IFERROR(__xludf.DUMMYFUNCTION("""COMPUTED_VALUE"""),367.89)</f>
        <v>367.89</v>
      </c>
      <c r="T270" s="320">
        <f>IFERROR(__xludf.DUMMYFUNCTION("""COMPUTED_VALUE"""),296.1)</f>
        <v>296.1</v>
      </c>
      <c r="U270" s="320">
        <f>IFERROR(__xludf.DUMMYFUNCTION("""COMPUTED_VALUE"""),689.93)</f>
        <v>689.93</v>
      </c>
      <c r="V270" s="320">
        <f>IFERROR(__xludf.DUMMYFUNCTION("""COMPUTED_VALUE"""),8.488)</f>
        <v>8.488</v>
      </c>
      <c r="W270" s="320">
        <f>IFERROR(__xludf.DUMMYFUNCTION("""COMPUTED_VALUE"""),55.41)</f>
        <v>55.41</v>
      </c>
      <c r="X270" s="320">
        <f>IFERROR(__xludf.DUMMYFUNCTION("""COMPUTED_VALUE"""),102.0)</f>
        <v>102</v>
      </c>
      <c r="Y270" s="320">
        <f>IFERROR(__xludf.DUMMYFUNCTION("""COMPUTED_VALUE"""),319.0)</f>
        <v>319</v>
      </c>
      <c r="Z270" s="320">
        <f>IFERROR(__xludf.DUMMYFUNCTION("""COMPUTED_VALUE"""),965.0)</f>
        <v>965</v>
      </c>
      <c r="AA270" s="320">
        <f>IFERROR(__xludf.DUMMYFUNCTION("""COMPUTED_VALUE"""),57.7124)</f>
        <v>57.7124</v>
      </c>
      <c r="AB270" s="320">
        <f>IFERROR(__xludf.DUMMYFUNCTION("""COMPUTED_VALUE"""),0.7558)</f>
        <v>0.7558</v>
      </c>
      <c r="AC270" s="320">
        <f>IFERROR(__xludf.DUMMYFUNCTION("""COMPUTED_VALUE"""),36.36)</f>
        <v>36.36</v>
      </c>
      <c r="AD270" s="320">
        <f>IFERROR(__xludf.DUMMYFUNCTION("""COMPUTED_VALUE"""),12.0)</f>
        <v>12</v>
      </c>
      <c r="AE270" s="320">
        <f>IFERROR(__xludf.DUMMYFUNCTION("""COMPUTED_VALUE"""),27.0)</f>
        <v>27</v>
      </c>
      <c r="AF270" s="320">
        <f>IFERROR(__xludf.DUMMYFUNCTION("""COMPUTED_VALUE"""),52.0)</f>
        <v>52</v>
      </c>
      <c r="AG270" s="320">
        <f>IFERROR(__xludf.DUMMYFUNCTION("""COMPUTED_VALUE"""),79.0)</f>
        <v>79</v>
      </c>
      <c r="AH270" s="320">
        <f>IFERROR(__xludf.DUMMYFUNCTION("""COMPUTED_VALUE"""),49.38)</f>
        <v>49.38</v>
      </c>
      <c r="AI270" s="320">
        <f>IFERROR(__xludf.DUMMYFUNCTION("""COMPUTED_VALUE"""),19.57)</f>
        <v>19.57</v>
      </c>
      <c r="AJ270" s="320">
        <f>IFERROR(__xludf.DUMMYFUNCTION("""COMPUTED_VALUE"""),4.77)</f>
        <v>4.77</v>
      </c>
      <c r="AK270" s="320">
        <f>IFERROR(__xludf.DUMMYFUNCTION("""COMPUTED_VALUE"""),0.1977)</f>
        <v>0.1977</v>
      </c>
      <c r="AL270" s="320">
        <f>IFERROR(__xludf.DUMMYFUNCTION("""COMPUTED_VALUE"""),21.02)</f>
        <v>21.02</v>
      </c>
      <c r="AM270" s="320">
        <f>IFERROR(__xludf.DUMMYFUNCTION("""COMPUTED_VALUE"""),528.07)</f>
        <v>528.07</v>
      </c>
      <c r="AN270" s="320">
        <f>IFERROR(__xludf.DUMMYFUNCTION("""COMPUTED_VALUE"""),75.9)</f>
        <v>75.9</v>
      </c>
      <c r="AO270" s="320">
        <f>IFERROR(__xludf.DUMMYFUNCTION("""COMPUTED_VALUE"""),15.95)</f>
        <v>15.95</v>
      </c>
    </row>
    <row r="271" ht="15.75" customHeight="1">
      <c r="A271" s="330">
        <f>IFERROR(__xludf.DUMMYFUNCTION("""COMPUTED_VALUE"""),46094.0)</f>
        <v>46094</v>
      </c>
      <c r="B271" s="319" t="str">
        <f>IFERROR(__xludf.DUMMYFUNCTION("""COMPUTED_VALUE"""),"F. 100+")</f>
        <v>F. 100+</v>
      </c>
      <c r="C271" s="320">
        <f>IFERROR(__xludf.DUMMYFUNCTION("""COMPUTED_VALUE"""),385.0)</f>
        <v>385</v>
      </c>
      <c r="D271" s="320">
        <f>IFERROR(__xludf.DUMMYFUNCTION("""COMPUTED_VALUE"""),0.51)</f>
        <v>0.51</v>
      </c>
      <c r="E271" s="320">
        <f>IFERROR(__xludf.DUMMYFUNCTION("""COMPUTED_VALUE"""),4208.1)</f>
        <v>4208.1</v>
      </c>
      <c r="F271" s="320">
        <f>IFERROR(__xludf.DUMMYFUNCTION("""COMPUTED_VALUE"""),10.9301)</f>
        <v>10.9301</v>
      </c>
      <c r="G271" s="320">
        <f>IFERROR(__xludf.DUMMYFUNCTION("""COMPUTED_VALUE"""),45.97)</f>
        <v>45.97</v>
      </c>
      <c r="H271" s="320">
        <f>IFERROR(__xludf.DUMMYFUNCTION("""COMPUTED_VALUE"""),23.7746)</f>
        <v>23.7746</v>
      </c>
      <c r="I271" s="320">
        <f>IFERROR(__xludf.DUMMYFUNCTION("""COMPUTED_VALUE"""),240.96)</f>
        <v>240.96</v>
      </c>
      <c r="J271" s="320">
        <f>IFERROR(__xludf.DUMMYFUNCTION("""COMPUTED_VALUE"""),154.5)</f>
        <v>154.5</v>
      </c>
      <c r="K271" s="320">
        <f>IFERROR(__xludf.DUMMYFUNCTION("""COMPUTED_VALUE"""),124.49)</f>
        <v>124.49</v>
      </c>
      <c r="L271" s="320">
        <f>IFERROR(__xludf.DUMMYFUNCTION("""COMPUTED_VALUE"""),0.8057)</f>
        <v>0.8057</v>
      </c>
      <c r="M271" s="320">
        <f>IFERROR(__xludf.DUMMYFUNCTION("""COMPUTED_VALUE"""),0.2817)</f>
        <v>0.2817</v>
      </c>
      <c r="N271" s="320">
        <f>IFERROR(__xludf.DUMMYFUNCTION("""COMPUTED_VALUE"""),0.1697)</f>
        <v>0.1697</v>
      </c>
      <c r="O271" s="320">
        <f>IFERROR(__xludf.DUMMYFUNCTION("""COMPUTED_VALUE"""),1.2411)</f>
        <v>1.2411</v>
      </c>
      <c r="P271" s="320">
        <f>IFERROR(__xludf.DUMMYFUNCTION("""COMPUTED_VALUE"""),1277.69)</f>
        <v>1277.69</v>
      </c>
      <c r="Q271" s="320">
        <f>IFERROR(__xludf.DUMMYFUNCTION("""COMPUTED_VALUE"""),1015.34)</f>
        <v>1015.34</v>
      </c>
      <c r="R271" s="320">
        <f>IFERROR(__xludf.DUMMYFUNCTION("""COMPUTED_VALUE"""),262.35)</f>
        <v>262.35</v>
      </c>
      <c r="S271" s="320">
        <f>IFERROR(__xludf.DUMMYFUNCTION("""COMPUTED_VALUE"""),679.31)</f>
        <v>679.31</v>
      </c>
      <c r="T271" s="320">
        <f>IFERROR(__xludf.DUMMYFUNCTION("""COMPUTED_VALUE"""),598.38)</f>
        <v>598.38</v>
      </c>
      <c r="U271" s="320">
        <f>IFERROR(__xludf.DUMMYFUNCTION("""COMPUTED_VALUE"""),1306.23)</f>
        <v>1306.23</v>
      </c>
      <c r="V271" s="320">
        <f>IFERROR(__xludf.DUMMYFUNCTION("""COMPUTED_VALUE"""),8.4545)</f>
        <v>8.4545</v>
      </c>
      <c r="W271" s="320">
        <f>IFERROR(__xludf.DUMMYFUNCTION("""COMPUTED_VALUE"""),53.17)</f>
        <v>53.17</v>
      </c>
      <c r="X271" s="320">
        <f>IFERROR(__xludf.DUMMYFUNCTION("""COMPUTED_VALUE"""),160.0)</f>
        <v>160</v>
      </c>
      <c r="Y271" s="320">
        <f>IFERROR(__xludf.DUMMYFUNCTION("""COMPUTED_VALUE"""),604.0)</f>
        <v>604</v>
      </c>
      <c r="Z271" s="320">
        <f>IFERROR(__xludf.DUMMYFUNCTION("""COMPUTED_VALUE"""),1861.0)</f>
        <v>1861</v>
      </c>
      <c r="AA271" s="320">
        <f>IFERROR(__xludf.DUMMYFUNCTION("""COMPUTED_VALUE"""),61.5934)</f>
        <v>61.5934</v>
      </c>
      <c r="AB271" s="320">
        <f>IFERROR(__xludf.DUMMYFUNCTION("""COMPUTED_VALUE"""),0.8393)</f>
        <v>0.8393</v>
      </c>
      <c r="AC271" s="320">
        <f>IFERROR(__xludf.DUMMYFUNCTION("""COMPUTED_VALUE"""),85.8)</f>
        <v>85.8</v>
      </c>
      <c r="AD271" s="320">
        <f>IFERROR(__xludf.DUMMYFUNCTION("""COMPUTED_VALUE"""),28.0)</f>
        <v>28</v>
      </c>
      <c r="AE271" s="320">
        <f>IFERROR(__xludf.DUMMYFUNCTION("""COMPUTED_VALUE"""),66.0)</f>
        <v>66</v>
      </c>
      <c r="AF271" s="320">
        <f>IFERROR(__xludf.DUMMYFUNCTION("""COMPUTED_VALUE"""),126.0)</f>
        <v>126</v>
      </c>
      <c r="AG271" s="320">
        <f>IFERROR(__xludf.DUMMYFUNCTION("""COMPUTED_VALUE"""),187.0)</f>
        <v>187</v>
      </c>
      <c r="AH271" s="320">
        <f>IFERROR(__xludf.DUMMYFUNCTION("""COMPUTED_VALUE"""),44.16)</f>
        <v>44.16</v>
      </c>
      <c r="AI271" s="320">
        <f>IFERROR(__xludf.DUMMYFUNCTION("""COMPUTED_VALUE"""),11.95)</f>
        <v>11.95</v>
      </c>
      <c r="AJ271" s="320">
        <f>IFERROR(__xludf.DUMMYFUNCTION("""COMPUTED_VALUE"""),1.56)</f>
        <v>1.56</v>
      </c>
      <c r="AK271" s="320">
        <f>IFERROR(__xludf.DUMMYFUNCTION("""COMPUTED_VALUE"""),0.161)</f>
        <v>0.161</v>
      </c>
      <c r="AL271" s="320">
        <f>IFERROR(__xludf.DUMMYFUNCTION("""COMPUTED_VALUE"""),21.26)</f>
        <v>21.26</v>
      </c>
      <c r="AM271" s="320">
        <f>IFERROR(__xludf.DUMMYFUNCTION("""COMPUTED_VALUE"""),994.08)</f>
        <v>994.08</v>
      </c>
      <c r="AN271" s="320">
        <f>IFERROR(__xludf.DUMMYFUNCTION("""COMPUTED_VALUE"""),75.58)</f>
        <v>75.58</v>
      </c>
      <c r="AO271" s="320">
        <f>IFERROR(__xludf.DUMMYFUNCTION("""COMPUTED_VALUE"""),16.07)</f>
        <v>16.07</v>
      </c>
    </row>
    <row r="272" ht="15.75" customHeight="1">
      <c r="A272" s="330">
        <f>IFERROR(__xludf.DUMMYFUNCTION("""COMPUTED_VALUE"""),46095.0)</f>
        <v>46095</v>
      </c>
      <c r="B272" s="319" t="str">
        <f>IFERROR(__xludf.DUMMYFUNCTION("""COMPUTED_VALUE"""),"A. 0")</f>
        <v>A. 0</v>
      </c>
      <c r="C272" s="320">
        <f>IFERROR(__xludf.DUMMYFUNCTION("""COMPUTED_VALUE"""),15580.0)</f>
        <v>15580</v>
      </c>
      <c r="D272" s="320">
        <f>IFERROR(__xludf.DUMMYFUNCTION("""COMPUTED_VALUE"""),20.74)</f>
        <v>20.74</v>
      </c>
      <c r="E272" s="320">
        <f>IFERROR(__xludf.DUMMYFUNCTION("""COMPUTED_VALUE"""),155.89)</f>
        <v>155.89</v>
      </c>
      <c r="F272" s="320">
        <f>IFERROR(__xludf.DUMMYFUNCTION("""COMPUTED_VALUE"""),0.01)</f>
        <v>0.01</v>
      </c>
      <c r="G272" s="320">
        <f>IFERROR(__xludf.DUMMYFUNCTION("""COMPUTED_VALUE"""),0.24)</f>
        <v>0.24</v>
      </c>
      <c r="H272" s="320">
        <f>IFERROR(__xludf.DUMMYFUNCTION("""COMPUTED_VALUE"""),4.1024)</f>
        <v>4.1024</v>
      </c>
      <c r="I272" s="320">
        <f>IFERROR(__xludf.DUMMYFUNCTION("""COMPUTED_VALUE"""),6.03)</f>
        <v>6.03</v>
      </c>
      <c r="J272" s="320">
        <f>IFERROR(__xludf.DUMMYFUNCTION("""COMPUTED_VALUE"""),2.63)</f>
        <v>2.63</v>
      </c>
      <c r="K272" s="320">
        <f>IFERROR(__xludf.DUMMYFUNCTION("""COMPUTED_VALUE"""),0.03)</f>
        <v>0.03</v>
      </c>
      <c r="L272" s="320">
        <f>IFERROR(__xludf.DUMMYFUNCTION("""COMPUTED_VALUE"""),0.0124)</f>
        <v>0.0124</v>
      </c>
      <c r="M272" s="320">
        <f>IFERROR(__xludf.DUMMYFUNCTION("""COMPUTED_VALUE"""),0.9889)</f>
        <v>0.9889</v>
      </c>
      <c r="N272" s="320">
        <f>IFERROR(__xludf.DUMMYFUNCTION("""COMPUTED_VALUE"""),0.8515)</f>
        <v>0.8515</v>
      </c>
      <c r="O272" s="320">
        <f>IFERROR(__xludf.DUMMYFUNCTION("""COMPUTED_VALUE"""),80.83)</f>
        <v>80.83</v>
      </c>
      <c r="P272" s="320">
        <f>IFERROR(__xludf.DUMMYFUNCTION("""COMPUTED_VALUE"""),27.23)</f>
        <v>27.23</v>
      </c>
      <c r="Q272" s="320">
        <f>IFERROR(__xludf.DUMMYFUNCTION("""COMPUTED_VALUE"""),27.14)</f>
        <v>27.14</v>
      </c>
      <c r="R272" s="320">
        <f>IFERROR(__xludf.DUMMYFUNCTION("""COMPUTED_VALUE"""),0.09)</f>
        <v>0.09</v>
      </c>
      <c r="S272" s="320">
        <f>IFERROR(__xludf.DUMMYFUNCTION("""COMPUTED_VALUE"""),0.8)</f>
        <v>0.8</v>
      </c>
      <c r="T272" s="320">
        <f>IFERROR(__xludf.DUMMYFUNCTION("""COMPUTED_VALUE"""),26.42)</f>
        <v>26.42</v>
      </c>
      <c r="U272" s="320">
        <f>IFERROR(__xludf.DUMMYFUNCTION("""COMPUTED_VALUE"""),1.97)</f>
        <v>1.97</v>
      </c>
      <c r="V272" s="320">
        <f>IFERROR(__xludf.DUMMYFUNCTION("""COMPUTED_VALUE"""),0.7518)</f>
        <v>0.7518</v>
      </c>
      <c r="W272" s="320">
        <f>IFERROR(__xludf.DUMMYFUNCTION("""COMPUTED_VALUE"""),2.95)</f>
        <v>2.95</v>
      </c>
      <c r="X272" s="320">
        <f>IFERROR(__xludf.DUMMYFUNCTION("""COMPUTED_VALUE"""),155.0)</f>
        <v>155</v>
      </c>
      <c r="Y272" s="320">
        <f>IFERROR(__xludf.DUMMYFUNCTION("""COMPUTED_VALUE"""),1061.0)</f>
        <v>1061</v>
      </c>
      <c r="Z272" s="320">
        <f>IFERROR(__xludf.DUMMYFUNCTION("""COMPUTED_VALUE"""),7137.0)</f>
        <v>7137</v>
      </c>
      <c r="AA272" s="320">
        <f>IFERROR(__xludf.DUMMYFUNCTION("""COMPUTED_VALUE"""),49.971)</f>
        <v>49.971</v>
      </c>
      <c r="AB272" s="320">
        <f>IFERROR(__xludf.DUMMYFUNCTION("""COMPUTED_VALUE"""),0.5057)</f>
        <v>0.5057</v>
      </c>
      <c r="AC272" s="106"/>
      <c r="AD272" s="106"/>
      <c r="AE272" s="106"/>
      <c r="AF272" s="106"/>
      <c r="AG272" s="106"/>
      <c r="AH272" s="320">
        <f>IFERROR(__xludf.DUMMYFUNCTION("""COMPUTED_VALUE"""),0.0)</f>
        <v>0</v>
      </c>
      <c r="AI272" s="320">
        <f>IFERROR(__xludf.DUMMYFUNCTION("""COMPUTED_VALUE"""),0.0)</f>
        <v>0</v>
      </c>
      <c r="AJ272" s="320">
        <f>IFERROR(__xludf.DUMMYFUNCTION("""COMPUTED_VALUE"""),0.0)</f>
        <v>0</v>
      </c>
      <c r="AK272" s="320">
        <f>IFERROR(__xludf.DUMMYFUNCTION("""COMPUTED_VALUE"""),0.2775)</f>
        <v>0.2775</v>
      </c>
      <c r="AL272" s="320">
        <f>IFERROR(__xludf.DUMMYFUNCTION("""COMPUTED_VALUE"""),17.86)</f>
        <v>17.86</v>
      </c>
      <c r="AM272" s="320">
        <f>IFERROR(__xludf.DUMMYFUNCTION("""COMPUTED_VALUE"""),9.28)</f>
        <v>9.28</v>
      </c>
      <c r="AN272" s="331"/>
      <c r="AO272" s="331"/>
    </row>
    <row r="273" ht="15.75" customHeight="1">
      <c r="A273" s="330">
        <f>IFERROR(__xludf.DUMMYFUNCTION("""COMPUTED_VALUE"""),46095.0)</f>
        <v>46095</v>
      </c>
      <c r="B273" s="319" t="str">
        <f>IFERROR(__xludf.DUMMYFUNCTION("""COMPUTED_VALUE"""),"B. 1-9")</f>
        <v>B. 1-9</v>
      </c>
      <c r="C273" s="320">
        <f>IFERROR(__xludf.DUMMYFUNCTION("""COMPUTED_VALUE"""),32122.0)</f>
        <v>32122</v>
      </c>
      <c r="D273" s="320">
        <f>IFERROR(__xludf.DUMMYFUNCTION("""COMPUTED_VALUE"""),42.77)</f>
        <v>42.77</v>
      </c>
      <c r="E273" s="320">
        <f>IFERROR(__xludf.DUMMYFUNCTION("""COMPUTED_VALUE"""),7784.16)</f>
        <v>7784.16</v>
      </c>
      <c r="F273" s="320">
        <f>IFERROR(__xludf.DUMMYFUNCTION("""COMPUTED_VALUE"""),0.2423)</f>
        <v>0.2423</v>
      </c>
      <c r="G273" s="320">
        <f>IFERROR(__xludf.DUMMYFUNCTION("""COMPUTED_VALUE"""),7.15)</f>
        <v>7.15</v>
      </c>
      <c r="H273" s="320">
        <f>IFERROR(__xludf.DUMMYFUNCTION("""COMPUTED_VALUE"""),3.3874)</f>
        <v>3.3874</v>
      </c>
      <c r="I273" s="320">
        <f>IFERROR(__xludf.DUMMYFUNCTION("""COMPUTED_VALUE"""),32.01)</f>
        <v>32.01</v>
      </c>
      <c r="J273" s="320">
        <f>IFERROR(__xludf.DUMMYFUNCTION("""COMPUTED_VALUE"""),17.08)</f>
        <v>17.08</v>
      </c>
      <c r="K273" s="320">
        <f>IFERROR(__xludf.DUMMYFUNCTION("""COMPUTED_VALUE"""),5.56)</f>
        <v>5.56</v>
      </c>
      <c r="L273" s="320">
        <f>IFERROR(__xludf.DUMMYFUNCTION("""COMPUTED_VALUE"""),0.3254)</f>
        <v>0.3254</v>
      </c>
      <c r="M273" s="320">
        <f>IFERROR(__xludf.DUMMYFUNCTION("""COMPUTED_VALUE"""),0.7468)</f>
        <v>0.7468</v>
      </c>
      <c r="N273" s="320">
        <f>IFERROR(__xludf.DUMMYFUNCTION("""COMPUTED_VALUE"""),0.4996)</f>
        <v>0.4996</v>
      </c>
      <c r="O273" s="320">
        <f>IFERROR(__xludf.DUMMYFUNCTION("""COMPUTED_VALUE"""),3.0729)</f>
        <v>3.0729</v>
      </c>
      <c r="P273" s="320">
        <f>IFERROR(__xludf.DUMMYFUNCTION("""COMPUTED_VALUE"""),75.59)</f>
        <v>75.59</v>
      </c>
      <c r="Q273" s="320">
        <f>IFERROR(__xludf.DUMMYFUNCTION("""COMPUTED_VALUE"""),64.15)</f>
        <v>64.15</v>
      </c>
      <c r="R273" s="320">
        <f>IFERROR(__xludf.DUMMYFUNCTION("""COMPUTED_VALUE"""),11.44)</f>
        <v>11.44</v>
      </c>
      <c r="S273" s="320">
        <f>IFERROR(__xludf.DUMMYFUNCTION("""COMPUTED_VALUE"""),17.15)</f>
        <v>17.15</v>
      </c>
      <c r="T273" s="320">
        <f>IFERROR(__xludf.DUMMYFUNCTION("""COMPUTED_VALUE"""),58.43)</f>
        <v>58.43</v>
      </c>
      <c r="U273" s="320">
        <f>IFERROR(__xludf.DUMMYFUNCTION("""COMPUTED_VALUE"""),79.14)</f>
        <v>79.14</v>
      </c>
      <c r="V273" s="320">
        <f>IFERROR(__xludf.DUMMYFUNCTION("""COMPUTED_VALUE"""),4.6345)</f>
        <v>4.6345</v>
      </c>
      <c r="W273" s="320">
        <f>IFERROR(__xludf.DUMMYFUNCTION("""COMPUTED_VALUE"""),22.69)</f>
        <v>22.69</v>
      </c>
      <c r="X273" s="320">
        <f>IFERROR(__xludf.DUMMYFUNCTION("""COMPUTED_VALUE"""),87.0)</f>
        <v>87</v>
      </c>
      <c r="Y273" s="320">
        <f>IFERROR(__xludf.DUMMYFUNCTION("""COMPUTED_VALUE"""),216.0)</f>
        <v>216</v>
      </c>
      <c r="Z273" s="320">
        <f>IFERROR(__xludf.DUMMYFUNCTION("""COMPUTED_VALUE"""),870.0)</f>
        <v>870</v>
      </c>
      <c r="AA273" s="320">
        <f>IFERROR(__xludf.DUMMYFUNCTION("""COMPUTED_VALUE"""),49.7629)</f>
        <v>49.7629</v>
      </c>
      <c r="AB273" s="320">
        <f>IFERROR(__xludf.DUMMYFUNCTION("""COMPUTED_VALUE"""),0.4474)</f>
        <v>0.4474</v>
      </c>
      <c r="AC273" s="320">
        <f>IFERROR(__xludf.DUMMYFUNCTION("""COMPUTED_VALUE"""),3.69)</f>
        <v>3.69</v>
      </c>
      <c r="AD273" s="320">
        <f>IFERROR(__xludf.DUMMYFUNCTION("""COMPUTED_VALUE"""),1.0)</f>
        <v>1</v>
      </c>
      <c r="AE273" s="320">
        <f>IFERROR(__xludf.DUMMYFUNCTION("""COMPUTED_VALUE"""),2.0)</f>
        <v>2</v>
      </c>
      <c r="AF273" s="320">
        <f>IFERROR(__xludf.DUMMYFUNCTION("""COMPUTED_VALUE"""),5.0)</f>
        <v>5</v>
      </c>
      <c r="AG273" s="320">
        <f>IFERROR(__xludf.DUMMYFUNCTION("""COMPUTED_VALUE"""),8.0)</f>
        <v>8</v>
      </c>
      <c r="AH273" s="320">
        <f>IFERROR(__xludf.DUMMYFUNCTION("""COMPUTED_VALUE"""),67.53)</f>
        <v>67.53</v>
      </c>
      <c r="AI273" s="320">
        <f>IFERROR(__xludf.DUMMYFUNCTION("""COMPUTED_VALUE"""),26.17)</f>
        <v>26.17</v>
      </c>
      <c r="AJ273" s="320">
        <f>IFERROR(__xludf.DUMMYFUNCTION("""COMPUTED_VALUE"""),7.93)</f>
        <v>7.93</v>
      </c>
      <c r="AK273" s="320">
        <f>IFERROR(__xludf.DUMMYFUNCTION("""COMPUTED_VALUE"""),0.2125)</f>
        <v>0.2125</v>
      </c>
      <c r="AL273" s="320">
        <f>IFERROR(__xludf.DUMMYFUNCTION("""COMPUTED_VALUE"""),23.39)</f>
        <v>23.39</v>
      </c>
      <c r="AM273" s="320">
        <f>IFERROR(__xludf.DUMMYFUNCTION("""COMPUTED_VALUE"""),40.76)</f>
        <v>40.76</v>
      </c>
      <c r="AN273" s="320">
        <f>IFERROR(__xludf.DUMMYFUNCTION("""COMPUTED_VALUE"""),68.96)</f>
        <v>68.96</v>
      </c>
      <c r="AO273" s="320">
        <f>IFERROR(__xludf.DUMMYFUNCTION("""COMPUTED_VALUE"""),16.13)</f>
        <v>16.13</v>
      </c>
    </row>
    <row r="274" ht="15.75" customHeight="1">
      <c r="A274" s="330">
        <f>IFERROR(__xludf.DUMMYFUNCTION("""COMPUTED_VALUE"""),46095.0)</f>
        <v>46095</v>
      </c>
      <c r="B274" s="319" t="str">
        <f>IFERROR(__xludf.DUMMYFUNCTION("""COMPUTED_VALUE"""),"C. 10-19")</f>
        <v>C. 10-19</v>
      </c>
      <c r="C274" s="320">
        <f>IFERROR(__xludf.DUMMYFUNCTION("""COMPUTED_VALUE"""),15086.0)</f>
        <v>15086</v>
      </c>
      <c r="D274" s="320">
        <f>IFERROR(__xludf.DUMMYFUNCTION("""COMPUTED_VALUE"""),20.09)</f>
        <v>20.09</v>
      </c>
      <c r="E274" s="320">
        <f>IFERROR(__xludf.DUMMYFUNCTION("""COMPUTED_VALUE"""),16027.13)</f>
        <v>16027.13</v>
      </c>
      <c r="F274" s="320">
        <f>IFERROR(__xludf.DUMMYFUNCTION("""COMPUTED_VALUE"""),1.0624)</f>
        <v>1.0624</v>
      </c>
      <c r="G274" s="320">
        <f>IFERROR(__xludf.DUMMYFUNCTION("""COMPUTED_VALUE"""),21.78)</f>
        <v>21.78</v>
      </c>
      <c r="H274" s="320">
        <f>IFERROR(__xludf.DUMMYFUNCTION("""COMPUTED_VALUE"""),4.8774)</f>
        <v>4.8774</v>
      </c>
      <c r="I274" s="320">
        <f>IFERROR(__xludf.DUMMYFUNCTION("""COMPUTED_VALUE"""),56.53)</f>
        <v>56.53</v>
      </c>
      <c r="J274" s="320">
        <f>IFERROR(__xludf.DUMMYFUNCTION("""COMPUTED_VALUE"""),32.18)</f>
        <v>32.18</v>
      </c>
      <c r="K274" s="320">
        <f>IFERROR(__xludf.DUMMYFUNCTION("""COMPUTED_VALUE"""),14.07)</f>
        <v>14.07</v>
      </c>
      <c r="L274" s="320">
        <f>IFERROR(__xludf.DUMMYFUNCTION("""COMPUTED_VALUE"""),0.4371)</f>
        <v>0.4371</v>
      </c>
      <c r="M274" s="320">
        <f>IFERROR(__xludf.DUMMYFUNCTION("""COMPUTED_VALUE"""),0.6312)</f>
        <v>0.6312</v>
      </c>
      <c r="N274" s="320">
        <f>IFERROR(__xludf.DUMMYFUNCTION("""COMPUTED_VALUE"""),0.3636)</f>
        <v>0.3636</v>
      </c>
      <c r="O274" s="320">
        <f>IFERROR(__xludf.DUMMYFUNCTION("""COMPUTED_VALUE"""),2.2878)</f>
        <v>2.2878</v>
      </c>
      <c r="P274" s="320">
        <f>IFERROR(__xludf.DUMMYFUNCTION("""COMPUTED_VALUE"""),178.7)</f>
        <v>178.7</v>
      </c>
      <c r="Q274" s="320">
        <f>IFERROR(__xludf.DUMMYFUNCTION("""COMPUTED_VALUE"""),149.43)</f>
        <v>149.43</v>
      </c>
      <c r="R274" s="320">
        <f>IFERROR(__xludf.DUMMYFUNCTION("""COMPUTED_VALUE"""),29.27)</f>
        <v>29.27</v>
      </c>
      <c r="S274" s="320">
        <f>IFERROR(__xludf.DUMMYFUNCTION("""COMPUTED_VALUE"""),72.43)</f>
        <v>72.43</v>
      </c>
      <c r="T274" s="320">
        <f>IFERROR(__xludf.DUMMYFUNCTION("""COMPUTED_VALUE"""),106.27)</f>
        <v>106.27</v>
      </c>
      <c r="U274" s="320">
        <f>IFERROR(__xludf.DUMMYFUNCTION("""COMPUTED_VALUE"""),185.17)</f>
        <v>185.17</v>
      </c>
      <c r="V274" s="320">
        <f>IFERROR(__xludf.DUMMYFUNCTION("""COMPUTED_VALUE"""),5.7541)</f>
        <v>5.7541</v>
      </c>
      <c r="W274" s="320">
        <f>IFERROR(__xludf.DUMMYFUNCTION("""COMPUTED_VALUE"""),40.53)</f>
        <v>40.53</v>
      </c>
      <c r="X274" s="320">
        <f>IFERROR(__xludf.DUMMYFUNCTION("""COMPUTED_VALUE"""),84.0)</f>
        <v>84</v>
      </c>
      <c r="Y274" s="320">
        <f>IFERROR(__xludf.DUMMYFUNCTION("""COMPUTED_VALUE"""),203.0)</f>
        <v>203</v>
      </c>
      <c r="Z274" s="320">
        <f>IFERROR(__xludf.DUMMYFUNCTION("""COMPUTED_VALUE"""),659.0)</f>
        <v>659</v>
      </c>
      <c r="AA274" s="320">
        <f>IFERROR(__xludf.DUMMYFUNCTION("""COMPUTED_VALUE"""),52.5009)</f>
        <v>52.5009</v>
      </c>
      <c r="AB274" s="320">
        <f>IFERROR(__xludf.DUMMYFUNCTION("""COMPUTED_VALUE"""),0.5484)</f>
        <v>0.5484</v>
      </c>
      <c r="AC274" s="320">
        <f>IFERROR(__xludf.DUMMYFUNCTION("""COMPUTED_VALUE"""),9.27)</f>
        <v>9.27</v>
      </c>
      <c r="AD274" s="320">
        <f>IFERROR(__xludf.DUMMYFUNCTION("""COMPUTED_VALUE"""),3.0)</f>
        <v>3</v>
      </c>
      <c r="AE274" s="320">
        <f>IFERROR(__xludf.DUMMYFUNCTION("""COMPUTED_VALUE"""),7.0)</f>
        <v>7</v>
      </c>
      <c r="AF274" s="320">
        <f>IFERROR(__xludf.DUMMYFUNCTION("""COMPUTED_VALUE"""),13.0)</f>
        <v>13</v>
      </c>
      <c r="AG274" s="320">
        <f>IFERROR(__xludf.DUMMYFUNCTION("""COMPUTED_VALUE"""),20.0)</f>
        <v>20</v>
      </c>
      <c r="AH274" s="320">
        <f>IFERROR(__xludf.DUMMYFUNCTION("""COMPUTED_VALUE"""),55.72)</f>
        <v>55.72</v>
      </c>
      <c r="AI274" s="320">
        <f>IFERROR(__xludf.DUMMYFUNCTION("""COMPUTED_VALUE"""),26.1)</f>
        <v>26.1</v>
      </c>
      <c r="AJ274" s="320">
        <f>IFERROR(__xludf.DUMMYFUNCTION("""COMPUTED_VALUE"""),5.65)</f>
        <v>5.65</v>
      </c>
      <c r="AK274" s="320">
        <f>IFERROR(__xludf.DUMMYFUNCTION("""COMPUTED_VALUE"""),0.2065)</f>
        <v>0.2065</v>
      </c>
      <c r="AL274" s="320">
        <f>IFERROR(__xludf.DUMMYFUNCTION("""COMPUTED_VALUE"""),23.21)</f>
        <v>23.21</v>
      </c>
      <c r="AM274" s="320">
        <f>IFERROR(__xludf.DUMMYFUNCTION("""COMPUTED_VALUE"""),126.22)</f>
        <v>126.22</v>
      </c>
      <c r="AN274" s="320">
        <f>IFERROR(__xludf.DUMMYFUNCTION("""COMPUTED_VALUE"""),73.31)</f>
        <v>73.31</v>
      </c>
      <c r="AO274" s="320">
        <f>IFERROR(__xludf.DUMMYFUNCTION("""COMPUTED_VALUE"""),17.02)</f>
        <v>17.02</v>
      </c>
    </row>
    <row r="275" ht="15.75" customHeight="1">
      <c r="A275" s="330">
        <f>IFERROR(__xludf.DUMMYFUNCTION("""COMPUTED_VALUE"""),46095.0)</f>
        <v>46095</v>
      </c>
      <c r="B275" s="319" t="str">
        <f>IFERROR(__xludf.DUMMYFUNCTION("""COMPUTED_VALUE"""),"D. 20-39")</f>
        <v>D. 20-39</v>
      </c>
      <c r="C275" s="320">
        <f>IFERROR(__xludf.DUMMYFUNCTION("""COMPUTED_VALUE"""),8452.0)</f>
        <v>8452</v>
      </c>
      <c r="D275" s="320">
        <f>IFERROR(__xludf.DUMMYFUNCTION("""COMPUTED_VALUE"""),11.25)</f>
        <v>11.25</v>
      </c>
      <c r="E275" s="320">
        <f>IFERROR(__xludf.DUMMYFUNCTION("""COMPUTED_VALUE"""),20782.27)</f>
        <v>20782.27</v>
      </c>
      <c r="F275" s="320">
        <f>IFERROR(__xludf.DUMMYFUNCTION("""COMPUTED_VALUE"""),2.4589)</f>
        <v>2.4589</v>
      </c>
      <c r="G275" s="320">
        <f>IFERROR(__xludf.DUMMYFUNCTION("""COMPUTED_VALUE"""),32.83)</f>
        <v>32.83</v>
      </c>
      <c r="H275" s="320">
        <f>IFERROR(__xludf.DUMMYFUNCTION("""COMPUTED_VALUE"""),7.4891)</f>
        <v>7.4891</v>
      </c>
      <c r="I275" s="320">
        <f>IFERROR(__xludf.DUMMYFUNCTION("""COMPUTED_VALUE"""),82.41)</f>
        <v>82.41</v>
      </c>
      <c r="J275" s="320">
        <f>IFERROR(__xludf.DUMMYFUNCTION("""COMPUTED_VALUE"""),48.87)</f>
        <v>48.87</v>
      </c>
      <c r="K275" s="320">
        <f>IFERROR(__xludf.DUMMYFUNCTION("""COMPUTED_VALUE"""),26.7)</f>
        <v>26.7</v>
      </c>
      <c r="L275" s="320">
        <f>IFERROR(__xludf.DUMMYFUNCTION("""COMPUTED_VALUE"""),0.5464)</f>
        <v>0.5464</v>
      </c>
      <c r="M275" s="320">
        <f>IFERROR(__xludf.DUMMYFUNCTION("""COMPUTED_VALUE"""),0.5292)</f>
        <v>0.5292</v>
      </c>
      <c r="N275" s="320">
        <f>IFERROR(__xludf.DUMMYFUNCTION("""COMPUTED_VALUE"""),0.2911)</f>
        <v>0.2911</v>
      </c>
      <c r="O275" s="320">
        <f>IFERROR(__xludf.DUMMYFUNCTION("""COMPUTED_VALUE"""),1.8302)</f>
        <v>1.8302</v>
      </c>
      <c r="P275" s="320">
        <f>IFERROR(__xludf.DUMMYFUNCTION("""COMPUTED_VALUE"""),339.0)</f>
        <v>339</v>
      </c>
      <c r="Q275" s="320">
        <f>IFERROR(__xludf.DUMMYFUNCTION("""COMPUTED_VALUE"""),282.48)</f>
        <v>282.48</v>
      </c>
      <c r="R275" s="320">
        <f>IFERROR(__xludf.DUMMYFUNCTION("""COMPUTED_VALUE"""),56.52)</f>
        <v>56.52</v>
      </c>
      <c r="S275" s="320">
        <f>IFERROR(__xludf.DUMMYFUNCTION("""COMPUTED_VALUE"""),160.66)</f>
        <v>160.66</v>
      </c>
      <c r="T275" s="320">
        <f>IFERROR(__xludf.DUMMYFUNCTION("""COMPUTED_VALUE"""),178.34)</f>
        <v>178.34</v>
      </c>
      <c r="U275" s="320">
        <f>IFERROR(__xludf.DUMMYFUNCTION("""COMPUTED_VALUE"""),350.83)</f>
        <v>350.83</v>
      </c>
      <c r="V275" s="320">
        <f>IFERROR(__xludf.DUMMYFUNCTION("""COMPUTED_VALUE"""),7.1785)</f>
        <v>7.1785</v>
      </c>
      <c r="W275" s="320">
        <f>IFERROR(__xludf.DUMMYFUNCTION("""COMPUTED_VALUE"""),47.39)</f>
        <v>47.39</v>
      </c>
      <c r="X275" s="320">
        <f>IFERROR(__xludf.DUMMYFUNCTION("""COMPUTED_VALUE"""),88.0)</f>
        <v>88</v>
      </c>
      <c r="Y275" s="320">
        <f>IFERROR(__xludf.DUMMYFUNCTION("""COMPUTED_VALUE"""),231.0)</f>
        <v>231</v>
      </c>
      <c r="Z275" s="320">
        <f>IFERROR(__xludf.DUMMYFUNCTION("""COMPUTED_VALUE"""),651.0)</f>
        <v>651</v>
      </c>
      <c r="AA275" s="320">
        <f>IFERROR(__xludf.DUMMYFUNCTION("""COMPUTED_VALUE"""),54.4892)</f>
        <v>54.4892</v>
      </c>
      <c r="AB275" s="320">
        <f>IFERROR(__xludf.DUMMYFUNCTION("""COMPUTED_VALUE"""),0.6583)</f>
        <v>0.6583</v>
      </c>
      <c r="AC275" s="320">
        <f>IFERROR(__xludf.DUMMYFUNCTION("""COMPUTED_VALUE"""),17.74)</f>
        <v>17.74</v>
      </c>
      <c r="AD275" s="320">
        <f>IFERROR(__xludf.DUMMYFUNCTION("""COMPUTED_VALUE"""),6.0)</f>
        <v>6</v>
      </c>
      <c r="AE275" s="320">
        <f>IFERROR(__xludf.DUMMYFUNCTION("""COMPUTED_VALUE"""),13.0)</f>
        <v>13</v>
      </c>
      <c r="AF275" s="320">
        <f>IFERROR(__xludf.DUMMYFUNCTION("""COMPUTED_VALUE"""),25.0)</f>
        <v>25</v>
      </c>
      <c r="AG275" s="320">
        <f>IFERROR(__xludf.DUMMYFUNCTION("""COMPUTED_VALUE"""),38.0)</f>
        <v>38</v>
      </c>
      <c r="AH275" s="320">
        <f>IFERROR(__xludf.DUMMYFUNCTION("""COMPUTED_VALUE"""),56.16)</f>
        <v>56.16</v>
      </c>
      <c r="AI275" s="320">
        <f>IFERROR(__xludf.DUMMYFUNCTION("""COMPUTED_VALUE"""),24.37)</f>
        <v>24.37</v>
      </c>
      <c r="AJ275" s="320">
        <f>IFERROR(__xludf.DUMMYFUNCTION("""COMPUTED_VALUE"""),8.06)</f>
        <v>8.06</v>
      </c>
      <c r="AK275" s="320">
        <f>IFERROR(__xludf.DUMMYFUNCTION("""COMPUTED_VALUE"""),0.2088)</f>
        <v>0.2088</v>
      </c>
      <c r="AL275" s="320">
        <f>IFERROR(__xludf.DUMMYFUNCTION("""COMPUTED_VALUE"""),21.88)</f>
        <v>21.88</v>
      </c>
      <c r="AM275" s="320">
        <f>IFERROR(__xludf.DUMMYFUNCTION("""COMPUTED_VALUE"""),260.6)</f>
        <v>260.6</v>
      </c>
      <c r="AN275" s="320">
        <f>IFERROR(__xludf.DUMMYFUNCTION("""COMPUTED_VALUE"""),74.44)</f>
        <v>74.44</v>
      </c>
      <c r="AO275" s="320">
        <f>IFERROR(__xludf.DUMMYFUNCTION("""COMPUTED_VALUE"""),16.29)</f>
        <v>16.29</v>
      </c>
    </row>
    <row r="276" ht="15.75" customHeight="1">
      <c r="A276" s="330">
        <f>IFERROR(__xludf.DUMMYFUNCTION("""COMPUTED_VALUE"""),46095.0)</f>
        <v>46095</v>
      </c>
      <c r="B276" s="319" t="str">
        <f>IFERROR(__xludf.DUMMYFUNCTION("""COMPUTED_VALUE"""),"E. 40-99")</f>
        <v>E. 40-99</v>
      </c>
      <c r="C276" s="320">
        <f>IFERROR(__xludf.DUMMYFUNCTION("""COMPUTED_VALUE"""),3445.0)</f>
        <v>3445</v>
      </c>
      <c r="D276" s="320">
        <f>IFERROR(__xludf.DUMMYFUNCTION("""COMPUTED_VALUE"""),4.59)</f>
        <v>4.59</v>
      </c>
      <c r="E276" s="320">
        <f>IFERROR(__xludf.DUMMYFUNCTION("""COMPUTED_VALUE"""),18539.85)</f>
        <v>18539.85</v>
      </c>
      <c r="F276" s="320">
        <f>IFERROR(__xludf.DUMMYFUNCTION("""COMPUTED_VALUE"""),5.3817)</f>
        <v>5.3817</v>
      </c>
      <c r="G276" s="320">
        <f>IFERROR(__xludf.DUMMYFUNCTION("""COMPUTED_VALUE"""),41.65)</f>
        <v>41.65</v>
      </c>
      <c r="H276" s="320">
        <f>IFERROR(__xludf.DUMMYFUNCTION("""COMPUTED_VALUE"""),12.9198)</f>
        <v>12.9198</v>
      </c>
      <c r="I276" s="320">
        <f>IFERROR(__xludf.DUMMYFUNCTION("""COMPUTED_VALUE"""),125.87)</f>
        <v>125.87</v>
      </c>
      <c r="J276" s="320">
        <f>IFERROR(__xludf.DUMMYFUNCTION("""COMPUTED_VALUE"""),78.01)</f>
        <v>78.01</v>
      </c>
      <c r="K276" s="320">
        <f>IFERROR(__xludf.DUMMYFUNCTION("""COMPUTED_VALUE"""),54.54)</f>
        <v>54.54</v>
      </c>
      <c r="L276" s="320">
        <f>IFERROR(__xludf.DUMMYFUNCTION("""COMPUTED_VALUE"""),0.6991)</f>
        <v>0.6991</v>
      </c>
      <c r="M276" s="320">
        <f>IFERROR(__xludf.DUMMYFUNCTION("""COMPUTED_VALUE"""),0.3892)</f>
        <v>0.3892</v>
      </c>
      <c r="N276" s="320">
        <f>IFERROR(__xludf.DUMMYFUNCTION("""COMPUTED_VALUE"""),0.2236)</f>
        <v>0.2236</v>
      </c>
      <c r="O276" s="320">
        <f>IFERROR(__xludf.DUMMYFUNCTION("""COMPUTED_VALUE"""),1.4304)</f>
        <v>1.4304</v>
      </c>
      <c r="P276" s="320">
        <f>IFERROR(__xludf.DUMMYFUNCTION("""COMPUTED_VALUE"""),663.44)</f>
        <v>663.44</v>
      </c>
      <c r="Q276" s="320">
        <f>IFERROR(__xludf.DUMMYFUNCTION("""COMPUTED_VALUE"""),548.89)</f>
        <v>548.89</v>
      </c>
      <c r="R276" s="320">
        <f>IFERROR(__xludf.DUMMYFUNCTION("""COMPUTED_VALUE"""),114.55)</f>
        <v>114.55</v>
      </c>
      <c r="S276" s="320">
        <f>IFERROR(__xludf.DUMMYFUNCTION("""COMPUTED_VALUE"""),335.53)</f>
        <v>335.53</v>
      </c>
      <c r="T276" s="320">
        <f>IFERROR(__xludf.DUMMYFUNCTION("""COMPUTED_VALUE"""),327.9)</f>
        <v>327.9</v>
      </c>
      <c r="U276" s="320">
        <f>IFERROR(__xludf.DUMMYFUNCTION("""COMPUTED_VALUE"""),686.68)</f>
        <v>686.68</v>
      </c>
      <c r="V276" s="320">
        <f>IFERROR(__xludf.DUMMYFUNCTION("""COMPUTED_VALUE"""),8.8023)</f>
        <v>8.8023</v>
      </c>
      <c r="W276" s="320">
        <f>IFERROR(__xludf.DUMMYFUNCTION("""COMPUTED_VALUE"""),50.58)</f>
        <v>50.58</v>
      </c>
      <c r="X276" s="320">
        <f>IFERROR(__xludf.DUMMYFUNCTION("""COMPUTED_VALUE"""),103.0)</f>
        <v>103</v>
      </c>
      <c r="Y276" s="320">
        <f>IFERROR(__xludf.DUMMYFUNCTION("""COMPUTED_VALUE"""),334.0)</f>
        <v>334</v>
      </c>
      <c r="Z276" s="320">
        <f>IFERROR(__xludf.DUMMYFUNCTION("""COMPUTED_VALUE"""),931.0)</f>
        <v>931</v>
      </c>
      <c r="AA276" s="320">
        <f>IFERROR(__xludf.DUMMYFUNCTION("""COMPUTED_VALUE"""),57.727)</f>
        <v>57.727</v>
      </c>
      <c r="AB276" s="320">
        <f>IFERROR(__xludf.DUMMYFUNCTION("""COMPUTED_VALUE"""),0.7671)</f>
        <v>0.7671</v>
      </c>
      <c r="AC276" s="320">
        <f>IFERROR(__xludf.DUMMYFUNCTION("""COMPUTED_VALUE"""),36.96)</f>
        <v>36.96</v>
      </c>
      <c r="AD276" s="320">
        <f>IFERROR(__xludf.DUMMYFUNCTION("""COMPUTED_VALUE"""),12.0)</f>
        <v>12</v>
      </c>
      <c r="AE276" s="320">
        <f>IFERROR(__xludf.DUMMYFUNCTION("""COMPUTED_VALUE"""),27.0)</f>
        <v>27</v>
      </c>
      <c r="AF276" s="320">
        <f>IFERROR(__xludf.DUMMYFUNCTION("""COMPUTED_VALUE"""),51.0)</f>
        <v>51</v>
      </c>
      <c r="AG276" s="320">
        <f>IFERROR(__xludf.DUMMYFUNCTION("""COMPUTED_VALUE"""),80.0)</f>
        <v>80</v>
      </c>
      <c r="AH276" s="320">
        <f>IFERROR(__xludf.DUMMYFUNCTION("""COMPUTED_VALUE"""),50.1)</f>
        <v>50.1</v>
      </c>
      <c r="AI276" s="320">
        <f>IFERROR(__xludf.DUMMYFUNCTION("""COMPUTED_VALUE"""),19.74)</f>
        <v>19.74</v>
      </c>
      <c r="AJ276" s="320">
        <f>IFERROR(__xludf.DUMMYFUNCTION("""COMPUTED_VALUE"""),5.11)</f>
        <v>5.11</v>
      </c>
      <c r="AK276" s="320">
        <f>IFERROR(__xludf.DUMMYFUNCTION("""COMPUTED_VALUE"""),0.1736)</f>
        <v>0.1736</v>
      </c>
      <c r="AL276" s="320">
        <f>IFERROR(__xludf.DUMMYFUNCTION("""COMPUTED_VALUE"""),22.41)</f>
        <v>22.41</v>
      </c>
      <c r="AM276" s="320">
        <f>IFERROR(__xludf.DUMMYFUNCTION("""COMPUTED_VALUE"""),526.48)</f>
        <v>526.48</v>
      </c>
      <c r="AN276" s="320">
        <f>IFERROR(__xludf.DUMMYFUNCTION("""COMPUTED_VALUE"""),74.7)</f>
        <v>74.7</v>
      </c>
      <c r="AO276" s="320">
        <f>IFERROR(__xludf.DUMMYFUNCTION("""COMPUTED_VALUE"""),16.74)</f>
        <v>16.74</v>
      </c>
    </row>
    <row r="277" ht="15.75" customHeight="1">
      <c r="A277" s="330">
        <f>IFERROR(__xludf.DUMMYFUNCTION("""COMPUTED_VALUE"""),46095.0)</f>
        <v>46095</v>
      </c>
      <c r="B277" s="319" t="str">
        <f>IFERROR(__xludf.DUMMYFUNCTION("""COMPUTED_VALUE"""),"F. 100+")</f>
        <v>F. 100+</v>
      </c>
      <c r="C277" s="320">
        <f>IFERROR(__xludf.DUMMYFUNCTION("""COMPUTED_VALUE"""),420.0)</f>
        <v>420</v>
      </c>
      <c r="D277" s="320">
        <f>IFERROR(__xludf.DUMMYFUNCTION("""COMPUTED_VALUE"""),0.56)</f>
        <v>0.56</v>
      </c>
      <c r="E277" s="320">
        <f>IFERROR(__xludf.DUMMYFUNCTION("""COMPUTED_VALUE"""),3599.69)</f>
        <v>3599.69</v>
      </c>
      <c r="F277" s="320">
        <f>IFERROR(__xludf.DUMMYFUNCTION("""COMPUTED_VALUE"""),8.5707)</f>
        <v>8.5707</v>
      </c>
      <c r="G277" s="320">
        <f>IFERROR(__xludf.DUMMYFUNCTION("""COMPUTED_VALUE"""),42.14)</f>
        <v>42.14</v>
      </c>
      <c r="H277" s="320">
        <f>IFERROR(__xludf.DUMMYFUNCTION("""COMPUTED_VALUE"""),20.3372)</f>
        <v>20.3372</v>
      </c>
      <c r="I277" s="320">
        <f>IFERROR(__xludf.DUMMYFUNCTION("""COMPUTED_VALUE"""),228.93)</f>
        <v>228.93</v>
      </c>
      <c r="J277" s="320">
        <f>IFERROR(__xludf.DUMMYFUNCTION("""COMPUTED_VALUE"""),147.64)</f>
        <v>147.64</v>
      </c>
      <c r="K277" s="320">
        <f>IFERROR(__xludf.DUMMYFUNCTION("""COMPUTED_VALUE"""),122.86)</f>
        <v>122.86</v>
      </c>
      <c r="L277" s="320">
        <f>IFERROR(__xludf.DUMMYFUNCTION("""COMPUTED_VALUE"""),0.8322)</f>
        <v>0.8322</v>
      </c>
      <c r="M277" s="320">
        <f>IFERROR(__xludf.DUMMYFUNCTION("""COMPUTED_VALUE"""),0.2553)</f>
        <v>0.2553</v>
      </c>
      <c r="N277" s="320">
        <f>IFERROR(__xludf.DUMMYFUNCTION("""COMPUTED_VALUE"""),0.1613)</f>
        <v>0.1613</v>
      </c>
      <c r="O277" s="320">
        <f>IFERROR(__xludf.DUMMYFUNCTION("""COMPUTED_VALUE"""),1.2017)</f>
        <v>1.2017</v>
      </c>
      <c r="P277" s="320">
        <f>IFERROR(__xludf.DUMMYFUNCTION("""COMPUTED_VALUE"""),1200.92)</f>
        <v>1200.92</v>
      </c>
      <c r="Q277" s="320">
        <f>IFERROR(__xludf.DUMMYFUNCTION("""COMPUTED_VALUE"""),942.31)</f>
        <v>942.31</v>
      </c>
      <c r="R277" s="320">
        <f>IFERROR(__xludf.DUMMYFUNCTION("""COMPUTED_VALUE"""),258.61)</f>
        <v>258.61</v>
      </c>
      <c r="S277" s="320">
        <f>IFERROR(__xludf.DUMMYFUNCTION("""COMPUTED_VALUE"""),547.1)</f>
        <v>547.1</v>
      </c>
      <c r="T277" s="320">
        <f>IFERROR(__xludf.DUMMYFUNCTION("""COMPUTED_VALUE"""),653.83)</f>
        <v>653.83</v>
      </c>
      <c r="U277" s="320">
        <f>IFERROR(__xludf.DUMMYFUNCTION("""COMPUTED_VALUE"""),1225.83)</f>
        <v>1225.83</v>
      </c>
      <c r="V277" s="320">
        <f>IFERROR(__xludf.DUMMYFUNCTION("""COMPUTED_VALUE"""),8.3031)</f>
        <v>8.3031</v>
      </c>
      <c r="W277" s="320">
        <f>IFERROR(__xludf.DUMMYFUNCTION("""COMPUTED_VALUE"""),45.56)</f>
        <v>45.56</v>
      </c>
      <c r="X277" s="320">
        <f>IFERROR(__xludf.DUMMYFUNCTION("""COMPUTED_VALUE"""),140.0)</f>
        <v>140</v>
      </c>
      <c r="Y277" s="320">
        <f>IFERROR(__xludf.DUMMYFUNCTION("""COMPUTED_VALUE"""),615.0)</f>
        <v>615</v>
      </c>
      <c r="Z277" s="320">
        <f>IFERROR(__xludf.DUMMYFUNCTION("""COMPUTED_VALUE"""),2210.0)</f>
        <v>2210</v>
      </c>
      <c r="AA277" s="320">
        <f>IFERROR(__xludf.DUMMYFUNCTION("""COMPUTED_VALUE"""),61.239)</f>
        <v>61.239</v>
      </c>
      <c r="AB277" s="320">
        <f>IFERROR(__xludf.DUMMYFUNCTION("""COMPUTED_VALUE"""),0.8518)</f>
        <v>0.8518</v>
      </c>
      <c r="AC277" s="320">
        <f>IFERROR(__xludf.DUMMYFUNCTION("""COMPUTED_VALUE"""),84.96)</f>
        <v>84.96</v>
      </c>
      <c r="AD277" s="320">
        <f>IFERROR(__xludf.DUMMYFUNCTION("""COMPUTED_VALUE"""),32.0)</f>
        <v>32</v>
      </c>
      <c r="AE277" s="320">
        <f>IFERROR(__xludf.DUMMYFUNCTION("""COMPUTED_VALUE"""),68.0)</f>
        <v>68</v>
      </c>
      <c r="AF277" s="320">
        <f>IFERROR(__xludf.DUMMYFUNCTION("""COMPUTED_VALUE"""),120.0)</f>
        <v>120</v>
      </c>
      <c r="AG277" s="320">
        <f>IFERROR(__xludf.DUMMYFUNCTION("""COMPUTED_VALUE"""),183.0)</f>
        <v>183</v>
      </c>
      <c r="AH277" s="320">
        <f>IFERROR(__xludf.DUMMYFUNCTION("""COMPUTED_VALUE"""),43.1)</f>
        <v>43.1</v>
      </c>
      <c r="AI277" s="320">
        <f>IFERROR(__xludf.DUMMYFUNCTION("""COMPUTED_VALUE"""),12.38)</f>
        <v>12.38</v>
      </c>
      <c r="AJ277" s="320">
        <f>IFERROR(__xludf.DUMMYFUNCTION("""COMPUTED_VALUE"""),1.43)</f>
        <v>1.43</v>
      </c>
      <c r="AK277" s="320">
        <f>IFERROR(__xludf.DUMMYFUNCTION("""COMPUTED_VALUE"""),0.1762)</f>
        <v>0.1762</v>
      </c>
      <c r="AL277" s="320">
        <f>IFERROR(__xludf.DUMMYFUNCTION("""COMPUTED_VALUE"""),22.3)</f>
        <v>22.3</v>
      </c>
      <c r="AM277" s="320">
        <f>IFERROR(__xludf.DUMMYFUNCTION("""COMPUTED_VALUE"""),920.02)</f>
        <v>920.02</v>
      </c>
      <c r="AN277" s="320">
        <f>IFERROR(__xludf.DUMMYFUNCTION("""COMPUTED_VALUE"""),68.95)</f>
        <v>68.95</v>
      </c>
      <c r="AO277" s="320">
        <f>IFERROR(__xludf.DUMMYFUNCTION("""COMPUTED_VALUE"""),15.38)</f>
        <v>15.38</v>
      </c>
    </row>
    <row r="278" ht="15.75" customHeight="1">
      <c r="A278" s="330">
        <f>IFERROR(__xludf.DUMMYFUNCTION("""COMPUTED_VALUE"""),46096.0)</f>
        <v>46096</v>
      </c>
      <c r="B278" s="319" t="str">
        <f>IFERROR(__xludf.DUMMYFUNCTION("""COMPUTED_VALUE"""),"A. 0")</f>
        <v>A. 0</v>
      </c>
      <c r="C278" s="320">
        <f>IFERROR(__xludf.DUMMYFUNCTION("""COMPUTED_VALUE"""),15638.0)</f>
        <v>15638</v>
      </c>
      <c r="D278" s="320">
        <f>IFERROR(__xludf.DUMMYFUNCTION("""COMPUTED_VALUE"""),20.42)</f>
        <v>20.42</v>
      </c>
      <c r="E278" s="320">
        <f>IFERROR(__xludf.DUMMYFUNCTION("""COMPUTED_VALUE"""),117.08)</f>
        <v>117.08</v>
      </c>
      <c r="F278" s="320">
        <f>IFERROR(__xludf.DUMMYFUNCTION("""COMPUTED_VALUE"""),0.0075)</f>
        <v>0.0075</v>
      </c>
      <c r="G278" s="320">
        <f>IFERROR(__xludf.DUMMYFUNCTION("""COMPUTED_VALUE"""),0.18)</f>
        <v>0.18</v>
      </c>
      <c r="H278" s="320">
        <f>IFERROR(__xludf.DUMMYFUNCTION("""COMPUTED_VALUE"""),4.1814)</f>
        <v>4.1814</v>
      </c>
      <c r="I278" s="320">
        <f>IFERROR(__xludf.DUMMYFUNCTION("""COMPUTED_VALUE"""),6.58)</f>
        <v>6.58</v>
      </c>
      <c r="J278" s="320">
        <f>IFERROR(__xludf.DUMMYFUNCTION("""COMPUTED_VALUE"""),2.9)</f>
        <v>2.9</v>
      </c>
      <c r="K278" s="320">
        <f>IFERROR(__xludf.DUMMYFUNCTION("""COMPUTED_VALUE"""),0.03)</f>
        <v>0.03</v>
      </c>
      <c r="L278" s="320">
        <f>IFERROR(__xludf.DUMMYFUNCTION("""COMPUTED_VALUE"""),0.0106)</f>
        <v>0.0106</v>
      </c>
      <c r="M278" s="320">
        <f>IFERROR(__xludf.DUMMYFUNCTION("""COMPUTED_VALUE"""),0.9902)</f>
        <v>0.9902</v>
      </c>
      <c r="N278" s="320">
        <f>IFERROR(__xludf.DUMMYFUNCTION("""COMPUTED_VALUE"""),0.8493)</f>
        <v>0.8493</v>
      </c>
      <c r="O278" s="320">
        <f>IFERROR(__xludf.DUMMYFUNCTION("""COMPUTED_VALUE"""),94.1286)</f>
        <v>94.1286</v>
      </c>
      <c r="P278" s="320">
        <f>IFERROR(__xludf.DUMMYFUNCTION("""COMPUTED_VALUE"""),24.27)</f>
        <v>24.27</v>
      </c>
      <c r="Q278" s="320">
        <f>IFERROR(__xludf.DUMMYFUNCTION("""COMPUTED_VALUE"""),24.22)</f>
        <v>24.22</v>
      </c>
      <c r="R278" s="320">
        <f>IFERROR(__xludf.DUMMYFUNCTION("""COMPUTED_VALUE"""),0.05)</f>
        <v>0.05</v>
      </c>
      <c r="S278" s="320">
        <f>IFERROR(__xludf.DUMMYFUNCTION("""COMPUTED_VALUE"""),0.59)</f>
        <v>0.59</v>
      </c>
      <c r="T278" s="320">
        <f>IFERROR(__xludf.DUMMYFUNCTION("""COMPUTED_VALUE"""),23.67)</f>
        <v>23.67</v>
      </c>
      <c r="U278" s="320">
        <f>IFERROR(__xludf.DUMMYFUNCTION("""COMPUTED_VALUE"""),1.66)</f>
        <v>1.66</v>
      </c>
      <c r="V278" s="320">
        <f>IFERROR(__xludf.DUMMYFUNCTION("""COMPUTED_VALUE"""),0.5709)</f>
        <v>0.5709</v>
      </c>
      <c r="W278" s="320">
        <f>IFERROR(__xludf.DUMMYFUNCTION("""COMPUTED_VALUE"""),2.45)</f>
        <v>2.45</v>
      </c>
      <c r="X278" s="320">
        <f>IFERROR(__xludf.DUMMYFUNCTION("""COMPUTED_VALUE"""),147.0)</f>
        <v>147</v>
      </c>
      <c r="Y278" s="320">
        <f>IFERROR(__xludf.DUMMYFUNCTION("""COMPUTED_VALUE"""),1063.0)</f>
        <v>1063</v>
      </c>
      <c r="Z278" s="320">
        <f>IFERROR(__xludf.DUMMYFUNCTION("""COMPUTED_VALUE"""),7267.0)</f>
        <v>7267</v>
      </c>
      <c r="AA278" s="320">
        <f>IFERROR(__xludf.DUMMYFUNCTION("""COMPUTED_VALUE"""),50.1218)</f>
        <v>50.1218</v>
      </c>
      <c r="AB278" s="320">
        <f>IFERROR(__xludf.DUMMYFUNCTION("""COMPUTED_VALUE"""),0.5186)</f>
        <v>0.5186</v>
      </c>
      <c r="AC278" s="106"/>
      <c r="AD278" s="106"/>
      <c r="AE278" s="106"/>
      <c r="AF278" s="106"/>
      <c r="AG278" s="106"/>
      <c r="AH278" s="320">
        <f>IFERROR(__xludf.DUMMYFUNCTION("""COMPUTED_VALUE"""),0.0)</f>
        <v>0</v>
      </c>
      <c r="AI278" s="320">
        <f>IFERROR(__xludf.DUMMYFUNCTION("""COMPUTED_VALUE"""),0.0)</f>
        <v>0</v>
      </c>
      <c r="AJ278" s="320">
        <f>IFERROR(__xludf.DUMMYFUNCTION("""COMPUTED_VALUE"""),0.0)</f>
        <v>0</v>
      </c>
      <c r="AK278" s="320">
        <f>IFERROR(__xludf.DUMMYFUNCTION("""COMPUTED_VALUE"""),0.2805)</f>
        <v>0.2805</v>
      </c>
      <c r="AL278" s="320">
        <f>IFERROR(__xludf.DUMMYFUNCTION("""COMPUTED_VALUE"""),17.67)</f>
        <v>17.67</v>
      </c>
      <c r="AM278" s="320">
        <f>IFERROR(__xludf.DUMMYFUNCTION("""COMPUTED_VALUE"""),6.55)</f>
        <v>6.55</v>
      </c>
      <c r="AN278" s="331"/>
      <c r="AO278" s="331"/>
    </row>
    <row r="279" ht="15.75" customHeight="1">
      <c r="A279" s="330">
        <f>IFERROR(__xludf.DUMMYFUNCTION("""COMPUTED_VALUE"""),46096.0)</f>
        <v>46096</v>
      </c>
      <c r="B279" s="319" t="str">
        <f>IFERROR(__xludf.DUMMYFUNCTION("""COMPUTED_VALUE"""),"B. 1-9")</f>
        <v>B. 1-9</v>
      </c>
      <c r="C279" s="320">
        <f>IFERROR(__xludf.DUMMYFUNCTION("""COMPUTED_VALUE"""),32927.0)</f>
        <v>32927</v>
      </c>
      <c r="D279" s="320">
        <f>IFERROR(__xludf.DUMMYFUNCTION("""COMPUTED_VALUE"""),43.0)</f>
        <v>43</v>
      </c>
      <c r="E279" s="320">
        <f>IFERROR(__xludf.DUMMYFUNCTION("""COMPUTED_VALUE"""),7230.88)</f>
        <v>7230.88</v>
      </c>
      <c r="F279" s="320">
        <f>IFERROR(__xludf.DUMMYFUNCTION("""COMPUTED_VALUE"""),0.2196)</f>
        <v>0.2196</v>
      </c>
      <c r="G279" s="320">
        <f>IFERROR(__xludf.DUMMYFUNCTION("""COMPUTED_VALUE"""),6.76)</f>
        <v>6.76</v>
      </c>
      <c r="H279" s="320">
        <f>IFERROR(__xludf.DUMMYFUNCTION("""COMPUTED_VALUE"""),3.2484)</f>
        <v>3.2484</v>
      </c>
      <c r="I279" s="320">
        <f>IFERROR(__xludf.DUMMYFUNCTION("""COMPUTED_VALUE"""),35.38)</f>
        <v>35.38</v>
      </c>
      <c r="J279" s="320">
        <f>IFERROR(__xludf.DUMMYFUNCTION("""COMPUTED_VALUE"""),19.27)</f>
        <v>19.27</v>
      </c>
      <c r="K279" s="320">
        <f>IFERROR(__xludf.DUMMYFUNCTION("""COMPUTED_VALUE"""),5.53)</f>
        <v>5.53</v>
      </c>
      <c r="L279" s="320">
        <f>IFERROR(__xludf.DUMMYFUNCTION("""COMPUTED_VALUE"""),0.2871)</f>
        <v>0.2871</v>
      </c>
      <c r="M279" s="320">
        <f>IFERROR(__xludf.DUMMYFUNCTION("""COMPUTED_VALUE"""),0.7746)</f>
        <v>0.7746</v>
      </c>
      <c r="N279" s="320">
        <f>IFERROR(__xludf.DUMMYFUNCTION("""COMPUTED_VALUE"""),0.5189)</f>
        <v>0.5189</v>
      </c>
      <c r="O279" s="320">
        <f>IFERROR(__xludf.DUMMYFUNCTION("""COMPUTED_VALUE"""),3.4835)</f>
        <v>3.4835</v>
      </c>
      <c r="P279" s="320">
        <f>IFERROR(__xludf.DUMMYFUNCTION("""COMPUTED_VALUE"""),65.45)</f>
        <v>65.45</v>
      </c>
      <c r="Q279" s="320">
        <f>IFERROR(__xludf.DUMMYFUNCTION("""COMPUTED_VALUE"""),53.96)</f>
        <v>53.96</v>
      </c>
      <c r="R279" s="320">
        <f>IFERROR(__xludf.DUMMYFUNCTION("""COMPUTED_VALUE"""),11.49)</f>
        <v>11.49</v>
      </c>
      <c r="S279" s="320">
        <f>IFERROR(__xludf.DUMMYFUNCTION("""COMPUTED_VALUE"""),15.41)</f>
        <v>15.41</v>
      </c>
      <c r="T279" s="320">
        <f>IFERROR(__xludf.DUMMYFUNCTION("""COMPUTED_VALUE"""),50.04)</f>
        <v>50.04</v>
      </c>
      <c r="U279" s="320">
        <f>IFERROR(__xludf.DUMMYFUNCTION("""COMPUTED_VALUE"""),73.65)</f>
        <v>73.65</v>
      </c>
      <c r="V279" s="320">
        <f>IFERROR(__xludf.DUMMYFUNCTION("""COMPUTED_VALUE"""),3.8216)</f>
        <v>3.8216</v>
      </c>
      <c r="W279" s="320">
        <f>IFERROR(__xludf.DUMMYFUNCTION("""COMPUTED_VALUE"""),23.55)</f>
        <v>23.55</v>
      </c>
      <c r="X279" s="320">
        <f>IFERROR(__xludf.DUMMYFUNCTION("""COMPUTED_VALUE"""),84.0)</f>
        <v>84</v>
      </c>
      <c r="Y279" s="320">
        <f>IFERROR(__xludf.DUMMYFUNCTION("""COMPUTED_VALUE"""),197.0)</f>
        <v>197</v>
      </c>
      <c r="Z279" s="320">
        <f>IFERROR(__xludf.DUMMYFUNCTION("""COMPUTED_VALUE"""),862.0)</f>
        <v>862</v>
      </c>
      <c r="AA279" s="320">
        <f>IFERROR(__xludf.DUMMYFUNCTION("""COMPUTED_VALUE"""),49.7606)</f>
        <v>49.7606</v>
      </c>
      <c r="AB279" s="320">
        <f>IFERROR(__xludf.DUMMYFUNCTION("""COMPUTED_VALUE"""),0.4472)</f>
        <v>0.4472</v>
      </c>
      <c r="AC279" s="320">
        <f>IFERROR(__xludf.DUMMYFUNCTION("""COMPUTED_VALUE"""),3.58)</f>
        <v>3.58</v>
      </c>
      <c r="AD279" s="320">
        <f>IFERROR(__xludf.DUMMYFUNCTION("""COMPUTED_VALUE"""),1.0)</f>
        <v>1</v>
      </c>
      <c r="AE279" s="320">
        <f>IFERROR(__xludf.DUMMYFUNCTION("""COMPUTED_VALUE"""),2.0)</f>
        <v>2</v>
      </c>
      <c r="AF279" s="320">
        <f>IFERROR(__xludf.DUMMYFUNCTION("""COMPUTED_VALUE"""),5.0)</f>
        <v>5</v>
      </c>
      <c r="AG279" s="320">
        <f>IFERROR(__xludf.DUMMYFUNCTION("""COMPUTED_VALUE"""),8.0)</f>
        <v>8</v>
      </c>
      <c r="AH279" s="320">
        <f>IFERROR(__xludf.DUMMYFUNCTION("""COMPUTED_VALUE"""),67.34)</f>
        <v>67.34</v>
      </c>
      <c r="AI279" s="320">
        <f>IFERROR(__xludf.DUMMYFUNCTION("""COMPUTED_VALUE"""),25.29)</f>
        <v>25.29</v>
      </c>
      <c r="AJ279" s="320">
        <f>IFERROR(__xludf.DUMMYFUNCTION("""COMPUTED_VALUE"""),7.1)</f>
        <v>7.1</v>
      </c>
      <c r="AK279" s="320">
        <f>IFERROR(__xludf.DUMMYFUNCTION("""COMPUTED_VALUE"""),0.2254)</f>
        <v>0.2254</v>
      </c>
      <c r="AL279" s="320">
        <f>IFERROR(__xludf.DUMMYFUNCTION("""COMPUTED_VALUE"""),21.49)</f>
        <v>21.49</v>
      </c>
      <c r="AM279" s="320">
        <f>IFERROR(__xludf.DUMMYFUNCTION("""COMPUTED_VALUE"""),32.46)</f>
        <v>32.46</v>
      </c>
      <c r="AN279" s="320">
        <f>IFERROR(__xludf.DUMMYFUNCTION("""COMPUTED_VALUE"""),68.41)</f>
        <v>68.41</v>
      </c>
      <c r="AO279" s="320">
        <f>IFERROR(__xludf.DUMMYFUNCTION("""COMPUTED_VALUE"""),14.7)</f>
        <v>14.7</v>
      </c>
    </row>
    <row r="280" ht="15.75" customHeight="1">
      <c r="A280" s="330">
        <f>IFERROR(__xludf.DUMMYFUNCTION("""COMPUTED_VALUE"""),46096.0)</f>
        <v>46096</v>
      </c>
      <c r="B280" s="319" t="str">
        <f>IFERROR(__xludf.DUMMYFUNCTION("""COMPUTED_VALUE"""),"C. 10-19")</f>
        <v>C. 10-19</v>
      </c>
      <c r="C280" s="320">
        <f>IFERROR(__xludf.DUMMYFUNCTION("""COMPUTED_VALUE"""),15496.0)</f>
        <v>15496</v>
      </c>
      <c r="D280" s="320">
        <f>IFERROR(__xludf.DUMMYFUNCTION("""COMPUTED_VALUE"""),20.24)</f>
        <v>20.24</v>
      </c>
      <c r="E280" s="320">
        <f>IFERROR(__xludf.DUMMYFUNCTION("""COMPUTED_VALUE"""),16149.29)</f>
        <v>16149.29</v>
      </c>
      <c r="F280" s="320">
        <f>IFERROR(__xludf.DUMMYFUNCTION("""COMPUTED_VALUE"""),1.0422)</f>
        <v>1.0422</v>
      </c>
      <c r="G280" s="320">
        <f>IFERROR(__xludf.DUMMYFUNCTION("""COMPUTED_VALUE"""),21.56)</f>
        <v>21.56</v>
      </c>
      <c r="H280" s="320">
        <f>IFERROR(__xludf.DUMMYFUNCTION("""COMPUTED_VALUE"""),4.8337)</f>
        <v>4.8337</v>
      </c>
      <c r="I280" s="320">
        <f>IFERROR(__xludf.DUMMYFUNCTION("""COMPUTED_VALUE"""),63.53)</f>
        <v>63.53</v>
      </c>
      <c r="J280" s="320">
        <f>IFERROR(__xludf.DUMMYFUNCTION("""COMPUTED_VALUE"""),36.6)</f>
        <v>36.6</v>
      </c>
      <c r="K280" s="320">
        <f>IFERROR(__xludf.DUMMYFUNCTION("""COMPUTED_VALUE"""),14.4)</f>
        <v>14.4</v>
      </c>
      <c r="L280" s="320">
        <f>IFERROR(__xludf.DUMMYFUNCTION("""COMPUTED_VALUE"""),0.3934)</f>
        <v>0.3934</v>
      </c>
      <c r="M280" s="320">
        <f>IFERROR(__xludf.DUMMYFUNCTION("""COMPUTED_VALUE"""),0.6644)</f>
        <v>0.6644</v>
      </c>
      <c r="N280" s="320">
        <f>IFERROR(__xludf.DUMMYFUNCTION("""COMPUTED_VALUE"""),0.3794)</f>
        <v>0.3794</v>
      </c>
      <c r="O280" s="320">
        <f>IFERROR(__xludf.DUMMYFUNCTION("""COMPUTED_VALUE"""),2.542)</f>
        <v>2.542</v>
      </c>
      <c r="P280" s="320">
        <f>IFERROR(__xludf.DUMMYFUNCTION("""COMPUTED_VALUE"""),158.96)</f>
        <v>158.96</v>
      </c>
      <c r="Q280" s="320">
        <f>IFERROR(__xludf.DUMMYFUNCTION("""COMPUTED_VALUE"""),128.89)</f>
        <v>128.89</v>
      </c>
      <c r="R280" s="320">
        <f>IFERROR(__xludf.DUMMYFUNCTION("""COMPUTED_VALUE"""),30.06)</f>
        <v>30.06</v>
      </c>
      <c r="S280" s="320">
        <f>IFERROR(__xludf.DUMMYFUNCTION("""COMPUTED_VALUE"""),70.69)</f>
        <v>70.69</v>
      </c>
      <c r="T280" s="320">
        <f>IFERROR(__xludf.DUMMYFUNCTION("""COMPUTED_VALUE"""),88.26)</f>
        <v>88.26</v>
      </c>
      <c r="U280" s="320">
        <f>IFERROR(__xludf.DUMMYFUNCTION("""COMPUTED_VALUE"""),175.52)</f>
        <v>175.52</v>
      </c>
      <c r="V280" s="320">
        <f>IFERROR(__xludf.DUMMYFUNCTION("""COMPUTED_VALUE"""),4.796)</f>
        <v>4.796</v>
      </c>
      <c r="W280" s="320">
        <f>IFERROR(__xludf.DUMMYFUNCTION("""COMPUTED_VALUE"""),44.47)</f>
        <v>44.47</v>
      </c>
      <c r="X280" s="320">
        <f>IFERROR(__xludf.DUMMYFUNCTION("""COMPUTED_VALUE"""),80.0)</f>
        <v>80</v>
      </c>
      <c r="Y280" s="320">
        <f>IFERROR(__xludf.DUMMYFUNCTION("""COMPUTED_VALUE"""),172.0)</f>
        <v>172</v>
      </c>
      <c r="Z280" s="320">
        <f>IFERROR(__xludf.DUMMYFUNCTION("""COMPUTED_VALUE"""),593.0)</f>
        <v>593</v>
      </c>
      <c r="AA280" s="320">
        <f>IFERROR(__xludf.DUMMYFUNCTION("""COMPUTED_VALUE"""),52.4347)</f>
        <v>52.4347</v>
      </c>
      <c r="AB280" s="320">
        <f>IFERROR(__xludf.DUMMYFUNCTION("""COMPUTED_VALUE"""),0.5527)</f>
        <v>0.5527</v>
      </c>
      <c r="AC280" s="320">
        <f>IFERROR(__xludf.DUMMYFUNCTION("""COMPUTED_VALUE"""),9.11)</f>
        <v>9.11</v>
      </c>
      <c r="AD280" s="320">
        <f>IFERROR(__xludf.DUMMYFUNCTION("""COMPUTED_VALUE"""),3.0)</f>
        <v>3</v>
      </c>
      <c r="AE280" s="320">
        <f>IFERROR(__xludf.DUMMYFUNCTION("""COMPUTED_VALUE"""),6.0)</f>
        <v>6</v>
      </c>
      <c r="AF280" s="320">
        <f>IFERROR(__xludf.DUMMYFUNCTION("""COMPUTED_VALUE"""),13.0)</f>
        <v>13</v>
      </c>
      <c r="AG280" s="320">
        <f>IFERROR(__xludf.DUMMYFUNCTION("""COMPUTED_VALUE"""),20.0)</f>
        <v>20</v>
      </c>
      <c r="AH280" s="320">
        <f>IFERROR(__xludf.DUMMYFUNCTION("""COMPUTED_VALUE"""),54.99)</f>
        <v>54.99</v>
      </c>
      <c r="AI280" s="320">
        <f>IFERROR(__xludf.DUMMYFUNCTION("""COMPUTED_VALUE"""),25.29)</f>
        <v>25.29</v>
      </c>
      <c r="AJ280" s="320">
        <f>IFERROR(__xludf.DUMMYFUNCTION("""COMPUTED_VALUE"""),5.38)</f>
        <v>5.38</v>
      </c>
      <c r="AK280" s="320">
        <f>IFERROR(__xludf.DUMMYFUNCTION("""COMPUTED_VALUE"""),0.2194)</f>
        <v>0.2194</v>
      </c>
      <c r="AL280" s="320">
        <f>IFERROR(__xludf.DUMMYFUNCTION("""COMPUTED_VALUE"""),21.79)</f>
        <v>21.79</v>
      </c>
      <c r="AM280" s="320">
        <f>IFERROR(__xludf.DUMMYFUNCTION("""COMPUTED_VALUE"""),107.1)</f>
        <v>107.1</v>
      </c>
      <c r="AN280" s="320">
        <f>IFERROR(__xludf.DUMMYFUNCTION("""COMPUTED_VALUE"""),72.68)</f>
        <v>72.68</v>
      </c>
      <c r="AO280" s="320">
        <f>IFERROR(__xludf.DUMMYFUNCTION("""COMPUTED_VALUE"""),15.84)</f>
        <v>15.84</v>
      </c>
    </row>
    <row r="281" ht="15.75" customHeight="1">
      <c r="A281" s="330">
        <f>IFERROR(__xludf.DUMMYFUNCTION("""COMPUTED_VALUE"""),46096.0)</f>
        <v>46096</v>
      </c>
      <c r="B281" s="319" t="str">
        <f>IFERROR(__xludf.DUMMYFUNCTION("""COMPUTED_VALUE"""),"D. 20-39")</f>
        <v>D. 20-39</v>
      </c>
      <c r="C281" s="320">
        <f>IFERROR(__xludf.DUMMYFUNCTION("""COMPUTED_VALUE"""),8483.0)</f>
        <v>8483</v>
      </c>
      <c r="D281" s="320">
        <f>IFERROR(__xludf.DUMMYFUNCTION("""COMPUTED_VALUE"""),11.08)</f>
        <v>11.08</v>
      </c>
      <c r="E281" s="320">
        <f>IFERROR(__xludf.DUMMYFUNCTION("""COMPUTED_VALUE"""),23594.86)</f>
        <v>23594.86</v>
      </c>
      <c r="F281" s="320">
        <f>IFERROR(__xludf.DUMMYFUNCTION("""COMPUTED_VALUE"""),2.7814)</f>
        <v>2.7814</v>
      </c>
      <c r="G281" s="320">
        <f>IFERROR(__xludf.DUMMYFUNCTION("""COMPUTED_VALUE"""),34.85)</f>
        <v>34.85</v>
      </c>
      <c r="H281" s="320">
        <f>IFERROR(__xludf.DUMMYFUNCTION("""COMPUTED_VALUE"""),7.982)</f>
        <v>7.982</v>
      </c>
      <c r="I281" s="320">
        <f>IFERROR(__xludf.DUMMYFUNCTION("""COMPUTED_VALUE"""),89.68)</f>
        <v>89.68</v>
      </c>
      <c r="J281" s="320">
        <f>IFERROR(__xludf.DUMMYFUNCTION("""COMPUTED_VALUE"""),53.95)</f>
        <v>53.95</v>
      </c>
      <c r="K281" s="320">
        <f>IFERROR(__xludf.DUMMYFUNCTION("""COMPUTED_VALUE"""),28.08)</f>
        <v>28.08</v>
      </c>
      <c r="L281" s="320">
        <f>IFERROR(__xludf.DUMMYFUNCTION("""COMPUTED_VALUE"""),0.5205)</f>
        <v>0.5205</v>
      </c>
      <c r="M281" s="320">
        <f>IFERROR(__xludf.DUMMYFUNCTION("""COMPUTED_VALUE"""),0.5477)</f>
        <v>0.5477</v>
      </c>
      <c r="N281" s="320">
        <f>IFERROR(__xludf.DUMMYFUNCTION("""COMPUTED_VALUE"""),0.2943)</f>
        <v>0.2943</v>
      </c>
      <c r="O281" s="320">
        <f>IFERROR(__xludf.DUMMYFUNCTION("""COMPUTED_VALUE"""),1.9213)</f>
        <v>1.9213</v>
      </c>
      <c r="P281" s="320">
        <f>IFERROR(__xludf.DUMMYFUNCTION("""COMPUTED_VALUE"""),323.45)</f>
        <v>323.45</v>
      </c>
      <c r="Q281" s="320">
        <f>IFERROR(__xludf.DUMMYFUNCTION("""COMPUTED_VALUE"""),264.71)</f>
        <v>264.71</v>
      </c>
      <c r="R281" s="320">
        <f>IFERROR(__xludf.DUMMYFUNCTION("""COMPUTED_VALUE"""),58.75)</f>
        <v>58.75</v>
      </c>
      <c r="S281" s="320">
        <f>IFERROR(__xludf.DUMMYFUNCTION("""COMPUTED_VALUE"""),179.37)</f>
        <v>179.37</v>
      </c>
      <c r="T281" s="320">
        <f>IFERROR(__xludf.DUMMYFUNCTION("""COMPUTED_VALUE"""),144.08)</f>
        <v>144.08</v>
      </c>
      <c r="U281" s="320">
        <f>IFERROR(__xludf.DUMMYFUNCTION("""COMPUTED_VALUE"""),347.78)</f>
        <v>347.78</v>
      </c>
      <c r="V281" s="320">
        <f>IFERROR(__xludf.DUMMYFUNCTION("""COMPUTED_VALUE"""),6.4463)</f>
        <v>6.4463</v>
      </c>
      <c r="W281" s="320">
        <f>IFERROR(__xludf.DUMMYFUNCTION("""COMPUTED_VALUE"""),55.46)</f>
        <v>55.46</v>
      </c>
      <c r="X281" s="320">
        <f>IFERROR(__xludf.DUMMYFUNCTION("""COMPUTED_VALUE"""),85.0)</f>
        <v>85</v>
      </c>
      <c r="Y281" s="320">
        <f>IFERROR(__xludf.DUMMYFUNCTION("""COMPUTED_VALUE"""),197.0)</f>
        <v>197</v>
      </c>
      <c r="Z281" s="320">
        <f>IFERROR(__xludf.DUMMYFUNCTION("""COMPUTED_VALUE"""),644.0)</f>
        <v>644</v>
      </c>
      <c r="AA281" s="320">
        <f>IFERROR(__xludf.DUMMYFUNCTION("""COMPUTED_VALUE"""),54.6373)</f>
        <v>54.6373</v>
      </c>
      <c r="AB281" s="320">
        <f>IFERROR(__xludf.DUMMYFUNCTION("""COMPUTED_VALUE"""),0.6676)</f>
        <v>0.6676</v>
      </c>
      <c r="AC281" s="320">
        <f>IFERROR(__xludf.DUMMYFUNCTION("""COMPUTED_VALUE"""),18.03)</f>
        <v>18.03</v>
      </c>
      <c r="AD281" s="320">
        <f>IFERROR(__xludf.DUMMYFUNCTION("""COMPUTED_VALUE"""),6.0)</f>
        <v>6</v>
      </c>
      <c r="AE281" s="320">
        <f>IFERROR(__xludf.DUMMYFUNCTION("""COMPUTED_VALUE"""),13.0)</f>
        <v>13</v>
      </c>
      <c r="AF281" s="320">
        <f>IFERROR(__xludf.DUMMYFUNCTION("""COMPUTED_VALUE"""),25.0)</f>
        <v>25</v>
      </c>
      <c r="AG281" s="320">
        <f>IFERROR(__xludf.DUMMYFUNCTION("""COMPUTED_VALUE"""),39.0)</f>
        <v>39</v>
      </c>
      <c r="AH281" s="320">
        <f>IFERROR(__xludf.DUMMYFUNCTION("""COMPUTED_VALUE"""),56.37)</f>
        <v>56.37</v>
      </c>
      <c r="AI281" s="320">
        <f>IFERROR(__xludf.DUMMYFUNCTION("""COMPUTED_VALUE"""),24.14)</f>
        <v>24.14</v>
      </c>
      <c r="AJ281" s="320">
        <f>IFERROR(__xludf.DUMMYFUNCTION("""COMPUTED_VALUE"""),8.48)</f>
        <v>8.48</v>
      </c>
      <c r="AK281" s="320">
        <f>IFERROR(__xludf.DUMMYFUNCTION("""COMPUTED_VALUE"""),0.2265)</f>
        <v>0.2265</v>
      </c>
      <c r="AL281" s="320">
        <f>IFERROR(__xludf.DUMMYFUNCTION("""COMPUTED_VALUE"""),20.66)</f>
        <v>20.66</v>
      </c>
      <c r="AM281" s="320">
        <f>IFERROR(__xludf.DUMMYFUNCTION("""COMPUTED_VALUE"""),244.04)</f>
        <v>244.04</v>
      </c>
      <c r="AN281" s="320">
        <f>IFERROR(__xludf.DUMMYFUNCTION("""COMPUTED_VALUE"""),73.07)</f>
        <v>73.07</v>
      </c>
      <c r="AO281" s="320">
        <f>IFERROR(__xludf.DUMMYFUNCTION("""COMPUTED_VALUE"""),15.1)</f>
        <v>15.1</v>
      </c>
    </row>
    <row r="282" ht="15.75" customHeight="1">
      <c r="A282" s="330">
        <f>IFERROR(__xludf.DUMMYFUNCTION("""COMPUTED_VALUE"""),46096.0)</f>
        <v>46096</v>
      </c>
      <c r="B282" s="319" t="str">
        <f>IFERROR(__xludf.DUMMYFUNCTION("""COMPUTED_VALUE"""),"E. 40-99")</f>
        <v>E. 40-99</v>
      </c>
      <c r="C282" s="320">
        <f>IFERROR(__xludf.DUMMYFUNCTION("""COMPUTED_VALUE"""),3603.0)</f>
        <v>3603</v>
      </c>
      <c r="D282" s="320">
        <f>IFERROR(__xludf.DUMMYFUNCTION("""COMPUTED_VALUE"""),4.71)</f>
        <v>4.71</v>
      </c>
      <c r="E282" s="320">
        <f>IFERROR(__xludf.DUMMYFUNCTION("""COMPUTED_VALUE"""),20793.34)</f>
        <v>20793.34</v>
      </c>
      <c r="F282" s="320">
        <f>IFERROR(__xludf.DUMMYFUNCTION("""COMPUTED_VALUE"""),5.7711)</f>
        <v>5.7711</v>
      </c>
      <c r="G282" s="320">
        <f>IFERROR(__xludf.DUMMYFUNCTION("""COMPUTED_VALUE"""),42.49)</f>
        <v>42.49</v>
      </c>
      <c r="H282" s="320">
        <f>IFERROR(__xludf.DUMMYFUNCTION("""COMPUTED_VALUE"""),13.5815)</f>
        <v>13.5815</v>
      </c>
      <c r="I282" s="320">
        <f>IFERROR(__xludf.DUMMYFUNCTION("""COMPUTED_VALUE"""),128.88)</f>
        <v>128.88</v>
      </c>
      <c r="J282" s="320">
        <f>IFERROR(__xludf.DUMMYFUNCTION("""COMPUTED_VALUE"""),80.53)</f>
        <v>80.53</v>
      </c>
      <c r="K282" s="320">
        <f>IFERROR(__xludf.DUMMYFUNCTION("""COMPUTED_VALUE"""),54.4)</f>
        <v>54.4</v>
      </c>
      <c r="L282" s="320">
        <f>IFERROR(__xludf.DUMMYFUNCTION("""COMPUTED_VALUE"""),0.6756)</f>
        <v>0.6756</v>
      </c>
      <c r="M282" s="320">
        <f>IFERROR(__xludf.DUMMYFUNCTION("""COMPUTED_VALUE"""),0.407)</f>
        <v>0.407</v>
      </c>
      <c r="N282" s="320">
        <f>IFERROR(__xludf.DUMMYFUNCTION("""COMPUTED_VALUE"""),0.2257)</f>
        <v>0.2257</v>
      </c>
      <c r="O282" s="320">
        <f>IFERROR(__xludf.DUMMYFUNCTION("""COMPUTED_VALUE"""),1.4802)</f>
        <v>1.4802</v>
      </c>
      <c r="P282" s="320">
        <f>IFERROR(__xludf.DUMMYFUNCTION("""COMPUTED_VALUE"""),609.46)</f>
        <v>609.46</v>
      </c>
      <c r="Q282" s="320">
        <f>IFERROR(__xludf.DUMMYFUNCTION("""COMPUTED_VALUE"""),495.35)</f>
        <v>495.35</v>
      </c>
      <c r="R282" s="320">
        <f>IFERROR(__xludf.DUMMYFUNCTION("""COMPUTED_VALUE"""),114.1)</f>
        <v>114.1</v>
      </c>
      <c r="S282" s="320">
        <f>IFERROR(__xludf.DUMMYFUNCTION("""COMPUTED_VALUE"""),360.29)</f>
        <v>360.29</v>
      </c>
      <c r="T282" s="320">
        <f>IFERROR(__xludf.DUMMYFUNCTION("""COMPUTED_VALUE"""),249.17)</f>
        <v>249.17</v>
      </c>
      <c r="U282" s="320">
        <f>IFERROR(__xludf.DUMMYFUNCTION("""COMPUTED_VALUE"""),656.3)</f>
        <v>656.3</v>
      </c>
      <c r="V282" s="320">
        <f>IFERROR(__xludf.DUMMYFUNCTION("""COMPUTED_VALUE"""),8.1502)</f>
        <v>8.1502</v>
      </c>
      <c r="W282" s="320">
        <f>IFERROR(__xludf.DUMMYFUNCTION("""COMPUTED_VALUE"""),59.12)</f>
        <v>59.12</v>
      </c>
      <c r="X282" s="320">
        <f>IFERROR(__xludf.DUMMYFUNCTION("""COMPUTED_VALUE"""),97.0)</f>
        <v>97</v>
      </c>
      <c r="Y282" s="320">
        <f>IFERROR(__xludf.DUMMYFUNCTION("""COMPUTED_VALUE"""),316.0)</f>
        <v>316</v>
      </c>
      <c r="Z282" s="320">
        <f>IFERROR(__xludf.DUMMYFUNCTION("""COMPUTED_VALUE"""),920.0)</f>
        <v>920</v>
      </c>
      <c r="AA282" s="320">
        <f>IFERROR(__xludf.DUMMYFUNCTION("""COMPUTED_VALUE"""),57.7324)</f>
        <v>57.7324</v>
      </c>
      <c r="AB282" s="320">
        <f>IFERROR(__xludf.DUMMYFUNCTION("""COMPUTED_VALUE"""),0.778)</f>
        <v>0.778</v>
      </c>
      <c r="AC282" s="320">
        <f>IFERROR(__xludf.DUMMYFUNCTION("""COMPUTED_VALUE"""),36.35)</f>
        <v>36.35</v>
      </c>
      <c r="AD282" s="320">
        <f>IFERROR(__xludf.DUMMYFUNCTION("""COMPUTED_VALUE"""),12.0)</f>
        <v>12</v>
      </c>
      <c r="AE282" s="320">
        <f>IFERROR(__xludf.DUMMYFUNCTION("""COMPUTED_VALUE"""),28.0)</f>
        <v>28</v>
      </c>
      <c r="AF282" s="320">
        <f>IFERROR(__xludf.DUMMYFUNCTION("""COMPUTED_VALUE"""),51.0)</f>
        <v>51</v>
      </c>
      <c r="AG282" s="320">
        <f>IFERROR(__xludf.DUMMYFUNCTION("""COMPUTED_VALUE"""),79.0)</f>
        <v>79</v>
      </c>
      <c r="AH282" s="320">
        <f>IFERROR(__xludf.DUMMYFUNCTION("""COMPUTED_VALUE"""),50.07)</f>
        <v>50.07</v>
      </c>
      <c r="AI282" s="320">
        <f>IFERROR(__xludf.DUMMYFUNCTION("""COMPUTED_VALUE"""),19.18)</f>
        <v>19.18</v>
      </c>
      <c r="AJ282" s="320">
        <f>IFERROR(__xludf.DUMMYFUNCTION("""COMPUTED_VALUE"""),4.66)</f>
        <v>4.66</v>
      </c>
      <c r="AK282" s="320">
        <f>IFERROR(__xludf.DUMMYFUNCTION("""COMPUTED_VALUE"""),0.1984)</f>
        <v>0.1984</v>
      </c>
      <c r="AL282" s="320">
        <f>IFERROR(__xludf.DUMMYFUNCTION("""COMPUTED_VALUE"""),20.88)</f>
        <v>20.88</v>
      </c>
      <c r="AM282" s="320">
        <f>IFERROR(__xludf.DUMMYFUNCTION("""COMPUTED_VALUE"""),474.47)</f>
        <v>474.47</v>
      </c>
      <c r="AN282" s="320">
        <f>IFERROR(__xludf.DUMMYFUNCTION("""COMPUTED_VALUE"""),71.62)</f>
        <v>71.62</v>
      </c>
      <c r="AO282" s="320">
        <f>IFERROR(__xludf.DUMMYFUNCTION("""COMPUTED_VALUE"""),14.95)</f>
        <v>14.95</v>
      </c>
    </row>
    <row r="283" ht="15.75" customHeight="1">
      <c r="A283" s="330">
        <f>IFERROR(__xludf.DUMMYFUNCTION("""COMPUTED_VALUE"""),46096.0)</f>
        <v>46096</v>
      </c>
      <c r="B283" s="319" t="str">
        <f>IFERROR(__xludf.DUMMYFUNCTION("""COMPUTED_VALUE"""),"F. 100+")</f>
        <v>F. 100+</v>
      </c>
      <c r="C283" s="320">
        <f>IFERROR(__xludf.DUMMYFUNCTION("""COMPUTED_VALUE"""),425.0)</f>
        <v>425</v>
      </c>
      <c r="D283" s="320">
        <f>IFERROR(__xludf.DUMMYFUNCTION("""COMPUTED_VALUE"""),0.56)</f>
        <v>0.56</v>
      </c>
      <c r="E283" s="320">
        <f>IFERROR(__xludf.DUMMYFUNCTION("""COMPUTED_VALUE"""),4431.89)</f>
        <v>4431.89</v>
      </c>
      <c r="F283" s="320">
        <f>IFERROR(__xludf.DUMMYFUNCTION("""COMPUTED_VALUE"""),10.428)</f>
        <v>10.428</v>
      </c>
      <c r="G283" s="320">
        <f>IFERROR(__xludf.DUMMYFUNCTION("""COMPUTED_VALUE"""),46.82)</f>
        <v>46.82</v>
      </c>
      <c r="H283" s="320">
        <f>IFERROR(__xludf.DUMMYFUNCTION("""COMPUTED_VALUE"""),22.2708)</f>
        <v>22.2708</v>
      </c>
      <c r="I283" s="320">
        <f>IFERROR(__xludf.DUMMYFUNCTION("""COMPUTED_VALUE"""),238.38)</f>
        <v>238.38</v>
      </c>
      <c r="J283" s="320">
        <f>IFERROR(__xludf.DUMMYFUNCTION("""COMPUTED_VALUE"""),158.25)</f>
        <v>158.25</v>
      </c>
      <c r="K283" s="320">
        <f>IFERROR(__xludf.DUMMYFUNCTION("""COMPUTED_VALUE"""),126.51)</f>
        <v>126.51</v>
      </c>
      <c r="L283" s="320">
        <f>IFERROR(__xludf.DUMMYFUNCTION("""COMPUTED_VALUE"""),0.7994)</f>
        <v>0.7994</v>
      </c>
      <c r="M283" s="320">
        <f>IFERROR(__xludf.DUMMYFUNCTION("""COMPUTED_VALUE"""),0.2842)</f>
        <v>0.2842</v>
      </c>
      <c r="N283" s="320">
        <f>IFERROR(__xludf.DUMMYFUNCTION("""COMPUTED_VALUE"""),0.1697)</f>
        <v>0.1697</v>
      </c>
      <c r="O283" s="320">
        <f>IFERROR(__xludf.DUMMYFUNCTION("""COMPUTED_VALUE"""),1.2509)</f>
        <v>1.2509</v>
      </c>
      <c r="P283" s="320">
        <f>IFERROR(__xludf.DUMMYFUNCTION("""COMPUTED_VALUE"""),1154.6)</f>
        <v>1154.6</v>
      </c>
      <c r="Q283" s="320">
        <f>IFERROR(__xludf.DUMMYFUNCTION("""COMPUTED_VALUE"""),887.93)</f>
        <v>887.93</v>
      </c>
      <c r="R283" s="320">
        <f>IFERROR(__xludf.DUMMYFUNCTION("""COMPUTED_VALUE"""),266.67)</f>
        <v>266.67</v>
      </c>
      <c r="S283" s="320">
        <f>IFERROR(__xludf.DUMMYFUNCTION("""COMPUTED_VALUE"""),631.06)</f>
        <v>631.06</v>
      </c>
      <c r="T283" s="320">
        <f>IFERROR(__xludf.DUMMYFUNCTION("""COMPUTED_VALUE"""),523.54)</f>
        <v>523.54</v>
      </c>
      <c r="U283" s="320">
        <f>IFERROR(__xludf.DUMMYFUNCTION("""COMPUTED_VALUE"""),1249.65)</f>
        <v>1249.65</v>
      </c>
      <c r="V283" s="320">
        <f>IFERROR(__xludf.DUMMYFUNCTION("""COMPUTED_VALUE"""),7.8966)</f>
        <v>7.8966</v>
      </c>
      <c r="W283" s="320">
        <f>IFERROR(__xludf.DUMMYFUNCTION("""COMPUTED_VALUE"""),54.66)</f>
        <v>54.66</v>
      </c>
      <c r="X283" s="320">
        <f>IFERROR(__xludf.DUMMYFUNCTION("""COMPUTED_VALUE"""),148.0)</f>
        <v>148</v>
      </c>
      <c r="Y283" s="320">
        <f>IFERROR(__xludf.DUMMYFUNCTION("""COMPUTED_VALUE"""),539.0)</f>
        <v>539</v>
      </c>
      <c r="Z283" s="320">
        <f>IFERROR(__xludf.DUMMYFUNCTION("""COMPUTED_VALUE"""),2257.0)</f>
        <v>2257</v>
      </c>
      <c r="AA283" s="320">
        <f>IFERROR(__xludf.DUMMYFUNCTION("""COMPUTED_VALUE"""),61.0399)</f>
        <v>61.0399</v>
      </c>
      <c r="AB283" s="320">
        <f>IFERROR(__xludf.DUMMYFUNCTION("""COMPUTED_VALUE"""),0.8174)</f>
        <v>0.8174</v>
      </c>
      <c r="AC283" s="320">
        <f>IFERROR(__xludf.DUMMYFUNCTION("""COMPUTED_VALUE"""),83.32)</f>
        <v>83.32</v>
      </c>
      <c r="AD283" s="320">
        <f>IFERROR(__xludf.DUMMYFUNCTION("""COMPUTED_VALUE"""),24.0)</f>
        <v>24</v>
      </c>
      <c r="AE283" s="320">
        <f>IFERROR(__xludf.DUMMYFUNCTION("""COMPUTED_VALUE"""),64.0)</f>
        <v>64</v>
      </c>
      <c r="AF283" s="320">
        <f>IFERROR(__xludf.DUMMYFUNCTION("""COMPUTED_VALUE"""),122.0)</f>
        <v>122</v>
      </c>
      <c r="AG283" s="320">
        <f>IFERROR(__xludf.DUMMYFUNCTION("""COMPUTED_VALUE"""),184.0)</f>
        <v>184</v>
      </c>
      <c r="AH283" s="320">
        <f>IFERROR(__xludf.DUMMYFUNCTION("""COMPUTED_VALUE"""),42.59)</f>
        <v>42.59</v>
      </c>
      <c r="AI283" s="320">
        <f>IFERROR(__xludf.DUMMYFUNCTION("""COMPUTED_VALUE"""),12.24)</f>
        <v>12.24</v>
      </c>
      <c r="AJ283" s="320">
        <f>IFERROR(__xludf.DUMMYFUNCTION("""COMPUTED_VALUE"""),2.35)</f>
        <v>2.35</v>
      </c>
      <c r="AK283" s="320">
        <f>IFERROR(__xludf.DUMMYFUNCTION("""COMPUTED_VALUE"""),0.1694)</f>
        <v>0.1694</v>
      </c>
      <c r="AL283" s="320">
        <f>IFERROR(__xludf.DUMMYFUNCTION("""COMPUTED_VALUE"""),20.6)</f>
        <v>20.6</v>
      </c>
      <c r="AM283" s="320">
        <f>IFERROR(__xludf.DUMMYFUNCTION("""COMPUTED_VALUE"""),867.33)</f>
        <v>867.33</v>
      </c>
      <c r="AN283" s="320">
        <f>IFERROR(__xludf.DUMMYFUNCTION("""COMPUTED_VALUE"""),67.97)</f>
        <v>67.97</v>
      </c>
      <c r="AO283" s="320">
        <f>IFERROR(__xludf.DUMMYFUNCTION("""COMPUTED_VALUE"""),14.0)</f>
        <v>14</v>
      </c>
    </row>
    <row r="284" ht="15.75" customHeight="1">
      <c r="A284" s="330">
        <f>IFERROR(__xludf.DUMMYFUNCTION("""COMPUTED_VALUE"""),46097.0)</f>
        <v>46097</v>
      </c>
      <c r="B284" s="319" t="str">
        <f>IFERROR(__xludf.DUMMYFUNCTION("""COMPUTED_VALUE"""),"A. 0")</f>
        <v>A. 0</v>
      </c>
      <c r="C284" s="320">
        <f>IFERROR(__xludf.DUMMYFUNCTION("""COMPUTED_VALUE"""),15209.0)</f>
        <v>15209</v>
      </c>
      <c r="D284" s="320">
        <f>IFERROR(__xludf.DUMMYFUNCTION("""COMPUTED_VALUE"""),19.15)</f>
        <v>19.15</v>
      </c>
      <c r="E284" s="320">
        <f>IFERROR(__xludf.DUMMYFUNCTION("""COMPUTED_VALUE"""),405.05)</f>
        <v>405.05</v>
      </c>
      <c r="F284" s="320">
        <f>IFERROR(__xludf.DUMMYFUNCTION("""COMPUTED_VALUE"""),0.0266)</f>
        <v>0.0266</v>
      </c>
      <c r="G284" s="320">
        <f>IFERROR(__xludf.DUMMYFUNCTION("""COMPUTED_VALUE"""),0.28)</f>
        <v>0.28</v>
      </c>
      <c r="H284" s="320">
        <f>IFERROR(__xludf.DUMMYFUNCTION("""COMPUTED_VALUE"""),9.644)</f>
        <v>9.644</v>
      </c>
      <c r="I284" s="320">
        <f>IFERROR(__xludf.DUMMYFUNCTION("""COMPUTED_VALUE"""),5.57)</f>
        <v>5.57</v>
      </c>
      <c r="J284" s="320">
        <f>IFERROR(__xludf.DUMMYFUNCTION("""COMPUTED_VALUE"""),2.44)</f>
        <v>2.44</v>
      </c>
      <c r="K284" s="320">
        <f>IFERROR(__xludf.DUMMYFUNCTION("""COMPUTED_VALUE"""),0.09)</f>
        <v>0.09</v>
      </c>
      <c r="L284" s="320">
        <f>IFERROR(__xludf.DUMMYFUNCTION("""COMPUTED_VALUE"""),0.0354)</f>
        <v>0.0354</v>
      </c>
      <c r="M284" s="320">
        <f>IFERROR(__xludf.DUMMYFUNCTION("""COMPUTED_VALUE"""),0.9691)</f>
        <v>0.9691</v>
      </c>
      <c r="N284" s="320">
        <f>IFERROR(__xludf.DUMMYFUNCTION("""COMPUTED_VALUE"""),0.704)</f>
        <v>0.704</v>
      </c>
      <c r="O284" s="320">
        <f>IFERROR(__xludf.DUMMYFUNCTION("""COMPUTED_VALUE"""),28.2686)</f>
        <v>28.2686</v>
      </c>
      <c r="P284" s="320">
        <f>IFERROR(__xludf.DUMMYFUNCTION("""COMPUTED_VALUE"""),38.31)</f>
        <v>38.31</v>
      </c>
      <c r="Q284" s="320">
        <f>IFERROR(__xludf.DUMMYFUNCTION("""COMPUTED_VALUE"""),38.22)</f>
        <v>38.22</v>
      </c>
      <c r="R284" s="320">
        <f>IFERROR(__xludf.DUMMYFUNCTION("""COMPUTED_VALUE"""),0.09)</f>
        <v>0.09</v>
      </c>
      <c r="S284" s="320">
        <f>IFERROR(__xludf.DUMMYFUNCTION("""COMPUTED_VALUE"""),2.18)</f>
        <v>2.18</v>
      </c>
      <c r="T284" s="320">
        <f>IFERROR(__xludf.DUMMYFUNCTION("""COMPUTED_VALUE"""),36.13)</f>
        <v>36.13</v>
      </c>
      <c r="U284" s="320">
        <f>IFERROR(__xludf.DUMMYFUNCTION("""COMPUTED_VALUE"""),2.59)</f>
        <v>2.59</v>
      </c>
      <c r="V284" s="320">
        <f>IFERROR(__xludf.DUMMYFUNCTION("""COMPUTED_VALUE"""),1.0607)</f>
        <v>1.0607</v>
      </c>
      <c r="W284" s="320">
        <f>IFERROR(__xludf.DUMMYFUNCTION("""COMPUTED_VALUE"""),5.69)</f>
        <v>5.69</v>
      </c>
      <c r="X284" s="320">
        <f>IFERROR(__xludf.DUMMYFUNCTION("""COMPUTED_VALUE"""),187.0)</f>
        <v>187</v>
      </c>
      <c r="Y284" s="320">
        <f>IFERROR(__xludf.DUMMYFUNCTION("""COMPUTED_VALUE"""),1381.0)</f>
        <v>1381</v>
      </c>
      <c r="Z284" s="320">
        <f>IFERROR(__xludf.DUMMYFUNCTION("""COMPUTED_VALUE"""),7975.0)</f>
        <v>7975</v>
      </c>
      <c r="AA284" s="320">
        <f>IFERROR(__xludf.DUMMYFUNCTION("""COMPUTED_VALUE"""),50.2401)</f>
        <v>50.2401</v>
      </c>
      <c r="AB284" s="320">
        <f>IFERROR(__xludf.DUMMYFUNCTION("""COMPUTED_VALUE"""),0.5272)</f>
        <v>0.5272</v>
      </c>
      <c r="AC284" s="106"/>
      <c r="AD284" s="106"/>
      <c r="AE284" s="106"/>
      <c r="AF284" s="106"/>
      <c r="AG284" s="106"/>
      <c r="AH284" s="320">
        <f>IFERROR(__xludf.DUMMYFUNCTION("""COMPUTED_VALUE"""),0.0)</f>
        <v>0</v>
      </c>
      <c r="AI284" s="320">
        <f>IFERROR(__xludf.DUMMYFUNCTION("""COMPUTED_VALUE"""),0.0)</f>
        <v>0</v>
      </c>
      <c r="AJ284" s="320">
        <f>IFERROR(__xludf.DUMMYFUNCTION("""COMPUTED_VALUE"""),0.0)</f>
        <v>0</v>
      </c>
      <c r="AK284" s="320">
        <f>IFERROR(__xludf.DUMMYFUNCTION("""COMPUTED_VALUE"""),0.2777)</f>
        <v>0.2777</v>
      </c>
      <c r="AL284" s="320">
        <f>IFERROR(__xludf.DUMMYFUNCTION("""COMPUTED_VALUE"""),16.35)</f>
        <v>16.35</v>
      </c>
      <c r="AM284" s="320">
        <f>IFERROR(__xludf.DUMMYFUNCTION("""COMPUTED_VALUE"""),21.87)</f>
        <v>21.87</v>
      </c>
      <c r="AN284" s="331"/>
      <c r="AO284" s="331"/>
    </row>
    <row r="285" ht="15.75" customHeight="1">
      <c r="A285" s="330">
        <f>IFERROR(__xludf.DUMMYFUNCTION("""COMPUTED_VALUE"""),46097.0)</f>
        <v>46097</v>
      </c>
      <c r="B285" s="319" t="str">
        <f>IFERROR(__xludf.DUMMYFUNCTION("""COMPUTED_VALUE"""),"B. 1-9")</f>
        <v>B. 1-9</v>
      </c>
      <c r="C285" s="320">
        <f>IFERROR(__xludf.DUMMYFUNCTION("""COMPUTED_VALUE"""),34051.0)</f>
        <v>34051</v>
      </c>
      <c r="D285" s="320">
        <f>IFERROR(__xludf.DUMMYFUNCTION("""COMPUTED_VALUE"""),42.88)</f>
        <v>42.88</v>
      </c>
      <c r="E285" s="320">
        <f>IFERROR(__xludf.DUMMYFUNCTION("""COMPUTED_VALUE"""),5908.35)</f>
        <v>5908.35</v>
      </c>
      <c r="F285" s="320">
        <f>IFERROR(__xludf.DUMMYFUNCTION("""COMPUTED_VALUE"""),0.1735)</f>
        <v>0.1735</v>
      </c>
      <c r="G285" s="320">
        <f>IFERROR(__xludf.DUMMYFUNCTION("""COMPUTED_VALUE"""),5.71)</f>
        <v>5.71</v>
      </c>
      <c r="H285" s="320">
        <f>IFERROR(__xludf.DUMMYFUNCTION("""COMPUTED_VALUE"""),3.0393)</f>
        <v>3.0393</v>
      </c>
      <c r="I285" s="320">
        <f>IFERROR(__xludf.DUMMYFUNCTION("""COMPUTED_VALUE"""),35.36)</f>
        <v>35.36</v>
      </c>
      <c r="J285" s="320">
        <f>IFERROR(__xludf.DUMMYFUNCTION("""COMPUTED_VALUE"""),19.01)</f>
        <v>19.01</v>
      </c>
      <c r="K285" s="320">
        <f>IFERROR(__xludf.DUMMYFUNCTION("""COMPUTED_VALUE"""),5.6)</f>
        <v>5.6</v>
      </c>
      <c r="L285" s="320">
        <f>IFERROR(__xludf.DUMMYFUNCTION("""COMPUTED_VALUE"""),0.2945)</f>
        <v>0.2945</v>
      </c>
      <c r="M285" s="320">
        <f>IFERROR(__xludf.DUMMYFUNCTION("""COMPUTED_VALUE"""),0.7747)</f>
        <v>0.7747</v>
      </c>
      <c r="N285" s="320">
        <f>IFERROR(__xludf.DUMMYFUNCTION("""COMPUTED_VALUE"""),0.5279)</f>
        <v>0.5279</v>
      </c>
      <c r="O285" s="320">
        <f>IFERROR(__xludf.DUMMYFUNCTION("""COMPUTED_VALUE"""),3.396)</f>
        <v>3.396</v>
      </c>
      <c r="P285" s="320">
        <f>IFERROR(__xludf.DUMMYFUNCTION("""COMPUTED_VALUE"""),95.78)</f>
        <v>95.78</v>
      </c>
      <c r="Q285" s="320">
        <f>IFERROR(__xludf.DUMMYFUNCTION("""COMPUTED_VALUE"""),84.51)</f>
        <v>84.51</v>
      </c>
      <c r="R285" s="320">
        <f>IFERROR(__xludf.DUMMYFUNCTION("""COMPUTED_VALUE"""),11.26)</f>
        <v>11.26</v>
      </c>
      <c r="S285" s="320">
        <f>IFERROR(__xludf.DUMMYFUNCTION("""COMPUTED_VALUE"""),12.77)</f>
        <v>12.77</v>
      </c>
      <c r="T285" s="320">
        <f>IFERROR(__xludf.DUMMYFUNCTION("""COMPUTED_VALUE"""),83.0)</f>
        <v>83</v>
      </c>
      <c r="U285" s="320">
        <f>IFERROR(__xludf.DUMMYFUNCTION("""COMPUTED_VALUE"""),87.68)</f>
        <v>87.68</v>
      </c>
      <c r="V285" s="320">
        <f>IFERROR(__xludf.DUMMYFUNCTION("""COMPUTED_VALUE"""),4.6135)</f>
        <v>4.6135</v>
      </c>
      <c r="W285" s="320">
        <f>IFERROR(__xludf.DUMMYFUNCTION("""COMPUTED_VALUE"""),13.33)</f>
        <v>13.33</v>
      </c>
      <c r="X285" s="320">
        <f>IFERROR(__xludf.DUMMYFUNCTION("""COMPUTED_VALUE"""),92.0)</f>
        <v>92</v>
      </c>
      <c r="Y285" s="320">
        <f>IFERROR(__xludf.DUMMYFUNCTION("""COMPUTED_VALUE"""),218.0)</f>
        <v>218</v>
      </c>
      <c r="Z285" s="320">
        <f>IFERROR(__xludf.DUMMYFUNCTION("""COMPUTED_VALUE"""),832.0)</f>
        <v>832</v>
      </c>
      <c r="AA285" s="320">
        <f>IFERROR(__xludf.DUMMYFUNCTION("""COMPUTED_VALUE"""),49.71)</f>
        <v>49.71</v>
      </c>
      <c r="AB285" s="320">
        <f>IFERROR(__xludf.DUMMYFUNCTION("""COMPUTED_VALUE"""),0.4359)</f>
        <v>0.4359</v>
      </c>
      <c r="AC285" s="320">
        <f>IFERROR(__xludf.DUMMYFUNCTION("""COMPUTED_VALUE"""),3.56)</f>
        <v>3.56</v>
      </c>
      <c r="AD285" s="320">
        <f>IFERROR(__xludf.DUMMYFUNCTION("""COMPUTED_VALUE"""),1.0)</f>
        <v>1</v>
      </c>
      <c r="AE285" s="320">
        <f>IFERROR(__xludf.DUMMYFUNCTION("""COMPUTED_VALUE"""),2.0)</f>
        <v>2</v>
      </c>
      <c r="AF285" s="320">
        <f>IFERROR(__xludf.DUMMYFUNCTION("""COMPUTED_VALUE"""),5.0)</f>
        <v>5</v>
      </c>
      <c r="AG285" s="320">
        <f>IFERROR(__xludf.DUMMYFUNCTION("""COMPUTED_VALUE"""),8.0)</f>
        <v>8</v>
      </c>
      <c r="AH285" s="320">
        <f>IFERROR(__xludf.DUMMYFUNCTION("""COMPUTED_VALUE"""),68.32)</f>
        <v>68.32</v>
      </c>
      <c r="AI285" s="320">
        <f>IFERROR(__xludf.DUMMYFUNCTION("""COMPUTED_VALUE"""),25.1)</f>
        <v>25.1</v>
      </c>
      <c r="AJ285" s="320">
        <f>IFERROR(__xludf.DUMMYFUNCTION("""COMPUTED_VALUE"""),6.8)</f>
        <v>6.8</v>
      </c>
      <c r="AK285" s="320">
        <f>IFERROR(__xludf.DUMMYFUNCTION("""COMPUTED_VALUE"""),0.2067)</f>
        <v>0.2067</v>
      </c>
      <c r="AL285" s="320">
        <f>IFERROR(__xludf.DUMMYFUNCTION("""COMPUTED_VALUE"""),18.83)</f>
        <v>18.83</v>
      </c>
      <c r="AM285" s="320">
        <f>IFERROR(__xludf.DUMMYFUNCTION("""COMPUTED_VALUE"""),65.69)</f>
        <v>65.69</v>
      </c>
      <c r="AN285" s="320">
        <f>IFERROR(__xludf.DUMMYFUNCTION("""COMPUTED_VALUE"""),68.63)</f>
        <v>68.63</v>
      </c>
      <c r="AO285" s="320">
        <f>IFERROR(__xludf.DUMMYFUNCTION("""COMPUTED_VALUE"""),12.92)</f>
        <v>12.92</v>
      </c>
    </row>
    <row r="286" ht="15.75" customHeight="1">
      <c r="A286" s="330">
        <f>IFERROR(__xludf.DUMMYFUNCTION("""COMPUTED_VALUE"""),46097.0)</f>
        <v>46097</v>
      </c>
      <c r="B286" s="319" t="str">
        <f>IFERROR(__xludf.DUMMYFUNCTION("""COMPUTED_VALUE"""),"C. 10-19")</f>
        <v>C. 10-19</v>
      </c>
      <c r="C286" s="320">
        <f>IFERROR(__xludf.DUMMYFUNCTION("""COMPUTED_VALUE"""),16486.0)</f>
        <v>16486</v>
      </c>
      <c r="D286" s="320">
        <f>IFERROR(__xludf.DUMMYFUNCTION("""COMPUTED_VALUE"""),20.76)</f>
        <v>20.76</v>
      </c>
      <c r="E286" s="320">
        <f>IFERROR(__xludf.DUMMYFUNCTION("""COMPUTED_VALUE"""),16153.41)</f>
        <v>16153.41</v>
      </c>
      <c r="F286" s="320">
        <f>IFERROR(__xludf.DUMMYFUNCTION("""COMPUTED_VALUE"""),0.9798)</f>
        <v>0.9798</v>
      </c>
      <c r="G286" s="320">
        <f>IFERROR(__xludf.DUMMYFUNCTION("""COMPUTED_VALUE"""),19.88)</f>
        <v>19.88</v>
      </c>
      <c r="H286" s="320">
        <f>IFERROR(__xludf.DUMMYFUNCTION("""COMPUTED_VALUE"""),4.9293)</f>
        <v>4.9293</v>
      </c>
      <c r="I286" s="320">
        <f>IFERROR(__xludf.DUMMYFUNCTION("""COMPUTED_VALUE"""),64.41)</f>
        <v>64.41</v>
      </c>
      <c r="J286" s="320">
        <f>IFERROR(__xludf.DUMMYFUNCTION("""COMPUTED_VALUE"""),36.55)</f>
        <v>36.55</v>
      </c>
      <c r="K286" s="320">
        <f>IFERROR(__xludf.DUMMYFUNCTION("""COMPUTED_VALUE"""),15.02)</f>
        <v>15.02</v>
      </c>
      <c r="L286" s="320">
        <f>IFERROR(__xludf.DUMMYFUNCTION("""COMPUTED_VALUE"""),0.4111)</f>
        <v>0.4111</v>
      </c>
      <c r="M286" s="320">
        <f>IFERROR(__xludf.DUMMYFUNCTION("""COMPUTED_VALUE"""),0.6548)</f>
        <v>0.6548</v>
      </c>
      <c r="N286" s="320">
        <f>IFERROR(__xludf.DUMMYFUNCTION("""COMPUTED_VALUE"""),0.38)</f>
        <v>0.38</v>
      </c>
      <c r="O286" s="320">
        <f>IFERROR(__xludf.DUMMYFUNCTION("""COMPUTED_VALUE"""),2.4325)</f>
        <v>2.4325</v>
      </c>
      <c r="P286" s="320">
        <f>IFERROR(__xludf.DUMMYFUNCTION("""COMPUTED_VALUE"""),211.3)</f>
        <v>211.3</v>
      </c>
      <c r="Q286" s="320">
        <f>IFERROR(__xludf.DUMMYFUNCTION("""COMPUTED_VALUE"""),182.01)</f>
        <v>182.01</v>
      </c>
      <c r="R286" s="320">
        <f>IFERROR(__xludf.DUMMYFUNCTION("""COMPUTED_VALUE"""),29.29)</f>
        <v>29.29</v>
      </c>
      <c r="S286" s="320">
        <f>IFERROR(__xludf.DUMMYFUNCTION("""COMPUTED_VALUE"""),65.62)</f>
        <v>65.62</v>
      </c>
      <c r="T286" s="320">
        <f>IFERROR(__xludf.DUMMYFUNCTION("""COMPUTED_VALUE"""),145.68)</f>
        <v>145.68</v>
      </c>
      <c r="U286" s="320">
        <f>IFERROR(__xludf.DUMMYFUNCTION("""COMPUTED_VALUE"""),207.83)</f>
        <v>207.83</v>
      </c>
      <c r="V286" s="320">
        <f>IFERROR(__xludf.DUMMYFUNCTION("""COMPUTED_VALUE"""),5.6865)</f>
        <v>5.6865</v>
      </c>
      <c r="W286" s="320">
        <f>IFERROR(__xludf.DUMMYFUNCTION("""COMPUTED_VALUE"""),31.06)</f>
        <v>31.06</v>
      </c>
      <c r="X286" s="320">
        <f>IFERROR(__xludf.DUMMYFUNCTION("""COMPUTED_VALUE"""),86.0)</f>
        <v>86</v>
      </c>
      <c r="Y286" s="320">
        <f>IFERROR(__xludf.DUMMYFUNCTION("""COMPUTED_VALUE"""),202.0)</f>
        <v>202</v>
      </c>
      <c r="Z286" s="320">
        <f>IFERROR(__xludf.DUMMYFUNCTION("""COMPUTED_VALUE"""),611.0)</f>
        <v>611</v>
      </c>
      <c r="AA286" s="320">
        <f>IFERROR(__xludf.DUMMYFUNCTION("""COMPUTED_VALUE"""),52.3935)</f>
        <v>52.3935</v>
      </c>
      <c r="AB286" s="320">
        <f>IFERROR(__xludf.DUMMYFUNCTION("""COMPUTED_VALUE"""),0.5142)</f>
        <v>0.5142</v>
      </c>
      <c r="AC286" s="320">
        <f>IFERROR(__xludf.DUMMYFUNCTION("""COMPUTED_VALUE"""),9.14)</f>
        <v>9.14</v>
      </c>
      <c r="AD286" s="320">
        <f>IFERROR(__xludf.DUMMYFUNCTION("""COMPUTED_VALUE"""),3.0)</f>
        <v>3</v>
      </c>
      <c r="AE286" s="320">
        <f>IFERROR(__xludf.DUMMYFUNCTION("""COMPUTED_VALUE"""),6.0)</f>
        <v>6</v>
      </c>
      <c r="AF286" s="320">
        <f>IFERROR(__xludf.DUMMYFUNCTION("""COMPUTED_VALUE"""),13.0)</f>
        <v>13</v>
      </c>
      <c r="AG286" s="320">
        <f>IFERROR(__xludf.DUMMYFUNCTION("""COMPUTED_VALUE"""),20.0)</f>
        <v>20</v>
      </c>
      <c r="AH286" s="320">
        <f>IFERROR(__xludf.DUMMYFUNCTION("""COMPUTED_VALUE"""),55.56)</f>
        <v>55.56</v>
      </c>
      <c r="AI286" s="320">
        <f>IFERROR(__xludf.DUMMYFUNCTION("""COMPUTED_VALUE"""),25.4)</f>
        <v>25.4</v>
      </c>
      <c r="AJ286" s="320">
        <f>IFERROR(__xludf.DUMMYFUNCTION("""COMPUTED_VALUE"""),5.59)</f>
        <v>5.59</v>
      </c>
      <c r="AK286" s="320">
        <f>IFERROR(__xludf.DUMMYFUNCTION("""COMPUTED_VALUE"""),0.185)</f>
        <v>0.185</v>
      </c>
      <c r="AL286" s="320">
        <f>IFERROR(__xludf.DUMMYFUNCTION("""COMPUTED_VALUE"""),18.85)</f>
        <v>18.85</v>
      </c>
      <c r="AM286" s="320">
        <f>IFERROR(__xludf.DUMMYFUNCTION("""COMPUTED_VALUE"""),163.16)</f>
        <v>163.16</v>
      </c>
      <c r="AN286" s="320">
        <f>IFERROR(__xludf.DUMMYFUNCTION("""COMPUTED_VALUE"""),71.78)</f>
        <v>71.78</v>
      </c>
      <c r="AO286" s="320">
        <f>IFERROR(__xludf.DUMMYFUNCTION("""COMPUTED_VALUE"""),13.53)</f>
        <v>13.53</v>
      </c>
    </row>
    <row r="287" ht="15.75" customHeight="1">
      <c r="A287" s="330">
        <f>IFERROR(__xludf.DUMMYFUNCTION("""COMPUTED_VALUE"""),46097.0)</f>
        <v>46097</v>
      </c>
      <c r="B287" s="319" t="str">
        <f>IFERROR(__xludf.DUMMYFUNCTION("""COMPUTED_VALUE"""),"D. 20-39")</f>
        <v>D. 20-39</v>
      </c>
      <c r="C287" s="320">
        <f>IFERROR(__xludf.DUMMYFUNCTION("""COMPUTED_VALUE"""),9364.0)</f>
        <v>9364</v>
      </c>
      <c r="D287" s="320">
        <f>IFERROR(__xludf.DUMMYFUNCTION("""COMPUTED_VALUE"""),11.79)</f>
        <v>11.79</v>
      </c>
      <c r="E287" s="320">
        <f>IFERROR(__xludf.DUMMYFUNCTION("""COMPUTED_VALUE"""),24864.12)</f>
        <v>24864.12</v>
      </c>
      <c r="F287" s="320">
        <f>IFERROR(__xludf.DUMMYFUNCTION("""COMPUTED_VALUE"""),2.6553)</f>
        <v>2.6553</v>
      </c>
      <c r="G287" s="320">
        <f>IFERROR(__xludf.DUMMYFUNCTION("""COMPUTED_VALUE"""),32.5)</f>
        <v>32.5</v>
      </c>
      <c r="H287" s="320">
        <f>IFERROR(__xludf.DUMMYFUNCTION("""COMPUTED_VALUE"""),8.1709)</f>
        <v>8.1709</v>
      </c>
      <c r="I287" s="320">
        <f>IFERROR(__xludf.DUMMYFUNCTION("""COMPUTED_VALUE"""),90.29)</f>
        <v>90.29</v>
      </c>
      <c r="J287" s="320">
        <f>IFERROR(__xludf.DUMMYFUNCTION("""COMPUTED_VALUE"""),53.57)</f>
        <v>53.57</v>
      </c>
      <c r="K287" s="320">
        <f>IFERROR(__xludf.DUMMYFUNCTION("""COMPUTED_VALUE"""),29.56)</f>
        <v>29.56</v>
      </c>
      <c r="L287" s="320">
        <f>IFERROR(__xludf.DUMMYFUNCTION("""COMPUTED_VALUE"""),0.5517)</f>
        <v>0.5517</v>
      </c>
      <c r="M287" s="320">
        <f>IFERROR(__xludf.DUMMYFUNCTION("""COMPUTED_VALUE"""),0.5265)</f>
        <v>0.5265</v>
      </c>
      <c r="N287" s="320">
        <f>IFERROR(__xludf.DUMMYFUNCTION("""COMPUTED_VALUE"""),0.2909)</f>
        <v>0.2909</v>
      </c>
      <c r="O287" s="320">
        <f>IFERROR(__xludf.DUMMYFUNCTION("""COMPUTED_VALUE"""),1.8125)</f>
        <v>1.8125</v>
      </c>
      <c r="P287" s="320">
        <f>IFERROR(__xludf.DUMMYFUNCTION("""COMPUTED_VALUE"""),407.12)</f>
        <v>407.12</v>
      </c>
      <c r="Q287" s="320">
        <f>IFERROR(__xludf.DUMMYFUNCTION("""COMPUTED_VALUE"""),349.66)</f>
        <v>349.66</v>
      </c>
      <c r="R287" s="320">
        <f>IFERROR(__xludf.DUMMYFUNCTION("""COMPUTED_VALUE"""),57.46)</f>
        <v>57.46</v>
      </c>
      <c r="S287" s="320">
        <f>IFERROR(__xludf.DUMMYFUNCTION("""COMPUTED_VALUE"""),173.99)</f>
        <v>173.99</v>
      </c>
      <c r="T287" s="320">
        <f>IFERROR(__xludf.DUMMYFUNCTION("""COMPUTED_VALUE"""),233.13)</f>
        <v>233.13</v>
      </c>
      <c r="U287" s="320">
        <f>IFERROR(__xludf.DUMMYFUNCTION("""COMPUTED_VALUE"""),405.28)</f>
        <v>405.28</v>
      </c>
      <c r="V287" s="320">
        <f>IFERROR(__xludf.DUMMYFUNCTION("""COMPUTED_VALUE"""),7.5654)</f>
        <v>7.5654</v>
      </c>
      <c r="W287" s="320">
        <f>IFERROR(__xludf.DUMMYFUNCTION("""COMPUTED_VALUE"""),42.74)</f>
        <v>42.74</v>
      </c>
      <c r="X287" s="320">
        <f>IFERROR(__xludf.DUMMYFUNCTION("""COMPUTED_VALUE"""),89.0)</f>
        <v>89</v>
      </c>
      <c r="Y287" s="320">
        <f>IFERROR(__xludf.DUMMYFUNCTION("""COMPUTED_VALUE"""),234.0)</f>
        <v>234</v>
      </c>
      <c r="Z287" s="320">
        <f>IFERROR(__xludf.DUMMYFUNCTION("""COMPUTED_VALUE"""),683.0)</f>
        <v>683</v>
      </c>
      <c r="AA287" s="320">
        <f>IFERROR(__xludf.DUMMYFUNCTION("""COMPUTED_VALUE"""),54.4286)</f>
        <v>54.4286</v>
      </c>
      <c r="AB287" s="320">
        <f>IFERROR(__xludf.DUMMYFUNCTION("""COMPUTED_VALUE"""),0.61)</f>
        <v>0.61</v>
      </c>
      <c r="AC287" s="320">
        <f>IFERROR(__xludf.DUMMYFUNCTION("""COMPUTED_VALUE"""),18.36)</f>
        <v>18.36</v>
      </c>
      <c r="AD287" s="320">
        <f>IFERROR(__xludf.DUMMYFUNCTION("""COMPUTED_VALUE"""),6.0)</f>
        <v>6</v>
      </c>
      <c r="AE287" s="320">
        <f>IFERROR(__xludf.DUMMYFUNCTION("""COMPUTED_VALUE"""),14.0)</f>
        <v>14</v>
      </c>
      <c r="AF287" s="320">
        <f>IFERROR(__xludf.DUMMYFUNCTION("""COMPUTED_VALUE"""),26.0)</f>
        <v>26</v>
      </c>
      <c r="AG287" s="320">
        <f>IFERROR(__xludf.DUMMYFUNCTION("""COMPUTED_VALUE"""),39.0)</f>
        <v>39</v>
      </c>
      <c r="AH287" s="320">
        <f>IFERROR(__xludf.DUMMYFUNCTION("""COMPUTED_VALUE"""),59.16)</f>
        <v>59.16</v>
      </c>
      <c r="AI287" s="320">
        <f>IFERROR(__xludf.DUMMYFUNCTION("""COMPUTED_VALUE"""),26.06)</f>
        <v>26.06</v>
      </c>
      <c r="AJ287" s="320">
        <f>IFERROR(__xludf.DUMMYFUNCTION("""COMPUTED_VALUE"""),7.16)</f>
        <v>7.16</v>
      </c>
      <c r="AK287" s="320">
        <f>IFERROR(__xludf.DUMMYFUNCTION("""COMPUTED_VALUE"""),0.1848)</f>
        <v>0.1848</v>
      </c>
      <c r="AL287" s="320">
        <f>IFERROR(__xludf.DUMMYFUNCTION("""COMPUTED_VALUE"""),19.23)</f>
        <v>19.23</v>
      </c>
      <c r="AM287" s="320">
        <f>IFERROR(__xludf.DUMMYFUNCTION("""COMPUTED_VALUE"""),330.43)</f>
        <v>330.43</v>
      </c>
      <c r="AN287" s="320">
        <f>IFERROR(__xludf.DUMMYFUNCTION("""COMPUTED_VALUE"""),70.62)</f>
        <v>70.62</v>
      </c>
      <c r="AO287" s="320">
        <f>IFERROR(__xludf.DUMMYFUNCTION("""COMPUTED_VALUE"""),13.58)</f>
        <v>13.58</v>
      </c>
    </row>
    <row r="288" ht="15.75" customHeight="1">
      <c r="A288" s="330">
        <f>IFERROR(__xludf.DUMMYFUNCTION("""COMPUTED_VALUE"""),46097.0)</f>
        <v>46097</v>
      </c>
      <c r="B288" s="319" t="str">
        <f>IFERROR(__xludf.DUMMYFUNCTION("""COMPUTED_VALUE"""),"E. 40-99")</f>
        <v>E. 40-99</v>
      </c>
      <c r="C288" s="320">
        <f>IFERROR(__xludf.DUMMYFUNCTION("""COMPUTED_VALUE"""),3896.0)</f>
        <v>3896</v>
      </c>
      <c r="D288" s="320">
        <f>IFERROR(__xludf.DUMMYFUNCTION("""COMPUTED_VALUE"""),4.91)</f>
        <v>4.91</v>
      </c>
      <c r="E288" s="320">
        <f>IFERROR(__xludf.DUMMYFUNCTION("""COMPUTED_VALUE"""),21011.32)</f>
        <v>21011.32</v>
      </c>
      <c r="F288" s="320">
        <f>IFERROR(__xludf.DUMMYFUNCTION("""COMPUTED_VALUE"""),5.393)</f>
        <v>5.393</v>
      </c>
      <c r="G288" s="320">
        <f>IFERROR(__xludf.DUMMYFUNCTION("""COMPUTED_VALUE"""),39.4)</f>
        <v>39.4</v>
      </c>
      <c r="H288" s="320">
        <f>IFERROR(__xludf.DUMMYFUNCTION("""COMPUTED_VALUE"""),13.6882)</f>
        <v>13.6882</v>
      </c>
      <c r="I288" s="320">
        <f>IFERROR(__xludf.DUMMYFUNCTION("""COMPUTED_VALUE"""),136.07)</f>
        <v>136.07</v>
      </c>
      <c r="J288" s="320">
        <f>IFERROR(__xludf.DUMMYFUNCTION("""COMPUTED_VALUE"""),84.61)</f>
        <v>84.61</v>
      </c>
      <c r="K288" s="320">
        <f>IFERROR(__xludf.DUMMYFUNCTION("""COMPUTED_VALUE"""),59.16)</f>
        <v>59.16</v>
      </c>
      <c r="L288" s="320">
        <f>IFERROR(__xludf.DUMMYFUNCTION("""COMPUTED_VALUE"""),0.6992)</f>
        <v>0.6992</v>
      </c>
      <c r="M288" s="320">
        <f>IFERROR(__xludf.DUMMYFUNCTION("""COMPUTED_VALUE"""),0.39)</f>
        <v>0.39</v>
      </c>
      <c r="N288" s="320">
        <f>IFERROR(__xludf.DUMMYFUNCTION("""COMPUTED_VALUE"""),0.2243)</f>
        <v>0.2243</v>
      </c>
      <c r="O288" s="320">
        <f>IFERROR(__xludf.DUMMYFUNCTION("""COMPUTED_VALUE"""),1.4302)</f>
        <v>1.4302</v>
      </c>
      <c r="P288" s="320">
        <f>IFERROR(__xludf.DUMMYFUNCTION("""COMPUTED_VALUE"""),740.78)</f>
        <v>740.78</v>
      </c>
      <c r="Q288" s="320">
        <f>IFERROR(__xludf.DUMMYFUNCTION("""COMPUTED_VALUE"""),628.81)</f>
        <v>628.81</v>
      </c>
      <c r="R288" s="320">
        <f>IFERROR(__xludf.DUMMYFUNCTION("""COMPUTED_VALUE"""),111.96)</f>
        <v>111.96</v>
      </c>
      <c r="S288" s="320">
        <f>IFERROR(__xludf.DUMMYFUNCTION("""COMPUTED_VALUE"""),346.65)</f>
        <v>346.65</v>
      </c>
      <c r="T288" s="320">
        <f>IFERROR(__xludf.DUMMYFUNCTION("""COMPUTED_VALUE"""),394.12)</f>
        <v>394.12</v>
      </c>
      <c r="U288" s="320">
        <f>IFERROR(__xludf.DUMMYFUNCTION("""COMPUTED_VALUE"""),739.59)</f>
        <v>739.59</v>
      </c>
      <c r="V288" s="320">
        <f>IFERROR(__xludf.DUMMYFUNCTION("""COMPUTED_VALUE"""),8.7414)</f>
        <v>8.7414</v>
      </c>
      <c r="W288" s="320">
        <f>IFERROR(__xludf.DUMMYFUNCTION("""COMPUTED_VALUE"""),46.8)</f>
        <v>46.8</v>
      </c>
      <c r="X288" s="320">
        <f>IFERROR(__xludf.DUMMYFUNCTION("""COMPUTED_VALUE"""),113.0)</f>
        <v>113</v>
      </c>
      <c r="Y288" s="320">
        <f>IFERROR(__xludf.DUMMYFUNCTION("""COMPUTED_VALUE"""),383.0)</f>
        <v>383</v>
      </c>
      <c r="Z288" s="320">
        <f>IFERROR(__xludf.DUMMYFUNCTION("""COMPUTED_VALUE"""),1134.0)</f>
        <v>1134</v>
      </c>
      <c r="AA288" s="320">
        <f>IFERROR(__xludf.DUMMYFUNCTION("""COMPUTED_VALUE"""),57.6251)</f>
        <v>57.6251</v>
      </c>
      <c r="AB288" s="320">
        <f>IFERROR(__xludf.DUMMYFUNCTION("""COMPUTED_VALUE"""),0.6946)</f>
        <v>0.6946</v>
      </c>
      <c r="AC288" s="320">
        <f>IFERROR(__xludf.DUMMYFUNCTION("""COMPUTED_VALUE"""),35.8)</f>
        <v>35.8</v>
      </c>
      <c r="AD288" s="320">
        <f>IFERROR(__xludf.DUMMYFUNCTION("""COMPUTED_VALUE"""),13.0)</f>
        <v>13</v>
      </c>
      <c r="AE288" s="320">
        <f>IFERROR(__xludf.DUMMYFUNCTION("""COMPUTED_VALUE"""),29.0)</f>
        <v>29</v>
      </c>
      <c r="AF288" s="320">
        <f>IFERROR(__xludf.DUMMYFUNCTION("""COMPUTED_VALUE"""),47.0)</f>
        <v>47</v>
      </c>
      <c r="AG288" s="320">
        <f>IFERROR(__xludf.DUMMYFUNCTION("""COMPUTED_VALUE"""),76.0)</f>
        <v>76</v>
      </c>
      <c r="AH288" s="320">
        <f>IFERROR(__xludf.DUMMYFUNCTION("""COMPUTED_VALUE"""),51.51)</f>
        <v>51.51</v>
      </c>
      <c r="AI288" s="320">
        <f>IFERROR(__xludf.DUMMYFUNCTION("""COMPUTED_VALUE"""),17.12)</f>
        <v>17.12</v>
      </c>
      <c r="AJ288" s="320">
        <f>IFERROR(__xludf.DUMMYFUNCTION("""COMPUTED_VALUE"""),4.49)</f>
        <v>4.49</v>
      </c>
      <c r="AK288" s="320">
        <f>IFERROR(__xludf.DUMMYFUNCTION("""COMPUTED_VALUE"""),0.1653)</f>
        <v>0.1653</v>
      </c>
      <c r="AL288" s="320">
        <f>IFERROR(__xludf.DUMMYFUNCTION("""COMPUTED_VALUE"""),20.14)</f>
        <v>20.14</v>
      </c>
      <c r="AM288" s="320">
        <f>IFERROR(__xludf.DUMMYFUNCTION("""COMPUTED_VALUE"""),608.67)</f>
        <v>608.67</v>
      </c>
      <c r="AN288" s="320">
        <f>IFERROR(__xludf.DUMMYFUNCTION("""COMPUTED_VALUE"""),69.1)</f>
        <v>69.1</v>
      </c>
      <c r="AO288" s="320">
        <f>IFERROR(__xludf.DUMMYFUNCTION("""COMPUTED_VALUE"""),13.92)</f>
        <v>13.92</v>
      </c>
    </row>
    <row r="289" ht="15.75" customHeight="1">
      <c r="A289" s="330">
        <f>IFERROR(__xludf.DUMMYFUNCTION("""COMPUTED_VALUE"""),46097.0)</f>
        <v>46097</v>
      </c>
      <c r="B289" s="319" t="str">
        <f>IFERROR(__xludf.DUMMYFUNCTION("""COMPUTED_VALUE"""),"F. 100+")</f>
        <v>F. 100+</v>
      </c>
      <c r="C289" s="320">
        <f>IFERROR(__xludf.DUMMYFUNCTION("""COMPUTED_VALUE"""),403.0)</f>
        <v>403</v>
      </c>
      <c r="D289" s="320">
        <f>IFERROR(__xludf.DUMMYFUNCTION("""COMPUTED_VALUE"""),0.51)</f>
        <v>0.51</v>
      </c>
      <c r="E289" s="320">
        <f>IFERROR(__xludf.DUMMYFUNCTION("""COMPUTED_VALUE"""),4226.23)</f>
        <v>4226.23</v>
      </c>
      <c r="F289" s="320">
        <f>IFERROR(__xludf.DUMMYFUNCTION("""COMPUTED_VALUE"""),10.4869)</f>
        <v>10.4869</v>
      </c>
      <c r="G289" s="320">
        <f>IFERROR(__xludf.DUMMYFUNCTION("""COMPUTED_VALUE"""),46.15)</f>
        <v>46.15</v>
      </c>
      <c r="H289" s="320">
        <f>IFERROR(__xludf.DUMMYFUNCTION("""COMPUTED_VALUE"""),22.7217)</f>
        <v>22.7217</v>
      </c>
      <c r="I289" s="320">
        <f>IFERROR(__xludf.DUMMYFUNCTION("""COMPUTED_VALUE"""),245.93)</f>
        <v>245.93</v>
      </c>
      <c r="J289" s="320">
        <f>IFERROR(__xludf.DUMMYFUNCTION("""COMPUTED_VALUE"""),161.04)</f>
        <v>161.04</v>
      </c>
      <c r="K289" s="320">
        <f>IFERROR(__xludf.DUMMYFUNCTION("""COMPUTED_VALUE"""),134.57)</f>
        <v>134.57</v>
      </c>
      <c r="L289" s="320">
        <f>IFERROR(__xludf.DUMMYFUNCTION("""COMPUTED_VALUE"""),0.8356)</f>
        <v>0.8356</v>
      </c>
      <c r="M289" s="320">
        <f>IFERROR(__xludf.DUMMYFUNCTION("""COMPUTED_VALUE"""),0.2585)</f>
        <v>0.2585</v>
      </c>
      <c r="N289" s="320">
        <f>IFERROR(__xludf.DUMMYFUNCTION("""COMPUTED_VALUE"""),0.1625)</f>
        <v>0.1625</v>
      </c>
      <c r="O289" s="320">
        <f>IFERROR(__xludf.DUMMYFUNCTION("""COMPUTED_VALUE"""),1.1968)</f>
        <v>1.1968</v>
      </c>
      <c r="P289" s="320">
        <f>IFERROR(__xludf.DUMMYFUNCTION("""COMPUTED_VALUE"""),1413.58)</f>
        <v>1413.58</v>
      </c>
      <c r="Q289" s="320">
        <f>IFERROR(__xludf.DUMMYFUNCTION("""COMPUTED_VALUE"""),1130.63)</f>
        <v>1130.63</v>
      </c>
      <c r="R289" s="320">
        <f>IFERROR(__xludf.DUMMYFUNCTION("""COMPUTED_VALUE"""),282.95)</f>
        <v>282.95</v>
      </c>
      <c r="S289" s="320">
        <f>IFERROR(__xludf.DUMMYFUNCTION("""COMPUTED_VALUE"""),639.0)</f>
        <v>639</v>
      </c>
      <c r="T289" s="320">
        <f>IFERROR(__xludf.DUMMYFUNCTION("""COMPUTED_VALUE"""),774.58)</f>
        <v>774.58</v>
      </c>
      <c r="U289" s="320">
        <f>IFERROR(__xludf.DUMMYFUNCTION("""COMPUTED_VALUE"""),1405.46)</f>
        <v>1405.46</v>
      </c>
      <c r="V289" s="320">
        <f>IFERROR(__xludf.DUMMYFUNCTION("""COMPUTED_VALUE"""),8.7273)</f>
        <v>8.7273</v>
      </c>
      <c r="W289" s="320">
        <f>IFERROR(__xludf.DUMMYFUNCTION("""COMPUTED_VALUE"""),45.2)</f>
        <v>45.2</v>
      </c>
      <c r="X289" s="320">
        <f>IFERROR(__xludf.DUMMYFUNCTION("""COMPUTED_VALUE"""),159.0)</f>
        <v>159</v>
      </c>
      <c r="Y289" s="320">
        <f>IFERROR(__xludf.DUMMYFUNCTION("""COMPUTED_VALUE"""),651.0)</f>
        <v>651</v>
      </c>
      <c r="Z289" s="320">
        <f>IFERROR(__xludf.DUMMYFUNCTION("""COMPUTED_VALUE"""),1941.0)</f>
        <v>1941</v>
      </c>
      <c r="AA289" s="320">
        <f>IFERROR(__xludf.DUMMYFUNCTION("""COMPUTED_VALUE"""),61.9587)</f>
        <v>61.9587</v>
      </c>
      <c r="AB289" s="320">
        <f>IFERROR(__xludf.DUMMYFUNCTION("""COMPUTED_VALUE"""),0.8428)</f>
        <v>0.8428</v>
      </c>
      <c r="AC289" s="320">
        <f>IFERROR(__xludf.DUMMYFUNCTION("""COMPUTED_VALUE"""),96.51)</f>
        <v>96.51</v>
      </c>
      <c r="AD289" s="320">
        <f>IFERROR(__xludf.DUMMYFUNCTION("""COMPUTED_VALUE"""),35.0)</f>
        <v>35</v>
      </c>
      <c r="AE289" s="320">
        <f>IFERROR(__xludf.DUMMYFUNCTION("""COMPUTED_VALUE"""),79.0)</f>
        <v>79</v>
      </c>
      <c r="AF289" s="320">
        <f>IFERROR(__xludf.DUMMYFUNCTION("""COMPUTED_VALUE"""),139.0)</f>
        <v>139</v>
      </c>
      <c r="AG289" s="320">
        <f>IFERROR(__xludf.DUMMYFUNCTION("""COMPUTED_VALUE"""),223.0)</f>
        <v>223</v>
      </c>
      <c r="AH289" s="320">
        <f>IFERROR(__xludf.DUMMYFUNCTION("""COMPUTED_VALUE"""),50.37)</f>
        <v>50.37</v>
      </c>
      <c r="AI289" s="320">
        <f>IFERROR(__xludf.DUMMYFUNCTION("""COMPUTED_VALUE"""),14.14)</f>
        <v>14.14</v>
      </c>
      <c r="AJ289" s="320">
        <f>IFERROR(__xludf.DUMMYFUNCTION("""COMPUTED_VALUE"""),2.98)</f>
        <v>2.98</v>
      </c>
      <c r="AK289" s="320">
        <f>IFERROR(__xludf.DUMMYFUNCTION("""COMPUTED_VALUE"""),0.1365)</f>
        <v>0.1365</v>
      </c>
      <c r="AL289" s="320">
        <f>IFERROR(__xludf.DUMMYFUNCTION("""COMPUTED_VALUE"""),21.3)</f>
        <v>21.3</v>
      </c>
      <c r="AM289" s="320">
        <f>IFERROR(__xludf.DUMMYFUNCTION("""COMPUTED_VALUE"""),1109.32)</f>
        <v>1109.32</v>
      </c>
      <c r="AN289" s="320">
        <f>IFERROR(__xludf.DUMMYFUNCTION("""COMPUTED_VALUE"""),69.76)</f>
        <v>69.76</v>
      </c>
      <c r="AO289" s="320">
        <f>IFERROR(__xludf.DUMMYFUNCTION("""COMPUTED_VALUE"""),14.86)</f>
        <v>14.86</v>
      </c>
    </row>
    <row r="290" ht="15.75" customHeight="1">
      <c r="A290" s="330">
        <f>IFERROR(__xludf.DUMMYFUNCTION("""COMPUTED_VALUE"""),46098.0)</f>
        <v>46098</v>
      </c>
      <c r="B290" s="319" t="str">
        <f>IFERROR(__xludf.DUMMYFUNCTION("""COMPUTED_VALUE"""),"A. 0")</f>
        <v>A. 0</v>
      </c>
      <c r="C290" s="320">
        <f>IFERROR(__xludf.DUMMYFUNCTION("""COMPUTED_VALUE"""),16127.0)</f>
        <v>16127</v>
      </c>
      <c r="D290" s="320">
        <f>IFERROR(__xludf.DUMMYFUNCTION("""COMPUTED_VALUE"""),20.45)</f>
        <v>20.45</v>
      </c>
      <c r="E290" s="320">
        <f>IFERROR(__xludf.DUMMYFUNCTION("""COMPUTED_VALUE"""),-895.79)</f>
        <v>-895.79</v>
      </c>
      <c r="F290" s="320">
        <f>IFERROR(__xludf.DUMMYFUNCTION("""COMPUTED_VALUE"""),-0.0555)</f>
        <v>-0.0555</v>
      </c>
      <c r="G290" s="320">
        <f>IFERROR(__xludf.DUMMYFUNCTION("""COMPUTED_VALUE"""),0.11)</f>
        <v>0.11</v>
      </c>
      <c r="H290" s="320">
        <f>IFERROR(__xludf.DUMMYFUNCTION("""COMPUTED_VALUE"""),-49.7661)</f>
        <v>-49.7661</v>
      </c>
      <c r="I290" s="320">
        <f>IFERROR(__xludf.DUMMYFUNCTION("""COMPUTED_VALUE"""),6.29)</f>
        <v>6.29</v>
      </c>
      <c r="J290" s="320">
        <f>IFERROR(__xludf.DUMMYFUNCTION("""COMPUTED_VALUE"""),2.87)</f>
        <v>2.87</v>
      </c>
      <c r="K290" s="320">
        <f>IFERROR(__xludf.DUMMYFUNCTION("""COMPUTED_VALUE"""),0.03)</f>
        <v>0.03</v>
      </c>
      <c r="L290" s="320">
        <f>IFERROR(__xludf.DUMMYFUNCTION("""COMPUTED_VALUE"""),0.0103)</f>
        <v>0.0103</v>
      </c>
      <c r="M290" s="320">
        <f>IFERROR(__xludf.DUMMYFUNCTION("""COMPUTED_VALUE"""),0.9906)</f>
        <v>0.9906</v>
      </c>
      <c r="N290" s="320">
        <f>IFERROR(__xludf.DUMMYFUNCTION("""COMPUTED_VALUE"""),0.8602)</f>
        <v>0.8602</v>
      </c>
      <c r="O290" s="320">
        <f>IFERROR(__xludf.DUMMYFUNCTION("""COMPUTED_VALUE"""),97.1408)</f>
        <v>97.1408</v>
      </c>
      <c r="P290" s="320">
        <f>IFERROR(__xludf.DUMMYFUNCTION("""COMPUTED_VALUE"""),27.96)</f>
        <v>27.96</v>
      </c>
      <c r="Q290" s="320">
        <f>IFERROR(__xludf.DUMMYFUNCTION("""COMPUTED_VALUE"""),27.89)</f>
        <v>27.89</v>
      </c>
      <c r="R290" s="320">
        <f>IFERROR(__xludf.DUMMYFUNCTION("""COMPUTED_VALUE"""),0.06)</f>
        <v>0.06</v>
      </c>
      <c r="S290" s="320">
        <f>IFERROR(__xludf.DUMMYFUNCTION("""COMPUTED_VALUE"""),0.87)</f>
        <v>0.87</v>
      </c>
      <c r="T290" s="320">
        <f>IFERROR(__xludf.DUMMYFUNCTION("""COMPUTED_VALUE"""),27.09)</f>
        <v>27.09</v>
      </c>
      <c r="U290" s="320">
        <f>IFERROR(__xludf.DUMMYFUNCTION("""COMPUTED_VALUE"""),2.13)</f>
        <v>2.13</v>
      </c>
      <c r="V290" s="320">
        <f>IFERROR(__xludf.DUMMYFUNCTION("""COMPUTED_VALUE"""),0.7429)</f>
        <v>0.7429</v>
      </c>
      <c r="W290" s="320">
        <f>IFERROR(__xludf.DUMMYFUNCTION("""COMPUTED_VALUE"""),3.1)</f>
        <v>3.1</v>
      </c>
      <c r="X290" s="320">
        <f>IFERROR(__xludf.DUMMYFUNCTION("""COMPUTED_VALUE"""),164.0)</f>
        <v>164</v>
      </c>
      <c r="Y290" s="320">
        <f>IFERROR(__xludf.DUMMYFUNCTION("""COMPUTED_VALUE"""),1078.0)</f>
        <v>1078</v>
      </c>
      <c r="Z290" s="320">
        <f>IFERROR(__xludf.DUMMYFUNCTION("""COMPUTED_VALUE"""),7205.0)</f>
        <v>7205</v>
      </c>
      <c r="AA290" s="320">
        <f>IFERROR(__xludf.DUMMYFUNCTION("""COMPUTED_VALUE"""),49.8651)</f>
        <v>49.8651</v>
      </c>
      <c r="AB290" s="320">
        <f>IFERROR(__xludf.DUMMYFUNCTION("""COMPUTED_VALUE"""),0.5061)</f>
        <v>0.5061</v>
      </c>
      <c r="AC290" s="106"/>
      <c r="AD290" s="106"/>
      <c r="AE290" s="106"/>
      <c r="AF290" s="106"/>
      <c r="AG290" s="106"/>
      <c r="AH290" s="320">
        <f>IFERROR(__xludf.DUMMYFUNCTION("""COMPUTED_VALUE"""),0.0)</f>
        <v>0</v>
      </c>
      <c r="AI290" s="320">
        <f>IFERROR(__xludf.DUMMYFUNCTION("""COMPUTED_VALUE"""),0.0)</f>
        <v>0</v>
      </c>
      <c r="AJ290" s="320">
        <f>IFERROR(__xludf.DUMMYFUNCTION("""COMPUTED_VALUE"""),0.0)</f>
        <v>0</v>
      </c>
      <c r="AK290" s="320">
        <f>IFERROR(__xludf.DUMMYFUNCTION("""COMPUTED_VALUE"""),0.2656)</f>
        <v>0.2656</v>
      </c>
      <c r="AL290" s="320">
        <f>IFERROR(__xludf.DUMMYFUNCTION("""COMPUTED_VALUE"""),15.12)</f>
        <v>15.12</v>
      </c>
      <c r="AM290" s="320">
        <f>IFERROR(__xludf.DUMMYFUNCTION("""COMPUTED_VALUE"""),12.77)</f>
        <v>12.77</v>
      </c>
      <c r="AN290" s="331"/>
      <c r="AO290" s="331"/>
    </row>
    <row r="291" ht="15.75" customHeight="1">
      <c r="A291" s="330">
        <f>IFERROR(__xludf.DUMMYFUNCTION("""COMPUTED_VALUE"""),46098.0)</f>
        <v>46098</v>
      </c>
      <c r="B291" s="319" t="str">
        <f>IFERROR(__xludf.DUMMYFUNCTION("""COMPUTED_VALUE"""),"B. 1-9")</f>
        <v>B. 1-9</v>
      </c>
      <c r="C291" s="320">
        <f>IFERROR(__xludf.DUMMYFUNCTION("""COMPUTED_VALUE"""),33527.0)</f>
        <v>33527</v>
      </c>
      <c r="D291" s="320">
        <f>IFERROR(__xludf.DUMMYFUNCTION("""COMPUTED_VALUE"""),42.51)</f>
        <v>42.51</v>
      </c>
      <c r="E291" s="320">
        <f>IFERROR(__xludf.DUMMYFUNCTION("""COMPUTED_VALUE"""),6671.94)</f>
        <v>6671.94</v>
      </c>
      <c r="F291" s="320">
        <f>IFERROR(__xludf.DUMMYFUNCTION("""COMPUTED_VALUE"""),0.199)</f>
        <v>0.199</v>
      </c>
      <c r="G291" s="320">
        <f>IFERROR(__xludf.DUMMYFUNCTION("""COMPUTED_VALUE"""),5.97)</f>
        <v>5.97</v>
      </c>
      <c r="H291" s="320">
        <f>IFERROR(__xludf.DUMMYFUNCTION("""COMPUTED_VALUE"""),3.331)</f>
        <v>3.331</v>
      </c>
      <c r="I291" s="320">
        <f>IFERROR(__xludf.DUMMYFUNCTION("""COMPUTED_VALUE"""),30.3)</f>
        <v>30.3</v>
      </c>
      <c r="J291" s="320">
        <f>IFERROR(__xludf.DUMMYFUNCTION("""COMPUTED_VALUE"""),16.06)</f>
        <v>16.06</v>
      </c>
      <c r="K291" s="320">
        <f>IFERROR(__xludf.DUMMYFUNCTION("""COMPUTED_VALUE"""),5.11)</f>
        <v>5.11</v>
      </c>
      <c r="L291" s="320">
        <f>IFERROR(__xludf.DUMMYFUNCTION("""COMPUTED_VALUE"""),0.3183)</f>
        <v>0.3183</v>
      </c>
      <c r="M291" s="320">
        <f>IFERROR(__xludf.DUMMYFUNCTION("""COMPUTED_VALUE"""),0.7564)</f>
        <v>0.7564</v>
      </c>
      <c r="N291" s="320">
        <f>IFERROR(__xludf.DUMMYFUNCTION("""COMPUTED_VALUE"""),0.5201)</f>
        <v>0.5201</v>
      </c>
      <c r="O291" s="320">
        <f>IFERROR(__xludf.DUMMYFUNCTION("""COMPUTED_VALUE"""),3.142)</f>
        <v>3.142</v>
      </c>
      <c r="P291" s="320">
        <f>IFERROR(__xludf.DUMMYFUNCTION("""COMPUTED_VALUE"""),71.5)</f>
        <v>71.5</v>
      </c>
      <c r="Q291" s="320">
        <f>IFERROR(__xludf.DUMMYFUNCTION("""COMPUTED_VALUE"""),60.8)</f>
        <v>60.8</v>
      </c>
      <c r="R291" s="320">
        <f>IFERROR(__xludf.DUMMYFUNCTION("""COMPUTED_VALUE"""),10.71)</f>
        <v>10.71</v>
      </c>
      <c r="S291" s="320">
        <f>IFERROR(__xludf.DUMMYFUNCTION("""COMPUTED_VALUE"""),14.46)</f>
        <v>14.46</v>
      </c>
      <c r="T291" s="320">
        <f>IFERROR(__xludf.DUMMYFUNCTION("""COMPUTED_VALUE"""),57.04)</f>
        <v>57.04</v>
      </c>
      <c r="U291" s="320">
        <f>IFERROR(__xludf.DUMMYFUNCTION("""COMPUTED_VALUE"""),76.0)</f>
        <v>76</v>
      </c>
      <c r="V291" s="320">
        <f>IFERROR(__xludf.DUMMYFUNCTION("""COMPUTED_VALUE"""),4.7335)</f>
        <v>4.7335</v>
      </c>
      <c r="W291" s="320">
        <f>IFERROR(__xludf.DUMMYFUNCTION("""COMPUTED_VALUE"""),20.22)</f>
        <v>20.22</v>
      </c>
      <c r="X291" s="320">
        <f>IFERROR(__xludf.DUMMYFUNCTION("""COMPUTED_VALUE"""),88.0)</f>
        <v>88</v>
      </c>
      <c r="Y291" s="320">
        <f>IFERROR(__xludf.DUMMYFUNCTION("""COMPUTED_VALUE"""),213.0)</f>
        <v>213</v>
      </c>
      <c r="Z291" s="320">
        <f>IFERROR(__xludf.DUMMYFUNCTION("""COMPUTED_VALUE"""),844.0)</f>
        <v>844</v>
      </c>
      <c r="AA291" s="320">
        <f>IFERROR(__xludf.DUMMYFUNCTION("""COMPUTED_VALUE"""),49.7092)</f>
        <v>49.7092</v>
      </c>
      <c r="AB291" s="320">
        <f>IFERROR(__xludf.DUMMYFUNCTION("""COMPUTED_VALUE"""),0.4369)</f>
        <v>0.4369</v>
      </c>
      <c r="AC291" s="320">
        <f>IFERROR(__xludf.DUMMYFUNCTION("""COMPUTED_VALUE"""),3.51)</f>
        <v>3.51</v>
      </c>
      <c r="AD291" s="320">
        <f>IFERROR(__xludf.DUMMYFUNCTION("""COMPUTED_VALUE"""),1.0)</f>
        <v>1</v>
      </c>
      <c r="AE291" s="320">
        <f>IFERROR(__xludf.DUMMYFUNCTION("""COMPUTED_VALUE"""),2.0)</f>
        <v>2</v>
      </c>
      <c r="AF291" s="320">
        <f>IFERROR(__xludf.DUMMYFUNCTION("""COMPUTED_VALUE"""),4.0)</f>
        <v>4</v>
      </c>
      <c r="AG291" s="320">
        <f>IFERROR(__xludf.DUMMYFUNCTION("""COMPUTED_VALUE"""),8.0)</f>
        <v>8</v>
      </c>
      <c r="AH291" s="320">
        <f>IFERROR(__xludf.DUMMYFUNCTION("""COMPUTED_VALUE"""),65.89)</f>
        <v>65.89</v>
      </c>
      <c r="AI291" s="320">
        <f>IFERROR(__xludf.DUMMYFUNCTION("""COMPUTED_VALUE"""),24.11)</f>
        <v>24.11</v>
      </c>
      <c r="AJ291" s="320">
        <f>IFERROR(__xludf.DUMMYFUNCTION("""COMPUTED_VALUE"""),6.99)</f>
        <v>6.99</v>
      </c>
      <c r="AK291" s="320">
        <f>IFERROR(__xludf.DUMMYFUNCTION("""COMPUTED_VALUE"""),0.2131)</f>
        <v>0.2131</v>
      </c>
      <c r="AL291" s="320">
        <f>IFERROR(__xludf.DUMMYFUNCTION("""COMPUTED_VALUE"""),18.44)</f>
        <v>18.44</v>
      </c>
      <c r="AM291" s="320">
        <f>IFERROR(__xludf.DUMMYFUNCTION("""COMPUTED_VALUE"""),42.35)</f>
        <v>42.35</v>
      </c>
      <c r="AN291" s="320">
        <f>IFERROR(__xludf.DUMMYFUNCTION("""COMPUTED_VALUE"""),68.53)</f>
        <v>68.53</v>
      </c>
      <c r="AO291" s="320">
        <f>IFERROR(__xludf.DUMMYFUNCTION("""COMPUTED_VALUE"""),12.64)</f>
        <v>12.64</v>
      </c>
    </row>
    <row r="292" ht="15.75" customHeight="1">
      <c r="A292" s="330">
        <f>IFERROR(__xludf.DUMMYFUNCTION("""COMPUTED_VALUE"""),46098.0)</f>
        <v>46098</v>
      </c>
      <c r="B292" s="319" t="str">
        <f>IFERROR(__xludf.DUMMYFUNCTION("""COMPUTED_VALUE"""),"C. 10-19")</f>
        <v>C. 10-19</v>
      </c>
      <c r="C292" s="320">
        <f>IFERROR(__xludf.DUMMYFUNCTION("""COMPUTED_VALUE"""),16173.0)</f>
        <v>16173</v>
      </c>
      <c r="D292" s="320">
        <f>IFERROR(__xludf.DUMMYFUNCTION("""COMPUTED_VALUE"""),20.51)</f>
        <v>20.51</v>
      </c>
      <c r="E292" s="320">
        <f>IFERROR(__xludf.DUMMYFUNCTION("""COMPUTED_VALUE"""),16000.15)</f>
        <v>16000.15</v>
      </c>
      <c r="F292" s="320">
        <f>IFERROR(__xludf.DUMMYFUNCTION("""COMPUTED_VALUE"""),0.9893)</f>
        <v>0.9893</v>
      </c>
      <c r="G292" s="320">
        <f>IFERROR(__xludf.DUMMYFUNCTION("""COMPUTED_VALUE"""),20.81)</f>
        <v>20.81</v>
      </c>
      <c r="H292" s="320">
        <f>IFERROR(__xludf.DUMMYFUNCTION("""COMPUTED_VALUE"""),4.7549)</f>
        <v>4.7549</v>
      </c>
      <c r="I292" s="320">
        <f>IFERROR(__xludf.DUMMYFUNCTION("""COMPUTED_VALUE"""),54.98)</f>
        <v>54.98</v>
      </c>
      <c r="J292" s="320">
        <f>IFERROR(__xludf.DUMMYFUNCTION("""COMPUTED_VALUE"""),31.21)</f>
        <v>31.21</v>
      </c>
      <c r="K292" s="320">
        <f>IFERROR(__xludf.DUMMYFUNCTION("""COMPUTED_VALUE"""),13.82)</f>
        <v>13.82</v>
      </c>
      <c r="L292" s="320">
        <f>IFERROR(__xludf.DUMMYFUNCTION("""COMPUTED_VALUE"""),0.4429)</f>
        <v>0.4429</v>
      </c>
      <c r="M292" s="320">
        <f>IFERROR(__xludf.DUMMYFUNCTION("""COMPUTED_VALUE"""),0.6262)</f>
        <v>0.6262</v>
      </c>
      <c r="N292" s="320">
        <f>IFERROR(__xludf.DUMMYFUNCTION("""COMPUTED_VALUE"""),0.3551)</f>
        <v>0.3551</v>
      </c>
      <c r="O292" s="320">
        <f>IFERROR(__xludf.DUMMYFUNCTION("""COMPUTED_VALUE"""),2.258)</f>
        <v>2.258</v>
      </c>
      <c r="P292" s="320">
        <f>IFERROR(__xludf.DUMMYFUNCTION("""COMPUTED_VALUE"""),174.43)</f>
        <v>174.43</v>
      </c>
      <c r="Q292" s="320">
        <f>IFERROR(__xludf.DUMMYFUNCTION("""COMPUTED_VALUE"""),146.48)</f>
        <v>146.48</v>
      </c>
      <c r="R292" s="320">
        <f>IFERROR(__xludf.DUMMYFUNCTION("""COMPUTED_VALUE"""),27.95)</f>
        <v>27.95</v>
      </c>
      <c r="S292" s="320">
        <f>IFERROR(__xludf.DUMMYFUNCTION("""COMPUTED_VALUE"""),67.51)</f>
        <v>67.51</v>
      </c>
      <c r="T292" s="320">
        <f>IFERROR(__xludf.DUMMYFUNCTION("""COMPUTED_VALUE"""),106.92)</f>
        <v>106.92</v>
      </c>
      <c r="U292" s="320">
        <f>IFERROR(__xludf.DUMMYFUNCTION("""COMPUTED_VALUE"""),183.7)</f>
        <v>183.7</v>
      </c>
      <c r="V292" s="320">
        <f>IFERROR(__xludf.DUMMYFUNCTION("""COMPUTED_VALUE"""),5.8859)</f>
        <v>5.8859</v>
      </c>
      <c r="W292" s="320">
        <f>IFERROR(__xludf.DUMMYFUNCTION("""COMPUTED_VALUE"""),38.7)</f>
        <v>38.7</v>
      </c>
      <c r="X292" s="320">
        <f>IFERROR(__xludf.DUMMYFUNCTION("""COMPUTED_VALUE"""),85.0)</f>
        <v>85</v>
      </c>
      <c r="Y292" s="320">
        <f>IFERROR(__xludf.DUMMYFUNCTION("""COMPUTED_VALUE"""),205.0)</f>
        <v>205</v>
      </c>
      <c r="Z292" s="320">
        <f>IFERROR(__xludf.DUMMYFUNCTION("""COMPUTED_VALUE"""),669.0)</f>
        <v>669</v>
      </c>
      <c r="AA292" s="320">
        <f>IFERROR(__xludf.DUMMYFUNCTION("""COMPUTED_VALUE"""),52.4818)</f>
        <v>52.4818</v>
      </c>
      <c r="AB292" s="320">
        <f>IFERROR(__xludf.DUMMYFUNCTION("""COMPUTED_VALUE"""),0.5288)</f>
        <v>0.5288</v>
      </c>
      <c r="AC292" s="320">
        <f>IFERROR(__xludf.DUMMYFUNCTION("""COMPUTED_VALUE"""),9.1)</f>
        <v>9.1</v>
      </c>
      <c r="AD292" s="320">
        <f>IFERROR(__xludf.DUMMYFUNCTION("""COMPUTED_VALUE"""),3.0)</f>
        <v>3</v>
      </c>
      <c r="AE292" s="320">
        <f>IFERROR(__xludf.DUMMYFUNCTION("""COMPUTED_VALUE"""),6.0)</f>
        <v>6</v>
      </c>
      <c r="AF292" s="320">
        <f>IFERROR(__xludf.DUMMYFUNCTION("""COMPUTED_VALUE"""),13.0)</f>
        <v>13</v>
      </c>
      <c r="AG292" s="320">
        <f>IFERROR(__xludf.DUMMYFUNCTION("""COMPUTED_VALUE"""),20.0)</f>
        <v>20</v>
      </c>
      <c r="AH292" s="320">
        <f>IFERROR(__xludf.DUMMYFUNCTION("""COMPUTED_VALUE"""),55.42)</f>
        <v>55.42</v>
      </c>
      <c r="AI292" s="320">
        <f>IFERROR(__xludf.DUMMYFUNCTION("""COMPUTED_VALUE"""),25.92)</f>
        <v>25.92</v>
      </c>
      <c r="AJ292" s="320">
        <f>IFERROR(__xludf.DUMMYFUNCTION("""COMPUTED_VALUE"""),5.28)</f>
        <v>5.28</v>
      </c>
      <c r="AK292" s="320">
        <f>IFERROR(__xludf.DUMMYFUNCTION("""COMPUTED_VALUE"""),0.1852)</f>
        <v>0.1852</v>
      </c>
      <c r="AL292" s="320">
        <f>IFERROR(__xludf.DUMMYFUNCTION("""COMPUTED_VALUE"""),18.98)</f>
        <v>18.98</v>
      </c>
      <c r="AM292" s="320">
        <f>IFERROR(__xludf.DUMMYFUNCTION("""COMPUTED_VALUE"""),127.5)</f>
        <v>127.5</v>
      </c>
      <c r="AN292" s="320">
        <f>IFERROR(__xludf.DUMMYFUNCTION("""COMPUTED_VALUE"""),72.36)</f>
        <v>72.36</v>
      </c>
      <c r="AO292" s="320">
        <f>IFERROR(__xludf.DUMMYFUNCTION("""COMPUTED_VALUE"""),13.73)</f>
        <v>13.73</v>
      </c>
    </row>
    <row r="293" ht="15.75" customHeight="1">
      <c r="A293" s="330">
        <f>IFERROR(__xludf.DUMMYFUNCTION("""COMPUTED_VALUE"""),46098.0)</f>
        <v>46098</v>
      </c>
      <c r="B293" s="319" t="str">
        <f>IFERROR(__xludf.DUMMYFUNCTION("""COMPUTED_VALUE"""),"D. 20-39")</f>
        <v>D. 20-39</v>
      </c>
      <c r="C293" s="320">
        <f>IFERROR(__xludf.DUMMYFUNCTION("""COMPUTED_VALUE"""),9149.0)</f>
        <v>9149</v>
      </c>
      <c r="D293" s="320">
        <f>IFERROR(__xludf.DUMMYFUNCTION("""COMPUTED_VALUE"""),11.6)</f>
        <v>11.6</v>
      </c>
      <c r="E293" s="320">
        <f>IFERROR(__xludf.DUMMYFUNCTION("""COMPUTED_VALUE"""),22099.91)</f>
        <v>22099.91</v>
      </c>
      <c r="F293" s="320">
        <f>IFERROR(__xludf.DUMMYFUNCTION("""COMPUTED_VALUE"""),2.4156)</f>
        <v>2.4156</v>
      </c>
      <c r="G293" s="320">
        <f>IFERROR(__xludf.DUMMYFUNCTION("""COMPUTED_VALUE"""),31.51)</f>
        <v>31.51</v>
      </c>
      <c r="H293" s="320">
        <f>IFERROR(__xludf.DUMMYFUNCTION("""COMPUTED_VALUE"""),7.6656)</f>
        <v>7.6656</v>
      </c>
      <c r="I293" s="320">
        <f>IFERROR(__xludf.DUMMYFUNCTION("""COMPUTED_VALUE"""),79.47)</f>
        <v>79.47</v>
      </c>
      <c r="J293" s="320">
        <f>IFERROR(__xludf.DUMMYFUNCTION("""COMPUTED_VALUE"""),47.59)</f>
        <v>47.59</v>
      </c>
      <c r="K293" s="320">
        <f>IFERROR(__xludf.DUMMYFUNCTION("""COMPUTED_VALUE"""),26.92)</f>
        <v>26.92</v>
      </c>
      <c r="L293" s="320">
        <f>IFERROR(__xludf.DUMMYFUNCTION("""COMPUTED_VALUE"""),0.5657)</f>
        <v>0.5657</v>
      </c>
      <c r="M293" s="320">
        <f>IFERROR(__xludf.DUMMYFUNCTION("""COMPUTED_VALUE"""),0.5112)</f>
        <v>0.5112</v>
      </c>
      <c r="N293" s="320">
        <f>IFERROR(__xludf.DUMMYFUNCTION("""COMPUTED_VALUE"""),0.2792)</f>
        <v>0.2792</v>
      </c>
      <c r="O293" s="320">
        <f>IFERROR(__xludf.DUMMYFUNCTION("""COMPUTED_VALUE"""),1.7676)</f>
        <v>1.7676</v>
      </c>
      <c r="P293" s="320">
        <f>IFERROR(__xludf.DUMMYFUNCTION("""COMPUTED_VALUE"""),342.57)</f>
        <v>342.57</v>
      </c>
      <c r="Q293" s="320">
        <f>IFERROR(__xludf.DUMMYFUNCTION("""COMPUTED_VALUE"""),289.99)</f>
        <v>289.99</v>
      </c>
      <c r="R293" s="320">
        <f>IFERROR(__xludf.DUMMYFUNCTION("""COMPUTED_VALUE"""),52.59)</f>
        <v>52.59</v>
      </c>
      <c r="S293" s="320">
        <f>IFERROR(__xludf.DUMMYFUNCTION("""COMPUTED_VALUE"""),157.07)</f>
        <v>157.07</v>
      </c>
      <c r="T293" s="320">
        <f>IFERROR(__xludf.DUMMYFUNCTION("""COMPUTED_VALUE"""),185.51)</f>
        <v>185.51</v>
      </c>
      <c r="U293" s="320">
        <f>IFERROR(__xludf.DUMMYFUNCTION("""COMPUTED_VALUE"""),350.67)</f>
        <v>350.67</v>
      </c>
      <c r="V293" s="320">
        <f>IFERROR(__xludf.DUMMYFUNCTION("""COMPUTED_VALUE"""),7.3693)</f>
        <v>7.3693</v>
      </c>
      <c r="W293" s="320">
        <f>IFERROR(__xludf.DUMMYFUNCTION("""COMPUTED_VALUE"""),45.85)</f>
        <v>45.85</v>
      </c>
      <c r="X293" s="320">
        <f>IFERROR(__xludf.DUMMYFUNCTION("""COMPUTED_VALUE"""),92.0)</f>
        <v>92</v>
      </c>
      <c r="Y293" s="320">
        <f>IFERROR(__xludf.DUMMYFUNCTION("""COMPUTED_VALUE"""),254.0)</f>
        <v>254</v>
      </c>
      <c r="Z293" s="320">
        <f>IFERROR(__xludf.DUMMYFUNCTION("""COMPUTED_VALUE"""),755.0)</f>
        <v>755</v>
      </c>
      <c r="AA293" s="320">
        <f>IFERROR(__xludf.DUMMYFUNCTION("""COMPUTED_VALUE"""),54.569)</f>
        <v>54.569</v>
      </c>
      <c r="AB293" s="320">
        <f>IFERROR(__xludf.DUMMYFUNCTION("""COMPUTED_VALUE"""),0.6291)</f>
        <v>0.6291</v>
      </c>
      <c r="AC293" s="320">
        <f>IFERROR(__xludf.DUMMYFUNCTION("""COMPUTED_VALUE"""),16.69)</f>
        <v>16.69</v>
      </c>
      <c r="AD293" s="320">
        <f>IFERROR(__xludf.DUMMYFUNCTION("""COMPUTED_VALUE"""),5.0)</f>
        <v>5</v>
      </c>
      <c r="AE293" s="320">
        <f>IFERROR(__xludf.DUMMYFUNCTION("""COMPUTED_VALUE"""),12.0)</f>
        <v>12</v>
      </c>
      <c r="AF293" s="320">
        <f>IFERROR(__xludf.DUMMYFUNCTION("""COMPUTED_VALUE"""),24.0)</f>
        <v>24</v>
      </c>
      <c r="AG293" s="320">
        <f>IFERROR(__xludf.DUMMYFUNCTION("""COMPUTED_VALUE"""),36.0)</f>
        <v>36</v>
      </c>
      <c r="AH293" s="320">
        <f>IFERROR(__xludf.DUMMYFUNCTION("""COMPUTED_VALUE"""),54.71)</f>
        <v>54.71</v>
      </c>
      <c r="AI293" s="320">
        <f>IFERROR(__xludf.DUMMYFUNCTION("""COMPUTED_VALUE"""),21.97)</f>
        <v>21.97</v>
      </c>
      <c r="AJ293" s="320">
        <f>IFERROR(__xludf.DUMMYFUNCTION("""COMPUTED_VALUE"""),6.36)</f>
        <v>6.36</v>
      </c>
      <c r="AK293" s="320">
        <f>IFERROR(__xludf.DUMMYFUNCTION("""COMPUTED_VALUE"""),0.186)</f>
        <v>0.186</v>
      </c>
      <c r="AL293" s="320">
        <f>IFERROR(__xludf.DUMMYFUNCTION("""COMPUTED_VALUE"""),19.12)</f>
        <v>19.12</v>
      </c>
      <c r="AM293" s="320">
        <f>IFERROR(__xludf.DUMMYFUNCTION("""COMPUTED_VALUE"""),270.87)</f>
        <v>270.87</v>
      </c>
      <c r="AN293" s="320">
        <f>IFERROR(__xludf.DUMMYFUNCTION("""COMPUTED_VALUE"""),72.22)</f>
        <v>72.22</v>
      </c>
      <c r="AO293" s="320">
        <f>IFERROR(__xludf.DUMMYFUNCTION("""COMPUTED_VALUE"""),13.81)</f>
        <v>13.81</v>
      </c>
    </row>
    <row r="294" ht="15.75" customHeight="1">
      <c r="A294" s="330">
        <f>IFERROR(__xludf.DUMMYFUNCTION("""COMPUTED_VALUE"""),46098.0)</f>
        <v>46098</v>
      </c>
      <c r="B294" s="319" t="str">
        <f>IFERROR(__xludf.DUMMYFUNCTION("""COMPUTED_VALUE"""),"E. 40-99")</f>
        <v>E. 40-99</v>
      </c>
      <c r="C294" s="320">
        <f>IFERROR(__xludf.DUMMYFUNCTION("""COMPUTED_VALUE"""),3478.0)</f>
        <v>3478</v>
      </c>
      <c r="D294" s="320">
        <f>IFERROR(__xludf.DUMMYFUNCTION("""COMPUTED_VALUE"""),4.41)</f>
        <v>4.41</v>
      </c>
      <c r="E294" s="320">
        <f>IFERROR(__xludf.DUMMYFUNCTION("""COMPUTED_VALUE"""),17365.33)</f>
        <v>17365.33</v>
      </c>
      <c r="F294" s="320">
        <f>IFERROR(__xludf.DUMMYFUNCTION("""COMPUTED_VALUE"""),4.9929)</f>
        <v>4.9929</v>
      </c>
      <c r="G294" s="320">
        <f>IFERROR(__xludf.DUMMYFUNCTION("""COMPUTED_VALUE"""),39.94)</f>
        <v>39.94</v>
      </c>
      <c r="H294" s="320">
        <f>IFERROR(__xludf.DUMMYFUNCTION("""COMPUTED_VALUE"""),12.502)</f>
        <v>12.502</v>
      </c>
      <c r="I294" s="320">
        <f>IFERROR(__xludf.DUMMYFUNCTION("""COMPUTED_VALUE"""),120.57)</f>
        <v>120.57</v>
      </c>
      <c r="J294" s="320">
        <f>IFERROR(__xludf.DUMMYFUNCTION("""COMPUTED_VALUE"""),75.31)</f>
        <v>75.31</v>
      </c>
      <c r="K294" s="320">
        <f>IFERROR(__xludf.DUMMYFUNCTION("""COMPUTED_VALUE"""),52.83)</f>
        <v>52.83</v>
      </c>
      <c r="L294" s="320">
        <f>IFERROR(__xludf.DUMMYFUNCTION("""COMPUTED_VALUE"""),0.7015)</f>
        <v>0.7015</v>
      </c>
      <c r="M294" s="320">
        <f>IFERROR(__xludf.DUMMYFUNCTION("""COMPUTED_VALUE"""),0.3871)</f>
        <v>0.3871</v>
      </c>
      <c r="N294" s="320">
        <f>IFERROR(__xludf.DUMMYFUNCTION("""COMPUTED_VALUE"""),0.2207)</f>
        <v>0.2207</v>
      </c>
      <c r="O294" s="320">
        <f>IFERROR(__xludf.DUMMYFUNCTION("""COMPUTED_VALUE"""),1.4256)</f>
        <v>1.4256</v>
      </c>
      <c r="P294" s="320">
        <f>IFERROR(__xludf.DUMMYFUNCTION("""COMPUTED_VALUE"""),644.53)</f>
        <v>644.53</v>
      </c>
      <c r="Q294" s="320">
        <f>IFERROR(__xludf.DUMMYFUNCTION("""COMPUTED_VALUE"""),535.22)</f>
        <v>535.22</v>
      </c>
      <c r="R294" s="320">
        <f>IFERROR(__xludf.DUMMYFUNCTION("""COMPUTED_VALUE"""),109.3)</f>
        <v>109.3</v>
      </c>
      <c r="S294" s="320">
        <f>IFERROR(__xludf.DUMMYFUNCTION("""COMPUTED_VALUE"""),304.76)</f>
        <v>304.76</v>
      </c>
      <c r="T294" s="320">
        <f>IFERROR(__xludf.DUMMYFUNCTION("""COMPUTED_VALUE"""),339.77)</f>
        <v>339.77</v>
      </c>
      <c r="U294" s="320">
        <f>IFERROR(__xludf.DUMMYFUNCTION("""COMPUTED_VALUE"""),654.97)</f>
        <v>654.97</v>
      </c>
      <c r="V294" s="320">
        <f>IFERROR(__xludf.DUMMYFUNCTION("""COMPUTED_VALUE"""),8.6973)</f>
        <v>8.6973</v>
      </c>
      <c r="W294" s="320">
        <f>IFERROR(__xludf.DUMMYFUNCTION("""COMPUTED_VALUE"""),47.28)</f>
        <v>47.28</v>
      </c>
      <c r="X294" s="320">
        <f>IFERROR(__xludf.DUMMYFUNCTION("""COMPUTED_VALUE"""),104.0)</f>
        <v>104</v>
      </c>
      <c r="Y294" s="320">
        <f>IFERROR(__xludf.DUMMYFUNCTION("""COMPUTED_VALUE"""),364.0)</f>
        <v>364</v>
      </c>
      <c r="Z294" s="320">
        <f>IFERROR(__xludf.DUMMYFUNCTION("""COMPUTED_VALUE"""),1021.0)</f>
        <v>1021</v>
      </c>
      <c r="AA294" s="320">
        <f>IFERROR(__xludf.DUMMYFUNCTION("""COMPUTED_VALUE"""),57.8688)</f>
        <v>57.8688</v>
      </c>
      <c r="AB294" s="320">
        <f>IFERROR(__xludf.DUMMYFUNCTION("""COMPUTED_VALUE"""),0.7566)</f>
        <v>0.7566</v>
      </c>
      <c r="AC294" s="320">
        <f>IFERROR(__xludf.DUMMYFUNCTION("""COMPUTED_VALUE"""),35.44)</f>
        <v>35.44</v>
      </c>
      <c r="AD294" s="320">
        <f>IFERROR(__xludf.DUMMYFUNCTION("""COMPUTED_VALUE"""),12.0)</f>
        <v>12</v>
      </c>
      <c r="AE294" s="320">
        <f>IFERROR(__xludf.DUMMYFUNCTION("""COMPUTED_VALUE"""),27.0)</f>
        <v>27</v>
      </c>
      <c r="AF294" s="320">
        <f>IFERROR(__xludf.DUMMYFUNCTION("""COMPUTED_VALUE"""),50.0)</f>
        <v>50</v>
      </c>
      <c r="AG294" s="320">
        <f>IFERROR(__xludf.DUMMYFUNCTION("""COMPUTED_VALUE"""),76.0)</f>
        <v>76</v>
      </c>
      <c r="AH294" s="320">
        <f>IFERROR(__xludf.DUMMYFUNCTION("""COMPUTED_VALUE"""),49.34)</f>
        <v>49.34</v>
      </c>
      <c r="AI294" s="320">
        <f>IFERROR(__xludf.DUMMYFUNCTION("""COMPUTED_VALUE"""),18.46)</f>
        <v>18.46</v>
      </c>
      <c r="AJ294" s="320">
        <f>IFERROR(__xludf.DUMMYFUNCTION("""COMPUTED_VALUE"""),4.17)</f>
        <v>4.17</v>
      </c>
      <c r="AK294" s="320">
        <f>IFERROR(__xludf.DUMMYFUNCTION("""COMPUTED_VALUE"""),0.1774)</f>
        <v>0.1774</v>
      </c>
      <c r="AL294" s="320">
        <f>IFERROR(__xludf.DUMMYFUNCTION("""COMPUTED_VALUE"""),19.27)</f>
        <v>19.27</v>
      </c>
      <c r="AM294" s="320">
        <f>IFERROR(__xludf.DUMMYFUNCTION("""COMPUTED_VALUE"""),515.95)</f>
        <v>515.95</v>
      </c>
      <c r="AN294" s="320">
        <f>IFERROR(__xludf.DUMMYFUNCTION("""COMPUTED_VALUE"""),74.64)</f>
        <v>74.64</v>
      </c>
      <c r="AO294" s="320">
        <f>IFERROR(__xludf.DUMMYFUNCTION("""COMPUTED_VALUE"""),14.38)</f>
        <v>14.38</v>
      </c>
    </row>
    <row r="295" ht="15.75" customHeight="1">
      <c r="A295" s="330">
        <f>IFERROR(__xludf.DUMMYFUNCTION("""COMPUTED_VALUE"""),46098.0)</f>
        <v>46098</v>
      </c>
      <c r="B295" s="319" t="str">
        <f>IFERROR(__xludf.DUMMYFUNCTION("""COMPUTED_VALUE"""),"F. 100+")</f>
        <v>F. 100+</v>
      </c>
      <c r="C295" s="320">
        <f>IFERROR(__xludf.DUMMYFUNCTION("""COMPUTED_VALUE"""),418.0)</f>
        <v>418</v>
      </c>
      <c r="D295" s="320">
        <f>IFERROR(__xludf.DUMMYFUNCTION("""COMPUTED_VALUE"""),0.53)</f>
        <v>0.53</v>
      </c>
      <c r="E295" s="320">
        <f>IFERROR(__xludf.DUMMYFUNCTION("""COMPUTED_VALUE"""),3976.58)</f>
        <v>3976.58</v>
      </c>
      <c r="F295" s="320">
        <f>IFERROR(__xludf.DUMMYFUNCTION("""COMPUTED_VALUE"""),9.5133)</f>
        <v>9.5133</v>
      </c>
      <c r="G295" s="320">
        <f>IFERROR(__xludf.DUMMYFUNCTION("""COMPUTED_VALUE"""),38.28)</f>
        <v>38.28</v>
      </c>
      <c r="H295" s="320">
        <f>IFERROR(__xludf.DUMMYFUNCTION("""COMPUTED_VALUE"""),24.8536)</f>
        <v>24.8536</v>
      </c>
      <c r="I295" s="320">
        <f>IFERROR(__xludf.DUMMYFUNCTION("""COMPUTED_VALUE"""),224.75)</f>
        <v>224.75</v>
      </c>
      <c r="J295" s="320">
        <f>IFERROR(__xludf.DUMMYFUNCTION("""COMPUTED_VALUE"""),148.56)</f>
        <v>148.56</v>
      </c>
      <c r="K295" s="320">
        <f>IFERROR(__xludf.DUMMYFUNCTION("""COMPUTED_VALUE"""),124.65)</f>
        <v>124.65</v>
      </c>
      <c r="L295" s="320">
        <f>IFERROR(__xludf.DUMMYFUNCTION("""COMPUTED_VALUE"""),0.839)</f>
        <v>0.839</v>
      </c>
      <c r="M295" s="320">
        <f>IFERROR(__xludf.DUMMYFUNCTION("""COMPUTED_VALUE"""),0.2548)</f>
        <v>0.2548</v>
      </c>
      <c r="N295" s="320">
        <f>IFERROR(__xludf.DUMMYFUNCTION("""COMPUTED_VALUE"""),0.1603)</f>
        <v>0.1603</v>
      </c>
      <c r="O295" s="320">
        <f>IFERROR(__xludf.DUMMYFUNCTION("""COMPUTED_VALUE"""),1.1918)</f>
        <v>1.1918</v>
      </c>
      <c r="P295" s="320">
        <f>IFERROR(__xludf.DUMMYFUNCTION("""COMPUTED_VALUE"""),1300.78)</f>
        <v>1300.78</v>
      </c>
      <c r="Q295" s="320">
        <f>IFERROR(__xludf.DUMMYFUNCTION("""COMPUTED_VALUE"""),1036.95)</f>
        <v>1036.95</v>
      </c>
      <c r="R295" s="320">
        <f>IFERROR(__xludf.DUMMYFUNCTION("""COMPUTED_VALUE"""),263.83)</f>
        <v>263.83</v>
      </c>
      <c r="S295" s="320">
        <f>IFERROR(__xludf.DUMMYFUNCTION("""COMPUTED_VALUE"""),597.06)</f>
        <v>597.06</v>
      </c>
      <c r="T295" s="320">
        <f>IFERROR(__xludf.DUMMYFUNCTION("""COMPUTED_VALUE"""),703.72)</f>
        <v>703.72</v>
      </c>
      <c r="U295" s="320">
        <f>IFERROR(__xludf.DUMMYFUNCTION("""COMPUTED_VALUE"""),1327.75)</f>
        <v>1327.75</v>
      </c>
      <c r="V295" s="320">
        <f>IFERROR(__xludf.DUMMYFUNCTION("""COMPUTED_VALUE"""),8.9372)</f>
        <v>8.9372</v>
      </c>
      <c r="W295" s="320">
        <f>IFERROR(__xludf.DUMMYFUNCTION("""COMPUTED_VALUE"""),45.9)</f>
        <v>45.9</v>
      </c>
      <c r="X295" s="320">
        <f>IFERROR(__xludf.DUMMYFUNCTION("""COMPUTED_VALUE"""),159.0)</f>
        <v>159</v>
      </c>
      <c r="Y295" s="320">
        <f>IFERROR(__xludf.DUMMYFUNCTION("""COMPUTED_VALUE"""),634.0)</f>
        <v>634</v>
      </c>
      <c r="Z295" s="320">
        <f>IFERROR(__xludf.DUMMYFUNCTION("""COMPUTED_VALUE"""),2256.0)</f>
        <v>2256</v>
      </c>
      <c r="AA295" s="320">
        <f>IFERROR(__xludf.DUMMYFUNCTION("""COMPUTED_VALUE"""),61.8511)</f>
        <v>61.8511</v>
      </c>
      <c r="AB295" s="320">
        <f>IFERROR(__xludf.DUMMYFUNCTION("""COMPUTED_VALUE"""),0.8509)</f>
        <v>0.8509</v>
      </c>
      <c r="AC295" s="320">
        <f>IFERROR(__xludf.DUMMYFUNCTION("""COMPUTED_VALUE"""),86.54)</f>
        <v>86.54</v>
      </c>
      <c r="AD295" s="320">
        <f>IFERROR(__xludf.DUMMYFUNCTION("""COMPUTED_VALUE"""),32.0)</f>
        <v>32</v>
      </c>
      <c r="AE295" s="320">
        <f>IFERROR(__xludf.DUMMYFUNCTION("""COMPUTED_VALUE"""),71.0)</f>
        <v>71</v>
      </c>
      <c r="AF295" s="320">
        <f>IFERROR(__xludf.DUMMYFUNCTION("""COMPUTED_VALUE"""),120.0)</f>
        <v>120</v>
      </c>
      <c r="AG295" s="320">
        <f>IFERROR(__xludf.DUMMYFUNCTION("""COMPUTED_VALUE"""),170.0)</f>
        <v>170</v>
      </c>
      <c r="AH295" s="320">
        <f>IFERROR(__xludf.DUMMYFUNCTION("""COMPUTED_VALUE"""),44.74)</f>
        <v>44.74</v>
      </c>
      <c r="AI295" s="320">
        <f>IFERROR(__xludf.DUMMYFUNCTION("""COMPUTED_VALUE"""),9.57)</f>
        <v>9.57</v>
      </c>
      <c r="AJ295" s="320">
        <f>IFERROR(__xludf.DUMMYFUNCTION("""COMPUTED_VALUE"""),1.44)</f>
        <v>1.44</v>
      </c>
      <c r="AK295" s="320">
        <f>IFERROR(__xludf.DUMMYFUNCTION("""COMPUTED_VALUE"""),0.1388)</f>
        <v>0.1388</v>
      </c>
      <c r="AL295" s="320">
        <f>IFERROR(__xludf.DUMMYFUNCTION("""COMPUTED_VALUE"""),22.07)</f>
        <v>22.07</v>
      </c>
      <c r="AM295" s="320">
        <f>IFERROR(__xludf.DUMMYFUNCTION("""COMPUTED_VALUE"""),1014.88)</f>
        <v>1014.88</v>
      </c>
      <c r="AN295" s="320">
        <f>IFERROR(__xludf.DUMMYFUNCTION("""COMPUTED_VALUE"""),70.81)</f>
        <v>70.81</v>
      </c>
      <c r="AO295" s="320">
        <f>IFERROR(__xludf.DUMMYFUNCTION("""COMPUTED_VALUE"""),15.63)</f>
        <v>15.63</v>
      </c>
    </row>
    <row r="296" ht="15.75" customHeight="1">
      <c r="A296" s="330">
        <f>IFERROR(__xludf.DUMMYFUNCTION("""COMPUTED_VALUE"""),46099.0)</f>
        <v>46099</v>
      </c>
      <c r="B296" s="319" t="str">
        <f>IFERROR(__xludf.DUMMYFUNCTION("""COMPUTED_VALUE"""),"A. 0")</f>
        <v>A. 0</v>
      </c>
      <c r="C296" s="320">
        <f>IFERROR(__xludf.DUMMYFUNCTION("""COMPUTED_VALUE"""),16550.0)</f>
        <v>16550</v>
      </c>
      <c r="D296" s="320">
        <f>IFERROR(__xludf.DUMMYFUNCTION("""COMPUTED_VALUE"""),21.42)</f>
        <v>21.42</v>
      </c>
      <c r="E296" s="320">
        <f>IFERROR(__xludf.DUMMYFUNCTION("""COMPUTED_VALUE"""),96.79)</f>
        <v>96.79</v>
      </c>
      <c r="F296" s="320">
        <f>IFERROR(__xludf.DUMMYFUNCTION("""COMPUTED_VALUE"""),0.0058)</f>
        <v>0.0058</v>
      </c>
      <c r="G296" s="320">
        <f>IFERROR(__xludf.DUMMYFUNCTION("""COMPUTED_VALUE"""),0.16)</f>
        <v>0.16</v>
      </c>
      <c r="H296" s="320">
        <f>IFERROR(__xludf.DUMMYFUNCTION("""COMPUTED_VALUE"""),3.5848)</f>
        <v>3.5848</v>
      </c>
      <c r="I296" s="320">
        <f>IFERROR(__xludf.DUMMYFUNCTION("""COMPUTED_VALUE"""),6.8)</f>
        <v>6.8</v>
      </c>
      <c r="J296" s="320">
        <f>IFERROR(__xludf.DUMMYFUNCTION("""COMPUTED_VALUE"""),3.09)</f>
        <v>3.09</v>
      </c>
      <c r="K296" s="320">
        <f>IFERROR(__xludf.DUMMYFUNCTION("""COMPUTED_VALUE"""),0.04)</f>
        <v>0.04</v>
      </c>
      <c r="L296" s="320">
        <f>IFERROR(__xludf.DUMMYFUNCTION("""COMPUTED_VALUE"""),0.0129)</f>
        <v>0.0129</v>
      </c>
      <c r="M296" s="320">
        <f>IFERROR(__xludf.DUMMYFUNCTION("""COMPUTED_VALUE"""),0.9883)</f>
        <v>0.9883</v>
      </c>
      <c r="N296" s="320">
        <f>IFERROR(__xludf.DUMMYFUNCTION("""COMPUTED_VALUE"""),0.8283)</f>
        <v>0.8283</v>
      </c>
      <c r="O296" s="320">
        <f>IFERROR(__xludf.DUMMYFUNCTION("""COMPUTED_VALUE"""),77.7117)</f>
        <v>77.7117</v>
      </c>
      <c r="P296" s="320">
        <f>IFERROR(__xludf.DUMMYFUNCTION("""COMPUTED_VALUE"""),23.22)</f>
        <v>23.22</v>
      </c>
      <c r="Q296" s="320">
        <f>IFERROR(__xludf.DUMMYFUNCTION("""COMPUTED_VALUE"""),23.17)</f>
        <v>23.17</v>
      </c>
      <c r="R296" s="320">
        <f>IFERROR(__xludf.DUMMYFUNCTION("""COMPUTED_VALUE"""),0.06)</f>
        <v>0.06</v>
      </c>
      <c r="S296" s="320">
        <f>IFERROR(__xludf.DUMMYFUNCTION("""COMPUTED_VALUE"""),0.5)</f>
        <v>0.5</v>
      </c>
      <c r="T296" s="320">
        <f>IFERROR(__xludf.DUMMYFUNCTION("""COMPUTED_VALUE"""),22.72)</f>
        <v>22.72</v>
      </c>
      <c r="U296" s="320">
        <f>IFERROR(__xludf.DUMMYFUNCTION("""COMPUTED_VALUE"""),2.12)</f>
        <v>2.12</v>
      </c>
      <c r="V296" s="320">
        <f>IFERROR(__xludf.DUMMYFUNCTION("""COMPUTED_VALUE"""),0.6854)</f>
        <v>0.6854</v>
      </c>
      <c r="W296" s="320">
        <f>IFERROR(__xludf.DUMMYFUNCTION("""COMPUTED_VALUE"""),2.17)</f>
        <v>2.17</v>
      </c>
      <c r="X296" s="320">
        <f>IFERROR(__xludf.DUMMYFUNCTION("""COMPUTED_VALUE"""),152.0)</f>
        <v>152</v>
      </c>
      <c r="Y296" s="320">
        <f>IFERROR(__xludf.DUMMYFUNCTION("""COMPUTED_VALUE"""),1099.0)</f>
        <v>1099</v>
      </c>
      <c r="Z296" s="320">
        <f>IFERROR(__xludf.DUMMYFUNCTION("""COMPUTED_VALUE"""),7367.0)</f>
        <v>7367</v>
      </c>
      <c r="AA296" s="320">
        <f>IFERROR(__xludf.DUMMYFUNCTION("""COMPUTED_VALUE"""),50.0151)</f>
        <v>50.0151</v>
      </c>
      <c r="AB296" s="320">
        <f>IFERROR(__xludf.DUMMYFUNCTION("""COMPUTED_VALUE"""),0.5175)</f>
        <v>0.5175</v>
      </c>
      <c r="AC296" s="106"/>
      <c r="AD296" s="106"/>
      <c r="AE296" s="106"/>
      <c r="AF296" s="106"/>
      <c r="AG296" s="106"/>
      <c r="AH296" s="320">
        <f>IFERROR(__xludf.DUMMYFUNCTION("""COMPUTED_VALUE"""),0.0)</f>
        <v>0</v>
      </c>
      <c r="AI296" s="320">
        <f>IFERROR(__xludf.DUMMYFUNCTION("""COMPUTED_VALUE"""),0.0)</f>
        <v>0</v>
      </c>
      <c r="AJ296" s="320">
        <f>IFERROR(__xludf.DUMMYFUNCTION("""COMPUTED_VALUE"""),0.0)</f>
        <v>0</v>
      </c>
      <c r="AK296" s="320">
        <f>IFERROR(__xludf.DUMMYFUNCTION("""COMPUTED_VALUE"""),0.257)</f>
        <v>0.257</v>
      </c>
      <c r="AL296" s="320">
        <f>IFERROR(__xludf.DUMMYFUNCTION("""COMPUTED_VALUE"""),15.73)</f>
        <v>15.73</v>
      </c>
      <c r="AM296" s="320">
        <f>IFERROR(__xludf.DUMMYFUNCTION("""COMPUTED_VALUE"""),7.43)</f>
        <v>7.43</v>
      </c>
      <c r="AN296" s="331"/>
      <c r="AO296" s="331"/>
    </row>
    <row r="297" ht="15.75" customHeight="1">
      <c r="A297" s="330">
        <f>IFERROR(__xludf.DUMMYFUNCTION("""COMPUTED_VALUE"""),46099.0)</f>
        <v>46099</v>
      </c>
      <c r="B297" s="319" t="str">
        <f>IFERROR(__xludf.DUMMYFUNCTION("""COMPUTED_VALUE"""),"B. 1-9")</f>
        <v>B. 1-9</v>
      </c>
      <c r="C297" s="320">
        <f>IFERROR(__xludf.DUMMYFUNCTION("""COMPUTED_VALUE"""),32700.0)</f>
        <v>32700</v>
      </c>
      <c r="D297" s="320">
        <f>IFERROR(__xludf.DUMMYFUNCTION("""COMPUTED_VALUE"""),42.32)</f>
        <v>42.32</v>
      </c>
      <c r="E297" s="320">
        <f>IFERROR(__xludf.DUMMYFUNCTION("""COMPUTED_VALUE"""),6848.1)</f>
        <v>6848.1</v>
      </c>
      <c r="F297" s="320">
        <f>IFERROR(__xludf.DUMMYFUNCTION("""COMPUTED_VALUE"""),0.2094)</f>
        <v>0.2094</v>
      </c>
      <c r="G297" s="320">
        <f>IFERROR(__xludf.DUMMYFUNCTION("""COMPUTED_VALUE"""),6.28)</f>
        <v>6.28</v>
      </c>
      <c r="H297" s="320">
        <f>IFERROR(__xludf.DUMMYFUNCTION("""COMPUTED_VALUE"""),3.3357)</f>
        <v>3.3357</v>
      </c>
      <c r="I297" s="320">
        <f>IFERROR(__xludf.DUMMYFUNCTION("""COMPUTED_VALUE"""),32.89)</f>
        <v>32.89</v>
      </c>
      <c r="J297" s="320">
        <f>IFERROR(__xludf.DUMMYFUNCTION("""COMPUTED_VALUE"""),17.87)</f>
        <v>17.87</v>
      </c>
      <c r="K297" s="320">
        <f>IFERROR(__xludf.DUMMYFUNCTION("""COMPUTED_VALUE"""),5.13)</f>
        <v>5.13</v>
      </c>
      <c r="L297" s="320">
        <f>IFERROR(__xludf.DUMMYFUNCTION("""COMPUTED_VALUE"""),0.2869)</f>
        <v>0.2869</v>
      </c>
      <c r="M297" s="320">
        <f>IFERROR(__xludf.DUMMYFUNCTION("""COMPUTED_VALUE"""),0.7775)</f>
        <v>0.7775</v>
      </c>
      <c r="N297" s="320">
        <f>IFERROR(__xludf.DUMMYFUNCTION("""COMPUTED_VALUE"""),0.5254)</f>
        <v>0.5254</v>
      </c>
      <c r="O297" s="320">
        <f>IFERROR(__xludf.DUMMYFUNCTION("""COMPUTED_VALUE"""),3.4857)</f>
        <v>3.4857</v>
      </c>
      <c r="P297" s="320">
        <f>IFERROR(__xludf.DUMMYFUNCTION("""COMPUTED_VALUE"""),62.63)</f>
        <v>62.63</v>
      </c>
      <c r="Q297" s="320">
        <f>IFERROR(__xludf.DUMMYFUNCTION("""COMPUTED_VALUE"""),51.91)</f>
        <v>51.91</v>
      </c>
      <c r="R297" s="320">
        <f>IFERROR(__xludf.DUMMYFUNCTION("""COMPUTED_VALUE"""),10.72)</f>
        <v>10.72</v>
      </c>
      <c r="S297" s="320">
        <f>IFERROR(__xludf.DUMMYFUNCTION("""COMPUTED_VALUE"""),14.75)</f>
        <v>14.75</v>
      </c>
      <c r="T297" s="320">
        <f>IFERROR(__xludf.DUMMYFUNCTION("""COMPUTED_VALUE"""),47.88)</f>
        <v>47.88</v>
      </c>
      <c r="U297" s="320">
        <f>IFERROR(__xludf.DUMMYFUNCTION("""COMPUTED_VALUE"""),69.57)</f>
        <v>69.57</v>
      </c>
      <c r="V297" s="320">
        <f>IFERROR(__xludf.DUMMYFUNCTION("""COMPUTED_VALUE"""),3.894)</f>
        <v>3.894</v>
      </c>
      <c r="W297" s="320">
        <f>IFERROR(__xludf.DUMMYFUNCTION("""COMPUTED_VALUE"""),23.55)</f>
        <v>23.55</v>
      </c>
      <c r="X297" s="320">
        <f>IFERROR(__xludf.DUMMYFUNCTION("""COMPUTED_VALUE"""),84.0)</f>
        <v>84</v>
      </c>
      <c r="Y297" s="320">
        <f>IFERROR(__xludf.DUMMYFUNCTION("""COMPUTED_VALUE"""),201.0)</f>
        <v>201</v>
      </c>
      <c r="Z297" s="320">
        <f>IFERROR(__xludf.DUMMYFUNCTION("""COMPUTED_VALUE"""),778.0)</f>
        <v>778</v>
      </c>
      <c r="AA297" s="320">
        <f>IFERROR(__xludf.DUMMYFUNCTION("""COMPUTED_VALUE"""),49.5522)</f>
        <v>49.5522</v>
      </c>
      <c r="AB297" s="320">
        <f>IFERROR(__xludf.DUMMYFUNCTION("""COMPUTED_VALUE"""),0.4356)</f>
        <v>0.4356</v>
      </c>
      <c r="AC297" s="320">
        <f>IFERROR(__xludf.DUMMYFUNCTION("""COMPUTED_VALUE"""),3.43)</f>
        <v>3.43</v>
      </c>
      <c r="AD297" s="320">
        <f>IFERROR(__xludf.DUMMYFUNCTION("""COMPUTED_VALUE"""),1.0)</f>
        <v>1</v>
      </c>
      <c r="AE297" s="320">
        <f>IFERROR(__xludf.DUMMYFUNCTION("""COMPUTED_VALUE"""),2.0)</f>
        <v>2</v>
      </c>
      <c r="AF297" s="320">
        <f>IFERROR(__xludf.DUMMYFUNCTION("""COMPUTED_VALUE"""),4.0)</f>
        <v>4</v>
      </c>
      <c r="AG297" s="320">
        <f>IFERROR(__xludf.DUMMYFUNCTION("""COMPUTED_VALUE"""),8.0)</f>
        <v>8</v>
      </c>
      <c r="AH297" s="320">
        <f>IFERROR(__xludf.DUMMYFUNCTION("""COMPUTED_VALUE"""),65.46)</f>
        <v>65.46</v>
      </c>
      <c r="AI297" s="320">
        <f>IFERROR(__xludf.DUMMYFUNCTION("""COMPUTED_VALUE"""),23.38)</f>
        <v>23.38</v>
      </c>
      <c r="AJ297" s="320">
        <f>IFERROR(__xludf.DUMMYFUNCTION("""COMPUTED_VALUE"""),6.54)</f>
        <v>6.54</v>
      </c>
      <c r="AK297" s="320">
        <f>IFERROR(__xludf.DUMMYFUNCTION("""COMPUTED_VALUE"""),0.2158)</f>
        <v>0.2158</v>
      </c>
      <c r="AL297" s="320">
        <f>IFERROR(__xludf.DUMMYFUNCTION("""COMPUTED_VALUE"""),19.18)</f>
        <v>19.18</v>
      </c>
      <c r="AM297" s="320">
        <f>IFERROR(__xludf.DUMMYFUNCTION("""COMPUTED_VALUE"""),32.73)</f>
        <v>32.73</v>
      </c>
      <c r="AN297" s="320">
        <f>IFERROR(__xludf.DUMMYFUNCTION("""COMPUTED_VALUE"""),68.76)</f>
        <v>68.76</v>
      </c>
      <c r="AO297" s="320">
        <f>IFERROR(__xludf.DUMMYFUNCTION("""COMPUTED_VALUE"""),13.19)</f>
        <v>13.19</v>
      </c>
    </row>
    <row r="298" ht="15.75" customHeight="1">
      <c r="A298" s="330">
        <f>IFERROR(__xludf.DUMMYFUNCTION("""COMPUTED_VALUE"""),46099.0)</f>
        <v>46099</v>
      </c>
      <c r="B298" s="319" t="str">
        <f>IFERROR(__xludf.DUMMYFUNCTION("""COMPUTED_VALUE"""),"C. 10-19")</f>
        <v>C. 10-19</v>
      </c>
      <c r="C298" s="320">
        <f>IFERROR(__xludf.DUMMYFUNCTION("""COMPUTED_VALUE"""),15736.0)</f>
        <v>15736</v>
      </c>
      <c r="D298" s="320">
        <f>IFERROR(__xludf.DUMMYFUNCTION("""COMPUTED_VALUE"""),20.36)</f>
        <v>20.36</v>
      </c>
      <c r="E298" s="320">
        <f>IFERROR(__xludf.DUMMYFUNCTION("""COMPUTED_VALUE"""),16280.75)</f>
        <v>16280.75</v>
      </c>
      <c r="F298" s="320">
        <f>IFERROR(__xludf.DUMMYFUNCTION("""COMPUTED_VALUE"""),1.0346)</f>
        <v>1.0346</v>
      </c>
      <c r="G298" s="320">
        <f>IFERROR(__xludf.DUMMYFUNCTION("""COMPUTED_VALUE"""),21.19)</f>
        <v>21.19</v>
      </c>
      <c r="H298" s="320">
        <f>IFERROR(__xludf.DUMMYFUNCTION("""COMPUTED_VALUE"""),4.8818)</f>
        <v>4.8818</v>
      </c>
      <c r="I298" s="320">
        <f>IFERROR(__xludf.DUMMYFUNCTION("""COMPUTED_VALUE"""),59.7)</f>
        <v>59.7</v>
      </c>
      <c r="J298" s="320">
        <f>IFERROR(__xludf.DUMMYFUNCTION("""COMPUTED_VALUE"""),34.44)</f>
        <v>34.44</v>
      </c>
      <c r="K298" s="320">
        <f>IFERROR(__xludf.DUMMYFUNCTION("""COMPUTED_VALUE"""),14.0)</f>
        <v>14</v>
      </c>
      <c r="L298" s="320">
        <f>IFERROR(__xludf.DUMMYFUNCTION("""COMPUTED_VALUE"""),0.4065)</f>
        <v>0.4065</v>
      </c>
      <c r="M298" s="320">
        <f>IFERROR(__xludf.DUMMYFUNCTION("""COMPUTED_VALUE"""),0.6526)</f>
        <v>0.6526</v>
      </c>
      <c r="N298" s="320">
        <f>IFERROR(__xludf.DUMMYFUNCTION("""COMPUTED_VALUE"""),0.3618)</f>
        <v>0.3618</v>
      </c>
      <c r="O298" s="320">
        <f>IFERROR(__xludf.DUMMYFUNCTION("""COMPUTED_VALUE"""),2.4598)</f>
        <v>2.4598</v>
      </c>
      <c r="P298" s="320">
        <f>IFERROR(__xludf.DUMMYFUNCTION("""COMPUTED_VALUE"""),155.48)</f>
        <v>155.48</v>
      </c>
      <c r="Q298" s="320">
        <f>IFERROR(__xludf.DUMMYFUNCTION("""COMPUTED_VALUE"""),127.77)</f>
        <v>127.77</v>
      </c>
      <c r="R298" s="320">
        <f>IFERROR(__xludf.DUMMYFUNCTION("""COMPUTED_VALUE"""),27.71)</f>
        <v>27.71</v>
      </c>
      <c r="S298" s="320">
        <f>IFERROR(__xludf.DUMMYFUNCTION("""COMPUTED_VALUE"""),70.16)</f>
        <v>70.16</v>
      </c>
      <c r="T298" s="320">
        <f>IFERROR(__xludf.DUMMYFUNCTION("""COMPUTED_VALUE"""),85.32)</f>
        <v>85.32</v>
      </c>
      <c r="U298" s="320">
        <f>IFERROR(__xludf.DUMMYFUNCTION("""COMPUTED_VALUE"""),167.56)</f>
        <v>167.56</v>
      </c>
      <c r="V298" s="320">
        <f>IFERROR(__xludf.DUMMYFUNCTION("""COMPUTED_VALUE"""),4.8653)</f>
        <v>4.8653</v>
      </c>
      <c r="W298" s="320">
        <f>IFERROR(__xludf.DUMMYFUNCTION("""COMPUTED_VALUE"""),45.13)</f>
        <v>45.13</v>
      </c>
      <c r="X298" s="320">
        <f>IFERROR(__xludf.DUMMYFUNCTION("""COMPUTED_VALUE"""),81.0)</f>
        <v>81</v>
      </c>
      <c r="Y298" s="320">
        <f>IFERROR(__xludf.DUMMYFUNCTION("""COMPUTED_VALUE"""),186.0)</f>
        <v>186</v>
      </c>
      <c r="Z298" s="320">
        <f>IFERROR(__xludf.DUMMYFUNCTION("""COMPUTED_VALUE"""),645.0)</f>
        <v>645</v>
      </c>
      <c r="AA298" s="320">
        <f>IFERROR(__xludf.DUMMYFUNCTION("""COMPUTED_VALUE"""),52.4887)</f>
        <v>52.4887</v>
      </c>
      <c r="AB298" s="320">
        <f>IFERROR(__xludf.DUMMYFUNCTION("""COMPUTED_VALUE"""),0.5348)</f>
        <v>0.5348</v>
      </c>
      <c r="AC298" s="320">
        <f>IFERROR(__xludf.DUMMYFUNCTION("""COMPUTED_VALUE"""),8.65)</f>
        <v>8.65</v>
      </c>
      <c r="AD298" s="320">
        <f>IFERROR(__xludf.DUMMYFUNCTION("""COMPUTED_VALUE"""),3.0)</f>
        <v>3</v>
      </c>
      <c r="AE298" s="320">
        <f>IFERROR(__xludf.DUMMYFUNCTION("""COMPUTED_VALUE"""),6.0)</f>
        <v>6</v>
      </c>
      <c r="AF298" s="320">
        <f>IFERROR(__xludf.DUMMYFUNCTION("""COMPUTED_VALUE"""),12.0)</f>
        <v>12</v>
      </c>
      <c r="AG298" s="320">
        <f>IFERROR(__xludf.DUMMYFUNCTION("""COMPUTED_VALUE"""),19.0)</f>
        <v>19</v>
      </c>
      <c r="AH298" s="320">
        <f>IFERROR(__xludf.DUMMYFUNCTION("""COMPUTED_VALUE"""),53.12)</f>
        <v>53.12</v>
      </c>
      <c r="AI298" s="320">
        <f>IFERROR(__xludf.DUMMYFUNCTION("""COMPUTED_VALUE"""),23.81)</f>
        <v>23.81</v>
      </c>
      <c r="AJ298" s="320">
        <f>IFERROR(__xludf.DUMMYFUNCTION("""COMPUTED_VALUE"""),4.49)</f>
        <v>4.49</v>
      </c>
      <c r="AK298" s="320">
        <f>IFERROR(__xludf.DUMMYFUNCTION("""COMPUTED_VALUE"""),0.1882)</f>
        <v>0.1882</v>
      </c>
      <c r="AL298" s="320">
        <f>IFERROR(__xludf.DUMMYFUNCTION("""COMPUTED_VALUE"""),19.79)</f>
        <v>19.79</v>
      </c>
      <c r="AM298" s="320">
        <f>IFERROR(__xludf.DUMMYFUNCTION("""COMPUTED_VALUE"""),107.97)</f>
        <v>107.97</v>
      </c>
      <c r="AN298" s="320">
        <f>IFERROR(__xludf.DUMMYFUNCTION("""COMPUTED_VALUE"""),73.04)</f>
        <v>73.04</v>
      </c>
      <c r="AO298" s="320">
        <f>IFERROR(__xludf.DUMMYFUNCTION("""COMPUTED_VALUE"""),14.45)</f>
        <v>14.45</v>
      </c>
    </row>
    <row r="299" ht="15.75" customHeight="1">
      <c r="A299" s="330">
        <f>IFERROR(__xludf.DUMMYFUNCTION("""COMPUTED_VALUE"""),46099.0)</f>
        <v>46099</v>
      </c>
      <c r="B299" s="319" t="str">
        <f>IFERROR(__xludf.DUMMYFUNCTION("""COMPUTED_VALUE"""),"D. 20-39")</f>
        <v>D. 20-39</v>
      </c>
      <c r="C299" s="320">
        <f>IFERROR(__xludf.DUMMYFUNCTION("""COMPUTED_VALUE"""),8548.0)</f>
        <v>8548</v>
      </c>
      <c r="D299" s="320">
        <f>IFERROR(__xludf.DUMMYFUNCTION("""COMPUTED_VALUE"""),11.06)</f>
        <v>11.06</v>
      </c>
      <c r="E299" s="320">
        <f>IFERROR(__xludf.DUMMYFUNCTION("""COMPUTED_VALUE"""),20750.81)</f>
        <v>20750.81</v>
      </c>
      <c r="F299" s="320">
        <f>IFERROR(__xludf.DUMMYFUNCTION("""COMPUTED_VALUE"""),2.4276)</f>
        <v>2.4276</v>
      </c>
      <c r="G299" s="320">
        <f>IFERROR(__xludf.DUMMYFUNCTION("""COMPUTED_VALUE"""),31.21)</f>
        <v>31.21</v>
      </c>
      <c r="H299" s="320">
        <f>IFERROR(__xludf.DUMMYFUNCTION("""COMPUTED_VALUE"""),7.7777)</f>
        <v>7.7777</v>
      </c>
      <c r="I299" s="320">
        <f>IFERROR(__xludf.DUMMYFUNCTION("""COMPUTED_VALUE"""),79.65)</f>
        <v>79.65</v>
      </c>
      <c r="J299" s="320">
        <f>IFERROR(__xludf.DUMMYFUNCTION("""COMPUTED_VALUE"""),48.14)</f>
        <v>48.14</v>
      </c>
      <c r="K299" s="320">
        <f>IFERROR(__xludf.DUMMYFUNCTION("""COMPUTED_VALUE"""),24.89)</f>
        <v>24.89</v>
      </c>
      <c r="L299" s="320">
        <f>IFERROR(__xludf.DUMMYFUNCTION("""COMPUTED_VALUE"""),0.5171)</f>
        <v>0.5171</v>
      </c>
      <c r="M299" s="320">
        <f>IFERROR(__xludf.DUMMYFUNCTION("""COMPUTED_VALUE"""),0.5512)</f>
        <v>0.5512</v>
      </c>
      <c r="N299" s="320">
        <f>IFERROR(__xludf.DUMMYFUNCTION("""COMPUTED_VALUE"""),0.2957)</f>
        <v>0.2957</v>
      </c>
      <c r="O299" s="320">
        <f>IFERROR(__xludf.DUMMYFUNCTION("""COMPUTED_VALUE"""),1.934)</f>
        <v>1.934</v>
      </c>
      <c r="P299" s="320">
        <f>IFERROR(__xludf.DUMMYFUNCTION("""COMPUTED_VALUE"""),290.36)</f>
        <v>290.36</v>
      </c>
      <c r="Q299" s="320">
        <f>IFERROR(__xludf.DUMMYFUNCTION("""COMPUTED_VALUE"""),238.73)</f>
        <v>238.73</v>
      </c>
      <c r="R299" s="320">
        <f>IFERROR(__xludf.DUMMYFUNCTION("""COMPUTED_VALUE"""),51.63)</f>
        <v>51.63</v>
      </c>
      <c r="S299" s="320">
        <f>IFERROR(__xludf.DUMMYFUNCTION("""COMPUTED_VALUE"""),157.91)</f>
        <v>157.91</v>
      </c>
      <c r="T299" s="320">
        <f>IFERROR(__xludf.DUMMYFUNCTION("""COMPUTED_VALUE"""),132.45)</f>
        <v>132.45</v>
      </c>
      <c r="U299" s="320">
        <f>IFERROR(__xludf.DUMMYFUNCTION("""COMPUTED_VALUE"""),307.12)</f>
        <v>307.12</v>
      </c>
      <c r="V299" s="320">
        <f>IFERROR(__xludf.DUMMYFUNCTION("""COMPUTED_VALUE"""),6.3801)</f>
        <v>6.3801</v>
      </c>
      <c r="W299" s="320">
        <f>IFERROR(__xludf.DUMMYFUNCTION("""COMPUTED_VALUE"""),54.38)</f>
        <v>54.38</v>
      </c>
      <c r="X299" s="320">
        <f>IFERROR(__xludf.DUMMYFUNCTION("""COMPUTED_VALUE"""),84.0)</f>
        <v>84</v>
      </c>
      <c r="Y299" s="320">
        <f>IFERROR(__xludf.DUMMYFUNCTION("""COMPUTED_VALUE"""),205.0)</f>
        <v>205</v>
      </c>
      <c r="Z299" s="320">
        <f>IFERROR(__xludf.DUMMYFUNCTION("""COMPUTED_VALUE"""),640.0)</f>
        <v>640</v>
      </c>
      <c r="AA299" s="320">
        <f>IFERROR(__xludf.DUMMYFUNCTION("""COMPUTED_VALUE"""),54.7278)</f>
        <v>54.7278</v>
      </c>
      <c r="AB299" s="320">
        <f>IFERROR(__xludf.DUMMYFUNCTION("""COMPUTED_VALUE"""),0.6607)</f>
        <v>0.6607</v>
      </c>
      <c r="AC299" s="320">
        <f>IFERROR(__xludf.DUMMYFUNCTION("""COMPUTED_VALUE"""),16.24)</f>
        <v>16.24</v>
      </c>
      <c r="AD299" s="320">
        <f>IFERROR(__xludf.DUMMYFUNCTION("""COMPUTED_VALUE"""),5.0)</f>
        <v>5</v>
      </c>
      <c r="AE299" s="320">
        <f>IFERROR(__xludf.DUMMYFUNCTION("""COMPUTED_VALUE"""),12.0)</f>
        <v>12</v>
      </c>
      <c r="AF299" s="320">
        <f>IFERROR(__xludf.DUMMYFUNCTION("""COMPUTED_VALUE"""),23.0)</f>
        <v>23</v>
      </c>
      <c r="AG299" s="320">
        <f>IFERROR(__xludf.DUMMYFUNCTION("""COMPUTED_VALUE"""),36.0)</f>
        <v>36</v>
      </c>
      <c r="AH299" s="320">
        <f>IFERROR(__xludf.DUMMYFUNCTION("""COMPUTED_VALUE"""),52.13)</f>
        <v>52.13</v>
      </c>
      <c r="AI299" s="320">
        <f>IFERROR(__xludf.DUMMYFUNCTION("""COMPUTED_VALUE"""),21.16)</f>
        <v>21.16</v>
      </c>
      <c r="AJ299" s="320">
        <f>IFERROR(__xludf.DUMMYFUNCTION("""COMPUTED_VALUE"""),6.64)</f>
        <v>6.64</v>
      </c>
      <c r="AK299" s="320">
        <f>IFERROR(__xludf.DUMMYFUNCTION("""COMPUTED_VALUE"""),0.1922)</f>
        <v>0.1922</v>
      </c>
      <c r="AL299" s="320">
        <f>IFERROR(__xludf.DUMMYFUNCTION("""COMPUTED_VALUE"""),19.74)</f>
        <v>19.74</v>
      </c>
      <c r="AM299" s="320">
        <f>IFERROR(__xludf.DUMMYFUNCTION("""COMPUTED_VALUE"""),218.98)</f>
        <v>218.98</v>
      </c>
      <c r="AN299" s="320">
        <f>IFERROR(__xludf.DUMMYFUNCTION("""COMPUTED_VALUE"""),75.01)</f>
        <v>75.01</v>
      </c>
      <c r="AO299" s="320">
        <f>IFERROR(__xludf.DUMMYFUNCTION("""COMPUTED_VALUE"""),14.81)</f>
        <v>14.81</v>
      </c>
    </row>
    <row r="300" ht="15.75" customHeight="1">
      <c r="A300" s="330">
        <f>IFERROR(__xludf.DUMMYFUNCTION("""COMPUTED_VALUE"""),46099.0)</f>
        <v>46099</v>
      </c>
      <c r="B300" s="319" t="str">
        <f>IFERROR(__xludf.DUMMYFUNCTION("""COMPUTED_VALUE"""),"E. 40-99")</f>
        <v>E. 40-99</v>
      </c>
      <c r="C300" s="320">
        <f>IFERROR(__xludf.DUMMYFUNCTION("""COMPUTED_VALUE"""),3347.0)</f>
        <v>3347</v>
      </c>
      <c r="D300" s="320">
        <f>IFERROR(__xludf.DUMMYFUNCTION("""COMPUTED_VALUE"""),4.33)</f>
        <v>4.33</v>
      </c>
      <c r="E300" s="320">
        <f>IFERROR(__xludf.DUMMYFUNCTION("""COMPUTED_VALUE"""),17889.33)</f>
        <v>17889.33</v>
      </c>
      <c r="F300" s="320">
        <f>IFERROR(__xludf.DUMMYFUNCTION("""COMPUTED_VALUE"""),5.3449)</f>
        <v>5.3449</v>
      </c>
      <c r="G300" s="320">
        <f>IFERROR(__xludf.DUMMYFUNCTION("""COMPUTED_VALUE"""),41.23)</f>
        <v>41.23</v>
      </c>
      <c r="H300" s="320">
        <f>IFERROR(__xludf.DUMMYFUNCTION("""COMPUTED_VALUE"""),12.9633)</f>
        <v>12.9633</v>
      </c>
      <c r="I300" s="320">
        <f>IFERROR(__xludf.DUMMYFUNCTION("""COMPUTED_VALUE"""),123.76)</f>
        <v>123.76</v>
      </c>
      <c r="J300" s="320">
        <f>IFERROR(__xludf.DUMMYFUNCTION("""COMPUTED_VALUE"""),77.08)</f>
        <v>77.08</v>
      </c>
      <c r="K300" s="320">
        <f>IFERROR(__xludf.DUMMYFUNCTION("""COMPUTED_VALUE"""),51.81)</f>
        <v>51.81</v>
      </c>
      <c r="L300" s="320">
        <f>IFERROR(__xludf.DUMMYFUNCTION("""COMPUTED_VALUE"""),0.6722)</f>
        <v>0.6722</v>
      </c>
      <c r="M300" s="320">
        <f>IFERROR(__xludf.DUMMYFUNCTION("""COMPUTED_VALUE"""),0.41)</f>
        <v>0.41</v>
      </c>
      <c r="N300" s="320">
        <f>IFERROR(__xludf.DUMMYFUNCTION("""COMPUTED_VALUE"""),0.2256)</f>
        <v>0.2256</v>
      </c>
      <c r="O300" s="320">
        <f>IFERROR(__xludf.DUMMYFUNCTION("""COMPUTED_VALUE"""),1.4878)</f>
        <v>1.4878</v>
      </c>
      <c r="P300" s="320">
        <f>IFERROR(__xludf.DUMMYFUNCTION("""COMPUTED_VALUE"""),573.49)</f>
        <v>573.49</v>
      </c>
      <c r="Q300" s="320">
        <f>IFERROR(__xludf.DUMMYFUNCTION("""COMPUTED_VALUE"""),464.78)</f>
        <v>464.78</v>
      </c>
      <c r="R300" s="320">
        <f>IFERROR(__xludf.DUMMYFUNCTION("""COMPUTED_VALUE"""),108.71)</f>
        <v>108.71</v>
      </c>
      <c r="S300" s="320">
        <f>IFERROR(__xludf.DUMMYFUNCTION("""COMPUTED_VALUE"""),332.64)</f>
        <v>332.64</v>
      </c>
      <c r="T300" s="320">
        <f>IFERROR(__xludf.DUMMYFUNCTION("""COMPUTED_VALUE"""),240.85)</f>
        <v>240.85</v>
      </c>
      <c r="U300" s="320">
        <f>IFERROR(__xludf.DUMMYFUNCTION("""COMPUTED_VALUE"""),613.34)</f>
        <v>613.34</v>
      </c>
      <c r="V300" s="320">
        <f>IFERROR(__xludf.DUMMYFUNCTION("""COMPUTED_VALUE"""),7.9571)</f>
        <v>7.9571</v>
      </c>
      <c r="W300" s="320">
        <f>IFERROR(__xludf.DUMMYFUNCTION("""COMPUTED_VALUE"""),58.0)</f>
        <v>58</v>
      </c>
      <c r="X300" s="320">
        <f>IFERROR(__xludf.DUMMYFUNCTION("""COMPUTED_VALUE"""),93.0)</f>
        <v>93</v>
      </c>
      <c r="Y300" s="320">
        <f>IFERROR(__xludf.DUMMYFUNCTION("""COMPUTED_VALUE"""),314.0)</f>
        <v>314</v>
      </c>
      <c r="Z300" s="320">
        <f>IFERROR(__xludf.DUMMYFUNCTION("""COMPUTED_VALUE"""),902.0)</f>
        <v>902</v>
      </c>
      <c r="AA300" s="320">
        <f>IFERROR(__xludf.DUMMYFUNCTION("""COMPUTED_VALUE"""),57.7756)</f>
        <v>57.7756</v>
      </c>
      <c r="AB300" s="320">
        <f>IFERROR(__xludf.DUMMYFUNCTION("""COMPUTED_VALUE"""),0.7671)</f>
        <v>0.7671</v>
      </c>
      <c r="AC300" s="320">
        <f>IFERROR(__xludf.DUMMYFUNCTION("""COMPUTED_VALUE"""),34.95)</f>
        <v>34.95</v>
      </c>
      <c r="AD300" s="320">
        <f>IFERROR(__xludf.DUMMYFUNCTION("""COMPUTED_VALUE"""),11.0)</f>
        <v>11</v>
      </c>
      <c r="AE300" s="320">
        <f>IFERROR(__xludf.DUMMYFUNCTION("""COMPUTED_VALUE"""),25.0)</f>
        <v>25</v>
      </c>
      <c r="AF300" s="320">
        <f>IFERROR(__xludf.DUMMYFUNCTION("""COMPUTED_VALUE"""),50.0)</f>
        <v>50</v>
      </c>
      <c r="AG300" s="320">
        <f>IFERROR(__xludf.DUMMYFUNCTION("""COMPUTED_VALUE"""),77.0)</f>
        <v>77</v>
      </c>
      <c r="AH300" s="320">
        <f>IFERROR(__xludf.DUMMYFUNCTION("""COMPUTED_VALUE"""),47.36)</f>
        <v>47.36</v>
      </c>
      <c r="AI300" s="320">
        <f>IFERROR(__xludf.DUMMYFUNCTION("""COMPUTED_VALUE"""),18.43)</f>
        <v>18.43</v>
      </c>
      <c r="AJ300" s="320">
        <f>IFERROR(__xludf.DUMMYFUNCTION("""COMPUTED_VALUE"""),4.78)</f>
        <v>4.78</v>
      </c>
      <c r="AK300" s="320">
        <f>IFERROR(__xludf.DUMMYFUNCTION("""COMPUTED_VALUE"""),0.1787)</f>
        <v>0.1787</v>
      </c>
      <c r="AL300" s="320">
        <f>IFERROR(__xludf.DUMMYFUNCTION("""COMPUTED_VALUE"""),18.52)</f>
        <v>18.52</v>
      </c>
      <c r="AM300" s="320">
        <f>IFERROR(__xludf.DUMMYFUNCTION("""COMPUTED_VALUE"""),446.26)</f>
        <v>446.26</v>
      </c>
      <c r="AN300" s="320">
        <f>IFERROR(__xludf.DUMMYFUNCTION("""COMPUTED_VALUE"""),74.38)</f>
        <v>74.38</v>
      </c>
      <c r="AO300" s="320">
        <f>IFERROR(__xludf.DUMMYFUNCTION("""COMPUTED_VALUE"""),13.78)</f>
        <v>13.78</v>
      </c>
    </row>
    <row r="301" ht="15.75" customHeight="1">
      <c r="A301" s="330">
        <f>IFERROR(__xludf.DUMMYFUNCTION("""COMPUTED_VALUE"""),46099.0)</f>
        <v>46099</v>
      </c>
      <c r="B301" s="319" t="str">
        <f>IFERROR(__xludf.DUMMYFUNCTION("""COMPUTED_VALUE"""),"F. 100+")</f>
        <v>F. 100+</v>
      </c>
      <c r="C301" s="320">
        <f>IFERROR(__xludf.DUMMYFUNCTION("""COMPUTED_VALUE"""),392.0)</f>
        <v>392</v>
      </c>
      <c r="D301" s="320">
        <f>IFERROR(__xludf.DUMMYFUNCTION("""COMPUTED_VALUE"""),0.51)</f>
        <v>0.51</v>
      </c>
      <c r="E301" s="320">
        <f>IFERROR(__xludf.DUMMYFUNCTION("""COMPUTED_VALUE"""),4076.8)</f>
        <v>4076.8</v>
      </c>
      <c r="F301" s="320">
        <f>IFERROR(__xludf.DUMMYFUNCTION("""COMPUTED_VALUE"""),10.4)</f>
        <v>10.4</v>
      </c>
      <c r="G301" s="320">
        <f>IFERROR(__xludf.DUMMYFUNCTION("""COMPUTED_VALUE"""),43.37)</f>
        <v>43.37</v>
      </c>
      <c r="H301" s="320">
        <f>IFERROR(__xludf.DUMMYFUNCTION("""COMPUTED_VALUE"""),23.9812)</f>
        <v>23.9812</v>
      </c>
      <c r="I301" s="320">
        <f>IFERROR(__xludf.DUMMYFUNCTION("""COMPUTED_VALUE"""),216.51)</f>
        <v>216.51</v>
      </c>
      <c r="J301" s="320">
        <f>IFERROR(__xludf.DUMMYFUNCTION("""COMPUTED_VALUE"""),143.53)</f>
        <v>143.53</v>
      </c>
      <c r="K301" s="320">
        <f>IFERROR(__xludf.DUMMYFUNCTION("""COMPUTED_VALUE"""),116.83)</f>
        <v>116.83</v>
      </c>
      <c r="L301" s="320">
        <f>IFERROR(__xludf.DUMMYFUNCTION("""COMPUTED_VALUE"""),0.814)</f>
        <v>0.814</v>
      </c>
      <c r="M301" s="320">
        <f>IFERROR(__xludf.DUMMYFUNCTION("""COMPUTED_VALUE"""),0.2793)</f>
        <v>0.2793</v>
      </c>
      <c r="N301" s="320">
        <f>IFERROR(__xludf.DUMMYFUNCTION("""COMPUTED_VALUE"""),0.172)</f>
        <v>0.172</v>
      </c>
      <c r="O301" s="320">
        <f>IFERROR(__xludf.DUMMYFUNCTION("""COMPUTED_VALUE"""),1.2285)</f>
        <v>1.2285</v>
      </c>
      <c r="P301" s="320">
        <f>IFERROR(__xludf.DUMMYFUNCTION("""COMPUTED_VALUE"""),1132.0)</f>
        <v>1132</v>
      </c>
      <c r="Q301" s="320">
        <f>IFERROR(__xludf.DUMMYFUNCTION("""COMPUTED_VALUE"""),886.61)</f>
        <v>886.61</v>
      </c>
      <c r="R301" s="320">
        <f>IFERROR(__xludf.DUMMYFUNCTION("""COMPUTED_VALUE"""),245.4)</f>
        <v>245.4</v>
      </c>
      <c r="S301" s="320">
        <f>IFERROR(__xludf.DUMMYFUNCTION("""COMPUTED_VALUE"""),634.66)</f>
        <v>634.66</v>
      </c>
      <c r="T301" s="320">
        <f>IFERROR(__xludf.DUMMYFUNCTION("""COMPUTED_VALUE"""),497.35)</f>
        <v>497.35</v>
      </c>
      <c r="U301" s="320">
        <f>IFERROR(__xludf.DUMMYFUNCTION("""COMPUTED_VALUE"""),1224.36)</f>
        <v>1224.36</v>
      </c>
      <c r="V301" s="320">
        <f>IFERROR(__xludf.DUMMYFUNCTION("""COMPUTED_VALUE"""),8.5303)</f>
        <v>8.5303</v>
      </c>
      <c r="W301" s="320">
        <f>IFERROR(__xludf.DUMMYFUNCTION("""COMPUTED_VALUE"""),56.06)</f>
        <v>56.06</v>
      </c>
      <c r="X301" s="320">
        <f>IFERROR(__xludf.DUMMYFUNCTION("""COMPUTED_VALUE"""),127.0)</f>
        <v>127</v>
      </c>
      <c r="Y301" s="320">
        <f>IFERROR(__xludf.DUMMYFUNCTION("""COMPUTED_VALUE"""),588.0)</f>
        <v>588</v>
      </c>
      <c r="Z301" s="320">
        <f>IFERROR(__xludf.DUMMYFUNCTION("""COMPUTED_VALUE"""),1887.0)</f>
        <v>1887</v>
      </c>
      <c r="AA301" s="320">
        <f>IFERROR(__xludf.DUMMYFUNCTION("""COMPUTED_VALUE"""),61.8233)</f>
        <v>61.8233</v>
      </c>
      <c r="AB301" s="320">
        <f>IFERROR(__xludf.DUMMYFUNCTION("""COMPUTED_VALUE"""),0.8495)</f>
        <v>0.8495</v>
      </c>
      <c r="AC301" s="320">
        <f>IFERROR(__xludf.DUMMYFUNCTION("""COMPUTED_VALUE"""),78.06)</f>
        <v>78.06</v>
      </c>
      <c r="AD301" s="320">
        <f>IFERROR(__xludf.DUMMYFUNCTION("""COMPUTED_VALUE"""),29.0)</f>
        <v>29</v>
      </c>
      <c r="AE301" s="320">
        <f>IFERROR(__xludf.DUMMYFUNCTION("""COMPUTED_VALUE"""),62.0)</f>
        <v>62</v>
      </c>
      <c r="AF301" s="320">
        <f>IFERROR(__xludf.DUMMYFUNCTION("""COMPUTED_VALUE"""),109.0)</f>
        <v>109</v>
      </c>
      <c r="AG301" s="320">
        <f>IFERROR(__xludf.DUMMYFUNCTION("""COMPUTED_VALUE"""),161.0)</f>
        <v>161</v>
      </c>
      <c r="AH301" s="320">
        <f>IFERROR(__xludf.DUMMYFUNCTION("""COMPUTED_VALUE"""),40.05)</f>
        <v>40.05</v>
      </c>
      <c r="AI301" s="320">
        <f>IFERROR(__xludf.DUMMYFUNCTION("""COMPUTED_VALUE"""),7.91)</f>
        <v>7.91</v>
      </c>
      <c r="AJ301" s="320">
        <f>IFERROR(__xludf.DUMMYFUNCTION("""COMPUTED_VALUE"""),1.02)</f>
        <v>1.02</v>
      </c>
      <c r="AK301" s="320">
        <f>IFERROR(__xludf.DUMMYFUNCTION("""COMPUTED_VALUE"""),0.1607)</f>
        <v>0.1607</v>
      </c>
      <c r="AL301" s="320">
        <f>IFERROR(__xludf.DUMMYFUNCTION("""COMPUTED_VALUE"""),20.17)</f>
        <v>20.17</v>
      </c>
      <c r="AM301" s="320">
        <f>IFERROR(__xludf.DUMMYFUNCTION("""COMPUTED_VALUE"""),866.44)</f>
        <v>866.44</v>
      </c>
      <c r="AN301" s="320">
        <f>IFERROR(__xludf.DUMMYFUNCTION("""COMPUTED_VALUE"""),74.16)</f>
        <v>74.16</v>
      </c>
      <c r="AO301" s="320">
        <f>IFERROR(__xludf.DUMMYFUNCTION("""COMPUTED_VALUE"""),14.96)</f>
        <v>14.96</v>
      </c>
    </row>
    <row r="302" ht="15.75" customHeight="1">
      <c r="A302" s="330">
        <f>IFERROR(__xludf.DUMMYFUNCTION("""COMPUTED_VALUE"""),46100.0)</f>
        <v>46100</v>
      </c>
      <c r="B302" s="319" t="str">
        <f>IFERROR(__xludf.DUMMYFUNCTION("""COMPUTED_VALUE"""),"A. 0")</f>
        <v>A. 0</v>
      </c>
      <c r="C302" s="320">
        <f>IFERROR(__xludf.DUMMYFUNCTION("""COMPUTED_VALUE"""),17293.0)</f>
        <v>17293</v>
      </c>
      <c r="D302" s="320">
        <f>IFERROR(__xludf.DUMMYFUNCTION("""COMPUTED_VALUE"""),22.72)</f>
        <v>22.72</v>
      </c>
      <c r="E302" s="320">
        <f>IFERROR(__xludf.DUMMYFUNCTION("""COMPUTED_VALUE"""),139.53)</f>
        <v>139.53</v>
      </c>
      <c r="F302" s="320">
        <f>IFERROR(__xludf.DUMMYFUNCTION("""COMPUTED_VALUE"""),0.0081)</f>
        <v>0.0081</v>
      </c>
      <c r="G302" s="320">
        <f>IFERROR(__xludf.DUMMYFUNCTION("""COMPUTED_VALUE"""),0.15)</f>
        <v>0.15</v>
      </c>
      <c r="H302" s="320">
        <f>IFERROR(__xludf.DUMMYFUNCTION("""COMPUTED_VALUE"""),5.3665)</f>
        <v>5.3665</v>
      </c>
      <c r="I302" s="320">
        <f>IFERROR(__xludf.DUMMYFUNCTION("""COMPUTED_VALUE"""),6.55)</f>
        <v>6.55</v>
      </c>
      <c r="J302" s="320">
        <f>IFERROR(__xludf.DUMMYFUNCTION("""COMPUTED_VALUE"""),3.03)</f>
        <v>3.03</v>
      </c>
      <c r="K302" s="320">
        <f>IFERROR(__xludf.DUMMYFUNCTION("""COMPUTED_VALUE"""),0.02)</f>
        <v>0.02</v>
      </c>
      <c r="L302" s="320">
        <f>IFERROR(__xludf.DUMMYFUNCTION("""COMPUTED_VALUE"""),0.0081)</f>
        <v>0.0081</v>
      </c>
      <c r="M302" s="320">
        <f>IFERROR(__xludf.DUMMYFUNCTION("""COMPUTED_VALUE"""),0.9924)</f>
        <v>0.9924</v>
      </c>
      <c r="N302" s="320">
        <f>IFERROR(__xludf.DUMMYFUNCTION("""COMPUTED_VALUE"""),0.8849)</f>
        <v>0.8849</v>
      </c>
      <c r="O302" s="320">
        <f>IFERROR(__xludf.DUMMYFUNCTION("""COMPUTED_VALUE"""),124.0261)</f>
        <v>124.0261</v>
      </c>
      <c r="P302" s="320">
        <f>IFERROR(__xludf.DUMMYFUNCTION("""COMPUTED_VALUE"""),22.85)</f>
        <v>22.85</v>
      </c>
      <c r="Q302" s="320">
        <f>IFERROR(__xludf.DUMMYFUNCTION("""COMPUTED_VALUE"""),22.78)</f>
        <v>22.78</v>
      </c>
      <c r="R302" s="320">
        <f>IFERROR(__xludf.DUMMYFUNCTION("""COMPUTED_VALUE"""),0.07)</f>
        <v>0.07</v>
      </c>
      <c r="S302" s="320">
        <f>IFERROR(__xludf.DUMMYFUNCTION("""COMPUTED_VALUE"""),0.66)</f>
        <v>0.66</v>
      </c>
      <c r="T302" s="320">
        <f>IFERROR(__xludf.DUMMYFUNCTION("""COMPUTED_VALUE"""),22.19)</f>
        <v>22.19</v>
      </c>
      <c r="U302" s="320">
        <f>IFERROR(__xludf.DUMMYFUNCTION("""COMPUTED_VALUE"""),1.92)</f>
        <v>1.92</v>
      </c>
      <c r="V302" s="320">
        <f>IFERROR(__xludf.DUMMYFUNCTION("""COMPUTED_VALUE"""),0.6343)</f>
        <v>0.6343</v>
      </c>
      <c r="W302" s="320">
        <f>IFERROR(__xludf.DUMMYFUNCTION("""COMPUTED_VALUE"""),2.9)</f>
        <v>2.9</v>
      </c>
      <c r="X302" s="320">
        <f>IFERROR(__xludf.DUMMYFUNCTION("""COMPUTED_VALUE"""),137.0)</f>
        <v>137</v>
      </c>
      <c r="Y302" s="320">
        <f>IFERROR(__xludf.DUMMYFUNCTION("""COMPUTED_VALUE"""),942.0)</f>
        <v>942</v>
      </c>
      <c r="Z302" s="320">
        <f>IFERROR(__xludf.DUMMYFUNCTION("""COMPUTED_VALUE"""),6709.0)</f>
        <v>6709</v>
      </c>
      <c r="AA302" s="320">
        <f>IFERROR(__xludf.DUMMYFUNCTION("""COMPUTED_VALUE"""),49.7503)</f>
        <v>49.7503</v>
      </c>
      <c r="AB302" s="320">
        <f>IFERROR(__xludf.DUMMYFUNCTION("""COMPUTED_VALUE"""),0.5054)</f>
        <v>0.5054</v>
      </c>
      <c r="AC302" s="106"/>
      <c r="AD302" s="106"/>
      <c r="AE302" s="106"/>
      <c r="AF302" s="106"/>
      <c r="AG302" s="106"/>
      <c r="AH302" s="320">
        <f>IFERROR(__xludf.DUMMYFUNCTION("""COMPUTED_VALUE"""),0.0)</f>
        <v>0</v>
      </c>
      <c r="AI302" s="320">
        <f>IFERROR(__xludf.DUMMYFUNCTION("""COMPUTED_VALUE"""),0.0)</f>
        <v>0</v>
      </c>
      <c r="AJ302" s="320">
        <f>IFERROR(__xludf.DUMMYFUNCTION("""COMPUTED_VALUE"""),0.0)</f>
        <v>0</v>
      </c>
      <c r="AK302" s="320">
        <f>IFERROR(__xludf.DUMMYFUNCTION("""COMPUTED_VALUE"""),0.2713)</f>
        <v>0.2713</v>
      </c>
      <c r="AL302" s="320">
        <f>IFERROR(__xludf.DUMMYFUNCTION("""COMPUTED_VALUE"""),16.12)</f>
        <v>16.12</v>
      </c>
      <c r="AM302" s="320">
        <f>IFERROR(__xludf.DUMMYFUNCTION("""COMPUTED_VALUE"""),6.66)</f>
        <v>6.66</v>
      </c>
      <c r="AN302" s="331"/>
      <c r="AO302" s="331"/>
    </row>
    <row r="303" ht="15.75" customHeight="1">
      <c r="A303" s="330">
        <f>IFERROR(__xludf.DUMMYFUNCTION("""COMPUTED_VALUE"""),46100.0)</f>
        <v>46100</v>
      </c>
      <c r="B303" s="319" t="str">
        <f>IFERROR(__xludf.DUMMYFUNCTION("""COMPUTED_VALUE"""),"B. 1-9")</f>
        <v>B. 1-9</v>
      </c>
      <c r="C303" s="320">
        <f>IFERROR(__xludf.DUMMYFUNCTION("""COMPUTED_VALUE"""),31710.0)</f>
        <v>31710</v>
      </c>
      <c r="D303" s="320">
        <f>IFERROR(__xludf.DUMMYFUNCTION("""COMPUTED_VALUE"""),41.67)</f>
        <v>41.67</v>
      </c>
      <c r="E303" s="320">
        <f>IFERROR(__xludf.DUMMYFUNCTION("""COMPUTED_VALUE"""),6949.91)</f>
        <v>6949.91</v>
      </c>
      <c r="F303" s="320">
        <f>IFERROR(__xludf.DUMMYFUNCTION("""COMPUTED_VALUE"""),0.2192)</f>
        <v>0.2192</v>
      </c>
      <c r="G303" s="320">
        <f>IFERROR(__xludf.DUMMYFUNCTION("""COMPUTED_VALUE"""),6.41)</f>
        <v>6.41</v>
      </c>
      <c r="H303" s="320">
        <f>IFERROR(__xludf.DUMMYFUNCTION("""COMPUTED_VALUE"""),3.4169)</f>
        <v>3.4169</v>
      </c>
      <c r="I303" s="320">
        <f>IFERROR(__xludf.DUMMYFUNCTION("""COMPUTED_VALUE"""),29.71)</f>
        <v>29.71</v>
      </c>
      <c r="J303" s="320">
        <f>IFERROR(__xludf.DUMMYFUNCTION("""COMPUTED_VALUE"""),15.84)</f>
        <v>15.84</v>
      </c>
      <c r="K303" s="320">
        <f>IFERROR(__xludf.DUMMYFUNCTION("""COMPUTED_VALUE"""),4.91)</f>
        <v>4.91</v>
      </c>
      <c r="L303" s="320">
        <f>IFERROR(__xludf.DUMMYFUNCTION("""COMPUTED_VALUE"""),0.31)</f>
        <v>0.31</v>
      </c>
      <c r="M303" s="320">
        <f>IFERROR(__xludf.DUMMYFUNCTION("""COMPUTED_VALUE"""),0.7609)</f>
        <v>0.7609</v>
      </c>
      <c r="N303" s="320">
        <f>IFERROR(__xludf.DUMMYFUNCTION("""COMPUTED_VALUE"""),0.5184)</f>
        <v>0.5184</v>
      </c>
      <c r="O303" s="320">
        <f>IFERROR(__xludf.DUMMYFUNCTION("""COMPUTED_VALUE"""),3.2261)</f>
        <v>3.2261</v>
      </c>
      <c r="P303" s="320">
        <f>IFERROR(__xludf.DUMMYFUNCTION("""COMPUTED_VALUE"""),61.83)</f>
        <v>61.83</v>
      </c>
      <c r="Q303" s="320">
        <f>IFERROR(__xludf.DUMMYFUNCTION("""COMPUTED_VALUE"""),51.65)</f>
        <v>51.65</v>
      </c>
      <c r="R303" s="320">
        <f>IFERROR(__xludf.DUMMYFUNCTION("""COMPUTED_VALUE"""),10.18)</f>
        <v>10.18</v>
      </c>
      <c r="S303" s="320">
        <f>IFERROR(__xludf.DUMMYFUNCTION("""COMPUTED_VALUE"""),15.62)</f>
        <v>15.62</v>
      </c>
      <c r="T303" s="320">
        <f>IFERROR(__xludf.DUMMYFUNCTION("""COMPUTED_VALUE"""),46.21)</f>
        <v>46.21</v>
      </c>
      <c r="U303" s="320">
        <f>IFERROR(__xludf.DUMMYFUNCTION("""COMPUTED_VALUE"""),67.48)</f>
        <v>67.48</v>
      </c>
      <c r="V303" s="320">
        <f>IFERROR(__xludf.DUMMYFUNCTION("""COMPUTED_VALUE"""),4.2604)</f>
        <v>4.2604</v>
      </c>
      <c r="W303" s="320">
        <f>IFERROR(__xludf.DUMMYFUNCTION("""COMPUTED_VALUE"""),25.27)</f>
        <v>25.27</v>
      </c>
      <c r="X303" s="320">
        <f>IFERROR(__xludf.DUMMYFUNCTION("""COMPUTED_VALUE"""),85.0)</f>
        <v>85</v>
      </c>
      <c r="Y303" s="320">
        <f>IFERROR(__xludf.DUMMYFUNCTION("""COMPUTED_VALUE"""),197.0)</f>
        <v>197</v>
      </c>
      <c r="Z303" s="320">
        <f>IFERROR(__xludf.DUMMYFUNCTION("""COMPUTED_VALUE"""),840.0)</f>
        <v>840</v>
      </c>
      <c r="AA303" s="320">
        <f>IFERROR(__xludf.DUMMYFUNCTION("""COMPUTED_VALUE"""),49.524)</f>
        <v>49.524</v>
      </c>
      <c r="AB303" s="320">
        <f>IFERROR(__xludf.DUMMYFUNCTION("""COMPUTED_VALUE"""),0.4377)</f>
        <v>0.4377</v>
      </c>
      <c r="AC303" s="320">
        <f>IFERROR(__xludf.DUMMYFUNCTION("""COMPUTED_VALUE"""),3.35)</f>
        <v>3.35</v>
      </c>
      <c r="AD303" s="320">
        <f>IFERROR(__xludf.DUMMYFUNCTION("""COMPUTED_VALUE"""),1.0)</f>
        <v>1</v>
      </c>
      <c r="AE303" s="320">
        <f>IFERROR(__xludf.DUMMYFUNCTION("""COMPUTED_VALUE"""),2.0)</f>
        <v>2</v>
      </c>
      <c r="AF303" s="320">
        <f>IFERROR(__xludf.DUMMYFUNCTION("""COMPUTED_VALUE"""),4.0)</f>
        <v>4</v>
      </c>
      <c r="AG303" s="320">
        <f>IFERROR(__xludf.DUMMYFUNCTION("""COMPUTED_VALUE"""),8.0)</f>
        <v>8</v>
      </c>
      <c r="AH303" s="320">
        <f>IFERROR(__xludf.DUMMYFUNCTION("""COMPUTED_VALUE"""),63.43)</f>
        <v>63.43</v>
      </c>
      <c r="AI303" s="320">
        <f>IFERROR(__xludf.DUMMYFUNCTION("""COMPUTED_VALUE"""),23.04)</f>
        <v>23.04</v>
      </c>
      <c r="AJ303" s="320">
        <f>IFERROR(__xludf.DUMMYFUNCTION("""COMPUTED_VALUE"""),6.46)</f>
        <v>6.46</v>
      </c>
      <c r="AK303" s="320">
        <f>IFERROR(__xludf.DUMMYFUNCTION("""COMPUTED_VALUE"""),0.2214)</f>
        <v>0.2214</v>
      </c>
      <c r="AL303" s="320">
        <f>IFERROR(__xludf.DUMMYFUNCTION("""COMPUTED_VALUE"""),20.3)</f>
        <v>20.3</v>
      </c>
      <c r="AM303" s="320">
        <f>IFERROR(__xludf.DUMMYFUNCTION("""COMPUTED_VALUE"""),31.35)</f>
        <v>31.35</v>
      </c>
      <c r="AN303" s="320">
        <f>IFERROR(__xludf.DUMMYFUNCTION("""COMPUTED_VALUE"""),69.11)</f>
        <v>69.11</v>
      </c>
      <c r="AO303" s="320">
        <f>IFERROR(__xludf.DUMMYFUNCTION("""COMPUTED_VALUE"""),14.03)</f>
        <v>14.03</v>
      </c>
    </row>
    <row r="304" ht="15.75" customHeight="1">
      <c r="A304" s="330">
        <f>IFERROR(__xludf.DUMMYFUNCTION("""COMPUTED_VALUE"""),46100.0)</f>
        <v>46100</v>
      </c>
      <c r="B304" s="319" t="str">
        <f>IFERROR(__xludf.DUMMYFUNCTION("""COMPUTED_VALUE"""),"C. 10-19")</f>
        <v>C. 10-19</v>
      </c>
      <c r="C304" s="320">
        <f>IFERROR(__xludf.DUMMYFUNCTION("""COMPUTED_VALUE"""),15069.0)</f>
        <v>15069</v>
      </c>
      <c r="D304" s="320">
        <f>IFERROR(__xludf.DUMMYFUNCTION("""COMPUTED_VALUE"""),19.8)</f>
        <v>19.8</v>
      </c>
      <c r="E304" s="320">
        <f>IFERROR(__xludf.DUMMYFUNCTION("""COMPUTED_VALUE"""),15280.32)</f>
        <v>15280.32</v>
      </c>
      <c r="F304" s="320">
        <f>IFERROR(__xludf.DUMMYFUNCTION("""COMPUTED_VALUE"""),1.014)</f>
        <v>1.014</v>
      </c>
      <c r="G304" s="320">
        <f>IFERROR(__xludf.DUMMYFUNCTION("""COMPUTED_VALUE"""),20.96)</f>
        <v>20.96</v>
      </c>
      <c r="H304" s="320">
        <f>IFERROR(__xludf.DUMMYFUNCTION("""COMPUTED_VALUE"""),4.8371)</f>
        <v>4.8371</v>
      </c>
      <c r="I304" s="320">
        <f>IFERROR(__xludf.DUMMYFUNCTION("""COMPUTED_VALUE"""),53.17)</f>
        <v>53.17</v>
      </c>
      <c r="J304" s="320">
        <f>IFERROR(__xludf.DUMMYFUNCTION("""COMPUTED_VALUE"""),30.4)</f>
        <v>30.4</v>
      </c>
      <c r="K304" s="320">
        <f>IFERROR(__xludf.DUMMYFUNCTION("""COMPUTED_VALUE"""),13.03)</f>
        <v>13.03</v>
      </c>
      <c r="L304" s="320">
        <f>IFERROR(__xludf.DUMMYFUNCTION("""COMPUTED_VALUE"""),0.4285)</f>
        <v>0.4285</v>
      </c>
      <c r="M304" s="320">
        <f>IFERROR(__xludf.DUMMYFUNCTION("""COMPUTED_VALUE"""),0.6366)</f>
        <v>0.6366</v>
      </c>
      <c r="N304" s="320">
        <f>IFERROR(__xludf.DUMMYFUNCTION("""COMPUTED_VALUE"""),0.3599)</f>
        <v>0.3599</v>
      </c>
      <c r="O304" s="320">
        <f>IFERROR(__xludf.DUMMYFUNCTION("""COMPUTED_VALUE"""),2.3335)</f>
        <v>2.3335</v>
      </c>
      <c r="P304" s="320">
        <f>IFERROR(__xludf.DUMMYFUNCTION("""COMPUTED_VALUE"""),161.3)</f>
        <v>161.3</v>
      </c>
      <c r="Q304" s="320">
        <f>IFERROR(__xludf.DUMMYFUNCTION("""COMPUTED_VALUE"""),134.81)</f>
        <v>134.81</v>
      </c>
      <c r="R304" s="320">
        <f>IFERROR(__xludf.DUMMYFUNCTION("""COMPUTED_VALUE"""),26.5)</f>
        <v>26.5</v>
      </c>
      <c r="S304" s="320">
        <f>IFERROR(__xludf.DUMMYFUNCTION("""COMPUTED_VALUE"""),69.77)</f>
        <v>69.77</v>
      </c>
      <c r="T304" s="320">
        <f>IFERROR(__xludf.DUMMYFUNCTION("""COMPUTED_VALUE"""),91.54)</f>
        <v>91.54</v>
      </c>
      <c r="U304" s="320">
        <f>IFERROR(__xludf.DUMMYFUNCTION("""COMPUTED_VALUE"""),164.08)</f>
        <v>164.08</v>
      </c>
      <c r="V304" s="320">
        <f>IFERROR(__xludf.DUMMYFUNCTION("""COMPUTED_VALUE"""),5.397)</f>
        <v>5.397</v>
      </c>
      <c r="W304" s="320">
        <f>IFERROR(__xludf.DUMMYFUNCTION("""COMPUTED_VALUE"""),43.25)</f>
        <v>43.25</v>
      </c>
      <c r="X304" s="320">
        <f>IFERROR(__xludf.DUMMYFUNCTION("""COMPUTED_VALUE"""),83.0)</f>
        <v>83</v>
      </c>
      <c r="Y304" s="320">
        <f>IFERROR(__xludf.DUMMYFUNCTION("""COMPUTED_VALUE"""),190.0)</f>
        <v>190</v>
      </c>
      <c r="Z304" s="320">
        <f>IFERROR(__xludf.DUMMYFUNCTION("""COMPUTED_VALUE"""),630.0)</f>
        <v>630</v>
      </c>
      <c r="AA304" s="320">
        <f>IFERROR(__xludf.DUMMYFUNCTION("""COMPUTED_VALUE"""),52.4749)</f>
        <v>52.4749</v>
      </c>
      <c r="AB304" s="320">
        <f>IFERROR(__xludf.DUMMYFUNCTION("""COMPUTED_VALUE"""),0.5464)</f>
        <v>0.5464</v>
      </c>
      <c r="AC304" s="320">
        <f>IFERROR(__xludf.DUMMYFUNCTION("""COMPUTED_VALUE"""),8.41)</f>
        <v>8.41</v>
      </c>
      <c r="AD304" s="320">
        <f>IFERROR(__xludf.DUMMYFUNCTION("""COMPUTED_VALUE"""),2.0)</f>
        <v>2</v>
      </c>
      <c r="AE304" s="320">
        <f>IFERROR(__xludf.DUMMYFUNCTION("""COMPUTED_VALUE"""),6.0)</f>
        <v>6</v>
      </c>
      <c r="AF304" s="320">
        <f>IFERROR(__xludf.DUMMYFUNCTION("""COMPUTED_VALUE"""),12.0)</f>
        <v>12</v>
      </c>
      <c r="AG304" s="320">
        <f>IFERROR(__xludf.DUMMYFUNCTION("""COMPUTED_VALUE"""),19.0)</f>
        <v>19</v>
      </c>
      <c r="AH304" s="320">
        <f>IFERROR(__xludf.DUMMYFUNCTION("""COMPUTED_VALUE"""),51.42)</f>
        <v>51.42</v>
      </c>
      <c r="AI304" s="320">
        <f>IFERROR(__xludf.DUMMYFUNCTION("""COMPUTED_VALUE"""),23.14)</f>
        <v>23.14</v>
      </c>
      <c r="AJ304" s="320">
        <f>IFERROR(__xludf.DUMMYFUNCTION("""COMPUTED_VALUE"""),4.33)</f>
        <v>4.33</v>
      </c>
      <c r="AK304" s="320">
        <f>IFERROR(__xludf.DUMMYFUNCTION("""COMPUTED_VALUE"""),0.2058)</f>
        <v>0.2058</v>
      </c>
      <c r="AL304" s="320">
        <f>IFERROR(__xludf.DUMMYFUNCTION("""COMPUTED_VALUE"""),20.47)</f>
        <v>20.47</v>
      </c>
      <c r="AM304" s="320">
        <f>IFERROR(__xludf.DUMMYFUNCTION("""COMPUTED_VALUE"""),114.34)</f>
        <v>114.34</v>
      </c>
      <c r="AN304" s="320">
        <f>IFERROR(__xludf.DUMMYFUNCTION("""COMPUTED_VALUE"""),74.03)</f>
        <v>74.03</v>
      </c>
      <c r="AO304" s="320">
        <f>IFERROR(__xludf.DUMMYFUNCTION("""COMPUTED_VALUE"""),15.15)</f>
        <v>15.15</v>
      </c>
    </row>
    <row r="305" ht="15.75" customHeight="1">
      <c r="A305" s="330">
        <f>IFERROR(__xludf.DUMMYFUNCTION("""COMPUTED_VALUE"""),46100.0)</f>
        <v>46100</v>
      </c>
      <c r="B305" s="319" t="str">
        <f>IFERROR(__xludf.DUMMYFUNCTION("""COMPUTED_VALUE"""),"D. 20-39")</f>
        <v>D. 20-39</v>
      </c>
      <c r="C305" s="320">
        <f>IFERROR(__xludf.DUMMYFUNCTION("""COMPUTED_VALUE"""),8417.0)</f>
        <v>8417</v>
      </c>
      <c r="D305" s="320">
        <f>IFERROR(__xludf.DUMMYFUNCTION("""COMPUTED_VALUE"""),11.06)</f>
        <v>11.06</v>
      </c>
      <c r="E305" s="320">
        <f>IFERROR(__xludf.DUMMYFUNCTION("""COMPUTED_VALUE"""),20392.49)</f>
        <v>20392.49</v>
      </c>
      <c r="F305" s="320">
        <f>IFERROR(__xludf.DUMMYFUNCTION("""COMPUTED_VALUE"""),2.4228)</f>
        <v>2.4228</v>
      </c>
      <c r="G305" s="320">
        <f>IFERROR(__xludf.DUMMYFUNCTION("""COMPUTED_VALUE"""),31.59)</f>
        <v>31.59</v>
      </c>
      <c r="H305" s="320">
        <f>IFERROR(__xludf.DUMMYFUNCTION("""COMPUTED_VALUE"""),7.6692)</f>
        <v>7.6692</v>
      </c>
      <c r="I305" s="320">
        <f>IFERROR(__xludf.DUMMYFUNCTION("""COMPUTED_VALUE"""),74.46)</f>
        <v>74.46</v>
      </c>
      <c r="J305" s="320">
        <f>IFERROR(__xludf.DUMMYFUNCTION("""COMPUTED_VALUE"""),44.45)</f>
        <v>44.45</v>
      </c>
      <c r="K305" s="320">
        <f>IFERROR(__xludf.DUMMYFUNCTION("""COMPUTED_VALUE"""),23.97)</f>
        <v>23.97</v>
      </c>
      <c r="L305" s="320">
        <f>IFERROR(__xludf.DUMMYFUNCTION("""COMPUTED_VALUE"""),0.5393)</f>
        <v>0.5393</v>
      </c>
      <c r="M305" s="320">
        <f>IFERROR(__xludf.DUMMYFUNCTION("""COMPUTED_VALUE"""),0.5357)</f>
        <v>0.5357</v>
      </c>
      <c r="N305" s="320">
        <f>IFERROR(__xludf.DUMMYFUNCTION("""COMPUTED_VALUE"""),0.2934)</f>
        <v>0.2934</v>
      </c>
      <c r="O305" s="320">
        <f>IFERROR(__xludf.DUMMYFUNCTION("""COMPUTED_VALUE"""),1.8542)</f>
        <v>1.8542</v>
      </c>
      <c r="P305" s="320">
        <f>IFERROR(__xludf.DUMMYFUNCTION("""COMPUTED_VALUE"""),309.81)</f>
        <v>309.81</v>
      </c>
      <c r="Q305" s="320">
        <f>IFERROR(__xludf.DUMMYFUNCTION("""COMPUTED_VALUE"""),259.56)</f>
        <v>259.56</v>
      </c>
      <c r="R305" s="320">
        <f>IFERROR(__xludf.DUMMYFUNCTION("""COMPUTED_VALUE"""),50.24)</f>
        <v>50.24</v>
      </c>
      <c r="S305" s="320">
        <f>IFERROR(__xludf.DUMMYFUNCTION("""COMPUTED_VALUE"""),156.46)</f>
        <v>156.46</v>
      </c>
      <c r="T305" s="320">
        <f>IFERROR(__xludf.DUMMYFUNCTION("""COMPUTED_VALUE"""),153.34)</f>
        <v>153.34</v>
      </c>
      <c r="U305" s="320">
        <f>IFERROR(__xludf.DUMMYFUNCTION("""COMPUTED_VALUE"""),314.38)</f>
        <v>314.38</v>
      </c>
      <c r="V305" s="320">
        <f>IFERROR(__xludf.DUMMYFUNCTION("""COMPUTED_VALUE"""),7.0725)</f>
        <v>7.0725</v>
      </c>
      <c r="W305" s="320">
        <f>IFERROR(__xludf.DUMMYFUNCTION("""COMPUTED_VALUE"""),50.5)</f>
        <v>50.5</v>
      </c>
      <c r="X305" s="320">
        <f>IFERROR(__xludf.DUMMYFUNCTION("""COMPUTED_VALUE"""),85.0)</f>
        <v>85</v>
      </c>
      <c r="Y305" s="320">
        <f>IFERROR(__xludf.DUMMYFUNCTION("""COMPUTED_VALUE"""),205.0)</f>
        <v>205</v>
      </c>
      <c r="Z305" s="320">
        <f>IFERROR(__xludf.DUMMYFUNCTION("""COMPUTED_VALUE"""),640.0)</f>
        <v>640</v>
      </c>
      <c r="AA305" s="320">
        <f>IFERROR(__xludf.DUMMYFUNCTION("""COMPUTED_VALUE"""),54.5717)</f>
        <v>54.5717</v>
      </c>
      <c r="AB305" s="320">
        <f>IFERROR(__xludf.DUMMYFUNCTION("""COMPUTED_VALUE"""),0.657)</f>
        <v>0.657</v>
      </c>
      <c r="AC305" s="320">
        <f>IFERROR(__xludf.DUMMYFUNCTION("""COMPUTED_VALUE"""),15.93)</f>
        <v>15.93</v>
      </c>
      <c r="AD305" s="320">
        <f>IFERROR(__xludf.DUMMYFUNCTION("""COMPUTED_VALUE"""),5.0)</f>
        <v>5</v>
      </c>
      <c r="AE305" s="320">
        <f>IFERROR(__xludf.DUMMYFUNCTION("""COMPUTED_VALUE"""),12.0)</f>
        <v>12</v>
      </c>
      <c r="AF305" s="320">
        <f>IFERROR(__xludf.DUMMYFUNCTION("""COMPUTED_VALUE"""),23.0)</f>
        <v>23</v>
      </c>
      <c r="AG305" s="320">
        <f>IFERROR(__xludf.DUMMYFUNCTION("""COMPUTED_VALUE"""),34.0)</f>
        <v>34</v>
      </c>
      <c r="AH305" s="320">
        <f>IFERROR(__xludf.DUMMYFUNCTION("""COMPUTED_VALUE"""),53.0)</f>
        <v>53</v>
      </c>
      <c r="AI305" s="320">
        <f>IFERROR(__xludf.DUMMYFUNCTION("""COMPUTED_VALUE"""),20.62)</f>
        <v>20.62</v>
      </c>
      <c r="AJ305" s="320">
        <f>IFERROR(__xludf.DUMMYFUNCTION("""COMPUTED_VALUE"""),5.68)</f>
        <v>5.68</v>
      </c>
      <c r="AK305" s="320">
        <f>IFERROR(__xludf.DUMMYFUNCTION("""COMPUTED_VALUE"""),0.2026)</f>
        <v>0.2026</v>
      </c>
      <c r="AL305" s="320">
        <f>IFERROR(__xludf.DUMMYFUNCTION("""COMPUTED_VALUE"""),19.59)</f>
        <v>19.59</v>
      </c>
      <c r="AM305" s="320">
        <f>IFERROR(__xludf.DUMMYFUNCTION("""COMPUTED_VALUE"""),239.97)</f>
        <v>239.97</v>
      </c>
      <c r="AN305" s="320">
        <f>IFERROR(__xludf.DUMMYFUNCTION("""COMPUTED_VALUE"""),75.21)</f>
        <v>75.21</v>
      </c>
      <c r="AO305" s="320">
        <f>IFERROR(__xludf.DUMMYFUNCTION("""COMPUTED_VALUE"""),14.73)</f>
        <v>14.73</v>
      </c>
    </row>
    <row r="306" ht="15.75" customHeight="1">
      <c r="A306" s="330">
        <f>IFERROR(__xludf.DUMMYFUNCTION("""COMPUTED_VALUE"""),46100.0)</f>
        <v>46100</v>
      </c>
      <c r="B306" s="319" t="str">
        <f>IFERROR(__xludf.DUMMYFUNCTION("""COMPUTED_VALUE"""),"E. 40-99")</f>
        <v>E. 40-99</v>
      </c>
      <c r="C306" s="320">
        <f>IFERROR(__xludf.DUMMYFUNCTION("""COMPUTED_VALUE"""),3252.0)</f>
        <v>3252</v>
      </c>
      <c r="D306" s="320">
        <f>IFERROR(__xludf.DUMMYFUNCTION("""COMPUTED_VALUE"""),4.27)</f>
        <v>4.27</v>
      </c>
      <c r="E306" s="320">
        <f>IFERROR(__xludf.DUMMYFUNCTION("""COMPUTED_VALUE"""),17152.68)</f>
        <v>17152.68</v>
      </c>
      <c r="F306" s="320">
        <f>IFERROR(__xludf.DUMMYFUNCTION("""COMPUTED_VALUE"""),5.2745)</f>
        <v>5.2745</v>
      </c>
      <c r="G306" s="320">
        <f>IFERROR(__xludf.DUMMYFUNCTION("""COMPUTED_VALUE"""),40.96)</f>
        <v>40.96</v>
      </c>
      <c r="H306" s="320">
        <f>IFERROR(__xludf.DUMMYFUNCTION("""COMPUTED_VALUE"""),12.8774)</f>
        <v>12.8774</v>
      </c>
      <c r="I306" s="320">
        <f>IFERROR(__xludf.DUMMYFUNCTION("""COMPUTED_VALUE"""),119.28)</f>
        <v>119.28</v>
      </c>
      <c r="J306" s="320">
        <f>IFERROR(__xludf.DUMMYFUNCTION("""COMPUTED_VALUE"""),74.17)</f>
        <v>74.17</v>
      </c>
      <c r="K306" s="320">
        <f>IFERROR(__xludf.DUMMYFUNCTION("""COMPUTED_VALUE"""),50.82)</f>
        <v>50.82</v>
      </c>
      <c r="L306" s="320">
        <f>IFERROR(__xludf.DUMMYFUNCTION("""COMPUTED_VALUE"""),0.6852)</f>
        <v>0.6852</v>
      </c>
      <c r="M306" s="320">
        <f>IFERROR(__xludf.DUMMYFUNCTION("""COMPUTED_VALUE"""),0.4035)</f>
        <v>0.4035</v>
      </c>
      <c r="N306" s="320">
        <f>IFERROR(__xludf.DUMMYFUNCTION("""COMPUTED_VALUE"""),0.2308)</f>
        <v>0.2308</v>
      </c>
      <c r="O306" s="320">
        <f>IFERROR(__xludf.DUMMYFUNCTION("""COMPUTED_VALUE"""),1.4594)</f>
        <v>1.4594</v>
      </c>
      <c r="P306" s="320">
        <f>IFERROR(__xludf.DUMMYFUNCTION("""COMPUTED_VALUE"""),634.22)</f>
        <v>634.22</v>
      </c>
      <c r="Q306" s="320">
        <f>IFERROR(__xludf.DUMMYFUNCTION("""COMPUTED_VALUE"""),526.53)</f>
        <v>526.53</v>
      </c>
      <c r="R306" s="320">
        <f>IFERROR(__xludf.DUMMYFUNCTION("""COMPUTED_VALUE"""),107.69)</f>
        <v>107.69</v>
      </c>
      <c r="S306" s="320">
        <f>IFERROR(__xludf.DUMMYFUNCTION("""COMPUTED_VALUE"""),334.01)</f>
        <v>334.01</v>
      </c>
      <c r="T306" s="320">
        <f>IFERROR(__xludf.DUMMYFUNCTION("""COMPUTED_VALUE"""),300.21)</f>
        <v>300.21</v>
      </c>
      <c r="U306" s="320">
        <f>IFERROR(__xludf.DUMMYFUNCTION("""COMPUTED_VALUE"""),643.88)</f>
        <v>643.88</v>
      </c>
      <c r="V306" s="320">
        <f>IFERROR(__xludf.DUMMYFUNCTION("""COMPUTED_VALUE"""),8.6816)</f>
        <v>8.6816</v>
      </c>
      <c r="W306" s="320">
        <f>IFERROR(__xludf.DUMMYFUNCTION("""COMPUTED_VALUE"""),52.67)</f>
        <v>52.67</v>
      </c>
      <c r="X306" s="320">
        <f>IFERROR(__xludf.DUMMYFUNCTION("""COMPUTED_VALUE"""),95.0)</f>
        <v>95</v>
      </c>
      <c r="Y306" s="320">
        <f>IFERROR(__xludf.DUMMYFUNCTION("""COMPUTED_VALUE"""),304.0)</f>
        <v>304</v>
      </c>
      <c r="Z306" s="320">
        <f>IFERROR(__xludf.DUMMYFUNCTION("""COMPUTED_VALUE"""),943.0)</f>
        <v>943</v>
      </c>
      <c r="AA306" s="320">
        <f>IFERROR(__xludf.DUMMYFUNCTION("""COMPUTED_VALUE"""),57.9464)</f>
        <v>57.9464</v>
      </c>
      <c r="AB306" s="320">
        <f>IFERROR(__xludf.DUMMYFUNCTION("""COMPUTED_VALUE"""),0.7608)</f>
        <v>0.7608</v>
      </c>
      <c r="AC306" s="320">
        <f>IFERROR(__xludf.DUMMYFUNCTION("""COMPUTED_VALUE"""),34.67)</f>
        <v>34.67</v>
      </c>
      <c r="AD306" s="320">
        <f>IFERROR(__xludf.DUMMYFUNCTION("""COMPUTED_VALUE"""),11.0)</f>
        <v>11</v>
      </c>
      <c r="AE306" s="320">
        <f>IFERROR(__xludf.DUMMYFUNCTION("""COMPUTED_VALUE"""),26.0)</f>
        <v>26</v>
      </c>
      <c r="AF306" s="320">
        <f>IFERROR(__xludf.DUMMYFUNCTION("""COMPUTED_VALUE"""),49.0)</f>
        <v>49</v>
      </c>
      <c r="AG306" s="320">
        <f>IFERROR(__xludf.DUMMYFUNCTION("""COMPUTED_VALUE"""),74.0)</f>
        <v>74</v>
      </c>
      <c r="AH306" s="320">
        <f>IFERROR(__xludf.DUMMYFUNCTION("""COMPUTED_VALUE"""),47.32)</f>
        <v>47.32</v>
      </c>
      <c r="AI306" s="320">
        <f>IFERROR(__xludf.DUMMYFUNCTION("""COMPUTED_VALUE"""),17.59)</f>
        <v>17.59</v>
      </c>
      <c r="AJ306" s="320">
        <f>IFERROR(__xludf.DUMMYFUNCTION("""COMPUTED_VALUE"""),4.4)</f>
        <v>4.4</v>
      </c>
      <c r="AK306" s="320">
        <f>IFERROR(__xludf.DUMMYFUNCTION("""COMPUTED_VALUE"""),0.1974)</f>
        <v>0.1974</v>
      </c>
      <c r="AL306" s="320">
        <f>IFERROR(__xludf.DUMMYFUNCTION("""COMPUTED_VALUE"""),20.92)</f>
        <v>20.92</v>
      </c>
      <c r="AM306" s="320">
        <f>IFERROR(__xludf.DUMMYFUNCTION("""COMPUTED_VALUE"""),505.61)</f>
        <v>505.61</v>
      </c>
      <c r="AN306" s="320">
        <f>IFERROR(__xludf.DUMMYFUNCTION("""COMPUTED_VALUE"""),74.79)</f>
        <v>74.79</v>
      </c>
      <c r="AO306" s="320">
        <f>IFERROR(__xludf.DUMMYFUNCTION("""COMPUTED_VALUE"""),15.65)</f>
        <v>15.65</v>
      </c>
    </row>
    <row r="307" ht="15.75" customHeight="1">
      <c r="A307" s="330">
        <f>IFERROR(__xludf.DUMMYFUNCTION("""COMPUTED_VALUE"""),46100.0)</f>
        <v>46100</v>
      </c>
      <c r="B307" s="319" t="str">
        <f>IFERROR(__xludf.DUMMYFUNCTION("""COMPUTED_VALUE"""),"F. 100+")</f>
        <v>F. 100+</v>
      </c>
      <c r="C307" s="320">
        <f>IFERROR(__xludf.DUMMYFUNCTION("""COMPUTED_VALUE"""),357.0)</f>
        <v>357</v>
      </c>
      <c r="D307" s="320">
        <f>IFERROR(__xludf.DUMMYFUNCTION("""COMPUTED_VALUE"""),0.47)</f>
        <v>0.47</v>
      </c>
      <c r="E307" s="320">
        <f>IFERROR(__xludf.DUMMYFUNCTION("""COMPUTED_VALUE"""),4116.0)</f>
        <v>4116</v>
      </c>
      <c r="F307" s="320">
        <f>IFERROR(__xludf.DUMMYFUNCTION("""COMPUTED_VALUE"""),11.5294)</f>
        <v>11.5294</v>
      </c>
      <c r="G307" s="320">
        <f>IFERROR(__xludf.DUMMYFUNCTION("""COMPUTED_VALUE"""),44.82)</f>
        <v>44.82</v>
      </c>
      <c r="H307" s="320">
        <f>IFERROR(__xludf.DUMMYFUNCTION("""COMPUTED_VALUE"""),25.725)</f>
        <v>25.725</v>
      </c>
      <c r="I307" s="320">
        <f>IFERROR(__xludf.DUMMYFUNCTION("""COMPUTED_VALUE"""),215.24)</f>
        <v>215.24</v>
      </c>
      <c r="J307" s="320">
        <f>IFERROR(__xludf.DUMMYFUNCTION("""COMPUTED_VALUE"""),142.51)</f>
        <v>142.51</v>
      </c>
      <c r="K307" s="320">
        <f>IFERROR(__xludf.DUMMYFUNCTION("""COMPUTED_VALUE"""),118.74)</f>
        <v>118.74</v>
      </c>
      <c r="L307" s="320">
        <f>IFERROR(__xludf.DUMMYFUNCTION("""COMPUTED_VALUE"""),0.8332)</f>
        <v>0.8332</v>
      </c>
      <c r="M307" s="320">
        <f>IFERROR(__xludf.DUMMYFUNCTION("""COMPUTED_VALUE"""),0.2666)</f>
        <v>0.2666</v>
      </c>
      <c r="N307" s="320">
        <f>IFERROR(__xludf.DUMMYFUNCTION("""COMPUTED_VALUE"""),0.1748)</f>
        <v>0.1748</v>
      </c>
      <c r="O307" s="320">
        <f>IFERROR(__xludf.DUMMYFUNCTION("""COMPUTED_VALUE"""),1.2002)</f>
        <v>1.2002</v>
      </c>
      <c r="P307" s="320">
        <f>IFERROR(__xludf.DUMMYFUNCTION("""COMPUTED_VALUE"""),1274.15)</f>
        <v>1274.15</v>
      </c>
      <c r="Q307" s="320">
        <f>IFERROR(__xludf.DUMMYFUNCTION("""COMPUTED_VALUE"""),1023.54)</f>
        <v>1023.54</v>
      </c>
      <c r="R307" s="320">
        <f>IFERROR(__xludf.DUMMYFUNCTION("""COMPUTED_VALUE"""),250.6)</f>
        <v>250.6</v>
      </c>
      <c r="S307" s="320">
        <f>IFERROR(__xludf.DUMMYFUNCTION("""COMPUTED_VALUE"""),696.68)</f>
        <v>696.68</v>
      </c>
      <c r="T307" s="320">
        <f>IFERROR(__xludf.DUMMYFUNCTION("""COMPUTED_VALUE"""),577.46)</f>
        <v>577.46</v>
      </c>
      <c r="U307" s="320">
        <f>IFERROR(__xludf.DUMMYFUNCTION("""COMPUTED_VALUE"""),1336.55)</f>
        <v>1336.55</v>
      </c>
      <c r="V307" s="320">
        <f>IFERROR(__xludf.DUMMYFUNCTION("""COMPUTED_VALUE"""),9.3785)</f>
        <v>9.3785</v>
      </c>
      <c r="W307" s="320">
        <f>IFERROR(__xludf.DUMMYFUNCTION("""COMPUTED_VALUE"""),54.68)</f>
        <v>54.68</v>
      </c>
      <c r="X307" s="320">
        <f>IFERROR(__xludf.DUMMYFUNCTION("""COMPUTED_VALUE"""),133.0)</f>
        <v>133</v>
      </c>
      <c r="Y307" s="320">
        <f>IFERROR(__xludf.DUMMYFUNCTION("""COMPUTED_VALUE"""),608.0)</f>
        <v>608</v>
      </c>
      <c r="Z307" s="320">
        <f>IFERROR(__xludf.DUMMYFUNCTION("""COMPUTED_VALUE"""),2349.0)</f>
        <v>2349</v>
      </c>
      <c r="AA307" s="320">
        <f>IFERROR(__xludf.DUMMYFUNCTION("""COMPUTED_VALUE"""),62.7833)</f>
        <v>62.7833</v>
      </c>
      <c r="AB307" s="320">
        <f>IFERROR(__xludf.DUMMYFUNCTION("""COMPUTED_VALUE"""),0.8613)</f>
        <v>0.8613</v>
      </c>
      <c r="AC307" s="320">
        <f>IFERROR(__xludf.DUMMYFUNCTION("""COMPUTED_VALUE"""),82.43)</f>
        <v>82.43</v>
      </c>
      <c r="AD307" s="320">
        <f>IFERROR(__xludf.DUMMYFUNCTION("""COMPUTED_VALUE"""),30.0)</f>
        <v>30</v>
      </c>
      <c r="AE307" s="320">
        <f>IFERROR(__xludf.DUMMYFUNCTION("""COMPUTED_VALUE"""),63.0)</f>
        <v>63</v>
      </c>
      <c r="AF307" s="320">
        <f>IFERROR(__xludf.DUMMYFUNCTION("""COMPUTED_VALUE"""),116.0)</f>
        <v>116</v>
      </c>
      <c r="AG307" s="320">
        <f>IFERROR(__xludf.DUMMYFUNCTION("""COMPUTED_VALUE"""),182.0)</f>
        <v>182</v>
      </c>
      <c r="AH307" s="320">
        <f>IFERROR(__xludf.DUMMYFUNCTION("""COMPUTED_VALUE"""),42.58)</f>
        <v>42.58</v>
      </c>
      <c r="AI307" s="320">
        <f>IFERROR(__xludf.DUMMYFUNCTION("""COMPUTED_VALUE"""),10.36)</f>
        <v>10.36</v>
      </c>
      <c r="AJ307" s="320">
        <f>IFERROR(__xludf.DUMMYFUNCTION("""COMPUTED_VALUE"""),1.4)</f>
        <v>1.4</v>
      </c>
      <c r="AK307" s="320">
        <f>IFERROR(__xludf.DUMMYFUNCTION("""COMPUTED_VALUE"""),0.1232)</f>
        <v>0.1232</v>
      </c>
      <c r="AL307" s="320">
        <f>IFERROR(__xludf.DUMMYFUNCTION("""COMPUTED_VALUE"""),22.31)</f>
        <v>22.31</v>
      </c>
      <c r="AM307" s="320">
        <f>IFERROR(__xludf.DUMMYFUNCTION("""COMPUTED_VALUE"""),1001.23)</f>
        <v>1001.23</v>
      </c>
      <c r="AN307" s="320">
        <f>IFERROR(__xludf.DUMMYFUNCTION("""COMPUTED_VALUE"""),74.19)</f>
        <v>74.19</v>
      </c>
      <c r="AO307" s="320">
        <f>IFERROR(__xludf.DUMMYFUNCTION("""COMPUTED_VALUE"""),16.55)</f>
        <v>16.55</v>
      </c>
    </row>
    <row r="308" ht="15.75" customHeight="1">
      <c r="A308" s="330">
        <f>IFERROR(__xludf.DUMMYFUNCTION("""COMPUTED_VALUE"""),46101.0)</f>
        <v>46101</v>
      </c>
      <c r="B308" s="319" t="str">
        <f>IFERROR(__xludf.DUMMYFUNCTION("""COMPUTED_VALUE"""),"A. 0")</f>
        <v>A. 0</v>
      </c>
      <c r="C308" s="320">
        <f>IFERROR(__xludf.DUMMYFUNCTION("""COMPUTED_VALUE"""),14650.0)</f>
        <v>14650</v>
      </c>
      <c r="D308" s="320">
        <f>IFERROR(__xludf.DUMMYFUNCTION("""COMPUTED_VALUE"""),19.61)</f>
        <v>19.61</v>
      </c>
      <c r="E308" s="320">
        <f>IFERROR(__xludf.DUMMYFUNCTION("""COMPUTED_VALUE"""),384.02)</f>
        <v>384.02</v>
      </c>
      <c r="F308" s="320">
        <f>IFERROR(__xludf.DUMMYFUNCTION("""COMPUTED_VALUE"""),0.0262)</f>
        <v>0.0262</v>
      </c>
      <c r="G308" s="320">
        <f>IFERROR(__xludf.DUMMYFUNCTION("""COMPUTED_VALUE"""),0.45)</f>
        <v>0.45</v>
      </c>
      <c r="H308" s="320">
        <f>IFERROR(__xludf.DUMMYFUNCTION("""COMPUTED_VALUE"""),5.8185)</f>
        <v>5.8185</v>
      </c>
      <c r="I308" s="320">
        <f>IFERROR(__xludf.DUMMYFUNCTION("""COMPUTED_VALUE"""),5.63)</f>
        <v>5.63</v>
      </c>
      <c r="J308" s="320">
        <f>IFERROR(__xludf.DUMMYFUNCTION("""COMPUTED_VALUE"""),2.39)</f>
        <v>2.39</v>
      </c>
      <c r="K308" s="320">
        <f>IFERROR(__xludf.DUMMYFUNCTION("""COMPUTED_VALUE"""),0.04)</f>
        <v>0.04</v>
      </c>
      <c r="L308" s="320">
        <f>IFERROR(__xludf.DUMMYFUNCTION("""COMPUTED_VALUE"""),0.016)</f>
        <v>0.016</v>
      </c>
      <c r="M308" s="320">
        <f>IFERROR(__xludf.DUMMYFUNCTION("""COMPUTED_VALUE"""),0.9855)</f>
        <v>0.9855</v>
      </c>
      <c r="N308" s="320">
        <f>IFERROR(__xludf.DUMMYFUNCTION("""COMPUTED_VALUE"""),0.8222)</f>
        <v>0.8222</v>
      </c>
      <c r="O308" s="320">
        <f>IFERROR(__xludf.DUMMYFUNCTION("""COMPUTED_VALUE"""),62.6852)</f>
        <v>62.6852</v>
      </c>
      <c r="P308" s="320">
        <f>IFERROR(__xludf.DUMMYFUNCTION("""COMPUTED_VALUE"""),31.92)</f>
        <v>31.92</v>
      </c>
      <c r="Q308" s="320">
        <f>IFERROR(__xludf.DUMMYFUNCTION("""COMPUTED_VALUE"""),31.86)</f>
        <v>31.86</v>
      </c>
      <c r="R308" s="320">
        <f>IFERROR(__xludf.DUMMYFUNCTION("""COMPUTED_VALUE"""),0.06)</f>
        <v>0.06</v>
      </c>
      <c r="S308" s="320">
        <f>IFERROR(__xludf.DUMMYFUNCTION("""COMPUTED_VALUE"""),1.95)</f>
        <v>1.95</v>
      </c>
      <c r="T308" s="320">
        <f>IFERROR(__xludf.DUMMYFUNCTION("""COMPUTED_VALUE"""),29.97)</f>
        <v>29.97</v>
      </c>
      <c r="U308" s="320">
        <f>IFERROR(__xludf.DUMMYFUNCTION("""COMPUTED_VALUE"""),1.84)</f>
        <v>1.84</v>
      </c>
      <c r="V308" s="320">
        <f>IFERROR(__xludf.DUMMYFUNCTION("""COMPUTED_VALUE"""),0.7691)</f>
        <v>0.7691</v>
      </c>
      <c r="W308" s="320">
        <f>IFERROR(__xludf.DUMMYFUNCTION("""COMPUTED_VALUE"""),6.1)</f>
        <v>6.1</v>
      </c>
      <c r="X308" s="320">
        <f>IFERROR(__xludf.DUMMYFUNCTION("""COMPUTED_VALUE"""),186.0)</f>
        <v>186</v>
      </c>
      <c r="Y308" s="320">
        <f>IFERROR(__xludf.DUMMYFUNCTION("""COMPUTED_VALUE"""),1356.0)</f>
        <v>1356</v>
      </c>
      <c r="Z308" s="320">
        <f>IFERROR(__xludf.DUMMYFUNCTION("""COMPUTED_VALUE"""),8094.0)</f>
        <v>8094</v>
      </c>
      <c r="AA308" s="320">
        <f>IFERROR(__xludf.DUMMYFUNCTION("""COMPUTED_VALUE"""),49.9693)</f>
        <v>49.9693</v>
      </c>
      <c r="AB308" s="320">
        <f>IFERROR(__xludf.DUMMYFUNCTION("""COMPUTED_VALUE"""),0.5242)</f>
        <v>0.5242</v>
      </c>
      <c r="AC308" s="106"/>
      <c r="AD308" s="106"/>
      <c r="AE308" s="106"/>
      <c r="AF308" s="106"/>
      <c r="AG308" s="106"/>
      <c r="AH308" s="320">
        <f>IFERROR(__xludf.DUMMYFUNCTION("""COMPUTED_VALUE"""),0.0)</f>
        <v>0</v>
      </c>
      <c r="AI308" s="320">
        <f>IFERROR(__xludf.DUMMYFUNCTION("""COMPUTED_VALUE"""),0.0)</f>
        <v>0</v>
      </c>
      <c r="AJ308" s="320">
        <f>IFERROR(__xludf.DUMMYFUNCTION("""COMPUTED_VALUE"""),0.0)</f>
        <v>0</v>
      </c>
      <c r="AK308" s="320">
        <f>IFERROR(__xludf.DUMMYFUNCTION("""COMPUTED_VALUE"""),0.2882)</f>
        <v>0.2882</v>
      </c>
      <c r="AL308" s="320">
        <f>IFERROR(__xludf.DUMMYFUNCTION("""COMPUTED_VALUE"""),17.57)</f>
        <v>17.57</v>
      </c>
      <c r="AM308" s="320">
        <f>IFERROR(__xludf.DUMMYFUNCTION("""COMPUTED_VALUE"""),14.29)</f>
        <v>14.29</v>
      </c>
      <c r="AN308" s="331"/>
      <c r="AO308" s="331"/>
    </row>
    <row r="309" ht="15.75" customHeight="1">
      <c r="A309" s="330">
        <f>IFERROR(__xludf.DUMMYFUNCTION("""COMPUTED_VALUE"""),46101.0)</f>
        <v>46101</v>
      </c>
      <c r="B309" s="319" t="str">
        <f>IFERROR(__xludf.DUMMYFUNCTION("""COMPUTED_VALUE"""),"B. 1-9")</f>
        <v>B. 1-9</v>
      </c>
      <c r="C309" s="320">
        <f>IFERROR(__xludf.DUMMYFUNCTION("""COMPUTED_VALUE"""),32971.0)</f>
        <v>32971</v>
      </c>
      <c r="D309" s="320">
        <f>IFERROR(__xludf.DUMMYFUNCTION("""COMPUTED_VALUE"""),44.12)</f>
        <v>44.12</v>
      </c>
      <c r="E309" s="320">
        <f>IFERROR(__xludf.DUMMYFUNCTION("""COMPUTED_VALUE"""),8223.47)</f>
        <v>8223.47</v>
      </c>
      <c r="F309" s="320">
        <f>IFERROR(__xludf.DUMMYFUNCTION("""COMPUTED_VALUE"""),0.2494)</f>
        <v>0.2494</v>
      </c>
      <c r="G309" s="320">
        <f>IFERROR(__xludf.DUMMYFUNCTION("""COMPUTED_VALUE"""),7.13)</f>
        <v>7.13</v>
      </c>
      <c r="H309" s="320">
        <f>IFERROR(__xludf.DUMMYFUNCTION("""COMPUTED_VALUE"""),3.4964)</f>
        <v>3.4964</v>
      </c>
      <c r="I309" s="320">
        <f>IFERROR(__xludf.DUMMYFUNCTION("""COMPUTED_VALUE"""),34.04)</f>
        <v>34.04</v>
      </c>
      <c r="J309" s="320">
        <f>IFERROR(__xludf.DUMMYFUNCTION("""COMPUTED_VALUE"""),18.26)</f>
        <v>18.26</v>
      </c>
      <c r="K309" s="320">
        <f>IFERROR(__xludf.DUMMYFUNCTION("""COMPUTED_VALUE"""),5.69)</f>
        <v>5.69</v>
      </c>
      <c r="L309" s="320">
        <f>IFERROR(__xludf.DUMMYFUNCTION("""COMPUTED_VALUE"""),0.3118)</f>
        <v>0.3118</v>
      </c>
      <c r="M309" s="320">
        <f>IFERROR(__xludf.DUMMYFUNCTION("""COMPUTED_VALUE"""),0.7572)</f>
        <v>0.7572</v>
      </c>
      <c r="N309" s="320">
        <f>IFERROR(__xludf.DUMMYFUNCTION("""COMPUTED_VALUE"""),0.5086)</f>
        <v>0.5086</v>
      </c>
      <c r="O309" s="320">
        <f>IFERROR(__xludf.DUMMYFUNCTION("""COMPUTED_VALUE"""),3.2076)</f>
        <v>3.2076</v>
      </c>
      <c r="P309" s="320">
        <f>IFERROR(__xludf.DUMMYFUNCTION("""COMPUTED_VALUE"""),88.05)</f>
        <v>88.05</v>
      </c>
      <c r="Q309" s="320">
        <f>IFERROR(__xludf.DUMMYFUNCTION("""COMPUTED_VALUE"""),76.2)</f>
        <v>76.2</v>
      </c>
      <c r="R309" s="320">
        <f>IFERROR(__xludf.DUMMYFUNCTION("""COMPUTED_VALUE"""),11.85)</f>
        <v>11.85</v>
      </c>
      <c r="S309" s="320">
        <f>IFERROR(__xludf.DUMMYFUNCTION("""COMPUTED_VALUE"""),18.02)</f>
        <v>18.02</v>
      </c>
      <c r="T309" s="320">
        <f>IFERROR(__xludf.DUMMYFUNCTION("""COMPUTED_VALUE"""),70.02)</f>
        <v>70.02</v>
      </c>
      <c r="U309" s="320">
        <f>IFERROR(__xludf.DUMMYFUNCTION("""COMPUTED_VALUE"""),82.13)</f>
        <v>82.13</v>
      </c>
      <c r="V309" s="320">
        <f>IFERROR(__xludf.DUMMYFUNCTION("""COMPUTED_VALUE"""),4.498)</f>
        <v>4.498</v>
      </c>
      <c r="W309" s="320">
        <f>IFERROR(__xludf.DUMMYFUNCTION("""COMPUTED_VALUE"""),20.47)</f>
        <v>20.47</v>
      </c>
      <c r="X309" s="320">
        <f>IFERROR(__xludf.DUMMYFUNCTION("""COMPUTED_VALUE"""),87.0)</f>
        <v>87</v>
      </c>
      <c r="Y309" s="320">
        <f>IFERROR(__xludf.DUMMYFUNCTION("""COMPUTED_VALUE"""),212.0)</f>
        <v>212</v>
      </c>
      <c r="Z309" s="320">
        <f>IFERROR(__xludf.DUMMYFUNCTION("""COMPUTED_VALUE"""),837.0)</f>
        <v>837</v>
      </c>
      <c r="AA309" s="320">
        <f>IFERROR(__xludf.DUMMYFUNCTION("""COMPUTED_VALUE"""),49.4116)</f>
        <v>49.4116</v>
      </c>
      <c r="AB309" s="320">
        <f>IFERROR(__xludf.DUMMYFUNCTION("""COMPUTED_VALUE"""),0.4381)</f>
        <v>0.4381</v>
      </c>
      <c r="AC309" s="320">
        <f>IFERROR(__xludf.DUMMYFUNCTION("""COMPUTED_VALUE"""),3.7)</f>
        <v>3.7</v>
      </c>
      <c r="AD309" s="320">
        <f>IFERROR(__xludf.DUMMYFUNCTION("""COMPUTED_VALUE"""),1.0)</f>
        <v>1</v>
      </c>
      <c r="AE309" s="320">
        <f>IFERROR(__xludf.DUMMYFUNCTION("""COMPUTED_VALUE"""),2.0)</f>
        <v>2</v>
      </c>
      <c r="AF309" s="320">
        <f>IFERROR(__xludf.DUMMYFUNCTION("""COMPUTED_VALUE"""),5.0)</f>
        <v>5</v>
      </c>
      <c r="AG309" s="320">
        <f>IFERROR(__xludf.DUMMYFUNCTION("""COMPUTED_VALUE"""),8.0)</f>
        <v>8</v>
      </c>
      <c r="AH309" s="320">
        <f>IFERROR(__xludf.DUMMYFUNCTION("""COMPUTED_VALUE"""),69.09)</f>
        <v>69.09</v>
      </c>
      <c r="AI309" s="320">
        <f>IFERROR(__xludf.DUMMYFUNCTION("""COMPUTED_VALUE"""),26.97)</f>
        <v>26.97</v>
      </c>
      <c r="AJ309" s="320">
        <f>IFERROR(__xludf.DUMMYFUNCTION("""COMPUTED_VALUE"""),7.46)</f>
        <v>7.46</v>
      </c>
      <c r="AK309" s="320">
        <f>IFERROR(__xludf.DUMMYFUNCTION("""COMPUTED_VALUE"""),0.2313)</f>
        <v>0.2313</v>
      </c>
      <c r="AL309" s="320">
        <f>IFERROR(__xludf.DUMMYFUNCTION("""COMPUTED_VALUE"""),21.58)</f>
        <v>21.58</v>
      </c>
      <c r="AM309" s="320">
        <f>IFERROR(__xludf.DUMMYFUNCTION("""COMPUTED_VALUE"""),54.62)</f>
        <v>54.62</v>
      </c>
      <c r="AN309" s="320">
        <f>IFERROR(__xludf.DUMMYFUNCTION("""COMPUTED_VALUE"""),69.01)</f>
        <v>69.01</v>
      </c>
      <c r="AO309" s="320">
        <f>IFERROR(__xludf.DUMMYFUNCTION("""COMPUTED_VALUE"""),14.89)</f>
        <v>14.89</v>
      </c>
    </row>
    <row r="310" ht="15.75" customHeight="1">
      <c r="A310" s="330">
        <f>IFERROR(__xludf.DUMMYFUNCTION("""COMPUTED_VALUE"""),46101.0)</f>
        <v>46101</v>
      </c>
      <c r="B310" s="319" t="str">
        <f>IFERROR(__xludf.DUMMYFUNCTION("""COMPUTED_VALUE"""),"C. 10-19")</f>
        <v>C. 10-19</v>
      </c>
      <c r="C310" s="320">
        <f>IFERROR(__xludf.DUMMYFUNCTION("""COMPUTED_VALUE"""),15352.0)</f>
        <v>15352</v>
      </c>
      <c r="D310" s="320">
        <f>IFERROR(__xludf.DUMMYFUNCTION("""COMPUTED_VALUE"""),20.55)</f>
        <v>20.55</v>
      </c>
      <c r="E310" s="320">
        <f>IFERROR(__xludf.DUMMYFUNCTION("""COMPUTED_VALUE"""),16437.19)</f>
        <v>16437.19</v>
      </c>
      <c r="F310" s="320">
        <f>IFERROR(__xludf.DUMMYFUNCTION("""COMPUTED_VALUE"""),1.0707)</f>
        <v>1.0707</v>
      </c>
      <c r="G310" s="320">
        <f>IFERROR(__xludf.DUMMYFUNCTION("""COMPUTED_VALUE"""),21.64)</f>
        <v>21.64</v>
      </c>
      <c r="H310" s="320">
        <f>IFERROR(__xludf.DUMMYFUNCTION("""COMPUTED_VALUE"""),4.948)</f>
        <v>4.948</v>
      </c>
      <c r="I310" s="320">
        <f>IFERROR(__xludf.DUMMYFUNCTION("""COMPUTED_VALUE"""),61.07)</f>
        <v>61.07</v>
      </c>
      <c r="J310" s="320">
        <f>IFERROR(__xludf.DUMMYFUNCTION("""COMPUTED_VALUE"""),35.08)</f>
        <v>35.08</v>
      </c>
      <c r="K310" s="320">
        <f>IFERROR(__xludf.DUMMYFUNCTION("""COMPUTED_VALUE"""),14.41)</f>
        <v>14.41</v>
      </c>
      <c r="L310" s="320">
        <f>IFERROR(__xludf.DUMMYFUNCTION("""COMPUTED_VALUE"""),0.4108)</f>
        <v>0.4108</v>
      </c>
      <c r="M310" s="320">
        <f>IFERROR(__xludf.DUMMYFUNCTION("""COMPUTED_VALUE"""),0.6525)</f>
        <v>0.6525</v>
      </c>
      <c r="N310" s="320">
        <f>IFERROR(__xludf.DUMMYFUNCTION("""COMPUTED_VALUE"""),0.3771)</f>
        <v>0.3771</v>
      </c>
      <c r="O310" s="320">
        <f>IFERROR(__xludf.DUMMYFUNCTION("""COMPUTED_VALUE"""),2.4343)</f>
        <v>2.4343</v>
      </c>
      <c r="P310" s="320">
        <f>IFERROR(__xludf.DUMMYFUNCTION("""COMPUTED_VALUE"""),189.28)</f>
        <v>189.28</v>
      </c>
      <c r="Q310" s="320">
        <f>IFERROR(__xludf.DUMMYFUNCTION("""COMPUTED_VALUE"""),159.21)</f>
        <v>159.21</v>
      </c>
      <c r="R310" s="320">
        <f>IFERROR(__xludf.DUMMYFUNCTION("""COMPUTED_VALUE"""),30.07)</f>
        <v>30.07</v>
      </c>
      <c r="S310" s="320">
        <f>IFERROR(__xludf.DUMMYFUNCTION("""COMPUTED_VALUE"""),73.9)</f>
        <v>73.9</v>
      </c>
      <c r="T310" s="320">
        <f>IFERROR(__xludf.DUMMYFUNCTION("""COMPUTED_VALUE"""),115.38)</f>
        <v>115.38</v>
      </c>
      <c r="U310" s="320">
        <f>IFERROR(__xludf.DUMMYFUNCTION("""COMPUTED_VALUE"""),186.09)</f>
        <v>186.09</v>
      </c>
      <c r="V310" s="320">
        <f>IFERROR(__xludf.DUMMYFUNCTION("""COMPUTED_VALUE"""),5.305)</f>
        <v>5.305</v>
      </c>
      <c r="W310" s="320">
        <f>IFERROR(__xludf.DUMMYFUNCTION("""COMPUTED_VALUE"""),39.04)</f>
        <v>39.04</v>
      </c>
      <c r="X310" s="320">
        <f>IFERROR(__xludf.DUMMYFUNCTION("""COMPUTED_VALUE"""),84.0)</f>
        <v>84</v>
      </c>
      <c r="Y310" s="320">
        <f>IFERROR(__xludf.DUMMYFUNCTION("""COMPUTED_VALUE"""),197.0)</f>
        <v>197</v>
      </c>
      <c r="Z310" s="320">
        <f>IFERROR(__xludf.DUMMYFUNCTION("""COMPUTED_VALUE"""),574.0)</f>
        <v>574</v>
      </c>
      <c r="AA310" s="320">
        <f>IFERROR(__xludf.DUMMYFUNCTION("""COMPUTED_VALUE"""),52.3254)</f>
        <v>52.3254</v>
      </c>
      <c r="AB310" s="320">
        <f>IFERROR(__xludf.DUMMYFUNCTION("""COMPUTED_VALUE"""),0.5415)</f>
        <v>0.5415</v>
      </c>
      <c r="AC310" s="320">
        <f>IFERROR(__xludf.DUMMYFUNCTION("""COMPUTED_VALUE"""),9.1)</f>
        <v>9.1</v>
      </c>
      <c r="AD310" s="320">
        <f>IFERROR(__xludf.DUMMYFUNCTION("""COMPUTED_VALUE"""),3.0)</f>
        <v>3</v>
      </c>
      <c r="AE310" s="320">
        <f>IFERROR(__xludf.DUMMYFUNCTION("""COMPUTED_VALUE"""),7.0)</f>
        <v>7</v>
      </c>
      <c r="AF310" s="320">
        <f>IFERROR(__xludf.DUMMYFUNCTION("""COMPUTED_VALUE"""),13.0)</f>
        <v>13</v>
      </c>
      <c r="AG310" s="320">
        <f>IFERROR(__xludf.DUMMYFUNCTION("""COMPUTED_VALUE"""),20.0)</f>
        <v>20</v>
      </c>
      <c r="AH310" s="320">
        <f>IFERROR(__xludf.DUMMYFUNCTION("""COMPUTED_VALUE"""),56.94)</f>
        <v>56.94</v>
      </c>
      <c r="AI310" s="320">
        <f>IFERROR(__xludf.DUMMYFUNCTION("""COMPUTED_VALUE"""),25.22)</f>
        <v>25.22</v>
      </c>
      <c r="AJ310" s="320">
        <f>IFERROR(__xludf.DUMMYFUNCTION("""COMPUTED_VALUE"""),4.57)</f>
        <v>4.57</v>
      </c>
      <c r="AK310" s="320">
        <f>IFERROR(__xludf.DUMMYFUNCTION("""COMPUTED_VALUE"""),0.2084)</f>
        <v>0.2084</v>
      </c>
      <c r="AL310" s="320">
        <f>IFERROR(__xludf.DUMMYFUNCTION("""COMPUTED_VALUE"""),21.65)</f>
        <v>21.65</v>
      </c>
      <c r="AM310" s="320">
        <f>IFERROR(__xludf.DUMMYFUNCTION("""COMPUTED_VALUE"""),137.57)</f>
        <v>137.57</v>
      </c>
      <c r="AN310" s="320">
        <f>IFERROR(__xludf.DUMMYFUNCTION("""COMPUTED_VALUE"""),74.24)</f>
        <v>74.24</v>
      </c>
      <c r="AO310" s="320">
        <f>IFERROR(__xludf.DUMMYFUNCTION("""COMPUTED_VALUE"""),16.07)</f>
        <v>16.07</v>
      </c>
    </row>
    <row r="311" ht="15.75" customHeight="1">
      <c r="A311" s="330">
        <f>IFERROR(__xludf.DUMMYFUNCTION("""COMPUTED_VALUE"""),46101.0)</f>
        <v>46101</v>
      </c>
      <c r="B311" s="319" t="str">
        <f>IFERROR(__xludf.DUMMYFUNCTION("""COMPUTED_VALUE"""),"D. 20-39")</f>
        <v>D. 20-39</v>
      </c>
      <c r="C311" s="320">
        <f>IFERROR(__xludf.DUMMYFUNCTION("""COMPUTED_VALUE"""),8285.0)</f>
        <v>8285</v>
      </c>
      <c r="D311" s="320">
        <f>IFERROR(__xludf.DUMMYFUNCTION("""COMPUTED_VALUE"""),11.09)</f>
        <v>11.09</v>
      </c>
      <c r="E311" s="320">
        <f>IFERROR(__xludf.DUMMYFUNCTION("""COMPUTED_VALUE"""),21185.16)</f>
        <v>21185.16</v>
      </c>
      <c r="F311" s="320">
        <f>IFERROR(__xludf.DUMMYFUNCTION("""COMPUTED_VALUE"""),2.5571)</f>
        <v>2.5571</v>
      </c>
      <c r="G311" s="320">
        <f>IFERROR(__xludf.DUMMYFUNCTION("""COMPUTED_VALUE"""),32.72)</f>
        <v>32.72</v>
      </c>
      <c r="H311" s="320">
        <f>IFERROR(__xludf.DUMMYFUNCTION("""COMPUTED_VALUE"""),7.8145)</f>
        <v>7.8145</v>
      </c>
      <c r="I311" s="320">
        <f>IFERROR(__xludf.DUMMYFUNCTION("""COMPUTED_VALUE"""),83.21)</f>
        <v>83.21</v>
      </c>
      <c r="J311" s="320">
        <f>IFERROR(__xludf.DUMMYFUNCTION("""COMPUTED_VALUE"""),49.7)</f>
        <v>49.7</v>
      </c>
      <c r="K311" s="320">
        <f>IFERROR(__xludf.DUMMYFUNCTION("""COMPUTED_VALUE"""),26.04)</f>
        <v>26.04</v>
      </c>
      <c r="L311" s="320">
        <f>IFERROR(__xludf.DUMMYFUNCTION("""COMPUTED_VALUE"""),0.5239)</f>
        <v>0.5239</v>
      </c>
      <c r="M311" s="320">
        <f>IFERROR(__xludf.DUMMYFUNCTION("""COMPUTED_VALUE"""),0.5476)</f>
        <v>0.5476</v>
      </c>
      <c r="N311" s="320">
        <f>IFERROR(__xludf.DUMMYFUNCTION("""COMPUTED_VALUE"""),0.3031)</f>
        <v>0.3031</v>
      </c>
      <c r="O311" s="320">
        <f>IFERROR(__xludf.DUMMYFUNCTION("""COMPUTED_VALUE"""),1.9088)</f>
        <v>1.9088</v>
      </c>
      <c r="P311" s="320">
        <f>IFERROR(__xludf.DUMMYFUNCTION("""COMPUTED_VALUE"""),325.17)</f>
        <v>325.17</v>
      </c>
      <c r="Q311" s="320">
        <f>IFERROR(__xludf.DUMMYFUNCTION("""COMPUTED_VALUE"""),270.63)</f>
        <v>270.63</v>
      </c>
      <c r="R311" s="320">
        <f>IFERROR(__xludf.DUMMYFUNCTION("""COMPUTED_VALUE"""),54.54)</f>
        <v>54.54</v>
      </c>
      <c r="S311" s="320">
        <f>IFERROR(__xludf.DUMMYFUNCTION("""COMPUTED_VALUE"""),162.9)</f>
        <v>162.9</v>
      </c>
      <c r="T311" s="320">
        <f>IFERROR(__xludf.DUMMYFUNCTION("""COMPUTED_VALUE"""),162.27)</f>
        <v>162.27</v>
      </c>
      <c r="U311" s="320">
        <f>IFERROR(__xludf.DUMMYFUNCTION("""COMPUTED_VALUE"""),334.36)</f>
        <v>334.36</v>
      </c>
      <c r="V311" s="320">
        <f>IFERROR(__xludf.DUMMYFUNCTION("""COMPUTED_VALUE"""),6.7276)</f>
        <v>6.7276</v>
      </c>
      <c r="W311" s="320">
        <f>IFERROR(__xludf.DUMMYFUNCTION("""COMPUTED_VALUE"""),50.1)</f>
        <v>50.1</v>
      </c>
      <c r="X311" s="320">
        <f>IFERROR(__xludf.DUMMYFUNCTION("""COMPUTED_VALUE"""),86.0)</f>
        <v>86</v>
      </c>
      <c r="Y311" s="320">
        <f>IFERROR(__xludf.DUMMYFUNCTION("""COMPUTED_VALUE"""),214.0)</f>
        <v>214</v>
      </c>
      <c r="Z311" s="320">
        <f>IFERROR(__xludf.DUMMYFUNCTION("""COMPUTED_VALUE"""),645.0)</f>
        <v>645</v>
      </c>
      <c r="AA311" s="320">
        <f>IFERROR(__xludf.DUMMYFUNCTION("""COMPUTED_VALUE"""),54.5725)</f>
        <v>54.5725</v>
      </c>
      <c r="AB311" s="320">
        <f>IFERROR(__xludf.DUMMYFUNCTION("""COMPUTED_VALUE"""),0.6561)</f>
        <v>0.6561</v>
      </c>
      <c r="AC311" s="320">
        <f>IFERROR(__xludf.DUMMYFUNCTION("""COMPUTED_VALUE"""),16.73)</f>
        <v>16.73</v>
      </c>
      <c r="AD311" s="320">
        <f>IFERROR(__xludf.DUMMYFUNCTION("""COMPUTED_VALUE"""),6.0)</f>
        <v>6</v>
      </c>
      <c r="AE311" s="320">
        <f>IFERROR(__xludf.DUMMYFUNCTION("""COMPUTED_VALUE"""),12.0)</f>
        <v>12</v>
      </c>
      <c r="AF311" s="320">
        <f>IFERROR(__xludf.DUMMYFUNCTION("""COMPUTED_VALUE"""),23.0)</f>
        <v>23</v>
      </c>
      <c r="AG311" s="320">
        <f>IFERROR(__xludf.DUMMYFUNCTION("""COMPUTED_VALUE"""),36.0)</f>
        <v>36</v>
      </c>
      <c r="AH311" s="320">
        <f>IFERROR(__xludf.DUMMYFUNCTION("""COMPUTED_VALUE"""),55.08)</f>
        <v>55.08</v>
      </c>
      <c r="AI311" s="320">
        <f>IFERROR(__xludf.DUMMYFUNCTION("""COMPUTED_VALUE"""),21.3)</f>
        <v>21.3</v>
      </c>
      <c r="AJ311" s="320">
        <f>IFERROR(__xludf.DUMMYFUNCTION("""COMPUTED_VALUE"""),6.52)</f>
        <v>6.52</v>
      </c>
      <c r="AK311" s="320">
        <f>IFERROR(__xludf.DUMMYFUNCTION("""COMPUTED_VALUE"""),0.2097)</f>
        <v>0.2097</v>
      </c>
      <c r="AL311" s="320">
        <f>IFERROR(__xludf.DUMMYFUNCTION("""COMPUTED_VALUE"""),20.68)</f>
        <v>20.68</v>
      </c>
      <c r="AM311" s="320">
        <f>IFERROR(__xludf.DUMMYFUNCTION("""COMPUTED_VALUE"""),249.95)</f>
        <v>249.95</v>
      </c>
      <c r="AN311" s="320">
        <f>IFERROR(__xludf.DUMMYFUNCTION("""COMPUTED_VALUE"""),75.15)</f>
        <v>75.15</v>
      </c>
      <c r="AO311" s="320">
        <f>IFERROR(__xludf.DUMMYFUNCTION("""COMPUTED_VALUE"""),15.54)</f>
        <v>15.54</v>
      </c>
    </row>
    <row r="312" ht="15.75" customHeight="1">
      <c r="A312" s="330">
        <f>IFERROR(__xludf.DUMMYFUNCTION("""COMPUTED_VALUE"""),46101.0)</f>
        <v>46101</v>
      </c>
      <c r="B312" s="319" t="str">
        <f>IFERROR(__xludf.DUMMYFUNCTION("""COMPUTED_VALUE"""),"E. 40-99")</f>
        <v>E. 40-99</v>
      </c>
      <c r="C312" s="320">
        <f>IFERROR(__xludf.DUMMYFUNCTION("""COMPUTED_VALUE"""),3090.0)</f>
        <v>3090</v>
      </c>
      <c r="D312" s="320">
        <f>IFERROR(__xludf.DUMMYFUNCTION("""COMPUTED_VALUE"""),4.14)</f>
        <v>4.14</v>
      </c>
      <c r="E312" s="320">
        <f>IFERROR(__xludf.DUMMYFUNCTION("""COMPUTED_VALUE"""),19115.29)</f>
        <v>19115.29</v>
      </c>
      <c r="F312" s="320">
        <f>IFERROR(__xludf.DUMMYFUNCTION("""COMPUTED_VALUE"""),6.1862)</f>
        <v>6.1862</v>
      </c>
      <c r="G312" s="320">
        <f>IFERROR(__xludf.DUMMYFUNCTION("""COMPUTED_VALUE"""),43.46)</f>
        <v>43.46</v>
      </c>
      <c r="H312" s="320">
        <f>IFERROR(__xludf.DUMMYFUNCTION("""COMPUTED_VALUE"""),14.2333)</f>
        <v>14.2333</v>
      </c>
      <c r="I312" s="320">
        <f>IFERROR(__xludf.DUMMYFUNCTION("""COMPUTED_VALUE"""),134.39)</f>
        <v>134.39</v>
      </c>
      <c r="J312" s="320">
        <f>IFERROR(__xludf.DUMMYFUNCTION("""COMPUTED_VALUE"""),81.99)</f>
        <v>81.99</v>
      </c>
      <c r="K312" s="320">
        <f>IFERROR(__xludf.DUMMYFUNCTION("""COMPUTED_VALUE"""),53.63)</f>
        <v>53.63</v>
      </c>
      <c r="L312" s="320">
        <f>IFERROR(__xludf.DUMMYFUNCTION("""COMPUTED_VALUE"""),0.6542)</f>
        <v>0.6542</v>
      </c>
      <c r="M312" s="320">
        <f>IFERROR(__xludf.DUMMYFUNCTION("""COMPUTED_VALUE"""),0.4307)</f>
        <v>0.4307</v>
      </c>
      <c r="N312" s="320">
        <f>IFERROR(__xludf.DUMMYFUNCTION("""COMPUTED_VALUE"""),0.2451)</f>
        <v>0.2451</v>
      </c>
      <c r="O312" s="320">
        <f>IFERROR(__xludf.DUMMYFUNCTION("""COMPUTED_VALUE"""),1.5287)</f>
        <v>1.5287</v>
      </c>
      <c r="P312" s="320">
        <f>IFERROR(__xludf.DUMMYFUNCTION("""COMPUTED_VALUE"""),652.99)</f>
        <v>652.99</v>
      </c>
      <c r="Q312" s="320">
        <f>IFERROR(__xludf.DUMMYFUNCTION("""COMPUTED_VALUE"""),540.02)</f>
        <v>540.02</v>
      </c>
      <c r="R312" s="320">
        <f>IFERROR(__xludf.DUMMYFUNCTION("""COMPUTED_VALUE"""),112.97)</f>
        <v>112.97</v>
      </c>
      <c r="S312" s="320">
        <f>IFERROR(__xludf.DUMMYFUNCTION("""COMPUTED_VALUE"""),389.03)</f>
        <v>389.03</v>
      </c>
      <c r="T312" s="320">
        <f>IFERROR(__xludf.DUMMYFUNCTION("""COMPUTED_VALUE"""),263.96)</f>
        <v>263.96</v>
      </c>
      <c r="U312" s="320">
        <f>IFERROR(__xludf.DUMMYFUNCTION("""COMPUTED_VALUE"""),683.98)</f>
        <v>683.98</v>
      </c>
      <c r="V312" s="320">
        <f>IFERROR(__xludf.DUMMYFUNCTION("""COMPUTED_VALUE"""),8.3422)</f>
        <v>8.3422</v>
      </c>
      <c r="W312" s="320">
        <f>IFERROR(__xludf.DUMMYFUNCTION("""COMPUTED_VALUE"""),59.58)</f>
        <v>59.58</v>
      </c>
      <c r="X312" s="320">
        <f>IFERROR(__xludf.DUMMYFUNCTION("""COMPUTED_VALUE"""),94.0)</f>
        <v>94</v>
      </c>
      <c r="Y312" s="320">
        <f>IFERROR(__xludf.DUMMYFUNCTION("""COMPUTED_VALUE"""),281.0)</f>
        <v>281</v>
      </c>
      <c r="Z312" s="320">
        <f>IFERROR(__xludf.DUMMYFUNCTION("""COMPUTED_VALUE"""),874.0)</f>
        <v>874</v>
      </c>
      <c r="AA312" s="320">
        <f>IFERROR(__xludf.DUMMYFUNCTION("""COMPUTED_VALUE"""),57.8408)</f>
        <v>57.8408</v>
      </c>
      <c r="AB312" s="320">
        <f>IFERROR(__xludf.DUMMYFUNCTION("""COMPUTED_VALUE"""),0.7609)</f>
        <v>0.7609</v>
      </c>
      <c r="AC312" s="320">
        <f>IFERROR(__xludf.DUMMYFUNCTION("""COMPUTED_VALUE"""),34.17)</f>
        <v>34.17</v>
      </c>
      <c r="AD312" s="320">
        <f>IFERROR(__xludf.DUMMYFUNCTION("""COMPUTED_VALUE"""),11.0)</f>
        <v>11</v>
      </c>
      <c r="AE312" s="320">
        <f>IFERROR(__xludf.DUMMYFUNCTION("""COMPUTED_VALUE"""),26.0)</f>
        <v>26</v>
      </c>
      <c r="AF312" s="320">
        <f>IFERROR(__xludf.DUMMYFUNCTION("""COMPUTED_VALUE"""),48.0)</f>
        <v>48</v>
      </c>
      <c r="AG312" s="320">
        <f>IFERROR(__xludf.DUMMYFUNCTION("""COMPUTED_VALUE"""),73.0)</f>
        <v>73</v>
      </c>
      <c r="AH312" s="320">
        <f>IFERROR(__xludf.DUMMYFUNCTION("""COMPUTED_VALUE"""),47.02)</f>
        <v>47.02</v>
      </c>
      <c r="AI312" s="320">
        <f>IFERROR(__xludf.DUMMYFUNCTION("""COMPUTED_VALUE"""),16.31)</f>
        <v>16.31</v>
      </c>
      <c r="AJ312" s="320">
        <f>IFERROR(__xludf.DUMMYFUNCTION("""COMPUTED_VALUE"""),4.4)</f>
        <v>4.4</v>
      </c>
      <c r="AK312" s="320">
        <f>IFERROR(__xludf.DUMMYFUNCTION("""COMPUTED_VALUE"""),0.1896)</f>
        <v>0.1896</v>
      </c>
      <c r="AL312" s="320">
        <f>IFERROR(__xludf.DUMMYFUNCTION("""COMPUTED_VALUE"""),20.82)</f>
        <v>20.82</v>
      </c>
      <c r="AM312" s="320">
        <f>IFERROR(__xludf.DUMMYFUNCTION("""COMPUTED_VALUE"""),519.2)</f>
        <v>519.2</v>
      </c>
      <c r="AN312" s="320">
        <f>IFERROR(__xludf.DUMMYFUNCTION("""COMPUTED_VALUE"""),75.42)</f>
        <v>75.42</v>
      </c>
      <c r="AO312" s="320">
        <f>IFERROR(__xludf.DUMMYFUNCTION("""COMPUTED_VALUE"""),15.7)</f>
        <v>15.7</v>
      </c>
    </row>
    <row r="313" ht="15.75" customHeight="1">
      <c r="A313" s="330">
        <f>IFERROR(__xludf.DUMMYFUNCTION("""COMPUTED_VALUE"""),46101.0)</f>
        <v>46101</v>
      </c>
      <c r="B313" s="319" t="str">
        <f>IFERROR(__xludf.DUMMYFUNCTION("""COMPUTED_VALUE"""),"F. 100+")</f>
        <v>F. 100+</v>
      </c>
      <c r="C313" s="320">
        <f>IFERROR(__xludf.DUMMYFUNCTION("""COMPUTED_VALUE"""),375.0)</f>
        <v>375</v>
      </c>
      <c r="D313" s="320">
        <f>IFERROR(__xludf.DUMMYFUNCTION("""COMPUTED_VALUE"""),0.5)</f>
        <v>0.5</v>
      </c>
      <c r="E313" s="320">
        <f>IFERROR(__xludf.DUMMYFUNCTION("""COMPUTED_VALUE"""),4075.77)</f>
        <v>4075.77</v>
      </c>
      <c r="F313" s="320">
        <f>IFERROR(__xludf.DUMMYFUNCTION("""COMPUTED_VALUE"""),10.8687)</f>
        <v>10.8687</v>
      </c>
      <c r="G313" s="320">
        <f>IFERROR(__xludf.DUMMYFUNCTION("""COMPUTED_VALUE"""),48.0)</f>
        <v>48</v>
      </c>
      <c r="H313" s="320">
        <f>IFERROR(__xludf.DUMMYFUNCTION("""COMPUTED_VALUE"""),22.6432)</f>
        <v>22.6432</v>
      </c>
      <c r="I313" s="320">
        <f>IFERROR(__xludf.DUMMYFUNCTION("""COMPUTED_VALUE"""),237.15)</f>
        <v>237.15</v>
      </c>
      <c r="J313" s="320">
        <f>IFERROR(__xludf.DUMMYFUNCTION("""COMPUTED_VALUE"""),152.43)</f>
        <v>152.43</v>
      </c>
      <c r="K313" s="320">
        <f>IFERROR(__xludf.DUMMYFUNCTION("""COMPUTED_VALUE"""),124.45)</f>
        <v>124.45</v>
      </c>
      <c r="L313" s="320">
        <f>IFERROR(__xludf.DUMMYFUNCTION("""COMPUTED_VALUE"""),0.8164)</f>
        <v>0.8164</v>
      </c>
      <c r="M313" s="320">
        <f>IFERROR(__xludf.DUMMYFUNCTION("""COMPUTED_VALUE"""),0.2757)</f>
        <v>0.2757</v>
      </c>
      <c r="N313" s="320">
        <f>IFERROR(__xludf.DUMMYFUNCTION("""COMPUTED_VALUE"""),0.1744)</f>
        <v>0.1744</v>
      </c>
      <c r="O313" s="320">
        <f>IFERROR(__xludf.DUMMYFUNCTION("""COMPUTED_VALUE"""),1.2249)</f>
        <v>1.2249</v>
      </c>
      <c r="P313" s="320">
        <f>IFERROR(__xludf.DUMMYFUNCTION("""COMPUTED_VALUE"""),1190.49)</f>
        <v>1190.49</v>
      </c>
      <c r="Q313" s="320">
        <f>IFERROR(__xludf.DUMMYFUNCTION("""COMPUTED_VALUE"""),927.57)</f>
        <v>927.57</v>
      </c>
      <c r="R313" s="320">
        <f>IFERROR(__xludf.DUMMYFUNCTION("""COMPUTED_VALUE"""),262.92)</f>
        <v>262.92</v>
      </c>
      <c r="S313" s="320">
        <f>IFERROR(__xludf.DUMMYFUNCTION("""COMPUTED_VALUE"""),676.23)</f>
        <v>676.23</v>
      </c>
      <c r="T313" s="320">
        <f>IFERROR(__xludf.DUMMYFUNCTION("""COMPUTED_VALUE"""),514.26)</f>
        <v>514.26</v>
      </c>
      <c r="U313" s="320">
        <f>IFERROR(__xludf.DUMMYFUNCTION("""COMPUTED_VALUE"""),1285.73)</f>
        <v>1285.73</v>
      </c>
      <c r="V313" s="320">
        <f>IFERROR(__xludf.DUMMYFUNCTION("""COMPUTED_VALUE"""),8.4347)</f>
        <v>8.4347</v>
      </c>
      <c r="W313" s="320">
        <f>IFERROR(__xludf.DUMMYFUNCTION("""COMPUTED_VALUE"""),56.8)</f>
        <v>56.8</v>
      </c>
      <c r="X313" s="320">
        <f>IFERROR(__xludf.DUMMYFUNCTION("""COMPUTED_VALUE"""),138.0)</f>
        <v>138</v>
      </c>
      <c r="Y313" s="320">
        <f>IFERROR(__xludf.DUMMYFUNCTION("""COMPUTED_VALUE"""),610.0)</f>
        <v>610</v>
      </c>
      <c r="Z313" s="320">
        <f>IFERROR(__xludf.DUMMYFUNCTION("""COMPUTED_VALUE"""),2629.0)</f>
        <v>2629</v>
      </c>
      <c r="AA313" s="320">
        <f>IFERROR(__xludf.DUMMYFUNCTION("""COMPUTED_VALUE"""),62.4894)</f>
        <v>62.4894</v>
      </c>
      <c r="AB313" s="320">
        <f>IFERROR(__xludf.DUMMYFUNCTION("""COMPUTED_VALUE"""),0.8517)</f>
        <v>0.8517</v>
      </c>
      <c r="AC313" s="320">
        <f>IFERROR(__xludf.DUMMYFUNCTION("""COMPUTED_VALUE"""),83.3)</f>
        <v>83.3</v>
      </c>
      <c r="AD313" s="320">
        <f>IFERROR(__xludf.DUMMYFUNCTION("""COMPUTED_VALUE"""),29.0)</f>
        <v>29</v>
      </c>
      <c r="AE313" s="320">
        <f>IFERROR(__xludf.DUMMYFUNCTION("""COMPUTED_VALUE"""),65.0)</f>
        <v>65</v>
      </c>
      <c r="AF313" s="320">
        <f>IFERROR(__xludf.DUMMYFUNCTION("""COMPUTED_VALUE"""),122.0)</f>
        <v>122</v>
      </c>
      <c r="AG313" s="320">
        <f>IFERROR(__xludf.DUMMYFUNCTION("""COMPUTED_VALUE"""),179.0)</f>
        <v>179</v>
      </c>
      <c r="AH313" s="320">
        <f>IFERROR(__xludf.DUMMYFUNCTION("""COMPUTED_VALUE"""),43.73)</f>
        <v>43.73</v>
      </c>
      <c r="AI313" s="320">
        <f>IFERROR(__xludf.DUMMYFUNCTION("""COMPUTED_VALUE"""),10.93)</f>
        <v>10.93</v>
      </c>
      <c r="AJ313" s="320">
        <f>IFERROR(__xludf.DUMMYFUNCTION("""COMPUTED_VALUE"""),0.8)</f>
        <v>0.8</v>
      </c>
      <c r="AK313" s="320">
        <f>IFERROR(__xludf.DUMMYFUNCTION("""COMPUTED_VALUE"""),0.176)</f>
        <v>0.176</v>
      </c>
      <c r="AL313" s="320">
        <f>IFERROR(__xludf.DUMMYFUNCTION("""COMPUTED_VALUE"""),18.48)</f>
        <v>18.48</v>
      </c>
      <c r="AM313" s="320">
        <f>IFERROR(__xludf.DUMMYFUNCTION("""COMPUTED_VALUE"""),909.09)</f>
        <v>909.09</v>
      </c>
      <c r="AN313" s="320">
        <f>IFERROR(__xludf.DUMMYFUNCTION("""COMPUTED_VALUE"""),71.01)</f>
        <v>71.01</v>
      </c>
      <c r="AO313" s="320">
        <f>IFERROR(__xludf.DUMMYFUNCTION("""COMPUTED_VALUE"""),13.12)</f>
        <v>13.12</v>
      </c>
    </row>
    <row r="314" ht="15.75" customHeight="1">
      <c r="A314" s="330">
        <f>IFERROR(__xludf.DUMMYFUNCTION("""COMPUTED_VALUE"""),46102.0)</f>
        <v>46102</v>
      </c>
      <c r="B314" s="319" t="str">
        <f>IFERROR(__xludf.DUMMYFUNCTION("""COMPUTED_VALUE"""),"A. 0")</f>
        <v>A. 0</v>
      </c>
      <c r="C314" s="320">
        <f>IFERROR(__xludf.DUMMYFUNCTION("""COMPUTED_VALUE"""),15512.0)</f>
        <v>15512</v>
      </c>
      <c r="D314" s="320">
        <f>IFERROR(__xludf.DUMMYFUNCTION("""COMPUTED_VALUE"""),20.9)</f>
        <v>20.9</v>
      </c>
      <c r="E314" s="320">
        <f>IFERROR(__xludf.DUMMYFUNCTION("""COMPUTED_VALUE"""),145.83)</f>
        <v>145.83</v>
      </c>
      <c r="F314" s="320">
        <f>IFERROR(__xludf.DUMMYFUNCTION("""COMPUTED_VALUE"""),0.0094)</f>
        <v>0.0094</v>
      </c>
      <c r="G314" s="320">
        <f>IFERROR(__xludf.DUMMYFUNCTION("""COMPUTED_VALUE"""),0.28)</f>
        <v>0.28</v>
      </c>
      <c r="H314" s="320">
        <f>IFERROR(__xludf.DUMMYFUNCTION("""COMPUTED_VALUE"""),3.3143)</f>
        <v>3.3143</v>
      </c>
      <c r="I314" s="320">
        <f>IFERROR(__xludf.DUMMYFUNCTION("""COMPUTED_VALUE"""),6.09)</f>
        <v>6.09</v>
      </c>
      <c r="J314" s="320">
        <f>IFERROR(__xludf.DUMMYFUNCTION("""COMPUTED_VALUE"""),2.73)</f>
        <v>2.73</v>
      </c>
      <c r="K314" s="320">
        <f>IFERROR(__xludf.DUMMYFUNCTION("""COMPUTED_VALUE"""),0.03)</f>
        <v>0.03</v>
      </c>
      <c r="L314" s="320">
        <f>IFERROR(__xludf.DUMMYFUNCTION("""COMPUTED_VALUE"""),0.0103)</f>
        <v>0.0103</v>
      </c>
      <c r="M314" s="320">
        <f>IFERROR(__xludf.DUMMYFUNCTION("""COMPUTED_VALUE"""),0.9906)</f>
        <v>0.9906</v>
      </c>
      <c r="N314" s="320">
        <f>IFERROR(__xludf.DUMMYFUNCTION("""COMPUTED_VALUE"""),0.8785)</f>
        <v>0.8785</v>
      </c>
      <c r="O314" s="320">
        <f>IFERROR(__xludf.DUMMYFUNCTION("""COMPUTED_VALUE"""),96.8082)</f>
        <v>96.8082</v>
      </c>
      <c r="P314" s="320">
        <f>IFERROR(__xludf.DUMMYFUNCTION("""COMPUTED_VALUE"""),27.41)</f>
        <v>27.41</v>
      </c>
      <c r="Q314" s="320">
        <f>IFERROR(__xludf.DUMMYFUNCTION("""COMPUTED_VALUE"""),27.36)</f>
        <v>27.36</v>
      </c>
      <c r="R314" s="320">
        <f>IFERROR(__xludf.DUMMYFUNCTION("""COMPUTED_VALUE"""),0.06)</f>
        <v>0.06</v>
      </c>
      <c r="S314" s="320">
        <f>IFERROR(__xludf.DUMMYFUNCTION("""COMPUTED_VALUE"""),0.77)</f>
        <v>0.77</v>
      </c>
      <c r="T314" s="320">
        <f>IFERROR(__xludf.DUMMYFUNCTION("""COMPUTED_VALUE"""),26.64)</f>
        <v>26.64</v>
      </c>
      <c r="U314" s="320">
        <f>IFERROR(__xludf.DUMMYFUNCTION("""COMPUTED_VALUE"""),2.36)</f>
        <v>2.36</v>
      </c>
      <c r="V314" s="320">
        <f>IFERROR(__xludf.DUMMYFUNCTION("""COMPUTED_VALUE"""),0.8632)</f>
        <v>0.8632</v>
      </c>
      <c r="W314" s="320">
        <f>IFERROR(__xludf.DUMMYFUNCTION("""COMPUTED_VALUE"""),2.81)</f>
        <v>2.81</v>
      </c>
      <c r="X314" s="320">
        <f>IFERROR(__xludf.DUMMYFUNCTION("""COMPUTED_VALUE"""),150.0)</f>
        <v>150</v>
      </c>
      <c r="Y314" s="320">
        <f>IFERROR(__xludf.DUMMYFUNCTION("""COMPUTED_VALUE"""),1099.0)</f>
        <v>1099</v>
      </c>
      <c r="Z314" s="320">
        <f>IFERROR(__xludf.DUMMYFUNCTION("""COMPUTED_VALUE"""),7412.0)</f>
        <v>7412</v>
      </c>
      <c r="AA314" s="320">
        <f>IFERROR(__xludf.DUMMYFUNCTION("""COMPUTED_VALUE"""),49.7798)</f>
        <v>49.7798</v>
      </c>
      <c r="AB314" s="320">
        <f>IFERROR(__xludf.DUMMYFUNCTION("""COMPUTED_VALUE"""),0.5044)</f>
        <v>0.5044</v>
      </c>
      <c r="AC314" s="106"/>
      <c r="AD314" s="106"/>
      <c r="AE314" s="106"/>
      <c r="AF314" s="106"/>
      <c r="AG314" s="106"/>
      <c r="AH314" s="320">
        <f>IFERROR(__xludf.DUMMYFUNCTION("""COMPUTED_VALUE"""),0.0)</f>
        <v>0</v>
      </c>
      <c r="AI314" s="320">
        <f>IFERROR(__xludf.DUMMYFUNCTION("""COMPUTED_VALUE"""),0.0)</f>
        <v>0</v>
      </c>
      <c r="AJ314" s="320">
        <f>IFERROR(__xludf.DUMMYFUNCTION("""COMPUTED_VALUE"""),0.0)</f>
        <v>0</v>
      </c>
      <c r="AK314" s="320">
        <f>IFERROR(__xludf.DUMMYFUNCTION("""COMPUTED_VALUE"""),0.2715)</f>
        <v>0.2715</v>
      </c>
      <c r="AL314" s="320">
        <f>IFERROR(__xludf.DUMMYFUNCTION("""COMPUTED_VALUE"""),18.02)</f>
        <v>18.02</v>
      </c>
      <c r="AM314" s="320">
        <f>IFERROR(__xludf.DUMMYFUNCTION("""COMPUTED_VALUE"""),9.33)</f>
        <v>9.33</v>
      </c>
      <c r="AN314" s="331"/>
      <c r="AO314" s="331"/>
    </row>
    <row r="315" ht="15.75" customHeight="1">
      <c r="A315" s="330">
        <f>IFERROR(__xludf.DUMMYFUNCTION("""COMPUTED_VALUE"""),46102.0)</f>
        <v>46102</v>
      </c>
      <c r="B315" s="319" t="str">
        <f>IFERROR(__xludf.DUMMYFUNCTION("""COMPUTED_VALUE"""),"B. 1-9")</f>
        <v>B. 1-9</v>
      </c>
      <c r="C315" s="320">
        <f>IFERROR(__xludf.DUMMYFUNCTION("""COMPUTED_VALUE"""),31920.0)</f>
        <v>31920</v>
      </c>
      <c r="D315" s="320">
        <f>IFERROR(__xludf.DUMMYFUNCTION("""COMPUTED_VALUE"""),43.0)</f>
        <v>43</v>
      </c>
      <c r="E315" s="320">
        <f>IFERROR(__xludf.DUMMYFUNCTION("""COMPUTED_VALUE"""),8132.65)</f>
        <v>8132.65</v>
      </c>
      <c r="F315" s="320">
        <f>IFERROR(__xludf.DUMMYFUNCTION("""COMPUTED_VALUE"""),0.2548)</f>
        <v>0.2548</v>
      </c>
      <c r="G315" s="320">
        <f>IFERROR(__xludf.DUMMYFUNCTION("""COMPUTED_VALUE"""),6.98)</f>
        <v>6.98</v>
      </c>
      <c r="H315" s="320">
        <f>IFERROR(__xludf.DUMMYFUNCTION("""COMPUTED_VALUE"""),3.6502)</f>
        <v>3.6502</v>
      </c>
      <c r="I315" s="320">
        <f>IFERROR(__xludf.DUMMYFUNCTION("""COMPUTED_VALUE"""),32.11)</f>
        <v>32.11</v>
      </c>
      <c r="J315" s="320">
        <f>IFERROR(__xludf.DUMMYFUNCTION("""COMPUTED_VALUE"""),17.23)</f>
        <v>17.23</v>
      </c>
      <c r="K315" s="320">
        <f>IFERROR(__xludf.DUMMYFUNCTION("""COMPUTED_VALUE"""),5.5)</f>
        <v>5.5</v>
      </c>
      <c r="L315" s="320">
        <f>IFERROR(__xludf.DUMMYFUNCTION("""COMPUTED_VALUE"""),0.3191)</f>
        <v>0.3191</v>
      </c>
      <c r="M315" s="320">
        <f>IFERROR(__xludf.DUMMYFUNCTION("""COMPUTED_VALUE"""),0.7521)</f>
        <v>0.7521</v>
      </c>
      <c r="N315" s="320">
        <f>IFERROR(__xludf.DUMMYFUNCTION("""COMPUTED_VALUE"""),0.5068)</f>
        <v>0.5068</v>
      </c>
      <c r="O315" s="320">
        <f>IFERROR(__xludf.DUMMYFUNCTION("""COMPUTED_VALUE"""),3.1342)</f>
        <v>3.1342</v>
      </c>
      <c r="P315" s="320">
        <f>IFERROR(__xludf.DUMMYFUNCTION("""COMPUTED_VALUE"""),75.75)</f>
        <v>75.75</v>
      </c>
      <c r="Q315" s="320">
        <f>IFERROR(__xludf.DUMMYFUNCTION("""COMPUTED_VALUE"""),64.51)</f>
        <v>64.51</v>
      </c>
      <c r="R315" s="320">
        <f>IFERROR(__xludf.DUMMYFUNCTION("""COMPUTED_VALUE"""),11.24)</f>
        <v>11.24</v>
      </c>
      <c r="S315" s="320">
        <f>IFERROR(__xludf.DUMMYFUNCTION("""COMPUTED_VALUE"""),18.2)</f>
        <v>18.2</v>
      </c>
      <c r="T315" s="320">
        <f>IFERROR(__xludf.DUMMYFUNCTION("""COMPUTED_VALUE"""),57.56)</f>
        <v>57.56</v>
      </c>
      <c r="U315" s="320">
        <f>IFERROR(__xludf.DUMMYFUNCTION("""COMPUTED_VALUE"""),79.26)</f>
        <v>79.26</v>
      </c>
      <c r="V315" s="320">
        <f>IFERROR(__xludf.DUMMYFUNCTION("""COMPUTED_VALUE"""),4.6006)</f>
        <v>4.6006</v>
      </c>
      <c r="W315" s="320">
        <f>IFERROR(__xludf.DUMMYFUNCTION("""COMPUTED_VALUE"""),24.02)</f>
        <v>24.02</v>
      </c>
      <c r="X315" s="320">
        <f>IFERROR(__xludf.DUMMYFUNCTION("""COMPUTED_VALUE"""),87.0)</f>
        <v>87</v>
      </c>
      <c r="Y315" s="320">
        <f>IFERROR(__xludf.DUMMYFUNCTION("""COMPUTED_VALUE"""),219.0)</f>
        <v>219</v>
      </c>
      <c r="Z315" s="320">
        <f>IFERROR(__xludf.DUMMYFUNCTION("""COMPUTED_VALUE"""),887.0)</f>
        <v>887</v>
      </c>
      <c r="AA315" s="320">
        <f>IFERROR(__xludf.DUMMYFUNCTION("""COMPUTED_VALUE"""),49.4737)</f>
        <v>49.4737</v>
      </c>
      <c r="AB315" s="320">
        <f>IFERROR(__xludf.DUMMYFUNCTION("""COMPUTED_VALUE"""),0.4445)</f>
        <v>0.4445</v>
      </c>
      <c r="AC315" s="320">
        <f>IFERROR(__xludf.DUMMYFUNCTION("""COMPUTED_VALUE"""),3.65)</f>
        <v>3.65</v>
      </c>
      <c r="AD315" s="320">
        <f>IFERROR(__xludf.DUMMYFUNCTION("""COMPUTED_VALUE"""),1.0)</f>
        <v>1</v>
      </c>
      <c r="AE315" s="320">
        <f>IFERROR(__xludf.DUMMYFUNCTION("""COMPUTED_VALUE"""),2.0)</f>
        <v>2</v>
      </c>
      <c r="AF315" s="320">
        <f>IFERROR(__xludf.DUMMYFUNCTION("""COMPUTED_VALUE"""),5.0)</f>
        <v>5</v>
      </c>
      <c r="AG315" s="320">
        <f>IFERROR(__xludf.DUMMYFUNCTION("""COMPUTED_VALUE"""),8.0)</f>
        <v>8</v>
      </c>
      <c r="AH315" s="320">
        <f>IFERROR(__xludf.DUMMYFUNCTION("""COMPUTED_VALUE"""),66.99)</f>
        <v>66.99</v>
      </c>
      <c r="AI315" s="320">
        <f>IFERROR(__xludf.DUMMYFUNCTION("""COMPUTED_VALUE"""),26.02)</f>
        <v>26.02</v>
      </c>
      <c r="AJ315" s="320">
        <f>IFERROR(__xludf.DUMMYFUNCTION("""COMPUTED_VALUE"""),7.62)</f>
        <v>7.62</v>
      </c>
      <c r="AK315" s="320">
        <f>IFERROR(__xludf.DUMMYFUNCTION("""COMPUTED_VALUE"""),0.2127)</f>
        <v>0.2127</v>
      </c>
      <c r="AL315" s="320">
        <f>IFERROR(__xludf.DUMMYFUNCTION("""COMPUTED_VALUE"""),23.4)</f>
        <v>23.4</v>
      </c>
      <c r="AM315" s="320">
        <f>IFERROR(__xludf.DUMMYFUNCTION("""COMPUTED_VALUE"""),41.1)</f>
        <v>41.1</v>
      </c>
      <c r="AN315" s="320">
        <f>IFERROR(__xludf.DUMMYFUNCTION("""COMPUTED_VALUE"""),68.38)</f>
        <v>68.38</v>
      </c>
      <c r="AO315" s="320">
        <f>IFERROR(__xludf.DUMMYFUNCTION("""COMPUTED_VALUE"""),16.0)</f>
        <v>16</v>
      </c>
    </row>
    <row r="316" ht="15.75" customHeight="1">
      <c r="A316" s="330">
        <f>IFERROR(__xludf.DUMMYFUNCTION("""COMPUTED_VALUE"""),46102.0)</f>
        <v>46102</v>
      </c>
      <c r="B316" s="319" t="str">
        <f>IFERROR(__xludf.DUMMYFUNCTION("""COMPUTED_VALUE"""),"C. 10-19")</f>
        <v>C. 10-19</v>
      </c>
      <c r="C316" s="320">
        <f>IFERROR(__xludf.DUMMYFUNCTION("""COMPUTED_VALUE"""),15268.0)</f>
        <v>15268</v>
      </c>
      <c r="D316" s="320">
        <f>IFERROR(__xludf.DUMMYFUNCTION("""COMPUTED_VALUE"""),20.57)</f>
        <v>20.57</v>
      </c>
      <c r="E316" s="320">
        <f>IFERROR(__xludf.DUMMYFUNCTION("""COMPUTED_VALUE"""),15499.41)</f>
        <v>15499.41</v>
      </c>
      <c r="F316" s="320">
        <f>IFERROR(__xludf.DUMMYFUNCTION("""COMPUTED_VALUE"""),1.0152)</f>
        <v>1.0152</v>
      </c>
      <c r="G316" s="320">
        <f>IFERROR(__xludf.DUMMYFUNCTION("""COMPUTED_VALUE"""),21.36)</f>
        <v>21.36</v>
      </c>
      <c r="H316" s="320">
        <f>IFERROR(__xludf.DUMMYFUNCTION("""COMPUTED_VALUE"""),4.7515)</f>
        <v>4.7515</v>
      </c>
      <c r="I316" s="320">
        <f>IFERROR(__xludf.DUMMYFUNCTION("""COMPUTED_VALUE"""),56.97)</f>
        <v>56.97</v>
      </c>
      <c r="J316" s="320">
        <f>IFERROR(__xludf.DUMMYFUNCTION("""COMPUTED_VALUE"""),32.47)</f>
        <v>32.47</v>
      </c>
      <c r="K316" s="320">
        <f>IFERROR(__xludf.DUMMYFUNCTION("""COMPUTED_VALUE"""),13.73)</f>
        <v>13.73</v>
      </c>
      <c r="L316" s="320">
        <f>IFERROR(__xludf.DUMMYFUNCTION("""COMPUTED_VALUE"""),0.4228)</f>
        <v>0.4228</v>
      </c>
      <c r="M316" s="320">
        <f>IFERROR(__xludf.DUMMYFUNCTION("""COMPUTED_VALUE"""),0.6425)</f>
        <v>0.6425</v>
      </c>
      <c r="N316" s="320">
        <f>IFERROR(__xludf.DUMMYFUNCTION("""COMPUTED_VALUE"""),0.3694)</f>
        <v>0.3694</v>
      </c>
      <c r="O316" s="320">
        <f>IFERROR(__xludf.DUMMYFUNCTION("""COMPUTED_VALUE"""),2.3653)</f>
        <v>2.3653</v>
      </c>
      <c r="P316" s="320">
        <f>IFERROR(__xludf.DUMMYFUNCTION("""COMPUTED_VALUE"""),172.1)</f>
        <v>172.1</v>
      </c>
      <c r="Q316" s="320">
        <f>IFERROR(__xludf.DUMMYFUNCTION("""COMPUTED_VALUE"""),143.31)</f>
        <v>143.31</v>
      </c>
      <c r="R316" s="320">
        <f>IFERROR(__xludf.DUMMYFUNCTION("""COMPUTED_VALUE"""),28.79)</f>
        <v>28.79</v>
      </c>
      <c r="S316" s="320">
        <f>IFERROR(__xludf.DUMMYFUNCTION("""COMPUTED_VALUE"""),68.64)</f>
        <v>68.64</v>
      </c>
      <c r="T316" s="320">
        <f>IFERROR(__xludf.DUMMYFUNCTION("""COMPUTED_VALUE"""),103.46)</f>
        <v>103.46</v>
      </c>
      <c r="U316" s="320">
        <f>IFERROR(__xludf.DUMMYFUNCTION("""COMPUTED_VALUE"""),180.94)</f>
        <v>180.94</v>
      </c>
      <c r="V316" s="320">
        <f>IFERROR(__xludf.DUMMYFUNCTION("""COMPUTED_VALUE"""),5.5722)</f>
        <v>5.5722</v>
      </c>
      <c r="W316" s="320">
        <f>IFERROR(__xludf.DUMMYFUNCTION("""COMPUTED_VALUE"""),39.89)</f>
        <v>39.89</v>
      </c>
      <c r="X316" s="320">
        <f>IFERROR(__xludf.DUMMYFUNCTION("""COMPUTED_VALUE"""),85.0)</f>
        <v>85</v>
      </c>
      <c r="Y316" s="320">
        <f>IFERROR(__xludf.DUMMYFUNCTION("""COMPUTED_VALUE"""),198.0)</f>
        <v>198</v>
      </c>
      <c r="Z316" s="320">
        <f>IFERROR(__xludf.DUMMYFUNCTION("""COMPUTED_VALUE"""),653.0)</f>
        <v>653</v>
      </c>
      <c r="AA316" s="320">
        <f>IFERROR(__xludf.DUMMYFUNCTION("""COMPUTED_VALUE"""),52.553)</f>
        <v>52.553</v>
      </c>
      <c r="AB316" s="320">
        <f>IFERROR(__xludf.DUMMYFUNCTION("""COMPUTED_VALUE"""),0.5552)</f>
        <v>0.5552</v>
      </c>
      <c r="AC316" s="320">
        <f>IFERROR(__xludf.DUMMYFUNCTION("""COMPUTED_VALUE"""),9.02)</f>
        <v>9.02</v>
      </c>
      <c r="AD316" s="320">
        <f>IFERROR(__xludf.DUMMYFUNCTION("""COMPUTED_VALUE"""),3.0)</f>
        <v>3</v>
      </c>
      <c r="AE316" s="320">
        <f>IFERROR(__xludf.DUMMYFUNCTION("""COMPUTED_VALUE"""),6.0)</f>
        <v>6</v>
      </c>
      <c r="AF316" s="320">
        <f>IFERROR(__xludf.DUMMYFUNCTION("""COMPUTED_VALUE"""),13.0)</f>
        <v>13</v>
      </c>
      <c r="AG316" s="320">
        <f>IFERROR(__xludf.DUMMYFUNCTION("""COMPUTED_VALUE"""),20.0)</f>
        <v>20</v>
      </c>
      <c r="AH316" s="320">
        <f>IFERROR(__xludf.DUMMYFUNCTION("""COMPUTED_VALUE"""),55.13)</f>
        <v>55.13</v>
      </c>
      <c r="AI316" s="320">
        <f>IFERROR(__xludf.DUMMYFUNCTION("""COMPUTED_VALUE"""),25.58)</f>
        <v>25.58</v>
      </c>
      <c r="AJ316" s="320">
        <f>IFERROR(__xludf.DUMMYFUNCTION("""COMPUTED_VALUE"""),4.94)</f>
        <v>4.94</v>
      </c>
      <c r="AK316" s="320">
        <f>IFERROR(__xludf.DUMMYFUNCTION("""COMPUTED_VALUE"""),0.2021)</f>
        <v>0.2021</v>
      </c>
      <c r="AL316" s="320">
        <f>IFERROR(__xludf.DUMMYFUNCTION("""COMPUTED_VALUE"""),23.04)</f>
        <v>23.04</v>
      </c>
      <c r="AM316" s="320">
        <f>IFERROR(__xludf.DUMMYFUNCTION("""COMPUTED_VALUE"""),120.27)</f>
        <v>120.27</v>
      </c>
      <c r="AN316" s="320">
        <f>IFERROR(__xludf.DUMMYFUNCTION("""COMPUTED_VALUE"""),73.56)</f>
        <v>73.56</v>
      </c>
      <c r="AO316" s="320">
        <f>IFERROR(__xludf.DUMMYFUNCTION("""COMPUTED_VALUE"""),16.95)</f>
        <v>16.95</v>
      </c>
    </row>
    <row r="317" ht="15.75" customHeight="1">
      <c r="A317" s="330">
        <f>IFERROR(__xludf.DUMMYFUNCTION("""COMPUTED_VALUE"""),46102.0)</f>
        <v>46102</v>
      </c>
      <c r="B317" s="319" t="str">
        <f>IFERROR(__xludf.DUMMYFUNCTION("""COMPUTED_VALUE"""),"D. 20-39")</f>
        <v>D. 20-39</v>
      </c>
      <c r="C317" s="320">
        <f>IFERROR(__xludf.DUMMYFUNCTION("""COMPUTED_VALUE"""),8023.0)</f>
        <v>8023</v>
      </c>
      <c r="D317" s="320">
        <f>IFERROR(__xludf.DUMMYFUNCTION("""COMPUTED_VALUE"""),10.81)</f>
        <v>10.81</v>
      </c>
      <c r="E317" s="320">
        <f>IFERROR(__xludf.DUMMYFUNCTION("""COMPUTED_VALUE"""),20252.13)</f>
        <v>20252.13</v>
      </c>
      <c r="F317" s="320">
        <f>IFERROR(__xludf.DUMMYFUNCTION("""COMPUTED_VALUE"""),2.5243)</f>
        <v>2.5243</v>
      </c>
      <c r="G317" s="320">
        <f>IFERROR(__xludf.DUMMYFUNCTION("""COMPUTED_VALUE"""),32.79)</f>
        <v>32.79</v>
      </c>
      <c r="H317" s="320">
        <f>IFERROR(__xludf.DUMMYFUNCTION("""COMPUTED_VALUE"""),7.6975)</f>
        <v>7.6975</v>
      </c>
      <c r="I317" s="320">
        <f>IFERROR(__xludf.DUMMYFUNCTION("""COMPUTED_VALUE"""),81.21)</f>
        <v>81.21</v>
      </c>
      <c r="J317" s="320">
        <f>IFERROR(__xludf.DUMMYFUNCTION("""COMPUTED_VALUE"""),48.12)</f>
        <v>48.12</v>
      </c>
      <c r="K317" s="320">
        <f>IFERROR(__xludf.DUMMYFUNCTION("""COMPUTED_VALUE"""),26.0)</f>
        <v>26</v>
      </c>
      <c r="L317" s="320">
        <f>IFERROR(__xludf.DUMMYFUNCTION("""COMPUTED_VALUE"""),0.5403)</f>
        <v>0.5403</v>
      </c>
      <c r="M317" s="320">
        <f>IFERROR(__xludf.DUMMYFUNCTION("""COMPUTED_VALUE"""),0.5339)</f>
        <v>0.5339</v>
      </c>
      <c r="N317" s="320">
        <f>IFERROR(__xludf.DUMMYFUNCTION("""COMPUTED_VALUE"""),0.298)</f>
        <v>0.298</v>
      </c>
      <c r="O317" s="320">
        <f>IFERROR(__xludf.DUMMYFUNCTION("""COMPUTED_VALUE"""),1.8508)</f>
        <v>1.8508</v>
      </c>
      <c r="P317" s="320">
        <f>IFERROR(__xludf.DUMMYFUNCTION("""COMPUTED_VALUE"""),325.32)</f>
        <v>325.32</v>
      </c>
      <c r="Q317" s="320">
        <f>IFERROR(__xludf.DUMMYFUNCTION("""COMPUTED_VALUE"""),270.76)</f>
        <v>270.76</v>
      </c>
      <c r="R317" s="320">
        <f>IFERROR(__xludf.DUMMYFUNCTION("""COMPUTED_VALUE"""),54.56)</f>
        <v>54.56</v>
      </c>
      <c r="S317" s="320">
        <f>IFERROR(__xludf.DUMMYFUNCTION("""COMPUTED_VALUE"""),160.53)</f>
        <v>160.53</v>
      </c>
      <c r="T317" s="320">
        <f>IFERROR(__xludf.DUMMYFUNCTION("""COMPUTED_VALUE"""),164.79)</f>
        <v>164.79</v>
      </c>
      <c r="U317" s="320">
        <f>IFERROR(__xludf.DUMMYFUNCTION("""COMPUTED_VALUE"""),339.21)</f>
        <v>339.21</v>
      </c>
      <c r="V317" s="320">
        <f>IFERROR(__xludf.DUMMYFUNCTION("""COMPUTED_VALUE"""),7.0489)</f>
        <v>7.0489</v>
      </c>
      <c r="W317" s="320">
        <f>IFERROR(__xludf.DUMMYFUNCTION("""COMPUTED_VALUE"""),49.34)</f>
        <v>49.34</v>
      </c>
      <c r="X317" s="320">
        <f>IFERROR(__xludf.DUMMYFUNCTION("""COMPUTED_VALUE"""),85.0)</f>
        <v>85</v>
      </c>
      <c r="Y317" s="320">
        <f>IFERROR(__xludf.DUMMYFUNCTION("""COMPUTED_VALUE"""),211.0)</f>
        <v>211</v>
      </c>
      <c r="Z317" s="320">
        <f>IFERROR(__xludf.DUMMYFUNCTION("""COMPUTED_VALUE"""),653.0)</f>
        <v>653</v>
      </c>
      <c r="AA317" s="320">
        <f>IFERROR(__xludf.DUMMYFUNCTION("""COMPUTED_VALUE"""),54.6986)</f>
        <v>54.6986</v>
      </c>
      <c r="AB317" s="320">
        <f>IFERROR(__xludf.DUMMYFUNCTION("""COMPUTED_VALUE"""),0.6566)</f>
        <v>0.6566</v>
      </c>
      <c r="AC317" s="320">
        <f>IFERROR(__xludf.DUMMYFUNCTION("""COMPUTED_VALUE"""),16.85)</f>
        <v>16.85</v>
      </c>
      <c r="AD317" s="320">
        <f>IFERROR(__xludf.DUMMYFUNCTION("""COMPUTED_VALUE"""),6.0)</f>
        <v>6</v>
      </c>
      <c r="AE317" s="320">
        <f>IFERROR(__xludf.DUMMYFUNCTION("""COMPUTED_VALUE"""),13.0)</f>
        <v>13</v>
      </c>
      <c r="AF317" s="320">
        <f>IFERROR(__xludf.DUMMYFUNCTION("""COMPUTED_VALUE"""),24.0)</f>
        <v>24</v>
      </c>
      <c r="AG317" s="320">
        <f>IFERROR(__xludf.DUMMYFUNCTION("""COMPUTED_VALUE"""),37.0)</f>
        <v>37</v>
      </c>
      <c r="AH317" s="320">
        <f>IFERROR(__xludf.DUMMYFUNCTION("""COMPUTED_VALUE"""),55.13)</f>
        <v>55.13</v>
      </c>
      <c r="AI317" s="320">
        <f>IFERROR(__xludf.DUMMYFUNCTION("""COMPUTED_VALUE"""),22.27)</f>
        <v>22.27</v>
      </c>
      <c r="AJ317" s="320">
        <f>IFERROR(__xludf.DUMMYFUNCTION("""COMPUTED_VALUE"""),6.63)</f>
        <v>6.63</v>
      </c>
      <c r="AK317" s="320">
        <f>IFERROR(__xludf.DUMMYFUNCTION("""COMPUTED_VALUE"""),0.2019)</f>
        <v>0.2019</v>
      </c>
      <c r="AL317" s="320">
        <f>IFERROR(__xludf.DUMMYFUNCTION("""COMPUTED_VALUE"""),22.63)</f>
        <v>22.63</v>
      </c>
      <c r="AM317" s="320">
        <f>IFERROR(__xludf.DUMMYFUNCTION("""COMPUTED_VALUE"""),248.14)</f>
        <v>248.14</v>
      </c>
      <c r="AN317" s="320">
        <f>IFERROR(__xludf.DUMMYFUNCTION("""COMPUTED_VALUE"""),74.29)</f>
        <v>74.29</v>
      </c>
      <c r="AO317" s="320">
        <f>IFERROR(__xludf.DUMMYFUNCTION("""COMPUTED_VALUE"""),16.81)</f>
        <v>16.81</v>
      </c>
    </row>
    <row r="318" ht="15.75" customHeight="1">
      <c r="A318" s="330">
        <f>IFERROR(__xludf.DUMMYFUNCTION("""COMPUTED_VALUE"""),46102.0)</f>
        <v>46102</v>
      </c>
      <c r="B318" s="319" t="str">
        <f>IFERROR(__xludf.DUMMYFUNCTION("""COMPUTED_VALUE"""),"E. 40-99")</f>
        <v>E. 40-99</v>
      </c>
      <c r="C318" s="320">
        <f>IFERROR(__xludf.DUMMYFUNCTION("""COMPUTED_VALUE"""),3135.0)</f>
        <v>3135</v>
      </c>
      <c r="D318" s="320">
        <f>IFERROR(__xludf.DUMMYFUNCTION("""COMPUTED_VALUE"""),4.22)</f>
        <v>4.22</v>
      </c>
      <c r="E318" s="320">
        <f>IFERROR(__xludf.DUMMYFUNCTION("""COMPUTED_VALUE"""),19008.38)</f>
        <v>19008.38</v>
      </c>
      <c r="F318" s="320">
        <f>IFERROR(__xludf.DUMMYFUNCTION("""COMPUTED_VALUE"""),6.0633)</f>
        <v>6.0633</v>
      </c>
      <c r="G318" s="320">
        <f>IFERROR(__xludf.DUMMYFUNCTION("""COMPUTED_VALUE"""),44.24)</f>
        <v>44.24</v>
      </c>
      <c r="H318" s="320">
        <f>IFERROR(__xludf.DUMMYFUNCTION("""COMPUTED_VALUE"""),13.7047)</f>
        <v>13.7047</v>
      </c>
      <c r="I318" s="320">
        <f>IFERROR(__xludf.DUMMYFUNCTION("""COMPUTED_VALUE"""),126.04)</f>
        <v>126.04</v>
      </c>
      <c r="J318" s="320">
        <f>IFERROR(__xludf.DUMMYFUNCTION("""COMPUTED_VALUE"""),78.34)</f>
        <v>78.34</v>
      </c>
      <c r="K318" s="320">
        <f>IFERROR(__xludf.DUMMYFUNCTION("""COMPUTED_VALUE"""),53.1)</f>
        <v>53.1</v>
      </c>
      <c r="L318" s="320">
        <f>IFERROR(__xludf.DUMMYFUNCTION("""COMPUTED_VALUE"""),0.6779)</f>
        <v>0.6779</v>
      </c>
      <c r="M318" s="320">
        <f>IFERROR(__xludf.DUMMYFUNCTION("""COMPUTED_VALUE"""),0.4129)</f>
        <v>0.4129</v>
      </c>
      <c r="N318" s="320">
        <f>IFERROR(__xludf.DUMMYFUNCTION("""COMPUTED_VALUE"""),0.2361)</f>
        <v>0.2361</v>
      </c>
      <c r="O318" s="320">
        <f>IFERROR(__xludf.DUMMYFUNCTION("""COMPUTED_VALUE"""),1.4752)</f>
        <v>1.4752</v>
      </c>
      <c r="P318" s="320">
        <f>IFERROR(__xludf.DUMMYFUNCTION("""COMPUTED_VALUE"""),682.82)</f>
        <v>682.82</v>
      </c>
      <c r="Q318" s="320">
        <f>IFERROR(__xludf.DUMMYFUNCTION("""COMPUTED_VALUE"""),571.01)</f>
        <v>571.01</v>
      </c>
      <c r="R318" s="320">
        <f>IFERROR(__xludf.DUMMYFUNCTION("""COMPUTED_VALUE"""),111.81)</f>
        <v>111.81</v>
      </c>
      <c r="S318" s="320">
        <f>IFERROR(__xludf.DUMMYFUNCTION("""COMPUTED_VALUE"""),380.44)</f>
        <v>380.44</v>
      </c>
      <c r="T318" s="320">
        <f>IFERROR(__xludf.DUMMYFUNCTION("""COMPUTED_VALUE"""),302.38)</f>
        <v>302.38</v>
      </c>
      <c r="U318" s="320">
        <f>IFERROR(__xludf.DUMMYFUNCTION("""COMPUTED_VALUE"""),695.89)</f>
        <v>695.89</v>
      </c>
      <c r="V318" s="320">
        <f>IFERROR(__xludf.DUMMYFUNCTION("""COMPUTED_VALUE"""),8.8832)</f>
        <v>8.8832</v>
      </c>
      <c r="W318" s="320">
        <f>IFERROR(__xludf.DUMMYFUNCTION("""COMPUTED_VALUE"""),55.72)</f>
        <v>55.72</v>
      </c>
      <c r="X318" s="320">
        <f>IFERROR(__xludf.DUMMYFUNCTION("""COMPUTED_VALUE"""),96.0)</f>
        <v>96</v>
      </c>
      <c r="Y318" s="320">
        <f>IFERROR(__xludf.DUMMYFUNCTION("""COMPUTED_VALUE"""),313.0)</f>
        <v>313</v>
      </c>
      <c r="Z318" s="320">
        <f>IFERROR(__xludf.DUMMYFUNCTION("""COMPUTED_VALUE"""),973.0)</f>
        <v>973</v>
      </c>
      <c r="AA318" s="320">
        <f>IFERROR(__xludf.DUMMYFUNCTION("""COMPUTED_VALUE"""),57.5518)</f>
        <v>57.5518</v>
      </c>
      <c r="AB318" s="320">
        <f>IFERROR(__xludf.DUMMYFUNCTION("""COMPUTED_VALUE"""),0.7608)</f>
        <v>0.7608</v>
      </c>
      <c r="AC318" s="320">
        <f>IFERROR(__xludf.DUMMYFUNCTION("""COMPUTED_VALUE"""),35.39)</f>
        <v>35.39</v>
      </c>
      <c r="AD318" s="320">
        <f>IFERROR(__xludf.DUMMYFUNCTION("""COMPUTED_VALUE"""),12.0)</f>
        <v>12</v>
      </c>
      <c r="AE318" s="320">
        <f>IFERROR(__xludf.DUMMYFUNCTION("""COMPUTED_VALUE"""),27.0)</f>
        <v>27</v>
      </c>
      <c r="AF318" s="320">
        <f>IFERROR(__xludf.DUMMYFUNCTION("""COMPUTED_VALUE"""),50.0)</f>
        <v>50</v>
      </c>
      <c r="AG318" s="320">
        <f>IFERROR(__xludf.DUMMYFUNCTION("""COMPUTED_VALUE"""),76.0)</f>
        <v>76</v>
      </c>
      <c r="AH318" s="320">
        <f>IFERROR(__xludf.DUMMYFUNCTION("""COMPUTED_VALUE"""),49.15)</f>
        <v>49.15</v>
      </c>
      <c r="AI318" s="320">
        <f>IFERROR(__xludf.DUMMYFUNCTION("""COMPUTED_VALUE"""),17.93)</f>
        <v>17.93</v>
      </c>
      <c r="AJ318" s="320">
        <f>IFERROR(__xludf.DUMMYFUNCTION("""COMPUTED_VALUE"""),4.69)</f>
        <v>4.69</v>
      </c>
      <c r="AK318" s="320">
        <f>IFERROR(__xludf.DUMMYFUNCTION("""COMPUTED_VALUE"""),0.1879)</f>
        <v>0.1879</v>
      </c>
      <c r="AL318" s="320">
        <f>IFERROR(__xludf.DUMMYFUNCTION("""COMPUTED_VALUE"""),21.98)</f>
        <v>21.98</v>
      </c>
      <c r="AM318" s="320">
        <f>IFERROR(__xludf.DUMMYFUNCTION("""COMPUTED_VALUE"""),549.03)</f>
        <v>549.03</v>
      </c>
      <c r="AN318" s="320">
        <f>IFERROR(__xludf.DUMMYFUNCTION("""COMPUTED_VALUE"""),73.55)</f>
        <v>73.55</v>
      </c>
      <c r="AO318" s="320">
        <f>IFERROR(__xludf.DUMMYFUNCTION("""COMPUTED_VALUE"""),16.17)</f>
        <v>16.17</v>
      </c>
    </row>
    <row r="319" ht="15.75" customHeight="1">
      <c r="A319" s="330">
        <f>IFERROR(__xludf.DUMMYFUNCTION("""COMPUTED_VALUE"""),46102.0)</f>
        <v>46102</v>
      </c>
      <c r="B319" s="319" t="str">
        <f>IFERROR(__xludf.DUMMYFUNCTION("""COMPUTED_VALUE"""),"F. 100+")</f>
        <v>F. 100+</v>
      </c>
      <c r="C319" s="320">
        <f>IFERROR(__xludf.DUMMYFUNCTION("""COMPUTED_VALUE"""),374.0)</f>
        <v>374</v>
      </c>
      <c r="D319" s="320">
        <f>IFERROR(__xludf.DUMMYFUNCTION("""COMPUTED_VALUE"""),0.5)</f>
        <v>0.5</v>
      </c>
      <c r="E319" s="320">
        <f>IFERROR(__xludf.DUMMYFUNCTION("""COMPUTED_VALUE"""),4280.97)</f>
        <v>4280.97</v>
      </c>
      <c r="F319" s="320">
        <f>IFERROR(__xludf.DUMMYFUNCTION("""COMPUTED_VALUE"""),11.4464)</f>
        <v>11.4464</v>
      </c>
      <c r="G319" s="320">
        <f>IFERROR(__xludf.DUMMYFUNCTION("""COMPUTED_VALUE"""),46.26)</f>
        <v>46.26</v>
      </c>
      <c r="H319" s="320">
        <f>IFERROR(__xludf.DUMMYFUNCTION("""COMPUTED_VALUE"""),24.7455)</f>
        <v>24.7455</v>
      </c>
      <c r="I319" s="320">
        <f>IFERROR(__xludf.DUMMYFUNCTION("""COMPUTED_VALUE"""),239.37)</f>
        <v>239.37</v>
      </c>
      <c r="J319" s="320">
        <f>IFERROR(__xludf.DUMMYFUNCTION("""COMPUTED_VALUE"""),153.78)</f>
        <v>153.78</v>
      </c>
      <c r="K319" s="320">
        <f>IFERROR(__xludf.DUMMYFUNCTION("""COMPUTED_VALUE"""),126.55)</f>
        <v>126.55</v>
      </c>
      <c r="L319" s="320">
        <f>IFERROR(__xludf.DUMMYFUNCTION("""COMPUTED_VALUE"""),0.8229)</f>
        <v>0.8229</v>
      </c>
      <c r="M319" s="320">
        <f>IFERROR(__xludf.DUMMYFUNCTION("""COMPUTED_VALUE"""),0.2723)</f>
        <v>0.2723</v>
      </c>
      <c r="N319" s="320">
        <f>IFERROR(__xludf.DUMMYFUNCTION("""COMPUTED_VALUE"""),0.1747)</f>
        <v>0.1747</v>
      </c>
      <c r="O319" s="320">
        <f>IFERROR(__xludf.DUMMYFUNCTION("""COMPUTED_VALUE"""),1.2152)</f>
        <v>1.2152</v>
      </c>
      <c r="P319" s="320">
        <f>IFERROR(__xludf.DUMMYFUNCTION("""COMPUTED_VALUE"""),1347.3)</f>
        <v>1347.3</v>
      </c>
      <c r="Q319" s="320">
        <f>IFERROR(__xludf.DUMMYFUNCTION("""COMPUTED_VALUE"""),1081.16)</f>
        <v>1081.16</v>
      </c>
      <c r="R319" s="320">
        <f>IFERROR(__xludf.DUMMYFUNCTION("""COMPUTED_VALUE"""),266.14)</f>
        <v>266.14</v>
      </c>
      <c r="S319" s="320">
        <f>IFERROR(__xludf.DUMMYFUNCTION("""COMPUTED_VALUE"""),752.05)</f>
        <v>752.05</v>
      </c>
      <c r="T319" s="320">
        <f>IFERROR(__xludf.DUMMYFUNCTION("""COMPUTED_VALUE"""),595.25)</f>
        <v>595.25</v>
      </c>
      <c r="U319" s="320">
        <f>IFERROR(__xludf.DUMMYFUNCTION("""COMPUTED_VALUE"""),1335.56)</f>
        <v>1335.56</v>
      </c>
      <c r="V319" s="320">
        <f>IFERROR(__xludf.DUMMYFUNCTION("""COMPUTED_VALUE"""),8.6851)</f>
        <v>8.6851</v>
      </c>
      <c r="W319" s="320">
        <f>IFERROR(__xludf.DUMMYFUNCTION("""COMPUTED_VALUE"""),55.82)</f>
        <v>55.82</v>
      </c>
      <c r="X319" s="320">
        <f>IFERROR(__xludf.DUMMYFUNCTION("""COMPUTED_VALUE"""),188.0)</f>
        <v>188</v>
      </c>
      <c r="Y319" s="320">
        <f>IFERROR(__xludf.DUMMYFUNCTION("""COMPUTED_VALUE"""),858.0)</f>
        <v>858</v>
      </c>
      <c r="Z319" s="320">
        <f>IFERROR(__xludf.DUMMYFUNCTION("""COMPUTED_VALUE"""),2948.0)</f>
        <v>2948</v>
      </c>
      <c r="AA319" s="320">
        <f>IFERROR(__xludf.DUMMYFUNCTION("""COMPUTED_VALUE"""),61.4318)</f>
        <v>61.4318</v>
      </c>
      <c r="AB319" s="320">
        <f>IFERROR(__xludf.DUMMYFUNCTION("""COMPUTED_VALUE"""),0.8482)</f>
        <v>0.8482</v>
      </c>
      <c r="AC319" s="320">
        <f>IFERROR(__xludf.DUMMYFUNCTION("""COMPUTED_VALUE"""),81.76)</f>
        <v>81.76</v>
      </c>
      <c r="AD319" s="320">
        <f>IFERROR(__xludf.DUMMYFUNCTION("""COMPUTED_VALUE"""),29.0)</f>
        <v>29</v>
      </c>
      <c r="AE319" s="320">
        <f>IFERROR(__xludf.DUMMYFUNCTION("""COMPUTED_VALUE"""),65.0)</f>
        <v>65</v>
      </c>
      <c r="AF319" s="320">
        <f>IFERROR(__xludf.DUMMYFUNCTION("""COMPUTED_VALUE"""),119.0)</f>
        <v>119</v>
      </c>
      <c r="AG319" s="320">
        <f>IFERROR(__xludf.DUMMYFUNCTION("""COMPUTED_VALUE"""),173.0)</f>
        <v>173</v>
      </c>
      <c r="AH319" s="320">
        <f>IFERROR(__xludf.DUMMYFUNCTION("""COMPUTED_VALUE"""),42.78)</f>
        <v>42.78</v>
      </c>
      <c r="AI319" s="320">
        <f>IFERROR(__xludf.DUMMYFUNCTION("""COMPUTED_VALUE"""),9.36)</f>
        <v>9.36</v>
      </c>
      <c r="AJ319" s="320">
        <f>IFERROR(__xludf.DUMMYFUNCTION("""COMPUTED_VALUE"""),1.6)</f>
        <v>1.6</v>
      </c>
      <c r="AK319" s="320">
        <f>IFERROR(__xludf.DUMMYFUNCTION("""COMPUTED_VALUE"""),0.1203)</f>
        <v>0.1203</v>
      </c>
      <c r="AL319" s="320">
        <f>IFERROR(__xludf.DUMMYFUNCTION("""COMPUTED_VALUE"""),22.05)</f>
        <v>22.05</v>
      </c>
      <c r="AM319" s="320">
        <f>IFERROR(__xludf.DUMMYFUNCTION("""COMPUTED_VALUE"""),1059.12)</f>
        <v>1059.12</v>
      </c>
      <c r="AN319" s="320">
        <f>IFERROR(__xludf.DUMMYFUNCTION("""COMPUTED_VALUE"""),71.51)</f>
        <v>71.51</v>
      </c>
      <c r="AO319" s="320">
        <f>IFERROR(__xludf.DUMMYFUNCTION("""COMPUTED_VALUE"""),15.77)</f>
        <v>15.77</v>
      </c>
    </row>
    <row r="320" ht="15.75" customHeight="1">
      <c r="A320" s="330">
        <f>IFERROR(__xludf.DUMMYFUNCTION("""COMPUTED_VALUE"""),46103.0)</f>
        <v>46103</v>
      </c>
      <c r="B320" s="319" t="str">
        <f>IFERROR(__xludf.DUMMYFUNCTION("""COMPUTED_VALUE"""),"A. 0")</f>
        <v>A. 0</v>
      </c>
      <c r="C320" s="320">
        <f>IFERROR(__xludf.DUMMYFUNCTION("""COMPUTED_VALUE"""),15443.0)</f>
        <v>15443</v>
      </c>
      <c r="D320" s="320">
        <f>IFERROR(__xludf.DUMMYFUNCTION("""COMPUTED_VALUE"""),20.45)</f>
        <v>20.45</v>
      </c>
      <c r="E320" s="320">
        <f>IFERROR(__xludf.DUMMYFUNCTION("""COMPUTED_VALUE"""),184.56)</f>
        <v>184.56</v>
      </c>
      <c r="F320" s="320">
        <f>IFERROR(__xludf.DUMMYFUNCTION("""COMPUTED_VALUE"""),0.012)</f>
        <v>0.012</v>
      </c>
      <c r="G320" s="320">
        <f>IFERROR(__xludf.DUMMYFUNCTION("""COMPUTED_VALUE"""),0.19)</f>
        <v>0.19</v>
      </c>
      <c r="H320" s="320">
        <f>IFERROR(__xludf.DUMMYFUNCTION("""COMPUTED_VALUE"""),6.152)</f>
        <v>6.152</v>
      </c>
      <c r="I320" s="320">
        <f>IFERROR(__xludf.DUMMYFUNCTION("""COMPUTED_VALUE"""),6.22)</f>
        <v>6.22</v>
      </c>
      <c r="J320" s="320">
        <f>IFERROR(__xludf.DUMMYFUNCTION("""COMPUTED_VALUE"""),2.85)</f>
        <v>2.85</v>
      </c>
      <c r="K320" s="320">
        <f>IFERROR(__xludf.DUMMYFUNCTION("""COMPUTED_VALUE"""),0.03)</f>
        <v>0.03</v>
      </c>
      <c r="L320" s="320">
        <f>IFERROR(__xludf.DUMMYFUNCTION("""COMPUTED_VALUE"""),0.0106)</f>
        <v>0.0106</v>
      </c>
      <c r="M320" s="320">
        <f>IFERROR(__xludf.DUMMYFUNCTION("""COMPUTED_VALUE"""),0.9902)</f>
        <v>0.9902</v>
      </c>
      <c r="N320" s="320">
        <f>IFERROR(__xludf.DUMMYFUNCTION("""COMPUTED_VALUE"""),0.8508)</f>
        <v>0.8508</v>
      </c>
      <c r="O320" s="320">
        <f>IFERROR(__xludf.DUMMYFUNCTION("""COMPUTED_VALUE"""),94.5505)</f>
        <v>94.5505</v>
      </c>
      <c r="P320" s="320">
        <f>IFERROR(__xludf.DUMMYFUNCTION("""COMPUTED_VALUE"""),24.72)</f>
        <v>24.72</v>
      </c>
      <c r="Q320" s="320">
        <f>IFERROR(__xludf.DUMMYFUNCTION("""COMPUTED_VALUE"""),24.65)</f>
        <v>24.65</v>
      </c>
      <c r="R320" s="320">
        <f>IFERROR(__xludf.DUMMYFUNCTION("""COMPUTED_VALUE"""),0.08)</f>
        <v>0.08</v>
      </c>
      <c r="S320" s="320">
        <f>IFERROR(__xludf.DUMMYFUNCTION("""COMPUTED_VALUE"""),0.85)</f>
        <v>0.85</v>
      </c>
      <c r="T320" s="320">
        <f>IFERROR(__xludf.DUMMYFUNCTION("""COMPUTED_VALUE"""),23.88)</f>
        <v>23.88</v>
      </c>
      <c r="U320" s="320">
        <f>IFERROR(__xludf.DUMMYFUNCTION("""COMPUTED_VALUE"""),1.89)</f>
        <v>1.89</v>
      </c>
      <c r="V320" s="320">
        <f>IFERROR(__xludf.DUMMYFUNCTION("""COMPUTED_VALUE"""),0.6653)</f>
        <v>0.6653</v>
      </c>
      <c r="W320" s="320">
        <f>IFERROR(__xludf.DUMMYFUNCTION("""COMPUTED_VALUE"""),3.42)</f>
        <v>3.42</v>
      </c>
      <c r="X320" s="320">
        <f>IFERROR(__xludf.DUMMYFUNCTION("""COMPUTED_VALUE"""),149.0)</f>
        <v>149</v>
      </c>
      <c r="Y320" s="320">
        <f>IFERROR(__xludf.DUMMYFUNCTION("""COMPUTED_VALUE"""),1195.0)</f>
        <v>1195</v>
      </c>
      <c r="Z320" s="320">
        <f>IFERROR(__xludf.DUMMYFUNCTION("""COMPUTED_VALUE"""),7671.0)</f>
        <v>7671</v>
      </c>
      <c r="AA320" s="320">
        <f>IFERROR(__xludf.DUMMYFUNCTION("""COMPUTED_VALUE"""),50.0389)</f>
        <v>50.0389</v>
      </c>
      <c r="AB320" s="320">
        <f>IFERROR(__xludf.DUMMYFUNCTION("""COMPUTED_VALUE"""),0.5229)</f>
        <v>0.5229</v>
      </c>
      <c r="AC320" s="106"/>
      <c r="AD320" s="106"/>
      <c r="AE320" s="106"/>
      <c r="AF320" s="106"/>
      <c r="AG320" s="106"/>
      <c r="AH320" s="320">
        <f>IFERROR(__xludf.DUMMYFUNCTION("""COMPUTED_VALUE"""),0.0)</f>
        <v>0</v>
      </c>
      <c r="AI320" s="320">
        <f>IFERROR(__xludf.DUMMYFUNCTION("""COMPUTED_VALUE"""),0.0)</f>
        <v>0</v>
      </c>
      <c r="AJ320" s="320">
        <f>IFERROR(__xludf.DUMMYFUNCTION("""COMPUTED_VALUE"""),0.0)</f>
        <v>0</v>
      </c>
      <c r="AK320" s="320">
        <f>IFERROR(__xludf.DUMMYFUNCTION("""COMPUTED_VALUE"""),0.2717)</f>
        <v>0.2717</v>
      </c>
      <c r="AL320" s="320">
        <f>IFERROR(__xludf.DUMMYFUNCTION("""COMPUTED_VALUE"""),18.01)</f>
        <v>18.01</v>
      </c>
      <c r="AM320" s="320">
        <f>IFERROR(__xludf.DUMMYFUNCTION("""COMPUTED_VALUE"""),6.64)</f>
        <v>6.64</v>
      </c>
      <c r="AN320" s="331"/>
      <c r="AO320" s="331"/>
    </row>
    <row r="321" ht="15.75" customHeight="1">
      <c r="A321" s="330">
        <f>IFERROR(__xludf.DUMMYFUNCTION("""COMPUTED_VALUE"""),46103.0)</f>
        <v>46103</v>
      </c>
      <c r="B321" s="319" t="str">
        <f>IFERROR(__xludf.DUMMYFUNCTION("""COMPUTED_VALUE"""),"B. 1-9")</f>
        <v>B. 1-9</v>
      </c>
      <c r="C321" s="320">
        <f>IFERROR(__xludf.DUMMYFUNCTION("""COMPUTED_VALUE"""),32772.0)</f>
        <v>32772</v>
      </c>
      <c r="D321" s="320">
        <f>IFERROR(__xludf.DUMMYFUNCTION("""COMPUTED_VALUE"""),43.39)</f>
        <v>43.39</v>
      </c>
      <c r="E321" s="320">
        <f>IFERROR(__xludf.DUMMYFUNCTION("""COMPUTED_VALUE"""),7494.77)</f>
        <v>7494.77</v>
      </c>
      <c r="F321" s="320">
        <f>IFERROR(__xludf.DUMMYFUNCTION("""COMPUTED_VALUE"""),0.2287)</f>
        <v>0.2287</v>
      </c>
      <c r="G321" s="320">
        <f>IFERROR(__xludf.DUMMYFUNCTION("""COMPUTED_VALUE"""),6.79)</f>
        <v>6.79</v>
      </c>
      <c r="H321" s="320">
        <f>IFERROR(__xludf.DUMMYFUNCTION("""COMPUTED_VALUE"""),3.3684)</f>
        <v>3.3684</v>
      </c>
      <c r="I321" s="320">
        <f>IFERROR(__xludf.DUMMYFUNCTION("""COMPUTED_VALUE"""),35.61)</f>
        <v>35.61</v>
      </c>
      <c r="J321" s="320">
        <f>IFERROR(__xludf.DUMMYFUNCTION("""COMPUTED_VALUE"""),19.61)</f>
        <v>19.61</v>
      </c>
      <c r="K321" s="320">
        <f>IFERROR(__xludf.DUMMYFUNCTION("""COMPUTED_VALUE"""),5.58)</f>
        <v>5.58</v>
      </c>
      <c r="L321" s="320">
        <f>IFERROR(__xludf.DUMMYFUNCTION("""COMPUTED_VALUE"""),0.2843)</f>
        <v>0.2843</v>
      </c>
      <c r="M321" s="320">
        <f>IFERROR(__xludf.DUMMYFUNCTION("""COMPUTED_VALUE"""),0.7768)</f>
        <v>0.7768</v>
      </c>
      <c r="N321" s="320">
        <f>IFERROR(__xludf.DUMMYFUNCTION("""COMPUTED_VALUE"""),0.5201)</f>
        <v>0.5201</v>
      </c>
      <c r="O321" s="320">
        <f>IFERROR(__xludf.DUMMYFUNCTION("""COMPUTED_VALUE"""),3.5178)</f>
        <v>3.5178</v>
      </c>
      <c r="P321" s="320">
        <f>IFERROR(__xludf.DUMMYFUNCTION("""COMPUTED_VALUE"""),65.67)</f>
        <v>65.67</v>
      </c>
      <c r="Q321" s="320">
        <f>IFERROR(__xludf.DUMMYFUNCTION("""COMPUTED_VALUE"""),54.26)</f>
        <v>54.26</v>
      </c>
      <c r="R321" s="320">
        <f>IFERROR(__xludf.DUMMYFUNCTION("""COMPUTED_VALUE"""),11.41)</f>
        <v>11.41</v>
      </c>
      <c r="S321" s="320">
        <f>IFERROR(__xludf.DUMMYFUNCTION("""COMPUTED_VALUE"""),16.66)</f>
        <v>16.66</v>
      </c>
      <c r="T321" s="320">
        <f>IFERROR(__xludf.DUMMYFUNCTION("""COMPUTED_VALUE"""),49.01)</f>
        <v>49.01</v>
      </c>
      <c r="U321" s="320">
        <f>IFERROR(__xludf.DUMMYFUNCTION("""COMPUTED_VALUE"""),74.1)</f>
        <v>74.1</v>
      </c>
      <c r="V321" s="320">
        <f>IFERROR(__xludf.DUMMYFUNCTION("""COMPUTED_VALUE"""),3.7778)</f>
        <v>3.7778</v>
      </c>
      <c r="W321" s="320">
        <f>IFERROR(__xludf.DUMMYFUNCTION("""COMPUTED_VALUE"""),25.37)</f>
        <v>25.37</v>
      </c>
      <c r="X321" s="320">
        <f>IFERROR(__xludf.DUMMYFUNCTION("""COMPUTED_VALUE"""),83.0)</f>
        <v>83</v>
      </c>
      <c r="Y321" s="320">
        <f>IFERROR(__xludf.DUMMYFUNCTION("""COMPUTED_VALUE"""),202.0)</f>
        <v>202</v>
      </c>
      <c r="Z321" s="320">
        <f>IFERROR(__xludf.DUMMYFUNCTION("""COMPUTED_VALUE"""),843.0)</f>
        <v>843</v>
      </c>
      <c r="AA321" s="320">
        <f>IFERROR(__xludf.DUMMYFUNCTION("""COMPUTED_VALUE"""),49.5249)</f>
        <v>49.5249</v>
      </c>
      <c r="AB321" s="320">
        <f>IFERROR(__xludf.DUMMYFUNCTION("""COMPUTED_VALUE"""),0.4444)</f>
        <v>0.4444</v>
      </c>
      <c r="AC321" s="320">
        <f>IFERROR(__xludf.DUMMYFUNCTION("""COMPUTED_VALUE"""),3.56)</f>
        <v>3.56</v>
      </c>
      <c r="AD321" s="320">
        <f>IFERROR(__xludf.DUMMYFUNCTION("""COMPUTED_VALUE"""),1.0)</f>
        <v>1</v>
      </c>
      <c r="AE321" s="320">
        <f>IFERROR(__xludf.DUMMYFUNCTION("""COMPUTED_VALUE"""),2.0)</f>
        <v>2</v>
      </c>
      <c r="AF321" s="320">
        <f>IFERROR(__xludf.DUMMYFUNCTION("""COMPUTED_VALUE"""),5.0)</f>
        <v>5</v>
      </c>
      <c r="AG321" s="320">
        <f>IFERROR(__xludf.DUMMYFUNCTION("""COMPUTED_VALUE"""),8.0)</f>
        <v>8</v>
      </c>
      <c r="AH321" s="320">
        <f>IFERROR(__xludf.DUMMYFUNCTION("""COMPUTED_VALUE"""),67.29)</f>
        <v>67.29</v>
      </c>
      <c r="AI321" s="320">
        <f>IFERROR(__xludf.DUMMYFUNCTION("""COMPUTED_VALUE"""),25.23)</f>
        <v>25.23</v>
      </c>
      <c r="AJ321" s="320">
        <f>IFERROR(__xludf.DUMMYFUNCTION("""COMPUTED_VALUE"""),6.94)</f>
        <v>6.94</v>
      </c>
      <c r="AK321" s="320">
        <f>IFERROR(__xludf.DUMMYFUNCTION("""COMPUTED_VALUE"""),0.2306)</f>
        <v>0.2306</v>
      </c>
      <c r="AL321" s="320">
        <f>IFERROR(__xludf.DUMMYFUNCTION("""COMPUTED_VALUE"""),21.44)</f>
        <v>21.44</v>
      </c>
      <c r="AM321" s="320">
        <f>IFERROR(__xludf.DUMMYFUNCTION("""COMPUTED_VALUE"""),32.82)</f>
        <v>32.82</v>
      </c>
      <c r="AN321" s="320">
        <f>IFERROR(__xludf.DUMMYFUNCTION("""COMPUTED_VALUE"""),68.06)</f>
        <v>68.06</v>
      </c>
      <c r="AO321" s="320">
        <f>IFERROR(__xludf.DUMMYFUNCTION("""COMPUTED_VALUE"""),14.59)</f>
        <v>14.59</v>
      </c>
    </row>
    <row r="322" ht="15.75" customHeight="1">
      <c r="A322" s="330">
        <f>IFERROR(__xludf.DUMMYFUNCTION("""COMPUTED_VALUE"""),46103.0)</f>
        <v>46103</v>
      </c>
      <c r="B322" s="319" t="str">
        <f>IFERROR(__xludf.DUMMYFUNCTION("""COMPUTED_VALUE"""),"C. 10-19")</f>
        <v>C. 10-19</v>
      </c>
      <c r="C322" s="320">
        <f>IFERROR(__xludf.DUMMYFUNCTION("""COMPUTED_VALUE"""),15474.0)</f>
        <v>15474</v>
      </c>
      <c r="D322" s="320">
        <f>IFERROR(__xludf.DUMMYFUNCTION("""COMPUTED_VALUE"""),20.49)</f>
        <v>20.49</v>
      </c>
      <c r="E322" s="320">
        <f>IFERROR(__xludf.DUMMYFUNCTION("""COMPUTED_VALUE"""),16029.93)</f>
        <v>16029.93</v>
      </c>
      <c r="F322" s="320">
        <f>IFERROR(__xludf.DUMMYFUNCTION("""COMPUTED_VALUE"""),1.0359)</f>
        <v>1.0359</v>
      </c>
      <c r="G322" s="320">
        <f>IFERROR(__xludf.DUMMYFUNCTION("""COMPUTED_VALUE"""),21.63)</f>
        <v>21.63</v>
      </c>
      <c r="H322" s="320">
        <f>IFERROR(__xludf.DUMMYFUNCTION("""COMPUTED_VALUE"""),4.7893)</f>
        <v>4.7893</v>
      </c>
      <c r="I322" s="320">
        <f>IFERROR(__xludf.DUMMYFUNCTION("""COMPUTED_VALUE"""),63.31)</f>
        <v>63.31</v>
      </c>
      <c r="J322" s="320">
        <f>IFERROR(__xludf.DUMMYFUNCTION("""COMPUTED_VALUE"""),36.56)</f>
        <v>36.56</v>
      </c>
      <c r="K322" s="320">
        <f>IFERROR(__xludf.DUMMYFUNCTION("""COMPUTED_VALUE"""),14.02)</f>
        <v>14.02</v>
      </c>
      <c r="L322" s="320">
        <f>IFERROR(__xludf.DUMMYFUNCTION("""COMPUTED_VALUE"""),0.3835)</f>
        <v>0.3835</v>
      </c>
      <c r="M322" s="320">
        <f>IFERROR(__xludf.DUMMYFUNCTION("""COMPUTED_VALUE"""),0.6735)</f>
        <v>0.6735</v>
      </c>
      <c r="N322" s="320">
        <f>IFERROR(__xludf.DUMMYFUNCTION("""COMPUTED_VALUE"""),0.3844)</f>
        <v>0.3844</v>
      </c>
      <c r="O322" s="320">
        <f>IFERROR(__xludf.DUMMYFUNCTION("""COMPUTED_VALUE"""),2.6078)</f>
        <v>2.6078</v>
      </c>
      <c r="P322" s="320">
        <f>IFERROR(__xludf.DUMMYFUNCTION("""COMPUTED_VALUE"""),152.45)</f>
        <v>152.45</v>
      </c>
      <c r="Q322" s="320">
        <f>IFERROR(__xludf.DUMMYFUNCTION("""COMPUTED_VALUE"""),123.33)</f>
        <v>123.33</v>
      </c>
      <c r="R322" s="320">
        <f>IFERROR(__xludf.DUMMYFUNCTION("""COMPUTED_VALUE"""),29.12)</f>
        <v>29.12</v>
      </c>
      <c r="S322" s="320">
        <f>IFERROR(__xludf.DUMMYFUNCTION("""COMPUTED_VALUE"""),69.41)</f>
        <v>69.41</v>
      </c>
      <c r="T322" s="320">
        <f>IFERROR(__xludf.DUMMYFUNCTION("""COMPUTED_VALUE"""),83.04)</f>
        <v>83.04</v>
      </c>
      <c r="U322" s="320">
        <f>IFERROR(__xludf.DUMMYFUNCTION("""COMPUTED_VALUE"""),171.81)</f>
        <v>171.81</v>
      </c>
      <c r="V322" s="320">
        <f>IFERROR(__xludf.DUMMYFUNCTION("""COMPUTED_VALUE"""),4.6995)</f>
        <v>4.6995</v>
      </c>
      <c r="W322" s="320">
        <f>IFERROR(__xludf.DUMMYFUNCTION("""COMPUTED_VALUE"""),45.53)</f>
        <v>45.53</v>
      </c>
      <c r="X322" s="320">
        <f>IFERROR(__xludf.DUMMYFUNCTION("""COMPUTED_VALUE"""),79.0)</f>
        <v>79</v>
      </c>
      <c r="Y322" s="320">
        <f>IFERROR(__xludf.DUMMYFUNCTION("""COMPUTED_VALUE"""),168.0)</f>
        <v>168</v>
      </c>
      <c r="Z322" s="320">
        <f>IFERROR(__xludf.DUMMYFUNCTION("""COMPUTED_VALUE"""),568.0)</f>
        <v>568</v>
      </c>
      <c r="AA322" s="320">
        <f>IFERROR(__xludf.DUMMYFUNCTION("""COMPUTED_VALUE"""),52.4353)</f>
        <v>52.4353</v>
      </c>
      <c r="AB322" s="320">
        <f>IFERROR(__xludf.DUMMYFUNCTION("""COMPUTED_VALUE"""),0.5477)</f>
        <v>0.5477</v>
      </c>
      <c r="AC322" s="320">
        <f>IFERROR(__xludf.DUMMYFUNCTION("""COMPUTED_VALUE"""),8.79)</f>
        <v>8.79</v>
      </c>
      <c r="AD322" s="320">
        <f>IFERROR(__xludf.DUMMYFUNCTION("""COMPUTED_VALUE"""),3.0)</f>
        <v>3</v>
      </c>
      <c r="AE322" s="320">
        <f>IFERROR(__xludf.DUMMYFUNCTION("""COMPUTED_VALUE"""),6.0)</f>
        <v>6</v>
      </c>
      <c r="AF322" s="320">
        <f>IFERROR(__xludf.DUMMYFUNCTION("""COMPUTED_VALUE"""),12.0)</f>
        <v>12</v>
      </c>
      <c r="AG322" s="320">
        <f>IFERROR(__xludf.DUMMYFUNCTION("""COMPUTED_VALUE"""),19.0)</f>
        <v>19</v>
      </c>
      <c r="AH322" s="320">
        <f>IFERROR(__xludf.DUMMYFUNCTION("""COMPUTED_VALUE"""),54.2)</f>
        <v>54.2</v>
      </c>
      <c r="AI322" s="320">
        <f>IFERROR(__xludf.DUMMYFUNCTION("""COMPUTED_VALUE"""),24.0)</f>
        <v>24</v>
      </c>
      <c r="AJ322" s="320">
        <f>IFERROR(__xludf.DUMMYFUNCTION("""COMPUTED_VALUE"""),4.51)</f>
        <v>4.51</v>
      </c>
      <c r="AK322" s="320">
        <f>IFERROR(__xludf.DUMMYFUNCTION("""COMPUTED_VALUE"""),0.2097)</f>
        <v>0.2097</v>
      </c>
      <c r="AL322" s="320">
        <f>IFERROR(__xludf.DUMMYFUNCTION("""COMPUTED_VALUE"""),21.51)</f>
        <v>21.51</v>
      </c>
      <c r="AM322" s="320">
        <f>IFERROR(__xludf.DUMMYFUNCTION("""COMPUTED_VALUE"""),101.82)</f>
        <v>101.82</v>
      </c>
      <c r="AN322" s="320">
        <f>IFERROR(__xludf.DUMMYFUNCTION("""COMPUTED_VALUE"""),73.3)</f>
        <v>73.3</v>
      </c>
      <c r="AO322" s="320">
        <f>IFERROR(__xludf.DUMMYFUNCTION("""COMPUTED_VALUE"""),15.77)</f>
        <v>15.77</v>
      </c>
    </row>
    <row r="323" ht="15.75" customHeight="1">
      <c r="A323" s="330">
        <f>IFERROR(__xludf.DUMMYFUNCTION("""COMPUTED_VALUE"""),46103.0)</f>
        <v>46103</v>
      </c>
      <c r="B323" s="319" t="str">
        <f>IFERROR(__xludf.DUMMYFUNCTION("""COMPUTED_VALUE"""),"D. 20-39")</f>
        <v>D. 20-39</v>
      </c>
      <c r="C323" s="320">
        <f>IFERROR(__xludf.DUMMYFUNCTION("""COMPUTED_VALUE"""),8208.0)</f>
        <v>8208</v>
      </c>
      <c r="D323" s="320">
        <f>IFERROR(__xludf.DUMMYFUNCTION("""COMPUTED_VALUE"""),10.87)</f>
        <v>10.87</v>
      </c>
      <c r="E323" s="320">
        <f>IFERROR(__xludf.DUMMYFUNCTION("""COMPUTED_VALUE"""),22774.15)</f>
        <v>22774.15</v>
      </c>
      <c r="F323" s="320">
        <f>IFERROR(__xludf.DUMMYFUNCTION("""COMPUTED_VALUE"""),2.7746)</f>
        <v>2.7746</v>
      </c>
      <c r="G323" s="320">
        <f>IFERROR(__xludf.DUMMYFUNCTION("""COMPUTED_VALUE"""),34.11)</f>
        <v>34.11</v>
      </c>
      <c r="H323" s="320">
        <f>IFERROR(__xludf.DUMMYFUNCTION("""COMPUTED_VALUE"""),8.1336)</f>
        <v>8.1336</v>
      </c>
      <c r="I323" s="320">
        <f>IFERROR(__xludf.DUMMYFUNCTION("""COMPUTED_VALUE"""),87.56)</f>
        <v>87.56</v>
      </c>
      <c r="J323" s="320">
        <f>IFERROR(__xludf.DUMMYFUNCTION("""COMPUTED_VALUE"""),52.81)</f>
        <v>52.81</v>
      </c>
      <c r="K323" s="320">
        <f>IFERROR(__xludf.DUMMYFUNCTION("""COMPUTED_VALUE"""),26.98)</f>
        <v>26.98</v>
      </c>
      <c r="L323" s="320">
        <f>IFERROR(__xludf.DUMMYFUNCTION("""COMPUTED_VALUE"""),0.5109)</f>
        <v>0.5109</v>
      </c>
      <c r="M323" s="320">
        <f>IFERROR(__xludf.DUMMYFUNCTION("""COMPUTED_VALUE"""),0.5565)</f>
        <v>0.5565</v>
      </c>
      <c r="N323" s="320">
        <f>IFERROR(__xludf.DUMMYFUNCTION("""COMPUTED_VALUE"""),0.3041)</f>
        <v>0.3041</v>
      </c>
      <c r="O323" s="320">
        <f>IFERROR(__xludf.DUMMYFUNCTION("""COMPUTED_VALUE"""),1.9574)</f>
        <v>1.9574</v>
      </c>
      <c r="P323" s="320">
        <f>IFERROR(__xludf.DUMMYFUNCTION("""COMPUTED_VALUE"""),307.92)</f>
        <v>307.92</v>
      </c>
      <c r="Q323" s="320">
        <f>IFERROR(__xludf.DUMMYFUNCTION("""COMPUTED_VALUE"""),251.19)</f>
        <v>251.19</v>
      </c>
      <c r="R323" s="320">
        <f>IFERROR(__xludf.DUMMYFUNCTION("""COMPUTED_VALUE"""),56.73)</f>
        <v>56.73</v>
      </c>
      <c r="S323" s="320">
        <f>IFERROR(__xludf.DUMMYFUNCTION("""COMPUTED_VALUE"""),176.02)</f>
        <v>176.02</v>
      </c>
      <c r="T323" s="320">
        <f>IFERROR(__xludf.DUMMYFUNCTION("""COMPUTED_VALUE"""),131.9)</f>
        <v>131.9</v>
      </c>
      <c r="U323" s="320">
        <f>IFERROR(__xludf.DUMMYFUNCTION("""COMPUTED_VALUE"""),334.79)</f>
        <v>334.79</v>
      </c>
      <c r="V323" s="320">
        <f>IFERROR(__xludf.DUMMYFUNCTION("""COMPUTED_VALUE"""),6.3398)</f>
        <v>6.3398</v>
      </c>
      <c r="W323" s="320">
        <f>IFERROR(__xludf.DUMMYFUNCTION("""COMPUTED_VALUE"""),57.16)</f>
        <v>57.16</v>
      </c>
      <c r="X323" s="320">
        <f>IFERROR(__xludf.DUMMYFUNCTION("""COMPUTED_VALUE"""),81.0)</f>
        <v>81</v>
      </c>
      <c r="Y323" s="320">
        <f>IFERROR(__xludf.DUMMYFUNCTION("""COMPUTED_VALUE"""),177.0)</f>
        <v>177</v>
      </c>
      <c r="Z323" s="320">
        <f>IFERROR(__xludf.DUMMYFUNCTION("""COMPUTED_VALUE"""),582.0)</f>
        <v>582</v>
      </c>
      <c r="AA323" s="320">
        <f>IFERROR(__xludf.DUMMYFUNCTION("""COMPUTED_VALUE"""),54.6074)</f>
        <v>54.6074</v>
      </c>
      <c r="AB323" s="320">
        <f>IFERROR(__xludf.DUMMYFUNCTION("""COMPUTED_VALUE"""),0.6595)</f>
        <v>0.6595</v>
      </c>
      <c r="AC323" s="320">
        <f>IFERROR(__xludf.DUMMYFUNCTION("""COMPUTED_VALUE"""),17.01)</f>
        <v>17.01</v>
      </c>
      <c r="AD323" s="320">
        <f>IFERROR(__xludf.DUMMYFUNCTION("""COMPUTED_VALUE"""),6.0)</f>
        <v>6</v>
      </c>
      <c r="AE323" s="320">
        <f>IFERROR(__xludf.DUMMYFUNCTION("""COMPUTED_VALUE"""),12.0)</f>
        <v>12</v>
      </c>
      <c r="AF323" s="320">
        <f>IFERROR(__xludf.DUMMYFUNCTION("""COMPUTED_VALUE"""),24.0)</f>
        <v>24</v>
      </c>
      <c r="AG323" s="320">
        <f>IFERROR(__xludf.DUMMYFUNCTION("""COMPUTED_VALUE"""),37.0)</f>
        <v>37</v>
      </c>
      <c r="AH323" s="320">
        <f>IFERROR(__xludf.DUMMYFUNCTION("""COMPUTED_VALUE"""),54.87)</f>
        <v>54.87</v>
      </c>
      <c r="AI323" s="320">
        <f>IFERROR(__xludf.DUMMYFUNCTION("""COMPUTED_VALUE"""),22.44)</f>
        <v>22.44</v>
      </c>
      <c r="AJ323" s="320">
        <f>IFERROR(__xludf.DUMMYFUNCTION("""COMPUTED_VALUE"""),6.87)</f>
        <v>6.87</v>
      </c>
      <c r="AK323" s="320">
        <f>IFERROR(__xludf.DUMMYFUNCTION("""COMPUTED_VALUE"""),0.2225)</f>
        <v>0.2225</v>
      </c>
      <c r="AL323" s="320">
        <f>IFERROR(__xludf.DUMMYFUNCTION("""COMPUTED_VALUE"""),21.25)</f>
        <v>21.25</v>
      </c>
      <c r="AM323" s="320">
        <f>IFERROR(__xludf.DUMMYFUNCTION("""COMPUTED_VALUE"""),229.94)</f>
        <v>229.94</v>
      </c>
      <c r="AN323" s="320">
        <f>IFERROR(__xludf.DUMMYFUNCTION("""COMPUTED_VALUE"""),72.76)</f>
        <v>72.76</v>
      </c>
      <c r="AO323" s="320">
        <f>IFERROR(__xludf.DUMMYFUNCTION("""COMPUTED_VALUE"""),15.46)</f>
        <v>15.46</v>
      </c>
    </row>
    <row r="324" ht="15.75" customHeight="1">
      <c r="A324" s="330">
        <f>IFERROR(__xludf.DUMMYFUNCTION("""COMPUTED_VALUE"""),46103.0)</f>
        <v>46103</v>
      </c>
      <c r="B324" s="319" t="str">
        <f>IFERROR(__xludf.DUMMYFUNCTION("""COMPUTED_VALUE"""),"E. 40-99")</f>
        <v>E. 40-99</v>
      </c>
      <c r="C324" s="320">
        <f>IFERROR(__xludf.DUMMYFUNCTION("""COMPUTED_VALUE"""),3234.0)</f>
        <v>3234</v>
      </c>
      <c r="D324" s="320">
        <f>IFERROR(__xludf.DUMMYFUNCTION("""COMPUTED_VALUE"""),4.28)</f>
        <v>4.28</v>
      </c>
      <c r="E324" s="320">
        <f>IFERROR(__xludf.DUMMYFUNCTION("""COMPUTED_VALUE"""),20460.85)</f>
        <v>20460.85</v>
      </c>
      <c r="F324" s="320">
        <f>IFERROR(__xludf.DUMMYFUNCTION("""COMPUTED_VALUE"""),6.3268)</f>
        <v>6.3268</v>
      </c>
      <c r="G324" s="320">
        <f>IFERROR(__xludf.DUMMYFUNCTION("""COMPUTED_VALUE"""),44.9)</f>
        <v>44.9</v>
      </c>
      <c r="H324" s="320">
        <f>IFERROR(__xludf.DUMMYFUNCTION("""COMPUTED_VALUE"""),14.0915)</f>
        <v>14.0915</v>
      </c>
      <c r="I324" s="320">
        <f>IFERROR(__xludf.DUMMYFUNCTION("""COMPUTED_VALUE"""),135.12)</f>
        <v>135.12</v>
      </c>
      <c r="J324" s="320">
        <f>IFERROR(__xludf.DUMMYFUNCTION("""COMPUTED_VALUE"""),84.13)</f>
        <v>84.13</v>
      </c>
      <c r="K324" s="320">
        <f>IFERROR(__xludf.DUMMYFUNCTION("""COMPUTED_VALUE"""),55.09)</f>
        <v>55.09</v>
      </c>
      <c r="L324" s="320">
        <f>IFERROR(__xludf.DUMMYFUNCTION("""COMPUTED_VALUE"""),0.6548)</f>
        <v>0.6548</v>
      </c>
      <c r="M324" s="320">
        <f>IFERROR(__xludf.DUMMYFUNCTION("""COMPUTED_VALUE"""),0.4279)</f>
        <v>0.4279</v>
      </c>
      <c r="N324" s="320">
        <f>IFERROR(__xludf.DUMMYFUNCTION("""COMPUTED_VALUE"""),0.2376)</f>
        <v>0.2376</v>
      </c>
      <c r="O324" s="320">
        <f>IFERROR(__xludf.DUMMYFUNCTION("""COMPUTED_VALUE"""),1.5273)</f>
        <v>1.5273</v>
      </c>
      <c r="P324" s="320">
        <f>IFERROR(__xludf.DUMMYFUNCTION("""COMPUTED_VALUE"""),627.29)</f>
        <v>627.29</v>
      </c>
      <c r="Q324" s="320">
        <f>IFERROR(__xludf.DUMMYFUNCTION("""COMPUTED_VALUE"""),511.59)</f>
        <v>511.59</v>
      </c>
      <c r="R324" s="320">
        <f>IFERROR(__xludf.DUMMYFUNCTION("""COMPUTED_VALUE"""),115.7)</f>
        <v>115.7</v>
      </c>
      <c r="S324" s="320">
        <f>IFERROR(__xludf.DUMMYFUNCTION("""COMPUTED_VALUE"""),399.79)</f>
        <v>399.79</v>
      </c>
      <c r="T324" s="320">
        <f>IFERROR(__xludf.DUMMYFUNCTION("""COMPUTED_VALUE"""),227.51)</f>
        <v>227.51</v>
      </c>
      <c r="U324" s="320">
        <f>IFERROR(__xludf.DUMMYFUNCTION("""COMPUTED_VALUE"""),673.82)</f>
        <v>673.82</v>
      </c>
      <c r="V324" s="320">
        <f>IFERROR(__xludf.DUMMYFUNCTION("""COMPUTED_VALUE"""),8.0092)</f>
        <v>8.0092</v>
      </c>
      <c r="W324" s="320">
        <f>IFERROR(__xludf.DUMMYFUNCTION("""COMPUTED_VALUE"""),63.73)</f>
        <v>63.73</v>
      </c>
      <c r="X324" s="320">
        <f>IFERROR(__xludf.DUMMYFUNCTION("""COMPUTED_VALUE"""),89.0)</f>
        <v>89</v>
      </c>
      <c r="Y324" s="320">
        <f>IFERROR(__xludf.DUMMYFUNCTION("""COMPUTED_VALUE"""),261.0)</f>
        <v>261</v>
      </c>
      <c r="Z324" s="320">
        <f>IFERROR(__xludf.DUMMYFUNCTION("""COMPUTED_VALUE"""),895.0)</f>
        <v>895</v>
      </c>
      <c r="AA324" s="320">
        <f>IFERROR(__xludf.DUMMYFUNCTION("""COMPUTED_VALUE"""),57.5773)</f>
        <v>57.5773</v>
      </c>
      <c r="AB324" s="320">
        <f>IFERROR(__xludf.DUMMYFUNCTION("""COMPUTED_VALUE"""),0.7643)</f>
        <v>0.7643</v>
      </c>
      <c r="AC324" s="320">
        <f>IFERROR(__xludf.DUMMYFUNCTION("""COMPUTED_VALUE"""),35.77)</f>
        <v>35.77</v>
      </c>
      <c r="AD324" s="320">
        <f>IFERROR(__xludf.DUMMYFUNCTION("""COMPUTED_VALUE"""),12.0)</f>
        <v>12</v>
      </c>
      <c r="AE324" s="320">
        <f>IFERROR(__xludf.DUMMYFUNCTION("""COMPUTED_VALUE"""),26.0)</f>
        <v>26</v>
      </c>
      <c r="AF324" s="320">
        <f>IFERROR(__xludf.DUMMYFUNCTION("""COMPUTED_VALUE"""),50.0)</f>
        <v>50</v>
      </c>
      <c r="AG324" s="320">
        <f>IFERROR(__xludf.DUMMYFUNCTION("""COMPUTED_VALUE"""),79.0)</f>
        <v>79</v>
      </c>
      <c r="AH324" s="320">
        <f>IFERROR(__xludf.DUMMYFUNCTION("""COMPUTED_VALUE"""),48.21)</f>
        <v>48.21</v>
      </c>
      <c r="AI324" s="320">
        <f>IFERROR(__xludf.DUMMYFUNCTION("""COMPUTED_VALUE"""),17.97)</f>
        <v>17.97</v>
      </c>
      <c r="AJ324" s="320">
        <f>IFERROR(__xludf.DUMMYFUNCTION("""COMPUTED_VALUE"""),4.79)</f>
        <v>4.79</v>
      </c>
      <c r="AK324" s="320">
        <f>IFERROR(__xludf.DUMMYFUNCTION("""COMPUTED_VALUE"""),0.2103)</f>
        <v>0.2103</v>
      </c>
      <c r="AL324" s="320">
        <f>IFERROR(__xludf.DUMMYFUNCTION("""COMPUTED_VALUE"""),21.08)</f>
        <v>21.08</v>
      </c>
      <c r="AM324" s="320">
        <f>IFERROR(__xludf.DUMMYFUNCTION("""COMPUTED_VALUE"""),490.51)</f>
        <v>490.51</v>
      </c>
      <c r="AN324" s="320">
        <f>IFERROR(__xludf.DUMMYFUNCTION("""COMPUTED_VALUE"""),72.11)</f>
        <v>72.11</v>
      </c>
      <c r="AO324" s="320">
        <f>IFERROR(__xludf.DUMMYFUNCTION("""COMPUTED_VALUE"""),15.2)</f>
        <v>15.2</v>
      </c>
    </row>
    <row r="325" ht="15.75" customHeight="1">
      <c r="A325" s="330">
        <f>IFERROR(__xludf.DUMMYFUNCTION("""COMPUTED_VALUE"""),46103.0)</f>
        <v>46103</v>
      </c>
      <c r="B325" s="319" t="str">
        <f>IFERROR(__xludf.DUMMYFUNCTION("""COMPUTED_VALUE"""),"F. 100+")</f>
        <v>F. 100+</v>
      </c>
      <c r="C325" s="320">
        <f>IFERROR(__xludf.DUMMYFUNCTION("""COMPUTED_VALUE"""),400.0)</f>
        <v>400</v>
      </c>
      <c r="D325" s="320">
        <f>IFERROR(__xludf.DUMMYFUNCTION("""COMPUTED_VALUE"""),0.53)</f>
        <v>0.53</v>
      </c>
      <c r="E325" s="320">
        <f>IFERROR(__xludf.DUMMYFUNCTION("""COMPUTED_VALUE"""),4574.23)</f>
        <v>4574.23</v>
      </c>
      <c r="F325" s="320">
        <f>IFERROR(__xludf.DUMMYFUNCTION("""COMPUTED_VALUE"""),11.4356)</f>
        <v>11.4356</v>
      </c>
      <c r="G325" s="320">
        <f>IFERROR(__xludf.DUMMYFUNCTION("""COMPUTED_VALUE"""),47.75)</f>
        <v>47.75</v>
      </c>
      <c r="H325" s="320">
        <f>IFERROR(__xludf.DUMMYFUNCTION("""COMPUTED_VALUE"""),23.9488)</f>
        <v>23.9488</v>
      </c>
      <c r="I325" s="320">
        <f>IFERROR(__xludf.DUMMYFUNCTION("""COMPUTED_VALUE"""),258.19)</f>
        <v>258.19</v>
      </c>
      <c r="J325" s="320">
        <f>IFERROR(__xludf.DUMMYFUNCTION("""COMPUTED_VALUE"""),169.11)</f>
        <v>169.11</v>
      </c>
      <c r="K325" s="320">
        <f>IFERROR(__xludf.DUMMYFUNCTION("""COMPUTED_VALUE"""),135.13)</f>
        <v>135.13</v>
      </c>
      <c r="L325" s="320">
        <f>IFERROR(__xludf.DUMMYFUNCTION("""COMPUTED_VALUE"""),0.799)</f>
        <v>0.799</v>
      </c>
      <c r="M325" s="320">
        <f>IFERROR(__xludf.DUMMYFUNCTION("""COMPUTED_VALUE"""),0.287)</f>
        <v>0.287</v>
      </c>
      <c r="N325" s="320">
        <f>IFERROR(__xludf.DUMMYFUNCTION("""COMPUTED_VALUE"""),0.1787)</f>
        <v>0.1787</v>
      </c>
      <c r="O325" s="320">
        <f>IFERROR(__xludf.DUMMYFUNCTION("""COMPUTED_VALUE"""),1.2515)</f>
        <v>1.2515</v>
      </c>
      <c r="P325" s="320">
        <f>IFERROR(__xludf.DUMMYFUNCTION("""COMPUTED_VALUE"""),1213.41)</f>
        <v>1213.41</v>
      </c>
      <c r="Q325" s="320">
        <f>IFERROR(__xludf.DUMMYFUNCTION("""COMPUTED_VALUE"""),928.79)</f>
        <v>928.79</v>
      </c>
      <c r="R325" s="320">
        <f>IFERROR(__xludf.DUMMYFUNCTION("""COMPUTED_VALUE"""),284.63)</f>
        <v>284.63</v>
      </c>
      <c r="S325" s="320">
        <f>IFERROR(__xludf.DUMMYFUNCTION("""COMPUTED_VALUE"""),737.81)</f>
        <v>737.81</v>
      </c>
      <c r="T325" s="320">
        <f>IFERROR(__xludf.DUMMYFUNCTION("""COMPUTED_VALUE"""),475.6)</f>
        <v>475.6</v>
      </c>
      <c r="U325" s="320">
        <f>IFERROR(__xludf.DUMMYFUNCTION("""COMPUTED_VALUE"""),1352.13)</f>
        <v>1352.13</v>
      </c>
      <c r="V325" s="320">
        <f>IFERROR(__xludf.DUMMYFUNCTION("""COMPUTED_VALUE"""),7.9957)</f>
        <v>7.9957</v>
      </c>
      <c r="W325" s="320">
        <f>IFERROR(__xludf.DUMMYFUNCTION("""COMPUTED_VALUE"""),60.8)</f>
        <v>60.8</v>
      </c>
      <c r="X325" s="320">
        <f>IFERROR(__xludf.DUMMYFUNCTION("""COMPUTED_VALUE"""),143.0)</f>
        <v>143</v>
      </c>
      <c r="Y325" s="320">
        <f>IFERROR(__xludf.DUMMYFUNCTION("""COMPUTED_VALUE"""),572.0)</f>
        <v>572</v>
      </c>
      <c r="Z325" s="320">
        <f>IFERROR(__xludf.DUMMYFUNCTION("""COMPUTED_VALUE"""),2199.0)</f>
        <v>2199</v>
      </c>
      <c r="AA325" s="320">
        <f>IFERROR(__xludf.DUMMYFUNCTION("""COMPUTED_VALUE"""),61.9899)</f>
        <v>61.9899</v>
      </c>
      <c r="AB325" s="320">
        <f>IFERROR(__xludf.DUMMYFUNCTION("""COMPUTED_VALUE"""),0.8385)</f>
        <v>0.8385</v>
      </c>
      <c r="AC325" s="320">
        <f>IFERROR(__xludf.DUMMYFUNCTION("""COMPUTED_VALUE"""),87.31)</f>
        <v>87.31</v>
      </c>
      <c r="AD325" s="320">
        <f>IFERROR(__xludf.DUMMYFUNCTION("""COMPUTED_VALUE"""),27.0)</f>
        <v>27</v>
      </c>
      <c r="AE325" s="320">
        <f>IFERROR(__xludf.DUMMYFUNCTION("""COMPUTED_VALUE"""),62.0)</f>
        <v>62</v>
      </c>
      <c r="AF325" s="320">
        <f>IFERROR(__xludf.DUMMYFUNCTION("""COMPUTED_VALUE"""),127.0)</f>
        <v>127</v>
      </c>
      <c r="AG325" s="320">
        <f>IFERROR(__xludf.DUMMYFUNCTION("""COMPUTED_VALUE"""),189.0)</f>
        <v>189</v>
      </c>
      <c r="AH325" s="320">
        <f>IFERROR(__xludf.DUMMYFUNCTION("""COMPUTED_VALUE"""),43.75)</f>
        <v>43.75</v>
      </c>
      <c r="AI325" s="320">
        <f>IFERROR(__xludf.DUMMYFUNCTION("""COMPUTED_VALUE"""),13.25)</f>
        <v>13.25</v>
      </c>
      <c r="AJ325" s="320">
        <f>IFERROR(__xludf.DUMMYFUNCTION("""COMPUTED_VALUE"""),2.75)</f>
        <v>2.75</v>
      </c>
      <c r="AK325" s="320">
        <f>IFERROR(__xludf.DUMMYFUNCTION("""COMPUTED_VALUE"""),0.1875)</f>
        <v>0.1875</v>
      </c>
      <c r="AL325" s="320">
        <f>IFERROR(__xludf.DUMMYFUNCTION("""COMPUTED_VALUE"""),20.56)</f>
        <v>20.56</v>
      </c>
      <c r="AM325" s="320">
        <f>IFERROR(__xludf.DUMMYFUNCTION("""COMPUTED_VALUE"""),908.23)</f>
        <v>908.23</v>
      </c>
      <c r="AN325" s="320">
        <f>IFERROR(__xludf.DUMMYFUNCTION("""COMPUTED_VALUE"""),67.25)</f>
        <v>67.25</v>
      </c>
      <c r="AO325" s="320">
        <f>IFERROR(__xludf.DUMMYFUNCTION("""COMPUTED_VALUE"""),13.83)</f>
        <v>13.83</v>
      </c>
    </row>
    <row r="326" ht="15.75" customHeight="1">
      <c r="A326" s="330">
        <f>IFERROR(__xludf.DUMMYFUNCTION("""COMPUTED_VALUE"""),46104.0)</f>
        <v>46104</v>
      </c>
      <c r="B326" s="319" t="str">
        <f>IFERROR(__xludf.DUMMYFUNCTION("""COMPUTED_VALUE"""),"A. 0")</f>
        <v>A. 0</v>
      </c>
      <c r="C326" s="320">
        <f>IFERROR(__xludf.DUMMYFUNCTION("""COMPUTED_VALUE"""),15140.0)</f>
        <v>15140</v>
      </c>
      <c r="D326" s="320">
        <f>IFERROR(__xludf.DUMMYFUNCTION("""COMPUTED_VALUE"""),19.42)</f>
        <v>19.42</v>
      </c>
      <c r="E326" s="320">
        <f>IFERROR(__xludf.DUMMYFUNCTION("""COMPUTED_VALUE"""),147.6)</f>
        <v>147.6</v>
      </c>
      <c r="F326" s="320">
        <f>IFERROR(__xludf.DUMMYFUNCTION("""COMPUTED_VALUE"""),0.0097)</f>
        <v>0.0097</v>
      </c>
      <c r="G326" s="320">
        <f>IFERROR(__xludf.DUMMYFUNCTION("""COMPUTED_VALUE"""),0.23)</f>
        <v>0.23</v>
      </c>
      <c r="H326" s="320">
        <f>IFERROR(__xludf.DUMMYFUNCTION("""COMPUTED_VALUE"""),4.2171)</f>
        <v>4.2171</v>
      </c>
      <c r="I326" s="320">
        <f>IFERROR(__xludf.DUMMYFUNCTION("""COMPUTED_VALUE"""),5.54)</f>
        <v>5.54</v>
      </c>
      <c r="J326" s="320">
        <f>IFERROR(__xludf.DUMMYFUNCTION("""COMPUTED_VALUE"""),2.4)</f>
        <v>2.4</v>
      </c>
      <c r="K326" s="320">
        <f>IFERROR(__xludf.DUMMYFUNCTION("""COMPUTED_VALUE"""),0.09)</f>
        <v>0.09</v>
      </c>
      <c r="L326" s="320">
        <f>IFERROR(__xludf.DUMMYFUNCTION("""COMPUTED_VALUE"""),0.0354)</f>
        <v>0.0354</v>
      </c>
      <c r="M326" s="320">
        <f>IFERROR(__xludf.DUMMYFUNCTION("""COMPUTED_VALUE"""),0.9696)</f>
        <v>0.9696</v>
      </c>
      <c r="N326" s="320">
        <f>IFERROR(__xludf.DUMMYFUNCTION("""COMPUTED_VALUE"""),0.6964)</f>
        <v>0.6964</v>
      </c>
      <c r="O326" s="320">
        <f>IFERROR(__xludf.DUMMYFUNCTION("""COMPUTED_VALUE"""),28.2202)</f>
        <v>28.2202</v>
      </c>
      <c r="P326" s="320">
        <f>IFERROR(__xludf.DUMMYFUNCTION("""COMPUTED_VALUE"""),36.5)</f>
        <v>36.5</v>
      </c>
      <c r="Q326" s="320">
        <f>IFERROR(__xludf.DUMMYFUNCTION("""COMPUTED_VALUE"""),36.45)</f>
        <v>36.45</v>
      </c>
      <c r="R326" s="320">
        <f>IFERROR(__xludf.DUMMYFUNCTION("""COMPUTED_VALUE"""),0.05)</f>
        <v>0.05</v>
      </c>
      <c r="S326" s="320">
        <f>IFERROR(__xludf.DUMMYFUNCTION("""COMPUTED_VALUE"""),0.78)</f>
        <v>0.78</v>
      </c>
      <c r="T326" s="320">
        <f>IFERROR(__xludf.DUMMYFUNCTION("""COMPUTED_VALUE"""),35.72)</f>
        <v>35.72</v>
      </c>
      <c r="U326" s="320">
        <f>IFERROR(__xludf.DUMMYFUNCTION("""COMPUTED_VALUE"""),2.91)</f>
        <v>2.91</v>
      </c>
      <c r="V326" s="320">
        <f>IFERROR(__xludf.DUMMYFUNCTION("""COMPUTED_VALUE"""),1.21)</f>
        <v>1.21</v>
      </c>
      <c r="W326" s="320">
        <f>IFERROR(__xludf.DUMMYFUNCTION("""COMPUTED_VALUE"""),2.14)</f>
        <v>2.14</v>
      </c>
      <c r="X326" s="320">
        <f>IFERROR(__xludf.DUMMYFUNCTION("""COMPUTED_VALUE"""),190.0)</f>
        <v>190</v>
      </c>
      <c r="Y326" s="320">
        <f>IFERROR(__xludf.DUMMYFUNCTION("""COMPUTED_VALUE"""),1389.0)</f>
        <v>1389</v>
      </c>
      <c r="Z326" s="320">
        <f>IFERROR(__xludf.DUMMYFUNCTION("""COMPUTED_VALUE"""),8115.0)</f>
        <v>8115</v>
      </c>
      <c r="AA326" s="320">
        <f>IFERROR(__xludf.DUMMYFUNCTION("""COMPUTED_VALUE"""),50.1092)</f>
        <v>50.1092</v>
      </c>
      <c r="AB326" s="320">
        <f>IFERROR(__xludf.DUMMYFUNCTION("""COMPUTED_VALUE"""),0.528)</f>
        <v>0.528</v>
      </c>
      <c r="AC326" s="106"/>
      <c r="AD326" s="106"/>
      <c r="AE326" s="106"/>
      <c r="AF326" s="106"/>
      <c r="AG326" s="106"/>
      <c r="AH326" s="320">
        <f>IFERROR(__xludf.DUMMYFUNCTION("""COMPUTED_VALUE"""),0.0)</f>
        <v>0</v>
      </c>
      <c r="AI326" s="320">
        <f>IFERROR(__xludf.DUMMYFUNCTION("""COMPUTED_VALUE"""),0.0)</f>
        <v>0</v>
      </c>
      <c r="AJ326" s="320">
        <f>IFERROR(__xludf.DUMMYFUNCTION("""COMPUTED_VALUE"""),0.0)</f>
        <v>0</v>
      </c>
      <c r="AK326" s="320">
        <f>IFERROR(__xludf.DUMMYFUNCTION("""COMPUTED_VALUE"""),0.2671)</f>
        <v>0.2671</v>
      </c>
      <c r="AL326" s="320">
        <f>IFERROR(__xludf.DUMMYFUNCTION("""COMPUTED_VALUE"""),15.82)</f>
        <v>15.82</v>
      </c>
      <c r="AM326" s="320">
        <f>IFERROR(__xludf.DUMMYFUNCTION("""COMPUTED_VALUE"""),20.63)</f>
        <v>20.63</v>
      </c>
      <c r="AN326" s="331"/>
      <c r="AO326" s="331"/>
    </row>
    <row r="327" ht="15.75" customHeight="1">
      <c r="A327" s="330">
        <f>IFERROR(__xludf.DUMMYFUNCTION("""COMPUTED_VALUE"""),46104.0)</f>
        <v>46104</v>
      </c>
      <c r="B327" s="319" t="str">
        <f>IFERROR(__xludf.DUMMYFUNCTION("""COMPUTED_VALUE"""),"B. 1-9")</f>
        <v>B. 1-9</v>
      </c>
      <c r="C327" s="320">
        <f>IFERROR(__xludf.DUMMYFUNCTION("""COMPUTED_VALUE"""),33476.0)</f>
        <v>33476</v>
      </c>
      <c r="D327" s="320">
        <f>IFERROR(__xludf.DUMMYFUNCTION("""COMPUTED_VALUE"""),42.94)</f>
        <v>42.94</v>
      </c>
      <c r="E327" s="320">
        <f>IFERROR(__xludf.DUMMYFUNCTION("""COMPUTED_VALUE"""),6069.04)</f>
        <v>6069.04</v>
      </c>
      <c r="F327" s="320">
        <f>IFERROR(__xludf.DUMMYFUNCTION("""COMPUTED_VALUE"""),0.1813)</f>
        <v>0.1813</v>
      </c>
      <c r="G327" s="320">
        <f>IFERROR(__xludf.DUMMYFUNCTION("""COMPUTED_VALUE"""),5.68)</f>
        <v>5.68</v>
      </c>
      <c r="H327" s="320">
        <f>IFERROR(__xludf.DUMMYFUNCTION("""COMPUTED_VALUE"""),3.1909)</f>
        <v>3.1909</v>
      </c>
      <c r="I327" s="320">
        <f>IFERROR(__xludf.DUMMYFUNCTION("""COMPUTED_VALUE"""),35.13)</f>
        <v>35.13</v>
      </c>
      <c r="J327" s="320">
        <f>IFERROR(__xludf.DUMMYFUNCTION("""COMPUTED_VALUE"""),19.03)</f>
        <v>19.03</v>
      </c>
      <c r="K327" s="320">
        <f>IFERROR(__xludf.DUMMYFUNCTION("""COMPUTED_VALUE"""),5.65)</f>
        <v>5.65</v>
      </c>
      <c r="L327" s="320">
        <f>IFERROR(__xludf.DUMMYFUNCTION("""COMPUTED_VALUE"""),0.2971)</f>
        <v>0.2971</v>
      </c>
      <c r="M327" s="320">
        <f>IFERROR(__xludf.DUMMYFUNCTION("""COMPUTED_VALUE"""),0.7717)</f>
        <v>0.7717</v>
      </c>
      <c r="N327" s="320">
        <f>IFERROR(__xludf.DUMMYFUNCTION("""COMPUTED_VALUE"""),0.5325)</f>
        <v>0.5325</v>
      </c>
      <c r="O327" s="320">
        <f>IFERROR(__xludf.DUMMYFUNCTION("""COMPUTED_VALUE"""),3.3664)</f>
        <v>3.3664</v>
      </c>
      <c r="P327" s="320">
        <f>IFERROR(__xludf.DUMMYFUNCTION("""COMPUTED_VALUE"""),96.14)</f>
        <v>96.14</v>
      </c>
      <c r="Q327" s="320">
        <f>IFERROR(__xludf.DUMMYFUNCTION("""COMPUTED_VALUE"""),84.55)</f>
        <v>84.55</v>
      </c>
      <c r="R327" s="320">
        <f>IFERROR(__xludf.DUMMYFUNCTION("""COMPUTED_VALUE"""),11.58)</f>
        <v>11.58</v>
      </c>
      <c r="S327" s="320">
        <f>IFERROR(__xludf.DUMMYFUNCTION("""COMPUTED_VALUE"""),13.12)</f>
        <v>13.12</v>
      </c>
      <c r="T327" s="320">
        <f>IFERROR(__xludf.DUMMYFUNCTION("""COMPUTED_VALUE"""),83.01)</f>
        <v>83.01</v>
      </c>
      <c r="U327" s="320">
        <f>IFERROR(__xludf.DUMMYFUNCTION("""COMPUTED_VALUE"""),87.84)</f>
        <v>87.84</v>
      </c>
      <c r="V327" s="320">
        <f>IFERROR(__xludf.DUMMYFUNCTION("""COMPUTED_VALUE"""),4.6166)</f>
        <v>4.6166</v>
      </c>
      <c r="W327" s="320">
        <f>IFERROR(__xludf.DUMMYFUNCTION("""COMPUTED_VALUE"""),13.65)</f>
        <v>13.65</v>
      </c>
      <c r="X327" s="320">
        <f>IFERROR(__xludf.DUMMYFUNCTION("""COMPUTED_VALUE"""),93.0)</f>
        <v>93</v>
      </c>
      <c r="Y327" s="320">
        <f>IFERROR(__xludf.DUMMYFUNCTION("""COMPUTED_VALUE"""),220.0)</f>
        <v>220</v>
      </c>
      <c r="Z327" s="320">
        <f>IFERROR(__xludf.DUMMYFUNCTION("""COMPUTED_VALUE"""),837.0)</f>
        <v>837</v>
      </c>
      <c r="AA327" s="320">
        <f>IFERROR(__xludf.DUMMYFUNCTION("""COMPUTED_VALUE"""),49.5962)</f>
        <v>49.5962</v>
      </c>
      <c r="AB327" s="320">
        <f>IFERROR(__xludf.DUMMYFUNCTION("""COMPUTED_VALUE"""),0.4362)</f>
        <v>0.4362</v>
      </c>
      <c r="AC327" s="320">
        <f>IFERROR(__xludf.DUMMYFUNCTION("""COMPUTED_VALUE"""),3.58)</f>
        <v>3.58</v>
      </c>
      <c r="AD327" s="320">
        <f>IFERROR(__xludf.DUMMYFUNCTION("""COMPUTED_VALUE"""),1.0)</f>
        <v>1</v>
      </c>
      <c r="AE327" s="320">
        <f>IFERROR(__xludf.DUMMYFUNCTION("""COMPUTED_VALUE"""),2.0)</f>
        <v>2</v>
      </c>
      <c r="AF327" s="320">
        <f>IFERROR(__xludf.DUMMYFUNCTION("""COMPUTED_VALUE"""),5.0)</f>
        <v>5</v>
      </c>
      <c r="AG327" s="320">
        <f>IFERROR(__xludf.DUMMYFUNCTION("""COMPUTED_VALUE"""),8.0)</f>
        <v>8</v>
      </c>
      <c r="AH327" s="320">
        <f>IFERROR(__xludf.DUMMYFUNCTION("""COMPUTED_VALUE"""),68.6)</f>
        <v>68.6</v>
      </c>
      <c r="AI327" s="320">
        <f>IFERROR(__xludf.DUMMYFUNCTION("""COMPUTED_VALUE"""),25.42)</f>
        <v>25.42</v>
      </c>
      <c r="AJ327" s="320">
        <f>IFERROR(__xludf.DUMMYFUNCTION("""COMPUTED_VALUE"""),6.69)</f>
        <v>6.69</v>
      </c>
      <c r="AK327" s="320">
        <f>IFERROR(__xludf.DUMMYFUNCTION("""COMPUTED_VALUE"""),0.2077)</f>
        <v>0.2077</v>
      </c>
      <c r="AL327" s="320">
        <f>IFERROR(__xludf.DUMMYFUNCTION("""COMPUTED_VALUE"""),18.41)</f>
        <v>18.41</v>
      </c>
      <c r="AM327" s="320">
        <f>IFERROR(__xludf.DUMMYFUNCTION("""COMPUTED_VALUE"""),66.14)</f>
        <v>66.14</v>
      </c>
      <c r="AN327" s="320">
        <f>IFERROR(__xludf.DUMMYFUNCTION("""COMPUTED_VALUE"""),68.44)</f>
        <v>68.44</v>
      </c>
      <c r="AO327" s="320">
        <f>IFERROR(__xludf.DUMMYFUNCTION("""COMPUTED_VALUE"""),12.6)</f>
        <v>12.6</v>
      </c>
    </row>
    <row r="328" ht="15.75" customHeight="1">
      <c r="A328" s="330">
        <f>IFERROR(__xludf.DUMMYFUNCTION("""COMPUTED_VALUE"""),46104.0)</f>
        <v>46104</v>
      </c>
      <c r="B328" s="319" t="str">
        <f>IFERROR(__xludf.DUMMYFUNCTION("""COMPUTED_VALUE"""),"C. 10-19")</f>
        <v>C. 10-19</v>
      </c>
      <c r="C328" s="320">
        <f>IFERROR(__xludf.DUMMYFUNCTION("""COMPUTED_VALUE"""),16744.0)</f>
        <v>16744</v>
      </c>
      <c r="D328" s="320">
        <f>IFERROR(__xludf.DUMMYFUNCTION("""COMPUTED_VALUE"""),21.48)</f>
        <v>21.48</v>
      </c>
      <c r="E328" s="320">
        <f>IFERROR(__xludf.DUMMYFUNCTION("""COMPUTED_VALUE"""),15567.55)</f>
        <v>15567.55</v>
      </c>
      <c r="F328" s="320">
        <f>IFERROR(__xludf.DUMMYFUNCTION("""COMPUTED_VALUE"""),0.9297)</f>
        <v>0.9297</v>
      </c>
      <c r="G328" s="320">
        <f>IFERROR(__xludf.DUMMYFUNCTION("""COMPUTED_VALUE"""),19.57)</f>
        <v>19.57</v>
      </c>
      <c r="H328" s="320">
        <f>IFERROR(__xludf.DUMMYFUNCTION("""COMPUTED_VALUE"""),4.7505)</f>
        <v>4.7505</v>
      </c>
      <c r="I328" s="320">
        <f>IFERROR(__xludf.DUMMYFUNCTION("""COMPUTED_VALUE"""),63.79)</f>
        <v>63.79</v>
      </c>
      <c r="J328" s="320">
        <f>IFERROR(__xludf.DUMMYFUNCTION("""COMPUTED_VALUE"""),36.61)</f>
        <v>36.61</v>
      </c>
      <c r="K328" s="320">
        <f>IFERROR(__xludf.DUMMYFUNCTION("""COMPUTED_VALUE"""),14.91)</f>
        <v>14.91</v>
      </c>
      <c r="L328" s="320">
        <f>IFERROR(__xludf.DUMMYFUNCTION("""COMPUTED_VALUE"""),0.4073)</f>
        <v>0.4073</v>
      </c>
      <c r="M328" s="320">
        <f>IFERROR(__xludf.DUMMYFUNCTION("""COMPUTED_VALUE"""),0.6571)</f>
        <v>0.6571</v>
      </c>
      <c r="N328" s="320">
        <f>IFERROR(__xludf.DUMMYFUNCTION("""COMPUTED_VALUE"""),0.3876)</f>
        <v>0.3876</v>
      </c>
      <c r="O328" s="320">
        <f>IFERROR(__xludf.DUMMYFUNCTION("""COMPUTED_VALUE"""),2.4554)</f>
        <v>2.4554</v>
      </c>
      <c r="P328" s="320">
        <f>IFERROR(__xludf.DUMMYFUNCTION("""COMPUTED_VALUE"""),204.33)</f>
        <v>204.33</v>
      </c>
      <c r="Q328" s="320">
        <f>IFERROR(__xludf.DUMMYFUNCTION("""COMPUTED_VALUE"""),174.81)</f>
        <v>174.81</v>
      </c>
      <c r="R328" s="320">
        <f>IFERROR(__xludf.DUMMYFUNCTION("""COMPUTED_VALUE"""),29.52)</f>
        <v>29.52</v>
      </c>
      <c r="S328" s="320">
        <f>IFERROR(__xludf.DUMMYFUNCTION("""COMPUTED_VALUE"""),63.22)</f>
        <v>63.22</v>
      </c>
      <c r="T328" s="320">
        <f>IFERROR(__xludf.DUMMYFUNCTION("""COMPUTED_VALUE"""),141.11)</f>
        <v>141.11</v>
      </c>
      <c r="U328" s="320">
        <f>IFERROR(__xludf.DUMMYFUNCTION("""COMPUTED_VALUE"""),202.28)</f>
        <v>202.28</v>
      </c>
      <c r="V328" s="320">
        <f>IFERROR(__xludf.DUMMYFUNCTION("""COMPUTED_VALUE"""),5.525)</f>
        <v>5.525</v>
      </c>
      <c r="W328" s="320">
        <f>IFERROR(__xludf.DUMMYFUNCTION("""COMPUTED_VALUE"""),30.94)</f>
        <v>30.94</v>
      </c>
      <c r="X328" s="320">
        <f>IFERROR(__xludf.DUMMYFUNCTION("""COMPUTED_VALUE"""),87.0)</f>
        <v>87</v>
      </c>
      <c r="Y328" s="320">
        <f>IFERROR(__xludf.DUMMYFUNCTION("""COMPUTED_VALUE"""),192.0)</f>
        <v>192</v>
      </c>
      <c r="Z328" s="320">
        <f>IFERROR(__xludf.DUMMYFUNCTION("""COMPUTED_VALUE"""),586.0)</f>
        <v>586</v>
      </c>
      <c r="AA328" s="320">
        <f>IFERROR(__xludf.DUMMYFUNCTION("""COMPUTED_VALUE"""),52.4013)</f>
        <v>52.4013</v>
      </c>
      <c r="AB328" s="320">
        <f>IFERROR(__xludf.DUMMYFUNCTION("""COMPUTED_VALUE"""),0.5124)</f>
        <v>0.5124</v>
      </c>
      <c r="AC328" s="320">
        <f>IFERROR(__xludf.DUMMYFUNCTION("""COMPUTED_VALUE"""),8.99)</f>
        <v>8.99</v>
      </c>
      <c r="AD328" s="320">
        <f>IFERROR(__xludf.DUMMYFUNCTION("""COMPUTED_VALUE"""),3.0)</f>
        <v>3</v>
      </c>
      <c r="AE328" s="320">
        <f>IFERROR(__xludf.DUMMYFUNCTION("""COMPUTED_VALUE"""),6.0)</f>
        <v>6</v>
      </c>
      <c r="AF328" s="320">
        <f>IFERROR(__xludf.DUMMYFUNCTION("""COMPUTED_VALUE"""),12.0)</f>
        <v>12</v>
      </c>
      <c r="AG328" s="320">
        <f>IFERROR(__xludf.DUMMYFUNCTION("""COMPUTED_VALUE"""),20.0)</f>
        <v>20</v>
      </c>
      <c r="AH328" s="320">
        <f>IFERROR(__xludf.DUMMYFUNCTION("""COMPUTED_VALUE"""),54.89)</f>
        <v>54.89</v>
      </c>
      <c r="AI328" s="320">
        <f>IFERROR(__xludf.DUMMYFUNCTION("""COMPUTED_VALUE"""),24.61)</f>
        <v>24.61</v>
      </c>
      <c r="AJ328" s="320">
        <f>IFERROR(__xludf.DUMMYFUNCTION("""COMPUTED_VALUE"""),5.16)</f>
        <v>5.16</v>
      </c>
      <c r="AK328" s="320">
        <f>IFERROR(__xludf.DUMMYFUNCTION("""COMPUTED_VALUE"""),0.1799)</f>
        <v>0.1799</v>
      </c>
      <c r="AL328" s="320">
        <f>IFERROR(__xludf.DUMMYFUNCTION("""COMPUTED_VALUE"""),19.2)</f>
        <v>19.2</v>
      </c>
      <c r="AM328" s="320">
        <f>IFERROR(__xludf.DUMMYFUNCTION("""COMPUTED_VALUE"""),155.61)</f>
        <v>155.61</v>
      </c>
      <c r="AN328" s="320">
        <f>IFERROR(__xludf.DUMMYFUNCTION("""COMPUTED_VALUE"""),72.63)</f>
        <v>72.63</v>
      </c>
      <c r="AO328" s="320">
        <f>IFERROR(__xludf.DUMMYFUNCTION("""COMPUTED_VALUE"""),13.94)</f>
        <v>13.94</v>
      </c>
    </row>
    <row r="329" ht="15.75" customHeight="1">
      <c r="A329" s="330">
        <f>IFERROR(__xludf.DUMMYFUNCTION("""COMPUTED_VALUE"""),46104.0)</f>
        <v>46104</v>
      </c>
      <c r="B329" s="319" t="str">
        <f>IFERROR(__xludf.DUMMYFUNCTION("""COMPUTED_VALUE"""),"D. 20-39")</f>
        <v>D. 20-39</v>
      </c>
      <c r="C329" s="320">
        <f>IFERROR(__xludf.DUMMYFUNCTION("""COMPUTED_VALUE"""),8732.0)</f>
        <v>8732</v>
      </c>
      <c r="D329" s="320">
        <f>IFERROR(__xludf.DUMMYFUNCTION("""COMPUTED_VALUE"""),11.2)</f>
        <v>11.2</v>
      </c>
      <c r="E329" s="320">
        <f>IFERROR(__xludf.DUMMYFUNCTION("""COMPUTED_VALUE"""),23010.45)</f>
        <v>23010.45</v>
      </c>
      <c r="F329" s="320">
        <f>IFERROR(__xludf.DUMMYFUNCTION("""COMPUTED_VALUE"""),2.6352)</f>
        <v>2.6352</v>
      </c>
      <c r="G329" s="320">
        <f>IFERROR(__xludf.DUMMYFUNCTION("""COMPUTED_VALUE"""),32.7)</f>
        <v>32.7</v>
      </c>
      <c r="H329" s="320">
        <f>IFERROR(__xludf.DUMMYFUNCTION("""COMPUTED_VALUE"""),8.0597)</f>
        <v>8.0597</v>
      </c>
      <c r="I329" s="320">
        <f>IFERROR(__xludf.DUMMYFUNCTION("""COMPUTED_VALUE"""),90.8)</f>
        <v>90.8</v>
      </c>
      <c r="J329" s="320">
        <f>IFERROR(__xludf.DUMMYFUNCTION("""COMPUTED_VALUE"""),54.51)</f>
        <v>54.51</v>
      </c>
      <c r="K329" s="320">
        <f>IFERROR(__xludf.DUMMYFUNCTION("""COMPUTED_VALUE"""),29.76)</f>
        <v>29.76</v>
      </c>
      <c r="L329" s="320">
        <f>IFERROR(__xludf.DUMMYFUNCTION("""COMPUTED_VALUE"""),0.546)</f>
        <v>0.546</v>
      </c>
      <c r="M329" s="320">
        <f>IFERROR(__xludf.DUMMYFUNCTION("""COMPUTED_VALUE"""),0.5299)</f>
        <v>0.5299</v>
      </c>
      <c r="N329" s="320">
        <f>IFERROR(__xludf.DUMMYFUNCTION("""COMPUTED_VALUE"""),0.2972)</f>
        <v>0.2972</v>
      </c>
      <c r="O329" s="320">
        <f>IFERROR(__xludf.DUMMYFUNCTION("""COMPUTED_VALUE"""),1.8316)</f>
        <v>1.8316</v>
      </c>
      <c r="P329" s="320">
        <f>IFERROR(__xludf.DUMMYFUNCTION("""COMPUTED_VALUE"""),395.38)</f>
        <v>395.38</v>
      </c>
      <c r="Q329" s="320">
        <f>IFERROR(__xludf.DUMMYFUNCTION("""COMPUTED_VALUE"""),336.89)</f>
        <v>336.89</v>
      </c>
      <c r="R329" s="320">
        <f>IFERROR(__xludf.DUMMYFUNCTION("""COMPUTED_VALUE"""),58.49)</f>
        <v>58.49</v>
      </c>
      <c r="S329" s="320">
        <f>IFERROR(__xludf.DUMMYFUNCTION("""COMPUTED_VALUE"""),170.36)</f>
        <v>170.36</v>
      </c>
      <c r="T329" s="320">
        <f>IFERROR(__xludf.DUMMYFUNCTION("""COMPUTED_VALUE"""),225.01)</f>
        <v>225.01</v>
      </c>
      <c r="U329" s="320">
        <f>IFERROR(__xludf.DUMMYFUNCTION("""COMPUTED_VALUE"""),399.18)</f>
        <v>399.18</v>
      </c>
      <c r="V329" s="320">
        <f>IFERROR(__xludf.DUMMYFUNCTION("""COMPUTED_VALUE"""),7.3231)</f>
        <v>7.3231</v>
      </c>
      <c r="W329" s="320">
        <f>IFERROR(__xludf.DUMMYFUNCTION("""COMPUTED_VALUE"""),43.09)</f>
        <v>43.09</v>
      </c>
      <c r="X329" s="320">
        <f>IFERROR(__xludf.DUMMYFUNCTION("""COMPUTED_VALUE"""),89.0)</f>
        <v>89</v>
      </c>
      <c r="Y329" s="320">
        <f>IFERROR(__xludf.DUMMYFUNCTION("""COMPUTED_VALUE"""),224.0)</f>
        <v>224</v>
      </c>
      <c r="Z329" s="320">
        <f>IFERROR(__xludf.DUMMYFUNCTION("""COMPUTED_VALUE"""),643.0)</f>
        <v>643</v>
      </c>
      <c r="AA329" s="320">
        <f>IFERROR(__xludf.DUMMYFUNCTION("""COMPUTED_VALUE"""),54.312)</f>
        <v>54.312</v>
      </c>
      <c r="AB329" s="320">
        <f>IFERROR(__xludf.DUMMYFUNCTION("""COMPUTED_VALUE"""),0.5953)</f>
        <v>0.5953</v>
      </c>
      <c r="AC329" s="320">
        <f>IFERROR(__xludf.DUMMYFUNCTION("""COMPUTED_VALUE"""),17.91)</f>
        <v>17.91</v>
      </c>
      <c r="AD329" s="320">
        <f>IFERROR(__xludf.DUMMYFUNCTION("""COMPUTED_VALUE"""),6.0)</f>
        <v>6</v>
      </c>
      <c r="AE329" s="320">
        <f>IFERROR(__xludf.DUMMYFUNCTION("""COMPUTED_VALUE"""),14.0)</f>
        <v>14</v>
      </c>
      <c r="AF329" s="320">
        <f>IFERROR(__xludf.DUMMYFUNCTION("""COMPUTED_VALUE"""),25.0)</f>
        <v>25</v>
      </c>
      <c r="AG329" s="320">
        <f>IFERROR(__xludf.DUMMYFUNCTION("""COMPUTED_VALUE"""),38.0)</f>
        <v>38</v>
      </c>
      <c r="AH329" s="320">
        <f>IFERROR(__xludf.DUMMYFUNCTION("""COMPUTED_VALUE"""),58.17)</f>
        <v>58.17</v>
      </c>
      <c r="AI329" s="320">
        <f>IFERROR(__xludf.DUMMYFUNCTION("""COMPUTED_VALUE"""),24.69)</f>
        <v>24.69</v>
      </c>
      <c r="AJ329" s="320">
        <f>IFERROR(__xludf.DUMMYFUNCTION("""COMPUTED_VALUE"""),6.54)</f>
        <v>6.54</v>
      </c>
      <c r="AK329" s="320">
        <f>IFERROR(__xludf.DUMMYFUNCTION("""COMPUTED_VALUE"""),0.1735)</f>
        <v>0.1735</v>
      </c>
      <c r="AL329" s="320">
        <f>IFERROR(__xludf.DUMMYFUNCTION("""COMPUTED_VALUE"""),18.96)</f>
        <v>18.96</v>
      </c>
      <c r="AM329" s="320">
        <f>IFERROR(__xludf.DUMMYFUNCTION("""COMPUTED_VALUE"""),317.92)</f>
        <v>317.92</v>
      </c>
      <c r="AN329" s="320">
        <f>IFERROR(__xludf.DUMMYFUNCTION("""COMPUTED_VALUE"""),70.41)</f>
        <v>70.41</v>
      </c>
      <c r="AO329" s="320">
        <f>IFERROR(__xludf.DUMMYFUNCTION("""COMPUTED_VALUE"""),13.35)</f>
        <v>13.35</v>
      </c>
    </row>
    <row r="330" ht="15.75" customHeight="1">
      <c r="A330" s="330">
        <f>IFERROR(__xludf.DUMMYFUNCTION("""COMPUTED_VALUE"""),46104.0)</f>
        <v>46104</v>
      </c>
      <c r="B330" s="319" t="str">
        <f>IFERROR(__xludf.DUMMYFUNCTION("""COMPUTED_VALUE"""),"E. 40-99")</f>
        <v>E. 40-99</v>
      </c>
      <c r="C330" s="320">
        <f>IFERROR(__xludf.DUMMYFUNCTION("""COMPUTED_VALUE"""),3512.0)</f>
        <v>3512</v>
      </c>
      <c r="D330" s="320">
        <f>IFERROR(__xludf.DUMMYFUNCTION("""COMPUTED_VALUE"""),4.5)</f>
        <v>4.5</v>
      </c>
      <c r="E330" s="320">
        <f>IFERROR(__xludf.DUMMYFUNCTION("""COMPUTED_VALUE"""),23352.89)</f>
        <v>23352.89</v>
      </c>
      <c r="F330" s="320">
        <f>IFERROR(__xludf.DUMMYFUNCTION("""COMPUTED_VALUE"""),6.6495)</f>
        <v>6.6495</v>
      </c>
      <c r="G330" s="320">
        <f>IFERROR(__xludf.DUMMYFUNCTION("""COMPUTED_VALUE"""),44.31)</f>
        <v>44.31</v>
      </c>
      <c r="H330" s="320">
        <f>IFERROR(__xludf.DUMMYFUNCTION("""COMPUTED_VALUE"""),15.0083)</f>
        <v>15.0083</v>
      </c>
      <c r="I330" s="320">
        <f>IFERROR(__xludf.DUMMYFUNCTION("""COMPUTED_VALUE"""),143.49)</f>
        <v>143.49</v>
      </c>
      <c r="J330" s="320">
        <f>IFERROR(__xludf.DUMMYFUNCTION("""COMPUTED_VALUE"""),89.21)</f>
        <v>89.21</v>
      </c>
      <c r="K330" s="320">
        <f>IFERROR(__xludf.DUMMYFUNCTION("""COMPUTED_VALUE"""),62.5)</f>
        <v>62.5</v>
      </c>
      <c r="L330" s="320">
        <f>IFERROR(__xludf.DUMMYFUNCTION("""COMPUTED_VALUE"""),0.7006)</f>
        <v>0.7006</v>
      </c>
      <c r="M330" s="320">
        <f>IFERROR(__xludf.DUMMYFUNCTION("""COMPUTED_VALUE"""),0.3914)</f>
        <v>0.3914</v>
      </c>
      <c r="N330" s="320">
        <f>IFERROR(__xludf.DUMMYFUNCTION("""COMPUTED_VALUE"""),0.2271)</f>
        <v>0.2271</v>
      </c>
      <c r="O330" s="320">
        <f>IFERROR(__xludf.DUMMYFUNCTION("""COMPUTED_VALUE"""),1.4273)</f>
        <v>1.4273</v>
      </c>
      <c r="P330" s="320">
        <f>IFERROR(__xludf.DUMMYFUNCTION("""COMPUTED_VALUE"""),797.32)</f>
        <v>797.32</v>
      </c>
      <c r="Q330" s="320">
        <f>IFERROR(__xludf.DUMMYFUNCTION("""COMPUTED_VALUE"""),678.18)</f>
        <v>678.18</v>
      </c>
      <c r="R330" s="320">
        <f>IFERROR(__xludf.DUMMYFUNCTION("""COMPUTED_VALUE"""),119.14)</f>
        <v>119.14</v>
      </c>
      <c r="S330" s="320">
        <f>IFERROR(__xludf.DUMMYFUNCTION("""COMPUTED_VALUE"""),417.46)</f>
        <v>417.46</v>
      </c>
      <c r="T330" s="320">
        <f>IFERROR(__xludf.DUMMYFUNCTION("""COMPUTED_VALUE"""),379.86)</f>
        <v>379.86</v>
      </c>
      <c r="U330" s="320">
        <f>IFERROR(__xludf.DUMMYFUNCTION("""COMPUTED_VALUE"""),809.11)</f>
        <v>809.11</v>
      </c>
      <c r="V330" s="320">
        <f>IFERROR(__xludf.DUMMYFUNCTION("""COMPUTED_VALUE"""),9.0702)</f>
        <v>9.0702</v>
      </c>
      <c r="W330" s="320">
        <f>IFERROR(__xludf.DUMMYFUNCTION("""COMPUTED_VALUE"""),52.36)</f>
        <v>52.36</v>
      </c>
      <c r="X330" s="320">
        <f>IFERROR(__xludf.DUMMYFUNCTION("""COMPUTED_VALUE"""),102.0)</f>
        <v>102</v>
      </c>
      <c r="Y330" s="320">
        <f>IFERROR(__xludf.DUMMYFUNCTION("""COMPUTED_VALUE"""),349.0)</f>
        <v>349</v>
      </c>
      <c r="Z330" s="320">
        <f>IFERROR(__xludf.DUMMYFUNCTION("""COMPUTED_VALUE"""),1184.0)</f>
        <v>1184</v>
      </c>
      <c r="AA330" s="320">
        <f>IFERROR(__xludf.DUMMYFUNCTION("""COMPUTED_VALUE"""),57.5227)</f>
        <v>57.5227</v>
      </c>
      <c r="AB330" s="320">
        <f>IFERROR(__xludf.DUMMYFUNCTION("""COMPUTED_VALUE"""),0.6817)</f>
        <v>0.6817</v>
      </c>
      <c r="AC330" s="320">
        <f>IFERROR(__xludf.DUMMYFUNCTION("""COMPUTED_VALUE"""),37.39)</f>
        <v>37.39</v>
      </c>
      <c r="AD330" s="320">
        <f>IFERROR(__xludf.DUMMYFUNCTION("""COMPUTED_VALUE"""),15.0)</f>
        <v>15</v>
      </c>
      <c r="AE330" s="320">
        <f>IFERROR(__xludf.DUMMYFUNCTION("""COMPUTED_VALUE"""),31.0)</f>
        <v>31</v>
      </c>
      <c r="AF330" s="320">
        <f>IFERROR(__xludf.DUMMYFUNCTION("""COMPUTED_VALUE"""),49.0)</f>
        <v>49</v>
      </c>
      <c r="AG330" s="320">
        <f>IFERROR(__xludf.DUMMYFUNCTION("""COMPUTED_VALUE"""),79.0)</f>
        <v>79</v>
      </c>
      <c r="AH330" s="320">
        <f>IFERROR(__xludf.DUMMYFUNCTION("""COMPUTED_VALUE"""),53.99)</f>
        <v>53.99</v>
      </c>
      <c r="AI330" s="320">
        <f>IFERROR(__xludf.DUMMYFUNCTION("""COMPUTED_VALUE"""),18.37)</f>
        <v>18.37</v>
      </c>
      <c r="AJ330" s="320">
        <f>IFERROR(__xludf.DUMMYFUNCTION("""COMPUTED_VALUE"""),5.07)</f>
        <v>5.07</v>
      </c>
      <c r="AK330" s="320">
        <f>IFERROR(__xludf.DUMMYFUNCTION("""COMPUTED_VALUE"""),0.1515)</f>
        <v>0.1515</v>
      </c>
      <c r="AL330" s="320">
        <f>IFERROR(__xludf.DUMMYFUNCTION("""COMPUTED_VALUE"""),19.96)</f>
        <v>19.96</v>
      </c>
      <c r="AM330" s="320">
        <f>IFERROR(__xludf.DUMMYFUNCTION("""COMPUTED_VALUE"""),658.22)</f>
        <v>658.22</v>
      </c>
      <c r="AN330" s="320">
        <f>IFERROR(__xludf.DUMMYFUNCTION("""COMPUTED_VALUE"""),68.35)</f>
        <v>68.35</v>
      </c>
      <c r="AO330" s="320">
        <f>IFERROR(__xludf.DUMMYFUNCTION("""COMPUTED_VALUE"""),13.64)</f>
        <v>13.64</v>
      </c>
    </row>
    <row r="331" ht="15.75" customHeight="1">
      <c r="A331" s="330">
        <f>IFERROR(__xludf.DUMMYFUNCTION("""COMPUTED_VALUE"""),46104.0)</f>
        <v>46104</v>
      </c>
      <c r="B331" s="319" t="str">
        <f>IFERROR(__xludf.DUMMYFUNCTION("""COMPUTED_VALUE"""),"F. 100+")</f>
        <v>F. 100+</v>
      </c>
      <c r="C331" s="320">
        <f>IFERROR(__xludf.DUMMYFUNCTION("""COMPUTED_VALUE"""),364.0)</f>
        <v>364</v>
      </c>
      <c r="D331" s="320">
        <f>IFERROR(__xludf.DUMMYFUNCTION("""COMPUTED_VALUE"""),0.47)</f>
        <v>0.47</v>
      </c>
      <c r="E331" s="320">
        <f>IFERROR(__xludf.DUMMYFUNCTION("""COMPUTED_VALUE"""),4119.42)</f>
        <v>4119.42</v>
      </c>
      <c r="F331" s="320">
        <f>IFERROR(__xludf.DUMMYFUNCTION("""COMPUTED_VALUE"""),11.3171)</f>
        <v>11.3171</v>
      </c>
      <c r="G331" s="320">
        <f>IFERROR(__xludf.DUMMYFUNCTION("""COMPUTED_VALUE"""),44.23)</f>
        <v>44.23</v>
      </c>
      <c r="H331" s="320">
        <f>IFERROR(__xludf.DUMMYFUNCTION("""COMPUTED_VALUE"""),25.5865)</f>
        <v>25.5865</v>
      </c>
      <c r="I331" s="320">
        <f>IFERROR(__xludf.DUMMYFUNCTION("""COMPUTED_VALUE"""),264.35)</f>
        <v>264.35</v>
      </c>
      <c r="J331" s="320">
        <f>IFERROR(__xludf.DUMMYFUNCTION("""COMPUTED_VALUE"""),172.26)</f>
        <v>172.26</v>
      </c>
      <c r="K331" s="320">
        <f>IFERROR(__xludf.DUMMYFUNCTION("""COMPUTED_VALUE"""),137.57)</f>
        <v>137.57</v>
      </c>
      <c r="L331" s="320">
        <f>IFERROR(__xludf.DUMMYFUNCTION("""COMPUTED_VALUE"""),0.7986)</f>
        <v>0.7986</v>
      </c>
      <c r="M331" s="320">
        <f>IFERROR(__xludf.DUMMYFUNCTION("""COMPUTED_VALUE"""),0.2934)</f>
        <v>0.2934</v>
      </c>
      <c r="N331" s="320">
        <f>IFERROR(__xludf.DUMMYFUNCTION("""COMPUTED_VALUE"""),0.1824)</f>
        <v>0.1824</v>
      </c>
      <c r="O331" s="320">
        <f>IFERROR(__xludf.DUMMYFUNCTION("""COMPUTED_VALUE"""),1.2522)</f>
        <v>1.2522</v>
      </c>
      <c r="P331" s="320">
        <f>IFERROR(__xludf.DUMMYFUNCTION("""COMPUTED_VALUE"""),1432.13)</f>
        <v>1432.13</v>
      </c>
      <c r="Q331" s="320">
        <f>IFERROR(__xludf.DUMMYFUNCTION("""COMPUTED_VALUE"""),1142.23)</f>
        <v>1142.23</v>
      </c>
      <c r="R331" s="320">
        <f>IFERROR(__xludf.DUMMYFUNCTION("""COMPUTED_VALUE"""),289.9)</f>
        <v>289.9</v>
      </c>
      <c r="S331" s="320">
        <f>IFERROR(__xludf.DUMMYFUNCTION("""COMPUTED_VALUE"""),721.25)</f>
        <v>721.25</v>
      </c>
      <c r="T331" s="320">
        <f>IFERROR(__xludf.DUMMYFUNCTION("""COMPUTED_VALUE"""),710.88)</f>
        <v>710.88</v>
      </c>
      <c r="U331" s="320">
        <f>IFERROR(__xludf.DUMMYFUNCTION("""COMPUTED_VALUE"""),1479.81)</f>
        <v>1479.81</v>
      </c>
      <c r="V331" s="320">
        <f>IFERROR(__xludf.DUMMYFUNCTION("""COMPUTED_VALUE"""),8.5905)</f>
        <v>8.5905</v>
      </c>
      <c r="W331" s="320">
        <f>IFERROR(__xludf.DUMMYFUNCTION("""COMPUTED_VALUE"""),50.36)</f>
        <v>50.36</v>
      </c>
      <c r="X331" s="320">
        <f>IFERROR(__xludf.DUMMYFUNCTION("""COMPUTED_VALUE"""),138.0)</f>
        <v>138</v>
      </c>
      <c r="Y331" s="320">
        <f>IFERROR(__xludf.DUMMYFUNCTION("""COMPUTED_VALUE"""),613.0)</f>
        <v>613</v>
      </c>
      <c r="Z331" s="320">
        <f>IFERROR(__xludf.DUMMYFUNCTION("""COMPUTED_VALUE"""),1906.0)</f>
        <v>1906</v>
      </c>
      <c r="AA331" s="320">
        <f>IFERROR(__xludf.DUMMYFUNCTION("""COMPUTED_VALUE"""),62.6437)</f>
        <v>62.6437</v>
      </c>
      <c r="AB331" s="320">
        <f>IFERROR(__xludf.DUMMYFUNCTION("""COMPUTED_VALUE"""),0.8309)</f>
        <v>0.8309</v>
      </c>
      <c r="AC331" s="320">
        <f>IFERROR(__xludf.DUMMYFUNCTION("""COMPUTED_VALUE"""),93.23)</f>
        <v>93.23</v>
      </c>
      <c r="AD331" s="320">
        <f>IFERROR(__xludf.DUMMYFUNCTION("""COMPUTED_VALUE"""),31.0)</f>
        <v>31</v>
      </c>
      <c r="AE331" s="320">
        <f>IFERROR(__xludf.DUMMYFUNCTION("""COMPUTED_VALUE"""),73.0)</f>
        <v>73</v>
      </c>
      <c r="AF331" s="320">
        <f>IFERROR(__xludf.DUMMYFUNCTION("""COMPUTED_VALUE"""),129.0)</f>
        <v>129</v>
      </c>
      <c r="AG331" s="320">
        <f>IFERROR(__xludf.DUMMYFUNCTION("""COMPUTED_VALUE"""),209.0)</f>
        <v>209</v>
      </c>
      <c r="AH331" s="320">
        <f>IFERROR(__xludf.DUMMYFUNCTION("""COMPUTED_VALUE"""),46.43)</f>
        <v>46.43</v>
      </c>
      <c r="AI331" s="320">
        <f>IFERROR(__xludf.DUMMYFUNCTION("""COMPUTED_VALUE"""),12.64)</f>
        <v>12.64</v>
      </c>
      <c r="AJ331" s="320">
        <f>IFERROR(__xludf.DUMMYFUNCTION("""COMPUTED_VALUE"""),4.12)</f>
        <v>4.12</v>
      </c>
      <c r="AK331" s="320">
        <f>IFERROR(__xludf.DUMMYFUNCTION("""COMPUTED_VALUE"""),0.1126)</f>
        <v>0.1126</v>
      </c>
      <c r="AL331" s="320">
        <f>IFERROR(__xludf.DUMMYFUNCTION("""COMPUTED_VALUE"""),20.07)</f>
        <v>20.07</v>
      </c>
      <c r="AM331" s="320">
        <f>IFERROR(__xludf.DUMMYFUNCTION("""COMPUTED_VALUE"""),1122.16)</f>
        <v>1122.16</v>
      </c>
      <c r="AN331" s="320">
        <f>IFERROR(__xludf.DUMMYFUNCTION("""COMPUTED_VALUE"""),71.31)</f>
        <v>71.31</v>
      </c>
      <c r="AO331" s="320">
        <f>IFERROR(__xludf.DUMMYFUNCTION("""COMPUTED_VALUE"""),14.31)</f>
        <v>14.31</v>
      </c>
    </row>
    <row r="332" ht="15.75" customHeight="1">
      <c r="A332" s="330">
        <f>IFERROR(__xludf.DUMMYFUNCTION("""COMPUTED_VALUE"""),46105.0)</f>
        <v>46105</v>
      </c>
      <c r="B332" s="319" t="str">
        <f>IFERROR(__xludf.DUMMYFUNCTION("""COMPUTED_VALUE"""),"A. 0")</f>
        <v>A. 0</v>
      </c>
      <c r="C332" s="320">
        <f>IFERROR(__xludf.DUMMYFUNCTION("""COMPUTED_VALUE"""),15813.0)</f>
        <v>15813</v>
      </c>
      <c r="D332" s="320">
        <f>IFERROR(__xludf.DUMMYFUNCTION("""COMPUTED_VALUE"""),20.32)</f>
        <v>20.32</v>
      </c>
      <c r="E332" s="320">
        <f>IFERROR(__xludf.DUMMYFUNCTION("""COMPUTED_VALUE"""),112.26)</f>
        <v>112.26</v>
      </c>
      <c r="F332" s="320">
        <f>IFERROR(__xludf.DUMMYFUNCTION("""COMPUTED_VALUE"""),0.0071)</f>
        <v>0.0071</v>
      </c>
      <c r="G332" s="320">
        <f>IFERROR(__xludf.DUMMYFUNCTION("""COMPUTED_VALUE"""),0.15)</f>
        <v>0.15</v>
      </c>
      <c r="H332" s="320">
        <f>IFERROR(__xludf.DUMMYFUNCTION("""COMPUTED_VALUE"""),4.6775)</f>
        <v>4.6775</v>
      </c>
      <c r="I332" s="320">
        <f>IFERROR(__xludf.DUMMYFUNCTION("""COMPUTED_VALUE"""),5.99)</f>
        <v>5.99</v>
      </c>
      <c r="J332" s="320">
        <f>IFERROR(__xludf.DUMMYFUNCTION("""COMPUTED_VALUE"""),2.7)</f>
        <v>2.7</v>
      </c>
      <c r="K332" s="320">
        <f>IFERROR(__xludf.DUMMYFUNCTION("""COMPUTED_VALUE"""),0.04)</f>
        <v>0.04</v>
      </c>
      <c r="L332" s="320">
        <f>IFERROR(__xludf.DUMMYFUNCTION("""COMPUTED_VALUE"""),0.0131)</f>
        <v>0.0131</v>
      </c>
      <c r="M332" s="320">
        <f>IFERROR(__xludf.DUMMYFUNCTION("""COMPUTED_VALUE"""),0.9883)</f>
        <v>0.9883</v>
      </c>
      <c r="N332" s="320">
        <f>IFERROR(__xludf.DUMMYFUNCTION("""COMPUTED_VALUE"""),0.8281)</f>
        <v>0.8281</v>
      </c>
      <c r="O332" s="320">
        <f>IFERROR(__xludf.DUMMYFUNCTION("""COMPUTED_VALUE"""),76.2898)</f>
        <v>76.2898</v>
      </c>
      <c r="P332" s="320">
        <f>IFERROR(__xludf.DUMMYFUNCTION("""COMPUTED_VALUE"""),26.57)</f>
        <v>26.57</v>
      </c>
      <c r="Q332" s="320">
        <f>IFERROR(__xludf.DUMMYFUNCTION("""COMPUTED_VALUE"""),26.51)</f>
        <v>26.51</v>
      </c>
      <c r="R332" s="320">
        <f>IFERROR(__xludf.DUMMYFUNCTION("""COMPUTED_VALUE"""),0.06)</f>
        <v>0.06</v>
      </c>
      <c r="S332" s="320">
        <f>IFERROR(__xludf.DUMMYFUNCTION("""COMPUTED_VALUE"""),0.6)</f>
        <v>0.6</v>
      </c>
      <c r="T332" s="320">
        <f>IFERROR(__xludf.DUMMYFUNCTION("""COMPUTED_VALUE"""),25.97)</f>
        <v>25.97</v>
      </c>
      <c r="U332" s="320">
        <f>IFERROR(__xludf.DUMMYFUNCTION("""COMPUTED_VALUE"""),2.37)</f>
        <v>2.37</v>
      </c>
      <c r="V332" s="320">
        <f>IFERROR(__xludf.DUMMYFUNCTION("""COMPUTED_VALUE"""),0.877)</f>
        <v>0.877</v>
      </c>
      <c r="W332" s="320">
        <f>IFERROR(__xludf.DUMMYFUNCTION("""COMPUTED_VALUE"""),2.24)</f>
        <v>2.24</v>
      </c>
      <c r="X332" s="320">
        <f>IFERROR(__xludf.DUMMYFUNCTION("""COMPUTED_VALUE"""),163.0)</f>
        <v>163</v>
      </c>
      <c r="Y332" s="320">
        <f>IFERROR(__xludf.DUMMYFUNCTION("""COMPUTED_VALUE"""),1171.0)</f>
        <v>1171</v>
      </c>
      <c r="Z332" s="320">
        <f>IFERROR(__xludf.DUMMYFUNCTION("""COMPUTED_VALUE"""),7441.0)</f>
        <v>7441</v>
      </c>
      <c r="AA332" s="320">
        <f>IFERROR(__xludf.DUMMYFUNCTION("""COMPUTED_VALUE"""),49.726)</f>
        <v>49.726</v>
      </c>
      <c r="AB332" s="320">
        <f>IFERROR(__xludf.DUMMYFUNCTION("""COMPUTED_VALUE"""),0.5099)</f>
        <v>0.5099</v>
      </c>
      <c r="AC332" s="106"/>
      <c r="AD332" s="106"/>
      <c r="AE332" s="106"/>
      <c r="AF332" s="106"/>
      <c r="AG332" s="106"/>
      <c r="AH332" s="320">
        <f>IFERROR(__xludf.DUMMYFUNCTION("""COMPUTED_VALUE"""),0.0)</f>
        <v>0</v>
      </c>
      <c r="AI332" s="320">
        <f>IFERROR(__xludf.DUMMYFUNCTION("""COMPUTED_VALUE"""),0.0)</f>
        <v>0</v>
      </c>
      <c r="AJ332" s="320">
        <f>IFERROR(__xludf.DUMMYFUNCTION("""COMPUTED_VALUE"""),0.0)</f>
        <v>0</v>
      </c>
      <c r="AK332" s="320">
        <f>IFERROR(__xludf.DUMMYFUNCTION("""COMPUTED_VALUE"""),0.2599)</f>
        <v>0.2599</v>
      </c>
      <c r="AL332" s="320">
        <f>IFERROR(__xludf.DUMMYFUNCTION("""COMPUTED_VALUE"""),14.93)</f>
        <v>14.93</v>
      </c>
      <c r="AM332" s="320">
        <f>IFERROR(__xludf.DUMMYFUNCTION("""COMPUTED_VALUE"""),11.58)</f>
        <v>11.58</v>
      </c>
      <c r="AN332" s="331"/>
      <c r="AO332" s="331"/>
    </row>
    <row r="333" ht="15.75" customHeight="1">
      <c r="A333" s="330">
        <f>IFERROR(__xludf.DUMMYFUNCTION("""COMPUTED_VALUE"""),46105.0)</f>
        <v>46105</v>
      </c>
      <c r="B333" s="319" t="str">
        <f>IFERROR(__xludf.DUMMYFUNCTION("""COMPUTED_VALUE"""),"B. 1-9")</f>
        <v>B. 1-9</v>
      </c>
      <c r="C333" s="320">
        <f>IFERROR(__xludf.DUMMYFUNCTION("""COMPUTED_VALUE"""),33185.0)</f>
        <v>33185</v>
      </c>
      <c r="D333" s="320">
        <f>IFERROR(__xludf.DUMMYFUNCTION("""COMPUTED_VALUE"""),42.65)</f>
        <v>42.65</v>
      </c>
      <c r="E333" s="320">
        <f>IFERROR(__xludf.DUMMYFUNCTION("""COMPUTED_VALUE"""),6503.08)</f>
        <v>6503.08</v>
      </c>
      <c r="F333" s="320">
        <f>IFERROR(__xludf.DUMMYFUNCTION("""COMPUTED_VALUE"""),0.196)</f>
        <v>0.196</v>
      </c>
      <c r="G333" s="320">
        <f>IFERROR(__xludf.DUMMYFUNCTION("""COMPUTED_VALUE"""),5.77)</f>
        <v>5.77</v>
      </c>
      <c r="H333" s="320">
        <f>IFERROR(__xludf.DUMMYFUNCTION("""COMPUTED_VALUE"""),3.3941)</f>
        <v>3.3941</v>
      </c>
      <c r="I333" s="320">
        <f>IFERROR(__xludf.DUMMYFUNCTION("""COMPUTED_VALUE"""),29.81)</f>
        <v>29.81</v>
      </c>
      <c r="J333" s="320">
        <f>IFERROR(__xludf.DUMMYFUNCTION("""COMPUTED_VALUE"""),15.96)</f>
        <v>15.96</v>
      </c>
      <c r="K333" s="320">
        <f>IFERROR(__xludf.DUMMYFUNCTION("""COMPUTED_VALUE"""),5.13)</f>
        <v>5.13</v>
      </c>
      <c r="L333" s="320">
        <f>IFERROR(__xludf.DUMMYFUNCTION("""COMPUTED_VALUE"""),0.3213)</f>
        <v>0.3213</v>
      </c>
      <c r="M333" s="320">
        <f>IFERROR(__xludf.DUMMYFUNCTION("""COMPUTED_VALUE"""),0.7536)</f>
        <v>0.7536</v>
      </c>
      <c r="N333" s="320">
        <f>IFERROR(__xludf.DUMMYFUNCTION("""COMPUTED_VALUE"""),0.5233)</f>
        <v>0.5233</v>
      </c>
      <c r="O333" s="320">
        <f>IFERROR(__xludf.DUMMYFUNCTION("""COMPUTED_VALUE"""),3.1121)</f>
        <v>3.1121</v>
      </c>
      <c r="P333" s="320">
        <f>IFERROR(__xludf.DUMMYFUNCTION("""COMPUTED_VALUE"""),70.77)</f>
        <v>70.77</v>
      </c>
      <c r="Q333" s="320">
        <f>IFERROR(__xludf.DUMMYFUNCTION("""COMPUTED_VALUE"""),60.07)</f>
        <v>60.07</v>
      </c>
      <c r="R333" s="320">
        <f>IFERROR(__xludf.DUMMYFUNCTION("""COMPUTED_VALUE"""),10.7)</f>
        <v>10.7</v>
      </c>
      <c r="S333" s="320">
        <f>IFERROR(__xludf.DUMMYFUNCTION("""COMPUTED_VALUE"""),14.44)</f>
        <v>14.44</v>
      </c>
      <c r="T333" s="320">
        <f>IFERROR(__xludf.DUMMYFUNCTION("""COMPUTED_VALUE"""),56.33)</f>
        <v>56.33</v>
      </c>
      <c r="U333" s="320">
        <f>IFERROR(__xludf.DUMMYFUNCTION("""COMPUTED_VALUE"""),76.23)</f>
        <v>76.23</v>
      </c>
      <c r="V333" s="320">
        <f>IFERROR(__xludf.DUMMYFUNCTION("""COMPUTED_VALUE"""),4.7771)</f>
        <v>4.7771</v>
      </c>
      <c r="W333" s="320">
        <f>IFERROR(__xludf.DUMMYFUNCTION("""COMPUTED_VALUE"""),20.4)</f>
        <v>20.4</v>
      </c>
      <c r="X333" s="320">
        <f>IFERROR(__xludf.DUMMYFUNCTION("""COMPUTED_VALUE"""),88.0)</f>
        <v>88</v>
      </c>
      <c r="Y333" s="320">
        <f>IFERROR(__xludf.DUMMYFUNCTION("""COMPUTED_VALUE"""),216.0)</f>
        <v>216</v>
      </c>
      <c r="Z333" s="320">
        <f>IFERROR(__xludf.DUMMYFUNCTION("""COMPUTED_VALUE"""),849.0)</f>
        <v>849</v>
      </c>
      <c r="AA333" s="320">
        <f>IFERROR(__xludf.DUMMYFUNCTION("""COMPUTED_VALUE"""),49.6394)</f>
        <v>49.6394</v>
      </c>
      <c r="AB333" s="320">
        <f>IFERROR(__xludf.DUMMYFUNCTION("""COMPUTED_VALUE"""),0.4372)</f>
        <v>0.4372</v>
      </c>
      <c r="AC333" s="320">
        <f>IFERROR(__xludf.DUMMYFUNCTION("""COMPUTED_VALUE"""),3.5)</f>
        <v>3.5</v>
      </c>
      <c r="AD333" s="320">
        <f>IFERROR(__xludf.DUMMYFUNCTION("""COMPUTED_VALUE"""),1.0)</f>
        <v>1</v>
      </c>
      <c r="AE333" s="320">
        <f>IFERROR(__xludf.DUMMYFUNCTION("""COMPUTED_VALUE"""),2.0)</f>
        <v>2</v>
      </c>
      <c r="AF333" s="320">
        <f>IFERROR(__xludf.DUMMYFUNCTION("""COMPUTED_VALUE"""),4.0)</f>
        <v>4</v>
      </c>
      <c r="AG333" s="320">
        <f>IFERROR(__xludf.DUMMYFUNCTION("""COMPUTED_VALUE"""),8.0)</f>
        <v>8</v>
      </c>
      <c r="AH333" s="320">
        <f>IFERROR(__xludf.DUMMYFUNCTION("""COMPUTED_VALUE"""),66.09)</f>
        <v>66.09</v>
      </c>
      <c r="AI333" s="320">
        <f>IFERROR(__xludf.DUMMYFUNCTION("""COMPUTED_VALUE"""),24.26)</f>
        <v>24.26</v>
      </c>
      <c r="AJ333" s="320">
        <f>IFERROR(__xludf.DUMMYFUNCTION("""COMPUTED_VALUE"""),6.9)</f>
        <v>6.9</v>
      </c>
      <c r="AK333" s="320">
        <f>IFERROR(__xludf.DUMMYFUNCTION("""COMPUTED_VALUE"""),0.2093)</f>
        <v>0.2093</v>
      </c>
      <c r="AL333" s="320">
        <f>IFERROR(__xludf.DUMMYFUNCTION("""COMPUTED_VALUE"""),18.49)</f>
        <v>18.49</v>
      </c>
      <c r="AM333" s="320">
        <f>IFERROR(__xludf.DUMMYFUNCTION("""COMPUTED_VALUE"""),41.59)</f>
        <v>41.59</v>
      </c>
      <c r="AN333" s="320">
        <f>IFERROR(__xludf.DUMMYFUNCTION("""COMPUTED_VALUE"""),68.52)</f>
        <v>68.52</v>
      </c>
      <c r="AO333" s="320">
        <f>IFERROR(__xludf.DUMMYFUNCTION("""COMPUTED_VALUE"""),12.67)</f>
        <v>12.67</v>
      </c>
    </row>
    <row r="334" ht="15.75" customHeight="1">
      <c r="A334" s="330">
        <f>IFERROR(__xludf.DUMMYFUNCTION("""COMPUTED_VALUE"""),46105.0)</f>
        <v>46105</v>
      </c>
      <c r="B334" s="319" t="str">
        <f>IFERROR(__xludf.DUMMYFUNCTION("""COMPUTED_VALUE"""),"C. 10-19")</f>
        <v>C. 10-19</v>
      </c>
      <c r="C334" s="320">
        <f>IFERROR(__xludf.DUMMYFUNCTION("""COMPUTED_VALUE"""),16724.0)</f>
        <v>16724</v>
      </c>
      <c r="D334" s="320">
        <f>IFERROR(__xludf.DUMMYFUNCTION("""COMPUTED_VALUE"""),21.49)</f>
        <v>21.49</v>
      </c>
      <c r="E334" s="320">
        <f>IFERROR(__xludf.DUMMYFUNCTION("""COMPUTED_VALUE"""),16265.11)</f>
        <v>16265.11</v>
      </c>
      <c r="F334" s="320">
        <f>IFERROR(__xludf.DUMMYFUNCTION("""COMPUTED_VALUE"""),0.9726)</f>
        <v>0.9726</v>
      </c>
      <c r="G334" s="320">
        <f>IFERROR(__xludf.DUMMYFUNCTION("""COMPUTED_VALUE"""),20.32)</f>
        <v>20.32</v>
      </c>
      <c r="H334" s="320">
        <f>IFERROR(__xludf.DUMMYFUNCTION("""COMPUTED_VALUE"""),4.7853)</f>
        <v>4.7853</v>
      </c>
      <c r="I334" s="320">
        <f>IFERROR(__xludf.DUMMYFUNCTION("""COMPUTED_VALUE"""),55.59)</f>
        <v>55.59</v>
      </c>
      <c r="J334" s="320">
        <f>IFERROR(__xludf.DUMMYFUNCTION("""COMPUTED_VALUE"""),31.62)</f>
        <v>31.62</v>
      </c>
      <c r="K334" s="320">
        <f>IFERROR(__xludf.DUMMYFUNCTION("""COMPUTED_VALUE"""),14.0)</f>
        <v>14</v>
      </c>
      <c r="L334" s="320">
        <f>IFERROR(__xludf.DUMMYFUNCTION("""COMPUTED_VALUE"""),0.4428)</f>
        <v>0.4428</v>
      </c>
      <c r="M334" s="320">
        <f>IFERROR(__xludf.DUMMYFUNCTION("""COMPUTED_VALUE"""),0.6238)</f>
        <v>0.6238</v>
      </c>
      <c r="N334" s="320">
        <f>IFERROR(__xludf.DUMMYFUNCTION("""COMPUTED_VALUE"""),0.3603)</f>
        <v>0.3603</v>
      </c>
      <c r="O334" s="320">
        <f>IFERROR(__xludf.DUMMYFUNCTION("""COMPUTED_VALUE"""),2.2583)</f>
        <v>2.2583</v>
      </c>
      <c r="P334" s="320">
        <f>IFERROR(__xludf.DUMMYFUNCTION("""COMPUTED_VALUE"""),168.64)</f>
        <v>168.64</v>
      </c>
      <c r="Q334" s="320">
        <f>IFERROR(__xludf.DUMMYFUNCTION("""COMPUTED_VALUE"""),140.18)</f>
        <v>140.18</v>
      </c>
      <c r="R334" s="320">
        <f>IFERROR(__xludf.DUMMYFUNCTION("""COMPUTED_VALUE"""),28.45)</f>
        <v>28.45</v>
      </c>
      <c r="S334" s="320">
        <f>IFERROR(__xludf.DUMMYFUNCTION("""COMPUTED_VALUE"""),65.89)</f>
        <v>65.89</v>
      </c>
      <c r="T334" s="320">
        <f>IFERROR(__xludf.DUMMYFUNCTION("""COMPUTED_VALUE"""),102.74)</f>
        <v>102.74</v>
      </c>
      <c r="U334" s="320">
        <f>IFERROR(__xludf.DUMMYFUNCTION("""COMPUTED_VALUE"""),177.23)</f>
        <v>177.23</v>
      </c>
      <c r="V334" s="320">
        <f>IFERROR(__xludf.DUMMYFUNCTION("""COMPUTED_VALUE"""),5.6057)</f>
        <v>5.6057</v>
      </c>
      <c r="W334" s="320">
        <f>IFERROR(__xludf.DUMMYFUNCTION("""COMPUTED_VALUE"""),39.07)</f>
        <v>39.07</v>
      </c>
      <c r="X334" s="320">
        <f>IFERROR(__xludf.DUMMYFUNCTION("""COMPUTED_VALUE"""),84.0)</f>
        <v>84</v>
      </c>
      <c r="Y334" s="320">
        <f>IFERROR(__xludf.DUMMYFUNCTION("""COMPUTED_VALUE"""),194.0)</f>
        <v>194</v>
      </c>
      <c r="Z334" s="320">
        <f>IFERROR(__xludf.DUMMYFUNCTION("""COMPUTED_VALUE"""),630.0)</f>
        <v>630</v>
      </c>
      <c r="AA334" s="320">
        <f>IFERROR(__xludf.DUMMYFUNCTION("""COMPUTED_VALUE"""),52.6086)</f>
        <v>52.6086</v>
      </c>
      <c r="AB334" s="320">
        <f>IFERROR(__xludf.DUMMYFUNCTION("""COMPUTED_VALUE"""),0.5219)</f>
        <v>0.5219</v>
      </c>
      <c r="AC334" s="320">
        <f>IFERROR(__xludf.DUMMYFUNCTION("""COMPUTED_VALUE"""),8.96)</f>
        <v>8.96</v>
      </c>
      <c r="AD334" s="320">
        <f>IFERROR(__xludf.DUMMYFUNCTION("""COMPUTED_VALUE"""),3.0)</f>
        <v>3</v>
      </c>
      <c r="AE334" s="320">
        <f>IFERROR(__xludf.DUMMYFUNCTION("""COMPUTED_VALUE"""),6.0)</f>
        <v>6</v>
      </c>
      <c r="AF334" s="320">
        <f>IFERROR(__xludf.DUMMYFUNCTION("""COMPUTED_VALUE"""),13.0)</f>
        <v>13</v>
      </c>
      <c r="AG334" s="320">
        <f>IFERROR(__xludf.DUMMYFUNCTION("""COMPUTED_VALUE"""),20.0)</f>
        <v>20</v>
      </c>
      <c r="AH334" s="320">
        <f>IFERROR(__xludf.DUMMYFUNCTION("""COMPUTED_VALUE"""),54.34)</f>
        <v>54.34</v>
      </c>
      <c r="AI334" s="320">
        <f>IFERROR(__xludf.DUMMYFUNCTION("""COMPUTED_VALUE"""),25.11)</f>
        <v>25.11</v>
      </c>
      <c r="AJ334" s="320">
        <f>IFERROR(__xludf.DUMMYFUNCTION("""COMPUTED_VALUE"""),5.09)</f>
        <v>5.09</v>
      </c>
      <c r="AK334" s="320">
        <f>IFERROR(__xludf.DUMMYFUNCTION("""COMPUTED_VALUE"""),0.1749)</f>
        <v>0.1749</v>
      </c>
      <c r="AL334" s="320">
        <f>IFERROR(__xludf.DUMMYFUNCTION("""COMPUTED_VALUE"""),18.92)</f>
        <v>18.92</v>
      </c>
      <c r="AM334" s="320">
        <f>IFERROR(__xludf.DUMMYFUNCTION("""COMPUTED_VALUE"""),121.26)</f>
        <v>121.26</v>
      </c>
      <c r="AN334" s="320">
        <f>IFERROR(__xludf.DUMMYFUNCTION("""COMPUTED_VALUE"""),72.53)</f>
        <v>72.53</v>
      </c>
      <c r="AO334" s="320">
        <f>IFERROR(__xludf.DUMMYFUNCTION("""COMPUTED_VALUE"""),13.72)</f>
        <v>13.72</v>
      </c>
    </row>
    <row r="335" ht="15.75" customHeight="1">
      <c r="A335" s="330">
        <f>IFERROR(__xludf.DUMMYFUNCTION("""COMPUTED_VALUE"""),46105.0)</f>
        <v>46105</v>
      </c>
      <c r="B335" s="319" t="str">
        <f>IFERROR(__xludf.DUMMYFUNCTION("""COMPUTED_VALUE"""),"D. 20-39")</f>
        <v>D. 20-39</v>
      </c>
      <c r="C335" s="320">
        <f>IFERROR(__xludf.DUMMYFUNCTION("""COMPUTED_VALUE"""),8486.0)</f>
        <v>8486</v>
      </c>
      <c r="D335" s="320">
        <f>IFERROR(__xludf.DUMMYFUNCTION("""COMPUTED_VALUE"""),10.91)</f>
        <v>10.91</v>
      </c>
      <c r="E335" s="320">
        <f>IFERROR(__xludf.DUMMYFUNCTION("""COMPUTED_VALUE"""),21859.49)</f>
        <v>21859.49</v>
      </c>
      <c r="F335" s="320">
        <f>IFERROR(__xludf.DUMMYFUNCTION("""COMPUTED_VALUE"""),2.5759)</f>
        <v>2.5759</v>
      </c>
      <c r="G335" s="320">
        <f>IFERROR(__xludf.DUMMYFUNCTION("""COMPUTED_VALUE"""),32.72)</f>
        <v>32.72</v>
      </c>
      <c r="H335" s="320">
        <f>IFERROR(__xludf.DUMMYFUNCTION("""COMPUTED_VALUE"""),7.8716)</f>
        <v>7.8716</v>
      </c>
      <c r="I335" s="320">
        <f>IFERROR(__xludf.DUMMYFUNCTION("""COMPUTED_VALUE"""),81.15)</f>
        <v>81.15</v>
      </c>
      <c r="J335" s="320">
        <f>IFERROR(__xludf.DUMMYFUNCTION("""COMPUTED_VALUE"""),48.7)</f>
        <v>48.7</v>
      </c>
      <c r="K335" s="320">
        <f>IFERROR(__xludf.DUMMYFUNCTION("""COMPUTED_VALUE"""),27.71)</f>
        <v>27.71</v>
      </c>
      <c r="L335" s="320">
        <f>IFERROR(__xludf.DUMMYFUNCTION("""COMPUTED_VALUE"""),0.569)</f>
        <v>0.569</v>
      </c>
      <c r="M335" s="320">
        <f>IFERROR(__xludf.DUMMYFUNCTION("""COMPUTED_VALUE"""),0.5067)</f>
        <v>0.5067</v>
      </c>
      <c r="N335" s="320">
        <f>IFERROR(__xludf.DUMMYFUNCTION("""COMPUTED_VALUE"""),0.2794)</f>
        <v>0.2794</v>
      </c>
      <c r="O335" s="320">
        <f>IFERROR(__xludf.DUMMYFUNCTION("""COMPUTED_VALUE"""),1.7575)</f>
        <v>1.7575</v>
      </c>
      <c r="P335" s="320">
        <f>IFERROR(__xludf.DUMMYFUNCTION("""COMPUTED_VALUE"""),342.36)</f>
        <v>342.36</v>
      </c>
      <c r="Q335" s="320">
        <f>IFERROR(__xludf.DUMMYFUNCTION("""COMPUTED_VALUE"""),288.69)</f>
        <v>288.69</v>
      </c>
      <c r="R335" s="320">
        <f>IFERROR(__xludf.DUMMYFUNCTION("""COMPUTED_VALUE"""),53.67)</f>
        <v>53.67</v>
      </c>
      <c r="S335" s="320">
        <f>IFERROR(__xludf.DUMMYFUNCTION("""COMPUTED_VALUE"""),165.55)</f>
        <v>165.55</v>
      </c>
      <c r="T335" s="320">
        <f>IFERROR(__xludf.DUMMYFUNCTION("""COMPUTED_VALUE"""),176.81)</f>
        <v>176.81</v>
      </c>
      <c r="U335" s="320">
        <f>IFERROR(__xludf.DUMMYFUNCTION("""COMPUTED_VALUE"""),352.92)</f>
        <v>352.92</v>
      </c>
      <c r="V335" s="320">
        <f>IFERROR(__xludf.DUMMYFUNCTION("""COMPUTED_VALUE"""),7.2465)</f>
        <v>7.2465</v>
      </c>
      <c r="W335" s="320">
        <f>IFERROR(__xludf.DUMMYFUNCTION("""COMPUTED_VALUE"""),48.36)</f>
        <v>48.36</v>
      </c>
      <c r="X335" s="320">
        <f>IFERROR(__xludf.DUMMYFUNCTION("""COMPUTED_VALUE"""),87.0)</f>
        <v>87</v>
      </c>
      <c r="Y335" s="320">
        <f>IFERROR(__xludf.DUMMYFUNCTION("""COMPUTED_VALUE"""),232.0)</f>
        <v>232</v>
      </c>
      <c r="Z335" s="320">
        <f>IFERROR(__xludf.DUMMYFUNCTION("""COMPUTED_VALUE"""),705.0)</f>
        <v>705</v>
      </c>
      <c r="AA335" s="320">
        <f>IFERROR(__xludf.DUMMYFUNCTION("""COMPUTED_VALUE"""),54.5868)</f>
        <v>54.5868</v>
      </c>
      <c r="AB335" s="320">
        <f>IFERROR(__xludf.DUMMYFUNCTION("""COMPUTED_VALUE"""),0.6148)</f>
        <v>0.6148</v>
      </c>
      <c r="AC335" s="320">
        <f>IFERROR(__xludf.DUMMYFUNCTION("""COMPUTED_VALUE"""),16.79)</f>
        <v>16.79</v>
      </c>
      <c r="AD335" s="320">
        <f>IFERROR(__xludf.DUMMYFUNCTION("""COMPUTED_VALUE"""),6.0)</f>
        <v>6</v>
      </c>
      <c r="AE335" s="320">
        <f>IFERROR(__xludf.DUMMYFUNCTION("""COMPUTED_VALUE"""),13.0)</f>
        <v>13</v>
      </c>
      <c r="AF335" s="320">
        <f>IFERROR(__xludf.DUMMYFUNCTION("""COMPUTED_VALUE"""),24.0)</f>
        <v>24</v>
      </c>
      <c r="AG335" s="320">
        <f>IFERROR(__xludf.DUMMYFUNCTION("""COMPUTED_VALUE"""),36.0)</f>
        <v>36</v>
      </c>
      <c r="AH335" s="320">
        <f>IFERROR(__xludf.DUMMYFUNCTION("""COMPUTED_VALUE"""),55.77)</f>
        <v>55.77</v>
      </c>
      <c r="AI335" s="320">
        <f>IFERROR(__xludf.DUMMYFUNCTION("""COMPUTED_VALUE"""),22.52)</f>
        <v>22.52</v>
      </c>
      <c r="AJ335" s="320">
        <f>IFERROR(__xludf.DUMMYFUNCTION("""COMPUTED_VALUE"""),6.14)</f>
        <v>6.14</v>
      </c>
      <c r="AK335" s="320">
        <f>IFERROR(__xludf.DUMMYFUNCTION("""COMPUTED_VALUE"""),0.1791)</f>
        <v>0.1791</v>
      </c>
      <c r="AL335" s="320">
        <f>IFERROR(__xludf.DUMMYFUNCTION("""COMPUTED_VALUE"""),18.71)</f>
        <v>18.71</v>
      </c>
      <c r="AM335" s="320">
        <f>IFERROR(__xludf.DUMMYFUNCTION("""COMPUTED_VALUE"""),269.99)</f>
        <v>269.99</v>
      </c>
      <c r="AN335" s="320">
        <f>IFERROR(__xludf.DUMMYFUNCTION("""COMPUTED_VALUE"""),71.15)</f>
        <v>71.15</v>
      </c>
      <c r="AO335" s="320">
        <f>IFERROR(__xludf.DUMMYFUNCTION("""COMPUTED_VALUE"""),13.31)</f>
        <v>13.31</v>
      </c>
    </row>
    <row r="336" ht="15.75" customHeight="1">
      <c r="A336" s="330">
        <f>IFERROR(__xludf.DUMMYFUNCTION("""COMPUTED_VALUE"""),46105.0)</f>
        <v>46105</v>
      </c>
      <c r="B336" s="319" t="str">
        <f>IFERROR(__xludf.DUMMYFUNCTION("""COMPUTED_VALUE"""),"E. 40-99")</f>
        <v>E. 40-99</v>
      </c>
      <c r="C336" s="320">
        <f>IFERROR(__xludf.DUMMYFUNCTION("""COMPUTED_VALUE"""),3214.0)</f>
        <v>3214</v>
      </c>
      <c r="D336" s="320">
        <f>IFERROR(__xludf.DUMMYFUNCTION("""COMPUTED_VALUE"""),4.13)</f>
        <v>4.13</v>
      </c>
      <c r="E336" s="320">
        <f>IFERROR(__xludf.DUMMYFUNCTION("""COMPUTED_VALUE"""),18848.94)</f>
        <v>18848.94</v>
      </c>
      <c r="F336" s="320">
        <f>IFERROR(__xludf.DUMMYFUNCTION("""COMPUTED_VALUE"""),5.8646)</f>
        <v>5.8646</v>
      </c>
      <c r="G336" s="320">
        <f>IFERROR(__xludf.DUMMYFUNCTION("""COMPUTED_VALUE"""),41.29)</f>
        <v>41.29</v>
      </c>
      <c r="H336" s="320">
        <f>IFERROR(__xludf.DUMMYFUNCTION("""COMPUTED_VALUE"""),14.2042)</f>
        <v>14.2042</v>
      </c>
      <c r="I336" s="320">
        <f>IFERROR(__xludf.DUMMYFUNCTION("""COMPUTED_VALUE"""),125.15)</f>
        <v>125.15</v>
      </c>
      <c r="J336" s="320">
        <f>IFERROR(__xludf.DUMMYFUNCTION("""COMPUTED_VALUE"""),77.72)</f>
        <v>77.72</v>
      </c>
      <c r="K336" s="320">
        <f>IFERROR(__xludf.DUMMYFUNCTION("""COMPUTED_VALUE"""),53.66)</f>
        <v>53.66</v>
      </c>
      <c r="L336" s="320">
        <f>IFERROR(__xludf.DUMMYFUNCTION("""COMPUTED_VALUE"""),0.6904)</f>
        <v>0.6904</v>
      </c>
      <c r="M336" s="320">
        <f>IFERROR(__xludf.DUMMYFUNCTION("""COMPUTED_VALUE"""),0.4003)</f>
        <v>0.4003</v>
      </c>
      <c r="N336" s="320">
        <f>IFERROR(__xludf.DUMMYFUNCTION("""COMPUTED_VALUE"""),0.2319)</f>
        <v>0.2319</v>
      </c>
      <c r="O336" s="320">
        <f>IFERROR(__xludf.DUMMYFUNCTION("""COMPUTED_VALUE"""),1.4484)</f>
        <v>1.4484</v>
      </c>
      <c r="P336" s="320">
        <f>IFERROR(__xludf.DUMMYFUNCTION("""COMPUTED_VALUE"""),684.08)</f>
        <v>684.08</v>
      </c>
      <c r="Q336" s="320">
        <f>IFERROR(__xludf.DUMMYFUNCTION("""COMPUTED_VALUE"""),572.73)</f>
        <v>572.73</v>
      </c>
      <c r="R336" s="320">
        <f>IFERROR(__xludf.DUMMYFUNCTION("""COMPUTED_VALUE"""),111.34)</f>
        <v>111.34</v>
      </c>
      <c r="S336" s="320">
        <f>IFERROR(__xludf.DUMMYFUNCTION("""COMPUTED_VALUE"""),368.48)</f>
        <v>368.48</v>
      </c>
      <c r="T336" s="320">
        <f>IFERROR(__xludf.DUMMYFUNCTION("""COMPUTED_VALUE"""),315.59)</f>
        <v>315.59</v>
      </c>
      <c r="U336" s="320">
        <f>IFERROR(__xludf.DUMMYFUNCTION("""COMPUTED_VALUE"""),705.09)</f>
        <v>705.09</v>
      </c>
      <c r="V336" s="320">
        <f>IFERROR(__xludf.DUMMYFUNCTION("""COMPUTED_VALUE"""),9.0719)</f>
        <v>9.0719</v>
      </c>
      <c r="W336" s="320">
        <f>IFERROR(__xludf.DUMMYFUNCTION("""COMPUTED_VALUE"""),53.87)</f>
        <v>53.87</v>
      </c>
      <c r="X336" s="320">
        <f>IFERROR(__xludf.DUMMYFUNCTION("""COMPUTED_VALUE"""),94.0)</f>
        <v>94</v>
      </c>
      <c r="Y336" s="320">
        <f>IFERROR(__xludf.DUMMYFUNCTION("""COMPUTED_VALUE"""),290.0)</f>
        <v>290</v>
      </c>
      <c r="Z336" s="320">
        <f>IFERROR(__xludf.DUMMYFUNCTION("""COMPUTED_VALUE"""),928.0)</f>
        <v>928</v>
      </c>
      <c r="AA336" s="320">
        <f>IFERROR(__xludf.DUMMYFUNCTION("""COMPUTED_VALUE"""),57.9756)</f>
        <v>57.9756</v>
      </c>
      <c r="AB336" s="320">
        <f>IFERROR(__xludf.DUMMYFUNCTION("""COMPUTED_VALUE"""),0.7542)</f>
        <v>0.7542</v>
      </c>
      <c r="AC336" s="320">
        <f>IFERROR(__xludf.DUMMYFUNCTION("""COMPUTED_VALUE"""),35.19)</f>
        <v>35.19</v>
      </c>
      <c r="AD336" s="320">
        <f>IFERROR(__xludf.DUMMYFUNCTION("""COMPUTED_VALUE"""),12.0)</f>
        <v>12</v>
      </c>
      <c r="AE336" s="320">
        <f>IFERROR(__xludf.DUMMYFUNCTION("""COMPUTED_VALUE"""),27.0)</f>
        <v>27</v>
      </c>
      <c r="AF336" s="320">
        <f>IFERROR(__xludf.DUMMYFUNCTION("""COMPUTED_VALUE"""),50.0)</f>
        <v>50</v>
      </c>
      <c r="AG336" s="320">
        <f>IFERROR(__xludf.DUMMYFUNCTION("""COMPUTED_VALUE"""),76.0)</f>
        <v>76</v>
      </c>
      <c r="AH336" s="320">
        <f>IFERROR(__xludf.DUMMYFUNCTION("""COMPUTED_VALUE"""),49.63)</f>
        <v>49.63</v>
      </c>
      <c r="AI336" s="320">
        <f>IFERROR(__xludf.DUMMYFUNCTION("""COMPUTED_VALUE"""),17.7)</f>
        <v>17.7</v>
      </c>
      <c r="AJ336" s="320">
        <f>IFERROR(__xludf.DUMMYFUNCTION("""COMPUTED_VALUE"""),4.42)</f>
        <v>4.42</v>
      </c>
      <c r="AK336" s="320">
        <f>IFERROR(__xludf.DUMMYFUNCTION("""COMPUTED_VALUE"""),0.1624)</f>
        <v>0.1624</v>
      </c>
      <c r="AL336" s="320">
        <f>IFERROR(__xludf.DUMMYFUNCTION("""COMPUTED_VALUE"""),19.85)</f>
        <v>19.85</v>
      </c>
      <c r="AM336" s="320">
        <f>IFERROR(__xludf.DUMMYFUNCTION("""COMPUTED_VALUE"""),552.89)</f>
        <v>552.89</v>
      </c>
      <c r="AN336" s="320">
        <f>IFERROR(__xludf.DUMMYFUNCTION("""COMPUTED_VALUE"""),73.67)</f>
        <v>73.67</v>
      </c>
      <c r="AO336" s="320">
        <f>IFERROR(__xludf.DUMMYFUNCTION("""COMPUTED_VALUE"""),14.62)</f>
        <v>14.62</v>
      </c>
    </row>
    <row r="337" ht="15.75" customHeight="1">
      <c r="A337" s="330">
        <f>IFERROR(__xludf.DUMMYFUNCTION("""COMPUTED_VALUE"""),46105.0)</f>
        <v>46105</v>
      </c>
      <c r="B337" s="319" t="str">
        <f>IFERROR(__xludf.DUMMYFUNCTION("""COMPUTED_VALUE"""),"F. 100+")</f>
        <v>F. 100+</v>
      </c>
      <c r="C337" s="320">
        <f>IFERROR(__xludf.DUMMYFUNCTION("""COMPUTED_VALUE"""),386.0)</f>
        <v>386</v>
      </c>
      <c r="D337" s="320">
        <f>IFERROR(__xludf.DUMMYFUNCTION("""COMPUTED_VALUE"""),0.5)</f>
        <v>0.5</v>
      </c>
      <c r="E337" s="320">
        <f>IFERROR(__xludf.DUMMYFUNCTION("""COMPUTED_VALUE"""),4161.18)</f>
        <v>4161.18</v>
      </c>
      <c r="F337" s="320">
        <f>IFERROR(__xludf.DUMMYFUNCTION("""COMPUTED_VALUE"""),10.7803)</f>
        <v>10.7803</v>
      </c>
      <c r="G337" s="320">
        <f>IFERROR(__xludf.DUMMYFUNCTION("""COMPUTED_VALUE"""),46.11)</f>
        <v>46.11</v>
      </c>
      <c r="H337" s="320">
        <f>IFERROR(__xludf.DUMMYFUNCTION("""COMPUTED_VALUE"""),23.3774)</f>
        <v>23.3774</v>
      </c>
      <c r="I337" s="320">
        <f>IFERROR(__xludf.DUMMYFUNCTION("""COMPUTED_VALUE"""),235.91)</f>
        <v>235.91</v>
      </c>
      <c r="J337" s="320">
        <f>IFERROR(__xludf.DUMMYFUNCTION("""COMPUTED_VALUE"""),155.77)</f>
        <v>155.77</v>
      </c>
      <c r="K337" s="320">
        <f>IFERROR(__xludf.DUMMYFUNCTION("""COMPUTED_VALUE"""),124.4)</f>
        <v>124.4</v>
      </c>
      <c r="L337" s="320">
        <f>IFERROR(__xludf.DUMMYFUNCTION("""COMPUTED_VALUE"""),0.7986)</f>
        <v>0.7986</v>
      </c>
      <c r="M337" s="320">
        <f>IFERROR(__xludf.DUMMYFUNCTION("""COMPUTED_VALUE"""),0.2921)</f>
        <v>0.2921</v>
      </c>
      <c r="N337" s="320">
        <f>IFERROR(__xludf.DUMMYFUNCTION("""COMPUTED_VALUE"""),0.1818)</f>
        <v>0.1818</v>
      </c>
      <c r="O337" s="320">
        <f>IFERROR(__xludf.DUMMYFUNCTION("""COMPUTED_VALUE"""),1.2521)</f>
        <v>1.2521</v>
      </c>
      <c r="P337" s="320">
        <f>IFERROR(__xludf.DUMMYFUNCTION("""COMPUTED_VALUE"""),1334.08)</f>
        <v>1334.08</v>
      </c>
      <c r="Q337" s="320">
        <f>IFERROR(__xludf.DUMMYFUNCTION("""COMPUTED_VALUE"""),1071.1)</f>
        <v>1071.1</v>
      </c>
      <c r="R337" s="320">
        <f>IFERROR(__xludf.DUMMYFUNCTION("""COMPUTED_VALUE"""),262.98)</f>
        <v>262.98</v>
      </c>
      <c r="S337" s="320">
        <f>IFERROR(__xludf.DUMMYFUNCTION("""COMPUTED_VALUE"""),715.73)</f>
        <v>715.73</v>
      </c>
      <c r="T337" s="320">
        <f>IFERROR(__xludf.DUMMYFUNCTION("""COMPUTED_VALUE"""),618.35)</f>
        <v>618.35</v>
      </c>
      <c r="U337" s="320">
        <f>IFERROR(__xludf.DUMMYFUNCTION("""COMPUTED_VALUE"""),1338.21)</f>
        <v>1338.21</v>
      </c>
      <c r="V337" s="320">
        <f>IFERROR(__xludf.DUMMYFUNCTION("""COMPUTED_VALUE"""),8.5908)</f>
        <v>8.5908</v>
      </c>
      <c r="W337" s="320">
        <f>IFERROR(__xludf.DUMMYFUNCTION("""COMPUTED_VALUE"""),53.65)</f>
        <v>53.65</v>
      </c>
      <c r="X337" s="320">
        <f>IFERROR(__xludf.DUMMYFUNCTION("""COMPUTED_VALUE"""),144.0)</f>
        <v>144</v>
      </c>
      <c r="Y337" s="320">
        <f>IFERROR(__xludf.DUMMYFUNCTION("""COMPUTED_VALUE"""),619.0)</f>
        <v>619</v>
      </c>
      <c r="Z337" s="320">
        <f>IFERROR(__xludf.DUMMYFUNCTION("""COMPUTED_VALUE"""),2077.0)</f>
        <v>2077</v>
      </c>
      <c r="AA337" s="320">
        <f>IFERROR(__xludf.DUMMYFUNCTION("""COMPUTED_VALUE"""),62.5999)</f>
        <v>62.5999</v>
      </c>
      <c r="AB337" s="320">
        <f>IFERROR(__xludf.DUMMYFUNCTION("""COMPUTED_VALUE"""),0.8507)</f>
        <v>0.8507</v>
      </c>
      <c r="AC337" s="320">
        <f>IFERROR(__xludf.DUMMYFUNCTION("""COMPUTED_VALUE"""),82.02)</f>
        <v>82.02</v>
      </c>
      <c r="AD337" s="320">
        <f>IFERROR(__xludf.DUMMYFUNCTION("""COMPUTED_VALUE"""),32.0)</f>
        <v>32</v>
      </c>
      <c r="AE337" s="320">
        <f>IFERROR(__xludf.DUMMYFUNCTION("""COMPUTED_VALUE"""),66.0)</f>
        <v>66</v>
      </c>
      <c r="AF337" s="320">
        <f>IFERROR(__xludf.DUMMYFUNCTION("""COMPUTED_VALUE"""),118.0)</f>
        <v>118</v>
      </c>
      <c r="AG337" s="320">
        <f>IFERROR(__xludf.DUMMYFUNCTION("""COMPUTED_VALUE"""),170.0)</f>
        <v>170</v>
      </c>
      <c r="AH337" s="320">
        <f>IFERROR(__xludf.DUMMYFUNCTION("""COMPUTED_VALUE"""),41.71)</f>
        <v>41.71</v>
      </c>
      <c r="AI337" s="320">
        <f>IFERROR(__xludf.DUMMYFUNCTION("""COMPUTED_VALUE"""),9.07)</f>
        <v>9.07</v>
      </c>
      <c r="AJ337" s="320">
        <f>IFERROR(__xludf.DUMMYFUNCTION("""COMPUTED_VALUE"""),1.81)</f>
        <v>1.81</v>
      </c>
      <c r="AK337" s="320">
        <f>IFERROR(__xludf.DUMMYFUNCTION("""COMPUTED_VALUE"""),0.1192)</f>
        <v>0.1192</v>
      </c>
      <c r="AL337" s="320">
        <f>IFERROR(__xludf.DUMMYFUNCTION("""COMPUTED_VALUE"""),21.31)</f>
        <v>21.31</v>
      </c>
      <c r="AM337" s="320">
        <f>IFERROR(__xludf.DUMMYFUNCTION("""COMPUTED_VALUE"""),1049.79)</f>
        <v>1049.79</v>
      </c>
      <c r="AN337" s="320">
        <f>IFERROR(__xludf.DUMMYFUNCTION("""COMPUTED_VALUE"""),72.58)</f>
        <v>72.58</v>
      </c>
      <c r="AO337" s="320">
        <f>IFERROR(__xludf.DUMMYFUNCTION("""COMPUTED_VALUE"""),15.47)</f>
        <v>15.47</v>
      </c>
    </row>
    <row r="338" ht="15.75" customHeight="1">
      <c r="A338" s="330">
        <f>IFERROR(__xludf.DUMMYFUNCTION("""COMPUTED_VALUE"""),46106.0)</f>
        <v>46106</v>
      </c>
      <c r="B338" s="319" t="str">
        <f>IFERROR(__xludf.DUMMYFUNCTION("""COMPUTED_VALUE"""),"A. 0")</f>
        <v>A. 0</v>
      </c>
      <c r="C338" s="320">
        <f>IFERROR(__xludf.DUMMYFUNCTION("""COMPUTED_VALUE"""),16255.0)</f>
        <v>16255</v>
      </c>
      <c r="D338" s="320">
        <f>IFERROR(__xludf.DUMMYFUNCTION("""COMPUTED_VALUE"""),21.14)</f>
        <v>21.14</v>
      </c>
      <c r="E338" s="320">
        <f>IFERROR(__xludf.DUMMYFUNCTION("""COMPUTED_VALUE"""),126.0)</f>
        <v>126</v>
      </c>
      <c r="F338" s="320">
        <f>IFERROR(__xludf.DUMMYFUNCTION("""COMPUTED_VALUE"""),0.0078)</f>
        <v>0.0078</v>
      </c>
      <c r="G338" s="320">
        <f>IFERROR(__xludf.DUMMYFUNCTION("""COMPUTED_VALUE"""),0.21)</f>
        <v>0.21</v>
      </c>
      <c r="H338" s="320">
        <f>IFERROR(__xludf.DUMMYFUNCTION("""COMPUTED_VALUE"""),3.7059)</f>
        <v>3.7059</v>
      </c>
      <c r="I338" s="320">
        <f>IFERROR(__xludf.DUMMYFUNCTION("""COMPUTED_VALUE"""),6.14)</f>
        <v>6.14</v>
      </c>
      <c r="J338" s="320">
        <f>IFERROR(__xludf.DUMMYFUNCTION("""COMPUTED_VALUE"""),2.85)</f>
        <v>2.85</v>
      </c>
      <c r="K338" s="320">
        <f>IFERROR(__xludf.DUMMYFUNCTION("""COMPUTED_VALUE"""),0.05)</f>
        <v>0.05</v>
      </c>
      <c r="L338" s="320">
        <f>IFERROR(__xludf.DUMMYFUNCTION("""COMPUTED_VALUE"""),0.0175)</f>
        <v>0.0175</v>
      </c>
      <c r="M338" s="320">
        <f>IFERROR(__xludf.DUMMYFUNCTION("""COMPUTED_VALUE"""),0.9838)</f>
        <v>0.9838</v>
      </c>
      <c r="N338" s="320">
        <f>IFERROR(__xludf.DUMMYFUNCTION("""COMPUTED_VALUE"""),0.7942)</f>
        <v>0.7942</v>
      </c>
      <c r="O338" s="320">
        <f>IFERROR(__xludf.DUMMYFUNCTION("""COMPUTED_VALUE"""),56.9914)</f>
        <v>56.9914</v>
      </c>
      <c r="P338" s="320">
        <f>IFERROR(__xludf.DUMMYFUNCTION("""COMPUTED_VALUE"""),23.13)</f>
        <v>23.13</v>
      </c>
      <c r="Q338" s="320">
        <f>IFERROR(__xludf.DUMMYFUNCTION("""COMPUTED_VALUE"""),23.05)</f>
        <v>23.05</v>
      </c>
      <c r="R338" s="320">
        <f>IFERROR(__xludf.DUMMYFUNCTION("""COMPUTED_VALUE"""),0.08)</f>
        <v>0.08</v>
      </c>
      <c r="S338" s="320">
        <f>IFERROR(__xludf.DUMMYFUNCTION("""COMPUTED_VALUE"""),0.66)</f>
        <v>0.66</v>
      </c>
      <c r="T338" s="320">
        <f>IFERROR(__xludf.DUMMYFUNCTION("""COMPUTED_VALUE"""),22.47)</f>
        <v>22.47</v>
      </c>
      <c r="U338" s="320">
        <f>IFERROR(__xludf.DUMMYFUNCTION("""COMPUTED_VALUE"""),2.18)</f>
        <v>2.18</v>
      </c>
      <c r="V338" s="320">
        <f>IFERROR(__xludf.DUMMYFUNCTION("""COMPUTED_VALUE"""),0.765)</f>
        <v>0.765</v>
      </c>
      <c r="W338" s="320">
        <f>IFERROR(__xludf.DUMMYFUNCTION("""COMPUTED_VALUE"""),2.86)</f>
        <v>2.86</v>
      </c>
      <c r="X338" s="320">
        <f>IFERROR(__xludf.DUMMYFUNCTION("""COMPUTED_VALUE"""),155.0)</f>
        <v>155</v>
      </c>
      <c r="Y338" s="320">
        <f>IFERROR(__xludf.DUMMYFUNCTION("""COMPUTED_VALUE"""),1126.0)</f>
        <v>1126</v>
      </c>
      <c r="Z338" s="320">
        <f>IFERROR(__xludf.DUMMYFUNCTION("""COMPUTED_VALUE"""),7388.0)</f>
        <v>7388</v>
      </c>
      <c r="AA338" s="320">
        <f>IFERROR(__xludf.DUMMYFUNCTION("""COMPUTED_VALUE"""),49.9962)</f>
        <v>49.9962</v>
      </c>
      <c r="AB338" s="320">
        <f>IFERROR(__xludf.DUMMYFUNCTION("""COMPUTED_VALUE"""),0.5172)</f>
        <v>0.5172</v>
      </c>
      <c r="AC338" s="106"/>
      <c r="AD338" s="106"/>
      <c r="AE338" s="106"/>
      <c r="AF338" s="106"/>
      <c r="AG338" s="106"/>
      <c r="AH338" s="320">
        <f>IFERROR(__xludf.DUMMYFUNCTION("""COMPUTED_VALUE"""),0.0)</f>
        <v>0</v>
      </c>
      <c r="AI338" s="320">
        <f>IFERROR(__xludf.DUMMYFUNCTION("""COMPUTED_VALUE"""),0.0)</f>
        <v>0</v>
      </c>
      <c r="AJ338" s="320">
        <f>IFERROR(__xludf.DUMMYFUNCTION("""COMPUTED_VALUE"""),0.0)</f>
        <v>0</v>
      </c>
      <c r="AK338" s="320">
        <f>IFERROR(__xludf.DUMMYFUNCTION("""COMPUTED_VALUE"""),0.2578)</f>
        <v>0.2578</v>
      </c>
      <c r="AL338" s="320">
        <f>IFERROR(__xludf.DUMMYFUNCTION("""COMPUTED_VALUE"""),15.57)</f>
        <v>15.57</v>
      </c>
      <c r="AM338" s="320">
        <f>IFERROR(__xludf.DUMMYFUNCTION("""COMPUTED_VALUE"""),7.48)</f>
        <v>7.48</v>
      </c>
      <c r="AN338" s="331"/>
      <c r="AO338" s="331"/>
    </row>
    <row r="339" ht="15.75" customHeight="1">
      <c r="A339" s="330">
        <f>IFERROR(__xludf.DUMMYFUNCTION("""COMPUTED_VALUE"""),46106.0)</f>
        <v>46106</v>
      </c>
      <c r="B339" s="319" t="str">
        <f>IFERROR(__xludf.DUMMYFUNCTION("""COMPUTED_VALUE"""),"B. 1-9")</f>
        <v>B. 1-9</v>
      </c>
      <c r="C339" s="320">
        <f>IFERROR(__xludf.DUMMYFUNCTION("""COMPUTED_VALUE"""),32776.0)</f>
        <v>32776</v>
      </c>
      <c r="D339" s="320">
        <f>IFERROR(__xludf.DUMMYFUNCTION("""COMPUTED_VALUE"""),42.62)</f>
        <v>42.62</v>
      </c>
      <c r="E339" s="320">
        <f>IFERROR(__xludf.DUMMYFUNCTION("""COMPUTED_VALUE"""),7117.77)</f>
        <v>7117.77</v>
      </c>
      <c r="F339" s="320">
        <f>IFERROR(__xludf.DUMMYFUNCTION("""COMPUTED_VALUE"""),0.2172)</f>
        <v>0.2172</v>
      </c>
      <c r="G339" s="320">
        <f>IFERROR(__xludf.DUMMYFUNCTION("""COMPUTED_VALUE"""),6.29)</f>
        <v>6.29</v>
      </c>
      <c r="H339" s="320">
        <f>IFERROR(__xludf.DUMMYFUNCTION("""COMPUTED_VALUE"""),3.4536)</f>
        <v>3.4536</v>
      </c>
      <c r="I339" s="320">
        <f>IFERROR(__xludf.DUMMYFUNCTION("""COMPUTED_VALUE"""),32.44)</f>
        <v>32.44</v>
      </c>
      <c r="J339" s="320">
        <f>IFERROR(__xludf.DUMMYFUNCTION("""COMPUTED_VALUE"""),17.67)</f>
        <v>17.67</v>
      </c>
      <c r="K339" s="320">
        <f>IFERROR(__xludf.DUMMYFUNCTION("""COMPUTED_VALUE"""),5.15)</f>
        <v>5.15</v>
      </c>
      <c r="L339" s="320">
        <f>IFERROR(__xludf.DUMMYFUNCTION("""COMPUTED_VALUE"""),0.2914)</f>
        <v>0.2914</v>
      </c>
      <c r="M339" s="320">
        <f>IFERROR(__xludf.DUMMYFUNCTION("""COMPUTED_VALUE"""),0.774)</f>
        <v>0.774</v>
      </c>
      <c r="N339" s="320">
        <f>IFERROR(__xludf.DUMMYFUNCTION("""COMPUTED_VALUE"""),0.5321)</f>
        <v>0.5321</v>
      </c>
      <c r="O339" s="320">
        <f>IFERROR(__xludf.DUMMYFUNCTION("""COMPUTED_VALUE"""),3.4322)</f>
        <v>3.4322</v>
      </c>
      <c r="P339" s="320">
        <f>IFERROR(__xludf.DUMMYFUNCTION("""COMPUTED_VALUE"""),62.79)</f>
        <v>62.79</v>
      </c>
      <c r="Q339" s="320">
        <f>IFERROR(__xludf.DUMMYFUNCTION("""COMPUTED_VALUE"""),52.01)</f>
        <v>52.01</v>
      </c>
      <c r="R339" s="320">
        <f>IFERROR(__xludf.DUMMYFUNCTION("""COMPUTED_VALUE"""),10.78)</f>
        <v>10.78</v>
      </c>
      <c r="S339" s="320">
        <f>IFERROR(__xludf.DUMMYFUNCTION("""COMPUTED_VALUE"""),15.77)</f>
        <v>15.77</v>
      </c>
      <c r="T339" s="320">
        <f>IFERROR(__xludf.DUMMYFUNCTION("""COMPUTED_VALUE"""),47.02)</f>
        <v>47.02</v>
      </c>
      <c r="U339" s="320">
        <f>IFERROR(__xludf.DUMMYFUNCTION("""COMPUTED_VALUE"""),70.62)</f>
        <v>70.62</v>
      </c>
      <c r="V339" s="320">
        <f>IFERROR(__xludf.DUMMYFUNCTION("""COMPUTED_VALUE"""),3.9974)</f>
        <v>3.9974</v>
      </c>
      <c r="W339" s="320">
        <f>IFERROR(__xludf.DUMMYFUNCTION("""COMPUTED_VALUE"""),25.12)</f>
        <v>25.12</v>
      </c>
      <c r="X339" s="320">
        <f>IFERROR(__xludf.DUMMYFUNCTION("""COMPUTED_VALUE"""),86.0)</f>
        <v>86</v>
      </c>
      <c r="Y339" s="320">
        <f>IFERROR(__xludf.DUMMYFUNCTION("""COMPUTED_VALUE"""),204.0)</f>
        <v>204</v>
      </c>
      <c r="Z339" s="320">
        <f>IFERROR(__xludf.DUMMYFUNCTION("""COMPUTED_VALUE"""),842.0)</f>
        <v>842</v>
      </c>
      <c r="AA339" s="320">
        <f>IFERROR(__xludf.DUMMYFUNCTION("""COMPUTED_VALUE"""),49.5988)</f>
        <v>49.5988</v>
      </c>
      <c r="AB339" s="320">
        <f>IFERROR(__xludf.DUMMYFUNCTION("""COMPUTED_VALUE"""),0.4397)</f>
        <v>0.4397</v>
      </c>
      <c r="AC339" s="320">
        <f>IFERROR(__xludf.DUMMYFUNCTION("""COMPUTED_VALUE"""),3.42)</f>
        <v>3.42</v>
      </c>
      <c r="AD339" s="320">
        <f>IFERROR(__xludf.DUMMYFUNCTION("""COMPUTED_VALUE"""),1.0)</f>
        <v>1</v>
      </c>
      <c r="AE339" s="320">
        <f>IFERROR(__xludf.DUMMYFUNCTION("""COMPUTED_VALUE"""),2.0)</f>
        <v>2</v>
      </c>
      <c r="AF339" s="320">
        <f>IFERROR(__xludf.DUMMYFUNCTION("""COMPUTED_VALUE"""),4.0)</f>
        <v>4</v>
      </c>
      <c r="AG339" s="320">
        <f>IFERROR(__xludf.DUMMYFUNCTION("""COMPUTED_VALUE"""),8.0)</f>
        <v>8</v>
      </c>
      <c r="AH339" s="320">
        <f>IFERROR(__xludf.DUMMYFUNCTION("""COMPUTED_VALUE"""),65.11)</f>
        <v>65.11</v>
      </c>
      <c r="AI339" s="320">
        <f>IFERROR(__xludf.DUMMYFUNCTION("""COMPUTED_VALUE"""),23.59)</f>
        <v>23.59</v>
      </c>
      <c r="AJ339" s="320">
        <f>IFERROR(__xludf.DUMMYFUNCTION("""COMPUTED_VALUE"""),6.48)</f>
        <v>6.48</v>
      </c>
      <c r="AK339" s="320">
        <f>IFERROR(__xludf.DUMMYFUNCTION("""COMPUTED_VALUE"""),0.2141)</f>
        <v>0.2141</v>
      </c>
      <c r="AL339" s="320">
        <f>IFERROR(__xludf.DUMMYFUNCTION("""COMPUTED_VALUE"""),19.09)</f>
        <v>19.09</v>
      </c>
      <c r="AM339" s="320">
        <f>IFERROR(__xludf.DUMMYFUNCTION("""COMPUTED_VALUE"""),32.91)</f>
        <v>32.91</v>
      </c>
      <c r="AN339" s="320">
        <f>IFERROR(__xludf.DUMMYFUNCTION("""COMPUTED_VALUE"""),68.45)</f>
        <v>68.45</v>
      </c>
      <c r="AO339" s="320">
        <f>IFERROR(__xludf.DUMMYFUNCTION("""COMPUTED_VALUE"""),13.07)</f>
        <v>13.07</v>
      </c>
    </row>
    <row r="340" ht="15.75" customHeight="1">
      <c r="A340" s="330">
        <f>IFERROR(__xludf.DUMMYFUNCTION("""COMPUTED_VALUE"""),46106.0)</f>
        <v>46106</v>
      </c>
      <c r="B340" s="319" t="str">
        <f>IFERROR(__xludf.DUMMYFUNCTION("""COMPUTED_VALUE"""),"C. 10-19")</f>
        <v>C. 10-19</v>
      </c>
      <c r="C340" s="320">
        <f>IFERROR(__xludf.DUMMYFUNCTION("""COMPUTED_VALUE"""),16446.0)</f>
        <v>16446</v>
      </c>
      <c r="D340" s="320">
        <f>IFERROR(__xludf.DUMMYFUNCTION("""COMPUTED_VALUE"""),21.39)</f>
        <v>21.39</v>
      </c>
      <c r="E340" s="320">
        <f>IFERROR(__xludf.DUMMYFUNCTION("""COMPUTED_VALUE"""),16885.46)</f>
        <v>16885.46</v>
      </c>
      <c r="F340" s="320">
        <f>IFERROR(__xludf.DUMMYFUNCTION("""COMPUTED_VALUE"""),1.0267)</f>
        <v>1.0267</v>
      </c>
      <c r="G340" s="320">
        <f>IFERROR(__xludf.DUMMYFUNCTION("""COMPUTED_VALUE"""),20.89)</f>
        <v>20.89</v>
      </c>
      <c r="H340" s="320">
        <f>IFERROR(__xludf.DUMMYFUNCTION("""COMPUTED_VALUE"""),4.9157)</f>
        <v>4.9157</v>
      </c>
      <c r="I340" s="320">
        <f>IFERROR(__xludf.DUMMYFUNCTION("""COMPUTED_VALUE"""),60.52)</f>
        <v>60.52</v>
      </c>
      <c r="J340" s="320">
        <f>IFERROR(__xludf.DUMMYFUNCTION("""COMPUTED_VALUE"""),35.13)</f>
        <v>35.13</v>
      </c>
      <c r="K340" s="320">
        <f>IFERROR(__xludf.DUMMYFUNCTION("""COMPUTED_VALUE"""),14.15)</f>
        <v>14.15</v>
      </c>
      <c r="L340" s="320">
        <f>IFERROR(__xludf.DUMMYFUNCTION("""COMPUTED_VALUE"""),0.4029)</f>
        <v>0.4029</v>
      </c>
      <c r="M340" s="320">
        <f>IFERROR(__xludf.DUMMYFUNCTION("""COMPUTED_VALUE"""),0.6541)</f>
        <v>0.6541</v>
      </c>
      <c r="N340" s="320">
        <f>IFERROR(__xludf.DUMMYFUNCTION("""COMPUTED_VALUE"""),0.3696)</f>
        <v>0.3696</v>
      </c>
      <c r="O340" s="320">
        <f>IFERROR(__xludf.DUMMYFUNCTION("""COMPUTED_VALUE"""),2.4821)</f>
        <v>2.4821</v>
      </c>
      <c r="P340" s="320">
        <f>IFERROR(__xludf.DUMMYFUNCTION("""COMPUTED_VALUE"""),150.2)</f>
        <v>150.2</v>
      </c>
      <c r="Q340" s="320">
        <f>IFERROR(__xludf.DUMMYFUNCTION("""COMPUTED_VALUE"""),122.33)</f>
        <v>122.33</v>
      </c>
      <c r="R340" s="320">
        <f>IFERROR(__xludf.DUMMYFUNCTION("""COMPUTED_VALUE"""),27.87)</f>
        <v>27.87</v>
      </c>
      <c r="S340" s="320">
        <f>IFERROR(__xludf.DUMMYFUNCTION("""COMPUTED_VALUE"""),70.41)</f>
        <v>70.41</v>
      </c>
      <c r="T340" s="320">
        <f>IFERROR(__xludf.DUMMYFUNCTION("""COMPUTED_VALUE"""),79.78)</f>
        <v>79.78</v>
      </c>
      <c r="U340" s="320">
        <f>IFERROR(__xludf.DUMMYFUNCTION("""COMPUTED_VALUE"""),163.92)</f>
        <v>163.92</v>
      </c>
      <c r="V340" s="320">
        <f>IFERROR(__xludf.DUMMYFUNCTION("""COMPUTED_VALUE"""),4.6667)</f>
        <v>4.6667</v>
      </c>
      <c r="W340" s="320">
        <f>IFERROR(__xludf.DUMMYFUNCTION("""COMPUTED_VALUE"""),46.88)</f>
        <v>46.88</v>
      </c>
      <c r="X340" s="320">
        <f>IFERROR(__xludf.DUMMYFUNCTION("""COMPUTED_VALUE"""),81.0)</f>
        <v>81</v>
      </c>
      <c r="Y340" s="320">
        <f>IFERROR(__xludf.DUMMYFUNCTION("""COMPUTED_VALUE"""),167.0)</f>
        <v>167</v>
      </c>
      <c r="Z340" s="320">
        <f>IFERROR(__xludf.DUMMYFUNCTION("""COMPUTED_VALUE"""),576.0)</f>
        <v>576</v>
      </c>
      <c r="AA340" s="320">
        <f>IFERROR(__xludf.DUMMYFUNCTION("""COMPUTED_VALUE"""),52.5861)</f>
        <v>52.5861</v>
      </c>
      <c r="AB340" s="320">
        <f>IFERROR(__xludf.DUMMYFUNCTION("""COMPUTED_VALUE"""),0.5252)</f>
        <v>0.5252</v>
      </c>
      <c r="AC340" s="320">
        <f>IFERROR(__xludf.DUMMYFUNCTION("""COMPUTED_VALUE"""),8.41)</f>
        <v>8.41</v>
      </c>
      <c r="AD340" s="320">
        <f>IFERROR(__xludf.DUMMYFUNCTION("""COMPUTED_VALUE"""),2.0)</f>
        <v>2</v>
      </c>
      <c r="AE340" s="320">
        <f>IFERROR(__xludf.DUMMYFUNCTION("""COMPUTED_VALUE"""),6.0)</f>
        <v>6</v>
      </c>
      <c r="AF340" s="320">
        <f>IFERROR(__xludf.DUMMYFUNCTION("""COMPUTED_VALUE"""),12.0)</f>
        <v>12</v>
      </c>
      <c r="AG340" s="320">
        <f>IFERROR(__xludf.DUMMYFUNCTION("""COMPUTED_VALUE"""),19.0)</f>
        <v>19</v>
      </c>
      <c r="AH340" s="320">
        <f>IFERROR(__xludf.DUMMYFUNCTION("""COMPUTED_VALUE"""),51.59)</f>
        <v>51.59</v>
      </c>
      <c r="AI340" s="320">
        <f>IFERROR(__xludf.DUMMYFUNCTION("""COMPUTED_VALUE"""),22.67)</f>
        <v>22.67</v>
      </c>
      <c r="AJ340" s="320">
        <f>IFERROR(__xludf.DUMMYFUNCTION("""COMPUTED_VALUE"""),4.34)</f>
        <v>4.34</v>
      </c>
      <c r="AK340" s="320">
        <f>IFERROR(__xludf.DUMMYFUNCTION("""COMPUTED_VALUE"""),0.1859)</f>
        <v>0.1859</v>
      </c>
      <c r="AL340" s="320">
        <f>IFERROR(__xludf.DUMMYFUNCTION("""COMPUTED_VALUE"""),19.72)</f>
        <v>19.72</v>
      </c>
      <c r="AM340" s="320">
        <f>IFERROR(__xludf.DUMMYFUNCTION("""COMPUTED_VALUE"""),102.61)</f>
        <v>102.61</v>
      </c>
      <c r="AN340" s="320">
        <f>IFERROR(__xludf.DUMMYFUNCTION("""COMPUTED_VALUE"""),73.39)</f>
        <v>73.39</v>
      </c>
      <c r="AO340" s="320">
        <f>IFERROR(__xludf.DUMMYFUNCTION("""COMPUTED_VALUE"""),14.47)</f>
        <v>14.47</v>
      </c>
    </row>
    <row r="341" ht="15.75" customHeight="1">
      <c r="A341" s="330">
        <f>IFERROR(__xludf.DUMMYFUNCTION("""COMPUTED_VALUE"""),46106.0)</f>
        <v>46106</v>
      </c>
      <c r="B341" s="319" t="str">
        <f>IFERROR(__xludf.DUMMYFUNCTION("""COMPUTED_VALUE"""),"D. 20-39")</f>
        <v>D. 20-39</v>
      </c>
      <c r="C341" s="320">
        <f>IFERROR(__xludf.DUMMYFUNCTION("""COMPUTED_VALUE"""),7890.0)</f>
        <v>7890</v>
      </c>
      <c r="D341" s="320">
        <f>IFERROR(__xludf.DUMMYFUNCTION("""COMPUTED_VALUE"""),10.26)</f>
        <v>10.26</v>
      </c>
      <c r="E341" s="320">
        <f>IFERROR(__xludf.DUMMYFUNCTION("""COMPUTED_VALUE"""),19772.09)</f>
        <v>19772.09</v>
      </c>
      <c r="F341" s="320">
        <f>IFERROR(__xludf.DUMMYFUNCTION("""COMPUTED_VALUE"""),2.506)</f>
        <v>2.506</v>
      </c>
      <c r="G341" s="320">
        <f>IFERROR(__xludf.DUMMYFUNCTION("""COMPUTED_VALUE"""),33.23)</f>
        <v>33.23</v>
      </c>
      <c r="H341" s="320">
        <f>IFERROR(__xludf.DUMMYFUNCTION("""COMPUTED_VALUE"""),7.5408)</f>
        <v>7.5408</v>
      </c>
      <c r="I341" s="320">
        <f>IFERROR(__xludf.DUMMYFUNCTION("""COMPUTED_VALUE"""),81.99)</f>
        <v>81.99</v>
      </c>
      <c r="J341" s="320">
        <f>IFERROR(__xludf.DUMMYFUNCTION("""COMPUTED_VALUE"""),49.32)</f>
        <v>49.32</v>
      </c>
      <c r="K341" s="320">
        <f>IFERROR(__xludf.DUMMYFUNCTION("""COMPUTED_VALUE"""),25.77)</f>
        <v>25.77</v>
      </c>
      <c r="L341" s="320">
        <f>IFERROR(__xludf.DUMMYFUNCTION("""COMPUTED_VALUE"""),0.5225)</f>
        <v>0.5225</v>
      </c>
      <c r="M341" s="320">
        <f>IFERROR(__xludf.DUMMYFUNCTION("""COMPUTED_VALUE"""),0.545)</f>
        <v>0.545</v>
      </c>
      <c r="N341" s="320">
        <f>IFERROR(__xludf.DUMMYFUNCTION("""COMPUTED_VALUE"""),0.2967)</f>
        <v>0.2967</v>
      </c>
      <c r="O341" s="320">
        <f>IFERROR(__xludf.DUMMYFUNCTION("""COMPUTED_VALUE"""),1.9139)</f>
        <v>1.9139</v>
      </c>
      <c r="P341" s="320">
        <f>IFERROR(__xludf.DUMMYFUNCTION("""COMPUTED_VALUE"""),288.41)</f>
        <v>288.41</v>
      </c>
      <c r="Q341" s="320">
        <f>IFERROR(__xludf.DUMMYFUNCTION("""COMPUTED_VALUE"""),234.97)</f>
        <v>234.97</v>
      </c>
      <c r="R341" s="320">
        <f>IFERROR(__xludf.DUMMYFUNCTION("""COMPUTED_VALUE"""),53.44)</f>
        <v>53.44</v>
      </c>
      <c r="S341" s="320">
        <f>IFERROR(__xludf.DUMMYFUNCTION("""COMPUTED_VALUE"""),165.07)</f>
        <v>165.07</v>
      </c>
      <c r="T341" s="320">
        <f>IFERROR(__xludf.DUMMYFUNCTION("""COMPUTED_VALUE"""),123.34)</f>
        <v>123.34</v>
      </c>
      <c r="U341" s="320">
        <f>IFERROR(__xludf.DUMMYFUNCTION("""COMPUTED_VALUE"""),313.05)</f>
        <v>313.05</v>
      </c>
      <c r="V341" s="320">
        <f>IFERROR(__xludf.DUMMYFUNCTION("""COMPUTED_VALUE"""),6.3473)</f>
        <v>6.3473</v>
      </c>
      <c r="W341" s="320">
        <f>IFERROR(__xludf.DUMMYFUNCTION("""COMPUTED_VALUE"""),57.23)</f>
        <v>57.23</v>
      </c>
      <c r="X341" s="320">
        <f>IFERROR(__xludf.DUMMYFUNCTION("""COMPUTED_VALUE"""),82.0)</f>
        <v>82</v>
      </c>
      <c r="Y341" s="320">
        <f>IFERROR(__xludf.DUMMYFUNCTION("""COMPUTED_VALUE"""),180.0)</f>
        <v>180</v>
      </c>
      <c r="Z341" s="320">
        <f>IFERROR(__xludf.DUMMYFUNCTION("""COMPUTED_VALUE"""),658.0)</f>
        <v>658</v>
      </c>
      <c r="AA341" s="320">
        <f>IFERROR(__xludf.DUMMYFUNCTION("""COMPUTED_VALUE"""),54.6882)</f>
        <v>54.6882</v>
      </c>
      <c r="AB341" s="320">
        <f>IFERROR(__xludf.DUMMYFUNCTION("""COMPUTED_VALUE"""),0.6548)</f>
        <v>0.6548</v>
      </c>
      <c r="AC341" s="320">
        <f>IFERROR(__xludf.DUMMYFUNCTION("""COMPUTED_VALUE"""),16.63)</f>
        <v>16.63</v>
      </c>
      <c r="AD341" s="320">
        <f>IFERROR(__xludf.DUMMYFUNCTION("""COMPUTED_VALUE"""),5.0)</f>
        <v>5</v>
      </c>
      <c r="AE341" s="320">
        <f>IFERROR(__xludf.DUMMYFUNCTION("""COMPUTED_VALUE"""),12.0)</f>
        <v>12</v>
      </c>
      <c r="AF341" s="320">
        <f>IFERROR(__xludf.DUMMYFUNCTION("""COMPUTED_VALUE"""),23.0)</f>
        <v>23</v>
      </c>
      <c r="AG341" s="320">
        <f>IFERROR(__xludf.DUMMYFUNCTION("""COMPUTED_VALUE"""),36.0)</f>
        <v>36</v>
      </c>
      <c r="AH341" s="320">
        <f>IFERROR(__xludf.DUMMYFUNCTION("""COMPUTED_VALUE"""),53.74)</f>
        <v>53.74</v>
      </c>
      <c r="AI341" s="320">
        <f>IFERROR(__xludf.DUMMYFUNCTION("""COMPUTED_VALUE"""),21.5)</f>
        <v>21.5</v>
      </c>
      <c r="AJ341" s="320">
        <f>IFERROR(__xludf.DUMMYFUNCTION("""COMPUTED_VALUE"""),6.96)</f>
        <v>6.96</v>
      </c>
      <c r="AK341" s="320">
        <f>IFERROR(__xludf.DUMMYFUNCTION("""COMPUTED_VALUE"""),0.1938)</f>
        <v>0.1938</v>
      </c>
      <c r="AL341" s="320">
        <f>IFERROR(__xludf.DUMMYFUNCTION("""COMPUTED_VALUE"""),18.79)</f>
        <v>18.79</v>
      </c>
      <c r="AM341" s="320">
        <f>IFERROR(__xludf.DUMMYFUNCTION("""COMPUTED_VALUE"""),216.18)</f>
        <v>216.18</v>
      </c>
      <c r="AN341" s="320">
        <f>IFERROR(__xludf.DUMMYFUNCTION("""COMPUTED_VALUE"""),74.44)</f>
        <v>74.44</v>
      </c>
      <c r="AO341" s="320">
        <f>IFERROR(__xludf.DUMMYFUNCTION("""COMPUTED_VALUE"""),13.99)</f>
        <v>13.99</v>
      </c>
    </row>
    <row r="342" ht="15.75" customHeight="1">
      <c r="A342" s="330">
        <f>IFERROR(__xludf.DUMMYFUNCTION("""COMPUTED_VALUE"""),46106.0)</f>
        <v>46106</v>
      </c>
      <c r="B342" s="319" t="str">
        <f>IFERROR(__xludf.DUMMYFUNCTION("""COMPUTED_VALUE"""),"E. 40-99")</f>
        <v>E. 40-99</v>
      </c>
      <c r="C342" s="320">
        <f>IFERROR(__xludf.DUMMYFUNCTION("""COMPUTED_VALUE"""),3151.0)</f>
        <v>3151</v>
      </c>
      <c r="D342" s="320">
        <f>IFERROR(__xludf.DUMMYFUNCTION("""COMPUTED_VALUE"""),4.1)</f>
        <v>4.1</v>
      </c>
      <c r="E342" s="320">
        <f>IFERROR(__xludf.DUMMYFUNCTION("""COMPUTED_VALUE"""),19242.43)</f>
        <v>19242.43</v>
      </c>
      <c r="F342" s="320">
        <f>IFERROR(__xludf.DUMMYFUNCTION("""COMPUTED_VALUE"""),6.1068)</f>
        <v>6.1068</v>
      </c>
      <c r="G342" s="320">
        <f>IFERROR(__xludf.DUMMYFUNCTION("""COMPUTED_VALUE"""),43.95)</f>
        <v>43.95</v>
      </c>
      <c r="H342" s="320">
        <f>IFERROR(__xludf.DUMMYFUNCTION("""COMPUTED_VALUE"""),13.8935)</f>
        <v>13.8935</v>
      </c>
      <c r="I342" s="320">
        <f>IFERROR(__xludf.DUMMYFUNCTION("""COMPUTED_VALUE"""),128.09)</f>
        <v>128.09</v>
      </c>
      <c r="J342" s="320">
        <f>IFERROR(__xludf.DUMMYFUNCTION("""COMPUTED_VALUE"""),79.68)</f>
        <v>79.68</v>
      </c>
      <c r="K342" s="320">
        <f>IFERROR(__xludf.DUMMYFUNCTION("""COMPUTED_VALUE"""),52.98)</f>
        <v>52.98</v>
      </c>
      <c r="L342" s="320">
        <f>IFERROR(__xludf.DUMMYFUNCTION("""COMPUTED_VALUE"""),0.6649)</f>
        <v>0.6649</v>
      </c>
      <c r="M342" s="320">
        <f>IFERROR(__xludf.DUMMYFUNCTION("""COMPUTED_VALUE"""),0.4195)</f>
        <v>0.4195</v>
      </c>
      <c r="N342" s="320">
        <f>IFERROR(__xludf.DUMMYFUNCTION("""COMPUTED_VALUE"""),0.2355)</f>
        <v>0.2355</v>
      </c>
      <c r="O342" s="320">
        <f>IFERROR(__xludf.DUMMYFUNCTION("""COMPUTED_VALUE"""),1.504)</f>
        <v>1.504</v>
      </c>
      <c r="P342" s="320">
        <f>IFERROR(__xludf.DUMMYFUNCTION("""COMPUTED_VALUE"""),597.62)</f>
        <v>597.62</v>
      </c>
      <c r="Q342" s="320">
        <f>IFERROR(__xludf.DUMMYFUNCTION("""COMPUTED_VALUE"""),485.92)</f>
        <v>485.92</v>
      </c>
      <c r="R342" s="320">
        <f>IFERROR(__xludf.DUMMYFUNCTION("""COMPUTED_VALUE"""),111.7)</f>
        <v>111.7</v>
      </c>
      <c r="S342" s="320">
        <f>IFERROR(__xludf.DUMMYFUNCTION("""COMPUTED_VALUE"""),380.82)</f>
        <v>380.82</v>
      </c>
      <c r="T342" s="320">
        <f>IFERROR(__xludf.DUMMYFUNCTION("""COMPUTED_VALUE"""),216.8)</f>
        <v>216.8</v>
      </c>
      <c r="U342" s="320">
        <f>IFERROR(__xludf.DUMMYFUNCTION("""COMPUTED_VALUE"""),649.16)</f>
        <v>649.16</v>
      </c>
      <c r="V342" s="320">
        <f>IFERROR(__xludf.DUMMYFUNCTION("""COMPUTED_VALUE"""),8.1474)</f>
        <v>8.1474</v>
      </c>
      <c r="W342" s="320">
        <f>IFERROR(__xludf.DUMMYFUNCTION("""COMPUTED_VALUE"""),63.72)</f>
        <v>63.72</v>
      </c>
      <c r="X342" s="320">
        <f>IFERROR(__xludf.DUMMYFUNCTION("""COMPUTED_VALUE"""),91.0)</f>
        <v>91</v>
      </c>
      <c r="Y342" s="320">
        <f>IFERROR(__xludf.DUMMYFUNCTION("""COMPUTED_VALUE"""),254.0)</f>
        <v>254</v>
      </c>
      <c r="Z342" s="320">
        <f>IFERROR(__xludf.DUMMYFUNCTION("""COMPUTED_VALUE"""),919.0)</f>
        <v>919</v>
      </c>
      <c r="AA342" s="320">
        <f>IFERROR(__xludf.DUMMYFUNCTION("""COMPUTED_VALUE"""),57.9038)</f>
        <v>57.9038</v>
      </c>
      <c r="AB342" s="320">
        <f>IFERROR(__xludf.DUMMYFUNCTION("""COMPUTED_VALUE"""),0.7637)</f>
        <v>0.7637</v>
      </c>
      <c r="AC342" s="320">
        <f>IFERROR(__xludf.DUMMYFUNCTION("""COMPUTED_VALUE"""),35.2)</f>
        <v>35.2</v>
      </c>
      <c r="AD342" s="320">
        <f>IFERROR(__xludf.DUMMYFUNCTION("""COMPUTED_VALUE"""),11.0)</f>
        <v>11</v>
      </c>
      <c r="AE342" s="320">
        <f>IFERROR(__xludf.DUMMYFUNCTION("""COMPUTED_VALUE"""),26.0)</f>
        <v>26</v>
      </c>
      <c r="AF342" s="320">
        <f>IFERROR(__xludf.DUMMYFUNCTION("""COMPUTED_VALUE"""),50.0)</f>
        <v>50</v>
      </c>
      <c r="AG342" s="320">
        <f>IFERROR(__xludf.DUMMYFUNCTION("""COMPUTED_VALUE"""),77.0)</f>
        <v>77</v>
      </c>
      <c r="AH342" s="320">
        <f>IFERROR(__xludf.DUMMYFUNCTION("""COMPUTED_VALUE"""),48.02)</f>
        <v>48.02</v>
      </c>
      <c r="AI342" s="320">
        <f>IFERROR(__xludf.DUMMYFUNCTION("""COMPUTED_VALUE"""),18.69)</f>
        <v>18.69</v>
      </c>
      <c r="AJ342" s="320">
        <f>IFERROR(__xludf.DUMMYFUNCTION("""COMPUTED_VALUE"""),4.82)</f>
        <v>4.82</v>
      </c>
      <c r="AK342" s="320">
        <f>IFERROR(__xludf.DUMMYFUNCTION("""COMPUTED_VALUE"""),0.1631)</f>
        <v>0.1631</v>
      </c>
      <c r="AL342" s="320">
        <f>IFERROR(__xludf.DUMMYFUNCTION("""COMPUTED_VALUE"""),20.41)</f>
        <v>20.41</v>
      </c>
      <c r="AM342" s="320">
        <f>IFERROR(__xludf.DUMMYFUNCTION("""COMPUTED_VALUE"""),465.51)</f>
        <v>465.51</v>
      </c>
      <c r="AN342" s="320">
        <f>IFERROR(__xludf.DUMMYFUNCTION("""COMPUTED_VALUE"""),74.57)</f>
        <v>74.57</v>
      </c>
      <c r="AO342" s="320">
        <f>IFERROR(__xludf.DUMMYFUNCTION("""COMPUTED_VALUE"""),15.22)</f>
        <v>15.22</v>
      </c>
    </row>
    <row r="343" ht="15.75" customHeight="1">
      <c r="A343" s="330">
        <f>IFERROR(__xludf.DUMMYFUNCTION("""COMPUTED_VALUE"""),46106.0)</f>
        <v>46106</v>
      </c>
      <c r="B343" s="319" t="str">
        <f>IFERROR(__xludf.DUMMYFUNCTION("""COMPUTED_VALUE"""),"F. 100+")</f>
        <v>F. 100+</v>
      </c>
      <c r="C343" s="320">
        <f>IFERROR(__xludf.DUMMYFUNCTION("""COMPUTED_VALUE"""),385.0)</f>
        <v>385</v>
      </c>
      <c r="D343" s="320">
        <f>IFERROR(__xludf.DUMMYFUNCTION("""COMPUTED_VALUE"""),0.5)</f>
        <v>0.5</v>
      </c>
      <c r="E343" s="320">
        <f>IFERROR(__xludf.DUMMYFUNCTION("""COMPUTED_VALUE"""),4213.18)</f>
        <v>4213.18</v>
      </c>
      <c r="F343" s="320">
        <f>IFERROR(__xludf.DUMMYFUNCTION("""COMPUTED_VALUE"""),10.9433)</f>
        <v>10.9433</v>
      </c>
      <c r="G343" s="320">
        <f>IFERROR(__xludf.DUMMYFUNCTION("""COMPUTED_VALUE"""),45.19)</f>
        <v>45.19</v>
      </c>
      <c r="H343" s="320">
        <f>IFERROR(__xludf.DUMMYFUNCTION("""COMPUTED_VALUE"""),24.2137)</f>
        <v>24.2137</v>
      </c>
      <c r="I343" s="320">
        <f>IFERROR(__xludf.DUMMYFUNCTION("""COMPUTED_VALUE"""),229.16)</f>
        <v>229.16</v>
      </c>
      <c r="J343" s="320">
        <f>IFERROR(__xludf.DUMMYFUNCTION("""COMPUTED_VALUE"""),150.82)</f>
        <v>150.82</v>
      </c>
      <c r="K343" s="320">
        <f>IFERROR(__xludf.DUMMYFUNCTION("""COMPUTED_VALUE"""),116.31)</f>
        <v>116.31</v>
      </c>
      <c r="L343" s="320">
        <f>IFERROR(__xludf.DUMMYFUNCTION("""COMPUTED_VALUE"""),0.7712)</f>
        <v>0.7712</v>
      </c>
      <c r="M343" s="320">
        <f>IFERROR(__xludf.DUMMYFUNCTION("""COMPUTED_VALUE"""),0.3157)</f>
        <v>0.3157</v>
      </c>
      <c r="N343" s="320">
        <f>IFERROR(__xludf.DUMMYFUNCTION("""COMPUTED_VALUE"""),0.1919)</f>
        <v>0.1919</v>
      </c>
      <c r="O343" s="320">
        <f>IFERROR(__xludf.DUMMYFUNCTION("""COMPUTED_VALUE"""),1.2968)</f>
        <v>1.2968</v>
      </c>
      <c r="P343" s="320">
        <f>IFERROR(__xludf.DUMMYFUNCTION("""COMPUTED_VALUE"""),1094.63)</f>
        <v>1094.63</v>
      </c>
      <c r="Q343" s="320">
        <f>IFERROR(__xludf.DUMMYFUNCTION("""COMPUTED_VALUE"""),848.62)</f>
        <v>848.62</v>
      </c>
      <c r="R343" s="320">
        <f>IFERROR(__xludf.DUMMYFUNCTION("""COMPUTED_VALUE"""),246.01)</f>
        <v>246.01</v>
      </c>
      <c r="S343" s="320">
        <f>IFERROR(__xludf.DUMMYFUNCTION("""COMPUTED_VALUE"""),680.7)</f>
        <v>680.7</v>
      </c>
      <c r="T343" s="320">
        <f>IFERROR(__xludf.DUMMYFUNCTION("""COMPUTED_VALUE"""),413.93)</f>
        <v>413.93</v>
      </c>
      <c r="U343" s="320">
        <f>IFERROR(__xludf.DUMMYFUNCTION("""COMPUTED_VALUE"""),1199.35)</f>
        <v>1199.35</v>
      </c>
      <c r="V343" s="320">
        <f>IFERROR(__xludf.DUMMYFUNCTION("""COMPUTED_VALUE"""),7.9522)</f>
        <v>7.9522</v>
      </c>
      <c r="W343" s="320">
        <f>IFERROR(__xludf.DUMMYFUNCTION("""COMPUTED_VALUE"""),62.19)</f>
        <v>62.19</v>
      </c>
      <c r="X343" s="320">
        <f>IFERROR(__xludf.DUMMYFUNCTION("""COMPUTED_VALUE"""),117.0)</f>
        <v>117</v>
      </c>
      <c r="Y343" s="320">
        <f>IFERROR(__xludf.DUMMYFUNCTION("""COMPUTED_VALUE"""),638.0)</f>
        <v>638</v>
      </c>
      <c r="Z343" s="320">
        <f>IFERROR(__xludf.DUMMYFUNCTION("""COMPUTED_VALUE"""),2212.0)</f>
        <v>2212</v>
      </c>
      <c r="AA343" s="320">
        <f>IFERROR(__xludf.DUMMYFUNCTION("""COMPUTED_VALUE"""),62.2277)</f>
        <v>62.2277</v>
      </c>
      <c r="AB343" s="320">
        <f>IFERROR(__xludf.DUMMYFUNCTION("""COMPUTED_VALUE"""),0.8376)</f>
        <v>0.8376</v>
      </c>
      <c r="AC343" s="320">
        <f>IFERROR(__xludf.DUMMYFUNCTION("""COMPUTED_VALUE"""),74.04)</f>
        <v>74.04</v>
      </c>
      <c r="AD343" s="320">
        <f>IFERROR(__xludf.DUMMYFUNCTION("""COMPUTED_VALUE"""),22.0)</f>
        <v>22</v>
      </c>
      <c r="AE343" s="320">
        <f>IFERROR(__xludf.DUMMYFUNCTION("""COMPUTED_VALUE"""),53.0)</f>
        <v>53</v>
      </c>
      <c r="AF343" s="320">
        <f>IFERROR(__xludf.DUMMYFUNCTION("""COMPUTED_VALUE"""),107.0)</f>
        <v>107</v>
      </c>
      <c r="AG343" s="320">
        <f>IFERROR(__xludf.DUMMYFUNCTION("""COMPUTED_VALUE"""),157.0)</f>
        <v>157</v>
      </c>
      <c r="AH343" s="320">
        <f>IFERROR(__xludf.DUMMYFUNCTION("""COMPUTED_VALUE"""),37.14)</f>
        <v>37.14</v>
      </c>
      <c r="AI343" s="320">
        <f>IFERROR(__xludf.DUMMYFUNCTION("""COMPUTED_VALUE"""),7.53)</f>
        <v>7.53</v>
      </c>
      <c r="AJ343" s="320">
        <f>IFERROR(__xludf.DUMMYFUNCTION("""COMPUTED_VALUE"""),1.82)</f>
        <v>1.82</v>
      </c>
      <c r="AK343" s="320">
        <f>IFERROR(__xludf.DUMMYFUNCTION("""COMPUTED_VALUE"""),0.0961)</f>
        <v>0.0961</v>
      </c>
      <c r="AL343" s="320">
        <f>IFERROR(__xludf.DUMMYFUNCTION("""COMPUTED_VALUE"""),22.49)</f>
        <v>22.49</v>
      </c>
      <c r="AM343" s="320">
        <f>IFERROR(__xludf.DUMMYFUNCTION("""COMPUTED_VALUE"""),826.13)</f>
        <v>826.13</v>
      </c>
      <c r="AN343" s="320">
        <f>IFERROR(__xludf.DUMMYFUNCTION("""COMPUTED_VALUE"""),74.95)</f>
        <v>74.95</v>
      </c>
      <c r="AO343" s="320">
        <f>IFERROR(__xludf.DUMMYFUNCTION("""COMPUTED_VALUE"""),16.86)</f>
        <v>16.86</v>
      </c>
    </row>
    <row r="344" ht="15.75" customHeight="1">
      <c r="A344" s="330">
        <f>IFERROR(__xludf.DUMMYFUNCTION("""COMPUTED_VALUE"""),46107.0)</f>
        <v>46107</v>
      </c>
      <c r="B344" s="319" t="str">
        <f>IFERROR(__xludf.DUMMYFUNCTION("""COMPUTED_VALUE"""),"A. 0")</f>
        <v>A. 0</v>
      </c>
      <c r="C344" s="320">
        <f>IFERROR(__xludf.DUMMYFUNCTION("""COMPUTED_VALUE"""),16849.0)</f>
        <v>16849</v>
      </c>
      <c r="D344" s="320">
        <f>IFERROR(__xludf.DUMMYFUNCTION("""COMPUTED_VALUE"""),22.23)</f>
        <v>22.23</v>
      </c>
      <c r="E344" s="320">
        <f>IFERROR(__xludf.DUMMYFUNCTION("""COMPUTED_VALUE"""),72.56)</f>
        <v>72.56</v>
      </c>
      <c r="F344" s="320">
        <f>IFERROR(__xludf.DUMMYFUNCTION("""COMPUTED_VALUE"""),0.0043)</f>
        <v>0.0043</v>
      </c>
      <c r="G344" s="320">
        <f>IFERROR(__xludf.DUMMYFUNCTION("""COMPUTED_VALUE"""),0.13)</f>
        <v>0.13</v>
      </c>
      <c r="H344" s="320">
        <f>IFERROR(__xludf.DUMMYFUNCTION("""COMPUTED_VALUE"""),3.2982)</f>
        <v>3.2982</v>
      </c>
      <c r="I344" s="320">
        <f>IFERROR(__xludf.DUMMYFUNCTION("""COMPUTED_VALUE"""),6.17)</f>
        <v>6.17</v>
      </c>
      <c r="J344" s="320">
        <f>IFERROR(__xludf.DUMMYFUNCTION("""COMPUTED_VALUE"""),2.85)</f>
        <v>2.85</v>
      </c>
      <c r="K344" s="320">
        <f>IFERROR(__xludf.DUMMYFUNCTION("""COMPUTED_VALUE"""),0.04)</f>
        <v>0.04</v>
      </c>
      <c r="L344" s="320">
        <f>IFERROR(__xludf.DUMMYFUNCTION("""COMPUTED_VALUE"""),0.0128)</f>
        <v>0.0128</v>
      </c>
      <c r="M344" s="320">
        <f>IFERROR(__xludf.DUMMYFUNCTION("""COMPUTED_VALUE"""),0.988)</f>
        <v>0.988</v>
      </c>
      <c r="N344" s="320">
        <f>IFERROR(__xludf.DUMMYFUNCTION("""COMPUTED_VALUE"""),0.8277)</f>
        <v>0.8277</v>
      </c>
      <c r="O344" s="320">
        <f>IFERROR(__xludf.DUMMYFUNCTION("""COMPUTED_VALUE"""),78.0455)</f>
        <v>78.0455</v>
      </c>
      <c r="P344" s="320">
        <f>IFERROR(__xludf.DUMMYFUNCTION("""COMPUTED_VALUE"""),23.7)</f>
        <v>23.7</v>
      </c>
      <c r="Q344" s="320">
        <f>IFERROR(__xludf.DUMMYFUNCTION("""COMPUTED_VALUE"""),23.63)</f>
        <v>23.63</v>
      </c>
      <c r="R344" s="320">
        <f>IFERROR(__xludf.DUMMYFUNCTION("""COMPUTED_VALUE"""),0.07)</f>
        <v>0.07</v>
      </c>
      <c r="S344" s="320">
        <f>IFERROR(__xludf.DUMMYFUNCTION("""COMPUTED_VALUE"""),0.52)</f>
        <v>0.52</v>
      </c>
      <c r="T344" s="320">
        <f>IFERROR(__xludf.DUMMYFUNCTION("""COMPUTED_VALUE"""),23.18)</f>
        <v>23.18</v>
      </c>
      <c r="U344" s="320">
        <f>IFERROR(__xludf.DUMMYFUNCTION("""COMPUTED_VALUE"""),2.12)</f>
        <v>2.12</v>
      </c>
      <c r="V344" s="320">
        <f>IFERROR(__xludf.DUMMYFUNCTION("""COMPUTED_VALUE"""),0.7459)</f>
        <v>0.7459</v>
      </c>
      <c r="W344" s="320">
        <f>IFERROR(__xludf.DUMMYFUNCTION("""COMPUTED_VALUE"""),2.2)</f>
        <v>2.2</v>
      </c>
      <c r="X344" s="320">
        <f>IFERROR(__xludf.DUMMYFUNCTION("""COMPUTED_VALUE"""),135.0)</f>
        <v>135</v>
      </c>
      <c r="Y344" s="320">
        <f>IFERROR(__xludf.DUMMYFUNCTION("""COMPUTED_VALUE"""),1017.0)</f>
        <v>1017</v>
      </c>
      <c r="Z344" s="320">
        <f>IFERROR(__xludf.DUMMYFUNCTION("""COMPUTED_VALUE"""),6836.0)</f>
        <v>6836</v>
      </c>
      <c r="AA344" s="320">
        <f>IFERROR(__xludf.DUMMYFUNCTION("""COMPUTED_VALUE"""),49.6844)</f>
        <v>49.6844</v>
      </c>
      <c r="AB344" s="320">
        <f>IFERROR(__xludf.DUMMYFUNCTION("""COMPUTED_VALUE"""),0.5063)</f>
        <v>0.5063</v>
      </c>
      <c r="AC344" s="106"/>
      <c r="AD344" s="106"/>
      <c r="AE344" s="106"/>
      <c r="AF344" s="106"/>
      <c r="AG344" s="106"/>
      <c r="AH344" s="320">
        <f>IFERROR(__xludf.DUMMYFUNCTION("""COMPUTED_VALUE"""),0.0)</f>
        <v>0</v>
      </c>
      <c r="AI344" s="320">
        <f>IFERROR(__xludf.DUMMYFUNCTION("""COMPUTED_VALUE"""),0.0)</f>
        <v>0</v>
      </c>
      <c r="AJ344" s="320">
        <f>IFERROR(__xludf.DUMMYFUNCTION("""COMPUTED_VALUE"""),0.0)</f>
        <v>0</v>
      </c>
      <c r="AK344" s="320">
        <f>IFERROR(__xludf.DUMMYFUNCTION("""COMPUTED_VALUE"""),0.2731)</f>
        <v>0.2731</v>
      </c>
      <c r="AL344" s="320">
        <f>IFERROR(__xludf.DUMMYFUNCTION("""COMPUTED_VALUE"""),16.13)</f>
        <v>16.13</v>
      </c>
      <c r="AM344" s="320">
        <f>IFERROR(__xludf.DUMMYFUNCTION("""COMPUTED_VALUE"""),7.51)</f>
        <v>7.51</v>
      </c>
      <c r="AN344" s="331"/>
      <c r="AO344" s="331"/>
    </row>
    <row r="345" ht="15.75" customHeight="1">
      <c r="A345" s="330">
        <f>IFERROR(__xludf.DUMMYFUNCTION("""COMPUTED_VALUE"""),46107.0)</f>
        <v>46107</v>
      </c>
      <c r="B345" s="319" t="str">
        <f>IFERROR(__xludf.DUMMYFUNCTION("""COMPUTED_VALUE"""),"B. 1-9")</f>
        <v>B. 1-9</v>
      </c>
      <c r="C345" s="320">
        <f>IFERROR(__xludf.DUMMYFUNCTION("""COMPUTED_VALUE"""),31991.0)</f>
        <v>31991</v>
      </c>
      <c r="D345" s="320">
        <f>IFERROR(__xludf.DUMMYFUNCTION("""COMPUTED_VALUE"""),42.22)</f>
        <v>42.22</v>
      </c>
      <c r="E345" s="320">
        <f>IFERROR(__xludf.DUMMYFUNCTION("""COMPUTED_VALUE"""),7203.81)</f>
        <v>7203.81</v>
      </c>
      <c r="F345" s="320">
        <f>IFERROR(__xludf.DUMMYFUNCTION("""COMPUTED_VALUE"""),0.2252)</f>
        <v>0.2252</v>
      </c>
      <c r="G345" s="320">
        <f>IFERROR(__xludf.DUMMYFUNCTION("""COMPUTED_VALUE"""),6.38)</f>
        <v>6.38</v>
      </c>
      <c r="H345" s="320">
        <f>IFERROR(__xludf.DUMMYFUNCTION("""COMPUTED_VALUE"""),3.5278)</f>
        <v>3.5278</v>
      </c>
      <c r="I345" s="320">
        <f>IFERROR(__xludf.DUMMYFUNCTION("""COMPUTED_VALUE"""),28.83)</f>
        <v>28.83</v>
      </c>
      <c r="J345" s="320">
        <f>IFERROR(__xludf.DUMMYFUNCTION("""COMPUTED_VALUE"""),15.45)</f>
        <v>15.45</v>
      </c>
      <c r="K345" s="320">
        <f>IFERROR(__xludf.DUMMYFUNCTION("""COMPUTED_VALUE"""),5.03)</f>
        <v>5.03</v>
      </c>
      <c r="L345" s="320">
        <f>IFERROR(__xludf.DUMMYFUNCTION("""COMPUTED_VALUE"""),0.3256)</f>
        <v>0.3256</v>
      </c>
      <c r="M345" s="320">
        <f>IFERROR(__xludf.DUMMYFUNCTION("""COMPUTED_VALUE"""),0.7481)</f>
        <v>0.7481</v>
      </c>
      <c r="N345" s="320">
        <f>IFERROR(__xludf.DUMMYFUNCTION("""COMPUTED_VALUE"""),0.511)</f>
        <v>0.511</v>
      </c>
      <c r="O345" s="320">
        <f>IFERROR(__xludf.DUMMYFUNCTION("""COMPUTED_VALUE"""),3.0715)</f>
        <v>3.0715</v>
      </c>
      <c r="P345" s="320">
        <f>IFERROR(__xludf.DUMMYFUNCTION("""COMPUTED_VALUE"""),63.41)</f>
        <v>63.41</v>
      </c>
      <c r="Q345" s="320">
        <f>IFERROR(__xludf.DUMMYFUNCTION("""COMPUTED_VALUE"""),53.01)</f>
        <v>53.01</v>
      </c>
      <c r="R345" s="320">
        <f>IFERROR(__xludf.DUMMYFUNCTION("""COMPUTED_VALUE"""),10.41)</f>
        <v>10.41</v>
      </c>
      <c r="S345" s="320">
        <f>IFERROR(__xludf.DUMMYFUNCTION("""COMPUTED_VALUE"""),16.25)</f>
        <v>16.25</v>
      </c>
      <c r="T345" s="320">
        <f>IFERROR(__xludf.DUMMYFUNCTION("""COMPUTED_VALUE"""),47.16)</f>
        <v>47.16</v>
      </c>
      <c r="U345" s="320">
        <f>IFERROR(__xludf.DUMMYFUNCTION("""COMPUTED_VALUE"""),69.69)</f>
        <v>69.69</v>
      </c>
      <c r="V345" s="320">
        <f>IFERROR(__xludf.DUMMYFUNCTION("""COMPUTED_VALUE"""),4.51)</f>
        <v>4.51</v>
      </c>
      <c r="W345" s="320">
        <f>IFERROR(__xludf.DUMMYFUNCTION("""COMPUTED_VALUE"""),25.62)</f>
        <v>25.62</v>
      </c>
      <c r="X345" s="320">
        <f>IFERROR(__xludf.DUMMYFUNCTION("""COMPUTED_VALUE"""),84.0)</f>
        <v>84</v>
      </c>
      <c r="Y345" s="320">
        <f>IFERROR(__xludf.DUMMYFUNCTION("""COMPUTED_VALUE"""),201.0)</f>
        <v>201</v>
      </c>
      <c r="Z345" s="320">
        <f>IFERROR(__xludf.DUMMYFUNCTION("""COMPUTED_VALUE"""),843.0)</f>
        <v>843</v>
      </c>
      <c r="AA345" s="320">
        <f>IFERROR(__xludf.DUMMYFUNCTION("""COMPUTED_VALUE"""),49.6614)</f>
        <v>49.6614</v>
      </c>
      <c r="AB345" s="320">
        <f>IFERROR(__xludf.DUMMYFUNCTION("""COMPUTED_VALUE"""),0.4423)</f>
        <v>0.4423</v>
      </c>
      <c r="AC345" s="320">
        <f>IFERROR(__xludf.DUMMYFUNCTION("""COMPUTED_VALUE"""),3.44)</f>
        <v>3.44</v>
      </c>
      <c r="AD345" s="320">
        <f>IFERROR(__xludf.DUMMYFUNCTION("""COMPUTED_VALUE"""),1.0)</f>
        <v>1</v>
      </c>
      <c r="AE345" s="320">
        <f>IFERROR(__xludf.DUMMYFUNCTION("""COMPUTED_VALUE"""),2.0)</f>
        <v>2</v>
      </c>
      <c r="AF345" s="320">
        <f>IFERROR(__xludf.DUMMYFUNCTION("""COMPUTED_VALUE"""),4.0)</f>
        <v>4</v>
      </c>
      <c r="AG345" s="320">
        <f>IFERROR(__xludf.DUMMYFUNCTION("""COMPUTED_VALUE"""),8.0)</f>
        <v>8</v>
      </c>
      <c r="AH345" s="320">
        <f>IFERROR(__xludf.DUMMYFUNCTION("""COMPUTED_VALUE"""),64.32)</f>
        <v>64.32</v>
      </c>
      <c r="AI345" s="320">
        <f>IFERROR(__xludf.DUMMYFUNCTION("""COMPUTED_VALUE"""),23.55)</f>
        <v>23.55</v>
      </c>
      <c r="AJ345" s="320">
        <f>IFERROR(__xludf.DUMMYFUNCTION("""COMPUTED_VALUE"""),6.86)</f>
        <v>6.86</v>
      </c>
      <c r="AK345" s="320">
        <f>IFERROR(__xludf.DUMMYFUNCTION("""COMPUTED_VALUE"""),0.2224)</f>
        <v>0.2224</v>
      </c>
      <c r="AL345" s="320">
        <f>IFERROR(__xludf.DUMMYFUNCTION("""COMPUTED_VALUE"""),19.94)</f>
        <v>19.94</v>
      </c>
      <c r="AM345" s="320">
        <f>IFERROR(__xludf.DUMMYFUNCTION("""COMPUTED_VALUE"""),33.06)</f>
        <v>33.06</v>
      </c>
      <c r="AN345" s="320">
        <f>IFERROR(__xludf.DUMMYFUNCTION("""COMPUTED_VALUE"""),69.05)</f>
        <v>69.05</v>
      </c>
      <c r="AO345" s="320">
        <f>IFERROR(__xludf.DUMMYFUNCTION("""COMPUTED_VALUE"""),13.77)</f>
        <v>13.77</v>
      </c>
    </row>
    <row r="346" ht="15.75" customHeight="1">
      <c r="A346" s="330">
        <f>IFERROR(__xludf.DUMMYFUNCTION("""COMPUTED_VALUE"""),46107.0)</f>
        <v>46107</v>
      </c>
      <c r="B346" s="319" t="str">
        <f>IFERROR(__xludf.DUMMYFUNCTION("""COMPUTED_VALUE"""),"C. 10-19")</f>
        <v>C. 10-19</v>
      </c>
      <c r="C346" s="320">
        <f>IFERROR(__xludf.DUMMYFUNCTION("""COMPUTED_VALUE"""),15624.0)</f>
        <v>15624</v>
      </c>
      <c r="D346" s="320">
        <f>IFERROR(__xludf.DUMMYFUNCTION("""COMPUTED_VALUE"""),20.62)</f>
        <v>20.62</v>
      </c>
      <c r="E346" s="320">
        <f>IFERROR(__xludf.DUMMYFUNCTION("""COMPUTED_VALUE"""),16014.95)</f>
        <v>16014.95</v>
      </c>
      <c r="F346" s="320">
        <f>IFERROR(__xludf.DUMMYFUNCTION("""COMPUTED_VALUE"""),1.025)</f>
        <v>1.025</v>
      </c>
      <c r="G346" s="320">
        <f>IFERROR(__xludf.DUMMYFUNCTION("""COMPUTED_VALUE"""),21.38)</f>
        <v>21.38</v>
      </c>
      <c r="H346" s="320">
        <f>IFERROR(__xludf.DUMMYFUNCTION("""COMPUTED_VALUE"""),4.7949)</f>
        <v>4.7949</v>
      </c>
      <c r="I346" s="320">
        <f>IFERROR(__xludf.DUMMYFUNCTION("""COMPUTED_VALUE"""),53.18)</f>
        <v>53.18</v>
      </c>
      <c r="J346" s="320">
        <f>IFERROR(__xludf.DUMMYFUNCTION("""COMPUTED_VALUE"""),30.31)</f>
        <v>30.31</v>
      </c>
      <c r="K346" s="320">
        <f>IFERROR(__xludf.DUMMYFUNCTION("""COMPUTED_VALUE"""),13.59)</f>
        <v>13.59</v>
      </c>
      <c r="L346" s="320">
        <f>IFERROR(__xludf.DUMMYFUNCTION("""COMPUTED_VALUE"""),0.4483)</f>
        <v>0.4483</v>
      </c>
      <c r="M346" s="320">
        <f>IFERROR(__xludf.DUMMYFUNCTION("""COMPUTED_VALUE"""),0.618)</f>
        <v>0.618</v>
      </c>
      <c r="N346" s="320">
        <f>IFERROR(__xludf.DUMMYFUNCTION("""COMPUTED_VALUE"""),0.3509)</f>
        <v>0.3509</v>
      </c>
      <c r="O346" s="320">
        <f>IFERROR(__xludf.DUMMYFUNCTION("""COMPUTED_VALUE"""),2.2304)</f>
        <v>2.2304</v>
      </c>
      <c r="P346" s="320">
        <f>IFERROR(__xludf.DUMMYFUNCTION("""COMPUTED_VALUE"""),166.67)</f>
        <v>166.67</v>
      </c>
      <c r="Q346" s="320">
        <f>IFERROR(__xludf.DUMMYFUNCTION("""COMPUTED_VALUE"""),139.23)</f>
        <v>139.23</v>
      </c>
      <c r="R346" s="320">
        <f>IFERROR(__xludf.DUMMYFUNCTION("""COMPUTED_VALUE"""),27.43)</f>
        <v>27.43</v>
      </c>
      <c r="S346" s="320">
        <f>IFERROR(__xludf.DUMMYFUNCTION("""COMPUTED_VALUE"""),69.7)</f>
        <v>69.7</v>
      </c>
      <c r="T346" s="320">
        <f>IFERROR(__xludf.DUMMYFUNCTION("""COMPUTED_VALUE"""),96.96)</f>
        <v>96.96</v>
      </c>
      <c r="U346" s="320">
        <f>IFERROR(__xludf.DUMMYFUNCTION("""COMPUTED_VALUE"""),168.79)</f>
        <v>168.79</v>
      </c>
      <c r="V346" s="320">
        <f>IFERROR(__xludf.DUMMYFUNCTION("""COMPUTED_VALUE"""),5.5684)</f>
        <v>5.5684</v>
      </c>
      <c r="W346" s="320">
        <f>IFERROR(__xludf.DUMMYFUNCTION("""COMPUTED_VALUE"""),41.82)</f>
        <v>41.82</v>
      </c>
      <c r="X346" s="320">
        <f>IFERROR(__xludf.DUMMYFUNCTION("""COMPUTED_VALUE"""),83.0)</f>
        <v>83</v>
      </c>
      <c r="Y346" s="320">
        <f>IFERROR(__xludf.DUMMYFUNCTION("""COMPUTED_VALUE"""),186.0)</f>
        <v>186</v>
      </c>
      <c r="Z346" s="320">
        <f>IFERROR(__xludf.DUMMYFUNCTION("""COMPUTED_VALUE"""),608.0)</f>
        <v>608</v>
      </c>
      <c r="AA346" s="320">
        <f>IFERROR(__xludf.DUMMYFUNCTION("""COMPUTED_VALUE"""),52.6132)</f>
        <v>52.6132</v>
      </c>
      <c r="AB346" s="320">
        <f>IFERROR(__xludf.DUMMYFUNCTION("""COMPUTED_VALUE"""),0.5373)</f>
        <v>0.5373</v>
      </c>
      <c r="AC346" s="320">
        <f>IFERROR(__xludf.DUMMYFUNCTION("""COMPUTED_VALUE"""),8.79)</f>
        <v>8.79</v>
      </c>
      <c r="AD346" s="320">
        <f>IFERROR(__xludf.DUMMYFUNCTION("""COMPUTED_VALUE"""),2.0)</f>
        <v>2</v>
      </c>
      <c r="AE346" s="320">
        <f>IFERROR(__xludf.DUMMYFUNCTION("""COMPUTED_VALUE"""),6.0)</f>
        <v>6</v>
      </c>
      <c r="AF346" s="320">
        <f>IFERROR(__xludf.DUMMYFUNCTION("""COMPUTED_VALUE"""),12.0)</f>
        <v>12</v>
      </c>
      <c r="AG346" s="320">
        <f>IFERROR(__xludf.DUMMYFUNCTION("""COMPUTED_VALUE"""),20.0)</f>
        <v>20</v>
      </c>
      <c r="AH346" s="320">
        <f>IFERROR(__xludf.DUMMYFUNCTION("""COMPUTED_VALUE"""),52.86)</f>
        <v>52.86</v>
      </c>
      <c r="AI346" s="320">
        <f>IFERROR(__xludf.DUMMYFUNCTION("""COMPUTED_VALUE"""),24.25)</f>
        <v>24.25</v>
      </c>
      <c r="AJ346" s="320">
        <f>IFERROR(__xludf.DUMMYFUNCTION("""COMPUTED_VALUE"""),4.99)</f>
        <v>4.99</v>
      </c>
      <c r="AK346" s="320">
        <f>IFERROR(__xludf.DUMMYFUNCTION("""COMPUTED_VALUE"""),0.1936)</f>
        <v>0.1936</v>
      </c>
      <c r="AL346" s="320">
        <f>IFERROR(__xludf.DUMMYFUNCTION("""COMPUTED_VALUE"""),20.77)</f>
        <v>20.77</v>
      </c>
      <c r="AM346" s="320">
        <f>IFERROR(__xludf.DUMMYFUNCTION("""COMPUTED_VALUE"""),118.46)</f>
        <v>118.46</v>
      </c>
      <c r="AN346" s="320">
        <f>IFERROR(__xludf.DUMMYFUNCTION("""COMPUTED_VALUE"""),74.76)</f>
        <v>74.76</v>
      </c>
      <c r="AO346" s="320">
        <f>IFERROR(__xludf.DUMMYFUNCTION("""COMPUTED_VALUE"""),15.53)</f>
        <v>15.53</v>
      </c>
    </row>
    <row r="347" ht="15.75" customHeight="1">
      <c r="A347" s="330">
        <f>IFERROR(__xludf.DUMMYFUNCTION("""COMPUTED_VALUE"""),46107.0)</f>
        <v>46107</v>
      </c>
      <c r="B347" s="319" t="str">
        <f>IFERROR(__xludf.DUMMYFUNCTION("""COMPUTED_VALUE"""),"D. 20-39")</f>
        <v>D. 20-39</v>
      </c>
      <c r="C347" s="320">
        <f>IFERROR(__xludf.DUMMYFUNCTION("""COMPUTED_VALUE"""),7711.0)</f>
        <v>7711</v>
      </c>
      <c r="D347" s="320">
        <f>IFERROR(__xludf.DUMMYFUNCTION("""COMPUTED_VALUE"""),10.18)</f>
        <v>10.18</v>
      </c>
      <c r="E347" s="320">
        <f>IFERROR(__xludf.DUMMYFUNCTION("""COMPUTED_VALUE"""),18330.57)</f>
        <v>18330.57</v>
      </c>
      <c r="F347" s="320">
        <f>IFERROR(__xludf.DUMMYFUNCTION("""COMPUTED_VALUE"""),2.3772)</f>
        <v>2.3772</v>
      </c>
      <c r="G347" s="320">
        <f>IFERROR(__xludf.DUMMYFUNCTION("""COMPUTED_VALUE"""),31.06)</f>
        <v>31.06</v>
      </c>
      <c r="H347" s="320">
        <f>IFERROR(__xludf.DUMMYFUNCTION("""COMPUTED_VALUE"""),7.6537)</f>
        <v>7.6537</v>
      </c>
      <c r="I347" s="320">
        <f>IFERROR(__xludf.DUMMYFUNCTION("""COMPUTED_VALUE"""),74.7)</f>
        <v>74.7</v>
      </c>
      <c r="J347" s="320">
        <f>IFERROR(__xludf.DUMMYFUNCTION("""COMPUTED_VALUE"""),44.72)</f>
        <v>44.72</v>
      </c>
      <c r="K347" s="320">
        <f>IFERROR(__xludf.DUMMYFUNCTION("""COMPUTED_VALUE"""),25.29)</f>
        <v>25.29</v>
      </c>
      <c r="L347" s="320">
        <f>IFERROR(__xludf.DUMMYFUNCTION("""COMPUTED_VALUE"""),0.5655)</f>
        <v>0.5655</v>
      </c>
      <c r="M347" s="320">
        <f>IFERROR(__xludf.DUMMYFUNCTION("""COMPUTED_VALUE"""),0.5099)</f>
        <v>0.5099</v>
      </c>
      <c r="N347" s="320">
        <f>IFERROR(__xludf.DUMMYFUNCTION("""COMPUTED_VALUE"""),0.283)</f>
        <v>0.283</v>
      </c>
      <c r="O347" s="320">
        <f>IFERROR(__xludf.DUMMYFUNCTION("""COMPUTED_VALUE"""),1.7684)</f>
        <v>1.7684</v>
      </c>
      <c r="P347" s="320">
        <f>IFERROR(__xludf.DUMMYFUNCTION("""COMPUTED_VALUE"""),325.99)</f>
        <v>325.99</v>
      </c>
      <c r="Q347" s="320">
        <f>IFERROR(__xludf.DUMMYFUNCTION("""COMPUTED_VALUE"""),272.68)</f>
        <v>272.68</v>
      </c>
      <c r="R347" s="320">
        <f>IFERROR(__xludf.DUMMYFUNCTION("""COMPUTED_VALUE"""),53.31)</f>
        <v>53.31</v>
      </c>
      <c r="S347" s="320">
        <f>IFERROR(__xludf.DUMMYFUNCTION("""COMPUTED_VALUE"""),151.27)</f>
        <v>151.27</v>
      </c>
      <c r="T347" s="320">
        <f>IFERROR(__xludf.DUMMYFUNCTION("""COMPUTED_VALUE"""),174.73)</f>
        <v>174.73</v>
      </c>
      <c r="U347" s="320">
        <f>IFERROR(__xludf.DUMMYFUNCTION("""COMPUTED_VALUE"""),320.73)</f>
        <v>320.73</v>
      </c>
      <c r="V347" s="320">
        <f>IFERROR(__xludf.DUMMYFUNCTION("""COMPUTED_VALUE"""),7.172)</f>
        <v>7.172</v>
      </c>
      <c r="W347" s="320">
        <f>IFERROR(__xludf.DUMMYFUNCTION("""COMPUTED_VALUE"""),46.4)</f>
        <v>46.4</v>
      </c>
      <c r="X347" s="320">
        <f>IFERROR(__xludf.DUMMYFUNCTION("""COMPUTED_VALUE"""),86.0)</f>
        <v>86</v>
      </c>
      <c r="Y347" s="320">
        <f>IFERROR(__xludf.DUMMYFUNCTION("""COMPUTED_VALUE"""),219.0)</f>
        <v>219</v>
      </c>
      <c r="Z347" s="320">
        <f>IFERROR(__xludf.DUMMYFUNCTION("""COMPUTED_VALUE"""),651.0)</f>
        <v>651</v>
      </c>
      <c r="AA347" s="320">
        <f>IFERROR(__xludf.DUMMYFUNCTION("""COMPUTED_VALUE"""),54.6631)</f>
        <v>54.6631</v>
      </c>
      <c r="AB347" s="320">
        <f>IFERROR(__xludf.DUMMYFUNCTION("""COMPUTED_VALUE"""),0.6497)</f>
        <v>0.6497</v>
      </c>
      <c r="AC347" s="320">
        <f>IFERROR(__xludf.DUMMYFUNCTION("""COMPUTED_VALUE"""),16.96)</f>
        <v>16.96</v>
      </c>
      <c r="AD347" s="320">
        <f>IFERROR(__xludf.DUMMYFUNCTION("""COMPUTED_VALUE"""),5.0)</f>
        <v>5</v>
      </c>
      <c r="AE347" s="320">
        <f>IFERROR(__xludf.DUMMYFUNCTION("""COMPUTED_VALUE"""),12.0)</f>
        <v>12</v>
      </c>
      <c r="AF347" s="320">
        <f>IFERROR(__xludf.DUMMYFUNCTION("""COMPUTED_VALUE"""),24.0)</f>
        <v>24</v>
      </c>
      <c r="AG347" s="320">
        <f>IFERROR(__xludf.DUMMYFUNCTION("""COMPUTED_VALUE"""),38.0)</f>
        <v>38</v>
      </c>
      <c r="AH347" s="320">
        <f>IFERROR(__xludf.DUMMYFUNCTION("""COMPUTED_VALUE"""),54.45)</f>
        <v>54.45</v>
      </c>
      <c r="AI347" s="320">
        <f>IFERROR(__xludf.DUMMYFUNCTION("""COMPUTED_VALUE"""),22.42)</f>
        <v>22.42</v>
      </c>
      <c r="AJ347" s="320">
        <f>IFERROR(__xludf.DUMMYFUNCTION("""COMPUTED_VALUE"""),7.57)</f>
        <v>7.57</v>
      </c>
      <c r="AK347" s="320">
        <f>IFERROR(__xludf.DUMMYFUNCTION("""COMPUTED_VALUE"""),0.2046)</f>
        <v>0.2046</v>
      </c>
      <c r="AL347" s="320">
        <f>IFERROR(__xludf.DUMMYFUNCTION("""COMPUTED_VALUE"""),19.97)</f>
        <v>19.97</v>
      </c>
      <c r="AM347" s="320">
        <f>IFERROR(__xludf.DUMMYFUNCTION("""COMPUTED_VALUE"""),252.71)</f>
        <v>252.71</v>
      </c>
      <c r="AN347" s="320">
        <f>IFERROR(__xludf.DUMMYFUNCTION("""COMPUTED_VALUE"""),74.81)</f>
        <v>74.81</v>
      </c>
      <c r="AO347" s="320">
        <f>IFERROR(__xludf.DUMMYFUNCTION("""COMPUTED_VALUE"""),14.94)</f>
        <v>14.94</v>
      </c>
    </row>
    <row r="348" ht="15.75" customHeight="1">
      <c r="A348" s="330">
        <f>IFERROR(__xludf.DUMMYFUNCTION("""COMPUTED_VALUE"""),46107.0)</f>
        <v>46107</v>
      </c>
      <c r="B348" s="319" t="str">
        <f>IFERROR(__xludf.DUMMYFUNCTION("""COMPUTED_VALUE"""),"E. 40-99")</f>
        <v>E. 40-99</v>
      </c>
      <c r="C348" s="320">
        <f>IFERROR(__xludf.DUMMYFUNCTION("""COMPUTED_VALUE"""),3224.0)</f>
        <v>3224</v>
      </c>
      <c r="D348" s="320">
        <f>IFERROR(__xludf.DUMMYFUNCTION("""COMPUTED_VALUE"""),4.25)</f>
        <v>4.25</v>
      </c>
      <c r="E348" s="320">
        <f>IFERROR(__xludf.DUMMYFUNCTION("""COMPUTED_VALUE"""),17497.81)</f>
        <v>17497.81</v>
      </c>
      <c r="F348" s="320">
        <f>IFERROR(__xludf.DUMMYFUNCTION("""COMPUTED_VALUE"""),5.4274)</f>
        <v>5.4274</v>
      </c>
      <c r="G348" s="320">
        <f>IFERROR(__xludf.DUMMYFUNCTION("""COMPUTED_VALUE"""),40.66)</f>
        <v>40.66</v>
      </c>
      <c r="H348" s="320">
        <f>IFERROR(__xludf.DUMMYFUNCTION("""COMPUTED_VALUE"""),13.3469)</f>
        <v>13.3469</v>
      </c>
      <c r="I348" s="320">
        <f>IFERROR(__xludf.DUMMYFUNCTION("""COMPUTED_VALUE"""),123.94)</f>
        <v>123.94</v>
      </c>
      <c r="J348" s="320">
        <f>IFERROR(__xludf.DUMMYFUNCTION("""COMPUTED_VALUE"""),76.85)</f>
        <v>76.85</v>
      </c>
      <c r="K348" s="320">
        <f>IFERROR(__xludf.DUMMYFUNCTION("""COMPUTED_VALUE"""),54.92)</f>
        <v>54.92</v>
      </c>
      <c r="L348" s="320">
        <f>IFERROR(__xludf.DUMMYFUNCTION("""COMPUTED_VALUE"""),0.7146)</f>
        <v>0.7146</v>
      </c>
      <c r="M348" s="320">
        <f>IFERROR(__xludf.DUMMYFUNCTION("""COMPUTED_VALUE"""),0.3766)</f>
        <v>0.3766</v>
      </c>
      <c r="N348" s="320">
        <f>IFERROR(__xludf.DUMMYFUNCTION("""COMPUTED_VALUE"""),0.2188)</f>
        <v>0.2188</v>
      </c>
      <c r="O348" s="320">
        <f>IFERROR(__xludf.DUMMYFUNCTION("""COMPUTED_VALUE"""),1.3993)</f>
        <v>1.3993</v>
      </c>
      <c r="P348" s="320">
        <f>IFERROR(__xludf.DUMMYFUNCTION("""COMPUTED_VALUE"""),722.98)</f>
        <v>722.98</v>
      </c>
      <c r="Q348" s="320">
        <f>IFERROR(__xludf.DUMMYFUNCTION("""COMPUTED_VALUE"""),607.69)</f>
        <v>607.69</v>
      </c>
      <c r="R348" s="320">
        <f>IFERROR(__xludf.DUMMYFUNCTION("""COMPUTED_VALUE"""),115.29)</f>
        <v>115.29</v>
      </c>
      <c r="S348" s="320">
        <f>IFERROR(__xludf.DUMMYFUNCTION("""COMPUTED_VALUE"""),337.09)</f>
        <v>337.09</v>
      </c>
      <c r="T348" s="320">
        <f>IFERROR(__xludf.DUMMYFUNCTION("""COMPUTED_VALUE"""),385.89)</f>
        <v>385.89</v>
      </c>
      <c r="U348" s="320">
        <f>IFERROR(__xludf.DUMMYFUNCTION("""COMPUTED_VALUE"""),692.8)</f>
        <v>692.8</v>
      </c>
      <c r="V348" s="320">
        <f>IFERROR(__xludf.DUMMYFUNCTION("""COMPUTED_VALUE"""),9.0148)</f>
        <v>9.0148</v>
      </c>
      <c r="W348" s="320">
        <f>IFERROR(__xludf.DUMMYFUNCTION("""COMPUTED_VALUE"""),46.63)</f>
        <v>46.63</v>
      </c>
      <c r="X348" s="320">
        <f>IFERROR(__xludf.DUMMYFUNCTION("""COMPUTED_VALUE"""),101.0)</f>
        <v>101</v>
      </c>
      <c r="Y348" s="320">
        <f>IFERROR(__xludf.DUMMYFUNCTION("""COMPUTED_VALUE"""),338.0)</f>
        <v>338</v>
      </c>
      <c r="Z348" s="320">
        <f>IFERROR(__xludf.DUMMYFUNCTION("""COMPUTED_VALUE"""),996.0)</f>
        <v>996</v>
      </c>
      <c r="AA348" s="320">
        <f>IFERROR(__xludf.DUMMYFUNCTION("""COMPUTED_VALUE"""),57.9946)</f>
        <v>57.9946</v>
      </c>
      <c r="AB348" s="320">
        <f>IFERROR(__xludf.DUMMYFUNCTION("""COMPUTED_VALUE"""),0.7571)</f>
        <v>0.7571</v>
      </c>
      <c r="AC348" s="320">
        <f>IFERROR(__xludf.DUMMYFUNCTION("""COMPUTED_VALUE"""),37.77)</f>
        <v>37.77</v>
      </c>
      <c r="AD348" s="320">
        <f>IFERROR(__xludf.DUMMYFUNCTION("""COMPUTED_VALUE"""),13.0)</f>
        <v>13</v>
      </c>
      <c r="AE348" s="320">
        <f>IFERROR(__xludf.DUMMYFUNCTION("""COMPUTED_VALUE"""),30.0)</f>
        <v>30</v>
      </c>
      <c r="AF348" s="320">
        <f>IFERROR(__xludf.DUMMYFUNCTION("""COMPUTED_VALUE"""),53.0)</f>
        <v>53</v>
      </c>
      <c r="AG348" s="320">
        <f>IFERROR(__xludf.DUMMYFUNCTION("""COMPUTED_VALUE"""),78.0)</f>
        <v>78</v>
      </c>
      <c r="AH348" s="320">
        <f>IFERROR(__xludf.DUMMYFUNCTION("""COMPUTED_VALUE"""),53.04)</f>
        <v>53.04</v>
      </c>
      <c r="AI348" s="320">
        <f>IFERROR(__xludf.DUMMYFUNCTION("""COMPUTED_VALUE"""),20.19)</f>
        <v>20.19</v>
      </c>
      <c r="AJ348" s="320">
        <f>IFERROR(__xludf.DUMMYFUNCTION("""COMPUTED_VALUE"""),5.61)</f>
        <v>5.61</v>
      </c>
      <c r="AK348" s="320">
        <f>IFERROR(__xludf.DUMMYFUNCTION("""COMPUTED_VALUE"""),0.1898)</f>
        <v>0.1898</v>
      </c>
      <c r="AL348" s="320">
        <f>IFERROR(__xludf.DUMMYFUNCTION("""COMPUTED_VALUE"""),19.69)</f>
        <v>19.69</v>
      </c>
      <c r="AM348" s="320">
        <f>IFERROR(__xludf.DUMMYFUNCTION("""COMPUTED_VALUE"""),588.01)</f>
        <v>588.01</v>
      </c>
      <c r="AN348" s="320">
        <f>IFERROR(__xludf.DUMMYFUNCTION("""COMPUTED_VALUE"""),74.17)</f>
        <v>74.17</v>
      </c>
      <c r="AO348" s="320">
        <f>IFERROR(__xludf.DUMMYFUNCTION("""COMPUTED_VALUE"""),14.6)</f>
        <v>14.6</v>
      </c>
    </row>
    <row r="349" ht="15.75" customHeight="1">
      <c r="A349" s="330">
        <f>IFERROR(__xludf.DUMMYFUNCTION("""COMPUTED_VALUE"""),46107.0)</f>
        <v>46107</v>
      </c>
      <c r="B349" s="319" t="str">
        <f>IFERROR(__xludf.DUMMYFUNCTION("""COMPUTED_VALUE"""),"F. 100+")</f>
        <v>F. 100+</v>
      </c>
      <c r="C349" s="320">
        <f>IFERROR(__xludf.DUMMYFUNCTION("""COMPUTED_VALUE"""),381.0)</f>
        <v>381</v>
      </c>
      <c r="D349" s="320">
        <f>IFERROR(__xludf.DUMMYFUNCTION("""COMPUTED_VALUE"""),0.5)</f>
        <v>0.5</v>
      </c>
      <c r="E349" s="320">
        <f>IFERROR(__xludf.DUMMYFUNCTION("""COMPUTED_VALUE"""),3575.56)</f>
        <v>3575.56</v>
      </c>
      <c r="F349" s="320">
        <f>IFERROR(__xludf.DUMMYFUNCTION("""COMPUTED_VALUE"""),9.3847)</f>
        <v>9.3847</v>
      </c>
      <c r="G349" s="320">
        <f>IFERROR(__xludf.DUMMYFUNCTION("""COMPUTED_VALUE"""),43.04)</f>
        <v>43.04</v>
      </c>
      <c r="H349" s="320">
        <f>IFERROR(__xludf.DUMMYFUNCTION("""COMPUTED_VALUE"""),21.8022)</f>
        <v>21.8022</v>
      </c>
      <c r="I349" s="320">
        <f>IFERROR(__xludf.DUMMYFUNCTION("""COMPUTED_VALUE"""),231.05)</f>
        <v>231.05</v>
      </c>
      <c r="J349" s="320">
        <f>IFERROR(__xludf.DUMMYFUNCTION("""COMPUTED_VALUE"""),154.01)</f>
        <v>154.01</v>
      </c>
      <c r="K349" s="320">
        <f>IFERROR(__xludf.DUMMYFUNCTION("""COMPUTED_VALUE"""),125.95)</f>
        <v>125.95</v>
      </c>
      <c r="L349" s="320">
        <f>IFERROR(__xludf.DUMMYFUNCTION("""COMPUTED_VALUE"""),0.8178)</f>
        <v>0.8178</v>
      </c>
      <c r="M349" s="320">
        <f>IFERROR(__xludf.DUMMYFUNCTION("""COMPUTED_VALUE"""),0.2717)</f>
        <v>0.2717</v>
      </c>
      <c r="N349" s="320">
        <f>IFERROR(__xludf.DUMMYFUNCTION("""COMPUTED_VALUE"""),0.1667)</f>
        <v>0.1667</v>
      </c>
      <c r="O349" s="320">
        <f>IFERROR(__xludf.DUMMYFUNCTION("""COMPUTED_VALUE"""),1.2228)</f>
        <v>1.2228</v>
      </c>
      <c r="P349" s="320">
        <f>IFERROR(__xludf.DUMMYFUNCTION("""COMPUTED_VALUE"""),1373.72)</f>
        <v>1373.72</v>
      </c>
      <c r="Q349" s="320">
        <f>IFERROR(__xludf.DUMMYFUNCTION("""COMPUTED_VALUE"""),1109.64)</f>
        <v>1109.64</v>
      </c>
      <c r="R349" s="320">
        <f>IFERROR(__xludf.DUMMYFUNCTION("""COMPUTED_VALUE"""),264.08)</f>
        <v>264.08</v>
      </c>
      <c r="S349" s="320">
        <f>IFERROR(__xludf.DUMMYFUNCTION("""COMPUTED_VALUE"""),596.63)</f>
        <v>596.63</v>
      </c>
      <c r="T349" s="320">
        <f>IFERROR(__xludf.DUMMYFUNCTION("""COMPUTED_VALUE"""),777.1)</f>
        <v>777.1</v>
      </c>
      <c r="U349" s="320">
        <f>IFERROR(__xludf.DUMMYFUNCTION("""COMPUTED_VALUE"""),1350.0)</f>
        <v>1350</v>
      </c>
      <c r="V349" s="320">
        <f>IFERROR(__xludf.DUMMYFUNCTION("""COMPUTED_VALUE"""),8.7655)</f>
        <v>8.7655</v>
      </c>
      <c r="W349" s="320">
        <f>IFERROR(__xludf.DUMMYFUNCTION("""COMPUTED_VALUE"""),43.43)</f>
        <v>43.43</v>
      </c>
      <c r="X349" s="320">
        <f>IFERROR(__xludf.DUMMYFUNCTION("""COMPUTED_VALUE"""),145.0)</f>
        <v>145</v>
      </c>
      <c r="Y349" s="320">
        <f>IFERROR(__xludf.DUMMYFUNCTION("""COMPUTED_VALUE"""),569.0)</f>
        <v>569</v>
      </c>
      <c r="Z349" s="320">
        <f>IFERROR(__xludf.DUMMYFUNCTION("""COMPUTED_VALUE"""),2552.0)</f>
        <v>2552</v>
      </c>
      <c r="AA349" s="320">
        <f>IFERROR(__xludf.DUMMYFUNCTION("""COMPUTED_VALUE"""),62.0661)</f>
        <v>62.0661</v>
      </c>
      <c r="AB349" s="320">
        <f>IFERROR(__xludf.DUMMYFUNCTION("""COMPUTED_VALUE"""),0.8256)</f>
        <v>0.8256</v>
      </c>
      <c r="AC349" s="320">
        <f>IFERROR(__xludf.DUMMYFUNCTION("""COMPUTED_VALUE"""),87.24)</f>
        <v>87.24</v>
      </c>
      <c r="AD349" s="320">
        <f>IFERROR(__xludf.DUMMYFUNCTION("""COMPUTED_VALUE"""),32.0)</f>
        <v>32</v>
      </c>
      <c r="AE349" s="320">
        <f>IFERROR(__xludf.DUMMYFUNCTION("""COMPUTED_VALUE"""),68.0)</f>
        <v>68</v>
      </c>
      <c r="AF349" s="320">
        <f>IFERROR(__xludf.DUMMYFUNCTION("""COMPUTED_VALUE"""),123.0)</f>
        <v>123</v>
      </c>
      <c r="AG349" s="320">
        <f>IFERROR(__xludf.DUMMYFUNCTION("""COMPUTED_VALUE"""),194.0)</f>
        <v>194</v>
      </c>
      <c r="AH349" s="320">
        <f>IFERROR(__xludf.DUMMYFUNCTION("""COMPUTED_VALUE"""),42.78)</f>
        <v>42.78</v>
      </c>
      <c r="AI349" s="320">
        <f>IFERROR(__xludf.DUMMYFUNCTION("""COMPUTED_VALUE"""),11.81)</f>
        <v>11.81</v>
      </c>
      <c r="AJ349" s="320">
        <f>IFERROR(__xludf.DUMMYFUNCTION("""COMPUTED_VALUE"""),2.89)</f>
        <v>2.89</v>
      </c>
      <c r="AK349" s="320">
        <f>IFERROR(__xludf.DUMMYFUNCTION("""COMPUTED_VALUE"""),0.1339)</f>
        <v>0.1339</v>
      </c>
      <c r="AL349" s="320">
        <f>IFERROR(__xludf.DUMMYFUNCTION("""COMPUTED_VALUE"""),20.71)</f>
        <v>20.71</v>
      </c>
      <c r="AM349" s="320">
        <f>IFERROR(__xludf.DUMMYFUNCTION("""COMPUTED_VALUE"""),1088.93)</f>
        <v>1088.93</v>
      </c>
      <c r="AN349" s="320">
        <f>IFERROR(__xludf.DUMMYFUNCTION("""COMPUTED_VALUE"""),74.02)</f>
        <v>74.02</v>
      </c>
      <c r="AO349" s="320">
        <f>IFERROR(__xludf.DUMMYFUNCTION("""COMPUTED_VALUE"""),15.33)</f>
        <v>15.33</v>
      </c>
    </row>
    <row r="350" ht="15.75" customHeight="1">
      <c r="A350" s="330">
        <f>IFERROR(__xludf.DUMMYFUNCTION("""COMPUTED_VALUE"""),46108.0)</f>
        <v>46108</v>
      </c>
      <c r="B350" s="319" t="str">
        <f>IFERROR(__xludf.DUMMYFUNCTION("""COMPUTED_VALUE"""),"A. 0")</f>
        <v>A. 0</v>
      </c>
      <c r="C350" s="320">
        <f>IFERROR(__xludf.DUMMYFUNCTION("""COMPUTED_VALUE"""),14830.0)</f>
        <v>14830</v>
      </c>
      <c r="D350" s="320">
        <f>IFERROR(__xludf.DUMMYFUNCTION("""COMPUTED_VALUE"""),19.96)</f>
        <v>19.96</v>
      </c>
      <c r="E350" s="320">
        <f>IFERROR(__xludf.DUMMYFUNCTION("""COMPUTED_VALUE"""),290.5)</f>
        <v>290.5</v>
      </c>
      <c r="F350" s="320">
        <f>IFERROR(__xludf.DUMMYFUNCTION("""COMPUTED_VALUE"""),0.0196)</f>
        <v>0.0196</v>
      </c>
      <c r="G350" s="320">
        <f>IFERROR(__xludf.DUMMYFUNCTION("""COMPUTED_VALUE"""),0.34)</f>
        <v>0.34</v>
      </c>
      <c r="H350" s="320">
        <f>IFERROR(__xludf.DUMMYFUNCTION("""COMPUTED_VALUE"""),5.6961)</f>
        <v>5.6961</v>
      </c>
      <c r="I350" s="320">
        <f>IFERROR(__xludf.DUMMYFUNCTION("""COMPUTED_VALUE"""),5.96)</f>
        <v>5.96</v>
      </c>
      <c r="J350" s="320">
        <f>IFERROR(__xludf.DUMMYFUNCTION("""COMPUTED_VALUE"""),2.47)</f>
        <v>2.47</v>
      </c>
      <c r="K350" s="320">
        <f>IFERROR(__xludf.DUMMYFUNCTION("""COMPUTED_VALUE"""),0.06)</f>
        <v>0.06</v>
      </c>
      <c r="L350" s="320">
        <f>IFERROR(__xludf.DUMMYFUNCTION("""COMPUTED_VALUE"""),0.0244)</f>
        <v>0.0244</v>
      </c>
      <c r="M350" s="320">
        <f>IFERROR(__xludf.DUMMYFUNCTION("""COMPUTED_VALUE"""),0.9773)</f>
        <v>0.9773</v>
      </c>
      <c r="N350" s="320">
        <f>IFERROR(__xludf.DUMMYFUNCTION("""COMPUTED_VALUE"""),0.7542)</f>
        <v>0.7542</v>
      </c>
      <c r="O350" s="320">
        <f>IFERROR(__xludf.DUMMYFUNCTION("""COMPUTED_VALUE"""),40.9083)</f>
        <v>40.9083</v>
      </c>
      <c r="P350" s="320">
        <f>IFERROR(__xludf.DUMMYFUNCTION("""COMPUTED_VALUE"""),31.49)</f>
        <v>31.49</v>
      </c>
      <c r="Q350" s="320">
        <f>IFERROR(__xludf.DUMMYFUNCTION("""COMPUTED_VALUE"""),31.44)</f>
        <v>31.44</v>
      </c>
      <c r="R350" s="320">
        <f>IFERROR(__xludf.DUMMYFUNCTION("""COMPUTED_VALUE"""),0.05)</f>
        <v>0.05</v>
      </c>
      <c r="S350" s="320">
        <f>IFERROR(__xludf.DUMMYFUNCTION("""COMPUTED_VALUE"""),1.49)</f>
        <v>1.49</v>
      </c>
      <c r="T350" s="320">
        <f>IFERROR(__xludf.DUMMYFUNCTION("""COMPUTED_VALUE"""),30.0)</f>
        <v>30</v>
      </c>
      <c r="U350" s="320">
        <f>IFERROR(__xludf.DUMMYFUNCTION("""COMPUTED_VALUE"""),2.07)</f>
        <v>2.07</v>
      </c>
      <c r="V350" s="320">
        <f>IFERROR(__xludf.DUMMYFUNCTION("""COMPUTED_VALUE"""),0.8394)</f>
        <v>0.8394</v>
      </c>
      <c r="W350" s="320">
        <f>IFERROR(__xludf.DUMMYFUNCTION("""COMPUTED_VALUE"""),4.73)</f>
        <v>4.73</v>
      </c>
      <c r="X350" s="320">
        <f>IFERROR(__xludf.DUMMYFUNCTION("""COMPUTED_VALUE"""),172.0)</f>
        <v>172</v>
      </c>
      <c r="Y350" s="320">
        <f>IFERROR(__xludf.DUMMYFUNCTION("""COMPUTED_VALUE"""),1287.0)</f>
        <v>1287</v>
      </c>
      <c r="Z350" s="320">
        <f>IFERROR(__xludf.DUMMYFUNCTION("""COMPUTED_VALUE"""),7754.0)</f>
        <v>7754</v>
      </c>
      <c r="AA350" s="320">
        <f>IFERROR(__xludf.DUMMYFUNCTION("""COMPUTED_VALUE"""),49.7716)</f>
        <v>49.7716</v>
      </c>
      <c r="AB350" s="320">
        <f>IFERROR(__xludf.DUMMYFUNCTION("""COMPUTED_VALUE"""),0.5155)</f>
        <v>0.5155</v>
      </c>
      <c r="AC350" s="106"/>
      <c r="AD350" s="106"/>
      <c r="AE350" s="106"/>
      <c r="AF350" s="106"/>
      <c r="AG350" s="106"/>
      <c r="AH350" s="320">
        <f>IFERROR(__xludf.DUMMYFUNCTION("""COMPUTED_VALUE"""),0.0)</f>
        <v>0</v>
      </c>
      <c r="AI350" s="320">
        <f>IFERROR(__xludf.DUMMYFUNCTION("""COMPUTED_VALUE"""),0.0)</f>
        <v>0</v>
      </c>
      <c r="AJ350" s="320">
        <f>IFERROR(__xludf.DUMMYFUNCTION("""COMPUTED_VALUE"""),0.0)</f>
        <v>0</v>
      </c>
      <c r="AK350" s="320">
        <f>IFERROR(__xludf.DUMMYFUNCTION("""COMPUTED_VALUE"""),0.2879)</f>
        <v>0.2879</v>
      </c>
      <c r="AL350" s="320">
        <f>IFERROR(__xludf.DUMMYFUNCTION("""COMPUTED_VALUE"""),17.22)</f>
        <v>17.22</v>
      </c>
      <c r="AM350" s="320">
        <f>IFERROR(__xludf.DUMMYFUNCTION("""COMPUTED_VALUE"""),14.22)</f>
        <v>14.22</v>
      </c>
      <c r="AN350" s="331"/>
      <c r="AO350" s="331"/>
    </row>
    <row r="351" ht="15.75" customHeight="1">
      <c r="A351" s="330">
        <f>IFERROR(__xludf.DUMMYFUNCTION("""COMPUTED_VALUE"""),46108.0)</f>
        <v>46108</v>
      </c>
      <c r="B351" s="319" t="str">
        <f>IFERROR(__xludf.DUMMYFUNCTION("""COMPUTED_VALUE"""),"B. 1-9")</f>
        <v>B. 1-9</v>
      </c>
      <c r="C351" s="320">
        <f>IFERROR(__xludf.DUMMYFUNCTION("""COMPUTED_VALUE"""),32606.0)</f>
        <v>32606</v>
      </c>
      <c r="D351" s="320">
        <f>IFERROR(__xludf.DUMMYFUNCTION("""COMPUTED_VALUE"""),43.87)</f>
        <v>43.87</v>
      </c>
      <c r="E351" s="320">
        <f>IFERROR(__xludf.DUMMYFUNCTION("""COMPUTED_VALUE"""),7961.42)</f>
        <v>7961.42</v>
      </c>
      <c r="F351" s="320">
        <f>IFERROR(__xludf.DUMMYFUNCTION("""COMPUTED_VALUE"""),0.2442)</f>
        <v>0.2442</v>
      </c>
      <c r="G351" s="320">
        <f>IFERROR(__xludf.DUMMYFUNCTION("""COMPUTED_VALUE"""),6.95)</f>
        <v>6.95</v>
      </c>
      <c r="H351" s="320">
        <f>IFERROR(__xludf.DUMMYFUNCTION("""COMPUTED_VALUE"""),3.5134)</f>
        <v>3.5134</v>
      </c>
      <c r="I351" s="320">
        <f>IFERROR(__xludf.DUMMYFUNCTION("""COMPUTED_VALUE"""),32.93)</f>
        <v>32.93</v>
      </c>
      <c r="J351" s="320">
        <f>IFERROR(__xludf.DUMMYFUNCTION("""COMPUTED_VALUE"""),17.88)</f>
        <v>17.88</v>
      </c>
      <c r="K351" s="320">
        <f>IFERROR(__xludf.DUMMYFUNCTION("""COMPUTED_VALUE"""),5.69)</f>
        <v>5.69</v>
      </c>
      <c r="L351" s="320">
        <f>IFERROR(__xludf.DUMMYFUNCTION("""COMPUTED_VALUE"""),0.3183)</f>
        <v>0.3183</v>
      </c>
      <c r="M351" s="320">
        <f>IFERROR(__xludf.DUMMYFUNCTION("""COMPUTED_VALUE"""),0.752)</f>
        <v>0.752</v>
      </c>
      <c r="N351" s="320">
        <f>IFERROR(__xludf.DUMMYFUNCTION("""COMPUTED_VALUE"""),0.5002)</f>
        <v>0.5002</v>
      </c>
      <c r="O351" s="320">
        <f>IFERROR(__xludf.DUMMYFUNCTION("""COMPUTED_VALUE"""),3.1416)</f>
        <v>3.1416</v>
      </c>
      <c r="P351" s="320">
        <f>IFERROR(__xludf.DUMMYFUNCTION("""COMPUTED_VALUE"""),89.26)</f>
        <v>89.26</v>
      </c>
      <c r="Q351" s="320">
        <f>IFERROR(__xludf.DUMMYFUNCTION("""COMPUTED_VALUE"""),77.64)</f>
        <v>77.64</v>
      </c>
      <c r="R351" s="320">
        <f>IFERROR(__xludf.DUMMYFUNCTION("""COMPUTED_VALUE"""),11.62)</f>
        <v>11.62</v>
      </c>
      <c r="S351" s="320">
        <f>IFERROR(__xludf.DUMMYFUNCTION("""COMPUTED_VALUE"""),17.83)</f>
        <v>17.83</v>
      </c>
      <c r="T351" s="320">
        <f>IFERROR(__xludf.DUMMYFUNCTION("""COMPUTED_VALUE"""),71.43)</f>
        <v>71.43</v>
      </c>
      <c r="U351" s="320">
        <f>IFERROR(__xludf.DUMMYFUNCTION("""COMPUTED_VALUE"""),82.64)</f>
        <v>82.64</v>
      </c>
      <c r="V351" s="320">
        <f>IFERROR(__xludf.DUMMYFUNCTION("""COMPUTED_VALUE"""),4.6223)</f>
        <v>4.6223</v>
      </c>
      <c r="W351" s="320">
        <f>IFERROR(__xludf.DUMMYFUNCTION("""COMPUTED_VALUE"""),19.97)</f>
        <v>19.97</v>
      </c>
      <c r="X351" s="320">
        <f>IFERROR(__xludf.DUMMYFUNCTION("""COMPUTED_VALUE"""),90.0)</f>
        <v>90</v>
      </c>
      <c r="Y351" s="320">
        <f>IFERROR(__xludf.DUMMYFUNCTION("""COMPUTED_VALUE"""),220.0)</f>
        <v>220</v>
      </c>
      <c r="Z351" s="320">
        <f>IFERROR(__xludf.DUMMYFUNCTION("""COMPUTED_VALUE"""),860.0)</f>
        <v>860</v>
      </c>
      <c r="AA351" s="320">
        <f>IFERROR(__xludf.DUMMYFUNCTION("""COMPUTED_VALUE"""),49.5807)</f>
        <v>49.5807</v>
      </c>
      <c r="AB351" s="320">
        <f>IFERROR(__xludf.DUMMYFUNCTION("""COMPUTED_VALUE"""),0.4404)</f>
        <v>0.4404</v>
      </c>
      <c r="AC351" s="320">
        <f>IFERROR(__xludf.DUMMYFUNCTION("""COMPUTED_VALUE"""),3.7)</f>
        <v>3.7</v>
      </c>
      <c r="AD351" s="320">
        <f>IFERROR(__xludf.DUMMYFUNCTION("""COMPUTED_VALUE"""),1.0)</f>
        <v>1</v>
      </c>
      <c r="AE351" s="320">
        <f>IFERROR(__xludf.DUMMYFUNCTION("""COMPUTED_VALUE"""),2.0)</f>
        <v>2</v>
      </c>
      <c r="AF351" s="320">
        <f>IFERROR(__xludf.DUMMYFUNCTION("""COMPUTED_VALUE"""),5.0)</f>
        <v>5</v>
      </c>
      <c r="AG351" s="320">
        <f>IFERROR(__xludf.DUMMYFUNCTION("""COMPUTED_VALUE"""),9.0)</f>
        <v>9</v>
      </c>
      <c r="AH351" s="320">
        <f>IFERROR(__xludf.DUMMYFUNCTION("""COMPUTED_VALUE"""),68.86)</f>
        <v>68.86</v>
      </c>
      <c r="AI351" s="320">
        <f>IFERROR(__xludf.DUMMYFUNCTION("""COMPUTED_VALUE"""),26.62)</f>
        <v>26.62</v>
      </c>
      <c r="AJ351" s="320">
        <f>IFERROR(__xludf.DUMMYFUNCTION("""COMPUTED_VALUE"""),7.91)</f>
        <v>7.91</v>
      </c>
      <c r="AK351" s="320">
        <f>IFERROR(__xludf.DUMMYFUNCTION("""COMPUTED_VALUE"""),0.2322)</f>
        <v>0.2322</v>
      </c>
      <c r="AL351" s="320">
        <f>IFERROR(__xludf.DUMMYFUNCTION("""COMPUTED_VALUE"""),21.49)</f>
        <v>21.49</v>
      </c>
      <c r="AM351" s="320">
        <f>IFERROR(__xludf.DUMMYFUNCTION("""COMPUTED_VALUE"""),56.15)</f>
        <v>56.15</v>
      </c>
      <c r="AN351" s="320">
        <f>IFERROR(__xludf.DUMMYFUNCTION("""COMPUTED_VALUE"""),68.89)</f>
        <v>68.89</v>
      </c>
      <c r="AO351" s="320">
        <f>IFERROR(__xludf.DUMMYFUNCTION("""COMPUTED_VALUE"""),14.8)</f>
        <v>14.8</v>
      </c>
    </row>
    <row r="352" ht="15.75" customHeight="1">
      <c r="A352" s="330">
        <f>IFERROR(__xludf.DUMMYFUNCTION("""COMPUTED_VALUE"""),46108.0)</f>
        <v>46108</v>
      </c>
      <c r="B352" s="319" t="str">
        <f>IFERROR(__xludf.DUMMYFUNCTION("""COMPUTED_VALUE"""),"C. 10-19")</f>
        <v>C. 10-19</v>
      </c>
      <c r="C352" s="320">
        <f>IFERROR(__xludf.DUMMYFUNCTION("""COMPUTED_VALUE"""),15571.0)</f>
        <v>15571</v>
      </c>
      <c r="D352" s="320">
        <f>IFERROR(__xludf.DUMMYFUNCTION("""COMPUTED_VALUE"""),20.95)</f>
        <v>20.95</v>
      </c>
      <c r="E352" s="320">
        <f>IFERROR(__xludf.DUMMYFUNCTION("""COMPUTED_VALUE"""),15735.21)</f>
        <v>15735.21</v>
      </c>
      <c r="F352" s="320">
        <f>IFERROR(__xludf.DUMMYFUNCTION("""COMPUTED_VALUE"""),1.0105)</f>
        <v>1.0105</v>
      </c>
      <c r="G352" s="320">
        <f>IFERROR(__xludf.DUMMYFUNCTION("""COMPUTED_VALUE"""),21.1)</f>
        <v>21.1</v>
      </c>
      <c r="H352" s="320">
        <f>IFERROR(__xludf.DUMMYFUNCTION("""COMPUTED_VALUE"""),4.7886)</f>
        <v>4.7886</v>
      </c>
      <c r="I352" s="320">
        <f>IFERROR(__xludf.DUMMYFUNCTION("""COMPUTED_VALUE"""),59.66)</f>
        <v>59.66</v>
      </c>
      <c r="J352" s="320">
        <f>IFERROR(__xludf.DUMMYFUNCTION("""COMPUTED_VALUE"""),34.32)</f>
        <v>34.32</v>
      </c>
      <c r="K352" s="320">
        <f>IFERROR(__xludf.DUMMYFUNCTION("""COMPUTED_VALUE"""),14.35)</f>
        <v>14.35</v>
      </c>
      <c r="L352" s="320">
        <f>IFERROR(__xludf.DUMMYFUNCTION("""COMPUTED_VALUE"""),0.4182)</f>
        <v>0.4182</v>
      </c>
      <c r="M352" s="320">
        <f>IFERROR(__xludf.DUMMYFUNCTION("""COMPUTED_VALUE"""),0.645)</f>
        <v>0.645</v>
      </c>
      <c r="N352" s="320">
        <f>IFERROR(__xludf.DUMMYFUNCTION("""COMPUTED_VALUE"""),0.3668)</f>
        <v>0.3668</v>
      </c>
      <c r="O352" s="320">
        <f>IFERROR(__xludf.DUMMYFUNCTION("""COMPUTED_VALUE"""),2.3911)</f>
        <v>2.3911</v>
      </c>
      <c r="P352" s="320">
        <f>IFERROR(__xludf.DUMMYFUNCTION("""COMPUTED_VALUE"""),186.29)</f>
        <v>186.29</v>
      </c>
      <c r="Q352" s="320">
        <f>IFERROR(__xludf.DUMMYFUNCTION("""COMPUTED_VALUE"""),156.62)</f>
        <v>156.62</v>
      </c>
      <c r="R352" s="320">
        <f>IFERROR(__xludf.DUMMYFUNCTION("""COMPUTED_VALUE"""),29.67)</f>
        <v>29.67</v>
      </c>
      <c r="S352" s="320">
        <f>IFERROR(__xludf.DUMMYFUNCTION("""COMPUTED_VALUE"""),68.98)</f>
        <v>68.98</v>
      </c>
      <c r="T352" s="320">
        <f>IFERROR(__xludf.DUMMYFUNCTION("""COMPUTED_VALUE"""),117.32)</f>
        <v>117.32</v>
      </c>
      <c r="U352" s="320">
        <f>IFERROR(__xludf.DUMMYFUNCTION("""COMPUTED_VALUE"""),184.47)</f>
        <v>184.47</v>
      </c>
      <c r="V352" s="320">
        <f>IFERROR(__xludf.DUMMYFUNCTION("""COMPUTED_VALUE"""),5.3753)</f>
        <v>5.3753</v>
      </c>
      <c r="W352" s="320">
        <f>IFERROR(__xludf.DUMMYFUNCTION("""COMPUTED_VALUE"""),37.03)</f>
        <v>37.03</v>
      </c>
      <c r="X352" s="320">
        <f>IFERROR(__xludf.DUMMYFUNCTION("""COMPUTED_VALUE"""),85.0)</f>
        <v>85</v>
      </c>
      <c r="Y352" s="320">
        <f>IFERROR(__xludf.DUMMYFUNCTION("""COMPUTED_VALUE"""),196.0)</f>
        <v>196</v>
      </c>
      <c r="Z352" s="320">
        <f>IFERROR(__xludf.DUMMYFUNCTION("""COMPUTED_VALUE"""),580.0)</f>
        <v>580</v>
      </c>
      <c r="AA352" s="320">
        <f>IFERROR(__xludf.DUMMYFUNCTION("""COMPUTED_VALUE"""),52.5398)</f>
        <v>52.5398</v>
      </c>
      <c r="AB352" s="320">
        <f>IFERROR(__xludf.DUMMYFUNCTION("""COMPUTED_VALUE"""),0.5401)</f>
        <v>0.5401</v>
      </c>
      <c r="AC352" s="320">
        <f>IFERROR(__xludf.DUMMYFUNCTION("""COMPUTED_VALUE"""),9.12)</f>
        <v>9.12</v>
      </c>
      <c r="AD352" s="320">
        <f>IFERROR(__xludf.DUMMYFUNCTION("""COMPUTED_VALUE"""),3.0)</f>
        <v>3</v>
      </c>
      <c r="AE352" s="320">
        <f>IFERROR(__xludf.DUMMYFUNCTION("""COMPUTED_VALUE"""),7.0)</f>
        <v>7</v>
      </c>
      <c r="AF352" s="320">
        <f>IFERROR(__xludf.DUMMYFUNCTION("""COMPUTED_VALUE"""),12.0)</f>
        <v>12</v>
      </c>
      <c r="AG352" s="320">
        <f>IFERROR(__xludf.DUMMYFUNCTION("""COMPUTED_VALUE"""),20.0)</f>
        <v>20</v>
      </c>
      <c r="AH352" s="320">
        <f>IFERROR(__xludf.DUMMYFUNCTION("""COMPUTED_VALUE"""),56.24)</f>
        <v>56.24</v>
      </c>
      <c r="AI352" s="320">
        <f>IFERROR(__xludf.DUMMYFUNCTION("""COMPUTED_VALUE"""),25.05)</f>
        <v>25.05</v>
      </c>
      <c r="AJ352" s="320">
        <f>IFERROR(__xludf.DUMMYFUNCTION("""COMPUTED_VALUE"""),5.05)</f>
        <v>5.05</v>
      </c>
      <c r="AK352" s="320">
        <f>IFERROR(__xludf.DUMMYFUNCTION("""COMPUTED_VALUE"""),0.2143)</f>
        <v>0.2143</v>
      </c>
      <c r="AL352" s="320">
        <f>IFERROR(__xludf.DUMMYFUNCTION("""COMPUTED_VALUE"""),22.06)</f>
        <v>22.06</v>
      </c>
      <c r="AM352" s="320">
        <f>IFERROR(__xludf.DUMMYFUNCTION("""COMPUTED_VALUE"""),134.56)</f>
        <v>134.56</v>
      </c>
      <c r="AN352" s="320">
        <f>IFERROR(__xludf.DUMMYFUNCTION("""COMPUTED_VALUE"""),74.8)</f>
        <v>74.8</v>
      </c>
      <c r="AO352" s="320">
        <f>IFERROR(__xludf.DUMMYFUNCTION("""COMPUTED_VALUE"""),16.5)</f>
        <v>16.5</v>
      </c>
    </row>
    <row r="353" ht="15.75" customHeight="1">
      <c r="A353" s="330">
        <f>IFERROR(__xludf.DUMMYFUNCTION("""COMPUTED_VALUE"""),46108.0)</f>
        <v>46108</v>
      </c>
      <c r="B353" s="319" t="str">
        <f>IFERROR(__xludf.DUMMYFUNCTION("""COMPUTED_VALUE"""),"D. 20-39")</f>
        <v>D. 20-39</v>
      </c>
      <c r="C353" s="320">
        <f>IFERROR(__xludf.DUMMYFUNCTION("""COMPUTED_VALUE"""),7797.0)</f>
        <v>7797</v>
      </c>
      <c r="D353" s="320">
        <f>IFERROR(__xludf.DUMMYFUNCTION("""COMPUTED_VALUE"""),10.49)</f>
        <v>10.49</v>
      </c>
      <c r="E353" s="320">
        <f>IFERROR(__xludf.DUMMYFUNCTION("""COMPUTED_VALUE"""),19337.86)</f>
        <v>19337.86</v>
      </c>
      <c r="F353" s="320">
        <f>IFERROR(__xludf.DUMMYFUNCTION("""COMPUTED_VALUE"""),2.4802)</f>
        <v>2.4802</v>
      </c>
      <c r="G353" s="320">
        <f>IFERROR(__xludf.DUMMYFUNCTION("""COMPUTED_VALUE"""),33.21)</f>
        <v>33.21</v>
      </c>
      <c r="H353" s="320">
        <f>IFERROR(__xludf.DUMMYFUNCTION("""COMPUTED_VALUE"""),7.4692)</f>
        <v>7.4692</v>
      </c>
      <c r="I353" s="320">
        <f>IFERROR(__xludf.DUMMYFUNCTION("""COMPUTED_VALUE"""),85.19)</f>
        <v>85.19</v>
      </c>
      <c r="J353" s="320">
        <f>IFERROR(__xludf.DUMMYFUNCTION("""COMPUTED_VALUE"""),50.69)</f>
        <v>50.69</v>
      </c>
      <c r="K353" s="320">
        <f>IFERROR(__xludf.DUMMYFUNCTION("""COMPUTED_VALUE"""),27.02)</f>
        <v>27.02</v>
      </c>
      <c r="L353" s="320">
        <f>IFERROR(__xludf.DUMMYFUNCTION("""COMPUTED_VALUE"""),0.533)</f>
        <v>0.533</v>
      </c>
      <c r="M353" s="320">
        <f>IFERROR(__xludf.DUMMYFUNCTION("""COMPUTED_VALUE"""),0.5374)</f>
        <v>0.5374</v>
      </c>
      <c r="N353" s="320">
        <f>IFERROR(__xludf.DUMMYFUNCTION("""COMPUTED_VALUE"""),0.2945)</f>
        <v>0.2945</v>
      </c>
      <c r="O353" s="320">
        <f>IFERROR(__xludf.DUMMYFUNCTION("""COMPUTED_VALUE"""),1.8763)</f>
        <v>1.8763</v>
      </c>
      <c r="P353" s="320">
        <f>IFERROR(__xludf.DUMMYFUNCTION("""COMPUTED_VALUE"""),334.87)</f>
        <v>334.87</v>
      </c>
      <c r="Q353" s="320">
        <f>IFERROR(__xludf.DUMMYFUNCTION("""COMPUTED_VALUE"""),278.28)</f>
        <v>278.28</v>
      </c>
      <c r="R353" s="320">
        <f>IFERROR(__xludf.DUMMYFUNCTION("""COMPUTED_VALUE"""),56.59)</f>
        <v>56.59</v>
      </c>
      <c r="S353" s="320">
        <f>IFERROR(__xludf.DUMMYFUNCTION("""COMPUTED_VALUE"""),160.26)</f>
        <v>160.26</v>
      </c>
      <c r="T353" s="320">
        <f>IFERROR(__xludf.DUMMYFUNCTION("""COMPUTED_VALUE"""),174.61)</f>
        <v>174.61</v>
      </c>
      <c r="U353" s="320">
        <f>IFERROR(__xludf.DUMMYFUNCTION("""COMPUTED_VALUE"""),336.53)</f>
        <v>336.53</v>
      </c>
      <c r="V353" s="320">
        <f>IFERROR(__xludf.DUMMYFUNCTION("""COMPUTED_VALUE"""),6.6384)</f>
        <v>6.6384</v>
      </c>
      <c r="W353" s="320">
        <f>IFERROR(__xludf.DUMMYFUNCTION("""COMPUTED_VALUE"""),47.86)</f>
        <v>47.86</v>
      </c>
      <c r="X353" s="320">
        <f>IFERROR(__xludf.DUMMYFUNCTION("""COMPUTED_VALUE"""),87.0)</f>
        <v>87</v>
      </c>
      <c r="Y353" s="320">
        <f>IFERROR(__xludf.DUMMYFUNCTION("""COMPUTED_VALUE"""),218.0)</f>
        <v>218</v>
      </c>
      <c r="Z353" s="320">
        <f>IFERROR(__xludf.DUMMYFUNCTION("""COMPUTED_VALUE"""),641.0)</f>
        <v>641</v>
      </c>
      <c r="AA353" s="320">
        <f>IFERROR(__xludf.DUMMYFUNCTION("""COMPUTED_VALUE"""),54.6489)</f>
        <v>54.6489</v>
      </c>
      <c r="AB353" s="320">
        <f>IFERROR(__xludf.DUMMYFUNCTION("""COMPUTED_VALUE"""),0.6526)</f>
        <v>0.6526</v>
      </c>
      <c r="AC353" s="320">
        <f>IFERROR(__xludf.DUMMYFUNCTION("""COMPUTED_VALUE"""),17.5)</f>
        <v>17.5</v>
      </c>
      <c r="AD353" s="320">
        <f>IFERROR(__xludf.DUMMYFUNCTION("""COMPUTED_VALUE"""),6.0)</f>
        <v>6</v>
      </c>
      <c r="AE353" s="320">
        <f>IFERROR(__xludf.DUMMYFUNCTION("""COMPUTED_VALUE"""),13.0)</f>
        <v>13</v>
      </c>
      <c r="AF353" s="320">
        <f>IFERROR(__xludf.DUMMYFUNCTION("""COMPUTED_VALUE"""),24.0)</f>
        <v>24</v>
      </c>
      <c r="AG353" s="320">
        <f>IFERROR(__xludf.DUMMYFUNCTION("""COMPUTED_VALUE"""),38.0)</f>
        <v>38</v>
      </c>
      <c r="AH353" s="320">
        <f>IFERROR(__xludf.DUMMYFUNCTION("""COMPUTED_VALUE"""),56.42)</f>
        <v>56.42</v>
      </c>
      <c r="AI353" s="320">
        <f>IFERROR(__xludf.DUMMYFUNCTION("""COMPUTED_VALUE"""),23.19)</f>
        <v>23.19</v>
      </c>
      <c r="AJ353" s="320">
        <f>IFERROR(__xludf.DUMMYFUNCTION("""COMPUTED_VALUE"""),7.68)</f>
        <v>7.68</v>
      </c>
      <c r="AK353" s="320">
        <f>IFERROR(__xludf.DUMMYFUNCTION("""COMPUTED_VALUE"""),0.2111)</f>
        <v>0.2111</v>
      </c>
      <c r="AL353" s="320">
        <f>IFERROR(__xludf.DUMMYFUNCTION("""COMPUTED_VALUE"""),21.06)</f>
        <v>21.06</v>
      </c>
      <c r="AM353" s="320">
        <f>IFERROR(__xludf.DUMMYFUNCTION("""COMPUTED_VALUE"""),257.23)</f>
        <v>257.23</v>
      </c>
      <c r="AN353" s="320">
        <f>IFERROR(__xludf.DUMMYFUNCTION("""COMPUTED_VALUE"""),74.55)</f>
        <v>74.55</v>
      </c>
      <c r="AO353" s="320">
        <f>IFERROR(__xludf.DUMMYFUNCTION("""COMPUTED_VALUE"""),15.7)</f>
        <v>15.7</v>
      </c>
    </row>
    <row r="354" ht="15.75" customHeight="1">
      <c r="A354" s="330">
        <f>IFERROR(__xludf.DUMMYFUNCTION("""COMPUTED_VALUE"""),46108.0)</f>
        <v>46108</v>
      </c>
      <c r="B354" s="319" t="str">
        <f>IFERROR(__xludf.DUMMYFUNCTION("""COMPUTED_VALUE"""),"E. 40-99")</f>
        <v>E. 40-99</v>
      </c>
      <c r="C354" s="320">
        <f>IFERROR(__xludf.DUMMYFUNCTION("""COMPUTED_VALUE"""),3119.0)</f>
        <v>3119</v>
      </c>
      <c r="D354" s="320">
        <f>IFERROR(__xludf.DUMMYFUNCTION("""COMPUTED_VALUE"""),4.2)</f>
        <v>4.2</v>
      </c>
      <c r="E354" s="320">
        <f>IFERROR(__xludf.DUMMYFUNCTION("""COMPUTED_VALUE"""),16723.46)</f>
        <v>16723.46</v>
      </c>
      <c r="F354" s="320">
        <f>IFERROR(__xludf.DUMMYFUNCTION("""COMPUTED_VALUE"""),5.3618)</f>
        <v>5.3618</v>
      </c>
      <c r="G354" s="320">
        <f>IFERROR(__xludf.DUMMYFUNCTION("""COMPUTED_VALUE"""),42.58)</f>
        <v>42.58</v>
      </c>
      <c r="H354" s="320">
        <f>IFERROR(__xludf.DUMMYFUNCTION("""COMPUTED_VALUE"""),12.593)</f>
        <v>12.593</v>
      </c>
      <c r="I354" s="320">
        <f>IFERROR(__xludf.DUMMYFUNCTION("""COMPUTED_VALUE"""),132.81)</f>
        <v>132.81</v>
      </c>
      <c r="J354" s="320">
        <f>IFERROR(__xludf.DUMMYFUNCTION("""COMPUTED_VALUE"""),82.02)</f>
        <v>82.02</v>
      </c>
      <c r="K354" s="320">
        <f>IFERROR(__xludf.DUMMYFUNCTION("""COMPUTED_VALUE"""),55.58)</f>
        <v>55.58</v>
      </c>
      <c r="L354" s="320">
        <f>IFERROR(__xludf.DUMMYFUNCTION("""COMPUTED_VALUE"""),0.6777)</f>
        <v>0.6777</v>
      </c>
      <c r="M354" s="320">
        <f>IFERROR(__xludf.DUMMYFUNCTION("""COMPUTED_VALUE"""),0.4064)</f>
        <v>0.4064</v>
      </c>
      <c r="N354" s="320">
        <f>IFERROR(__xludf.DUMMYFUNCTION("""COMPUTED_VALUE"""),0.2297)</f>
        <v>0.2297</v>
      </c>
      <c r="O354" s="320">
        <f>IFERROR(__xludf.DUMMYFUNCTION("""COMPUTED_VALUE"""),1.4756)</f>
        <v>1.4756</v>
      </c>
      <c r="P354" s="320">
        <f>IFERROR(__xludf.DUMMYFUNCTION("""COMPUTED_VALUE"""),622.66)</f>
        <v>622.66</v>
      </c>
      <c r="Q354" s="320">
        <f>IFERROR(__xludf.DUMMYFUNCTION("""COMPUTED_VALUE"""),505.49)</f>
        <v>505.49</v>
      </c>
      <c r="R354" s="320">
        <f>IFERROR(__xludf.DUMMYFUNCTION("""COMPUTED_VALUE"""),117.17)</f>
        <v>117.17</v>
      </c>
      <c r="S354" s="320">
        <f>IFERROR(__xludf.DUMMYFUNCTION("""COMPUTED_VALUE"""),331.31)</f>
        <v>331.31</v>
      </c>
      <c r="T354" s="320">
        <f>IFERROR(__xludf.DUMMYFUNCTION("""COMPUTED_VALUE"""),291.34)</f>
        <v>291.34</v>
      </c>
      <c r="U354" s="320">
        <f>IFERROR(__xludf.DUMMYFUNCTION("""COMPUTED_VALUE"""),672.19)</f>
        <v>672.19</v>
      </c>
      <c r="V354" s="320">
        <f>IFERROR(__xludf.DUMMYFUNCTION("""COMPUTED_VALUE"""),8.1952)</f>
        <v>8.1952</v>
      </c>
      <c r="W354" s="320">
        <f>IFERROR(__xludf.DUMMYFUNCTION("""COMPUTED_VALUE"""),53.21)</f>
        <v>53.21</v>
      </c>
      <c r="X354" s="320">
        <f>IFERROR(__xludf.DUMMYFUNCTION("""COMPUTED_VALUE"""),98.0)</f>
        <v>98</v>
      </c>
      <c r="Y354" s="320">
        <f>IFERROR(__xludf.DUMMYFUNCTION("""COMPUTED_VALUE"""),321.0)</f>
        <v>321</v>
      </c>
      <c r="Z354" s="320">
        <f>IFERROR(__xludf.DUMMYFUNCTION("""COMPUTED_VALUE"""),928.0)</f>
        <v>928</v>
      </c>
      <c r="AA354" s="320">
        <f>IFERROR(__xludf.DUMMYFUNCTION("""COMPUTED_VALUE"""),57.9611)</f>
        <v>57.9611</v>
      </c>
      <c r="AB354" s="320">
        <f>IFERROR(__xludf.DUMMYFUNCTION("""COMPUTED_VALUE"""),0.7685)</f>
        <v>0.7685</v>
      </c>
      <c r="AC354" s="320">
        <f>IFERROR(__xludf.DUMMYFUNCTION("""COMPUTED_VALUE"""),36.21)</f>
        <v>36.21</v>
      </c>
      <c r="AD354" s="320">
        <f>IFERROR(__xludf.DUMMYFUNCTION("""COMPUTED_VALUE"""),13.0)</f>
        <v>13</v>
      </c>
      <c r="AE354" s="320">
        <f>IFERROR(__xludf.DUMMYFUNCTION("""COMPUTED_VALUE"""),27.0)</f>
        <v>27</v>
      </c>
      <c r="AF354" s="320">
        <f>IFERROR(__xludf.DUMMYFUNCTION("""COMPUTED_VALUE"""),50.0)</f>
        <v>50</v>
      </c>
      <c r="AG354" s="320">
        <f>IFERROR(__xludf.DUMMYFUNCTION("""COMPUTED_VALUE"""),78.0)</f>
        <v>78</v>
      </c>
      <c r="AH354" s="320">
        <f>IFERROR(__xludf.DUMMYFUNCTION("""COMPUTED_VALUE"""),48.96)</f>
        <v>48.96</v>
      </c>
      <c r="AI354" s="320">
        <f>IFERROR(__xludf.DUMMYFUNCTION("""COMPUTED_VALUE"""),18.31)</f>
        <v>18.31</v>
      </c>
      <c r="AJ354" s="320">
        <f>IFERROR(__xludf.DUMMYFUNCTION("""COMPUTED_VALUE"""),5.13)</f>
        <v>5.13</v>
      </c>
      <c r="AK354" s="320">
        <f>IFERROR(__xludf.DUMMYFUNCTION("""COMPUTED_VALUE"""),0.2017)</f>
        <v>0.2017</v>
      </c>
      <c r="AL354" s="320">
        <f>IFERROR(__xludf.DUMMYFUNCTION("""COMPUTED_VALUE"""),20.76)</f>
        <v>20.76</v>
      </c>
      <c r="AM354" s="320">
        <f>IFERROR(__xludf.DUMMYFUNCTION("""COMPUTED_VALUE"""),484.72)</f>
        <v>484.72</v>
      </c>
      <c r="AN354" s="320">
        <f>IFERROR(__xludf.DUMMYFUNCTION("""COMPUTED_VALUE"""),75.22)</f>
        <v>75.22</v>
      </c>
      <c r="AO354" s="320">
        <f>IFERROR(__xludf.DUMMYFUNCTION("""COMPUTED_VALUE"""),15.62)</f>
        <v>15.62</v>
      </c>
    </row>
    <row r="355" ht="15.75" customHeight="1">
      <c r="A355" s="330">
        <f>IFERROR(__xludf.DUMMYFUNCTION("""COMPUTED_VALUE"""),46108.0)</f>
        <v>46108</v>
      </c>
      <c r="B355" s="319" t="str">
        <f>IFERROR(__xludf.DUMMYFUNCTION("""COMPUTED_VALUE"""),"F. 100+")</f>
        <v>F. 100+</v>
      </c>
      <c r="C355" s="320">
        <f>IFERROR(__xludf.DUMMYFUNCTION("""COMPUTED_VALUE"""),393.0)</f>
        <v>393</v>
      </c>
      <c r="D355" s="320">
        <f>IFERROR(__xludf.DUMMYFUNCTION("""COMPUTED_VALUE"""),0.53)</f>
        <v>0.53</v>
      </c>
      <c r="E355" s="320">
        <f>IFERROR(__xludf.DUMMYFUNCTION("""COMPUTED_VALUE"""),3539.91)</f>
        <v>3539.91</v>
      </c>
      <c r="F355" s="320">
        <f>IFERROR(__xludf.DUMMYFUNCTION("""COMPUTED_VALUE"""),9.0074)</f>
        <v>9.0074</v>
      </c>
      <c r="G355" s="320">
        <f>IFERROR(__xludf.DUMMYFUNCTION("""COMPUTED_VALUE"""),42.49)</f>
        <v>42.49</v>
      </c>
      <c r="H355" s="320">
        <f>IFERROR(__xludf.DUMMYFUNCTION("""COMPUTED_VALUE"""),21.1971)</f>
        <v>21.1971</v>
      </c>
      <c r="I355" s="320">
        <f>IFERROR(__xludf.DUMMYFUNCTION("""COMPUTED_VALUE"""),238.94)</f>
        <v>238.94</v>
      </c>
      <c r="J355" s="320">
        <f>IFERROR(__xludf.DUMMYFUNCTION("""COMPUTED_VALUE"""),156.54)</f>
        <v>156.54</v>
      </c>
      <c r="K355" s="320">
        <f>IFERROR(__xludf.DUMMYFUNCTION("""COMPUTED_VALUE"""),125.58)</f>
        <v>125.58</v>
      </c>
      <c r="L355" s="320">
        <f>IFERROR(__xludf.DUMMYFUNCTION("""COMPUTED_VALUE"""),0.8022)</f>
        <v>0.8022</v>
      </c>
      <c r="M355" s="320">
        <f>IFERROR(__xludf.DUMMYFUNCTION("""COMPUTED_VALUE"""),0.2817)</f>
        <v>0.2817</v>
      </c>
      <c r="N355" s="320">
        <f>IFERROR(__xludf.DUMMYFUNCTION("""COMPUTED_VALUE"""),0.1694)</f>
        <v>0.1694</v>
      </c>
      <c r="O355" s="320">
        <f>IFERROR(__xludf.DUMMYFUNCTION("""COMPUTED_VALUE"""),1.2466)</f>
        <v>1.2466</v>
      </c>
      <c r="P355" s="320">
        <f>IFERROR(__xludf.DUMMYFUNCTION("""COMPUTED_VALUE"""),1140.85)</f>
        <v>1140.85</v>
      </c>
      <c r="Q355" s="320">
        <f>IFERROR(__xludf.DUMMYFUNCTION("""COMPUTED_VALUE"""),875.89)</f>
        <v>875.89</v>
      </c>
      <c r="R355" s="320">
        <f>IFERROR(__xludf.DUMMYFUNCTION("""COMPUTED_VALUE"""),264.96)</f>
        <v>264.96</v>
      </c>
      <c r="S355" s="320">
        <f>IFERROR(__xludf.DUMMYFUNCTION("""COMPUTED_VALUE"""),554.72)</f>
        <v>554.72</v>
      </c>
      <c r="T355" s="320">
        <f>IFERROR(__xludf.DUMMYFUNCTION("""COMPUTED_VALUE"""),586.13)</f>
        <v>586.13</v>
      </c>
      <c r="U355" s="320">
        <f>IFERROR(__xludf.DUMMYFUNCTION("""COMPUTED_VALUE"""),1185.62)</f>
        <v>1185.62</v>
      </c>
      <c r="V355" s="320">
        <f>IFERROR(__xludf.DUMMYFUNCTION("""COMPUTED_VALUE"""),7.5738)</f>
        <v>7.5738</v>
      </c>
      <c r="W355" s="320">
        <f>IFERROR(__xludf.DUMMYFUNCTION("""COMPUTED_VALUE"""),48.62)</f>
        <v>48.62</v>
      </c>
      <c r="X355" s="320">
        <f>IFERROR(__xludf.DUMMYFUNCTION("""COMPUTED_VALUE"""),137.0)</f>
        <v>137</v>
      </c>
      <c r="Y355" s="320">
        <f>IFERROR(__xludf.DUMMYFUNCTION("""COMPUTED_VALUE"""),568.0)</f>
        <v>568</v>
      </c>
      <c r="Z355" s="320">
        <f>IFERROR(__xludf.DUMMYFUNCTION("""COMPUTED_VALUE"""),3071.0)</f>
        <v>3071</v>
      </c>
      <c r="AA355" s="320">
        <f>IFERROR(__xludf.DUMMYFUNCTION("""COMPUTED_VALUE"""),61.2433)</f>
        <v>61.2433</v>
      </c>
      <c r="AB355" s="320">
        <f>IFERROR(__xludf.DUMMYFUNCTION("""COMPUTED_VALUE"""),0.8309)</f>
        <v>0.8309</v>
      </c>
      <c r="AC355" s="320">
        <f>IFERROR(__xludf.DUMMYFUNCTION("""COMPUTED_VALUE"""),80.56)</f>
        <v>80.56</v>
      </c>
      <c r="AD355" s="320">
        <f>IFERROR(__xludf.DUMMYFUNCTION("""COMPUTED_VALUE"""),29.0)</f>
        <v>29</v>
      </c>
      <c r="AE355" s="320">
        <f>IFERROR(__xludf.DUMMYFUNCTION("""COMPUTED_VALUE"""),58.0)</f>
        <v>58</v>
      </c>
      <c r="AF355" s="320">
        <f>IFERROR(__xludf.DUMMYFUNCTION("""COMPUTED_VALUE"""),117.0)</f>
        <v>117</v>
      </c>
      <c r="AG355" s="320">
        <f>IFERROR(__xludf.DUMMYFUNCTION("""COMPUTED_VALUE"""),173.0)</f>
        <v>173</v>
      </c>
      <c r="AH355" s="320">
        <f>IFERROR(__xludf.DUMMYFUNCTION("""COMPUTED_VALUE"""),39.95)</f>
        <v>39.95</v>
      </c>
      <c r="AI355" s="320">
        <f>IFERROR(__xludf.DUMMYFUNCTION("""COMPUTED_VALUE"""),9.41)</f>
        <v>9.41</v>
      </c>
      <c r="AJ355" s="320">
        <f>IFERROR(__xludf.DUMMYFUNCTION("""COMPUTED_VALUE"""),1.78)</f>
        <v>1.78</v>
      </c>
      <c r="AK355" s="320">
        <f>IFERROR(__xludf.DUMMYFUNCTION("""COMPUTED_VALUE"""),0.1501)</f>
        <v>0.1501</v>
      </c>
      <c r="AL355" s="320">
        <f>IFERROR(__xludf.DUMMYFUNCTION("""COMPUTED_VALUE"""),23.6)</f>
        <v>23.6</v>
      </c>
      <c r="AM355" s="320">
        <f>IFERROR(__xludf.DUMMYFUNCTION("""COMPUTED_VALUE"""),852.28)</f>
        <v>852.28</v>
      </c>
      <c r="AN355" s="320">
        <f>IFERROR(__xludf.DUMMYFUNCTION("""COMPUTED_VALUE"""),74.26)</f>
        <v>74.26</v>
      </c>
      <c r="AO355" s="320">
        <f>IFERROR(__xludf.DUMMYFUNCTION("""COMPUTED_VALUE"""),17.53)</f>
        <v>17.53</v>
      </c>
    </row>
    <row r="356" ht="15.75" customHeight="1">
      <c r="A356" s="330">
        <f>IFERROR(__xludf.DUMMYFUNCTION("""COMPUTED_VALUE"""),46109.0)</f>
        <v>46109</v>
      </c>
      <c r="B356" s="319" t="str">
        <f>IFERROR(__xludf.DUMMYFUNCTION("""COMPUTED_VALUE"""),"A. 0")</f>
        <v>A. 0</v>
      </c>
      <c r="C356" s="320">
        <f>IFERROR(__xludf.DUMMYFUNCTION("""COMPUTED_VALUE"""),15165.0)</f>
        <v>15165</v>
      </c>
      <c r="D356" s="320">
        <f>IFERROR(__xludf.DUMMYFUNCTION("""COMPUTED_VALUE"""),20.67)</f>
        <v>20.67</v>
      </c>
      <c r="E356" s="320">
        <f>IFERROR(__xludf.DUMMYFUNCTION("""COMPUTED_VALUE"""),246.21)</f>
        <v>246.21</v>
      </c>
      <c r="F356" s="320">
        <f>IFERROR(__xludf.DUMMYFUNCTION("""COMPUTED_VALUE"""),0.0162)</f>
        <v>0.0162</v>
      </c>
      <c r="G356" s="320">
        <f>IFERROR(__xludf.DUMMYFUNCTION("""COMPUTED_VALUE"""),0.3)</f>
        <v>0.3</v>
      </c>
      <c r="H356" s="320">
        <f>IFERROR(__xludf.DUMMYFUNCTION("""COMPUTED_VALUE"""),5.4713)</f>
        <v>5.4713</v>
      </c>
      <c r="I356" s="320">
        <f>IFERROR(__xludf.DUMMYFUNCTION("""COMPUTED_VALUE"""),6.29)</f>
        <v>6.29</v>
      </c>
      <c r="J356" s="320">
        <f>IFERROR(__xludf.DUMMYFUNCTION("""COMPUTED_VALUE"""),2.85)</f>
        <v>2.85</v>
      </c>
      <c r="K356" s="320">
        <f>IFERROR(__xludf.DUMMYFUNCTION("""COMPUTED_VALUE"""),0.08)</f>
        <v>0.08</v>
      </c>
      <c r="L356" s="320">
        <f>IFERROR(__xludf.DUMMYFUNCTION("""COMPUTED_VALUE"""),0.0268)</f>
        <v>0.0268</v>
      </c>
      <c r="M356" s="320">
        <f>IFERROR(__xludf.DUMMYFUNCTION("""COMPUTED_VALUE"""),0.9757)</f>
        <v>0.9757</v>
      </c>
      <c r="N356" s="320">
        <f>IFERROR(__xludf.DUMMYFUNCTION("""COMPUTED_VALUE"""),0.7258)</f>
        <v>0.7258</v>
      </c>
      <c r="O356" s="320">
        <f>IFERROR(__xludf.DUMMYFUNCTION("""COMPUTED_VALUE"""),37.368)</f>
        <v>37.368</v>
      </c>
      <c r="P356" s="320">
        <f>IFERROR(__xludf.DUMMYFUNCTION("""COMPUTED_VALUE"""),28.56)</f>
        <v>28.56</v>
      </c>
      <c r="Q356" s="320">
        <f>IFERROR(__xludf.DUMMYFUNCTION("""COMPUTED_VALUE"""),28.49)</f>
        <v>28.49</v>
      </c>
      <c r="R356" s="320">
        <f>IFERROR(__xludf.DUMMYFUNCTION("""COMPUTED_VALUE"""),0.07)</f>
        <v>0.07</v>
      </c>
      <c r="S356" s="320">
        <f>IFERROR(__xludf.DUMMYFUNCTION("""COMPUTED_VALUE"""),1.24)</f>
        <v>1.24</v>
      </c>
      <c r="T356" s="320">
        <f>IFERROR(__xludf.DUMMYFUNCTION("""COMPUTED_VALUE"""),27.32)</f>
        <v>27.32</v>
      </c>
      <c r="U356" s="320">
        <f>IFERROR(__xludf.DUMMYFUNCTION("""COMPUTED_VALUE"""),2.82)</f>
        <v>2.82</v>
      </c>
      <c r="V356" s="320">
        <f>IFERROR(__xludf.DUMMYFUNCTION("""COMPUTED_VALUE"""),0.9893)</f>
        <v>0.9893</v>
      </c>
      <c r="W356" s="320">
        <f>IFERROR(__xludf.DUMMYFUNCTION("""COMPUTED_VALUE"""),4.35)</f>
        <v>4.35</v>
      </c>
      <c r="X356" s="320">
        <f>IFERROR(__xludf.DUMMYFUNCTION("""COMPUTED_VALUE"""),149.0)</f>
        <v>149</v>
      </c>
      <c r="Y356" s="320">
        <f>IFERROR(__xludf.DUMMYFUNCTION("""COMPUTED_VALUE"""),1059.0)</f>
        <v>1059</v>
      </c>
      <c r="Z356" s="320">
        <f>IFERROR(__xludf.DUMMYFUNCTION("""COMPUTED_VALUE"""),7379.0)</f>
        <v>7379</v>
      </c>
      <c r="AA356" s="320">
        <f>IFERROR(__xludf.DUMMYFUNCTION("""COMPUTED_VALUE"""),49.6059)</f>
        <v>49.6059</v>
      </c>
      <c r="AB356" s="320">
        <f>IFERROR(__xludf.DUMMYFUNCTION("""COMPUTED_VALUE"""),0.5048)</f>
        <v>0.5048</v>
      </c>
      <c r="AC356" s="106"/>
      <c r="AD356" s="106"/>
      <c r="AE356" s="106"/>
      <c r="AF356" s="106"/>
      <c r="AG356" s="106"/>
      <c r="AH356" s="320">
        <f>IFERROR(__xludf.DUMMYFUNCTION("""COMPUTED_VALUE"""),0.0)</f>
        <v>0</v>
      </c>
      <c r="AI356" s="320">
        <f>IFERROR(__xludf.DUMMYFUNCTION("""COMPUTED_VALUE"""),0.0)</f>
        <v>0</v>
      </c>
      <c r="AJ356" s="320">
        <f>IFERROR(__xludf.DUMMYFUNCTION("""COMPUTED_VALUE"""),0.0)</f>
        <v>0</v>
      </c>
      <c r="AK356" s="320">
        <f>IFERROR(__xludf.DUMMYFUNCTION("""COMPUTED_VALUE"""),0.2666)</f>
        <v>0.2666</v>
      </c>
      <c r="AL356" s="320">
        <f>IFERROR(__xludf.DUMMYFUNCTION("""COMPUTED_VALUE"""),18.53)</f>
        <v>18.53</v>
      </c>
      <c r="AM356" s="320">
        <f>IFERROR(__xludf.DUMMYFUNCTION("""COMPUTED_VALUE"""),9.97)</f>
        <v>9.97</v>
      </c>
      <c r="AN356" s="331"/>
      <c r="AO356" s="331"/>
    </row>
    <row r="357" ht="15.75" customHeight="1">
      <c r="A357" s="330">
        <f>IFERROR(__xludf.DUMMYFUNCTION("""COMPUTED_VALUE"""),46109.0)</f>
        <v>46109</v>
      </c>
      <c r="B357" s="319" t="str">
        <f>IFERROR(__xludf.DUMMYFUNCTION("""COMPUTED_VALUE"""),"B. 1-9")</f>
        <v>B. 1-9</v>
      </c>
      <c r="C357" s="320">
        <f>IFERROR(__xludf.DUMMYFUNCTION("""COMPUTED_VALUE"""),31692.0)</f>
        <v>31692</v>
      </c>
      <c r="D357" s="320">
        <f>IFERROR(__xludf.DUMMYFUNCTION("""COMPUTED_VALUE"""),43.2)</f>
        <v>43.2</v>
      </c>
      <c r="E357" s="320">
        <f>IFERROR(__xludf.DUMMYFUNCTION("""COMPUTED_VALUE"""),7620.94)</f>
        <v>7620.94</v>
      </c>
      <c r="F357" s="320">
        <f>IFERROR(__xludf.DUMMYFUNCTION("""COMPUTED_VALUE"""),0.2405)</f>
        <v>0.2405</v>
      </c>
      <c r="G357" s="320">
        <f>IFERROR(__xludf.DUMMYFUNCTION("""COMPUTED_VALUE"""),6.81)</f>
        <v>6.81</v>
      </c>
      <c r="H357" s="320">
        <f>IFERROR(__xludf.DUMMYFUNCTION("""COMPUTED_VALUE"""),3.5331)</f>
        <v>3.5331</v>
      </c>
      <c r="I357" s="320">
        <f>IFERROR(__xludf.DUMMYFUNCTION("""COMPUTED_VALUE"""),31.25)</f>
        <v>31.25</v>
      </c>
      <c r="J357" s="320">
        <f>IFERROR(__xludf.DUMMYFUNCTION("""COMPUTED_VALUE"""),16.95)</f>
        <v>16.95</v>
      </c>
      <c r="K357" s="320">
        <f>IFERROR(__xludf.DUMMYFUNCTION("""COMPUTED_VALUE"""),5.51)</f>
        <v>5.51</v>
      </c>
      <c r="L357" s="320">
        <f>IFERROR(__xludf.DUMMYFUNCTION("""COMPUTED_VALUE"""),0.3251)</f>
        <v>0.3251</v>
      </c>
      <c r="M357" s="320">
        <f>IFERROR(__xludf.DUMMYFUNCTION("""COMPUTED_VALUE"""),0.7468)</f>
        <v>0.7468</v>
      </c>
      <c r="N357" s="320">
        <f>IFERROR(__xludf.DUMMYFUNCTION("""COMPUTED_VALUE"""),0.4991)</f>
        <v>0.4991</v>
      </c>
      <c r="O357" s="320">
        <f>IFERROR(__xludf.DUMMYFUNCTION("""COMPUTED_VALUE"""),3.0759)</f>
        <v>3.0759</v>
      </c>
      <c r="P357" s="320">
        <f>IFERROR(__xludf.DUMMYFUNCTION("""COMPUTED_VALUE"""),75.24)</f>
        <v>75.24</v>
      </c>
      <c r="Q357" s="320">
        <f>IFERROR(__xludf.DUMMYFUNCTION("""COMPUTED_VALUE"""),63.96)</f>
        <v>63.96</v>
      </c>
      <c r="R357" s="320">
        <f>IFERROR(__xludf.DUMMYFUNCTION("""COMPUTED_VALUE"""),11.28)</f>
        <v>11.28</v>
      </c>
      <c r="S357" s="320">
        <f>IFERROR(__xludf.DUMMYFUNCTION("""COMPUTED_VALUE"""),17.44)</f>
        <v>17.44</v>
      </c>
      <c r="T357" s="320">
        <f>IFERROR(__xludf.DUMMYFUNCTION("""COMPUTED_VALUE"""),57.8)</f>
        <v>57.8</v>
      </c>
      <c r="U357" s="320">
        <f>IFERROR(__xludf.DUMMYFUNCTION("""COMPUTED_VALUE"""),79.14)</f>
        <v>79.14</v>
      </c>
      <c r="V357" s="320">
        <f>IFERROR(__xludf.DUMMYFUNCTION("""COMPUTED_VALUE"""),4.6706)</f>
        <v>4.6706</v>
      </c>
      <c r="W357" s="320">
        <f>IFERROR(__xludf.DUMMYFUNCTION("""COMPUTED_VALUE"""),23.19)</f>
        <v>23.19</v>
      </c>
      <c r="X357" s="320">
        <f>IFERROR(__xludf.DUMMYFUNCTION("""COMPUTED_VALUE"""),87.0)</f>
        <v>87</v>
      </c>
      <c r="Y357" s="320">
        <f>IFERROR(__xludf.DUMMYFUNCTION("""COMPUTED_VALUE"""),218.0)</f>
        <v>218</v>
      </c>
      <c r="Z357" s="320">
        <f>IFERROR(__xludf.DUMMYFUNCTION("""COMPUTED_VALUE"""),869.0)</f>
        <v>869</v>
      </c>
      <c r="AA357" s="320">
        <f>IFERROR(__xludf.DUMMYFUNCTION("""COMPUTED_VALUE"""),49.6452)</f>
        <v>49.6452</v>
      </c>
      <c r="AB357" s="320">
        <f>IFERROR(__xludf.DUMMYFUNCTION("""COMPUTED_VALUE"""),0.4472)</f>
        <v>0.4472</v>
      </c>
      <c r="AC357" s="320">
        <f>IFERROR(__xludf.DUMMYFUNCTION("""COMPUTED_VALUE"""),3.66)</f>
        <v>3.66</v>
      </c>
      <c r="AD357" s="320">
        <f>IFERROR(__xludf.DUMMYFUNCTION("""COMPUTED_VALUE"""),1.0)</f>
        <v>1</v>
      </c>
      <c r="AE357" s="320">
        <f>IFERROR(__xludf.DUMMYFUNCTION("""COMPUTED_VALUE"""),2.0)</f>
        <v>2</v>
      </c>
      <c r="AF357" s="320">
        <f>IFERROR(__xludf.DUMMYFUNCTION("""COMPUTED_VALUE"""),5.0)</f>
        <v>5</v>
      </c>
      <c r="AG357" s="320">
        <f>IFERROR(__xludf.DUMMYFUNCTION("""COMPUTED_VALUE"""),8.0)</f>
        <v>8</v>
      </c>
      <c r="AH357" s="320">
        <f>IFERROR(__xludf.DUMMYFUNCTION("""COMPUTED_VALUE"""),67.06)</f>
        <v>67.06</v>
      </c>
      <c r="AI357" s="320">
        <f>IFERROR(__xludf.DUMMYFUNCTION("""COMPUTED_VALUE"""),25.77)</f>
        <v>25.77</v>
      </c>
      <c r="AJ357" s="320">
        <f>IFERROR(__xludf.DUMMYFUNCTION("""COMPUTED_VALUE"""),7.68)</f>
        <v>7.68</v>
      </c>
      <c r="AK357" s="320">
        <f>IFERROR(__xludf.DUMMYFUNCTION("""COMPUTED_VALUE"""),0.2184)</f>
        <v>0.2184</v>
      </c>
      <c r="AL357" s="320">
        <f>IFERROR(__xludf.DUMMYFUNCTION("""COMPUTED_VALUE"""),23.1)</f>
        <v>23.1</v>
      </c>
      <c r="AM357" s="320">
        <f>IFERROR(__xludf.DUMMYFUNCTION("""COMPUTED_VALUE"""),40.86)</f>
        <v>40.86</v>
      </c>
      <c r="AN357" s="320">
        <f>IFERROR(__xludf.DUMMYFUNCTION("""COMPUTED_VALUE"""),68.58)</f>
        <v>68.58</v>
      </c>
      <c r="AO357" s="320">
        <f>IFERROR(__xludf.DUMMYFUNCTION("""COMPUTED_VALUE"""),15.84)</f>
        <v>15.84</v>
      </c>
    </row>
    <row r="358" ht="15.75" customHeight="1">
      <c r="A358" s="330">
        <f>IFERROR(__xludf.DUMMYFUNCTION("""COMPUTED_VALUE"""),46109.0)</f>
        <v>46109</v>
      </c>
      <c r="B358" s="319" t="str">
        <f>IFERROR(__xludf.DUMMYFUNCTION("""COMPUTED_VALUE"""),"C. 10-19")</f>
        <v>C. 10-19</v>
      </c>
      <c r="C358" s="320">
        <f>IFERROR(__xludf.DUMMYFUNCTION("""COMPUTED_VALUE"""),15142.0)</f>
        <v>15142</v>
      </c>
      <c r="D358" s="320">
        <f>IFERROR(__xludf.DUMMYFUNCTION("""COMPUTED_VALUE"""),20.64)</f>
        <v>20.64</v>
      </c>
      <c r="E358" s="320">
        <f>IFERROR(__xludf.DUMMYFUNCTION("""COMPUTED_VALUE"""),15514.42)</f>
        <v>15514.42</v>
      </c>
      <c r="F358" s="320">
        <f>IFERROR(__xludf.DUMMYFUNCTION("""COMPUTED_VALUE"""),1.0246)</f>
        <v>1.0246</v>
      </c>
      <c r="G358" s="320">
        <f>IFERROR(__xludf.DUMMYFUNCTION("""COMPUTED_VALUE"""),21.2)</f>
        <v>21.2</v>
      </c>
      <c r="H358" s="320">
        <f>IFERROR(__xludf.DUMMYFUNCTION("""COMPUTED_VALUE"""),4.8332)</f>
        <v>4.8332</v>
      </c>
      <c r="I358" s="320">
        <f>IFERROR(__xludf.DUMMYFUNCTION("""COMPUTED_VALUE"""),56.56)</f>
        <v>56.56</v>
      </c>
      <c r="J358" s="320">
        <f>IFERROR(__xludf.DUMMYFUNCTION("""COMPUTED_VALUE"""),32.28)</f>
        <v>32.28</v>
      </c>
      <c r="K358" s="320">
        <f>IFERROR(__xludf.DUMMYFUNCTION("""COMPUTED_VALUE"""),13.91)</f>
        <v>13.91</v>
      </c>
      <c r="L358" s="320">
        <f>IFERROR(__xludf.DUMMYFUNCTION("""COMPUTED_VALUE"""),0.4311)</f>
        <v>0.4311</v>
      </c>
      <c r="M358" s="320">
        <f>IFERROR(__xludf.DUMMYFUNCTION("""COMPUTED_VALUE"""),0.6349)</f>
        <v>0.6349</v>
      </c>
      <c r="N358" s="320">
        <f>IFERROR(__xludf.DUMMYFUNCTION("""COMPUTED_VALUE"""),0.3635)</f>
        <v>0.3635</v>
      </c>
      <c r="O358" s="320">
        <f>IFERROR(__xludf.DUMMYFUNCTION("""COMPUTED_VALUE"""),2.3199)</f>
        <v>2.3199</v>
      </c>
      <c r="P358" s="320">
        <f>IFERROR(__xludf.DUMMYFUNCTION("""COMPUTED_VALUE"""),174.08)</f>
        <v>174.08</v>
      </c>
      <c r="Q358" s="320">
        <f>IFERROR(__xludf.DUMMYFUNCTION("""COMPUTED_VALUE"""),145.29)</f>
        <v>145.29</v>
      </c>
      <c r="R358" s="320">
        <f>IFERROR(__xludf.DUMMYFUNCTION("""COMPUTED_VALUE"""),28.78)</f>
        <v>28.78</v>
      </c>
      <c r="S358" s="320">
        <f>IFERROR(__xludf.DUMMYFUNCTION("""COMPUTED_VALUE"""),69.65)</f>
        <v>69.65</v>
      </c>
      <c r="T358" s="320">
        <f>IFERROR(__xludf.DUMMYFUNCTION("""COMPUTED_VALUE"""),104.42)</f>
        <v>104.42</v>
      </c>
      <c r="U358" s="320">
        <f>IFERROR(__xludf.DUMMYFUNCTION("""COMPUTED_VALUE"""),181.16)</f>
        <v>181.16</v>
      </c>
      <c r="V358" s="320">
        <f>IFERROR(__xludf.DUMMYFUNCTION("""COMPUTED_VALUE"""),5.6121)</f>
        <v>5.6121</v>
      </c>
      <c r="W358" s="320">
        <f>IFERROR(__xludf.DUMMYFUNCTION("""COMPUTED_VALUE"""),40.01)</f>
        <v>40.01</v>
      </c>
      <c r="X358" s="320">
        <f>IFERROR(__xludf.DUMMYFUNCTION("""COMPUTED_VALUE"""),84.0)</f>
        <v>84</v>
      </c>
      <c r="Y358" s="320">
        <f>IFERROR(__xludf.DUMMYFUNCTION("""COMPUTED_VALUE"""),193.0)</f>
        <v>193</v>
      </c>
      <c r="Z358" s="320">
        <f>IFERROR(__xludf.DUMMYFUNCTION("""COMPUTED_VALUE"""),617.0)</f>
        <v>617</v>
      </c>
      <c r="AA358" s="320">
        <f>IFERROR(__xludf.DUMMYFUNCTION("""COMPUTED_VALUE"""),52.6101)</f>
        <v>52.6101</v>
      </c>
      <c r="AB358" s="320">
        <f>IFERROR(__xludf.DUMMYFUNCTION("""COMPUTED_VALUE"""),0.5493)</f>
        <v>0.5493</v>
      </c>
      <c r="AC358" s="320">
        <f>IFERROR(__xludf.DUMMYFUNCTION("""COMPUTED_VALUE"""),9.13)</f>
        <v>9.13</v>
      </c>
      <c r="AD358" s="320">
        <f>IFERROR(__xludf.DUMMYFUNCTION("""COMPUTED_VALUE"""),3.0)</f>
        <v>3</v>
      </c>
      <c r="AE358" s="320">
        <f>IFERROR(__xludf.DUMMYFUNCTION("""COMPUTED_VALUE"""),6.0)</f>
        <v>6</v>
      </c>
      <c r="AF358" s="320">
        <f>IFERROR(__xludf.DUMMYFUNCTION("""COMPUTED_VALUE"""),13.0)</f>
        <v>13</v>
      </c>
      <c r="AG358" s="320">
        <f>IFERROR(__xludf.DUMMYFUNCTION("""COMPUTED_VALUE"""),20.0)</f>
        <v>20</v>
      </c>
      <c r="AH358" s="320">
        <f>IFERROR(__xludf.DUMMYFUNCTION("""COMPUTED_VALUE"""),55.33)</f>
        <v>55.33</v>
      </c>
      <c r="AI358" s="320">
        <f>IFERROR(__xludf.DUMMYFUNCTION("""COMPUTED_VALUE"""),25.31)</f>
        <v>25.31</v>
      </c>
      <c r="AJ358" s="320">
        <f>IFERROR(__xludf.DUMMYFUNCTION("""COMPUTED_VALUE"""),5.49)</f>
        <v>5.49</v>
      </c>
      <c r="AK358" s="320">
        <f>IFERROR(__xludf.DUMMYFUNCTION("""COMPUTED_VALUE"""),0.1909)</f>
        <v>0.1909</v>
      </c>
      <c r="AL358" s="320">
        <f>IFERROR(__xludf.DUMMYFUNCTION("""COMPUTED_VALUE"""),23.82)</f>
        <v>23.82</v>
      </c>
      <c r="AM358" s="320">
        <f>IFERROR(__xludf.DUMMYFUNCTION("""COMPUTED_VALUE"""),121.47)</f>
        <v>121.47</v>
      </c>
      <c r="AN358" s="320">
        <f>IFERROR(__xludf.DUMMYFUNCTION("""COMPUTED_VALUE"""),74.63)</f>
        <v>74.63</v>
      </c>
      <c r="AO358" s="320">
        <f>IFERROR(__xludf.DUMMYFUNCTION("""COMPUTED_VALUE"""),17.78)</f>
        <v>17.78</v>
      </c>
    </row>
    <row r="359" ht="15.75" customHeight="1">
      <c r="A359" s="330">
        <f>IFERROR(__xludf.DUMMYFUNCTION("""COMPUTED_VALUE"""),46109.0)</f>
        <v>46109</v>
      </c>
      <c r="B359" s="319" t="str">
        <f>IFERROR(__xludf.DUMMYFUNCTION("""COMPUTED_VALUE"""),"D. 20-39")</f>
        <v>D. 20-39</v>
      </c>
      <c r="C359" s="320">
        <f>IFERROR(__xludf.DUMMYFUNCTION("""COMPUTED_VALUE"""),7796.0)</f>
        <v>7796</v>
      </c>
      <c r="D359" s="320">
        <f>IFERROR(__xludf.DUMMYFUNCTION("""COMPUTED_VALUE"""),10.63)</f>
        <v>10.63</v>
      </c>
      <c r="E359" s="320">
        <f>IFERROR(__xludf.DUMMYFUNCTION("""COMPUTED_VALUE"""),19827.81)</f>
        <v>19827.81</v>
      </c>
      <c r="F359" s="320">
        <f>IFERROR(__xludf.DUMMYFUNCTION("""COMPUTED_VALUE"""),2.5433)</f>
        <v>2.5433</v>
      </c>
      <c r="G359" s="320">
        <f>IFERROR(__xludf.DUMMYFUNCTION("""COMPUTED_VALUE"""),32.99)</f>
        <v>32.99</v>
      </c>
      <c r="H359" s="320">
        <f>IFERROR(__xludf.DUMMYFUNCTION("""COMPUTED_VALUE"""),7.7091)</f>
        <v>7.7091</v>
      </c>
      <c r="I359" s="320">
        <f>IFERROR(__xludf.DUMMYFUNCTION("""COMPUTED_VALUE"""),80.4)</f>
        <v>80.4</v>
      </c>
      <c r="J359" s="320">
        <f>IFERROR(__xludf.DUMMYFUNCTION("""COMPUTED_VALUE"""),48.0)</f>
        <v>48</v>
      </c>
      <c r="K359" s="320">
        <f>IFERROR(__xludf.DUMMYFUNCTION("""COMPUTED_VALUE"""),26.86)</f>
        <v>26.86</v>
      </c>
      <c r="L359" s="320">
        <f>IFERROR(__xludf.DUMMYFUNCTION("""COMPUTED_VALUE"""),0.5596)</f>
        <v>0.5596</v>
      </c>
      <c r="M359" s="320">
        <f>IFERROR(__xludf.DUMMYFUNCTION("""COMPUTED_VALUE"""),0.5167)</f>
        <v>0.5167</v>
      </c>
      <c r="N359" s="320">
        <f>IFERROR(__xludf.DUMMYFUNCTION("""COMPUTED_VALUE"""),0.2875)</f>
        <v>0.2875</v>
      </c>
      <c r="O359" s="320">
        <f>IFERROR(__xludf.DUMMYFUNCTION("""COMPUTED_VALUE"""),1.7869)</f>
        <v>1.7869</v>
      </c>
      <c r="P359" s="320">
        <f>IFERROR(__xludf.DUMMYFUNCTION("""COMPUTED_VALUE"""),335.16)</f>
        <v>335.16</v>
      </c>
      <c r="Q359" s="320">
        <f>IFERROR(__xludf.DUMMYFUNCTION("""COMPUTED_VALUE"""),278.92)</f>
        <v>278.92</v>
      </c>
      <c r="R359" s="320">
        <f>IFERROR(__xludf.DUMMYFUNCTION("""COMPUTED_VALUE"""),56.24)</f>
        <v>56.24</v>
      </c>
      <c r="S359" s="320">
        <f>IFERROR(__xludf.DUMMYFUNCTION("""COMPUTED_VALUE"""),161.63)</f>
        <v>161.63</v>
      </c>
      <c r="T359" s="320">
        <f>IFERROR(__xludf.DUMMYFUNCTION("""COMPUTED_VALUE"""),173.53)</f>
        <v>173.53</v>
      </c>
      <c r="U359" s="320">
        <f>IFERROR(__xludf.DUMMYFUNCTION("""COMPUTED_VALUE"""),349.88)</f>
        <v>349.88</v>
      </c>
      <c r="V359" s="320">
        <f>IFERROR(__xludf.DUMMYFUNCTION("""COMPUTED_VALUE"""),7.2886)</f>
        <v>7.2886</v>
      </c>
      <c r="W359" s="320">
        <f>IFERROR(__xludf.DUMMYFUNCTION("""COMPUTED_VALUE"""),48.22)</f>
        <v>48.22</v>
      </c>
      <c r="X359" s="320">
        <f>IFERROR(__xludf.DUMMYFUNCTION("""COMPUTED_VALUE"""),87.0)</f>
        <v>87</v>
      </c>
      <c r="Y359" s="320">
        <f>IFERROR(__xludf.DUMMYFUNCTION("""COMPUTED_VALUE"""),226.0)</f>
        <v>226</v>
      </c>
      <c r="Z359" s="320">
        <f>IFERROR(__xludf.DUMMYFUNCTION("""COMPUTED_VALUE"""),665.0)</f>
        <v>665</v>
      </c>
      <c r="AA359" s="320">
        <f>IFERROR(__xludf.DUMMYFUNCTION("""COMPUTED_VALUE"""),54.5315)</f>
        <v>54.5315</v>
      </c>
      <c r="AB359" s="320">
        <f>IFERROR(__xludf.DUMMYFUNCTION("""COMPUTED_VALUE"""),0.6595)</f>
        <v>0.6595</v>
      </c>
      <c r="AC359" s="320">
        <f>IFERROR(__xludf.DUMMYFUNCTION("""COMPUTED_VALUE"""),17.9)</f>
        <v>17.9</v>
      </c>
      <c r="AD359" s="320">
        <f>IFERROR(__xludf.DUMMYFUNCTION("""COMPUTED_VALUE"""),6.0)</f>
        <v>6</v>
      </c>
      <c r="AE359" s="320">
        <f>IFERROR(__xludf.DUMMYFUNCTION("""COMPUTED_VALUE"""),13.0)</f>
        <v>13</v>
      </c>
      <c r="AF359" s="320">
        <f>IFERROR(__xludf.DUMMYFUNCTION("""COMPUTED_VALUE"""),25.0)</f>
        <v>25</v>
      </c>
      <c r="AG359" s="320">
        <f>IFERROR(__xludf.DUMMYFUNCTION("""COMPUTED_VALUE"""),39.0)</f>
        <v>39</v>
      </c>
      <c r="AH359" s="320">
        <f>IFERROR(__xludf.DUMMYFUNCTION("""COMPUTED_VALUE"""),56.52)</f>
        <v>56.52</v>
      </c>
      <c r="AI359" s="320">
        <f>IFERROR(__xludf.DUMMYFUNCTION("""COMPUTED_VALUE"""),24.87)</f>
        <v>24.87</v>
      </c>
      <c r="AJ359" s="320">
        <f>IFERROR(__xludf.DUMMYFUNCTION("""COMPUTED_VALUE"""),8.34)</f>
        <v>8.34</v>
      </c>
      <c r="AK359" s="320">
        <f>IFERROR(__xludf.DUMMYFUNCTION("""COMPUTED_VALUE"""),0.2142)</f>
        <v>0.2142</v>
      </c>
      <c r="AL359" s="320">
        <f>IFERROR(__xludf.DUMMYFUNCTION("""COMPUTED_VALUE"""),22.68)</f>
        <v>22.68</v>
      </c>
      <c r="AM359" s="320">
        <f>IFERROR(__xludf.DUMMYFUNCTION("""COMPUTED_VALUE"""),256.24)</f>
        <v>256.24</v>
      </c>
      <c r="AN359" s="320">
        <f>IFERROR(__xludf.DUMMYFUNCTION("""COMPUTED_VALUE"""),73.19)</f>
        <v>73.19</v>
      </c>
      <c r="AO359" s="320">
        <f>IFERROR(__xludf.DUMMYFUNCTION("""COMPUTED_VALUE"""),16.6)</f>
        <v>16.6</v>
      </c>
    </row>
    <row r="360" ht="15.75" customHeight="1">
      <c r="A360" s="330">
        <f>IFERROR(__xludf.DUMMYFUNCTION("""COMPUTED_VALUE"""),46109.0)</f>
        <v>46109</v>
      </c>
      <c r="B360" s="319" t="str">
        <f>IFERROR(__xludf.DUMMYFUNCTION("""COMPUTED_VALUE"""),"E. 40-99")</f>
        <v>E. 40-99</v>
      </c>
      <c r="C360" s="320">
        <f>IFERROR(__xludf.DUMMYFUNCTION("""COMPUTED_VALUE"""),3164.0)</f>
        <v>3164</v>
      </c>
      <c r="D360" s="320">
        <f>IFERROR(__xludf.DUMMYFUNCTION("""COMPUTED_VALUE"""),4.31)</f>
        <v>4.31</v>
      </c>
      <c r="E360" s="320">
        <f>IFERROR(__xludf.DUMMYFUNCTION("""COMPUTED_VALUE"""),15749.56)</f>
        <v>15749.56</v>
      </c>
      <c r="F360" s="320">
        <f>IFERROR(__xludf.DUMMYFUNCTION("""COMPUTED_VALUE"""),4.9777)</f>
        <v>4.9777</v>
      </c>
      <c r="G360" s="320">
        <f>IFERROR(__xludf.DUMMYFUNCTION("""COMPUTED_VALUE"""),39.54)</f>
        <v>39.54</v>
      </c>
      <c r="H360" s="320">
        <f>IFERROR(__xludf.DUMMYFUNCTION("""COMPUTED_VALUE"""),12.5896)</f>
        <v>12.5896</v>
      </c>
      <c r="I360" s="320">
        <f>IFERROR(__xludf.DUMMYFUNCTION("""COMPUTED_VALUE"""),123.36)</f>
        <v>123.36</v>
      </c>
      <c r="J360" s="320">
        <f>IFERROR(__xludf.DUMMYFUNCTION("""COMPUTED_VALUE"""),76.42)</f>
        <v>76.42</v>
      </c>
      <c r="K360" s="320">
        <f>IFERROR(__xludf.DUMMYFUNCTION("""COMPUTED_VALUE"""),53.25)</f>
        <v>53.25</v>
      </c>
      <c r="L360" s="320">
        <f>IFERROR(__xludf.DUMMYFUNCTION("""COMPUTED_VALUE"""),0.6968)</f>
        <v>0.6968</v>
      </c>
      <c r="M360" s="320">
        <f>IFERROR(__xludf.DUMMYFUNCTION("""COMPUTED_VALUE"""),0.3891)</f>
        <v>0.3891</v>
      </c>
      <c r="N360" s="320">
        <f>IFERROR(__xludf.DUMMYFUNCTION("""COMPUTED_VALUE"""),0.2213)</f>
        <v>0.2213</v>
      </c>
      <c r="O360" s="320">
        <f>IFERROR(__xludf.DUMMYFUNCTION("""COMPUTED_VALUE"""),1.4351)</f>
        <v>1.4351</v>
      </c>
      <c r="P360" s="320">
        <f>IFERROR(__xludf.DUMMYFUNCTION("""COMPUTED_VALUE"""),631.39)</f>
        <v>631.39</v>
      </c>
      <c r="Q360" s="320">
        <f>IFERROR(__xludf.DUMMYFUNCTION("""COMPUTED_VALUE"""),519.64)</f>
        <v>519.64</v>
      </c>
      <c r="R360" s="320">
        <f>IFERROR(__xludf.DUMMYFUNCTION("""COMPUTED_VALUE"""),111.75)</f>
        <v>111.75</v>
      </c>
      <c r="S360" s="320">
        <f>IFERROR(__xludf.DUMMYFUNCTION("""COMPUTED_VALUE"""),314.69)</f>
        <v>314.69</v>
      </c>
      <c r="T360" s="320">
        <f>IFERROR(__xludf.DUMMYFUNCTION("""COMPUTED_VALUE"""),316.7)</f>
        <v>316.7</v>
      </c>
      <c r="U360" s="320">
        <f>IFERROR(__xludf.DUMMYFUNCTION("""COMPUTED_VALUE"""),642.49)</f>
        <v>642.49</v>
      </c>
      <c r="V360" s="320">
        <f>IFERROR(__xludf.DUMMYFUNCTION("""COMPUTED_VALUE"""),8.4071)</f>
        <v>8.4071</v>
      </c>
      <c r="W360" s="320">
        <f>IFERROR(__xludf.DUMMYFUNCTION("""COMPUTED_VALUE"""),49.84)</f>
        <v>49.84</v>
      </c>
      <c r="X360" s="320">
        <f>IFERROR(__xludf.DUMMYFUNCTION("""COMPUTED_VALUE"""),105.0)</f>
        <v>105</v>
      </c>
      <c r="Y360" s="320">
        <f>IFERROR(__xludf.DUMMYFUNCTION("""COMPUTED_VALUE"""),343.0)</f>
        <v>343</v>
      </c>
      <c r="Z360" s="320">
        <f>IFERROR(__xludf.DUMMYFUNCTION("""COMPUTED_VALUE"""),881.0)</f>
        <v>881</v>
      </c>
      <c r="AA360" s="320">
        <f>IFERROR(__xludf.DUMMYFUNCTION("""COMPUTED_VALUE"""),57.9203)</f>
        <v>57.9203</v>
      </c>
      <c r="AB360" s="320">
        <f>IFERROR(__xludf.DUMMYFUNCTION("""COMPUTED_VALUE"""),0.766)</f>
        <v>0.766</v>
      </c>
      <c r="AC360" s="320">
        <f>IFERROR(__xludf.DUMMYFUNCTION("""COMPUTED_VALUE"""),35.95)</f>
        <v>35.95</v>
      </c>
      <c r="AD360" s="320">
        <f>IFERROR(__xludf.DUMMYFUNCTION("""COMPUTED_VALUE"""),11.0)</f>
        <v>11</v>
      </c>
      <c r="AE360" s="320">
        <f>IFERROR(__xludf.DUMMYFUNCTION("""COMPUTED_VALUE"""),26.0)</f>
        <v>26</v>
      </c>
      <c r="AF360" s="320">
        <f>IFERROR(__xludf.DUMMYFUNCTION("""COMPUTED_VALUE"""),50.0)</f>
        <v>50</v>
      </c>
      <c r="AG360" s="320">
        <f>IFERROR(__xludf.DUMMYFUNCTION("""COMPUTED_VALUE"""),80.0)</f>
        <v>80</v>
      </c>
      <c r="AH360" s="320">
        <f>IFERROR(__xludf.DUMMYFUNCTION("""COMPUTED_VALUE"""),47.79)</f>
        <v>47.79</v>
      </c>
      <c r="AI360" s="320">
        <f>IFERROR(__xludf.DUMMYFUNCTION("""COMPUTED_VALUE"""),18.77)</f>
        <v>18.77</v>
      </c>
      <c r="AJ360" s="320">
        <f>IFERROR(__xludf.DUMMYFUNCTION("""COMPUTED_VALUE"""),5.56)</f>
        <v>5.56</v>
      </c>
      <c r="AK360" s="320">
        <f>IFERROR(__xludf.DUMMYFUNCTION("""COMPUTED_VALUE"""),0.1833)</f>
        <v>0.1833</v>
      </c>
      <c r="AL360" s="320">
        <f>IFERROR(__xludf.DUMMYFUNCTION("""COMPUTED_VALUE"""),21.74)</f>
        <v>21.74</v>
      </c>
      <c r="AM360" s="320">
        <f>IFERROR(__xludf.DUMMYFUNCTION("""COMPUTED_VALUE"""),497.91)</f>
        <v>497.91</v>
      </c>
      <c r="AN360" s="320">
        <f>IFERROR(__xludf.DUMMYFUNCTION("""COMPUTED_VALUE"""),73.93)</f>
        <v>73.93</v>
      </c>
      <c r="AO360" s="320">
        <f>IFERROR(__xludf.DUMMYFUNCTION("""COMPUTED_VALUE"""),16.07)</f>
        <v>16.07</v>
      </c>
    </row>
    <row r="361" ht="15.75" customHeight="1">
      <c r="A361" s="330">
        <f>IFERROR(__xludf.DUMMYFUNCTION("""COMPUTED_VALUE"""),46109.0)</f>
        <v>46109</v>
      </c>
      <c r="B361" s="319" t="str">
        <f>IFERROR(__xludf.DUMMYFUNCTION("""COMPUTED_VALUE"""),"F. 100+")</f>
        <v>F. 100+</v>
      </c>
      <c r="C361" s="320">
        <f>IFERROR(__xludf.DUMMYFUNCTION("""COMPUTED_VALUE"""),399.0)</f>
        <v>399</v>
      </c>
      <c r="D361" s="320">
        <f>IFERROR(__xludf.DUMMYFUNCTION("""COMPUTED_VALUE"""),0.54)</f>
        <v>0.54</v>
      </c>
      <c r="E361" s="320">
        <f>IFERROR(__xludf.DUMMYFUNCTION("""COMPUTED_VALUE"""),3366.18)</f>
        <v>3366.18</v>
      </c>
      <c r="F361" s="320">
        <f>IFERROR(__xludf.DUMMYFUNCTION("""COMPUTED_VALUE"""),8.4365)</f>
        <v>8.4365</v>
      </c>
      <c r="G361" s="320">
        <f>IFERROR(__xludf.DUMMYFUNCTION("""COMPUTED_VALUE"""),45.11)</f>
        <v>45.11</v>
      </c>
      <c r="H361" s="320">
        <f>IFERROR(__xludf.DUMMYFUNCTION("""COMPUTED_VALUE"""),18.701)</f>
        <v>18.701</v>
      </c>
      <c r="I361" s="320">
        <f>IFERROR(__xludf.DUMMYFUNCTION("""COMPUTED_VALUE"""),231.28)</f>
        <v>231.28</v>
      </c>
      <c r="J361" s="320">
        <f>IFERROR(__xludf.DUMMYFUNCTION("""COMPUTED_VALUE"""),153.87)</f>
        <v>153.87</v>
      </c>
      <c r="K361" s="320">
        <f>IFERROR(__xludf.DUMMYFUNCTION("""COMPUTED_VALUE"""),126.52)</f>
        <v>126.52</v>
      </c>
      <c r="L361" s="320">
        <f>IFERROR(__xludf.DUMMYFUNCTION("""COMPUTED_VALUE"""),0.8223)</f>
        <v>0.8223</v>
      </c>
      <c r="M361" s="320">
        <f>IFERROR(__xludf.DUMMYFUNCTION("""COMPUTED_VALUE"""),0.2647)</f>
        <v>0.2647</v>
      </c>
      <c r="N361" s="320">
        <f>IFERROR(__xludf.DUMMYFUNCTION("""COMPUTED_VALUE"""),0.1622)</f>
        <v>0.1622</v>
      </c>
      <c r="O361" s="320">
        <f>IFERROR(__xludf.DUMMYFUNCTION("""COMPUTED_VALUE"""),1.2161)</f>
        <v>1.2161</v>
      </c>
      <c r="P361" s="320">
        <f>IFERROR(__xludf.DUMMYFUNCTION("""COMPUTED_VALUE"""),1239.18)</f>
        <v>1239.18</v>
      </c>
      <c r="Q361" s="320">
        <f>IFERROR(__xludf.DUMMYFUNCTION("""COMPUTED_VALUE"""),974.31)</f>
        <v>974.31</v>
      </c>
      <c r="R361" s="320">
        <f>IFERROR(__xludf.DUMMYFUNCTION("""COMPUTED_VALUE"""),264.87)</f>
        <v>264.87</v>
      </c>
      <c r="S361" s="320">
        <f>IFERROR(__xludf.DUMMYFUNCTION("""COMPUTED_VALUE"""),570.7)</f>
        <v>570.7</v>
      </c>
      <c r="T361" s="320">
        <f>IFERROR(__xludf.DUMMYFUNCTION("""COMPUTED_VALUE"""),668.48)</f>
        <v>668.48</v>
      </c>
      <c r="U361" s="320">
        <f>IFERROR(__xludf.DUMMYFUNCTION("""COMPUTED_VALUE"""),1246.49)</f>
        <v>1246.49</v>
      </c>
      <c r="V361" s="320">
        <f>IFERROR(__xludf.DUMMYFUNCTION("""COMPUTED_VALUE"""),8.101)</f>
        <v>8.101</v>
      </c>
      <c r="W361" s="320">
        <f>IFERROR(__xludf.DUMMYFUNCTION("""COMPUTED_VALUE"""),46.05)</f>
        <v>46.05</v>
      </c>
      <c r="X361" s="320">
        <f>IFERROR(__xludf.DUMMYFUNCTION("""COMPUTED_VALUE"""),170.0)</f>
        <v>170</v>
      </c>
      <c r="Y361" s="320">
        <f>IFERROR(__xludf.DUMMYFUNCTION("""COMPUTED_VALUE"""),740.0)</f>
        <v>740</v>
      </c>
      <c r="Z361" s="320">
        <f>IFERROR(__xludf.DUMMYFUNCTION("""COMPUTED_VALUE"""),2955.0)</f>
        <v>2955</v>
      </c>
      <c r="AA361" s="320">
        <f>IFERROR(__xludf.DUMMYFUNCTION("""COMPUTED_VALUE"""),61.8227)</f>
        <v>61.8227</v>
      </c>
      <c r="AB361" s="320">
        <f>IFERROR(__xludf.DUMMYFUNCTION("""COMPUTED_VALUE"""),0.8456)</f>
        <v>0.8456</v>
      </c>
      <c r="AC361" s="320">
        <f>IFERROR(__xludf.DUMMYFUNCTION("""COMPUTED_VALUE"""),85.72)</f>
        <v>85.72</v>
      </c>
      <c r="AD361" s="320">
        <f>IFERROR(__xludf.DUMMYFUNCTION("""COMPUTED_VALUE"""),30.0)</f>
        <v>30</v>
      </c>
      <c r="AE361" s="320">
        <f>IFERROR(__xludf.DUMMYFUNCTION("""COMPUTED_VALUE"""),71.0)</f>
        <v>71</v>
      </c>
      <c r="AF361" s="320">
        <f>IFERROR(__xludf.DUMMYFUNCTION("""COMPUTED_VALUE"""),120.0)</f>
        <v>120</v>
      </c>
      <c r="AG361" s="320">
        <f>IFERROR(__xludf.DUMMYFUNCTION("""COMPUTED_VALUE"""),180.0)</f>
        <v>180</v>
      </c>
      <c r="AH361" s="320">
        <f>IFERROR(__xludf.DUMMYFUNCTION("""COMPUTED_VALUE"""),46.37)</f>
        <v>46.37</v>
      </c>
      <c r="AI361" s="320">
        <f>IFERROR(__xludf.DUMMYFUNCTION("""COMPUTED_VALUE"""),10.78)</f>
        <v>10.78</v>
      </c>
      <c r="AJ361" s="320">
        <f>IFERROR(__xludf.DUMMYFUNCTION("""COMPUTED_VALUE"""),2.76)</f>
        <v>2.76</v>
      </c>
      <c r="AK361" s="320">
        <f>IFERROR(__xludf.DUMMYFUNCTION("""COMPUTED_VALUE"""),0.1404)</f>
        <v>0.1404</v>
      </c>
      <c r="AL361" s="320">
        <f>IFERROR(__xludf.DUMMYFUNCTION("""COMPUTED_VALUE"""),20.54)</f>
        <v>20.54</v>
      </c>
      <c r="AM361" s="320">
        <f>IFERROR(__xludf.DUMMYFUNCTION("""COMPUTED_VALUE"""),953.77)</f>
        <v>953.77</v>
      </c>
      <c r="AN361" s="320">
        <f>IFERROR(__xludf.DUMMYFUNCTION("""COMPUTED_VALUE"""),73.68)</f>
        <v>73.68</v>
      </c>
      <c r="AO361" s="320">
        <f>IFERROR(__xludf.DUMMYFUNCTION("""COMPUTED_VALUE"""),15.13)</f>
        <v>15.13</v>
      </c>
    </row>
    <row r="362" ht="15.75" customHeight="1">
      <c r="A362" s="330">
        <f>IFERROR(__xludf.DUMMYFUNCTION("""COMPUTED_VALUE"""),46110.0)</f>
        <v>46110</v>
      </c>
      <c r="B362" s="319" t="str">
        <f>IFERROR(__xludf.DUMMYFUNCTION("""COMPUTED_VALUE"""),"A. 0")</f>
        <v>A. 0</v>
      </c>
      <c r="C362" s="320">
        <f>IFERROR(__xludf.DUMMYFUNCTION("""COMPUTED_VALUE"""),15701.0)</f>
        <v>15701</v>
      </c>
      <c r="D362" s="320">
        <f>IFERROR(__xludf.DUMMYFUNCTION("""COMPUTED_VALUE"""),20.97)</f>
        <v>20.97</v>
      </c>
      <c r="E362" s="320">
        <f>IFERROR(__xludf.DUMMYFUNCTION("""COMPUTED_VALUE"""),98.44)</f>
        <v>98.44</v>
      </c>
      <c r="F362" s="320">
        <f>IFERROR(__xludf.DUMMYFUNCTION("""COMPUTED_VALUE"""),0.0063)</f>
        <v>0.0063</v>
      </c>
      <c r="G362" s="320">
        <f>IFERROR(__xludf.DUMMYFUNCTION("""COMPUTED_VALUE"""),0.19)</f>
        <v>0.19</v>
      </c>
      <c r="H362" s="320">
        <f>IFERROR(__xludf.DUMMYFUNCTION("""COMPUTED_VALUE"""),3.2813)</f>
        <v>3.2813</v>
      </c>
      <c r="I362" s="320">
        <f>IFERROR(__xludf.DUMMYFUNCTION("""COMPUTED_VALUE"""),6.49)</f>
        <v>6.49</v>
      </c>
      <c r="J362" s="320">
        <f>IFERROR(__xludf.DUMMYFUNCTION("""COMPUTED_VALUE"""),2.97)</f>
        <v>2.97</v>
      </c>
      <c r="K362" s="320">
        <f>IFERROR(__xludf.DUMMYFUNCTION("""COMPUTED_VALUE"""),0.04)</f>
        <v>0.04</v>
      </c>
      <c r="L362" s="320">
        <f>IFERROR(__xludf.DUMMYFUNCTION("""COMPUTED_VALUE"""),0.0146)</f>
        <v>0.0146</v>
      </c>
      <c r="M362" s="320">
        <f>IFERROR(__xludf.DUMMYFUNCTION("""COMPUTED_VALUE"""),0.9861)</f>
        <v>0.9861</v>
      </c>
      <c r="N362" s="320">
        <f>IFERROR(__xludf.DUMMYFUNCTION("""COMPUTED_VALUE"""),0.8014)</f>
        <v>0.8014</v>
      </c>
      <c r="O362" s="320">
        <f>IFERROR(__xludf.DUMMYFUNCTION("""COMPUTED_VALUE"""),68.6686)</f>
        <v>68.6686</v>
      </c>
      <c r="P362" s="320">
        <f>IFERROR(__xludf.DUMMYFUNCTION("""COMPUTED_VALUE"""),24.0)</f>
        <v>24</v>
      </c>
      <c r="Q362" s="320">
        <f>IFERROR(__xludf.DUMMYFUNCTION("""COMPUTED_VALUE"""),23.91)</f>
        <v>23.91</v>
      </c>
      <c r="R362" s="320">
        <f>IFERROR(__xludf.DUMMYFUNCTION("""COMPUTED_VALUE"""),0.09)</f>
        <v>0.09</v>
      </c>
      <c r="S362" s="320">
        <f>IFERROR(__xludf.DUMMYFUNCTION("""COMPUTED_VALUE"""),0.51)</f>
        <v>0.51</v>
      </c>
      <c r="T362" s="320">
        <f>IFERROR(__xludf.DUMMYFUNCTION("""COMPUTED_VALUE"""),23.49)</f>
        <v>23.49</v>
      </c>
      <c r="U362" s="320">
        <f>IFERROR(__xludf.DUMMYFUNCTION("""COMPUTED_VALUE"""),1.98)</f>
        <v>1.98</v>
      </c>
      <c r="V362" s="320">
        <f>IFERROR(__xludf.DUMMYFUNCTION("""COMPUTED_VALUE"""),0.667)</f>
        <v>0.667</v>
      </c>
      <c r="W362" s="320">
        <f>IFERROR(__xludf.DUMMYFUNCTION("""COMPUTED_VALUE"""),2.11)</f>
        <v>2.11</v>
      </c>
      <c r="X362" s="320">
        <f>IFERROR(__xludf.DUMMYFUNCTION("""COMPUTED_VALUE"""),139.0)</f>
        <v>139</v>
      </c>
      <c r="Y362" s="320">
        <f>IFERROR(__xludf.DUMMYFUNCTION("""COMPUTED_VALUE"""),1106.0)</f>
        <v>1106</v>
      </c>
      <c r="Z362" s="320">
        <f>IFERROR(__xludf.DUMMYFUNCTION("""COMPUTED_VALUE"""),7366.0)</f>
        <v>7366</v>
      </c>
      <c r="AA362" s="320">
        <f>IFERROR(__xludf.DUMMYFUNCTION("""COMPUTED_VALUE"""),49.9698)</f>
        <v>49.9698</v>
      </c>
      <c r="AB362" s="320">
        <f>IFERROR(__xludf.DUMMYFUNCTION("""COMPUTED_VALUE"""),0.5205)</f>
        <v>0.5205</v>
      </c>
      <c r="AC362" s="106"/>
      <c r="AD362" s="106"/>
      <c r="AE362" s="106"/>
      <c r="AF362" s="106"/>
      <c r="AG362" s="106"/>
      <c r="AH362" s="320">
        <f>IFERROR(__xludf.DUMMYFUNCTION("""COMPUTED_VALUE"""),0.0)</f>
        <v>0</v>
      </c>
      <c r="AI362" s="320">
        <f>IFERROR(__xludf.DUMMYFUNCTION("""COMPUTED_VALUE"""),0.0)</f>
        <v>0</v>
      </c>
      <c r="AJ362" s="320">
        <f>IFERROR(__xludf.DUMMYFUNCTION("""COMPUTED_VALUE"""),0.0)</f>
        <v>0</v>
      </c>
      <c r="AK362" s="320">
        <f>IFERROR(__xludf.DUMMYFUNCTION("""COMPUTED_VALUE"""),0.274)</f>
        <v>0.274</v>
      </c>
      <c r="AL362" s="320">
        <f>IFERROR(__xludf.DUMMYFUNCTION("""COMPUTED_VALUE"""),17.66)</f>
        <v>17.66</v>
      </c>
      <c r="AM362" s="320">
        <f>IFERROR(__xludf.DUMMYFUNCTION("""COMPUTED_VALUE"""),6.25)</f>
        <v>6.25</v>
      </c>
      <c r="AN362" s="331"/>
      <c r="AO362" s="331"/>
    </row>
    <row r="363" ht="15.75" customHeight="1">
      <c r="A363" s="330">
        <f>IFERROR(__xludf.DUMMYFUNCTION("""COMPUTED_VALUE"""),46110.0)</f>
        <v>46110</v>
      </c>
      <c r="B363" s="319" t="str">
        <f>IFERROR(__xludf.DUMMYFUNCTION("""COMPUTED_VALUE"""),"B. 1-9")</f>
        <v>B. 1-9</v>
      </c>
      <c r="C363" s="320">
        <f>IFERROR(__xludf.DUMMYFUNCTION("""COMPUTED_VALUE"""),31951.0)</f>
        <v>31951</v>
      </c>
      <c r="D363" s="320">
        <f>IFERROR(__xludf.DUMMYFUNCTION("""COMPUTED_VALUE"""),42.67)</f>
        <v>42.67</v>
      </c>
      <c r="E363" s="320">
        <f>IFERROR(__xludf.DUMMYFUNCTION("""COMPUTED_VALUE"""),7364.12)</f>
        <v>7364.12</v>
      </c>
      <c r="F363" s="320">
        <f>IFERROR(__xludf.DUMMYFUNCTION("""COMPUTED_VALUE"""),0.2305)</f>
        <v>0.2305</v>
      </c>
      <c r="G363" s="320">
        <f>IFERROR(__xludf.DUMMYFUNCTION("""COMPUTED_VALUE"""),6.68)</f>
        <v>6.68</v>
      </c>
      <c r="H363" s="320">
        <f>IFERROR(__xludf.DUMMYFUNCTION("""COMPUTED_VALUE"""),3.4492)</f>
        <v>3.4492</v>
      </c>
      <c r="I363" s="320">
        <f>IFERROR(__xludf.DUMMYFUNCTION("""COMPUTED_VALUE"""),35.16)</f>
        <v>35.16</v>
      </c>
      <c r="J363" s="320">
        <f>IFERROR(__xludf.DUMMYFUNCTION("""COMPUTED_VALUE"""),19.39)</f>
        <v>19.39</v>
      </c>
      <c r="K363" s="320">
        <f>IFERROR(__xludf.DUMMYFUNCTION("""COMPUTED_VALUE"""),5.53)</f>
        <v>5.53</v>
      </c>
      <c r="L363" s="320">
        <f>IFERROR(__xludf.DUMMYFUNCTION("""COMPUTED_VALUE"""),0.2852)</f>
        <v>0.2852</v>
      </c>
      <c r="M363" s="320">
        <f>IFERROR(__xludf.DUMMYFUNCTION("""COMPUTED_VALUE"""),0.7765)</f>
        <v>0.7765</v>
      </c>
      <c r="N363" s="320">
        <f>IFERROR(__xludf.DUMMYFUNCTION("""COMPUTED_VALUE"""),0.5211)</f>
        <v>0.5211</v>
      </c>
      <c r="O363" s="320">
        <f>IFERROR(__xludf.DUMMYFUNCTION("""COMPUTED_VALUE"""),3.5062)</f>
        <v>3.5062</v>
      </c>
      <c r="P363" s="320">
        <f>IFERROR(__xludf.DUMMYFUNCTION("""COMPUTED_VALUE"""),66.44)</f>
        <v>66.44</v>
      </c>
      <c r="Q363" s="320">
        <f>IFERROR(__xludf.DUMMYFUNCTION("""COMPUTED_VALUE"""),55.05)</f>
        <v>55.05</v>
      </c>
      <c r="R363" s="320">
        <f>IFERROR(__xludf.DUMMYFUNCTION("""COMPUTED_VALUE"""),11.39)</f>
        <v>11.39</v>
      </c>
      <c r="S363" s="320">
        <f>IFERROR(__xludf.DUMMYFUNCTION("""COMPUTED_VALUE"""),17.13)</f>
        <v>17.13</v>
      </c>
      <c r="T363" s="320">
        <f>IFERROR(__xludf.DUMMYFUNCTION("""COMPUTED_VALUE"""),49.31)</f>
        <v>49.31</v>
      </c>
      <c r="U363" s="320">
        <f>IFERROR(__xludf.DUMMYFUNCTION("""COMPUTED_VALUE"""),74.97)</f>
        <v>74.97</v>
      </c>
      <c r="V363" s="320">
        <f>IFERROR(__xludf.DUMMYFUNCTION("""COMPUTED_VALUE"""),3.8671)</f>
        <v>3.8671</v>
      </c>
      <c r="W363" s="320">
        <f>IFERROR(__xludf.DUMMYFUNCTION("""COMPUTED_VALUE"""),25.78)</f>
        <v>25.78</v>
      </c>
      <c r="X363" s="320">
        <f>IFERROR(__xludf.DUMMYFUNCTION("""COMPUTED_VALUE"""),84.0)</f>
        <v>84</v>
      </c>
      <c r="Y363" s="320">
        <f>IFERROR(__xludf.DUMMYFUNCTION("""COMPUTED_VALUE"""),200.0)</f>
        <v>200</v>
      </c>
      <c r="Z363" s="320">
        <f>IFERROR(__xludf.DUMMYFUNCTION("""COMPUTED_VALUE"""),847.0)</f>
        <v>847</v>
      </c>
      <c r="AA363" s="320">
        <f>IFERROR(__xludf.DUMMYFUNCTION("""COMPUTED_VALUE"""),49.4601)</f>
        <v>49.4601</v>
      </c>
      <c r="AB363" s="320">
        <f>IFERROR(__xludf.DUMMYFUNCTION("""COMPUTED_VALUE"""),0.4436)</f>
        <v>0.4436</v>
      </c>
      <c r="AC363" s="320">
        <f>IFERROR(__xludf.DUMMYFUNCTION("""COMPUTED_VALUE"""),3.57)</f>
        <v>3.57</v>
      </c>
      <c r="AD363" s="320">
        <f>IFERROR(__xludf.DUMMYFUNCTION("""COMPUTED_VALUE"""),1.0)</f>
        <v>1</v>
      </c>
      <c r="AE363" s="320">
        <f>IFERROR(__xludf.DUMMYFUNCTION("""COMPUTED_VALUE"""),2.0)</f>
        <v>2</v>
      </c>
      <c r="AF363" s="320">
        <f>IFERROR(__xludf.DUMMYFUNCTION("""COMPUTED_VALUE"""),5.0)</f>
        <v>5</v>
      </c>
      <c r="AG363" s="320">
        <f>IFERROR(__xludf.DUMMYFUNCTION("""COMPUTED_VALUE"""),8.0)</f>
        <v>8</v>
      </c>
      <c r="AH363" s="320">
        <f>IFERROR(__xludf.DUMMYFUNCTION("""COMPUTED_VALUE"""),67.21)</f>
        <v>67.21</v>
      </c>
      <c r="AI363" s="320">
        <f>IFERROR(__xludf.DUMMYFUNCTION("""COMPUTED_VALUE"""),25.13)</f>
        <v>25.13</v>
      </c>
      <c r="AJ363" s="320">
        <f>IFERROR(__xludf.DUMMYFUNCTION("""COMPUTED_VALUE"""),6.9)</f>
        <v>6.9</v>
      </c>
      <c r="AK363" s="320">
        <f>IFERROR(__xludf.DUMMYFUNCTION("""COMPUTED_VALUE"""),0.2277)</f>
        <v>0.2277</v>
      </c>
      <c r="AL363" s="320">
        <f>IFERROR(__xludf.DUMMYFUNCTION("""COMPUTED_VALUE"""),21.44)</f>
        <v>21.44</v>
      </c>
      <c r="AM363" s="320">
        <f>IFERROR(__xludf.DUMMYFUNCTION("""COMPUTED_VALUE"""),33.61)</f>
        <v>33.61</v>
      </c>
      <c r="AN363" s="320">
        <f>IFERROR(__xludf.DUMMYFUNCTION("""COMPUTED_VALUE"""),68.24)</f>
        <v>68.24</v>
      </c>
      <c r="AO363" s="320">
        <f>IFERROR(__xludf.DUMMYFUNCTION("""COMPUTED_VALUE"""),14.63)</f>
        <v>14.63</v>
      </c>
    </row>
    <row r="364" ht="15.75" customHeight="1">
      <c r="A364" s="330">
        <f>IFERROR(__xludf.DUMMYFUNCTION("""COMPUTED_VALUE"""),46110.0)</f>
        <v>46110</v>
      </c>
      <c r="B364" s="319" t="str">
        <f>IFERROR(__xludf.DUMMYFUNCTION("""COMPUTED_VALUE"""),"C. 10-19")</f>
        <v>C. 10-19</v>
      </c>
      <c r="C364" s="320">
        <f>IFERROR(__xludf.DUMMYFUNCTION("""COMPUTED_VALUE"""),15484.0)</f>
        <v>15484</v>
      </c>
      <c r="D364" s="320">
        <f>IFERROR(__xludf.DUMMYFUNCTION("""COMPUTED_VALUE"""),20.68)</f>
        <v>20.68</v>
      </c>
      <c r="E364" s="320">
        <f>IFERROR(__xludf.DUMMYFUNCTION("""COMPUTED_VALUE"""),15702.57)</f>
        <v>15702.57</v>
      </c>
      <c r="F364" s="320">
        <f>IFERROR(__xludf.DUMMYFUNCTION("""COMPUTED_VALUE"""),1.0141)</f>
        <v>1.0141</v>
      </c>
      <c r="G364" s="320">
        <f>IFERROR(__xludf.DUMMYFUNCTION("""COMPUTED_VALUE"""),21.72)</f>
        <v>21.72</v>
      </c>
      <c r="H364" s="320">
        <f>IFERROR(__xludf.DUMMYFUNCTION("""COMPUTED_VALUE"""),4.6692)</f>
        <v>4.6692</v>
      </c>
      <c r="I364" s="320">
        <f>IFERROR(__xludf.DUMMYFUNCTION("""COMPUTED_VALUE"""),63.24)</f>
        <v>63.24</v>
      </c>
      <c r="J364" s="320">
        <f>IFERROR(__xludf.DUMMYFUNCTION("""COMPUTED_VALUE"""),36.95)</f>
        <v>36.95</v>
      </c>
      <c r="K364" s="320">
        <f>IFERROR(__xludf.DUMMYFUNCTION("""COMPUTED_VALUE"""),14.34)</f>
        <v>14.34</v>
      </c>
      <c r="L364" s="320">
        <f>IFERROR(__xludf.DUMMYFUNCTION("""COMPUTED_VALUE"""),0.3881)</f>
        <v>0.3881</v>
      </c>
      <c r="M364" s="320">
        <f>IFERROR(__xludf.DUMMYFUNCTION("""COMPUTED_VALUE"""),0.6678)</f>
        <v>0.6678</v>
      </c>
      <c r="N364" s="320">
        <f>IFERROR(__xludf.DUMMYFUNCTION("""COMPUTED_VALUE"""),0.3806)</f>
        <v>0.3806</v>
      </c>
      <c r="O364" s="320">
        <f>IFERROR(__xludf.DUMMYFUNCTION("""COMPUTED_VALUE"""),2.5769)</f>
        <v>2.5769</v>
      </c>
      <c r="P364" s="320">
        <f>IFERROR(__xludf.DUMMYFUNCTION("""COMPUTED_VALUE"""),154.2)</f>
        <v>154.2</v>
      </c>
      <c r="Q364" s="320">
        <f>IFERROR(__xludf.DUMMYFUNCTION("""COMPUTED_VALUE"""),124.52)</f>
        <v>124.52</v>
      </c>
      <c r="R364" s="320">
        <f>IFERROR(__xludf.DUMMYFUNCTION("""COMPUTED_VALUE"""),29.68)</f>
        <v>29.68</v>
      </c>
      <c r="S364" s="320">
        <f>IFERROR(__xludf.DUMMYFUNCTION("""COMPUTED_VALUE"""),68.88)</f>
        <v>68.88</v>
      </c>
      <c r="T364" s="320">
        <f>IFERROR(__xludf.DUMMYFUNCTION("""COMPUTED_VALUE"""),85.31)</f>
        <v>85.31</v>
      </c>
      <c r="U364" s="320">
        <f>IFERROR(__xludf.DUMMYFUNCTION("""COMPUTED_VALUE"""),170.88)</f>
        <v>170.88</v>
      </c>
      <c r="V364" s="320">
        <f>IFERROR(__xludf.DUMMYFUNCTION("""COMPUTED_VALUE"""),4.6247)</f>
        <v>4.6247</v>
      </c>
      <c r="W364" s="320">
        <f>IFERROR(__xludf.DUMMYFUNCTION("""COMPUTED_VALUE"""),44.67)</f>
        <v>44.67</v>
      </c>
      <c r="X364" s="320">
        <f>IFERROR(__xludf.DUMMYFUNCTION("""COMPUTED_VALUE"""),80.0)</f>
        <v>80</v>
      </c>
      <c r="Y364" s="320">
        <f>IFERROR(__xludf.DUMMYFUNCTION("""COMPUTED_VALUE"""),173.0)</f>
        <v>173</v>
      </c>
      <c r="Z364" s="320">
        <f>IFERROR(__xludf.DUMMYFUNCTION("""COMPUTED_VALUE"""),563.0)</f>
        <v>563</v>
      </c>
      <c r="AA364" s="320">
        <f>IFERROR(__xludf.DUMMYFUNCTION("""COMPUTED_VALUE"""),52.4056)</f>
        <v>52.4056</v>
      </c>
      <c r="AB364" s="320">
        <f>IFERROR(__xludf.DUMMYFUNCTION("""COMPUTED_VALUE"""),0.55)</f>
        <v>0.55</v>
      </c>
      <c r="AC364" s="320">
        <f>IFERROR(__xludf.DUMMYFUNCTION("""COMPUTED_VALUE"""),8.96)</f>
        <v>8.96</v>
      </c>
      <c r="AD364" s="320">
        <f>IFERROR(__xludf.DUMMYFUNCTION("""COMPUTED_VALUE"""),3.0)</f>
        <v>3</v>
      </c>
      <c r="AE364" s="320">
        <f>IFERROR(__xludf.DUMMYFUNCTION("""COMPUTED_VALUE"""),6.0)</f>
        <v>6</v>
      </c>
      <c r="AF364" s="320">
        <f>IFERROR(__xludf.DUMMYFUNCTION("""COMPUTED_VALUE"""),13.0)</f>
        <v>13</v>
      </c>
      <c r="AG364" s="320">
        <f>IFERROR(__xludf.DUMMYFUNCTION("""COMPUTED_VALUE"""),20.0)</f>
        <v>20</v>
      </c>
      <c r="AH364" s="320">
        <f>IFERROR(__xludf.DUMMYFUNCTION("""COMPUTED_VALUE"""),54.6)</f>
        <v>54.6</v>
      </c>
      <c r="AI364" s="320">
        <f>IFERROR(__xludf.DUMMYFUNCTION("""COMPUTED_VALUE"""),24.75)</f>
        <v>24.75</v>
      </c>
      <c r="AJ364" s="320">
        <f>IFERROR(__xludf.DUMMYFUNCTION("""COMPUTED_VALUE"""),5.08)</f>
        <v>5.08</v>
      </c>
      <c r="AK364" s="320">
        <f>IFERROR(__xludf.DUMMYFUNCTION("""COMPUTED_VALUE"""),0.2131)</f>
        <v>0.2131</v>
      </c>
      <c r="AL364" s="320">
        <f>IFERROR(__xludf.DUMMYFUNCTION("""COMPUTED_VALUE"""),21.61)</f>
        <v>21.61</v>
      </c>
      <c r="AM364" s="320">
        <f>IFERROR(__xludf.DUMMYFUNCTION("""COMPUTED_VALUE"""),102.91)</f>
        <v>102.91</v>
      </c>
      <c r="AN364" s="320">
        <f>IFERROR(__xludf.DUMMYFUNCTION("""COMPUTED_VALUE"""),73.41)</f>
        <v>73.41</v>
      </c>
      <c r="AO364" s="320">
        <f>IFERROR(__xludf.DUMMYFUNCTION("""COMPUTED_VALUE"""),15.86)</f>
        <v>15.86</v>
      </c>
    </row>
    <row r="365" ht="15.75" customHeight="1">
      <c r="A365" s="330">
        <f>IFERROR(__xludf.DUMMYFUNCTION("""COMPUTED_VALUE"""),46110.0)</f>
        <v>46110</v>
      </c>
      <c r="B365" s="319" t="str">
        <f>IFERROR(__xludf.DUMMYFUNCTION("""COMPUTED_VALUE"""),"D. 20-39")</f>
        <v>D. 20-39</v>
      </c>
      <c r="C365" s="320">
        <f>IFERROR(__xludf.DUMMYFUNCTION("""COMPUTED_VALUE"""),8002.0)</f>
        <v>8002</v>
      </c>
      <c r="D365" s="320">
        <f>IFERROR(__xludf.DUMMYFUNCTION("""COMPUTED_VALUE"""),10.69)</f>
        <v>10.69</v>
      </c>
      <c r="E365" s="320">
        <f>IFERROR(__xludf.DUMMYFUNCTION("""COMPUTED_VALUE"""),22075.8)</f>
        <v>22075.8</v>
      </c>
      <c r="F365" s="320">
        <f>IFERROR(__xludf.DUMMYFUNCTION("""COMPUTED_VALUE"""),2.7588)</f>
        <v>2.7588</v>
      </c>
      <c r="G365" s="320">
        <f>IFERROR(__xludf.DUMMYFUNCTION("""COMPUTED_VALUE"""),33.52)</f>
        <v>33.52</v>
      </c>
      <c r="H365" s="320">
        <f>IFERROR(__xludf.DUMMYFUNCTION("""COMPUTED_VALUE"""),8.2311)</f>
        <v>8.2311</v>
      </c>
      <c r="I365" s="320">
        <f>IFERROR(__xludf.DUMMYFUNCTION("""COMPUTED_VALUE"""),88.22)</f>
        <v>88.22</v>
      </c>
      <c r="J365" s="320">
        <f>IFERROR(__xludf.DUMMYFUNCTION("""COMPUTED_VALUE"""),52.89)</f>
        <v>52.89</v>
      </c>
      <c r="K365" s="320">
        <f>IFERROR(__xludf.DUMMYFUNCTION("""COMPUTED_VALUE"""),28.02)</f>
        <v>28.02</v>
      </c>
      <c r="L365" s="320">
        <f>IFERROR(__xludf.DUMMYFUNCTION("""COMPUTED_VALUE"""),0.5297)</f>
        <v>0.5297</v>
      </c>
      <c r="M365" s="320">
        <f>IFERROR(__xludf.DUMMYFUNCTION("""COMPUTED_VALUE"""),0.5385)</f>
        <v>0.5385</v>
      </c>
      <c r="N365" s="320">
        <f>IFERROR(__xludf.DUMMYFUNCTION("""COMPUTED_VALUE"""),0.2926)</f>
        <v>0.2926</v>
      </c>
      <c r="O365" s="320">
        <f>IFERROR(__xludf.DUMMYFUNCTION("""COMPUTED_VALUE"""),1.8877)</f>
        <v>1.8877</v>
      </c>
      <c r="P365" s="320">
        <f>IFERROR(__xludf.DUMMYFUNCTION("""COMPUTED_VALUE"""),316.01)</f>
        <v>316.01</v>
      </c>
      <c r="Q365" s="320">
        <f>IFERROR(__xludf.DUMMYFUNCTION("""COMPUTED_VALUE"""),257.62)</f>
        <v>257.62</v>
      </c>
      <c r="R365" s="320">
        <f>IFERROR(__xludf.DUMMYFUNCTION("""COMPUTED_VALUE"""),58.4)</f>
        <v>58.4</v>
      </c>
      <c r="S365" s="320">
        <f>IFERROR(__xludf.DUMMYFUNCTION("""COMPUTED_VALUE"""),175.65)</f>
        <v>175.65</v>
      </c>
      <c r="T365" s="320">
        <f>IFERROR(__xludf.DUMMYFUNCTION("""COMPUTED_VALUE"""),140.36)</f>
        <v>140.36</v>
      </c>
      <c r="U365" s="320">
        <f>IFERROR(__xludf.DUMMYFUNCTION("""COMPUTED_VALUE"""),341.18)</f>
        <v>341.18</v>
      </c>
      <c r="V365" s="320">
        <f>IFERROR(__xludf.DUMMYFUNCTION("""COMPUTED_VALUE"""),6.4501)</f>
        <v>6.4501</v>
      </c>
      <c r="W365" s="320">
        <f>IFERROR(__xludf.DUMMYFUNCTION("""COMPUTED_VALUE"""),55.58)</f>
        <v>55.58</v>
      </c>
      <c r="X365" s="320">
        <f>IFERROR(__xludf.DUMMYFUNCTION("""COMPUTED_VALUE"""),83.0)</f>
        <v>83</v>
      </c>
      <c r="Y365" s="320">
        <f>IFERROR(__xludf.DUMMYFUNCTION("""COMPUTED_VALUE"""),197.0)</f>
        <v>197</v>
      </c>
      <c r="Z365" s="320">
        <f>IFERROR(__xludf.DUMMYFUNCTION("""COMPUTED_VALUE"""),609.0)</f>
        <v>609</v>
      </c>
      <c r="AA365" s="320">
        <f>IFERROR(__xludf.DUMMYFUNCTION("""COMPUTED_VALUE"""),54.6199)</f>
        <v>54.6199</v>
      </c>
      <c r="AB365" s="320">
        <f>IFERROR(__xludf.DUMMYFUNCTION("""COMPUTED_VALUE"""),0.6663)</f>
        <v>0.6663</v>
      </c>
      <c r="AC365" s="320">
        <f>IFERROR(__xludf.DUMMYFUNCTION("""COMPUTED_VALUE"""),18.07)</f>
        <v>18.07</v>
      </c>
      <c r="AD365" s="320">
        <f>IFERROR(__xludf.DUMMYFUNCTION("""COMPUTED_VALUE"""),6.0)</f>
        <v>6</v>
      </c>
      <c r="AE365" s="320">
        <f>IFERROR(__xludf.DUMMYFUNCTION("""COMPUTED_VALUE"""),13.0)</f>
        <v>13</v>
      </c>
      <c r="AF365" s="320">
        <f>IFERROR(__xludf.DUMMYFUNCTION("""COMPUTED_VALUE"""),25.0)</f>
        <v>25</v>
      </c>
      <c r="AG365" s="320">
        <f>IFERROR(__xludf.DUMMYFUNCTION("""COMPUTED_VALUE"""),39.0)</f>
        <v>39</v>
      </c>
      <c r="AH365" s="320">
        <f>IFERROR(__xludf.DUMMYFUNCTION("""COMPUTED_VALUE"""),55.95)</f>
        <v>55.95</v>
      </c>
      <c r="AI365" s="320">
        <f>IFERROR(__xludf.DUMMYFUNCTION("""COMPUTED_VALUE"""),24.29)</f>
        <v>24.29</v>
      </c>
      <c r="AJ365" s="320">
        <f>IFERROR(__xludf.DUMMYFUNCTION("""COMPUTED_VALUE"""),8.62)</f>
        <v>8.62</v>
      </c>
      <c r="AK365" s="320">
        <f>IFERROR(__xludf.DUMMYFUNCTION("""COMPUTED_VALUE"""),0.2256)</f>
        <v>0.2256</v>
      </c>
      <c r="AL365" s="320">
        <f>IFERROR(__xludf.DUMMYFUNCTION("""COMPUTED_VALUE"""),21.02)</f>
        <v>21.02</v>
      </c>
      <c r="AM365" s="320">
        <f>IFERROR(__xludf.DUMMYFUNCTION("""COMPUTED_VALUE"""),236.6)</f>
        <v>236.6</v>
      </c>
      <c r="AN365" s="320">
        <f>IFERROR(__xludf.DUMMYFUNCTION("""COMPUTED_VALUE"""),72.63)</f>
        <v>72.63</v>
      </c>
      <c r="AO365" s="320">
        <f>IFERROR(__xludf.DUMMYFUNCTION("""COMPUTED_VALUE"""),15.27)</f>
        <v>15.27</v>
      </c>
    </row>
    <row r="366" ht="15.75" customHeight="1">
      <c r="A366" s="330">
        <f>IFERROR(__xludf.DUMMYFUNCTION("""COMPUTED_VALUE"""),46110.0)</f>
        <v>46110</v>
      </c>
      <c r="B366" s="319" t="str">
        <f>IFERROR(__xludf.DUMMYFUNCTION("""COMPUTED_VALUE"""),"E. 40-99")</f>
        <v>E. 40-99</v>
      </c>
      <c r="C366" s="320">
        <f>IFERROR(__xludf.DUMMYFUNCTION("""COMPUTED_VALUE"""),3303.0)</f>
        <v>3303</v>
      </c>
      <c r="D366" s="320">
        <f>IFERROR(__xludf.DUMMYFUNCTION("""COMPUTED_VALUE"""),4.41)</f>
        <v>4.41</v>
      </c>
      <c r="E366" s="320">
        <f>IFERROR(__xludf.DUMMYFUNCTION("""COMPUTED_VALUE"""),18368.17)</f>
        <v>18368.17</v>
      </c>
      <c r="F366" s="320">
        <f>IFERROR(__xludf.DUMMYFUNCTION("""COMPUTED_VALUE"""),5.5611)</f>
        <v>5.5611</v>
      </c>
      <c r="G366" s="320">
        <f>IFERROR(__xludf.DUMMYFUNCTION("""COMPUTED_VALUE"""),41.24)</f>
        <v>41.24</v>
      </c>
      <c r="H366" s="320">
        <f>IFERROR(__xludf.DUMMYFUNCTION("""COMPUTED_VALUE"""),13.4862)</f>
        <v>13.4862</v>
      </c>
      <c r="I366" s="320">
        <f>IFERROR(__xludf.DUMMYFUNCTION("""COMPUTED_VALUE"""),129.51)</f>
        <v>129.51</v>
      </c>
      <c r="J366" s="320">
        <f>IFERROR(__xludf.DUMMYFUNCTION("""COMPUTED_VALUE"""),81.75)</f>
        <v>81.75</v>
      </c>
      <c r="K366" s="320">
        <f>IFERROR(__xludf.DUMMYFUNCTION("""COMPUTED_VALUE"""),55.02)</f>
        <v>55.02</v>
      </c>
      <c r="L366" s="320">
        <f>IFERROR(__xludf.DUMMYFUNCTION("""COMPUTED_VALUE"""),0.673)</f>
        <v>0.673</v>
      </c>
      <c r="M366" s="320">
        <f>IFERROR(__xludf.DUMMYFUNCTION("""COMPUTED_VALUE"""),0.4077)</f>
        <v>0.4077</v>
      </c>
      <c r="N366" s="320">
        <f>IFERROR(__xludf.DUMMYFUNCTION("""COMPUTED_VALUE"""),0.2249)</f>
        <v>0.2249</v>
      </c>
      <c r="O366" s="320">
        <f>IFERROR(__xludf.DUMMYFUNCTION("""COMPUTED_VALUE"""),1.4859)</f>
        <v>1.4859</v>
      </c>
      <c r="P366" s="320">
        <f>IFERROR(__xludf.DUMMYFUNCTION("""COMPUTED_VALUE"""),596.36)</f>
        <v>596.36</v>
      </c>
      <c r="Q366" s="320">
        <f>IFERROR(__xludf.DUMMYFUNCTION("""COMPUTED_VALUE"""),481.28)</f>
        <v>481.28</v>
      </c>
      <c r="R366" s="320">
        <f>IFERROR(__xludf.DUMMYFUNCTION("""COMPUTED_VALUE"""),115.08)</f>
        <v>115.08</v>
      </c>
      <c r="S366" s="320">
        <f>IFERROR(__xludf.DUMMYFUNCTION("""COMPUTED_VALUE"""),346.11)</f>
        <v>346.11</v>
      </c>
      <c r="T366" s="320">
        <f>IFERROR(__xludf.DUMMYFUNCTION("""COMPUTED_VALUE"""),250.25)</f>
        <v>250.25</v>
      </c>
      <c r="U366" s="320">
        <f>IFERROR(__xludf.DUMMYFUNCTION("""COMPUTED_VALUE"""),642.79)</f>
        <v>642.79</v>
      </c>
      <c r="V366" s="320">
        <f>IFERROR(__xludf.DUMMYFUNCTION("""COMPUTED_VALUE"""),7.8626)</f>
        <v>7.8626</v>
      </c>
      <c r="W366" s="320">
        <f>IFERROR(__xludf.DUMMYFUNCTION("""COMPUTED_VALUE"""),58.04)</f>
        <v>58.04</v>
      </c>
      <c r="X366" s="320">
        <f>IFERROR(__xludf.DUMMYFUNCTION("""COMPUTED_VALUE"""),93.0)</f>
        <v>93</v>
      </c>
      <c r="Y366" s="320">
        <f>IFERROR(__xludf.DUMMYFUNCTION("""COMPUTED_VALUE"""),292.0)</f>
        <v>292</v>
      </c>
      <c r="Z366" s="320">
        <f>IFERROR(__xludf.DUMMYFUNCTION("""COMPUTED_VALUE"""),934.0)</f>
        <v>934</v>
      </c>
      <c r="AA366" s="320">
        <f>IFERROR(__xludf.DUMMYFUNCTION("""COMPUTED_VALUE"""),57.9497)</f>
        <v>57.9497</v>
      </c>
      <c r="AB366" s="320">
        <f>IFERROR(__xludf.DUMMYFUNCTION("""COMPUTED_VALUE"""),0.7715)</f>
        <v>0.7715</v>
      </c>
      <c r="AC366" s="320">
        <f>IFERROR(__xludf.DUMMYFUNCTION("""COMPUTED_VALUE"""),36.51)</f>
        <v>36.51</v>
      </c>
      <c r="AD366" s="320">
        <f>IFERROR(__xludf.DUMMYFUNCTION("""COMPUTED_VALUE"""),12.0)</f>
        <v>12</v>
      </c>
      <c r="AE366" s="320">
        <f>IFERROR(__xludf.DUMMYFUNCTION("""COMPUTED_VALUE"""),27.0)</f>
        <v>27</v>
      </c>
      <c r="AF366" s="320">
        <f>IFERROR(__xludf.DUMMYFUNCTION("""COMPUTED_VALUE"""),52.0)</f>
        <v>52</v>
      </c>
      <c r="AG366" s="320">
        <f>IFERROR(__xludf.DUMMYFUNCTION("""COMPUTED_VALUE"""),81.0)</f>
        <v>81</v>
      </c>
      <c r="AH366" s="320">
        <f>IFERROR(__xludf.DUMMYFUNCTION("""COMPUTED_VALUE"""),49.62)</f>
        <v>49.62</v>
      </c>
      <c r="AI366" s="320">
        <f>IFERROR(__xludf.DUMMYFUNCTION("""COMPUTED_VALUE"""),19.44)</f>
        <v>19.44</v>
      </c>
      <c r="AJ366" s="320">
        <f>IFERROR(__xludf.DUMMYFUNCTION("""COMPUTED_VALUE"""),5.33)</f>
        <v>5.33</v>
      </c>
      <c r="AK366" s="320">
        <f>IFERROR(__xludf.DUMMYFUNCTION("""COMPUTED_VALUE"""),0.2186)</f>
        <v>0.2186</v>
      </c>
      <c r="AL366" s="320">
        <f>IFERROR(__xludf.DUMMYFUNCTION("""COMPUTED_VALUE"""),20.78)</f>
        <v>20.78</v>
      </c>
      <c r="AM366" s="320">
        <f>IFERROR(__xludf.DUMMYFUNCTION("""COMPUTED_VALUE"""),460.5)</f>
        <v>460.5</v>
      </c>
      <c r="AN366" s="320">
        <f>IFERROR(__xludf.DUMMYFUNCTION("""COMPUTED_VALUE"""),71.79)</f>
        <v>71.79</v>
      </c>
      <c r="AO366" s="320">
        <f>IFERROR(__xludf.DUMMYFUNCTION("""COMPUTED_VALUE"""),14.92)</f>
        <v>14.92</v>
      </c>
    </row>
    <row r="367" ht="15.75" customHeight="1">
      <c r="A367" s="330">
        <f>IFERROR(__xludf.DUMMYFUNCTION("""COMPUTED_VALUE"""),46110.0)</f>
        <v>46110</v>
      </c>
      <c r="B367" s="319" t="str">
        <f>IFERROR(__xludf.DUMMYFUNCTION("""COMPUTED_VALUE"""),"F. 100+")</f>
        <v>F. 100+</v>
      </c>
      <c r="C367" s="320">
        <f>IFERROR(__xludf.DUMMYFUNCTION("""COMPUTED_VALUE"""),433.0)</f>
        <v>433</v>
      </c>
      <c r="D367" s="320">
        <f>IFERROR(__xludf.DUMMYFUNCTION("""COMPUTED_VALUE"""),0.58)</f>
        <v>0.58</v>
      </c>
      <c r="E367" s="320">
        <f>IFERROR(__xludf.DUMMYFUNCTION("""COMPUTED_VALUE"""),4376.55)</f>
        <v>4376.55</v>
      </c>
      <c r="F367" s="320">
        <f>IFERROR(__xludf.DUMMYFUNCTION("""COMPUTED_VALUE"""),10.1075)</f>
        <v>10.1075</v>
      </c>
      <c r="G367" s="320">
        <f>IFERROR(__xludf.DUMMYFUNCTION("""COMPUTED_VALUE"""),46.42)</f>
        <v>46.42</v>
      </c>
      <c r="H367" s="320">
        <f>IFERROR(__xludf.DUMMYFUNCTION("""COMPUTED_VALUE"""),21.7739)</f>
        <v>21.7739</v>
      </c>
      <c r="I367" s="320">
        <f>IFERROR(__xludf.DUMMYFUNCTION("""COMPUTED_VALUE"""),249.45)</f>
        <v>249.45</v>
      </c>
      <c r="J367" s="320">
        <f>IFERROR(__xludf.DUMMYFUNCTION("""COMPUTED_VALUE"""),165.49)</f>
        <v>165.49</v>
      </c>
      <c r="K367" s="320">
        <f>IFERROR(__xludf.DUMMYFUNCTION("""COMPUTED_VALUE"""),134.94)</f>
        <v>134.94</v>
      </c>
      <c r="L367" s="320">
        <f>IFERROR(__xludf.DUMMYFUNCTION("""COMPUTED_VALUE"""),0.8154)</f>
        <v>0.8154</v>
      </c>
      <c r="M367" s="320">
        <f>IFERROR(__xludf.DUMMYFUNCTION("""COMPUTED_VALUE"""),0.266)</f>
        <v>0.266</v>
      </c>
      <c r="N367" s="320">
        <f>IFERROR(__xludf.DUMMYFUNCTION("""COMPUTED_VALUE"""),0.1633)</f>
        <v>0.1633</v>
      </c>
      <c r="O367" s="320">
        <f>IFERROR(__xludf.DUMMYFUNCTION("""COMPUTED_VALUE"""),1.2264)</f>
        <v>1.2264</v>
      </c>
      <c r="P367" s="320">
        <f>IFERROR(__xludf.DUMMYFUNCTION("""COMPUTED_VALUE"""),1160.55)</f>
        <v>1160.55</v>
      </c>
      <c r="Q367" s="320">
        <f>IFERROR(__xludf.DUMMYFUNCTION("""COMPUTED_VALUE"""),879.55)</f>
        <v>879.55</v>
      </c>
      <c r="R367" s="320">
        <f>IFERROR(__xludf.DUMMYFUNCTION("""COMPUTED_VALUE"""),281.0)</f>
        <v>281</v>
      </c>
      <c r="S367" s="320">
        <f>IFERROR(__xludf.DUMMYFUNCTION("""COMPUTED_VALUE"""),614.08)</f>
        <v>614.08</v>
      </c>
      <c r="T367" s="320">
        <f>IFERROR(__xludf.DUMMYFUNCTION("""COMPUTED_VALUE"""),546.48)</f>
        <v>546.48</v>
      </c>
      <c r="U367" s="320">
        <f>IFERROR(__xludf.DUMMYFUNCTION("""COMPUTED_VALUE"""),1259.24)</f>
        <v>1259.24</v>
      </c>
      <c r="V367" s="320">
        <f>IFERROR(__xludf.DUMMYFUNCTION("""COMPUTED_VALUE"""),7.609)</f>
        <v>7.609</v>
      </c>
      <c r="W367" s="320">
        <f>IFERROR(__xludf.DUMMYFUNCTION("""COMPUTED_VALUE"""),52.91)</f>
        <v>52.91</v>
      </c>
      <c r="X367" s="320">
        <f>IFERROR(__xludf.DUMMYFUNCTION("""COMPUTED_VALUE"""),126.0)</f>
        <v>126</v>
      </c>
      <c r="Y367" s="320">
        <f>IFERROR(__xludf.DUMMYFUNCTION("""COMPUTED_VALUE"""),623.0)</f>
        <v>623</v>
      </c>
      <c r="Z367" s="320">
        <f>IFERROR(__xludf.DUMMYFUNCTION("""COMPUTED_VALUE"""),2386.0)</f>
        <v>2386</v>
      </c>
      <c r="AA367" s="320">
        <f>IFERROR(__xludf.DUMMYFUNCTION("""COMPUTED_VALUE"""),60.9314)</f>
        <v>60.9314</v>
      </c>
      <c r="AB367" s="320">
        <f>IFERROR(__xludf.DUMMYFUNCTION("""COMPUTED_VALUE"""),0.8393)</f>
        <v>0.8393</v>
      </c>
      <c r="AC367" s="320">
        <f>IFERROR(__xludf.DUMMYFUNCTION("""COMPUTED_VALUE"""),87.65)</f>
        <v>87.65</v>
      </c>
      <c r="AD367" s="320">
        <f>IFERROR(__xludf.DUMMYFUNCTION("""COMPUTED_VALUE"""),31.0)</f>
        <v>31</v>
      </c>
      <c r="AE367" s="320">
        <f>IFERROR(__xludf.DUMMYFUNCTION("""COMPUTED_VALUE"""),73.0)</f>
        <v>73</v>
      </c>
      <c r="AF367" s="320">
        <f>IFERROR(__xludf.DUMMYFUNCTION("""COMPUTED_VALUE"""),122.0)</f>
        <v>122</v>
      </c>
      <c r="AG367" s="320">
        <f>IFERROR(__xludf.DUMMYFUNCTION("""COMPUTED_VALUE"""),185.0)</f>
        <v>185</v>
      </c>
      <c r="AH367" s="320">
        <f>IFERROR(__xludf.DUMMYFUNCTION("""COMPUTED_VALUE"""),47.34)</f>
        <v>47.34</v>
      </c>
      <c r="AI367" s="320">
        <f>IFERROR(__xludf.DUMMYFUNCTION("""COMPUTED_VALUE"""),11.78)</f>
        <v>11.78</v>
      </c>
      <c r="AJ367" s="320">
        <f>IFERROR(__xludf.DUMMYFUNCTION("""COMPUTED_VALUE"""),1.85)</f>
        <v>1.85</v>
      </c>
      <c r="AK367" s="320">
        <f>IFERROR(__xludf.DUMMYFUNCTION("""COMPUTED_VALUE"""),0.1894)</f>
        <v>0.1894</v>
      </c>
      <c r="AL367" s="320">
        <f>IFERROR(__xludf.DUMMYFUNCTION("""COMPUTED_VALUE"""),19.92)</f>
        <v>19.92</v>
      </c>
      <c r="AM367" s="320">
        <f>IFERROR(__xludf.DUMMYFUNCTION("""COMPUTED_VALUE"""),859.63)</f>
        <v>859.63</v>
      </c>
      <c r="AN367" s="320">
        <f>IFERROR(__xludf.DUMMYFUNCTION("""COMPUTED_VALUE"""),67.57)</f>
        <v>67.57</v>
      </c>
      <c r="AO367" s="320">
        <f>IFERROR(__xludf.DUMMYFUNCTION("""COMPUTED_VALUE"""),13.46)</f>
        <v>13.46</v>
      </c>
    </row>
    <row r="368" ht="15.75" customHeight="1">
      <c r="A368" s="330">
        <f>IFERROR(__xludf.DUMMYFUNCTION("""COMPUTED_VALUE"""),46111.0)</f>
        <v>46111</v>
      </c>
      <c r="B368" s="319" t="str">
        <f>IFERROR(__xludf.DUMMYFUNCTION("""COMPUTED_VALUE"""),"A. 0")</f>
        <v>A. 0</v>
      </c>
      <c r="C368" s="320">
        <f>IFERROR(__xludf.DUMMYFUNCTION("""COMPUTED_VALUE"""),15165.0)</f>
        <v>15165</v>
      </c>
      <c r="D368" s="320">
        <f>IFERROR(__xludf.DUMMYFUNCTION("""COMPUTED_VALUE"""),19.53)</f>
        <v>19.53</v>
      </c>
      <c r="E368" s="320">
        <f>IFERROR(__xludf.DUMMYFUNCTION("""COMPUTED_VALUE"""),172.46)</f>
        <v>172.46</v>
      </c>
      <c r="F368" s="320">
        <f>IFERROR(__xludf.DUMMYFUNCTION("""COMPUTED_VALUE"""),0.0114)</f>
        <v>0.0114</v>
      </c>
      <c r="G368" s="320">
        <f>IFERROR(__xludf.DUMMYFUNCTION("""COMPUTED_VALUE"""),0.2)</f>
        <v>0.2</v>
      </c>
      <c r="H368" s="320">
        <f>IFERROR(__xludf.DUMMYFUNCTION("""COMPUTED_VALUE"""),5.7487)</f>
        <v>5.7487</v>
      </c>
      <c r="I368" s="320">
        <f>IFERROR(__xludf.DUMMYFUNCTION("""COMPUTED_VALUE"""),5.54)</f>
        <v>5.54</v>
      </c>
      <c r="J368" s="320">
        <f>IFERROR(__xludf.DUMMYFUNCTION("""COMPUTED_VALUE"""),2.45)</f>
        <v>2.45</v>
      </c>
      <c r="K368" s="320">
        <f>IFERROR(__xludf.DUMMYFUNCTION("""COMPUTED_VALUE"""),0.06)</f>
        <v>0.06</v>
      </c>
      <c r="L368" s="320">
        <f>IFERROR(__xludf.DUMMYFUNCTION("""COMPUTED_VALUE"""),0.0254)</f>
        <v>0.0254</v>
      </c>
      <c r="M368" s="320">
        <f>IFERROR(__xludf.DUMMYFUNCTION("""COMPUTED_VALUE"""),0.9769)</f>
        <v>0.9769</v>
      </c>
      <c r="N368" s="320">
        <f>IFERROR(__xludf.DUMMYFUNCTION("""COMPUTED_VALUE"""),0.7491)</f>
        <v>0.7491</v>
      </c>
      <c r="O368" s="320">
        <f>IFERROR(__xludf.DUMMYFUNCTION("""COMPUTED_VALUE"""),39.3111)</f>
        <v>39.3111</v>
      </c>
      <c r="P368" s="320">
        <f>IFERROR(__xludf.DUMMYFUNCTION("""COMPUTED_VALUE"""),36.72)</f>
        <v>36.72</v>
      </c>
      <c r="Q368" s="320">
        <f>IFERROR(__xludf.DUMMYFUNCTION("""COMPUTED_VALUE"""),36.64)</f>
        <v>36.64</v>
      </c>
      <c r="R368" s="320">
        <f>IFERROR(__xludf.DUMMYFUNCTION("""COMPUTED_VALUE"""),0.08)</f>
        <v>0.08</v>
      </c>
      <c r="S368" s="320">
        <f>IFERROR(__xludf.DUMMYFUNCTION("""COMPUTED_VALUE"""),0.98)</f>
        <v>0.98</v>
      </c>
      <c r="T368" s="320">
        <f>IFERROR(__xludf.DUMMYFUNCTION("""COMPUTED_VALUE"""),35.75)</f>
        <v>35.75</v>
      </c>
      <c r="U368" s="320">
        <f>IFERROR(__xludf.DUMMYFUNCTION("""COMPUTED_VALUE"""),2.08)</f>
        <v>2.08</v>
      </c>
      <c r="V368" s="320">
        <f>IFERROR(__xludf.DUMMYFUNCTION("""COMPUTED_VALUE"""),0.8479)</f>
        <v>0.8479</v>
      </c>
      <c r="W368" s="320">
        <f>IFERROR(__xludf.DUMMYFUNCTION("""COMPUTED_VALUE"""),2.66)</f>
        <v>2.66</v>
      </c>
      <c r="X368" s="320">
        <f>IFERROR(__xludf.DUMMYFUNCTION("""COMPUTED_VALUE"""),192.0)</f>
        <v>192</v>
      </c>
      <c r="Y368" s="320">
        <f>IFERROR(__xludf.DUMMYFUNCTION("""COMPUTED_VALUE"""),1282.0)</f>
        <v>1282</v>
      </c>
      <c r="Z368" s="320">
        <f>IFERROR(__xludf.DUMMYFUNCTION("""COMPUTED_VALUE"""),7974.0)</f>
        <v>7974</v>
      </c>
      <c r="AA368" s="320">
        <f>IFERROR(__xludf.DUMMYFUNCTION("""COMPUTED_VALUE"""),49.9143)</f>
        <v>49.9143</v>
      </c>
      <c r="AB368" s="320">
        <f>IFERROR(__xludf.DUMMYFUNCTION("""COMPUTED_VALUE"""),0.5272)</f>
        <v>0.5272</v>
      </c>
      <c r="AC368" s="106"/>
      <c r="AD368" s="106"/>
      <c r="AE368" s="106"/>
      <c r="AF368" s="106"/>
      <c r="AG368" s="106"/>
      <c r="AH368" s="320">
        <f>IFERROR(__xludf.DUMMYFUNCTION("""COMPUTED_VALUE"""),0.0)</f>
        <v>0</v>
      </c>
      <c r="AI368" s="320">
        <f>IFERROR(__xludf.DUMMYFUNCTION("""COMPUTED_VALUE"""),0.0)</f>
        <v>0</v>
      </c>
      <c r="AJ368" s="320">
        <f>IFERROR(__xludf.DUMMYFUNCTION("""COMPUTED_VALUE"""),0.0)</f>
        <v>0</v>
      </c>
      <c r="AK368" s="320">
        <f>IFERROR(__xludf.DUMMYFUNCTION("""COMPUTED_VALUE"""),0.2698)</f>
        <v>0.2698</v>
      </c>
      <c r="AL368" s="320">
        <f>IFERROR(__xludf.DUMMYFUNCTION("""COMPUTED_VALUE"""),16.45)</f>
        <v>16.45</v>
      </c>
      <c r="AM368" s="320">
        <f>IFERROR(__xludf.DUMMYFUNCTION("""COMPUTED_VALUE"""),20.19)</f>
        <v>20.19</v>
      </c>
      <c r="AN368" s="331"/>
      <c r="AO368" s="331"/>
    </row>
    <row r="369" ht="15.75" customHeight="1">
      <c r="A369" s="330">
        <f>IFERROR(__xludf.DUMMYFUNCTION("""COMPUTED_VALUE"""),46111.0)</f>
        <v>46111</v>
      </c>
      <c r="B369" s="319" t="str">
        <f>IFERROR(__xludf.DUMMYFUNCTION("""COMPUTED_VALUE"""),"B. 1-9")</f>
        <v>B. 1-9</v>
      </c>
      <c r="C369" s="320">
        <f>IFERROR(__xludf.DUMMYFUNCTION("""COMPUTED_VALUE"""),32971.0)</f>
        <v>32971</v>
      </c>
      <c r="D369" s="320">
        <f>IFERROR(__xludf.DUMMYFUNCTION("""COMPUTED_VALUE"""),42.46)</f>
        <v>42.46</v>
      </c>
      <c r="E369" s="320">
        <f>IFERROR(__xludf.DUMMYFUNCTION("""COMPUTED_VALUE"""),6642.67)</f>
        <v>6642.67</v>
      </c>
      <c r="F369" s="320">
        <f>IFERROR(__xludf.DUMMYFUNCTION("""COMPUTED_VALUE"""),0.2015)</f>
        <v>0.2015</v>
      </c>
      <c r="G369" s="320">
        <f>IFERROR(__xludf.DUMMYFUNCTION("""COMPUTED_VALUE"""),5.96)</f>
        <v>5.96</v>
      </c>
      <c r="H369" s="320">
        <f>IFERROR(__xludf.DUMMYFUNCTION("""COMPUTED_VALUE"""),3.3788)</f>
        <v>3.3788</v>
      </c>
      <c r="I369" s="320">
        <f>IFERROR(__xludf.DUMMYFUNCTION("""COMPUTED_VALUE"""),34.95)</f>
        <v>34.95</v>
      </c>
      <c r="J369" s="320">
        <f>IFERROR(__xludf.DUMMYFUNCTION("""COMPUTED_VALUE"""),18.92)</f>
        <v>18.92</v>
      </c>
      <c r="K369" s="320">
        <f>IFERROR(__xludf.DUMMYFUNCTION("""COMPUTED_VALUE"""),5.55)</f>
        <v>5.55</v>
      </c>
      <c r="L369" s="320">
        <f>IFERROR(__xludf.DUMMYFUNCTION("""COMPUTED_VALUE"""),0.2932)</f>
        <v>0.2932</v>
      </c>
      <c r="M369" s="320">
        <f>IFERROR(__xludf.DUMMYFUNCTION("""COMPUTED_VALUE"""),0.7756)</f>
        <v>0.7756</v>
      </c>
      <c r="N369" s="320">
        <f>IFERROR(__xludf.DUMMYFUNCTION("""COMPUTED_VALUE"""),0.5286)</f>
        <v>0.5286</v>
      </c>
      <c r="O369" s="320">
        <f>IFERROR(__xludf.DUMMYFUNCTION("""COMPUTED_VALUE"""),3.4104)</f>
        <v>3.4104</v>
      </c>
      <c r="P369" s="320">
        <f>IFERROR(__xludf.DUMMYFUNCTION("""COMPUTED_VALUE"""),97.34)</f>
        <v>97.34</v>
      </c>
      <c r="Q369" s="320">
        <f>IFERROR(__xludf.DUMMYFUNCTION("""COMPUTED_VALUE"""),86.12)</f>
        <v>86.12</v>
      </c>
      <c r="R369" s="320">
        <f>IFERROR(__xludf.DUMMYFUNCTION("""COMPUTED_VALUE"""),11.22)</f>
        <v>11.22</v>
      </c>
      <c r="S369" s="320">
        <f>IFERROR(__xludf.DUMMYFUNCTION("""COMPUTED_VALUE"""),14.84)</f>
        <v>14.84</v>
      </c>
      <c r="T369" s="320">
        <f>IFERROR(__xludf.DUMMYFUNCTION("""COMPUTED_VALUE"""),82.5)</f>
        <v>82.5</v>
      </c>
      <c r="U369" s="320">
        <f>IFERROR(__xludf.DUMMYFUNCTION("""COMPUTED_VALUE"""),88.51)</f>
        <v>88.51</v>
      </c>
      <c r="V369" s="320">
        <f>IFERROR(__xludf.DUMMYFUNCTION("""COMPUTED_VALUE"""),4.6775)</f>
        <v>4.6775</v>
      </c>
      <c r="W369" s="320">
        <f>IFERROR(__xludf.DUMMYFUNCTION("""COMPUTED_VALUE"""),15.25)</f>
        <v>15.25</v>
      </c>
      <c r="X369" s="320">
        <f>IFERROR(__xludf.DUMMYFUNCTION("""COMPUTED_VALUE"""),92.0)</f>
        <v>92</v>
      </c>
      <c r="Y369" s="320">
        <f>IFERROR(__xludf.DUMMYFUNCTION("""COMPUTED_VALUE"""),220.0)</f>
        <v>220</v>
      </c>
      <c r="Z369" s="320">
        <f>IFERROR(__xludf.DUMMYFUNCTION("""COMPUTED_VALUE"""),844.0)</f>
        <v>844</v>
      </c>
      <c r="AA369" s="320">
        <f>IFERROR(__xludf.DUMMYFUNCTION("""COMPUTED_VALUE"""),49.4631)</f>
        <v>49.4631</v>
      </c>
      <c r="AB369" s="320">
        <f>IFERROR(__xludf.DUMMYFUNCTION("""COMPUTED_VALUE"""),0.4334)</f>
        <v>0.4334</v>
      </c>
      <c r="AC369" s="320">
        <f>IFERROR(__xludf.DUMMYFUNCTION("""COMPUTED_VALUE"""),3.55)</f>
        <v>3.55</v>
      </c>
      <c r="AD369" s="320">
        <f>IFERROR(__xludf.DUMMYFUNCTION("""COMPUTED_VALUE"""),1.0)</f>
        <v>1</v>
      </c>
      <c r="AE369" s="320">
        <f>IFERROR(__xludf.DUMMYFUNCTION("""COMPUTED_VALUE"""),2.0)</f>
        <v>2</v>
      </c>
      <c r="AF369" s="320">
        <f>IFERROR(__xludf.DUMMYFUNCTION("""COMPUTED_VALUE"""),4.0)</f>
        <v>4</v>
      </c>
      <c r="AG369" s="320">
        <f>IFERROR(__xludf.DUMMYFUNCTION("""COMPUTED_VALUE"""),8.0)</f>
        <v>8</v>
      </c>
      <c r="AH369" s="320">
        <f>IFERROR(__xludf.DUMMYFUNCTION("""COMPUTED_VALUE"""),67.5)</f>
        <v>67.5</v>
      </c>
      <c r="AI369" s="320">
        <f>IFERROR(__xludf.DUMMYFUNCTION("""COMPUTED_VALUE"""),24.64)</f>
        <v>24.64</v>
      </c>
      <c r="AJ369" s="320">
        <f>IFERROR(__xludf.DUMMYFUNCTION("""COMPUTED_VALUE"""),6.83)</f>
        <v>6.83</v>
      </c>
      <c r="AK369" s="320">
        <f>IFERROR(__xludf.DUMMYFUNCTION("""COMPUTED_VALUE"""),0.2046)</f>
        <v>0.2046</v>
      </c>
      <c r="AL369" s="320">
        <f>IFERROR(__xludf.DUMMYFUNCTION("""COMPUTED_VALUE"""),18.77)</f>
        <v>18.77</v>
      </c>
      <c r="AM369" s="320">
        <f>IFERROR(__xludf.DUMMYFUNCTION("""COMPUTED_VALUE"""),67.35)</f>
        <v>67.35</v>
      </c>
      <c r="AN369" s="320">
        <f>IFERROR(__xludf.DUMMYFUNCTION("""COMPUTED_VALUE"""),68.78)</f>
        <v>68.78</v>
      </c>
      <c r="AO369" s="320">
        <f>IFERROR(__xludf.DUMMYFUNCTION("""COMPUTED_VALUE"""),12.91)</f>
        <v>12.91</v>
      </c>
    </row>
    <row r="370" ht="15.75" customHeight="1">
      <c r="A370" s="330">
        <f>IFERROR(__xludf.DUMMYFUNCTION("""COMPUTED_VALUE"""),46111.0)</f>
        <v>46111</v>
      </c>
      <c r="B370" s="319" t="str">
        <f>IFERROR(__xludf.DUMMYFUNCTION("""COMPUTED_VALUE"""),"C. 10-19")</f>
        <v>C. 10-19</v>
      </c>
      <c r="C370" s="320">
        <f>IFERROR(__xludf.DUMMYFUNCTION("""COMPUTED_VALUE"""),16814.0)</f>
        <v>16814</v>
      </c>
      <c r="D370" s="320">
        <f>IFERROR(__xludf.DUMMYFUNCTION("""COMPUTED_VALUE"""),21.65)</f>
        <v>21.65</v>
      </c>
      <c r="E370" s="320">
        <f>IFERROR(__xludf.DUMMYFUNCTION("""COMPUTED_VALUE"""),15958.77)</f>
        <v>15958.77</v>
      </c>
      <c r="F370" s="320">
        <f>IFERROR(__xludf.DUMMYFUNCTION("""COMPUTED_VALUE"""),0.9491)</f>
        <v>0.9491</v>
      </c>
      <c r="G370" s="320">
        <f>IFERROR(__xludf.DUMMYFUNCTION("""COMPUTED_VALUE"""),19.82)</f>
        <v>19.82</v>
      </c>
      <c r="H370" s="320">
        <f>IFERROR(__xludf.DUMMYFUNCTION("""COMPUTED_VALUE"""),4.7895)</f>
        <v>4.7895</v>
      </c>
      <c r="I370" s="320">
        <f>IFERROR(__xludf.DUMMYFUNCTION("""COMPUTED_VALUE"""),63.56)</f>
        <v>63.56</v>
      </c>
      <c r="J370" s="320">
        <f>IFERROR(__xludf.DUMMYFUNCTION("""COMPUTED_VALUE"""),36.27)</f>
        <v>36.27</v>
      </c>
      <c r="K370" s="320">
        <f>IFERROR(__xludf.DUMMYFUNCTION("""COMPUTED_VALUE"""),14.87)</f>
        <v>14.87</v>
      </c>
      <c r="L370" s="320">
        <f>IFERROR(__xludf.DUMMYFUNCTION("""COMPUTED_VALUE"""),0.4099)</f>
        <v>0.4099</v>
      </c>
      <c r="M370" s="320">
        <f>IFERROR(__xludf.DUMMYFUNCTION("""COMPUTED_VALUE"""),0.6541)</f>
        <v>0.6541</v>
      </c>
      <c r="N370" s="320">
        <f>IFERROR(__xludf.DUMMYFUNCTION("""COMPUTED_VALUE"""),0.373)</f>
        <v>0.373</v>
      </c>
      <c r="O370" s="320">
        <f>IFERROR(__xludf.DUMMYFUNCTION("""COMPUTED_VALUE"""),2.4399)</f>
        <v>2.4399</v>
      </c>
      <c r="P370" s="320">
        <f>IFERROR(__xludf.DUMMYFUNCTION("""COMPUTED_VALUE"""),205.5)</f>
        <v>205.5</v>
      </c>
      <c r="Q370" s="320">
        <f>IFERROR(__xludf.DUMMYFUNCTION("""COMPUTED_VALUE"""),176.5)</f>
        <v>176.5</v>
      </c>
      <c r="R370" s="320">
        <f>IFERROR(__xludf.DUMMYFUNCTION("""COMPUTED_VALUE"""),28.99)</f>
        <v>28.99</v>
      </c>
      <c r="S370" s="320">
        <f>IFERROR(__xludf.DUMMYFUNCTION("""COMPUTED_VALUE"""),64.29)</f>
        <v>64.29</v>
      </c>
      <c r="T370" s="320">
        <f>IFERROR(__xludf.DUMMYFUNCTION("""COMPUTED_VALUE"""),141.21)</f>
        <v>141.21</v>
      </c>
      <c r="U370" s="320">
        <f>IFERROR(__xludf.DUMMYFUNCTION("""COMPUTED_VALUE"""),200.49)</f>
        <v>200.49</v>
      </c>
      <c r="V370" s="320">
        <f>IFERROR(__xludf.DUMMYFUNCTION("""COMPUTED_VALUE"""),5.5279)</f>
        <v>5.5279</v>
      </c>
      <c r="W370" s="320">
        <f>IFERROR(__xludf.DUMMYFUNCTION("""COMPUTED_VALUE"""),31.29)</f>
        <v>31.29</v>
      </c>
      <c r="X370" s="320">
        <f>IFERROR(__xludf.DUMMYFUNCTION("""COMPUTED_VALUE"""),86.0)</f>
        <v>86</v>
      </c>
      <c r="Y370" s="320">
        <f>IFERROR(__xludf.DUMMYFUNCTION("""COMPUTED_VALUE"""),201.0)</f>
        <v>201</v>
      </c>
      <c r="Z370" s="320">
        <f>IFERROR(__xludf.DUMMYFUNCTION("""COMPUTED_VALUE"""),617.0)</f>
        <v>617</v>
      </c>
      <c r="AA370" s="320">
        <f>IFERROR(__xludf.DUMMYFUNCTION("""COMPUTED_VALUE"""),52.3753)</f>
        <v>52.3753</v>
      </c>
      <c r="AB370" s="320">
        <f>IFERROR(__xludf.DUMMYFUNCTION("""COMPUTED_VALUE"""),0.5113)</f>
        <v>0.5113</v>
      </c>
      <c r="AC370" s="320">
        <f>IFERROR(__xludf.DUMMYFUNCTION("""COMPUTED_VALUE"""),9.23)</f>
        <v>9.23</v>
      </c>
      <c r="AD370" s="320">
        <f>IFERROR(__xludf.DUMMYFUNCTION("""COMPUTED_VALUE"""),3.0)</f>
        <v>3</v>
      </c>
      <c r="AE370" s="320">
        <f>IFERROR(__xludf.DUMMYFUNCTION("""COMPUTED_VALUE"""),7.0)</f>
        <v>7</v>
      </c>
      <c r="AF370" s="320">
        <f>IFERROR(__xludf.DUMMYFUNCTION("""COMPUTED_VALUE"""),13.0)</f>
        <v>13</v>
      </c>
      <c r="AG370" s="320">
        <f>IFERROR(__xludf.DUMMYFUNCTION("""COMPUTED_VALUE"""),21.0)</f>
        <v>21</v>
      </c>
      <c r="AH370" s="320">
        <f>IFERROR(__xludf.DUMMYFUNCTION("""COMPUTED_VALUE"""),55.5)</f>
        <v>55.5</v>
      </c>
      <c r="AI370" s="320">
        <f>IFERROR(__xludf.DUMMYFUNCTION("""COMPUTED_VALUE"""),26.34)</f>
        <v>26.34</v>
      </c>
      <c r="AJ370" s="320">
        <f>IFERROR(__xludf.DUMMYFUNCTION("""COMPUTED_VALUE"""),5.48)</f>
        <v>5.48</v>
      </c>
      <c r="AK370" s="320">
        <f>IFERROR(__xludf.DUMMYFUNCTION("""COMPUTED_VALUE"""),0.1734)</f>
        <v>0.1734</v>
      </c>
      <c r="AL370" s="320">
        <f>IFERROR(__xludf.DUMMYFUNCTION("""COMPUTED_VALUE"""),18.98)</f>
        <v>18.98</v>
      </c>
      <c r="AM370" s="320">
        <f>IFERROR(__xludf.DUMMYFUNCTION("""COMPUTED_VALUE"""),157.52)</f>
        <v>157.52</v>
      </c>
      <c r="AN370" s="320">
        <f>IFERROR(__xludf.DUMMYFUNCTION("""COMPUTED_VALUE"""),72.12)</f>
        <v>72.12</v>
      </c>
      <c r="AO370" s="320">
        <f>IFERROR(__xludf.DUMMYFUNCTION("""COMPUTED_VALUE"""),13.69)</f>
        <v>13.69</v>
      </c>
    </row>
    <row r="371" ht="15.75" customHeight="1">
      <c r="A371" s="330">
        <f>IFERROR(__xludf.DUMMYFUNCTION("""COMPUTED_VALUE"""),46111.0)</f>
        <v>46111</v>
      </c>
      <c r="B371" s="319" t="str">
        <f>IFERROR(__xludf.DUMMYFUNCTION("""COMPUTED_VALUE"""),"D. 20-39")</f>
        <v>D. 20-39</v>
      </c>
      <c r="C371" s="320">
        <f>IFERROR(__xludf.DUMMYFUNCTION("""COMPUTED_VALUE"""),8730.0)</f>
        <v>8730</v>
      </c>
      <c r="D371" s="320">
        <f>IFERROR(__xludf.DUMMYFUNCTION("""COMPUTED_VALUE"""),11.24)</f>
        <v>11.24</v>
      </c>
      <c r="E371" s="320">
        <f>IFERROR(__xludf.DUMMYFUNCTION("""COMPUTED_VALUE"""),22159.55)</f>
        <v>22159.55</v>
      </c>
      <c r="F371" s="320">
        <f>IFERROR(__xludf.DUMMYFUNCTION("""COMPUTED_VALUE"""),2.5383)</f>
        <v>2.5383</v>
      </c>
      <c r="G371" s="320">
        <f>IFERROR(__xludf.DUMMYFUNCTION("""COMPUTED_VALUE"""),31.91)</f>
        <v>31.91</v>
      </c>
      <c r="H371" s="320">
        <f>IFERROR(__xludf.DUMMYFUNCTION("""COMPUTED_VALUE"""),7.9539)</f>
        <v>7.9539</v>
      </c>
      <c r="I371" s="320">
        <f>IFERROR(__xludf.DUMMYFUNCTION("""COMPUTED_VALUE"""),90.35)</f>
        <v>90.35</v>
      </c>
      <c r="J371" s="320">
        <f>IFERROR(__xludf.DUMMYFUNCTION("""COMPUTED_VALUE"""),53.61)</f>
        <v>53.61</v>
      </c>
      <c r="K371" s="320">
        <f>IFERROR(__xludf.DUMMYFUNCTION("""COMPUTED_VALUE"""),29.87)</f>
        <v>29.87</v>
      </c>
      <c r="L371" s="320">
        <f>IFERROR(__xludf.DUMMYFUNCTION("""COMPUTED_VALUE"""),0.5572)</f>
        <v>0.5572</v>
      </c>
      <c r="M371" s="320">
        <f>IFERROR(__xludf.DUMMYFUNCTION("""COMPUTED_VALUE"""),0.5192)</f>
        <v>0.5192</v>
      </c>
      <c r="N371" s="320">
        <f>IFERROR(__xludf.DUMMYFUNCTION("""COMPUTED_VALUE"""),0.2849)</f>
        <v>0.2849</v>
      </c>
      <c r="O371" s="320">
        <f>IFERROR(__xludf.DUMMYFUNCTION("""COMPUTED_VALUE"""),1.7947)</f>
        <v>1.7947</v>
      </c>
      <c r="P371" s="320">
        <f>IFERROR(__xludf.DUMMYFUNCTION("""COMPUTED_VALUE"""),392.55)</f>
        <v>392.55</v>
      </c>
      <c r="Q371" s="320">
        <f>IFERROR(__xludf.DUMMYFUNCTION("""COMPUTED_VALUE"""),335.8)</f>
        <v>335.8</v>
      </c>
      <c r="R371" s="320">
        <f>IFERROR(__xludf.DUMMYFUNCTION("""COMPUTED_VALUE"""),56.75)</f>
        <v>56.75</v>
      </c>
      <c r="S371" s="320">
        <f>IFERROR(__xludf.DUMMYFUNCTION("""COMPUTED_VALUE"""),161.64)</f>
        <v>161.64</v>
      </c>
      <c r="T371" s="320">
        <f>IFERROR(__xludf.DUMMYFUNCTION("""COMPUTED_VALUE"""),230.91)</f>
        <v>230.91</v>
      </c>
      <c r="U371" s="320">
        <f>IFERROR(__xludf.DUMMYFUNCTION("""COMPUTED_VALUE"""),390.81)</f>
        <v>390.81</v>
      </c>
      <c r="V371" s="320">
        <f>IFERROR(__xludf.DUMMYFUNCTION("""COMPUTED_VALUE"""),7.2898)</f>
        <v>7.2898</v>
      </c>
      <c r="W371" s="320">
        <f>IFERROR(__xludf.DUMMYFUNCTION("""COMPUTED_VALUE"""),41.18)</f>
        <v>41.18</v>
      </c>
      <c r="X371" s="320">
        <f>IFERROR(__xludf.DUMMYFUNCTION("""COMPUTED_VALUE"""),91.0)</f>
        <v>91</v>
      </c>
      <c r="Y371" s="320">
        <f>IFERROR(__xludf.DUMMYFUNCTION("""COMPUTED_VALUE"""),246.0)</f>
        <v>246</v>
      </c>
      <c r="Z371" s="320">
        <f>IFERROR(__xludf.DUMMYFUNCTION("""COMPUTED_VALUE"""),790.0)</f>
        <v>790</v>
      </c>
      <c r="AA371" s="320">
        <f>IFERROR(__xludf.DUMMYFUNCTION("""COMPUTED_VALUE"""),54.4598)</f>
        <v>54.4598</v>
      </c>
      <c r="AB371" s="320">
        <f>IFERROR(__xludf.DUMMYFUNCTION("""COMPUTED_VALUE"""),0.5991)</f>
        <v>0.5991</v>
      </c>
      <c r="AC371" s="320">
        <f>IFERROR(__xludf.DUMMYFUNCTION("""COMPUTED_VALUE"""),18.12)</f>
        <v>18.12</v>
      </c>
      <c r="AD371" s="320">
        <f>IFERROR(__xludf.DUMMYFUNCTION("""COMPUTED_VALUE"""),6.0)</f>
        <v>6</v>
      </c>
      <c r="AE371" s="320">
        <f>IFERROR(__xludf.DUMMYFUNCTION("""COMPUTED_VALUE"""),14.0)</f>
        <v>14</v>
      </c>
      <c r="AF371" s="320">
        <f>IFERROR(__xludf.DUMMYFUNCTION("""COMPUTED_VALUE"""),26.0)</f>
        <v>26</v>
      </c>
      <c r="AG371" s="320">
        <f>IFERROR(__xludf.DUMMYFUNCTION("""COMPUTED_VALUE"""),38.0)</f>
        <v>38</v>
      </c>
      <c r="AH371" s="320">
        <f>IFERROR(__xludf.DUMMYFUNCTION("""COMPUTED_VALUE"""),59.15)</f>
        <v>59.15</v>
      </c>
      <c r="AI371" s="320">
        <f>IFERROR(__xludf.DUMMYFUNCTION("""COMPUTED_VALUE"""),25.81)</f>
        <v>25.81</v>
      </c>
      <c r="AJ371" s="320">
        <f>IFERROR(__xludf.DUMMYFUNCTION("""COMPUTED_VALUE"""),6.47)</f>
        <v>6.47</v>
      </c>
      <c r="AK371" s="320">
        <f>IFERROR(__xludf.DUMMYFUNCTION("""COMPUTED_VALUE"""),0.1793)</f>
        <v>0.1793</v>
      </c>
      <c r="AL371" s="320">
        <f>IFERROR(__xludf.DUMMYFUNCTION("""COMPUTED_VALUE"""),18.53)</f>
        <v>18.53</v>
      </c>
      <c r="AM371" s="320">
        <f>IFERROR(__xludf.DUMMYFUNCTION("""COMPUTED_VALUE"""),317.27)</f>
        <v>317.27</v>
      </c>
      <c r="AN371" s="320">
        <f>IFERROR(__xludf.DUMMYFUNCTION("""COMPUTED_VALUE"""),70.03)</f>
        <v>70.03</v>
      </c>
      <c r="AO371" s="320">
        <f>IFERROR(__xludf.DUMMYFUNCTION("""COMPUTED_VALUE"""),12.98)</f>
        <v>12.98</v>
      </c>
    </row>
    <row r="372" ht="15.75" customHeight="1">
      <c r="A372" s="330">
        <f>IFERROR(__xludf.DUMMYFUNCTION("""COMPUTED_VALUE"""),46111.0)</f>
        <v>46111</v>
      </c>
      <c r="B372" s="319" t="str">
        <f>IFERROR(__xludf.DUMMYFUNCTION("""COMPUTED_VALUE"""),"E. 40-99")</f>
        <v>E. 40-99</v>
      </c>
      <c r="C372" s="320">
        <f>IFERROR(__xludf.DUMMYFUNCTION("""COMPUTED_VALUE"""),3576.0)</f>
        <v>3576</v>
      </c>
      <c r="D372" s="320">
        <f>IFERROR(__xludf.DUMMYFUNCTION("""COMPUTED_VALUE"""),4.61)</f>
        <v>4.61</v>
      </c>
      <c r="E372" s="320">
        <f>IFERROR(__xludf.DUMMYFUNCTION("""COMPUTED_VALUE"""),21392.61)</f>
        <v>21392.61</v>
      </c>
      <c r="F372" s="320">
        <f>IFERROR(__xludf.DUMMYFUNCTION("""COMPUTED_VALUE"""),5.9823)</f>
        <v>5.9823</v>
      </c>
      <c r="G372" s="320">
        <f>IFERROR(__xludf.DUMMYFUNCTION("""COMPUTED_VALUE"""),41.5)</f>
        <v>41.5</v>
      </c>
      <c r="H372" s="320">
        <f>IFERROR(__xludf.DUMMYFUNCTION("""COMPUTED_VALUE"""),14.4155)</f>
        <v>14.4155</v>
      </c>
      <c r="I372" s="320">
        <f>IFERROR(__xludf.DUMMYFUNCTION("""COMPUTED_VALUE"""),142.52)</f>
        <v>142.52</v>
      </c>
      <c r="J372" s="320">
        <f>IFERROR(__xludf.DUMMYFUNCTION("""COMPUTED_VALUE"""),88.8)</f>
        <v>88.8</v>
      </c>
      <c r="K372" s="320">
        <f>IFERROR(__xludf.DUMMYFUNCTION("""COMPUTED_VALUE"""),62.66)</f>
        <v>62.66</v>
      </c>
      <c r="L372" s="320">
        <f>IFERROR(__xludf.DUMMYFUNCTION("""COMPUTED_VALUE"""),0.7056)</f>
        <v>0.7056</v>
      </c>
      <c r="M372" s="320">
        <f>IFERROR(__xludf.DUMMYFUNCTION("""COMPUTED_VALUE"""),0.3856)</f>
        <v>0.3856</v>
      </c>
      <c r="N372" s="320">
        <f>IFERROR(__xludf.DUMMYFUNCTION("""COMPUTED_VALUE"""),0.2219)</f>
        <v>0.2219</v>
      </c>
      <c r="O372" s="320">
        <f>IFERROR(__xludf.DUMMYFUNCTION("""COMPUTED_VALUE"""),1.4173)</f>
        <v>1.4173</v>
      </c>
      <c r="P372" s="320">
        <f>IFERROR(__xludf.DUMMYFUNCTION("""COMPUTED_VALUE"""),791.49)</f>
        <v>791.49</v>
      </c>
      <c r="Q372" s="320">
        <f>IFERROR(__xludf.DUMMYFUNCTION("""COMPUTED_VALUE"""),675.96)</f>
        <v>675.96</v>
      </c>
      <c r="R372" s="320">
        <f>IFERROR(__xludf.DUMMYFUNCTION("""COMPUTED_VALUE"""),115.53)</f>
        <v>115.53</v>
      </c>
      <c r="S372" s="320">
        <f>IFERROR(__xludf.DUMMYFUNCTION("""COMPUTED_VALUE"""),388.02)</f>
        <v>388.02</v>
      </c>
      <c r="T372" s="320">
        <f>IFERROR(__xludf.DUMMYFUNCTION("""COMPUTED_VALUE"""),403.47)</f>
        <v>403.47</v>
      </c>
      <c r="U372" s="320">
        <f>IFERROR(__xludf.DUMMYFUNCTION("""COMPUTED_VALUE"""),802.45)</f>
        <v>802.45</v>
      </c>
      <c r="V372" s="320">
        <f>IFERROR(__xludf.DUMMYFUNCTION("""COMPUTED_VALUE"""),9.0362)</f>
        <v>9.0362</v>
      </c>
      <c r="W372" s="320">
        <f>IFERROR(__xludf.DUMMYFUNCTION("""COMPUTED_VALUE"""),49.02)</f>
        <v>49.02</v>
      </c>
      <c r="X372" s="320">
        <f>IFERROR(__xludf.DUMMYFUNCTION("""COMPUTED_VALUE"""),113.0)</f>
        <v>113</v>
      </c>
      <c r="Y372" s="320">
        <f>IFERROR(__xludf.DUMMYFUNCTION("""COMPUTED_VALUE"""),383.0)</f>
        <v>383</v>
      </c>
      <c r="Z372" s="320">
        <f>IFERROR(__xludf.DUMMYFUNCTION("""COMPUTED_VALUE"""),1059.0)</f>
        <v>1059</v>
      </c>
      <c r="AA372" s="320">
        <f>IFERROR(__xludf.DUMMYFUNCTION("""COMPUTED_VALUE"""),57.4536)</f>
        <v>57.4536</v>
      </c>
      <c r="AB372" s="320">
        <f>IFERROR(__xludf.DUMMYFUNCTION("""COMPUTED_VALUE"""),0.6849)</f>
        <v>0.6849</v>
      </c>
      <c r="AC372" s="320">
        <f>IFERROR(__xludf.DUMMYFUNCTION("""COMPUTED_VALUE"""),36.98)</f>
        <v>36.98</v>
      </c>
      <c r="AD372" s="320">
        <f>IFERROR(__xludf.DUMMYFUNCTION("""COMPUTED_VALUE"""),13.0)</f>
        <v>13</v>
      </c>
      <c r="AE372" s="320">
        <f>IFERROR(__xludf.DUMMYFUNCTION("""COMPUTED_VALUE"""),30.0)</f>
        <v>30</v>
      </c>
      <c r="AF372" s="320">
        <f>IFERROR(__xludf.DUMMYFUNCTION("""COMPUTED_VALUE"""),49.0)</f>
        <v>49</v>
      </c>
      <c r="AG372" s="320">
        <f>IFERROR(__xludf.DUMMYFUNCTION("""COMPUTED_VALUE"""),79.0)</f>
        <v>79</v>
      </c>
      <c r="AH372" s="320">
        <f>IFERROR(__xludf.DUMMYFUNCTION("""COMPUTED_VALUE"""),52.46)</f>
        <v>52.46</v>
      </c>
      <c r="AI372" s="320">
        <f>IFERROR(__xludf.DUMMYFUNCTION("""COMPUTED_VALUE"""),18.29)</f>
        <v>18.29</v>
      </c>
      <c r="AJ372" s="320">
        <f>IFERROR(__xludf.DUMMYFUNCTION("""COMPUTED_VALUE"""),5.09)</f>
        <v>5.09</v>
      </c>
      <c r="AK372" s="320">
        <f>IFERROR(__xludf.DUMMYFUNCTION("""COMPUTED_VALUE"""),0.1611)</f>
        <v>0.1611</v>
      </c>
      <c r="AL372" s="320">
        <f>IFERROR(__xludf.DUMMYFUNCTION("""COMPUTED_VALUE"""),20.36)</f>
        <v>20.36</v>
      </c>
      <c r="AM372" s="320">
        <f>IFERROR(__xludf.DUMMYFUNCTION("""COMPUTED_VALUE"""),655.6)</f>
        <v>655.6</v>
      </c>
      <c r="AN372" s="320">
        <f>IFERROR(__xludf.DUMMYFUNCTION("""COMPUTED_VALUE"""),68.19)</f>
        <v>68.19</v>
      </c>
      <c r="AO372" s="320">
        <f>IFERROR(__xludf.DUMMYFUNCTION("""COMPUTED_VALUE"""),13.88)</f>
        <v>13.88</v>
      </c>
    </row>
    <row r="373" ht="15.75" customHeight="1">
      <c r="A373" s="330">
        <f>IFERROR(__xludf.DUMMYFUNCTION("""COMPUTED_VALUE"""),46111.0)</f>
        <v>46111</v>
      </c>
      <c r="B373" s="319" t="str">
        <f>IFERROR(__xludf.DUMMYFUNCTION("""COMPUTED_VALUE"""),"F. 100+")</f>
        <v>F. 100+</v>
      </c>
      <c r="C373" s="320">
        <f>IFERROR(__xludf.DUMMYFUNCTION("""COMPUTED_VALUE"""),393.0)</f>
        <v>393</v>
      </c>
      <c r="D373" s="320">
        <f>IFERROR(__xludf.DUMMYFUNCTION("""COMPUTED_VALUE"""),0.51)</f>
        <v>0.51</v>
      </c>
      <c r="E373" s="320">
        <f>IFERROR(__xludf.DUMMYFUNCTION("""COMPUTED_VALUE"""),3650.74)</f>
        <v>3650.74</v>
      </c>
      <c r="F373" s="320">
        <f>IFERROR(__xludf.DUMMYFUNCTION("""COMPUTED_VALUE"""),9.2894)</f>
        <v>9.2894</v>
      </c>
      <c r="G373" s="320">
        <f>IFERROR(__xludf.DUMMYFUNCTION("""COMPUTED_VALUE"""),41.73)</f>
        <v>41.73</v>
      </c>
      <c r="H373" s="320">
        <f>IFERROR(__xludf.DUMMYFUNCTION("""COMPUTED_VALUE"""),22.2606)</f>
        <v>22.2606</v>
      </c>
      <c r="I373" s="320">
        <f>IFERROR(__xludf.DUMMYFUNCTION("""COMPUTED_VALUE"""),244.12)</f>
        <v>244.12</v>
      </c>
      <c r="J373" s="320">
        <f>IFERROR(__xludf.DUMMYFUNCTION("""COMPUTED_VALUE"""),161.17)</f>
        <v>161.17</v>
      </c>
      <c r="K373" s="320">
        <f>IFERROR(__xludf.DUMMYFUNCTION("""COMPUTED_VALUE"""),131.74)</f>
        <v>131.74</v>
      </c>
      <c r="L373" s="320">
        <f>IFERROR(__xludf.DUMMYFUNCTION("""COMPUTED_VALUE"""),0.8174)</f>
        <v>0.8174</v>
      </c>
      <c r="M373" s="320">
        <f>IFERROR(__xludf.DUMMYFUNCTION("""COMPUTED_VALUE"""),0.2736)</f>
        <v>0.2736</v>
      </c>
      <c r="N373" s="320">
        <f>IFERROR(__xludf.DUMMYFUNCTION("""COMPUTED_VALUE"""),0.1666)</f>
        <v>0.1666</v>
      </c>
      <c r="O373" s="320">
        <f>IFERROR(__xludf.DUMMYFUNCTION("""COMPUTED_VALUE"""),1.2234)</f>
        <v>1.2234</v>
      </c>
      <c r="P373" s="320">
        <f>IFERROR(__xludf.DUMMYFUNCTION("""COMPUTED_VALUE"""),1360.42)</f>
        <v>1360.42</v>
      </c>
      <c r="Q373" s="320">
        <f>IFERROR(__xludf.DUMMYFUNCTION("""COMPUTED_VALUE"""),1089.86)</f>
        <v>1089.86</v>
      </c>
      <c r="R373" s="320">
        <f>IFERROR(__xludf.DUMMYFUNCTION("""COMPUTED_VALUE"""),270.56)</f>
        <v>270.56</v>
      </c>
      <c r="S373" s="320">
        <f>IFERROR(__xludf.DUMMYFUNCTION("""COMPUTED_VALUE"""),606.53)</f>
        <v>606.53</v>
      </c>
      <c r="T373" s="320">
        <f>IFERROR(__xludf.DUMMYFUNCTION("""COMPUTED_VALUE"""),753.89)</f>
        <v>753.89</v>
      </c>
      <c r="U373" s="320">
        <f>IFERROR(__xludf.DUMMYFUNCTION("""COMPUTED_VALUE"""),1349.87)</f>
        <v>1349.87</v>
      </c>
      <c r="V373" s="320">
        <f>IFERROR(__xludf.DUMMYFUNCTION("""COMPUTED_VALUE"""),8.3754)</f>
        <v>8.3754</v>
      </c>
      <c r="W373" s="320">
        <f>IFERROR(__xludf.DUMMYFUNCTION("""COMPUTED_VALUE"""),44.58)</f>
        <v>44.58</v>
      </c>
      <c r="X373" s="320">
        <f>IFERROR(__xludf.DUMMYFUNCTION("""COMPUTED_VALUE"""),173.0)</f>
        <v>173</v>
      </c>
      <c r="Y373" s="320">
        <f>IFERROR(__xludf.DUMMYFUNCTION("""COMPUTED_VALUE"""),681.0)</f>
        <v>681</v>
      </c>
      <c r="Z373" s="320">
        <f>IFERROR(__xludf.DUMMYFUNCTION("""COMPUTED_VALUE"""),2780.0)</f>
        <v>2780</v>
      </c>
      <c r="AA373" s="320">
        <f>IFERROR(__xludf.DUMMYFUNCTION("""COMPUTED_VALUE"""),62.519)</f>
        <v>62.519</v>
      </c>
      <c r="AB373" s="320">
        <f>IFERROR(__xludf.DUMMYFUNCTION("""COMPUTED_VALUE"""),0.8448)</f>
        <v>0.8448</v>
      </c>
      <c r="AC373" s="320">
        <f>IFERROR(__xludf.DUMMYFUNCTION("""COMPUTED_VALUE"""),88.26)</f>
        <v>88.26</v>
      </c>
      <c r="AD373" s="320">
        <f>IFERROR(__xludf.DUMMYFUNCTION("""COMPUTED_VALUE"""),32.0)</f>
        <v>32</v>
      </c>
      <c r="AE373" s="320">
        <f>IFERROR(__xludf.DUMMYFUNCTION("""COMPUTED_VALUE"""),74.0)</f>
        <v>74</v>
      </c>
      <c r="AF373" s="320">
        <f>IFERROR(__xludf.DUMMYFUNCTION("""COMPUTED_VALUE"""),126.0)</f>
        <v>126</v>
      </c>
      <c r="AG373" s="320">
        <f>IFERROR(__xludf.DUMMYFUNCTION("""COMPUTED_VALUE"""),173.0)</f>
        <v>173</v>
      </c>
      <c r="AH373" s="320">
        <f>IFERROR(__xludf.DUMMYFUNCTION("""COMPUTED_VALUE"""),46.06)</f>
        <v>46.06</v>
      </c>
      <c r="AI373" s="320">
        <f>IFERROR(__xludf.DUMMYFUNCTION("""COMPUTED_VALUE"""),9.41)</f>
        <v>9.41</v>
      </c>
      <c r="AJ373" s="320">
        <f>IFERROR(__xludf.DUMMYFUNCTION("""COMPUTED_VALUE"""),1.78)</f>
        <v>1.78</v>
      </c>
      <c r="AK373" s="320">
        <f>IFERROR(__xludf.DUMMYFUNCTION("""COMPUTED_VALUE"""),0.1476)</f>
        <v>0.1476</v>
      </c>
      <c r="AL373" s="320">
        <f>IFERROR(__xludf.DUMMYFUNCTION("""COMPUTED_VALUE"""),19.95)</f>
        <v>19.95</v>
      </c>
      <c r="AM373" s="320">
        <f>IFERROR(__xludf.DUMMYFUNCTION("""COMPUTED_VALUE"""),1069.91)</f>
        <v>1069.91</v>
      </c>
      <c r="AN373" s="320">
        <f>IFERROR(__xludf.DUMMYFUNCTION("""COMPUTED_VALUE"""),73.54)</f>
        <v>73.54</v>
      </c>
      <c r="AO373" s="320">
        <f>IFERROR(__xludf.DUMMYFUNCTION("""COMPUTED_VALUE"""),14.67)</f>
        <v>14.67</v>
      </c>
    </row>
    <row r="374" ht="15.75" customHeight="1">
      <c r="A374" s="330">
        <f>IFERROR(__xludf.DUMMYFUNCTION("""COMPUTED_VALUE"""),46112.0)</f>
        <v>46112</v>
      </c>
      <c r="B374" s="319" t="str">
        <f>IFERROR(__xludf.DUMMYFUNCTION("""COMPUTED_VALUE"""),"A. 0")</f>
        <v>A. 0</v>
      </c>
      <c r="C374" s="320">
        <f>IFERROR(__xludf.DUMMYFUNCTION("""COMPUTED_VALUE"""),14540.0)</f>
        <v>14540</v>
      </c>
      <c r="D374" s="320">
        <f>IFERROR(__xludf.DUMMYFUNCTION("""COMPUTED_VALUE"""),18.76)</f>
        <v>18.76</v>
      </c>
      <c r="E374" s="320">
        <f>IFERROR(__xludf.DUMMYFUNCTION("""COMPUTED_VALUE"""),451.06)</f>
        <v>451.06</v>
      </c>
      <c r="F374" s="320">
        <f>IFERROR(__xludf.DUMMYFUNCTION("""COMPUTED_VALUE"""),0.031)</f>
        <v>0.031</v>
      </c>
      <c r="G374" s="320">
        <f>IFERROR(__xludf.DUMMYFUNCTION("""COMPUTED_VALUE"""),0.96)</f>
        <v>0.96</v>
      </c>
      <c r="H374" s="320">
        <f>IFERROR(__xludf.DUMMYFUNCTION("""COMPUTED_VALUE"""),3.2219)</f>
        <v>3.2219</v>
      </c>
      <c r="I374" s="320">
        <f>IFERROR(__xludf.DUMMYFUNCTION("""COMPUTED_VALUE"""),6.06)</f>
        <v>6.06</v>
      </c>
      <c r="J374" s="320">
        <f>IFERROR(__xludf.DUMMYFUNCTION("""COMPUTED_VALUE"""),2.64)</f>
        <v>2.64</v>
      </c>
      <c r="K374" s="320">
        <f>IFERROR(__xludf.DUMMYFUNCTION("""COMPUTED_VALUE"""),0.07)</f>
        <v>0.07</v>
      </c>
      <c r="L374" s="320">
        <f>IFERROR(__xludf.DUMMYFUNCTION("""COMPUTED_VALUE"""),0.0267)</f>
        <v>0.0267</v>
      </c>
      <c r="M374" s="320">
        <f>IFERROR(__xludf.DUMMYFUNCTION("""COMPUTED_VALUE"""),0.9755)</f>
        <v>0.9755</v>
      </c>
      <c r="N374" s="320">
        <f>IFERROR(__xludf.DUMMYFUNCTION("""COMPUTED_VALUE"""),0.7319)</f>
        <v>0.7319</v>
      </c>
      <c r="O374" s="320">
        <f>IFERROR(__xludf.DUMMYFUNCTION("""COMPUTED_VALUE"""),37.462)</f>
        <v>37.462</v>
      </c>
      <c r="P374" s="320">
        <f>IFERROR(__xludf.DUMMYFUNCTION("""COMPUTED_VALUE"""),34.35)</f>
        <v>34.35</v>
      </c>
      <c r="Q374" s="320">
        <f>IFERROR(__xludf.DUMMYFUNCTION("""COMPUTED_VALUE"""),34.27)</f>
        <v>34.27</v>
      </c>
      <c r="R374" s="320">
        <f>IFERROR(__xludf.DUMMYFUNCTION("""COMPUTED_VALUE"""),0.08)</f>
        <v>0.08</v>
      </c>
      <c r="S374" s="320">
        <f>IFERROR(__xludf.DUMMYFUNCTION("""COMPUTED_VALUE"""),1.43)</f>
        <v>1.43</v>
      </c>
      <c r="T374" s="320">
        <f>IFERROR(__xludf.DUMMYFUNCTION("""COMPUTED_VALUE"""),32.92)</f>
        <v>32.92</v>
      </c>
      <c r="U374" s="320">
        <f>IFERROR(__xludf.DUMMYFUNCTION("""COMPUTED_VALUE"""),2.66)</f>
        <v>2.66</v>
      </c>
      <c r="V374" s="320">
        <f>IFERROR(__xludf.DUMMYFUNCTION("""COMPUTED_VALUE"""),1.0069)</f>
        <v>1.0069</v>
      </c>
      <c r="W374" s="320">
        <f>IFERROR(__xludf.DUMMYFUNCTION("""COMPUTED_VALUE"""),4.16)</f>
        <v>4.16</v>
      </c>
      <c r="X374" s="320">
        <f>IFERROR(__xludf.DUMMYFUNCTION("""COMPUTED_VALUE"""),168.0)</f>
        <v>168</v>
      </c>
      <c r="Y374" s="320">
        <f>IFERROR(__xludf.DUMMYFUNCTION("""COMPUTED_VALUE"""),1148.0)</f>
        <v>1148</v>
      </c>
      <c r="Z374" s="320">
        <f>IFERROR(__xludf.DUMMYFUNCTION("""COMPUTED_VALUE"""),7537.0)</f>
        <v>7537</v>
      </c>
      <c r="AA374" s="320">
        <f>IFERROR(__xludf.DUMMYFUNCTION("""COMPUTED_VALUE"""),49.5592)</f>
        <v>49.5592</v>
      </c>
      <c r="AB374" s="320">
        <f>IFERROR(__xludf.DUMMYFUNCTION("""COMPUTED_VALUE"""),0.5053)</f>
        <v>0.5053</v>
      </c>
      <c r="AC374" s="106"/>
      <c r="AD374" s="106"/>
      <c r="AE374" s="106"/>
      <c r="AF374" s="106"/>
      <c r="AG374" s="106"/>
      <c r="AH374" s="320">
        <f>IFERROR(__xludf.DUMMYFUNCTION("""COMPUTED_VALUE"""),0.0)</f>
        <v>0</v>
      </c>
      <c r="AI374" s="320">
        <f>IFERROR(__xludf.DUMMYFUNCTION("""COMPUTED_VALUE"""),0.0)</f>
        <v>0</v>
      </c>
      <c r="AJ374" s="320">
        <f>IFERROR(__xludf.DUMMYFUNCTION("""COMPUTED_VALUE"""),0.0)</f>
        <v>0</v>
      </c>
      <c r="AK374" s="320">
        <f>IFERROR(__xludf.DUMMYFUNCTION("""COMPUTED_VALUE"""),0.2838)</f>
        <v>0.2838</v>
      </c>
      <c r="AL374" s="320">
        <f>IFERROR(__xludf.DUMMYFUNCTION("""COMPUTED_VALUE"""),16.74)</f>
        <v>16.74</v>
      </c>
      <c r="AM374" s="320">
        <f>IFERROR(__xludf.DUMMYFUNCTION("""COMPUTED_VALUE"""),17.53)</f>
        <v>17.53</v>
      </c>
      <c r="AN374" s="331"/>
      <c r="AO374" s="331"/>
    </row>
    <row r="375" ht="15.75" customHeight="1">
      <c r="A375" s="330">
        <f>IFERROR(__xludf.DUMMYFUNCTION("""COMPUTED_VALUE"""),46112.0)</f>
        <v>46112</v>
      </c>
      <c r="B375" s="319" t="str">
        <f>IFERROR(__xludf.DUMMYFUNCTION("""COMPUTED_VALUE"""),"B. 1-9")</f>
        <v>B. 1-9</v>
      </c>
      <c r="C375" s="320">
        <f>IFERROR(__xludf.DUMMYFUNCTION("""COMPUTED_VALUE"""),32986.0)</f>
        <v>32986</v>
      </c>
      <c r="D375" s="320">
        <f>IFERROR(__xludf.DUMMYFUNCTION("""COMPUTED_VALUE"""),42.56)</f>
        <v>42.56</v>
      </c>
      <c r="E375" s="320">
        <f>IFERROR(__xludf.DUMMYFUNCTION("""COMPUTED_VALUE"""),10706.44)</f>
        <v>10706.44</v>
      </c>
      <c r="F375" s="320">
        <f>IFERROR(__xludf.DUMMYFUNCTION("""COMPUTED_VALUE"""),0.3246)</f>
        <v>0.3246</v>
      </c>
      <c r="G375" s="320">
        <f>IFERROR(__xludf.DUMMYFUNCTION("""COMPUTED_VALUE"""),8.98)</f>
        <v>8.98</v>
      </c>
      <c r="H375" s="320">
        <f>IFERROR(__xludf.DUMMYFUNCTION("""COMPUTED_VALUE"""),3.6146)</f>
        <v>3.6146</v>
      </c>
      <c r="I375" s="320">
        <f>IFERROR(__xludf.DUMMYFUNCTION("""COMPUTED_VALUE"""),31.92)</f>
        <v>31.92</v>
      </c>
      <c r="J375" s="320">
        <f>IFERROR(__xludf.DUMMYFUNCTION("""COMPUTED_VALUE"""),17.0)</f>
        <v>17</v>
      </c>
      <c r="K375" s="320">
        <f>IFERROR(__xludf.DUMMYFUNCTION("""COMPUTED_VALUE"""),5.71)</f>
        <v>5.71</v>
      </c>
      <c r="L375" s="320">
        <f>IFERROR(__xludf.DUMMYFUNCTION("""COMPUTED_VALUE"""),0.336)</f>
        <v>0.336</v>
      </c>
      <c r="M375" s="320">
        <f>IFERROR(__xludf.DUMMYFUNCTION("""COMPUTED_VALUE"""),0.7389)</f>
        <v>0.7389</v>
      </c>
      <c r="N375" s="320">
        <f>IFERROR(__xludf.DUMMYFUNCTION("""COMPUTED_VALUE"""),0.488)</f>
        <v>0.488</v>
      </c>
      <c r="O375" s="320">
        <f>IFERROR(__xludf.DUMMYFUNCTION("""COMPUTED_VALUE"""),2.976)</f>
        <v>2.976</v>
      </c>
      <c r="P375" s="320">
        <f>IFERROR(__xludf.DUMMYFUNCTION("""COMPUTED_VALUE"""),88.6)</f>
        <v>88.6</v>
      </c>
      <c r="Q375" s="320">
        <f>IFERROR(__xludf.DUMMYFUNCTION("""COMPUTED_VALUE"""),77.8)</f>
        <v>77.8</v>
      </c>
      <c r="R375" s="320">
        <f>IFERROR(__xludf.DUMMYFUNCTION("""COMPUTED_VALUE"""),10.8)</f>
        <v>10.8</v>
      </c>
      <c r="S375" s="320">
        <f>IFERROR(__xludf.DUMMYFUNCTION("""COMPUTED_VALUE"""),18.34)</f>
        <v>18.34</v>
      </c>
      <c r="T375" s="320">
        <f>IFERROR(__xludf.DUMMYFUNCTION("""COMPUTED_VALUE"""),70.26)</f>
        <v>70.26</v>
      </c>
      <c r="U375" s="320">
        <f>IFERROR(__xludf.DUMMYFUNCTION("""COMPUTED_VALUE"""),84.3)</f>
        <v>84.3</v>
      </c>
      <c r="V375" s="320">
        <f>IFERROR(__xludf.DUMMYFUNCTION("""COMPUTED_VALUE"""),4.9588)</f>
        <v>4.9588</v>
      </c>
      <c r="W375" s="320">
        <f>IFERROR(__xludf.DUMMYFUNCTION("""COMPUTED_VALUE"""),20.7)</f>
        <v>20.7</v>
      </c>
      <c r="X375" s="320">
        <f>IFERROR(__xludf.DUMMYFUNCTION("""COMPUTED_VALUE"""),92.0)</f>
        <v>92</v>
      </c>
      <c r="Y375" s="320">
        <f>IFERROR(__xludf.DUMMYFUNCTION("""COMPUTED_VALUE"""),235.0)</f>
        <v>235</v>
      </c>
      <c r="Z375" s="320">
        <f>IFERROR(__xludf.DUMMYFUNCTION("""COMPUTED_VALUE"""),948.0)</f>
        <v>948</v>
      </c>
      <c r="AA375" s="320">
        <f>IFERROR(__xludf.DUMMYFUNCTION("""COMPUTED_VALUE"""),49.3724)</f>
        <v>49.3724</v>
      </c>
      <c r="AB375" s="320">
        <f>IFERROR(__xludf.DUMMYFUNCTION("""COMPUTED_VALUE"""),0.4415)</f>
        <v>0.4415</v>
      </c>
      <c r="AC375" s="320">
        <f>IFERROR(__xludf.DUMMYFUNCTION("""COMPUTED_VALUE"""),3.96)</f>
        <v>3.96</v>
      </c>
      <c r="AD375" s="320">
        <f>IFERROR(__xludf.DUMMYFUNCTION("""COMPUTED_VALUE"""),1.0)</f>
        <v>1</v>
      </c>
      <c r="AE375" s="320">
        <f>IFERROR(__xludf.DUMMYFUNCTION("""COMPUTED_VALUE"""),2.0)</f>
        <v>2</v>
      </c>
      <c r="AF375" s="320">
        <f>IFERROR(__xludf.DUMMYFUNCTION("""COMPUTED_VALUE"""),5.0)</f>
        <v>5</v>
      </c>
      <c r="AG375" s="320">
        <f>IFERROR(__xludf.DUMMYFUNCTION("""COMPUTED_VALUE"""),9.0)</f>
        <v>9</v>
      </c>
      <c r="AH375" s="320">
        <f>IFERROR(__xludf.DUMMYFUNCTION("""COMPUTED_VALUE"""),69.76)</f>
        <v>69.76</v>
      </c>
      <c r="AI375" s="320">
        <f>IFERROR(__xludf.DUMMYFUNCTION("""COMPUTED_VALUE"""),29.19)</f>
        <v>29.19</v>
      </c>
      <c r="AJ375" s="320">
        <f>IFERROR(__xludf.DUMMYFUNCTION("""COMPUTED_VALUE"""),9.3)</f>
        <v>9.3</v>
      </c>
      <c r="AK375" s="320">
        <f>IFERROR(__xludf.DUMMYFUNCTION("""COMPUTED_VALUE"""),0.2217)</f>
        <v>0.2217</v>
      </c>
      <c r="AL375" s="320">
        <f>IFERROR(__xludf.DUMMYFUNCTION("""COMPUTED_VALUE"""),19.59)</f>
        <v>19.59</v>
      </c>
      <c r="AM375" s="320">
        <f>IFERROR(__xludf.DUMMYFUNCTION("""COMPUTED_VALUE"""),58.21)</f>
        <v>58.21</v>
      </c>
      <c r="AN375" s="320">
        <f>IFERROR(__xludf.DUMMYFUNCTION("""COMPUTED_VALUE"""),67.92)</f>
        <v>67.92</v>
      </c>
      <c r="AO375" s="320">
        <f>IFERROR(__xludf.DUMMYFUNCTION("""COMPUTED_VALUE"""),13.31)</f>
        <v>13.31</v>
      </c>
    </row>
    <row r="376" ht="15.75" customHeight="1">
      <c r="A376" s="330">
        <f>IFERROR(__xludf.DUMMYFUNCTION("""COMPUTED_VALUE"""),46112.0)</f>
        <v>46112</v>
      </c>
      <c r="B376" s="319" t="str">
        <f>IFERROR(__xludf.DUMMYFUNCTION("""COMPUTED_VALUE"""),"C. 10-19")</f>
        <v>C. 10-19</v>
      </c>
      <c r="C376" s="320">
        <f>IFERROR(__xludf.DUMMYFUNCTION("""COMPUTED_VALUE"""),17307.0)</f>
        <v>17307</v>
      </c>
      <c r="D376" s="320">
        <f>IFERROR(__xludf.DUMMYFUNCTION("""COMPUTED_VALUE"""),22.33)</f>
        <v>22.33</v>
      </c>
      <c r="E376" s="320">
        <f>IFERROR(__xludf.DUMMYFUNCTION("""COMPUTED_VALUE"""),23010.11)</f>
        <v>23010.11</v>
      </c>
      <c r="F376" s="320">
        <f>IFERROR(__xludf.DUMMYFUNCTION("""COMPUTED_VALUE"""),1.3295)</f>
        <v>1.3295</v>
      </c>
      <c r="G376" s="320">
        <f>IFERROR(__xludf.DUMMYFUNCTION("""COMPUTED_VALUE"""),26.88)</f>
        <v>26.88</v>
      </c>
      <c r="H376" s="320">
        <f>IFERROR(__xludf.DUMMYFUNCTION("""COMPUTED_VALUE"""),4.9463)</f>
        <v>4.9463</v>
      </c>
      <c r="I376" s="320">
        <f>IFERROR(__xludf.DUMMYFUNCTION("""COMPUTED_VALUE"""),60.12)</f>
        <v>60.12</v>
      </c>
      <c r="J376" s="320">
        <f>IFERROR(__xludf.DUMMYFUNCTION("""COMPUTED_VALUE"""),34.23)</f>
        <v>34.23</v>
      </c>
      <c r="K376" s="320">
        <f>IFERROR(__xludf.DUMMYFUNCTION("""COMPUTED_VALUE"""),15.66)</f>
        <v>15.66</v>
      </c>
      <c r="L376" s="320">
        <f>IFERROR(__xludf.DUMMYFUNCTION("""COMPUTED_VALUE"""),0.4575)</f>
        <v>0.4575</v>
      </c>
      <c r="M376" s="320">
        <f>IFERROR(__xludf.DUMMYFUNCTION("""COMPUTED_VALUE"""),0.6112)</f>
        <v>0.6112</v>
      </c>
      <c r="N376" s="320">
        <f>IFERROR(__xludf.DUMMYFUNCTION("""COMPUTED_VALUE"""),0.3378)</f>
        <v>0.3378</v>
      </c>
      <c r="O376" s="320">
        <f>IFERROR(__xludf.DUMMYFUNCTION("""COMPUTED_VALUE"""),2.1856)</f>
        <v>2.1856</v>
      </c>
      <c r="P376" s="320">
        <f>IFERROR(__xludf.DUMMYFUNCTION("""COMPUTED_VALUE"""),212.64)</f>
        <v>212.64</v>
      </c>
      <c r="Q376" s="320">
        <f>IFERROR(__xludf.DUMMYFUNCTION("""COMPUTED_VALUE"""),184.51)</f>
        <v>184.51</v>
      </c>
      <c r="R376" s="320">
        <f>IFERROR(__xludf.DUMMYFUNCTION("""COMPUTED_VALUE"""),28.14)</f>
        <v>28.14</v>
      </c>
      <c r="S376" s="320">
        <f>IFERROR(__xludf.DUMMYFUNCTION("""COMPUTED_VALUE"""),77.39)</f>
        <v>77.39</v>
      </c>
      <c r="T376" s="320">
        <f>IFERROR(__xludf.DUMMYFUNCTION("""COMPUTED_VALUE"""),135.25)</f>
        <v>135.25</v>
      </c>
      <c r="U376" s="320">
        <f>IFERROR(__xludf.DUMMYFUNCTION("""COMPUTED_VALUE"""),200.55)</f>
        <v>200.55</v>
      </c>
      <c r="V376" s="320">
        <f>IFERROR(__xludf.DUMMYFUNCTION("""COMPUTED_VALUE"""),5.8593)</f>
        <v>5.8593</v>
      </c>
      <c r="W376" s="320">
        <f>IFERROR(__xludf.DUMMYFUNCTION("""COMPUTED_VALUE"""),36.4)</f>
        <v>36.4</v>
      </c>
      <c r="X376" s="320">
        <f>IFERROR(__xludf.DUMMYFUNCTION("""COMPUTED_VALUE"""),89.0)</f>
        <v>89</v>
      </c>
      <c r="Y376" s="320">
        <f>IFERROR(__xludf.DUMMYFUNCTION("""COMPUTED_VALUE"""),216.0)</f>
        <v>216</v>
      </c>
      <c r="Z376" s="320">
        <f>IFERROR(__xludf.DUMMYFUNCTION("""COMPUTED_VALUE"""),706.0)</f>
        <v>706</v>
      </c>
      <c r="AA376" s="320">
        <f>IFERROR(__xludf.DUMMYFUNCTION("""COMPUTED_VALUE"""),52.2621)</f>
        <v>52.2621</v>
      </c>
      <c r="AB376" s="320">
        <f>IFERROR(__xludf.DUMMYFUNCTION("""COMPUTED_VALUE"""),0.5194)</f>
        <v>0.5194</v>
      </c>
      <c r="AC376" s="320">
        <f>IFERROR(__xludf.DUMMYFUNCTION("""COMPUTED_VALUE"""),10.03)</f>
        <v>10.03</v>
      </c>
      <c r="AD376" s="320">
        <f>IFERROR(__xludf.DUMMYFUNCTION("""COMPUTED_VALUE"""),3.0)</f>
        <v>3</v>
      </c>
      <c r="AE376" s="320">
        <f>IFERROR(__xludf.DUMMYFUNCTION("""COMPUTED_VALUE"""),8.0)</f>
        <v>8</v>
      </c>
      <c r="AF376" s="320">
        <f>IFERROR(__xludf.DUMMYFUNCTION("""COMPUTED_VALUE"""),14.0)</f>
        <v>14</v>
      </c>
      <c r="AG376" s="320">
        <f>IFERROR(__xludf.DUMMYFUNCTION("""COMPUTED_VALUE"""),22.0)</f>
        <v>22</v>
      </c>
      <c r="AH376" s="320">
        <f>IFERROR(__xludf.DUMMYFUNCTION("""COMPUTED_VALUE"""),60.47)</f>
        <v>60.47</v>
      </c>
      <c r="AI376" s="320">
        <f>IFERROR(__xludf.DUMMYFUNCTION("""COMPUTED_VALUE"""),29.28)</f>
        <v>29.28</v>
      </c>
      <c r="AJ376" s="320">
        <f>IFERROR(__xludf.DUMMYFUNCTION("""COMPUTED_VALUE"""),6.64)</f>
        <v>6.64</v>
      </c>
      <c r="AK376" s="320">
        <f>IFERROR(__xludf.DUMMYFUNCTION("""COMPUTED_VALUE"""),0.185)</f>
        <v>0.185</v>
      </c>
      <c r="AL376" s="320">
        <f>IFERROR(__xludf.DUMMYFUNCTION("""COMPUTED_VALUE"""),22.45)</f>
        <v>22.45</v>
      </c>
      <c r="AM376" s="320">
        <f>IFERROR(__xludf.DUMMYFUNCTION("""COMPUTED_VALUE"""),162.06)</f>
        <v>162.06</v>
      </c>
      <c r="AN376" s="320">
        <f>IFERROR(__xludf.DUMMYFUNCTION("""COMPUTED_VALUE"""),71.88)</f>
        <v>71.88</v>
      </c>
      <c r="AO376" s="320">
        <f>IFERROR(__xludf.DUMMYFUNCTION("""COMPUTED_VALUE"""),16.14)</f>
        <v>16.14</v>
      </c>
    </row>
    <row r="377" ht="15.75" customHeight="1">
      <c r="A377" s="330">
        <f>IFERROR(__xludf.DUMMYFUNCTION("""COMPUTED_VALUE"""),46112.0)</f>
        <v>46112</v>
      </c>
      <c r="B377" s="319" t="str">
        <f>IFERROR(__xludf.DUMMYFUNCTION("""COMPUTED_VALUE"""),"D. 20-39")</f>
        <v>D. 20-39</v>
      </c>
      <c r="C377" s="320">
        <f>IFERROR(__xludf.DUMMYFUNCTION("""COMPUTED_VALUE"""),8972.0)</f>
        <v>8972</v>
      </c>
      <c r="D377" s="320">
        <f>IFERROR(__xludf.DUMMYFUNCTION("""COMPUTED_VALUE"""),11.58)</f>
        <v>11.58</v>
      </c>
      <c r="E377" s="320">
        <f>IFERROR(__xludf.DUMMYFUNCTION("""COMPUTED_VALUE"""),25695.84)</f>
        <v>25695.84</v>
      </c>
      <c r="F377" s="320">
        <f>IFERROR(__xludf.DUMMYFUNCTION("""COMPUTED_VALUE"""),2.864)</f>
        <v>2.864</v>
      </c>
      <c r="G377" s="320">
        <f>IFERROR(__xludf.DUMMYFUNCTION("""COMPUTED_VALUE"""),38.2)</f>
        <v>38.2</v>
      </c>
      <c r="H377" s="320">
        <f>IFERROR(__xludf.DUMMYFUNCTION("""COMPUTED_VALUE"""),7.4981)</f>
        <v>7.4981</v>
      </c>
      <c r="I377" s="320">
        <f>IFERROR(__xludf.DUMMYFUNCTION("""COMPUTED_VALUE"""),88.55)</f>
        <v>88.55</v>
      </c>
      <c r="J377" s="320">
        <f>IFERROR(__xludf.DUMMYFUNCTION("""COMPUTED_VALUE"""),53.3)</f>
        <v>53.3</v>
      </c>
      <c r="K377" s="320">
        <f>IFERROR(__xludf.DUMMYFUNCTION("""COMPUTED_VALUE"""),31.5)</f>
        <v>31.5</v>
      </c>
      <c r="L377" s="320">
        <f>IFERROR(__xludf.DUMMYFUNCTION("""COMPUTED_VALUE"""),0.591)</f>
        <v>0.591</v>
      </c>
      <c r="M377" s="320">
        <f>IFERROR(__xludf.DUMMYFUNCTION("""COMPUTED_VALUE"""),0.4873)</f>
        <v>0.4873</v>
      </c>
      <c r="N377" s="320">
        <f>IFERROR(__xludf.DUMMYFUNCTION("""COMPUTED_VALUE"""),0.2623)</f>
        <v>0.2623</v>
      </c>
      <c r="O377" s="320">
        <f>IFERROR(__xludf.DUMMYFUNCTION("""COMPUTED_VALUE"""),1.692)</f>
        <v>1.692</v>
      </c>
      <c r="P377" s="320">
        <f>IFERROR(__xludf.DUMMYFUNCTION("""COMPUTED_VALUE"""),415.4)</f>
        <v>415.4</v>
      </c>
      <c r="Q377" s="320">
        <f>IFERROR(__xludf.DUMMYFUNCTION("""COMPUTED_VALUE"""),361.87)</f>
        <v>361.87</v>
      </c>
      <c r="R377" s="320">
        <f>IFERROR(__xludf.DUMMYFUNCTION("""COMPUTED_VALUE"""),53.53)</f>
        <v>53.53</v>
      </c>
      <c r="S377" s="320">
        <f>IFERROR(__xludf.DUMMYFUNCTION("""COMPUTED_VALUE"""),169.56)</f>
        <v>169.56</v>
      </c>
      <c r="T377" s="320">
        <f>IFERROR(__xludf.DUMMYFUNCTION("""COMPUTED_VALUE"""),245.84)</f>
        <v>245.84</v>
      </c>
      <c r="U377" s="320">
        <f>IFERROR(__xludf.DUMMYFUNCTION("""COMPUTED_VALUE"""),396.87)</f>
        <v>396.87</v>
      </c>
      <c r="V377" s="320">
        <f>IFERROR(__xludf.DUMMYFUNCTION("""COMPUTED_VALUE"""),7.4462)</f>
        <v>7.4462</v>
      </c>
      <c r="W377" s="320">
        <f>IFERROR(__xludf.DUMMYFUNCTION("""COMPUTED_VALUE"""),40.82)</f>
        <v>40.82</v>
      </c>
      <c r="X377" s="320">
        <f>IFERROR(__xludf.DUMMYFUNCTION("""COMPUTED_VALUE"""),95.0)</f>
        <v>95</v>
      </c>
      <c r="Y377" s="320">
        <f>IFERROR(__xludf.DUMMYFUNCTION("""COMPUTED_VALUE"""),281.0)</f>
        <v>281</v>
      </c>
      <c r="Z377" s="320">
        <f>IFERROR(__xludf.DUMMYFUNCTION("""COMPUTED_VALUE"""),804.0)</f>
        <v>804</v>
      </c>
      <c r="AA377" s="320">
        <f>IFERROR(__xludf.DUMMYFUNCTION("""COMPUTED_VALUE"""),54.4263)</f>
        <v>54.4263</v>
      </c>
      <c r="AB377" s="320">
        <f>IFERROR(__xludf.DUMMYFUNCTION("""COMPUTED_VALUE"""),0.6174)</f>
        <v>0.6174</v>
      </c>
      <c r="AC377" s="320">
        <f>IFERROR(__xludf.DUMMYFUNCTION("""COMPUTED_VALUE"""),18.72)</f>
        <v>18.72</v>
      </c>
      <c r="AD377" s="320">
        <f>IFERROR(__xludf.DUMMYFUNCTION("""COMPUTED_VALUE"""),7.0)</f>
        <v>7</v>
      </c>
      <c r="AE377" s="320">
        <f>IFERROR(__xludf.DUMMYFUNCTION("""COMPUTED_VALUE"""),15.0)</f>
        <v>15</v>
      </c>
      <c r="AF377" s="320">
        <f>IFERROR(__xludf.DUMMYFUNCTION("""COMPUTED_VALUE"""),26.0)</f>
        <v>26</v>
      </c>
      <c r="AG377" s="320">
        <f>IFERROR(__xludf.DUMMYFUNCTION("""COMPUTED_VALUE"""),39.0)</f>
        <v>39</v>
      </c>
      <c r="AH377" s="320">
        <f>IFERROR(__xludf.DUMMYFUNCTION("""COMPUTED_VALUE"""),61.13)</f>
        <v>61.13</v>
      </c>
      <c r="AI377" s="320">
        <f>IFERROR(__xludf.DUMMYFUNCTION("""COMPUTED_VALUE"""),26.28)</f>
        <v>26.28</v>
      </c>
      <c r="AJ377" s="320">
        <f>IFERROR(__xludf.DUMMYFUNCTION("""COMPUTED_VALUE"""),8.19)</f>
        <v>8.19</v>
      </c>
      <c r="AK377" s="320">
        <f>IFERROR(__xludf.DUMMYFUNCTION("""COMPUTED_VALUE"""),0.1883)</f>
        <v>0.1883</v>
      </c>
      <c r="AL377" s="320">
        <f>IFERROR(__xludf.DUMMYFUNCTION("""COMPUTED_VALUE"""),24.51)</f>
        <v>24.51</v>
      </c>
      <c r="AM377" s="320">
        <f>IFERROR(__xludf.DUMMYFUNCTION("""COMPUTED_VALUE"""),337.36)</f>
        <v>337.36</v>
      </c>
      <c r="AN377" s="320">
        <f>IFERROR(__xludf.DUMMYFUNCTION("""COMPUTED_VALUE"""),70.55)</f>
        <v>70.55</v>
      </c>
      <c r="AO377" s="320">
        <f>IFERROR(__xludf.DUMMYFUNCTION("""COMPUTED_VALUE"""),17.29)</f>
        <v>17.29</v>
      </c>
    </row>
    <row r="378" ht="15.75" customHeight="1">
      <c r="A378" s="330">
        <f>IFERROR(__xludf.DUMMYFUNCTION("""COMPUTED_VALUE"""),46112.0)</f>
        <v>46112</v>
      </c>
      <c r="B378" s="319" t="str">
        <f>IFERROR(__xludf.DUMMYFUNCTION("""COMPUTED_VALUE"""),"E. 40-99")</f>
        <v>E. 40-99</v>
      </c>
      <c r="C378" s="320">
        <f>IFERROR(__xludf.DUMMYFUNCTION("""COMPUTED_VALUE"""),3302.0)</f>
        <v>3302</v>
      </c>
      <c r="D378" s="320">
        <f>IFERROR(__xludf.DUMMYFUNCTION("""COMPUTED_VALUE"""),4.26)</f>
        <v>4.26</v>
      </c>
      <c r="E378" s="320">
        <f>IFERROR(__xludf.DUMMYFUNCTION("""COMPUTED_VALUE"""),16906.06)</f>
        <v>16906.06</v>
      </c>
      <c r="F378" s="320">
        <f>IFERROR(__xludf.DUMMYFUNCTION("""COMPUTED_VALUE"""),5.1199)</f>
        <v>5.1199</v>
      </c>
      <c r="G378" s="320">
        <f>IFERROR(__xludf.DUMMYFUNCTION("""COMPUTED_VALUE"""),45.12)</f>
        <v>45.12</v>
      </c>
      <c r="H378" s="320">
        <f>IFERROR(__xludf.DUMMYFUNCTION("""COMPUTED_VALUE"""),11.3463)</f>
        <v>11.3463</v>
      </c>
      <c r="I378" s="320">
        <f>IFERROR(__xludf.DUMMYFUNCTION("""COMPUTED_VALUE"""),132.79)</f>
        <v>132.79</v>
      </c>
      <c r="J378" s="320">
        <f>IFERROR(__xludf.DUMMYFUNCTION("""COMPUTED_VALUE"""),83.41)</f>
        <v>83.41</v>
      </c>
      <c r="K378" s="320">
        <f>IFERROR(__xludf.DUMMYFUNCTION("""COMPUTED_VALUE"""),57.71)</f>
        <v>57.71</v>
      </c>
      <c r="L378" s="320">
        <f>IFERROR(__xludf.DUMMYFUNCTION("""COMPUTED_VALUE"""),0.6918)</f>
        <v>0.6918</v>
      </c>
      <c r="M378" s="320">
        <f>IFERROR(__xludf.DUMMYFUNCTION("""COMPUTED_VALUE"""),0.3977)</f>
        <v>0.3977</v>
      </c>
      <c r="N378" s="320">
        <f>IFERROR(__xludf.DUMMYFUNCTION("""COMPUTED_VALUE"""),0.2264)</f>
        <v>0.2264</v>
      </c>
      <c r="O378" s="320">
        <f>IFERROR(__xludf.DUMMYFUNCTION("""COMPUTED_VALUE"""),1.4454)</f>
        <v>1.4454</v>
      </c>
      <c r="P378" s="320">
        <f>IFERROR(__xludf.DUMMYFUNCTION("""COMPUTED_VALUE"""),794.05)</f>
        <v>794.05</v>
      </c>
      <c r="Q378" s="320">
        <f>IFERROR(__xludf.DUMMYFUNCTION("""COMPUTED_VALUE"""),684.64)</f>
        <v>684.64</v>
      </c>
      <c r="R378" s="320">
        <f>IFERROR(__xludf.DUMMYFUNCTION("""COMPUTED_VALUE"""),109.41)</f>
        <v>109.41</v>
      </c>
      <c r="S378" s="320">
        <f>IFERROR(__xludf.DUMMYFUNCTION("""COMPUTED_VALUE"""),310.48)</f>
        <v>310.48</v>
      </c>
      <c r="T378" s="320">
        <f>IFERROR(__xludf.DUMMYFUNCTION("""COMPUTED_VALUE"""),483.56)</f>
        <v>483.56</v>
      </c>
      <c r="U378" s="320">
        <f>IFERROR(__xludf.DUMMYFUNCTION("""COMPUTED_VALUE"""),738.96)</f>
        <v>738.96</v>
      </c>
      <c r="V378" s="320">
        <f>IFERROR(__xludf.DUMMYFUNCTION("""COMPUTED_VALUE"""),8.8589)</f>
        <v>8.8589</v>
      </c>
      <c r="W378" s="320">
        <f>IFERROR(__xludf.DUMMYFUNCTION("""COMPUTED_VALUE"""),39.1)</f>
        <v>39.1</v>
      </c>
      <c r="X378" s="320">
        <f>IFERROR(__xludf.DUMMYFUNCTION("""COMPUTED_VALUE"""),119.0)</f>
        <v>119</v>
      </c>
      <c r="Y378" s="320">
        <f>IFERROR(__xludf.DUMMYFUNCTION("""COMPUTED_VALUE"""),421.0)</f>
        <v>421</v>
      </c>
      <c r="Z378" s="320">
        <f>IFERROR(__xludf.DUMMYFUNCTION("""COMPUTED_VALUE"""),1124.0)</f>
        <v>1124</v>
      </c>
      <c r="AA378" s="320">
        <f>IFERROR(__xludf.DUMMYFUNCTION("""COMPUTED_VALUE"""),57.7807)</f>
        <v>57.7807</v>
      </c>
      <c r="AB378" s="320">
        <f>IFERROR(__xludf.DUMMYFUNCTION("""COMPUTED_VALUE"""),0.7487)</f>
        <v>0.7487</v>
      </c>
      <c r="AC378" s="320">
        <f>IFERROR(__xludf.DUMMYFUNCTION("""COMPUTED_VALUE"""),37.38)</f>
        <v>37.38</v>
      </c>
      <c r="AD378" s="320">
        <f>IFERROR(__xludf.DUMMYFUNCTION("""COMPUTED_VALUE"""),14.0)</f>
        <v>14</v>
      </c>
      <c r="AE378" s="320">
        <f>IFERROR(__xludf.DUMMYFUNCTION("""COMPUTED_VALUE"""),30.0)</f>
        <v>30</v>
      </c>
      <c r="AF378" s="320">
        <f>IFERROR(__xludf.DUMMYFUNCTION("""COMPUTED_VALUE"""),50.0)</f>
        <v>50</v>
      </c>
      <c r="AG378" s="320">
        <f>IFERROR(__xludf.DUMMYFUNCTION("""COMPUTED_VALUE"""),79.0)</f>
        <v>79</v>
      </c>
      <c r="AH378" s="320">
        <f>IFERROR(__xludf.DUMMYFUNCTION("""COMPUTED_VALUE"""),53.21)</f>
        <v>53.21</v>
      </c>
      <c r="AI378" s="320">
        <f>IFERROR(__xludf.DUMMYFUNCTION("""COMPUTED_VALUE"""),18.66)</f>
        <v>18.66</v>
      </c>
      <c r="AJ378" s="320">
        <f>IFERROR(__xludf.DUMMYFUNCTION("""COMPUTED_VALUE"""),4.63)</f>
        <v>4.63</v>
      </c>
      <c r="AK378" s="320">
        <f>IFERROR(__xludf.DUMMYFUNCTION("""COMPUTED_VALUE"""),0.1708)</f>
        <v>0.1708</v>
      </c>
      <c r="AL378" s="320">
        <f>IFERROR(__xludf.DUMMYFUNCTION("""COMPUTED_VALUE"""),24.53)</f>
        <v>24.53</v>
      </c>
      <c r="AM378" s="320">
        <f>IFERROR(__xludf.DUMMYFUNCTION("""COMPUTED_VALUE"""),660.11)</f>
        <v>660.11</v>
      </c>
      <c r="AN378" s="320">
        <f>IFERROR(__xludf.DUMMYFUNCTION("""COMPUTED_VALUE"""),74.88)</f>
        <v>74.88</v>
      </c>
      <c r="AO378" s="320">
        <f>IFERROR(__xludf.DUMMYFUNCTION("""COMPUTED_VALUE"""),18.37)</f>
        <v>18.37</v>
      </c>
    </row>
    <row r="379" ht="15.75" customHeight="1">
      <c r="A379" s="330">
        <f>IFERROR(__xludf.DUMMYFUNCTION("""COMPUTED_VALUE"""),46112.0)</f>
        <v>46112</v>
      </c>
      <c r="B379" s="319" t="str">
        <f>IFERROR(__xludf.DUMMYFUNCTION("""COMPUTED_VALUE"""),"F. 100+")</f>
        <v>F. 100+</v>
      </c>
      <c r="C379" s="320">
        <f>IFERROR(__xludf.DUMMYFUNCTION("""COMPUTED_VALUE"""),393.0)</f>
        <v>393</v>
      </c>
      <c r="D379" s="320">
        <f>IFERROR(__xludf.DUMMYFUNCTION("""COMPUTED_VALUE"""),0.51)</f>
        <v>0.51</v>
      </c>
      <c r="E379" s="320">
        <f>IFERROR(__xludf.DUMMYFUNCTION("""COMPUTED_VALUE"""),3266.3)</f>
        <v>3266.3</v>
      </c>
      <c r="F379" s="320">
        <f>IFERROR(__xludf.DUMMYFUNCTION("""COMPUTED_VALUE"""),8.3112)</f>
        <v>8.3112</v>
      </c>
      <c r="G379" s="320">
        <f>IFERROR(__xludf.DUMMYFUNCTION("""COMPUTED_VALUE"""),48.6)</f>
        <v>48.6</v>
      </c>
      <c r="H379" s="320">
        <f>IFERROR(__xludf.DUMMYFUNCTION("""COMPUTED_VALUE"""),17.101)</f>
        <v>17.101</v>
      </c>
      <c r="I379" s="320">
        <f>IFERROR(__xludf.DUMMYFUNCTION("""COMPUTED_VALUE"""),244.25)</f>
        <v>244.25</v>
      </c>
      <c r="J379" s="320">
        <f>IFERROR(__xludf.DUMMYFUNCTION("""COMPUTED_VALUE"""),162.35)</f>
        <v>162.35</v>
      </c>
      <c r="K379" s="320">
        <f>IFERROR(__xludf.DUMMYFUNCTION("""COMPUTED_VALUE"""),134.22)</f>
        <v>134.22</v>
      </c>
      <c r="L379" s="320">
        <f>IFERROR(__xludf.DUMMYFUNCTION("""COMPUTED_VALUE"""),0.8267)</f>
        <v>0.8267</v>
      </c>
      <c r="M379" s="320">
        <f>IFERROR(__xludf.DUMMYFUNCTION("""COMPUTED_VALUE"""),0.269)</f>
        <v>0.269</v>
      </c>
      <c r="N379" s="320">
        <f>IFERROR(__xludf.DUMMYFUNCTION("""COMPUTED_VALUE"""),0.1676)</f>
        <v>0.1676</v>
      </c>
      <c r="O379" s="320">
        <f>IFERROR(__xludf.DUMMYFUNCTION("""COMPUTED_VALUE"""),1.2096)</f>
        <v>1.2096</v>
      </c>
      <c r="P379" s="320">
        <f>IFERROR(__xludf.DUMMYFUNCTION("""COMPUTED_VALUE"""),1586.84)</f>
        <v>1586.84</v>
      </c>
      <c r="Q379" s="320">
        <f>IFERROR(__xludf.DUMMYFUNCTION("""COMPUTED_VALUE"""),1328.77)</f>
        <v>1328.77</v>
      </c>
      <c r="R379" s="320">
        <f>IFERROR(__xludf.DUMMYFUNCTION("""COMPUTED_VALUE"""),258.07)</f>
        <v>258.07</v>
      </c>
      <c r="S379" s="320">
        <f>IFERROR(__xludf.DUMMYFUNCTION("""COMPUTED_VALUE"""),520.67)</f>
        <v>520.67</v>
      </c>
      <c r="T379" s="320">
        <f>IFERROR(__xludf.DUMMYFUNCTION("""COMPUTED_VALUE"""),1066.17)</f>
        <v>1066.17</v>
      </c>
      <c r="U379" s="320">
        <f>IFERROR(__xludf.DUMMYFUNCTION("""COMPUTED_VALUE"""),1478.75)</f>
        <v>1478.75</v>
      </c>
      <c r="V379" s="320">
        <f>IFERROR(__xludf.DUMMYFUNCTION("""COMPUTED_VALUE"""),9.1082)</f>
        <v>9.1082</v>
      </c>
      <c r="W379" s="320">
        <f>IFERROR(__xludf.DUMMYFUNCTION("""COMPUTED_VALUE"""),32.81)</f>
        <v>32.81</v>
      </c>
      <c r="X379" s="320">
        <f>IFERROR(__xludf.DUMMYFUNCTION("""COMPUTED_VALUE"""),196.0)</f>
        <v>196</v>
      </c>
      <c r="Y379" s="320">
        <f>IFERROR(__xludf.DUMMYFUNCTION("""COMPUTED_VALUE"""),901.0)</f>
        <v>901</v>
      </c>
      <c r="Z379" s="320">
        <f>IFERROR(__xludf.DUMMYFUNCTION("""COMPUTED_VALUE"""),2566.0)</f>
        <v>2566</v>
      </c>
      <c r="AA379" s="320">
        <f>IFERROR(__xludf.DUMMYFUNCTION("""COMPUTED_VALUE"""),62.0959)</f>
        <v>62.0959</v>
      </c>
      <c r="AB379" s="320">
        <f>IFERROR(__xludf.DUMMYFUNCTION("""COMPUTED_VALUE"""),0.8368)</f>
        <v>0.8368</v>
      </c>
      <c r="AC379" s="320">
        <f>IFERROR(__xludf.DUMMYFUNCTION("""COMPUTED_VALUE"""),93.21)</f>
        <v>93.21</v>
      </c>
      <c r="AD379" s="320">
        <f>IFERROR(__xludf.DUMMYFUNCTION("""COMPUTED_VALUE"""),40.0)</f>
        <v>40</v>
      </c>
      <c r="AE379" s="320">
        <f>IFERROR(__xludf.DUMMYFUNCTION("""COMPUTED_VALUE"""),75.0)</f>
        <v>75</v>
      </c>
      <c r="AF379" s="320">
        <f>IFERROR(__xludf.DUMMYFUNCTION("""COMPUTED_VALUE"""),136.0)</f>
        <v>136</v>
      </c>
      <c r="AG379" s="320">
        <f>IFERROR(__xludf.DUMMYFUNCTION("""COMPUTED_VALUE"""),183.0)</f>
        <v>183</v>
      </c>
      <c r="AH379" s="320">
        <f>IFERROR(__xludf.DUMMYFUNCTION("""COMPUTED_VALUE"""),47.84)</f>
        <v>47.84</v>
      </c>
      <c r="AI379" s="320">
        <f>IFERROR(__xludf.DUMMYFUNCTION("""COMPUTED_VALUE"""),12.72)</f>
        <v>12.72</v>
      </c>
      <c r="AJ379" s="320">
        <f>IFERROR(__xludf.DUMMYFUNCTION("""COMPUTED_VALUE"""),1.78)</f>
        <v>1.78</v>
      </c>
      <c r="AK379" s="320">
        <f>IFERROR(__xludf.DUMMYFUNCTION("""COMPUTED_VALUE"""),0.0992)</f>
        <v>0.0992</v>
      </c>
      <c r="AL379" s="320">
        <f>IFERROR(__xludf.DUMMYFUNCTION("""COMPUTED_VALUE"""),26.79)</f>
        <v>26.79</v>
      </c>
      <c r="AM379" s="320">
        <f>IFERROR(__xludf.DUMMYFUNCTION("""COMPUTED_VALUE"""),1301.98)</f>
        <v>1301.98</v>
      </c>
      <c r="AN379" s="320">
        <f>IFERROR(__xludf.DUMMYFUNCTION("""COMPUTED_VALUE"""),77.28)</f>
        <v>77.28</v>
      </c>
      <c r="AO379" s="320">
        <f>IFERROR(__xludf.DUMMYFUNCTION("""COMPUTED_VALUE"""),20.7)</f>
        <v>20.7</v>
      </c>
    </row>
    <row r="380" ht="15.75" customHeight="1">
      <c r="A380" s="330">
        <f>IFERROR(__xludf.DUMMYFUNCTION("""COMPUTED_VALUE"""),46113.0)</f>
        <v>46113</v>
      </c>
      <c r="B380" s="319" t="str">
        <f>IFERROR(__xludf.DUMMYFUNCTION("""COMPUTED_VALUE"""),"A. 0")</f>
        <v>A. 0</v>
      </c>
      <c r="C380" s="320">
        <f>IFERROR(__xludf.DUMMYFUNCTION("""COMPUTED_VALUE"""),15513.0)</f>
        <v>15513</v>
      </c>
      <c r="D380" s="320">
        <f>IFERROR(__xludf.DUMMYFUNCTION("""COMPUTED_VALUE"""),20.72)</f>
        <v>20.72</v>
      </c>
      <c r="E380" s="320">
        <f>IFERROR(__xludf.DUMMYFUNCTION("""COMPUTED_VALUE"""),311.8)</f>
        <v>311.8</v>
      </c>
      <c r="F380" s="320">
        <f>IFERROR(__xludf.DUMMYFUNCTION("""COMPUTED_VALUE"""),0.0201)</f>
        <v>0.0201</v>
      </c>
      <c r="G380" s="320">
        <f>IFERROR(__xludf.DUMMYFUNCTION("""COMPUTED_VALUE"""),0.59)</f>
        <v>0.59</v>
      </c>
      <c r="H380" s="320">
        <f>IFERROR(__xludf.DUMMYFUNCTION("""COMPUTED_VALUE"""),3.4264)</f>
        <v>3.4264</v>
      </c>
      <c r="I380" s="320">
        <f>IFERROR(__xludf.DUMMYFUNCTION("""COMPUTED_VALUE"""),6.33)</f>
        <v>6.33</v>
      </c>
      <c r="J380" s="320">
        <f>IFERROR(__xludf.DUMMYFUNCTION("""COMPUTED_VALUE"""),2.88)</f>
        <v>2.88</v>
      </c>
      <c r="K380" s="320">
        <f>IFERROR(__xludf.DUMMYFUNCTION("""COMPUTED_VALUE"""),0.04)</f>
        <v>0.04</v>
      </c>
      <c r="L380" s="320">
        <f>IFERROR(__xludf.DUMMYFUNCTION("""COMPUTED_VALUE"""),0.0133)</f>
        <v>0.0133</v>
      </c>
      <c r="M380" s="320">
        <f>IFERROR(__xludf.DUMMYFUNCTION("""COMPUTED_VALUE"""),0.9881)</f>
        <v>0.9881</v>
      </c>
      <c r="N380" s="320">
        <f>IFERROR(__xludf.DUMMYFUNCTION("""COMPUTED_VALUE"""),0.8235)</f>
        <v>0.8235</v>
      </c>
      <c r="O380" s="320">
        <f>IFERROR(__xludf.DUMMYFUNCTION("""COMPUTED_VALUE"""),75.3451)</f>
        <v>75.3451</v>
      </c>
      <c r="P380" s="320">
        <f>IFERROR(__xludf.DUMMYFUNCTION("""COMPUTED_VALUE"""),25.15)</f>
        <v>25.15</v>
      </c>
      <c r="Q380" s="320">
        <f>IFERROR(__xludf.DUMMYFUNCTION("""COMPUTED_VALUE"""),25.06)</f>
        <v>25.06</v>
      </c>
      <c r="R380" s="320">
        <f>IFERROR(__xludf.DUMMYFUNCTION("""COMPUTED_VALUE"""),0.09)</f>
        <v>0.09</v>
      </c>
      <c r="S380" s="320">
        <f>IFERROR(__xludf.DUMMYFUNCTION("""COMPUTED_VALUE"""),1.18)</f>
        <v>1.18</v>
      </c>
      <c r="T380" s="320">
        <f>IFERROR(__xludf.DUMMYFUNCTION("""COMPUTED_VALUE"""),23.96)</f>
        <v>23.96</v>
      </c>
      <c r="U380" s="320">
        <f>IFERROR(__xludf.DUMMYFUNCTION("""COMPUTED_VALUE"""),2.19)</f>
        <v>2.19</v>
      </c>
      <c r="V380" s="320">
        <f>IFERROR(__xludf.DUMMYFUNCTION("""COMPUTED_VALUE"""),0.7575)</f>
        <v>0.7575</v>
      </c>
      <c r="W380" s="320">
        <f>IFERROR(__xludf.DUMMYFUNCTION("""COMPUTED_VALUE"""),4.71)</f>
        <v>4.71</v>
      </c>
      <c r="X380" s="320">
        <f>IFERROR(__xludf.DUMMYFUNCTION("""COMPUTED_VALUE"""),159.0)</f>
        <v>159</v>
      </c>
      <c r="Y380" s="320">
        <f>IFERROR(__xludf.DUMMYFUNCTION("""COMPUTED_VALUE"""),1100.0)</f>
        <v>1100</v>
      </c>
      <c r="Z380" s="320">
        <f>IFERROR(__xludf.DUMMYFUNCTION("""COMPUTED_VALUE"""),7481.0)</f>
        <v>7481</v>
      </c>
      <c r="AA380" s="320">
        <f>IFERROR(__xludf.DUMMYFUNCTION("""COMPUTED_VALUE"""),49.8946)</f>
        <v>49.8946</v>
      </c>
      <c r="AB380" s="320">
        <f>IFERROR(__xludf.DUMMYFUNCTION("""COMPUTED_VALUE"""),0.5161)</f>
        <v>0.5161</v>
      </c>
      <c r="AC380" s="106"/>
      <c r="AD380" s="106"/>
      <c r="AE380" s="106"/>
      <c r="AF380" s="106"/>
      <c r="AG380" s="106"/>
      <c r="AH380" s="320">
        <f>IFERROR(__xludf.DUMMYFUNCTION("""COMPUTED_VALUE"""),0.0)</f>
        <v>0</v>
      </c>
      <c r="AI380" s="320">
        <f>IFERROR(__xludf.DUMMYFUNCTION("""COMPUTED_VALUE"""),0.0)</f>
        <v>0</v>
      </c>
      <c r="AJ380" s="320">
        <f>IFERROR(__xludf.DUMMYFUNCTION("""COMPUTED_VALUE"""),0.0)</f>
        <v>0</v>
      </c>
      <c r="AK380" s="320">
        <f>IFERROR(__xludf.DUMMYFUNCTION("""COMPUTED_VALUE"""),0.2638)</f>
        <v>0.2638</v>
      </c>
      <c r="AL380" s="320">
        <f>IFERROR(__xludf.DUMMYFUNCTION("""COMPUTED_VALUE"""),15.17)</f>
        <v>15.17</v>
      </c>
      <c r="AM380" s="320">
        <f>IFERROR(__xludf.DUMMYFUNCTION("""COMPUTED_VALUE"""),9.89)</f>
        <v>9.89</v>
      </c>
      <c r="AN380" s="331"/>
      <c r="AO380" s="331"/>
    </row>
    <row r="381" ht="15.75" customHeight="1">
      <c r="A381" s="330">
        <f>IFERROR(__xludf.DUMMYFUNCTION("""COMPUTED_VALUE"""),46113.0)</f>
        <v>46113</v>
      </c>
      <c r="B381" s="319" t="str">
        <f>IFERROR(__xludf.DUMMYFUNCTION("""COMPUTED_VALUE"""),"B. 1-9")</f>
        <v>B. 1-9</v>
      </c>
      <c r="C381" s="320">
        <f>IFERROR(__xludf.DUMMYFUNCTION("""COMPUTED_VALUE"""),31029.0)</f>
        <v>31029</v>
      </c>
      <c r="D381" s="320">
        <f>IFERROR(__xludf.DUMMYFUNCTION("""COMPUTED_VALUE"""),41.44)</f>
        <v>41.44</v>
      </c>
      <c r="E381" s="320">
        <f>IFERROR(__xludf.DUMMYFUNCTION("""COMPUTED_VALUE"""),8925.73)</f>
        <v>8925.73</v>
      </c>
      <c r="F381" s="320">
        <f>IFERROR(__xludf.DUMMYFUNCTION("""COMPUTED_VALUE"""),0.2877)</f>
        <v>0.2877</v>
      </c>
      <c r="G381" s="320">
        <f>IFERROR(__xludf.DUMMYFUNCTION("""COMPUTED_VALUE"""),7.96)</f>
        <v>7.96</v>
      </c>
      <c r="H381" s="320">
        <f>IFERROR(__xludf.DUMMYFUNCTION("""COMPUTED_VALUE"""),3.6151)</f>
        <v>3.6151</v>
      </c>
      <c r="I381" s="320">
        <f>IFERROR(__xludf.DUMMYFUNCTION("""COMPUTED_VALUE"""),33.07)</f>
        <v>33.07</v>
      </c>
      <c r="J381" s="320">
        <f>IFERROR(__xludf.DUMMYFUNCTION("""COMPUTED_VALUE"""),17.84)</f>
        <v>17.84</v>
      </c>
      <c r="K381" s="320">
        <f>IFERROR(__xludf.DUMMYFUNCTION("""COMPUTED_VALUE"""),5.43)</f>
        <v>5.43</v>
      </c>
      <c r="L381" s="320">
        <f>IFERROR(__xludf.DUMMYFUNCTION("""COMPUTED_VALUE"""),0.3044)</f>
        <v>0.3044</v>
      </c>
      <c r="M381" s="320">
        <f>IFERROR(__xludf.DUMMYFUNCTION("""COMPUTED_VALUE"""),0.7621)</f>
        <v>0.7621</v>
      </c>
      <c r="N381" s="320">
        <f>IFERROR(__xludf.DUMMYFUNCTION("""COMPUTED_VALUE"""),0.5033)</f>
        <v>0.5033</v>
      </c>
      <c r="O381" s="320">
        <f>IFERROR(__xludf.DUMMYFUNCTION("""COMPUTED_VALUE"""),3.2848)</f>
        <v>3.2848</v>
      </c>
      <c r="P381" s="320">
        <f>IFERROR(__xludf.DUMMYFUNCTION("""COMPUTED_VALUE"""),69.67)</f>
        <v>69.67</v>
      </c>
      <c r="Q381" s="320">
        <f>IFERROR(__xludf.DUMMYFUNCTION("""COMPUTED_VALUE"""),60.31)</f>
        <v>60.31</v>
      </c>
      <c r="R381" s="320">
        <f>IFERROR(__xludf.DUMMYFUNCTION("""COMPUTED_VALUE"""),9.36)</f>
        <v>9.36</v>
      </c>
      <c r="S381" s="320">
        <f>IFERROR(__xludf.DUMMYFUNCTION("""COMPUTED_VALUE"""),16.56)</f>
        <v>16.56</v>
      </c>
      <c r="T381" s="320">
        <f>IFERROR(__xludf.DUMMYFUNCTION("""COMPUTED_VALUE"""),53.1)</f>
        <v>53.1</v>
      </c>
      <c r="U381" s="320">
        <f>IFERROR(__xludf.DUMMYFUNCTION("""COMPUTED_VALUE"""),74.49)</f>
        <v>74.49</v>
      </c>
      <c r="V381" s="320">
        <f>IFERROR(__xludf.DUMMYFUNCTION("""COMPUTED_VALUE"""),4.1746)</f>
        <v>4.1746</v>
      </c>
      <c r="W381" s="320">
        <f>IFERROR(__xludf.DUMMYFUNCTION("""COMPUTED_VALUE"""),23.77)</f>
        <v>23.77</v>
      </c>
      <c r="X381" s="320">
        <f>IFERROR(__xludf.DUMMYFUNCTION("""COMPUTED_VALUE"""),88.0)</f>
        <v>88</v>
      </c>
      <c r="Y381" s="320">
        <f>IFERROR(__xludf.DUMMYFUNCTION("""COMPUTED_VALUE"""),223.0)</f>
        <v>223</v>
      </c>
      <c r="Z381" s="320">
        <f>IFERROR(__xludf.DUMMYFUNCTION("""COMPUTED_VALUE"""),927.0)</f>
        <v>927</v>
      </c>
      <c r="AA381" s="320">
        <f>IFERROR(__xludf.DUMMYFUNCTION("""COMPUTED_VALUE"""),49.3664)</f>
        <v>49.3664</v>
      </c>
      <c r="AB381" s="320">
        <f>IFERROR(__xludf.DUMMYFUNCTION("""COMPUTED_VALUE"""),0.4423)</f>
        <v>0.4423</v>
      </c>
      <c r="AC381" s="320">
        <f>IFERROR(__xludf.DUMMYFUNCTION("""COMPUTED_VALUE"""),3.68)</f>
        <v>3.68</v>
      </c>
      <c r="AD381" s="320">
        <f>IFERROR(__xludf.DUMMYFUNCTION("""COMPUTED_VALUE"""),1.0)</f>
        <v>1</v>
      </c>
      <c r="AE381" s="320">
        <f>IFERROR(__xludf.DUMMYFUNCTION("""COMPUTED_VALUE"""),2.0)</f>
        <v>2</v>
      </c>
      <c r="AF381" s="320">
        <f>IFERROR(__xludf.DUMMYFUNCTION("""COMPUTED_VALUE"""),5.0)</f>
        <v>5</v>
      </c>
      <c r="AG381" s="320">
        <f>IFERROR(__xludf.DUMMYFUNCTION("""COMPUTED_VALUE"""),8.0)</f>
        <v>8</v>
      </c>
      <c r="AH381" s="320">
        <f>IFERROR(__xludf.DUMMYFUNCTION("""COMPUTED_VALUE"""),67.63)</f>
        <v>67.63</v>
      </c>
      <c r="AI381" s="320">
        <f>IFERROR(__xludf.DUMMYFUNCTION("""COMPUTED_VALUE"""),26.52)</f>
        <v>26.52</v>
      </c>
      <c r="AJ381" s="320">
        <f>IFERROR(__xludf.DUMMYFUNCTION("""COMPUTED_VALUE"""),7.61)</f>
        <v>7.61</v>
      </c>
      <c r="AK381" s="320">
        <f>IFERROR(__xludf.DUMMYFUNCTION("""COMPUTED_VALUE"""),0.2211)</f>
        <v>0.2211</v>
      </c>
      <c r="AL381" s="320">
        <f>IFERROR(__xludf.DUMMYFUNCTION("""COMPUTED_VALUE"""),19.39)</f>
        <v>19.39</v>
      </c>
      <c r="AM381" s="320">
        <f>IFERROR(__xludf.DUMMYFUNCTION("""COMPUTED_VALUE"""),40.92)</f>
        <v>40.92</v>
      </c>
      <c r="AN381" s="320">
        <f>IFERROR(__xludf.DUMMYFUNCTION("""COMPUTED_VALUE"""),68.66)</f>
        <v>68.66</v>
      </c>
      <c r="AO381" s="320">
        <f>IFERROR(__xludf.DUMMYFUNCTION("""COMPUTED_VALUE"""),13.31)</f>
        <v>13.31</v>
      </c>
    </row>
    <row r="382" ht="15.75" customHeight="1">
      <c r="A382" s="330">
        <f>IFERROR(__xludf.DUMMYFUNCTION("""COMPUTED_VALUE"""),46113.0)</f>
        <v>46113</v>
      </c>
      <c r="B382" s="319" t="str">
        <f>IFERROR(__xludf.DUMMYFUNCTION("""COMPUTED_VALUE"""),"C. 10-19")</f>
        <v>C. 10-19</v>
      </c>
      <c r="C382" s="320">
        <f>IFERROR(__xludf.DUMMYFUNCTION("""COMPUTED_VALUE"""),16550.0)</f>
        <v>16550</v>
      </c>
      <c r="D382" s="320">
        <f>IFERROR(__xludf.DUMMYFUNCTION("""COMPUTED_VALUE"""),22.1)</f>
        <v>22.1</v>
      </c>
      <c r="E382" s="320">
        <f>IFERROR(__xludf.DUMMYFUNCTION("""COMPUTED_VALUE"""),19892.65)</f>
        <v>19892.65</v>
      </c>
      <c r="F382" s="320">
        <f>IFERROR(__xludf.DUMMYFUNCTION("""COMPUTED_VALUE"""),1.202)</f>
        <v>1.202</v>
      </c>
      <c r="G382" s="320">
        <f>IFERROR(__xludf.DUMMYFUNCTION("""COMPUTED_VALUE"""),23.72)</f>
        <v>23.72</v>
      </c>
      <c r="H382" s="320">
        <f>IFERROR(__xludf.DUMMYFUNCTION("""COMPUTED_VALUE"""),5.0682)</f>
        <v>5.0682</v>
      </c>
      <c r="I382" s="320">
        <f>IFERROR(__xludf.DUMMYFUNCTION("""COMPUTED_VALUE"""),60.54)</f>
        <v>60.54</v>
      </c>
      <c r="J382" s="320">
        <f>IFERROR(__xludf.DUMMYFUNCTION("""COMPUTED_VALUE"""),34.95)</f>
        <v>34.95</v>
      </c>
      <c r="K382" s="320">
        <f>IFERROR(__xludf.DUMMYFUNCTION("""COMPUTED_VALUE"""),14.53)</f>
        <v>14.53</v>
      </c>
      <c r="L382" s="320">
        <f>IFERROR(__xludf.DUMMYFUNCTION("""COMPUTED_VALUE"""),0.4156)</f>
        <v>0.4156</v>
      </c>
      <c r="M382" s="320">
        <f>IFERROR(__xludf.DUMMYFUNCTION("""COMPUTED_VALUE"""),0.6449)</f>
        <v>0.6449</v>
      </c>
      <c r="N382" s="320">
        <f>IFERROR(__xludf.DUMMYFUNCTION("""COMPUTED_VALUE"""),0.3552)</f>
        <v>0.3552</v>
      </c>
      <c r="O382" s="320">
        <f>IFERROR(__xludf.DUMMYFUNCTION("""COMPUTED_VALUE"""),2.4063)</f>
        <v>2.4063</v>
      </c>
      <c r="P382" s="320">
        <f>IFERROR(__xludf.DUMMYFUNCTION("""COMPUTED_VALUE"""),160.23)</f>
        <v>160.23</v>
      </c>
      <c r="Q382" s="320">
        <f>IFERROR(__xludf.DUMMYFUNCTION("""COMPUTED_VALUE"""),136.57)</f>
        <v>136.57</v>
      </c>
      <c r="R382" s="320">
        <f>IFERROR(__xludf.DUMMYFUNCTION("""COMPUTED_VALUE"""),23.66)</f>
        <v>23.66</v>
      </c>
      <c r="S382" s="320">
        <f>IFERROR(__xludf.DUMMYFUNCTION("""COMPUTED_VALUE"""),71.35)</f>
        <v>71.35</v>
      </c>
      <c r="T382" s="320">
        <f>IFERROR(__xludf.DUMMYFUNCTION("""COMPUTED_VALUE"""),88.88)</f>
        <v>88.88</v>
      </c>
      <c r="U382" s="320">
        <f>IFERROR(__xludf.DUMMYFUNCTION("""COMPUTED_VALUE"""),174.71)</f>
        <v>174.71</v>
      </c>
      <c r="V382" s="320">
        <f>IFERROR(__xludf.DUMMYFUNCTION("""COMPUTED_VALUE"""),4.9984)</f>
        <v>4.9984</v>
      </c>
      <c r="W382" s="320">
        <f>IFERROR(__xludf.DUMMYFUNCTION("""COMPUTED_VALUE"""),44.53)</f>
        <v>44.53</v>
      </c>
      <c r="X382" s="320">
        <f>IFERROR(__xludf.DUMMYFUNCTION("""COMPUTED_VALUE"""),81.0)</f>
        <v>81</v>
      </c>
      <c r="Y382" s="320">
        <f>IFERROR(__xludf.DUMMYFUNCTION("""COMPUTED_VALUE"""),186.0)</f>
        <v>186</v>
      </c>
      <c r="Z382" s="320">
        <f>IFERROR(__xludf.DUMMYFUNCTION("""COMPUTED_VALUE"""),628.0)</f>
        <v>628</v>
      </c>
      <c r="AA382" s="320">
        <f>IFERROR(__xludf.DUMMYFUNCTION("""COMPUTED_VALUE"""),52.3434)</f>
        <v>52.3434</v>
      </c>
      <c r="AB382" s="320">
        <f>IFERROR(__xludf.DUMMYFUNCTION("""COMPUTED_VALUE"""),0.5291)</f>
        <v>0.5291</v>
      </c>
      <c r="AC382" s="320">
        <f>IFERROR(__xludf.DUMMYFUNCTION("""COMPUTED_VALUE"""),8.97)</f>
        <v>8.97</v>
      </c>
      <c r="AD382" s="320">
        <f>IFERROR(__xludf.DUMMYFUNCTION("""COMPUTED_VALUE"""),3.0)</f>
        <v>3</v>
      </c>
      <c r="AE382" s="320">
        <f>IFERROR(__xludf.DUMMYFUNCTION("""COMPUTED_VALUE"""),6.0)</f>
        <v>6</v>
      </c>
      <c r="AF382" s="320">
        <f>IFERROR(__xludf.DUMMYFUNCTION("""COMPUTED_VALUE"""),12.0)</f>
        <v>12</v>
      </c>
      <c r="AG382" s="320">
        <f>IFERROR(__xludf.DUMMYFUNCTION("""COMPUTED_VALUE"""),20.0)</f>
        <v>20</v>
      </c>
      <c r="AH382" s="320">
        <f>IFERROR(__xludf.DUMMYFUNCTION("""COMPUTED_VALUE"""),54.69)</f>
        <v>54.69</v>
      </c>
      <c r="AI382" s="320">
        <f>IFERROR(__xludf.DUMMYFUNCTION("""COMPUTED_VALUE"""),24.66)</f>
        <v>24.66</v>
      </c>
      <c r="AJ382" s="320">
        <f>IFERROR(__xludf.DUMMYFUNCTION("""COMPUTED_VALUE"""),5.02)</f>
        <v>5.02</v>
      </c>
      <c r="AK382" s="320">
        <f>IFERROR(__xludf.DUMMYFUNCTION("""COMPUTED_VALUE"""),0.1924)</f>
        <v>0.1924</v>
      </c>
      <c r="AL382" s="320">
        <f>IFERROR(__xludf.DUMMYFUNCTION("""COMPUTED_VALUE"""),20.45)</f>
        <v>20.45</v>
      </c>
      <c r="AM382" s="320">
        <f>IFERROR(__xludf.DUMMYFUNCTION("""COMPUTED_VALUE"""),116.12)</f>
        <v>116.12</v>
      </c>
      <c r="AN382" s="320">
        <f>IFERROR(__xludf.DUMMYFUNCTION("""COMPUTED_VALUE"""),72.88)</f>
        <v>72.88</v>
      </c>
      <c r="AO382" s="320">
        <f>IFERROR(__xludf.DUMMYFUNCTION("""COMPUTED_VALUE"""),14.9)</f>
        <v>14.9</v>
      </c>
    </row>
    <row r="383" ht="15.75" customHeight="1">
      <c r="A383" s="330">
        <f>IFERROR(__xludf.DUMMYFUNCTION("""COMPUTED_VALUE"""),46113.0)</f>
        <v>46113</v>
      </c>
      <c r="B383" s="319" t="str">
        <f>IFERROR(__xludf.DUMMYFUNCTION("""COMPUTED_VALUE"""),"D. 20-39")</f>
        <v>D. 20-39</v>
      </c>
      <c r="C383" s="320">
        <f>IFERROR(__xludf.DUMMYFUNCTION("""COMPUTED_VALUE"""),8258.0)</f>
        <v>8258</v>
      </c>
      <c r="D383" s="320">
        <f>IFERROR(__xludf.DUMMYFUNCTION("""COMPUTED_VALUE"""),11.03)</f>
        <v>11.03</v>
      </c>
      <c r="E383" s="320">
        <f>IFERROR(__xludf.DUMMYFUNCTION("""COMPUTED_VALUE"""),22257.39)</f>
        <v>22257.39</v>
      </c>
      <c r="F383" s="320">
        <f>IFERROR(__xludf.DUMMYFUNCTION("""COMPUTED_VALUE"""),2.6953)</f>
        <v>2.6953</v>
      </c>
      <c r="G383" s="320">
        <f>IFERROR(__xludf.DUMMYFUNCTION("""COMPUTED_VALUE"""),35.4)</f>
        <v>35.4</v>
      </c>
      <c r="H383" s="320">
        <f>IFERROR(__xludf.DUMMYFUNCTION("""COMPUTED_VALUE"""),7.6146)</f>
        <v>7.6146</v>
      </c>
      <c r="I383" s="320">
        <f>IFERROR(__xludf.DUMMYFUNCTION("""COMPUTED_VALUE"""),82.72)</f>
        <v>82.72</v>
      </c>
      <c r="J383" s="320">
        <f>IFERROR(__xludf.DUMMYFUNCTION("""COMPUTED_VALUE"""),50.35)</f>
        <v>50.35</v>
      </c>
      <c r="K383" s="320">
        <f>IFERROR(__xludf.DUMMYFUNCTION("""COMPUTED_VALUE"""),26.77)</f>
        <v>26.77</v>
      </c>
      <c r="L383" s="320">
        <f>IFERROR(__xludf.DUMMYFUNCTION("""COMPUTED_VALUE"""),0.5317)</f>
        <v>0.5317</v>
      </c>
      <c r="M383" s="320">
        <f>IFERROR(__xludf.DUMMYFUNCTION("""COMPUTED_VALUE"""),0.5393)</f>
        <v>0.5393</v>
      </c>
      <c r="N383" s="320">
        <f>IFERROR(__xludf.DUMMYFUNCTION("""COMPUTED_VALUE"""),0.2883)</f>
        <v>0.2883</v>
      </c>
      <c r="O383" s="320">
        <f>IFERROR(__xludf.DUMMYFUNCTION("""COMPUTED_VALUE"""),1.8808)</f>
        <v>1.8808</v>
      </c>
      <c r="P383" s="320">
        <f>IFERROR(__xludf.DUMMYFUNCTION("""COMPUTED_VALUE"""),306.31)</f>
        <v>306.31</v>
      </c>
      <c r="Q383" s="320">
        <f>IFERROR(__xludf.DUMMYFUNCTION("""COMPUTED_VALUE"""),260.68)</f>
        <v>260.68</v>
      </c>
      <c r="R383" s="320">
        <f>IFERROR(__xludf.DUMMYFUNCTION("""COMPUTED_VALUE"""),45.63)</f>
        <v>45.63</v>
      </c>
      <c r="S383" s="320">
        <f>IFERROR(__xludf.DUMMYFUNCTION("""COMPUTED_VALUE"""),164.5)</f>
        <v>164.5</v>
      </c>
      <c r="T383" s="320">
        <f>IFERROR(__xludf.DUMMYFUNCTION("""COMPUTED_VALUE"""),141.81)</f>
        <v>141.81</v>
      </c>
      <c r="U383" s="320">
        <f>IFERROR(__xludf.DUMMYFUNCTION("""COMPUTED_VALUE"""),331.88)</f>
        <v>331.88</v>
      </c>
      <c r="V383" s="320">
        <f>IFERROR(__xludf.DUMMYFUNCTION("""COMPUTED_VALUE"""),6.5914)</f>
        <v>6.5914</v>
      </c>
      <c r="W383" s="320">
        <f>IFERROR(__xludf.DUMMYFUNCTION("""COMPUTED_VALUE"""),53.7)</f>
        <v>53.7</v>
      </c>
      <c r="X383" s="320">
        <f>IFERROR(__xludf.DUMMYFUNCTION("""COMPUTED_VALUE"""),85.0)</f>
        <v>85</v>
      </c>
      <c r="Y383" s="320">
        <f>IFERROR(__xludf.DUMMYFUNCTION("""COMPUTED_VALUE"""),207.0)</f>
        <v>207</v>
      </c>
      <c r="Z383" s="320">
        <f>IFERROR(__xludf.DUMMYFUNCTION("""COMPUTED_VALUE"""),676.0)</f>
        <v>676</v>
      </c>
      <c r="AA383" s="320">
        <f>IFERROR(__xludf.DUMMYFUNCTION("""COMPUTED_VALUE"""),54.6061)</f>
        <v>54.6061</v>
      </c>
      <c r="AB383" s="320">
        <f>IFERROR(__xludf.DUMMYFUNCTION("""COMPUTED_VALUE"""),0.6632)</f>
        <v>0.6632</v>
      </c>
      <c r="AC383" s="320">
        <f>IFERROR(__xludf.DUMMYFUNCTION("""COMPUTED_VALUE"""),17.28)</f>
        <v>17.28</v>
      </c>
      <c r="AD383" s="320">
        <f>IFERROR(__xludf.DUMMYFUNCTION("""COMPUTED_VALUE"""),6.0)</f>
        <v>6</v>
      </c>
      <c r="AE383" s="320">
        <f>IFERROR(__xludf.DUMMYFUNCTION("""COMPUTED_VALUE"""),13.0)</f>
        <v>13</v>
      </c>
      <c r="AF383" s="320">
        <f>IFERROR(__xludf.DUMMYFUNCTION("""COMPUTED_VALUE"""),24.0)</f>
        <v>24</v>
      </c>
      <c r="AG383" s="320">
        <f>IFERROR(__xludf.DUMMYFUNCTION("""COMPUTED_VALUE"""),38.0)</f>
        <v>38</v>
      </c>
      <c r="AH383" s="320">
        <f>IFERROR(__xludf.DUMMYFUNCTION("""COMPUTED_VALUE"""),55.22)</f>
        <v>55.22</v>
      </c>
      <c r="AI383" s="320">
        <f>IFERROR(__xludf.DUMMYFUNCTION("""COMPUTED_VALUE"""),23.06)</f>
        <v>23.06</v>
      </c>
      <c r="AJ383" s="320">
        <f>IFERROR(__xludf.DUMMYFUNCTION("""COMPUTED_VALUE"""),7.52)</f>
        <v>7.52</v>
      </c>
      <c r="AK383" s="320">
        <f>IFERROR(__xludf.DUMMYFUNCTION("""COMPUTED_VALUE"""),0.1952)</f>
        <v>0.1952</v>
      </c>
      <c r="AL383" s="320">
        <f>IFERROR(__xludf.DUMMYFUNCTION("""COMPUTED_VALUE"""),20.15)</f>
        <v>20.15</v>
      </c>
      <c r="AM383" s="320">
        <f>IFERROR(__xludf.DUMMYFUNCTION("""COMPUTED_VALUE"""),240.53)</f>
        <v>240.53</v>
      </c>
      <c r="AN383" s="320">
        <f>IFERROR(__xludf.DUMMYFUNCTION("""COMPUTED_VALUE"""),74.62)</f>
        <v>74.62</v>
      </c>
      <c r="AO383" s="320">
        <f>IFERROR(__xludf.DUMMYFUNCTION("""COMPUTED_VALUE"""),15.04)</f>
        <v>15.04</v>
      </c>
    </row>
    <row r="384" ht="15.75" customHeight="1">
      <c r="A384" s="330">
        <f>IFERROR(__xludf.DUMMYFUNCTION("""COMPUTED_VALUE"""),46113.0)</f>
        <v>46113</v>
      </c>
      <c r="B384" s="319" t="str">
        <f>IFERROR(__xludf.DUMMYFUNCTION("""COMPUTED_VALUE"""),"E. 40-99")</f>
        <v>E. 40-99</v>
      </c>
      <c r="C384" s="320">
        <f>IFERROR(__xludf.DUMMYFUNCTION("""COMPUTED_VALUE"""),3132.0)</f>
        <v>3132</v>
      </c>
      <c r="D384" s="320">
        <f>IFERROR(__xludf.DUMMYFUNCTION("""COMPUTED_VALUE"""),4.18)</f>
        <v>4.18</v>
      </c>
      <c r="E384" s="320">
        <f>IFERROR(__xludf.DUMMYFUNCTION("""COMPUTED_VALUE"""),18671.31)</f>
        <v>18671.31</v>
      </c>
      <c r="F384" s="320">
        <f>IFERROR(__xludf.DUMMYFUNCTION("""COMPUTED_VALUE"""),5.9615)</f>
        <v>5.9615</v>
      </c>
      <c r="G384" s="320">
        <f>IFERROR(__xludf.DUMMYFUNCTION("""COMPUTED_VALUE"""),44.22)</f>
        <v>44.22</v>
      </c>
      <c r="H384" s="320">
        <f>IFERROR(__xludf.DUMMYFUNCTION("""COMPUTED_VALUE"""),13.4811)</f>
        <v>13.4811</v>
      </c>
      <c r="I384" s="320">
        <f>IFERROR(__xludf.DUMMYFUNCTION("""COMPUTED_VALUE"""),127.92)</f>
        <v>127.92</v>
      </c>
      <c r="J384" s="320">
        <f>IFERROR(__xludf.DUMMYFUNCTION("""COMPUTED_VALUE"""),80.17)</f>
        <v>80.17</v>
      </c>
      <c r="K384" s="320">
        <f>IFERROR(__xludf.DUMMYFUNCTION("""COMPUTED_VALUE"""),52.44)</f>
        <v>52.44</v>
      </c>
      <c r="L384" s="320">
        <f>IFERROR(__xludf.DUMMYFUNCTION("""COMPUTED_VALUE"""),0.6542)</f>
        <v>0.6542</v>
      </c>
      <c r="M384" s="320">
        <f>IFERROR(__xludf.DUMMYFUNCTION("""COMPUTED_VALUE"""),0.4305)</f>
        <v>0.4305</v>
      </c>
      <c r="N384" s="320">
        <f>IFERROR(__xludf.DUMMYFUNCTION("""COMPUTED_VALUE"""),0.2391)</f>
        <v>0.2391</v>
      </c>
      <c r="O384" s="320">
        <f>IFERROR(__xludf.DUMMYFUNCTION("""COMPUTED_VALUE"""),1.5287)</f>
        <v>1.5287</v>
      </c>
      <c r="P384" s="320">
        <f>IFERROR(__xludf.DUMMYFUNCTION("""COMPUTED_VALUE"""),616.46)</f>
        <v>616.46</v>
      </c>
      <c r="Q384" s="320">
        <f>IFERROR(__xludf.DUMMYFUNCTION("""COMPUTED_VALUE"""),525.1)</f>
        <v>525.1</v>
      </c>
      <c r="R384" s="320">
        <f>IFERROR(__xludf.DUMMYFUNCTION("""COMPUTED_VALUE"""),91.35)</f>
        <v>91.35</v>
      </c>
      <c r="S384" s="320">
        <f>IFERROR(__xludf.DUMMYFUNCTION("""COMPUTED_VALUE"""),364.79)</f>
        <v>364.79</v>
      </c>
      <c r="T384" s="320">
        <f>IFERROR(__xludf.DUMMYFUNCTION("""COMPUTED_VALUE"""),251.67)</f>
        <v>251.67</v>
      </c>
      <c r="U384" s="320">
        <f>IFERROR(__xludf.DUMMYFUNCTION("""COMPUTED_VALUE"""),662.82)</f>
        <v>662.82</v>
      </c>
      <c r="V384" s="320">
        <f>IFERROR(__xludf.DUMMYFUNCTION("""COMPUTED_VALUE"""),8.2679)</f>
        <v>8.2679</v>
      </c>
      <c r="W384" s="320">
        <f>IFERROR(__xludf.DUMMYFUNCTION("""COMPUTED_VALUE"""),59.18)</f>
        <v>59.18</v>
      </c>
      <c r="X384" s="320">
        <f>IFERROR(__xludf.DUMMYFUNCTION("""COMPUTED_VALUE"""),96.0)</f>
        <v>96</v>
      </c>
      <c r="Y384" s="320">
        <f>IFERROR(__xludf.DUMMYFUNCTION("""COMPUTED_VALUE"""),339.0)</f>
        <v>339</v>
      </c>
      <c r="Z384" s="320">
        <f>IFERROR(__xludf.DUMMYFUNCTION("""COMPUTED_VALUE"""),1003.0)</f>
        <v>1003</v>
      </c>
      <c r="AA384" s="320">
        <f>IFERROR(__xludf.DUMMYFUNCTION("""COMPUTED_VALUE"""),57.9176)</f>
        <v>57.9176</v>
      </c>
      <c r="AB384" s="320">
        <f>IFERROR(__xludf.DUMMYFUNCTION("""COMPUTED_VALUE"""),0.7716)</f>
        <v>0.7716</v>
      </c>
      <c r="AC384" s="320">
        <f>IFERROR(__xludf.DUMMYFUNCTION("""COMPUTED_VALUE"""),34.78)</f>
        <v>34.78</v>
      </c>
      <c r="AD384" s="320">
        <f>IFERROR(__xludf.DUMMYFUNCTION("""COMPUTED_VALUE"""),11.0)</f>
        <v>11</v>
      </c>
      <c r="AE384" s="320">
        <f>IFERROR(__xludf.DUMMYFUNCTION("""COMPUTED_VALUE"""),24.0)</f>
        <v>24</v>
      </c>
      <c r="AF384" s="320">
        <f>IFERROR(__xludf.DUMMYFUNCTION("""COMPUTED_VALUE"""),49.0)</f>
        <v>49</v>
      </c>
      <c r="AG384" s="320">
        <f>IFERROR(__xludf.DUMMYFUNCTION("""COMPUTED_VALUE"""),77.0)</f>
        <v>77</v>
      </c>
      <c r="AH384" s="320">
        <f>IFERROR(__xludf.DUMMYFUNCTION("""COMPUTED_VALUE"""),46.17)</f>
        <v>46.17</v>
      </c>
      <c r="AI384" s="320">
        <f>IFERROR(__xludf.DUMMYFUNCTION("""COMPUTED_VALUE"""),18.45)</f>
        <v>18.45</v>
      </c>
      <c r="AJ384" s="320">
        <f>IFERROR(__xludf.DUMMYFUNCTION("""COMPUTED_VALUE"""),5.24)</f>
        <v>5.24</v>
      </c>
      <c r="AK384" s="320">
        <f>IFERROR(__xludf.DUMMYFUNCTION("""COMPUTED_VALUE"""),0.1737)</f>
        <v>0.1737</v>
      </c>
      <c r="AL384" s="320">
        <f>IFERROR(__xludf.DUMMYFUNCTION("""COMPUTED_VALUE"""),19.92)</f>
        <v>19.92</v>
      </c>
      <c r="AM384" s="320">
        <f>IFERROR(__xludf.DUMMYFUNCTION("""COMPUTED_VALUE"""),505.18)</f>
        <v>505.18</v>
      </c>
      <c r="AN384" s="320">
        <f>IFERROR(__xludf.DUMMYFUNCTION("""COMPUTED_VALUE"""),77.22)</f>
        <v>77.22</v>
      </c>
      <c r="AO384" s="320">
        <f>IFERROR(__xludf.DUMMYFUNCTION("""COMPUTED_VALUE"""),15.38)</f>
        <v>15.38</v>
      </c>
    </row>
    <row r="385" ht="15.75" customHeight="1">
      <c r="A385" s="330">
        <f>IFERROR(__xludf.DUMMYFUNCTION("""COMPUTED_VALUE"""),46113.0)</f>
        <v>46113</v>
      </c>
      <c r="B385" s="319" t="str">
        <f>IFERROR(__xludf.DUMMYFUNCTION("""COMPUTED_VALUE"""),"F. 100+")</f>
        <v>F. 100+</v>
      </c>
      <c r="C385" s="320">
        <f>IFERROR(__xludf.DUMMYFUNCTION("""COMPUTED_VALUE"""),388.0)</f>
        <v>388</v>
      </c>
      <c r="D385" s="320">
        <f>IFERROR(__xludf.DUMMYFUNCTION("""COMPUTED_VALUE"""),0.52)</f>
        <v>0.52</v>
      </c>
      <c r="E385" s="320">
        <f>IFERROR(__xludf.DUMMYFUNCTION("""COMPUTED_VALUE"""),4224.68)</f>
        <v>4224.68</v>
      </c>
      <c r="F385" s="320">
        <f>IFERROR(__xludf.DUMMYFUNCTION("""COMPUTED_VALUE"""),10.8884)</f>
        <v>10.8884</v>
      </c>
      <c r="G385" s="320">
        <f>IFERROR(__xludf.DUMMYFUNCTION("""COMPUTED_VALUE"""),51.03)</f>
        <v>51.03</v>
      </c>
      <c r="H385" s="320">
        <f>IFERROR(__xludf.DUMMYFUNCTION("""COMPUTED_VALUE"""),21.3368)</f>
        <v>21.3368</v>
      </c>
      <c r="I385" s="320">
        <f>IFERROR(__xludf.DUMMYFUNCTION("""COMPUTED_VALUE"""),231.57)</f>
        <v>231.57</v>
      </c>
      <c r="J385" s="320">
        <f>IFERROR(__xludf.DUMMYFUNCTION("""COMPUTED_VALUE"""),153.07)</f>
        <v>153.07</v>
      </c>
      <c r="K385" s="320">
        <f>IFERROR(__xludf.DUMMYFUNCTION("""COMPUTED_VALUE"""),122.58)</f>
        <v>122.58</v>
      </c>
      <c r="L385" s="320">
        <f>IFERROR(__xludf.DUMMYFUNCTION("""COMPUTED_VALUE"""),0.8008)</f>
        <v>0.8008</v>
      </c>
      <c r="M385" s="320">
        <f>IFERROR(__xludf.DUMMYFUNCTION("""COMPUTED_VALUE"""),0.2953)</f>
        <v>0.2953</v>
      </c>
      <c r="N385" s="320">
        <f>IFERROR(__xludf.DUMMYFUNCTION("""COMPUTED_VALUE"""),0.181)</f>
        <v>0.181</v>
      </c>
      <c r="O385" s="320">
        <f>IFERROR(__xludf.DUMMYFUNCTION("""COMPUTED_VALUE"""),1.2488)</f>
        <v>1.2488</v>
      </c>
      <c r="P385" s="320">
        <f>IFERROR(__xludf.DUMMYFUNCTION("""COMPUTED_VALUE"""),1215.59)</f>
        <v>1215.59</v>
      </c>
      <c r="Q385" s="320">
        <f>IFERROR(__xludf.DUMMYFUNCTION("""COMPUTED_VALUE"""),1000.58)</f>
        <v>1000.58</v>
      </c>
      <c r="R385" s="320">
        <f>IFERROR(__xludf.DUMMYFUNCTION("""COMPUTED_VALUE"""),215.01)</f>
        <v>215.01</v>
      </c>
      <c r="S385" s="320">
        <f>IFERROR(__xludf.DUMMYFUNCTION("""COMPUTED_VALUE"""),709.54)</f>
        <v>709.54</v>
      </c>
      <c r="T385" s="320">
        <f>IFERROR(__xludf.DUMMYFUNCTION("""COMPUTED_VALUE"""),506.06)</f>
        <v>506.06</v>
      </c>
      <c r="U385" s="320">
        <f>IFERROR(__xludf.DUMMYFUNCTION("""COMPUTED_VALUE"""),1343.94)</f>
        <v>1343.94</v>
      </c>
      <c r="V385" s="320">
        <f>IFERROR(__xludf.DUMMYFUNCTION("""COMPUTED_VALUE"""),8.7798)</f>
        <v>8.7798</v>
      </c>
      <c r="W385" s="320">
        <f>IFERROR(__xludf.DUMMYFUNCTION("""COMPUTED_VALUE"""),58.37)</f>
        <v>58.37</v>
      </c>
      <c r="X385" s="320">
        <f>IFERROR(__xludf.DUMMYFUNCTION("""COMPUTED_VALUE"""),135.0)</f>
        <v>135</v>
      </c>
      <c r="Y385" s="320">
        <f>IFERROR(__xludf.DUMMYFUNCTION("""COMPUTED_VALUE"""),669.0)</f>
        <v>669</v>
      </c>
      <c r="Z385" s="320">
        <f>IFERROR(__xludf.DUMMYFUNCTION("""COMPUTED_VALUE"""),2552.0)</f>
        <v>2552</v>
      </c>
      <c r="AA385" s="320">
        <f>IFERROR(__xludf.DUMMYFUNCTION("""COMPUTED_VALUE"""),62.3297)</f>
        <v>62.3297</v>
      </c>
      <c r="AB385" s="320">
        <f>IFERROR(__xludf.DUMMYFUNCTION("""COMPUTED_VALUE"""),0.8499)</f>
        <v>0.8499</v>
      </c>
      <c r="AC385" s="320">
        <f>IFERROR(__xludf.DUMMYFUNCTION("""COMPUTED_VALUE"""),84.03)</f>
        <v>84.03</v>
      </c>
      <c r="AD385" s="320">
        <f>IFERROR(__xludf.DUMMYFUNCTION("""COMPUTED_VALUE"""),28.0)</f>
        <v>28</v>
      </c>
      <c r="AE385" s="320">
        <f>IFERROR(__xludf.DUMMYFUNCTION("""COMPUTED_VALUE"""),67.0)</f>
        <v>67</v>
      </c>
      <c r="AF385" s="320">
        <f>IFERROR(__xludf.DUMMYFUNCTION("""COMPUTED_VALUE"""),117.0)</f>
        <v>117</v>
      </c>
      <c r="AG385" s="320">
        <f>IFERROR(__xludf.DUMMYFUNCTION("""COMPUTED_VALUE"""),180.0)</f>
        <v>180</v>
      </c>
      <c r="AH385" s="320">
        <f>IFERROR(__xludf.DUMMYFUNCTION("""COMPUTED_VALUE"""),44.59)</f>
        <v>44.59</v>
      </c>
      <c r="AI385" s="320">
        <f>IFERROR(__xludf.DUMMYFUNCTION("""COMPUTED_VALUE"""),11.86)</f>
        <v>11.86</v>
      </c>
      <c r="AJ385" s="320">
        <f>IFERROR(__xludf.DUMMYFUNCTION("""COMPUTED_VALUE"""),2.32)</f>
        <v>2.32</v>
      </c>
      <c r="AK385" s="320">
        <f>IFERROR(__xludf.DUMMYFUNCTION("""COMPUTED_VALUE"""),0.0979)</f>
        <v>0.0979</v>
      </c>
      <c r="AL385" s="320">
        <f>IFERROR(__xludf.DUMMYFUNCTION("""COMPUTED_VALUE"""),21.61)</f>
        <v>21.61</v>
      </c>
      <c r="AM385" s="320">
        <f>IFERROR(__xludf.DUMMYFUNCTION("""COMPUTED_VALUE"""),978.97)</f>
        <v>978.97</v>
      </c>
      <c r="AN385" s="320">
        <f>IFERROR(__xludf.DUMMYFUNCTION("""COMPUTED_VALUE"""),78.42)</f>
        <v>78.42</v>
      </c>
      <c r="AO385" s="320">
        <f>IFERROR(__xludf.DUMMYFUNCTION("""COMPUTED_VALUE"""),16.95)</f>
        <v>16.95</v>
      </c>
    </row>
    <row r="386" ht="15.75" customHeight="1">
      <c r="A386" s="330">
        <f>IFERROR(__xludf.DUMMYFUNCTION("""COMPUTED_VALUE"""),46114.0)</f>
        <v>46114</v>
      </c>
      <c r="B386" s="319" t="str">
        <f>IFERROR(__xludf.DUMMYFUNCTION("""COMPUTED_VALUE"""),"A. 0")</f>
        <v>A. 0</v>
      </c>
      <c r="C386" s="320">
        <f>IFERROR(__xludf.DUMMYFUNCTION("""COMPUTED_VALUE"""),16488.0)</f>
        <v>16488</v>
      </c>
      <c r="D386" s="320">
        <f>IFERROR(__xludf.DUMMYFUNCTION("""COMPUTED_VALUE"""),22.29)</f>
        <v>22.29</v>
      </c>
      <c r="E386" s="320">
        <f>IFERROR(__xludf.DUMMYFUNCTION("""COMPUTED_VALUE"""),223.61)</f>
        <v>223.61</v>
      </c>
      <c r="F386" s="320">
        <f>IFERROR(__xludf.DUMMYFUNCTION("""COMPUTED_VALUE"""),0.0136)</f>
        <v>0.0136</v>
      </c>
      <c r="G386" s="320">
        <f>IFERROR(__xludf.DUMMYFUNCTION("""COMPUTED_VALUE"""),0.36)</f>
        <v>0.36</v>
      </c>
      <c r="H386" s="320">
        <f>IFERROR(__xludf.DUMMYFUNCTION("""COMPUTED_VALUE"""),3.79)</f>
        <v>3.79</v>
      </c>
      <c r="I386" s="320">
        <f>IFERROR(__xludf.DUMMYFUNCTION("""COMPUTED_VALUE"""),6.44)</f>
        <v>6.44</v>
      </c>
      <c r="J386" s="320">
        <f>IFERROR(__xludf.DUMMYFUNCTION("""COMPUTED_VALUE"""),2.9)</f>
        <v>2.9</v>
      </c>
      <c r="K386" s="320">
        <f>IFERROR(__xludf.DUMMYFUNCTION("""COMPUTED_VALUE"""),0.05)</f>
        <v>0.05</v>
      </c>
      <c r="L386" s="320">
        <f>IFERROR(__xludf.DUMMYFUNCTION("""COMPUTED_VALUE"""),0.0188)</f>
        <v>0.0188</v>
      </c>
      <c r="M386" s="320">
        <f>IFERROR(__xludf.DUMMYFUNCTION("""COMPUTED_VALUE"""),0.9824)</f>
        <v>0.9824</v>
      </c>
      <c r="N386" s="320">
        <f>IFERROR(__xludf.DUMMYFUNCTION("""COMPUTED_VALUE"""),0.7652)</f>
        <v>0.7652</v>
      </c>
      <c r="O386" s="320">
        <f>IFERROR(__xludf.DUMMYFUNCTION("""COMPUTED_VALUE"""),53.2022)</f>
        <v>53.2022</v>
      </c>
      <c r="P386" s="320">
        <f>IFERROR(__xludf.DUMMYFUNCTION("""COMPUTED_VALUE"""),23.68)</f>
        <v>23.68</v>
      </c>
      <c r="Q386" s="320">
        <f>IFERROR(__xludf.DUMMYFUNCTION("""COMPUTED_VALUE"""),23.61)</f>
        <v>23.61</v>
      </c>
      <c r="R386" s="320">
        <f>IFERROR(__xludf.DUMMYFUNCTION("""COMPUTED_VALUE"""),0.06)</f>
        <v>0.06</v>
      </c>
      <c r="S386" s="320">
        <f>IFERROR(__xludf.DUMMYFUNCTION("""COMPUTED_VALUE"""),0.96)</f>
        <v>0.96</v>
      </c>
      <c r="T386" s="320">
        <f>IFERROR(__xludf.DUMMYFUNCTION("""COMPUTED_VALUE"""),22.72)</f>
        <v>22.72</v>
      </c>
      <c r="U386" s="320">
        <f>IFERROR(__xludf.DUMMYFUNCTION("""COMPUTED_VALUE"""),2.2)</f>
        <v>2.2</v>
      </c>
      <c r="V386" s="320">
        <f>IFERROR(__xludf.DUMMYFUNCTION("""COMPUTED_VALUE"""),0.7571)</f>
        <v>0.7571</v>
      </c>
      <c r="W386" s="320">
        <f>IFERROR(__xludf.DUMMYFUNCTION("""COMPUTED_VALUE"""),4.05)</f>
        <v>4.05</v>
      </c>
      <c r="X386" s="320">
        <f>IFERROR(__xludf.DUMMYFUNCTION("""COMPUTED_VALUE"""),140.0)</f>
        <v>140</v>
      </c>
      <c r="Y386" s="320">
        <f>IFERROR(__xludf.DUMMYFUNCTION("""COMPUTED_VALUE"""),1042.0)</f>
        <v>1042</v>
      </c>
      <c r="Z386" s="320">
        <f>IFERROR(__xludf.DUMMYFUNCTION("""COMPUTED_VALUE"""),6945.0)</f>
        <v>6945</v>
      </c>
      <c r="AA386" s="320">
        <f>IFERROR(__xludf.DUMMYFUNCTION("""COMPUTED_VALUE"""),49.6893)</f>
        <v>49.6893</v>
      </c>
      <c r="AB386" s="320">
        <f>IFERROR(__xludf.DUMMYFUNCTION("""COMPUTED_VALUE"""),0.5123)</f>
        <v>0.5123</v>
      </c>
      <c r="AC386" s="106"/>
      <c r="AD386" s="106"/>
      <c r="AE386" s="106"/>
      <c r="AF386" s="106"/>
      <c r="AG386" s="106"/>
      <c r="AH386" s="320">
        <f>IFERROR(__xludf.DUMMYFUNCTION("""COMPUTED_VALUE"""),0.0)</f>
        <v>0</v>
      </c>
      <c r="AI386" s="320">
        <f>IFERROR(__xludf.DUMMYFUNCTION("""COMPUTED_VALUE"""),0.0)</f>
        <v>0</v>
      </c>
      <c r="AJ386" s="320">
        <f>IFERROR(__xludf.DUMMYFUNCTION("""COMPUTED_VALUE"""),0.0)</f>
        <v>0</v>
      </c>
      <c r="AK386" s="320">
        <f>IFERROR(__xludf.DUMMYFUNCTION("""COMPUTED_VALUE"""),0.2727)</f>
        <v>0.2727</v>
      </c>
      <c r="AL386" s="320">
        <f>IFERROR(__xludf.DUMMYFUNCTION("""COMPUTED_VALUE"""),15.57)</f>
        <v>15.57</v>
      </c>
      <c r="AM386" s="320">
        <f>IFERROR(__xludf.DUMMYFUNCTION("""COMPUTED_VALUE"""),8.04)</f>
        <v>8.04</v>
      </c>
      <c r="AN386" s="331"/>
      <c r="AO386" s="331"/>
    </row>
    <row r="387" ht="15.75" customHeight="1">
      <c r="A387" s="330">
        <f>IFERROR(__xludf.DUMMYFUNCTION("""COMPUTED_VALUE"""),46114.0)</f>
        <v>46114</v>
      </c>
      <c r="B387" s="319" t="str">
        <f>IFERROR(__xludf.DUMMYFUNCTION("""COMPUTED_VALUE"""),"B. 1-9")</f>
        <v>B. 1-9</v>
      </c>
      <c r="C387" s="320">
        <f>IFERROR(__xludf.DUMMYFUNCTION("""COMPUTED_VALUE"""),30481.0)</f>
        <v>30481</v>
      </c>
      <c r="D387" s="320">
        <f>IFERROR(__xludf.DUMMYFUNCTION("""COMPUTED_VALUE"""),41.2)</f>
        <v>41.2</v>
      </c>
      <c r="E387" s="320">
        <f>IFERROR(__xludf.DUMMYFUNCTION("""COMPUTED_VALUE"""),8278.97)</f>
        <v>8278.97</v>
      </c>
      <c r="F387" s="320">
        <f>IFERROR(__xludf.DUMMYFUNCTION("""COMPUTED_VALUE"""),0.2716)</f>
        <v>0.2716</v>
      </c>
      <c r="G387" s="320">
        <f>IFERROR(__xludf.DUMMYFUNCTION("""COMPUTED_VALUE"""),7.64)</f>
        <v>7.64</v>
      </c>
      <c r="H387" s="320">
        <f>IFERROR(__xludf.DUMMYFUNCTION("""COMPUTED_VALUE"""),3.5547)</f>
        <v>3.5547</v>
      </c>
      <c r="I387" s="320">
        <f>IFERROR(__xludf.DUMMYFUNCTION("""COMPUTED_VALUE"""),29.86)</f>
        <v>29.86</v>
      </c>
      <c r="J387" s="320">
        <f>IFERROR(__xludf.DUMMYFUNCTION("""COMPUTED_VALUE"""),15.82)</f>
        <v>15.82</v>
      </c>
      <c r="K387" s="320">
        <f>IFERROR(__xludf.DUMMYFUNCTION("""COMPUTED_VALUE"""),5.12)</f>
        <v>5.12</v>
      </c>
      <c r="L387" s="320">
        <f>IFERROR(__xludf.DUMMYFUNCTION("""COMPUTED_VALUE"""),0.3235)</f>
        <v>0.3235</v>
      </c>
      <c r="M387" s="320">
        <f>IFERROR(__xludf.DUMMYFUNCTION("""COMPUTED_VALUE"""),0.7495)</f>
        <v>0.7495</v>
      </c>
      <c r="N387" s="320">
        <f>IFERROR(__xludf.DUMMYFUNCTION("""COMPUTED_VALUE"""),0.5021)</f>
        <v>0.5021</v>
      </c>
      <c r="O387" s="320">
        <f>IFERROR(__xludf.DUMMYFUNCTION("""COMPUTED_VALUE"""),3.0914)</f>
        <v>3.0914</v>
      </c>
      <c r="P387" s="320">
        <f>IFERROR(__xludf.DUMMYFUNCTION("""COMPUTED_VALUE"""),65.51)</f>
        <v>65.51</v>
      </c>
      <c r="Q387" s="320">
        <f>IFERROR(__xludf.DUMMYFUNCTION("""COMPUTED_VALUE"""),56.9)</f>
        <v>56.9</v>
      </c>
      <c r="R387" s="320">
        <f>IFERROR(__xludf.DUMMYFUNCTION("""COMPUTED_VALUE"""),8.61)</f>
        <v>8.61</v>
      </c>
      <c r="S387" s="320">
        <f>IFERROR(__xludf.DUMMYFUNCTION("""COMPUTED_VALUE"""),16.44)</f>
        <v>16.44</v>
      </c>
      <c r="T387" s="320">
        <f>IFERROR(__xludf.DUMMYFUNCTION("""COMPUTED_VALUE"""),49.07)</f>
        <v>49.07</v>
      </c>
      <c r="U387" s="320">
        <f>IFERROR(__xludf.DUMMYFUNCTION("""COMPUTED_VALUE"""),71.27)</f>
        <v>71.27</v>
      </c>
      <c r="V387" s="320">
        <f>IFERROR(__xludf.DUMMYFUNCTION("""COMPUTED_VALUE"""),4.5048)</f>
        <v>4.5048</v>
      </c>
      <c r="W387" s="320">
        <f>IFERROR(__xludf.DUMMYFUNCTION("""COMPUTED_VALUE"""),25.1)</f>
        <v>25.1</v>
      </c>
      <c r="X387" s="320">
        <f>IFERROR(__xludf.DUMMYFUNCTION("""COMPUTED_VALUE"""),86.0)</f>
        <v>86</v>
      </c>
      <c r="Y387" s="320">
        <f>IFERROR(__xludf.DUMMYFUNCTION("""COMPUTED_VALUE"""),214.0)</f>
        <v>214</v>
      </c>
      <c r="Z387" s="320">
        <f>IFERROR(__xludf.DUMMYFUNCTION("""COMPUTED_VALUE"""),890.0)</f>
        <v>890</v>
      </c>
      <c r="AA387" s="320">
        <f>IFERROR(__xludf.DUMMYFUNCTION("""COMPUTED_VALUE"""),49.5074)</f>
        <v>49.5074</v>
      </c>
      <c r="AB387" s="320">
        <f>IFERROR(__xludf.DUMMYFUNCTION("""COMPUTED_VALUE"""),0.4467)</f>
        <v>0.4467</v>
      </c>
      <c r="AC387" s="320">
        <f>IFERROR(__xludf.DUMMYFUNCTION("""COMPUTED_VALUE"""),3.53)</f>
        <v>3.53</v>
      </c>
      <c r="AD387" s="320">
        <f>IFERROR(__xludf.DUMMYFUNCTION("""COMPUTED_VALUE"""),1.0)</f>
        <v>1</v>
      </c>
      <c r="AE387" s="320">
        <f>IFERROR(__xludf.DUMMYFUNCTION("""COMPUTED_VALUE"""),2.0)</f>
        <v>2</v>
      </c>
      <c r="AF387" s="320">
        <f>IFERROR(__xludf.DUMMYFUNCTION("""COMPUTED_VALUE"""),4.0)</f>
        <v>4</v>
      </c>
      <c r="AG387" s="320">
        <f>IFERROR(__xludf.DUMMYFUNCTION("""COMPUTED_VALUE"""),8.0)</f>
        <v>8</v>
      </c>
      <c r="AH387" s="320">
        <f>IFERROR(__xludf.DUMMYFUNCTION("""COMPUTED_VALUE"""),65.54)</f>
        <v>65.54</v>
      </c>
      <c r="AI387" s="320">
        <f>IFERROR(__xludf.DUMMYFUNCTION("""COMPUTED_VALUE"""),24.91)</f>
        <v>24.91</v>
      </c>
      <c r="AJ387" s="320">
        <f>IFERROR(__xludf.DUMMYFUNCTION("""COMPUTED_VALUE"""),7.25)</f>
        <v>7.25</v>
      </c>
      <c r="AK387" s="320">
        <f>IFERROR(__xludf.DUMMYFUNCTION("""COMPUTED_VALUE"""),0.2333)</f>
        <v>0.2333</v>
      </c>
      <c r="AL387" s="320">
        <f>IFERROR(__xludf.DUMMYFUNCTION("""COMPUTED_VALUE"""),20.25)</f>
        <v>20.25</v>
      </c>
      <c r="AM387" s="320">
        <f>IFERROR(__xludf.DUMMYFUNCTION("""COMPUTED_VALUE"""),36.65)</f>
        <v>36.65</v>
      </c>
      <c r="AN387" s="320">
        <f>IFERROR(__xludf.DUMMYFUNCTION("""COMPUTED_VALUE"""),68.32)</f>
        <v>68.32</v>
      </c>
      <c r="AO387" s="320">
        <f>IFERROR(__xludf.DUMMYFUNCTION("""COMPUTED_VALUE"""),13.83)</f>
        <v>13.83</v>
      </c>
    </row>
    <row r="388" ht="15.75" customHeight="1">
      <c r="A388" s="330">
        <f>IFERROR(__xludf.DUMMYFUNCTION("""COMPUTED_VALUE"""),46114.0)</f>
        <v>46114</v>
      </c>
      <c r="B388" s="319" t="str">
        <f>IFERROR(__xludf.DUMMYFUNCTION("""COMPUTED_VALUE"""),"C. 10-19")</f>
        <v>C. 10-19</v>
      </c>
      <c r="C388" s="320">
        <f>IFERROR(__xludf.DUMMYFUNCTION("""COMPUTED_VALUE"""),15701.0)</f>
        <v>15701</v>
      </c>
      <c r="D388" s="320">
        <f>IFERROR(__xludf.DUMMYFUNCTION("""COMPUTED_VALUE"""),21.22)</f>
        <v>21.22</v>
      </c>
      <c r="E388" s="320">
        <f>IFERROR(__xludf.DUMMYFUNCTION("""COMPUTED_VALUE"""),17227.9)</f>
        <v>17227.9</v>
      </c>
      <c r="F388" s="320">
        <f>IFERROR(__xludf.DUMMYFUNCTION("""COMPUTED_VALUE"""),1.0972)</f>
        <v>1.0972</v>
      </c>
      <c r="G388" s="320">
        <f>IFERROR(__xludf.DUMMYFUNCTION("""COMPUTED_VALUE"""),22.48)</f>
        <v>22.48</v>
      </c>
      <c r="H388" s="320">
        <f>IFERROR(__xludf.DUMMYFUNCTION("""COMPUTED_VALUE"""),4.8818)</f>
        <v>4.8818</v>
      </c>
      <c r="I388" s="320">
        <f>IFERROR(__xludf.DUMMYFUNCTION("""COMPUTED_VALUE"""),54.26)</f>
        <v>54.26</v>
      </c>
      <c r="J388" s="320">
        <f>IFERROR(__xludf.DUMMYFUNCTION("""COMPUTED_VALUE"""),30.97)</f>
        <v>30.97</v>
      </c>
      <c r="K388" s="320">
        <f>IFERROR(__xludf.DUMMYFUNCTION("""COMPUTED_VALUE"""),13.28)</f>
        <v>13.28</v>
      </c>
      <c r="L388" s="320">
        <f>IFERROR(__xludf.DUMMYFUNCTION("""COMPUTED_VALUE"""),0.4287)</f>
        <v>0.4287</v>
      </c>
      <c r="M388" s="320">
        <f>IFERROR(__xludf.DUMMYFUNCTION("""COMPUTED_VALUE"""),0.6367)</f>
        <v>0.6367</v>
      </c>
      <c r="N388" s="320">
        <f>IFERROR(__xludf.DUMMYFUNCTION("""COMPUTED_VALUE"""),0.3606)</f>
        <v>0.3606</v>
      </c>
      <c r="O388" s="320">
        <f>IFERROR(__xludf.DUMMYFUNCTION("""COMPUTED_VALUE"""),2.3328)</f>
        <v>2.3328</v>
      </c>
      <c r="P388" s="320">
        <f>IFERROR(__xludf.DUMMYFUNCTION("""COMPUTED_VALUE"""),157.76)</f>
        <v>157.76</v>
      </c>
      <c r="Q388" s="320">
        <f>IFERROR(__xludf.DUMMYFUNCTION("""COMPUTED_VALUE"""),136.18)</f>
        <v>136.18</v>
      </c>
      <c r="R388" s="320">
        <f>IFERROR(__xludf.DUMMYFUNCTION("""COMPUTED_VALUE"""),21.58)</f>
        <v>21.58</v>
      </c>
      <c r="S388" s="320">
        <f>IFERROR(__xludf.DUMMYFUNCTION("""COMPUTED_VALUE"""),67.83)</f>
        <v>67.83</v>
      </c>
      <c r="T388" s="320">
        <f>IFERROR(__xludf.DUMMYFUNCTION("""COMPUTED_VALUE"""),89.93)</f>
        <v>89.93</v>
      </c>
      <c r="U388" s="320">
        <f>IFERROR(__xludf.DUMMYFUNCTION("""COMPUTED_VALUE"""),167.23)</f>
        <v>167.23</v>
      </c>
      <c r="V388" s="320">
        <f>IFERROR(__xludf.DUMMYFUNCTION("""COMPUTED_VALUE"""),5.3997)</f>
        <v>5.3997</v>
      </c>
      <c r="W388" s="320">
        <f>IFERROR(__xludf.DUMMYFUNCTION("""COMPUTED_VALUE"""),43.0)</f>
        <v>43</v>
      </c>
      <c r="X388" s="320">
        <f>IFERROR(__xludf.DUMMYFUNCTION("""COMPUTED_VALUE"""),81.0)</f>
        <v>81</v>
      </c>
      <c r="Y388" s="320">
        <f>IFERROR(__xludf.DUMMYFUNCTION("""COMPUTED_VALUE"""),179.0)</f>
        <v>179</v>
      </c>
      <c r="Z388" s="320">
        <f>IFERROR(__xludf.DUMMYFUNCTION("""COMPUTED_VALUE"""),625.0)</f>
        <v>625</v>
      </c>
      <c r="AA388" s="320">
        <f>IFERROR(__xludf.DUMMYFUNCTION("""COMPUTED_VALUE"""),52.385)</f>
        <v>52.385</v>
      </c>
      <c r="AB388" s="320">
        <f>IFERROR(__xludf.DUMMYFUNCTION("""COMPUTED_VALUE"""),0.5424)</f>
        <v>0.5424</v>
      </c>
      <c r="AC388" s="320">
        <f>IFERROR(__xludf.DUMMYFUNCTION("""COMPUTED_VALUE"""),8.47)</f>
        <v>8.47</v>
      </c>
      <c r="AD388" s="320">
        <f>IFERROR(__xludf.DUMMYFUNCTION("""COMPUTED_VALUE"""),2.0)</f>
        <v>2</v>
      </c>
      <c r="AE388" s="320">
        <f>IFERROR(__xludf.DUMMYFUNCTION("""COMPUTED_VALUE"""),6.0)</f>
        <v>6</v>
      </c>
      <c r="AF388" s="320">
        <f>IFERROR(__xludf.DUMMYFUNCTION("""COMPUTED_VALUE"""),12.0)</f>
        <v>12</v>
      </c>
      <c r="AG388" s="320">
        <f>IFERROR(__xludf.DUMMYFUNCTION("""COMPUTED_VALUE"""),19.0)</f>
        <v>19</v>
      </c>
      <c r="AH388" s="320">
        <f>IFERROR(__xludf.DUMMYFUNCTION("""COMPUTED_VALUE"""),52.63)</f>
        <v>52.63</v>
      </c>
      <c r="AI388" s="320">
        <f>IFERROR(__xludf.DUMMYFUNCTION("""COMPUTED_VALUE"""),22.89)</f>
        <v>22.89</v>
      </c>
      <c r="AJ388" s="320">
        <f>IFERROR(__xludf.DUMMYFUNCTION("""COMPUTED_VALUE"""),4.33)</f>
        <v>4.33</v>
      </c>
      <c r="AK388" s="320">
        <f>IFERROR(__xludf.DUMMYFUNCTION("""COMPUTED_VALUE"""),0.2009)</f>
        <v>0.2009</v>
      </c>
      <c r="AL388" s="320">
        <f>IFERROR(__xludf.DUMMYFUNCTION("""COMPUTED_VALUE"""),20.8)</f>
        <v>20.8</v>
      </c>
      <c r="AM388" s="320">
        <f>IFERROR(__xludf.DUMMYFUNCTION("""COMPUTED_VALUE"""),115.37)</f>
        <v>115.37</v>
      </c>
      <c r="AN388" s="320">
        <f>IFERROR(__xludf.DUMMYFUNCTION("""COMPUTED_VALUE"""),74.0)</f>
        <v>74</v>
      </c>
      <c r="AO388" s="320">
        <f>IFERROR(__xludf.DUMMYFUNCTION("""COMPUTED_VALUE"""),15.39)</f>
        <v>15.39</v>
      </c>
    </row>
    <row r="389" ht="15.75" customHeight="1">
      <c r="A389" s="330">
        <f>IFERROR(__xludf.DUMMYFUNCTION("""COMPUTED_VALUE"""),46114.0)</f>
        <v>46114</v>
      </c>
      <c r="B389" s="319" t="str">
        <f>IFERROR(__xludf.DUMMYFUNCTION("""COMPUTED_VALUE"""),"D. 20-39")</f>
        <v>D. 20-39</v>
      </c>
      <c r="C389" s="320">
        <f>IFERROR(__xludf.DUMMYFUNCTION("""COMPUTED_VALUE"""),7931.0)</f>
        <v>7931</v>
      </c>
      <c r="D389" s="320">
        <f>IFERROR(__xludf.DUMMYFUNCTION("""COMPUTED_VALUE"""),10.72)</f>
        <v>10.72</v>
      </c>
      <c r="E389" s="320">
        <f>IFERROR(__xludf.DUMMYFUNCTION("""COMPUTED_VALUE"""),20191.1)</f>
        <v>20191.1</v>
      </c>
      <c r="F389" s="320">
        <f>IFERROR(__xludf.DUMMYFUNCTION("""COMPUTED_VALUE"""),2.5458)</f>
        <v>2.5458</v>
      </c>
      <c r="G389" s="320">
        <f>IFERROR(__xludf.DUMMYFUNCTION("""COMPUTED_VALUE"""),33.9)</f>
        <v>33.9</v>
      </c>
      <c r="H389" s="320">
        <f>IFERROR(__xludf.DUMMYFUNCTION("""COMPUTED_VALUE"""),7.5088)</f>
        <v>7.5088</v>
      </c>
      <c r="I389" s="320">
        <f>IFERROR(__xludf.DUMMYFUNCTION("""COMPUTED_VALUE"""),77.66)</f>
        <v>77.66</v>
      </c>
      <c r="J389" s="320">
        <f>IFERROR(__xludf.DUMMYFUNCTION("""COMPUTED_VALUE"""),46.72)</f>
        <v>46.72</v>
      </c>
      <c r="K389" s="320">
        <f>IFERROR(__xludf.DUMMYFUNCTION("""COMPUTED_VALUE"""),25.09)</f>
        <v>25.09</v>
      </c>
      <c r="L389" s="320">
        <f>IFERROR(__xludf.DUMMYFUNCTION("""COMPUTED_VALUE"""),0.537)</f>
        <v>0.537</v>
      </c>
      <c r="M389" s="320">
        <f>IFERROR(__xludf.DUMMYFUNCTION("""COMPUTED_VALUE"""),0.5378)</f>
        <v>0.5378</v>
      </c>
      <c r="N389" s="320">
        <f>IFERROR(__xludf.DUMMYFUNCTION("""COMPUTED_VALUE"""),0.298)</f>
        <v>0.298</v>
      </c>
      <c r="O389" s="320">
        <f>IFERROR(__xludf.DUMMYFUNCTION("""COMPUTED_VALUE"""),1.8621)</f>
        <v>1.8621</v>
      </c>
      <c r="P389" s="320">
        <f>IFERROR(__xludf.DUMMYFUNCTION("""COMPUTED_VALUE"""),317.01)</f>
        <v>317.01</v>
      </c>
      <c r="Q389" s="320">
        <f>IFERROR(__xludf.DUMMYFUNCTION("""COMPUTED_VALUE"""),274.71)</f>
        <v>274.71</v>
      </c>
      <c r="R389" s="320">
        <f>IFERROR(__xludf.DUMMYFUNCTION("""COMPUTED_VALUE"""),42.31)</f>
        <v>42.31</v>
      </c>
      <c r="S389" s="320">
        <f>IFERROR(__xludf.DUMMYFUNCTION("""COMPUTED_VALUE"""),160.36)</f>
        <v>160.36</v>
      </c>
      <c r="T389" s="320">
        <f>IFERROR(__xludf.DUMMYFUNCTION("""COMPUTED_VALUE"""),156.66)</f>
        <v>156.66</v>
      </c>
      <c r="U389" s="320">
        <f>IFERROR(__xludf.DUMMYFUNCTION("""COMPUTED_VALUE"""),328.07)</f>
        <v>328.07</v>
      </c>
      <c r="V389" s="320">
        <f>IFERROR(__xludf.DUMMYFUNCTION("""COMPUTED_VALUE"""),7.0224)</f>
        <v>7.0224</v>
      </c>
      <c r="W389" s="320">
        <f>IFERROR(__xludf.DUMMYFUNCTION("""COMPUTED_VALUE"""),50.58)</f>
        <v>50.58</v>
      </c>
      <c r="X389" s="320">
        <f>IFERROR(__xludf.DUMMYFUNCTION("""COMPUTED_VALUE"""),84.0)</f>
        <v>84</v>
      </c>
      <c r="Y389" s="320">
        <f>IFERROR(__xludf.DUMMYFUNCTION("""COMPUTED_VALUE"""),214.0)</f>
        <v>214</v>
      </c>
      <c r="Z389" s="320">
        <f>IFERROR(__xludf.DUMMYFUNCTION("""COMPUTED_VALUE"""),677.0)</f>
        <v>677</v>
      </c>
      <c r="AA389" s="320">
        <f>IFERROR(__xludf.DUMMYFUNCTION("""COMPUTED_VALUE"""),54.5589)</f>
        <v>54.5589</v>
      </c>
      <c r="AB389" s="320">
        <f>IFERROR(__xludf.DUMMYFUNCTION("""COMPUTED_VALUE"""),0.6625)</f>
        <v>0.6625</v>
      </c>
      <c r="AC389" s="320">
        <f>IFERROR(__xludf.DUMMYFUNCTION("""COMPUTED_VALUE"""),16.19)</f>
        <v>16.19</v>
      </c>
      <c r="AD389" s="320">
        <f>IFERROR(__xludf.DUMMYFUNCTION("""COMPUTED_VALUE"""),5.0)</f>
        <v>5</v>
      </c>
      <c r="AE389" s="320">
        <f>IFERROR(__xludf.DUMMYFUNCTION("""COMPUTED_VALUE"""),12.0)</f>
        <v>12</v>
      </c>
      <c r="AF389" s="320">
        <f>IFERROR(__xludf.DUMMYFUNCTION("""COMPUTED_VALUE"""),23.0)</f>
        <v>23</v>
      </c>
      <c r="AG389" s="320">
        <f>IFERROR(__xludf.DUMMYFUNCTION("""COMPUTED_VALUE"""),35.0)</f>
        <v>35</v>
      </c>
      <c r="AH389" s="320">
        <f>IFERROR(__xludf.DUMMYFUNCTION("""COMPUTED_VALUE"""),52.18)</f>
        <v>52.18</v>
      </c>
      <c r="AI389" s="320">
        <f>IFERROR(__xludf.DUMMYFUNCTION("""COMPUTED_VALUE"""),20.58)</f>
        <v>20.58</v>
      </c>
      <c r="AJ389" s="320">
        <f>IFERROR(__xludf.DUMMYFUNCTION("""COMPUTED_VALUE"""),6.3)</f>
        <v>6.3</v>
      </c>
      <c r="AK389" s="320">
        <f>IFERROR(__xludf.DUMMYFUNCTION("""COMPUTED_VALUE"""),0.203)</f>
        <v>0.203</v>
      </c>
      <c r="AL389" s="320">
        <f>IFERROR(__xludf.DUMMYFUNCTION("""COMPUTED_VALUE"""),20.8)</f>
        <v>20.8</v>
      </c>
      <c r="AM389" s="320">
        <f>IFERROR(__xludf.DUMMYFUNCTION("""COMPUTED_VALUE"""),253.91)</f>
        <v>253.91</v>
      </c>
      <c r="AN389" s="320">
        <f>IFERROR(__xludf.DUMMYFUNCTION("""COMPUTED_VALUE"""),75.55)</f>
        <v>75.55</v>
      </c>
      <c r="AO389" s="320">
        <f>IFERROR(__xludf.DUMMYFUNCTION("""COMPUTED_VALUE"""),15.71)</f>
        <v>15.71</v>
      </c>
    </row>
    <row r="390" ht="15.75" customHeight="1">
      <c r="A390" s="330">
        <f>IFERROR(__xludf.DUMMYFUNCTION("""COMPUTED_VALUE"""),46114.0)</f>
        <v>46114</v>
      </c>
      <c r="B390" s="319" t="str">
        <f>IFERROR(__xludf.DUMMYFUNCTION("""COMPUTED_VALUE"""),"E. 40-99")</f>
        <v>E. 40-99</v>
      </c>
      <c r="C390" s="320">
        <f>IFERROR(__xludf.DUMMYFUNCTION("""COMPUTED_VALUE"""),3041.0)</f>
        <v>3041</v>
      </c>
      <c r="D390" s="320">
        <f>IFERROR(__xludf.DUMMYFUNCTION("""COMPUTED_VALUE"""),4.11)</f>
        <v>4.11</v>
      </c>
      <c r="E390" s="320">
        <f>IFERROR(__xludf.DUMMYFUNCTION("""COMPUTED_VALUE"""),17620.37)</f>
        <v>17620.37</v>
      </c>
      <c r="F390" s="320">
        <f>IFERROR(__xludf.DUMMYFUNCTION("""COMPUTED_VALUE"""),5.7943)</f>
        <v>5.7943</v>
      </c>
      <c r="G390" s="320">
        <f>IFERROR(__xludf.DUMMYFUNCTION("""COMPUTED_VALUE"""),44.0)</f>
        <v>44</v>
      </c>
      <c r="H390" s="320">
        <f>IFERROR(__xludf.DUMMYFUNCTION("""COMPUTED_VALUE"""),13.1692)</f>
        <v>13.1692</v>
      </c>
      <c r="I390" s="320">
        <f>IFERROR(__xludf.DUMMYFUNCTION("""COMPUTED_VALUE"""),125.44)</f>
        <v>125.44</v>
      </c>
      <c r="J390" s="320">
        <f>IFERROR(__xludf.DUMMYFUNCTION("""COMPUTED_VALUE"""),78.78)</f>
        <v>78.78</v>
      </c>
      <c r="K390" s="320">
        <f>IFERROR(__xludf.DUMMYFUNCTION("""COMPUTED_VALUE"""),51.49)</f>
        <v>51.49</v>
      </c>
      <c r="L390" s="320">
        <f>IFERROR(__xludf.DUMMYFUNCTION("""COMPUTED_VALUE"""),0.6537)</f>
        <v>0.6537</v>
      </c>
      <c r="M390" s="320">
        <f>IFERROR(__xludf.DUMMYFUNCTION("""COMPUTED_VALUE"""),0.4336)</f>
        <v>0.4336</v>
      </c>
      <c r="N390" s="320">
        <f>IFERROR(__xludf.DUMMYFUNCTION("""COMPUTED_VALUE"""),0.2442)</f>
        <v>0.2442</v>
      </c>
      <c r="O390" s="320">
        <f>IFERROR(__xludf.DUMMYFUNCTION("""COMPUTED_VALUE"""),1.5299)</f>
        <v>1.5299</v>
      </c>
      <c r="P390" s="320">
        <f>IFERROR(__xludf.DUMMYFUNCTION("""COMPUTED_VALUE"""),670.44)</f>
        <v>670.44</v>
      </c>
      <c r="Q390" s="320">
        <f>IFERROR(__xludf.DUMMYFUNCTION("""COMPUTED_VALUE"""),581.75)</f>
        <v>581.75</v>
      </c>
      <c r="R390" s="320">
        <f>IFERROR(__xludf.DUMMYFUNCTION("""COMPUTED_VALUE"""),88.69)</f>
        <v>88.69</v>
      </c>
      <c r="S390" s="320">
        <f>IFERROR(__xludf.DUMMYFUNCTION("""COMPUTED_VALUE"""),370.44)</f>
        <v>370.44</v>
      </c>
      <c r="T390" s="320">
        <f>IFERROR(__xludf.DUMMYFUNCTION("""COMPUTED_VALUE"""),300.0)</f>
        <v>300</v>
      </c>
      <c r="U390" s="320">
        <f>IFERROR(__xludf.DUMMYFUNCTION("""COMPUTED_VALUE"""),681.14)</f>
        <v>681.14</v>
      </c>
      <c r="V390" s="320">
        <f>IFERROR(__xludf.DUMMYFUNCTION("""COMPUTED_VALUE"""),8.6464)</f>
        <v>8.6464</v>
      </c>
      <c r="W390" s="320">
        <f>IFERROR(__xludf.DUMMYFUNCTION("""COMPUTED_VALUE"""),55.25)</f>
        <v>55.25</v>
      </c>
      <c r="X390" s="320">
        <f>IFERROR(__xludf.DUMMYFUNCTION("""COMPUTED_VALUE"""),92.0)</f>
        <v>92</v>
      </c>
      <c r="Y390" s="320">
        <f>IFERROR(__xludf.DUMMYFUNCTION("""COMPUTED_VALUE"""),307.0)</f>
        <v>307</v>
      </c>
      <c r="Z390" s="320">
        <f>IFERROR(__xludf.DUMMYFUNCTION("""COMPUTED_VALUE"""),1003.0)</f>
        <v>1003</v>
      </c>
      <c r="AA390" s="320">
        <f>IFERROR(__xludf.DUMMYFUNCTION("""COMPUTED_VALUE"""),57.5653)</f>
        <v>57.5653</v>
      </c>
      <c r="AB390" s="320">
        <f>IFERROR(__xludf.DUMMYFUNCTION("""COMPUTED_VALUE"""),0.7508)</f>
        <v>0.7508</v>
      </c>
      <c r="AC390" s="320">
        <f>IFERROR(__xludf.DUMMYFUNCTION("""COMPUTED_VALUE"""),33.48)</f>
        <v>33.48</v>
      </c>
      <c r="AD390" s="320">
        <f>IFERROR(__xludf.DUMMYFUNCTION("""COMPUTED_VALUE"""),11.0)</f>
        <v>11</v>
      </c>
      <c r="AE390" s="320">
        <f>IFERROR(__xludf.DUMMYFUNCTION("""COMPUTED_VALUE"""),24.0)</f>
        <v>24</v>
      </c>
      <c r="AF390" s="320">
        <f>IFERROR(__xludf.DUMMYFUNCTION("""COMPUTED_VALUE"""),47.0)</f>
        <v>47</v>
      </c>
      <c r="AG390" s="320">
        <f>IFERROR(__xludf.DUMMYFUNCTION("""COMPUTED_VALUE"""),75.0)</f>
        <v>75</v>
      </c>
      <c r="AH390" s="320">
        <f>IFERROR(__xludf.DUMMYFUNCTION("""COMPUTED_VALUE"""),44.95)</f>
        <v>44.95</v>
      </c>
      <c r="AI390" s="320">
        <f>IFERROR(__xludf.DUMMYFUNCTION("""COMPUTED_VALUE"""),16.87)</f>
        <v>16.87</v>
      </c>
      <c r="AJ390" s="320">
        <f>IFERROR(__xludf.DUMMYFUNCTION("""COMPUTED_VALUE"""),3.98)</f>
        <v>3.98</v>
      </c>
      <c r="AK390" s="320">
        <f>IFERROR(__xludf.DUMMYFUNCTION("""COMPUTED_VALUE"""),0.1631)</f>
        <v>0.1631</v>
      </c>
      <c r="AL390" s="320">
        <f>IFERROR(__xludf.DUMMYFUNCTION("""COMPUTED_VALUE"""),20.85)</f>
        <v>20.85</v>
      </c>
      <c r="AM390" s="320">
        <f>IFERROR(__xludf.DUMMYFUNCTION("""COMPUTED_VALUE"""),560.9)</f>
        <v>560.9</v>
      </c>
      <c r="AN390" s="320">
        <f>IFERROR(__xludf.DUMMYFUNCTION("""COMPUTED_VALUE"""),79.25)</f>
        <v>79.25</v>
      </c>
      <c r="AO390" s="320">
        <f>IFERROR(__xludf.DUMMYFUNCTION("""COMPUTED_VALUE"""),16.52)</f>
        <v>16.52</v>
      </c>
    </row>
    <row r="391" ht="15.75" customHeight="1">
      <c r="A391" s="330">
        <f>IFERROR(__xludf.DUMMYFUNCTION("""COMPUTED_VALUE"""),46114.0)</f>
        <v>46114</v>
      </c>
      <c r="B391" s="319" t="str">
        <f>IFERROR(__xludf.DUMMYFUNCTION("""COMPUTED_VALUE"""),"F. 100+")</f>
        <v>F. 100+</v>
      </c>
      <c r="C391" s="320">
        <f>IFERROR(__xludf.DUMMYFUNCTION("""COMPUTED_VALUE"""),338.0)</f>
        <v>338</v>
      </c>
      <c r="D391" s="320">
        <f>IFERROR(__xludf.DUMMYFUNCTION("""COMPUTED_VALUE"""),0.46)</f>
        <v>0.46</v>
      </c>
      <c r="E391" s="320">
        <f>IFERROR(__xludf.DUMMYFUNCTION("""COMPUTED_VALUE"""),2836.4)</f>
        <v>2836.4</v>
      </c>
      <c r="F391" s="320">
        <f>IFERROR(__xludf.DUMMYFUNCTION("""COMPUTED_VALUE"""),8.3917)</f>
        <v>8.3917</v>
      </c>
      <c r="G391" s="320">
        <f>IFERROR(__xludf.DUMMYFUNCTION("""COMPUTED_VALUE"""),48.52)</f>
        <v>48.52</v>
      </c>
      <c r="H391" s="320">
        <f>IFERROR(__xludf.DUMMYFUNCTION("""COMPUTED_VALUE"""),17.2951)</f>
        <v>17.2951</v>
      </c>
      <c r="I391" s="320">
        <f>IFERROR(__xludf.DUMMYFUNCTION("""COMPUTED_VALUE"""),218.8)</f>
        <v>218.8</v>
      </c>
      <c r="J391" s="320">
        <f>IFERROR(__xludf.DUMMYFUNCTION("""COMPUTED_VALUE"""),142.01)</f>
        <v>142.01</v>
      </c>
      <c r="K391" s="320">
        <f>IFERROR(__xludf.DUMMYFUNCTION("""COMPUTED_VALUE"""),109.06)</f>
        <v>109.06</v>
      </c>
      <c r="L391" s="320">
        <f>IFERROR(__xludf.DUMMYFUNCTION("""COMPUTED_VALUE"""),0.768)</f>
        <v>0.768</v>
      </c>
      <c r="M391" s="320">
        <f>IFERROR(__xludf.DUMMYFUNCTION("""COMPUTED_VALUE"""),0.3264)</f>
        <v>0.3264</v>
      </c>
      <c r="N391" s="320">
        <f>IFERROR(__xludf.DUMMYFUNCTION("""COMPUTED_VALUE"""),0.1954)</f>
        <v>0.1954</v>
      </c>
      <c r="O391" s="320">
        <f>IFERROR(__xludf.DUMMYFUNCTION("""COMPUTED_VALUE"""),1.3021)</f>
        <v>1.3021</v>
      </c>
      <c r="P391" s="320">
        <f>IFERROR(__xludf.DUMMYFUNCTION("""COMPUTED_VALUE"""),1048.8)</f>
        <v>1048.8</v>
      </c>
      <c r="Q391" s="320">
        <f>IFERROR(__xludf.DUMMYFUNCTION("""COMPUTED_VALUE"""),864.02)</f>
        <v>864.02</v>
      </c>
      <c r="R391" s="320">
        <f>IFERROR(__xludf.DUMMYFUNCTION("""COMPUTED_VALUE"""),184.78)</f>
        <v>184.78</v>
      </c>
      <c r="S391" s="320">
        <f>IFERROR(__xludf.DUMMYFUNCTION("""COMPUTED_VALUE"""),527.25)</f>
        <v>527.25</v>
      </c>
      <c r="T391" s="320">
        <f>IFERROR(__xludf.DUMMYFUNCTION("""COMPUTED_VALUE"""),521.55)</f>
        <v>521.55</v>
      </c>
      <c r="U391" s="320">
        <f>IFERROR(__xludf.DUMMYFUNCTION("""COMPUTED_VALUE"""),1182.54)</f>
        <v>1182.54</v>
      </c>
      <c r="V391" s="320">
        <f>IFERROR(__xludf.DUMMYFUNCTION("""COMPUTED_VALUE"""),8.3274)</f>
        <v>8.3274</v>
      </c>
      <c r="W391" s="320">
        <f>IFERROR(__xludf.DUMMYFUNCTION("""COMPUTED_VALUE"""),50.27)</f>
        <v>50.27</v>
      </c>
      <c r="X391" s="320">
        <f>IFERROR(__xludf.DUMMYFUNCTION("""COMPUTED_VALUE"""),113.0)</f>
        <v>113</v>
      </c>
      <c r="Y391" s="320">
        <f>IFERROR(__xludf.DUMMYFUNCTION("""COMPUTED_VALUE"""),635.0)</f>
        <v>635</v>
      </c>
      <c r="Z391" s="320">
        <f>IFERROR(__xludf.DUMMYFUNCTION("""COMPUTED_VALUE"""),2740.0)</f>
        <v>2740</v>
      </c>
      <c r="AA391" s="320">
        <f>IFERROR(__xludf.DUMMYFUNCTION("""COMPUTED_VALUE"""),61.7782)</f>
        <v>61.7782</v>
      </c>
      <c r="AB391" s="320">
        <f>IFERROR(__xludf.DUMMYFUNCTION("""COMPUTED_VALUE"""),0.8285)</f>
        <v>0.8285</v>
      </c>
      <c r="AC391" s="320">
        <f>IFERROR(__xludf.DUMMYFUNCTION("""COMPUTED_VALUE"""),71.56)</f>
        <v>71.56</v>
      </c>
      <c r="AD391" s="320">
        <f>IFERROR(__xludf.DUMMYFUNCTION("""COMPUTED_VALUE"""),22.0)</f>
        <v>22</v>
      </c>
      <c r="AE391" s="320">
        <f>IFERROR(__xludf.DUMMYFUNCTION("""COMPUTED_VALUE"""),53.0)</f>
        <v>53</v>
      </c>
      <c r="AF391" s="320">
        <f>IFERROR(__xludf.DUMMYFUNCTION("""COMPUTED_VALUE"""),103.0)</f>
        <v>103</v>
      </c>
      <c r="AG391" s="320">
        <f>IFERROR(__xludf.DUMMYFUNCTION("""COMPUTED_VALUE"""),163.0)</f>
        <v>163</v>
      </c>
      <c r="AH391" s="320">
        <f>IFERROR(__xludf.DUMMYFUNCTION("""COMPUTED_VALUE"""),31.95)</f>
        <v>31.95</v>
      </c>
      <c r="AI391" s="320">
        <f>IFERROR(__xludf.DUMMYFUNCTION("""COMPUTED_VALUE"""),9.17)</f>
        <v>9.17</v>
      </c>
      <c r="AJ391" s="320">
        <f>IFERROR(__xludf.DUMMYFUNCTION("""COMPUTED_VALUE"""),0.59)</f>
        <v>0.59</v>
      </c>
      <c r="AK391" s="320">
        <f>IFERROR(__xludf.DUMMYFUNCTION("""COMPUTED_VALUE"""),0.0888)</f>
        <v>0.0888</v>
      </c>
      <c r="AL391" s="320">
        <f>IFERROR(__xludf.DUMMYFUNCTION("""COMPUTED_VALUE"""),22.51)</f>
        <v>22.51</v>
      </c>
      <c r="AM391" s="320">
        <f>IFERROR(__xludf.DUMMYFUNCTION("""COMPUTED_VALUE"""),841.51)</f>
        <v>841.51</v>
      </c>
      <c r="AN391" s="320">
        <f>IFERROR(__xludf.DUMMYFUNCTION("""COMPUTED_VALUE"""),82.88)</f>
        <v>82.88</v>
      </c>
      <c r="AO391" s="320">
        <f>IFERROR(__xludf.DUMMYFUNCTION("""COMPUTED_VALUE"""),18.66)</f>
        <v>18.66</v>
      </c>
    </row>
    <row r="392" ht="15.75" customHeight="1">
      <c r="A392" s="330">
        <f>IFERROR(__xludf.DUMMYFUNCTION("""COMPUTED_VALUE"""),46115.0)</f>
        <v>46115</v>
      </c>
      <c r="B392" s="319" t="str">
        <f>IFERROR(__xludf.DUMMYFUNCTION("""COMPUTED_VALUE"""),"A. 0")</f>
        <v>A. 0</v>
      </c>
      <c r="C392" s="320">
        <f>IFERROR(__xludf.DUMMYFUNCTION("""COMPUTED_VALUE"""),14065.0)</f>
        <v>14065</v>
      </c>
      <c r="D392" s="320">
        <f>IFERROR(__xludf.DUMMYFUNCTION("""COMPUTED_VALUE"""),19.23)</f>
        <v>19.23</v>
      </c>
      <c r="E392" s="320">
        <f>IFERROR(__xludf.DUMMYFUNCTION("""COMPUTED_VALUE"""),321.47)</f>
        <v>321.47</v>
      </c>
      <c r="F392" s="320">
        <f>IFERROR(__xludf.DUMMYFUNCTION("""COMPUTED_VALUE"""),0.0229)</f>
        <v>0.0229</v>
      </c>
      <c r="G392" s="320">
        <f>IFERROR(__xludf.DUMMYFUNCTION("""COMPUTED_VALUE"""),0.48)</f>
        <v>0.48</v>
      </c>
      <c r="H392" s="320">
        <f>IFERROR(__xludf.DUMMYFUNCTION("""COMPUTED_VALUE"""),4.7981)</f>
        <v>4.7981</v>
      </c>
      <c r="I392" s="320">
        <f>IFERROR(__xludf.DUMMYFUNCTION("""COMPUTED_VALUE"""),5.66)</f>
        <v>5.66</v>
      </c>
      <c r="J392" s="320">
        <f>IFERROR(__xludf.DUMMYFUNCTION("""COMPUTED_VALUE"""),2.41)</f>
        <v>2.41</v>
      </c>
      <c r="K392" s="320">
        <f>IFERROR(__xludf.DUMMYFUNCTION("""COMPUTED_VALUE"""),0.04)</f>
        <v>0.04</v>
      </c>
      <c r="L392" s="320">
        <f>IFERROR(__xludf.DUMMYFUNCTION("""COMPUTED_VALUE"""),0.0177)</f>
        <v>0.0177</v>
      </c>
      <c r="M392" s="320">
        <f>IFERROR(__xludf.DUMMYFUNCTION("""COMPUTED_VALUE"""),0.9837)</f>
        <v>0.9837</v>
      </c>
      <c r="N392" s="320">
        <f>IFERROR(__xludf.DUMMYFUNCTION("""COMPUTED_VALUE"""),0.8214)</f>
        <v>0.8214</v>
      </c>
      <c r="O392" s="320">
        <f>IFERROR(__xludf.DUMMYFUNCTION("""COMPUTED_VALUE"""),56.5819)</f>
        <v>56.5819</v>
      </c>
      <c r="P392" s="320">
        <f>IFERROR(__xludf.DUMMYFUNCTION("""COMPUTED_VALUE"""),32.39)</f>
        <v>32.39</v>
      </c>
      <c r="Q392" s="320">
        <f>IFERROR(__xludf.DUMMYFUNCTION("""COMPUTED_VALUE"""),32.34)</f>
        <v>32.34</v>
      </c>
      <c r="R392" s="320">
        <f>IFERROR(__xludf.DUMMYFUNCTION("""COMPUTED_VALUE"""),0.05)</f>
        <v>0.05</v>
      </c>
      <c r="S392" s="320">
        <f>IFERROR(__xludf.DUMMYFUNCTION("""COMPUTED_VALUE"""),1.48)</f>
        <v>1.48</v>
      </c>
      <c r="T392" s="320">
        <f>IFERROR(__xludf.DUMMYFUNCTION("""COMPUTED_VALUE"""),30.92)</f>
        <v>30.92</v>
      </c>
      <c r="U392" s="320">
        <f>IFERROR(__xludf.DUMMYFUNCTION("""COMPUTED_VALUE"""),1.97)</f>
        <v>1.97</v>
      </c>
      <c r="V392" s="320">
        <f>IFERROR(__xludf.DUMMYFUNCTION("""COMPUTED_VALUE"""),0.8187)</f>
        <v>0.8187</v>
      </c>
      <c r="W392" s="320">
        <f>IFERROR(__xludf.DUMMYFUNCTION("""COMPUTED_VALUE"""),4.56)</f>
        <v>4.56</v>
      </c>
      <c r="X392" s="320">
        <f>IFERROR(__xludf.DUMMYFUNCTION("""COMPUTED_VALUE"""),193.0)</f>
        <v>193</v>
      </c>
      <c r="Y392" s="320">
        <f>IFERROR(__xludf.DUMMYFUNCTION("""COMPUTED_VALUE"""),1471.0)</f>
        <v>1471</v>
      </c>
      <c r="Z392" s="320">
        <f>IFERROR(__xludf.DUMMYFUNCTION("""COMPUTED_VALUE"""),8267.0)</f>
        <v>8267</v>
      </c>
      <c r="AA392" s="320">
        <f>IFERROR(__xludf.DUMMYFUNCTION("""COMPUTED_VALUE"""),49.7417)</f>
        <v>49.7417</v>
      </c>
      <c r="AB392" s="320">
        <f>IFERROR(__xludf.DUMMYFUNCTION("""COMPUTED_VALUE"""),0.5233)</f>
        <v>0.5233</v>
      </c>
      <c r="AC392" s="106"/>
      <c r="AD392" s="106"/>
      <c r="AE392" s="106"/>
      <c r="AF392" s="106"/>
      <c r="AG392" s="106"/>
      <c r="AH392" s="320">
        <f>IFERROR(__xludf.DUMMYFUNCTION("""COMPUTED_VALUE"""),0.0)</f>
        <v>0</v>
      </c>
      <c r="AI392" s="320">
        <f>IFERROR(__xludf.DUMMYFUNCTION("""COMPUTED_VALUE"""),0.0)</f>
        <v>0</v>
      </c>
      <c r="AJ392" s="320">
        <f>IFERROR(__xludf.DUMMYFUNCTION("""COMPUTED_VALUE"""),0.0)</f>
        <v>0</v>
      </c>
      <c r="AK392" s="320">
        <f>IFERROR(__xludf.DUMMYFUNCTION("""COMPUTED_VALUE"""),0.2963)</f>
        <v>0.2963</v>
      </c>
      <c r="AL392" s="320">
        <f>IFERROR(__xludf.DUMMYFUNCTION("""COMPUTED_VALUE"""),17.14)</f>
        <v>17.14</v>
      </c>
      <c r="AM392" s="320">
        <f>IFERROR(__xludf.DUMMYFUNCTION("""COMPUTED_VALUE"""),15.2)</f>
        <v>15.2</v>
      </c>
      <c r="AN392" s="331"/>
      <c r="AO392" s="331"/>
    </row>
    <row r="393" ht="15.75" customHeight="1">
      <c r="A393" s="330">
        <f>IFERROR(__xludf.DUMMYFUNCTION("""COMPUTED_VALUE"""),46115.0)</f>
        <v>46115</v>
      </c>
      <c r="B393" s="319" t="str">
        <f>IFERROR(__xludf.DUMMYFUNCTION("""COMPUTED_VALUE"""),"B. 1-9")</f>
        <v>B. 1-9</v>
      </c>
      <c r="C393" s="320">
        <f>IFERROR(__xludf.DUMMYFUNCTION("""COMPUTED_VALUE"""),31478.0)</f>
        <v>31478</v>
      </c>
      <c r="D393" s="320">
        <f>IFERROR(__xludf.DUMMYFUNCTION("""COMPUTED_VALUE"""),43.04)</f>
        <v>43.04</v>
      </c>
      <c r="E393" s="320">
        <f>IFERROR(__xludf.DUMMYFUNCTION("""COMPUTED_VALUE"""),8855.36)</f>
        <v>8855.36</v>
      </c>
      <c r="F393" s="320">
        <f>IFERROR(__xludf.DUMMYFUNCTION("""COMPUTED_VALUE"""),0.2813)</f>
        <v>0.2813</v>
      </c>
      <c r="G393" s="320">
        <f>IFERROR(__xludf.DUMMYFUNCTION("""COMPUTED_VALUE"""),7.74)</f>
        <v>7.74</v>
      </c>
      <c r="H393" s="320">
        <f>IFERROR(__xludf.DUMMYFUNCTION("""COMPUTED_VALUE"""),3.6367)</f>
        <v>3.6367</v>
      </c>
      <c r="I393" s="320">
        <f>IFERROR(__xludf.DUMMYFUNCTION("""COMPUTED_VALUE"""),34.02)</f>
        <v>34.02</v>
      </c>
      <c r="J393" s="320">
        <f>IFERROR(__xludf.DUMMYFUNCTION("""COMPUTED_VALUE"""),18.25)</f>
        <v>18.25</v>
      </c>
      <c r="K393" s="320">
        <f>IFERROR(__xludf.DUMMYFUNCTION("""COMPUTED_VALUE"""),5.88)</f>
        <v>5.88</v>
      </c>
      <c r="L393" s="320">
        <f>IFERROR(__xludf.DUMMYFUNCTION("""COMPUTED_VALUE"""),0.3219)</f>
        <v>0.3219</v>
      </c>
      <c r="M393" s="320">
        <f>IFERROR(__xludf.DUMMYFUNCTION("""COMPUTED_VALUE"""),0.7485)</f>
        <v>0.7485</v>
      </c>
      <c r="N393" s="320">
        <f>IFERROR(__xludf.DUMMYFUNCTION("""COMPUTED_VALUE"""),0.4963)</f>
        <v>0.4963</v>
      </c>
      <c r="O393" s="320">
        <f>IFERROR(__xludf.DUMMYFUNCTION("""COMPUTED_VALUE"""),3.1064)</f>
        <v>3.1064</v>
      </c>
      <c r="P393" s="320">
        <f>IFERROR(__xludf.DUMMYFUNCTION("""COMPUTED_VALUE"""),89.85)</f>
        <v>89.85</v>
      </c>
      <c r="Q393" s="320">
        <f>IFERROR(__xludf.DUMMYFUNCTION("""COMPUTED_VALUE"""),80.18)</f>
        <v>80.18</v>
      </c>
      <c r="R393" s="320">
        <f>IFERROR(__xludf.DUMMYFUNCTION("""COMPUTED_VALUE"""),9.67)</f>
        <v>9.67</v>
      </c>
      <c r="S393" s="320">
        <f>IFERROR(__xludf.DUMMYFUNCTION("""COMPUTED_VALUE"""),18.43)</f>
        <v>18.43</v>
      </c>
      <c r="T393" s="320">
        <f>IFERROR(__xludf.DUMMYFUNCTION("""COMPUTED_VALUE"""),71.42)</f>
        <v>71.42</v>
      </c>
      <c r="U393" s="320">
        <f>IFERROR(__xludf.DUMMYFUNCTION("""COMPUTED_VALUE"""),85.05)</f>
        <v>85.05</v>
      </c>
      <c r="V393" s="320">
        <f>IFERROR(__xludf.DUMMYFUNCTION("""COMPUTED_VALUE"""),4.6603)</f>
        <v>4.6603</v>
      </c>
      <c r="W393" s="320">
        <f>IFERROR(__xludf.DUMMYFUNCTION("""COMPUTED_VALUE"""),20.51)</f>
        <v>20.51</v>
      </c>
      <c r="X393" s="320">
        <f>IFERROR(__xludf.DUMMYFUNCTION("""COMPUTED_VALUE"""),90.0)</f>
        <v>90</v>
      </c>
      <c r="Y393" s="320">
        <f>IFERROR(__xludf.DUMMYFUNCTION("""COMPUTED_VALUE"""),223.0)</f>
        <v>223</v>
      </c>
      <c r="Z393" s="320">
        <f>IFERROR(__xludf.DUMMYFUNCTION("""COMPUTED_VALUE"""),871.0)</f>
        <v>871</v>
      </c>
      <c r="AA393" s="320">
        <f>IFERROR(__xludf.DUMMYFUNCTION("""COMPUTED_VALUE"""),49.4248)</f>
        <v>49.4248</v>
      </c>
      <c r="AB393" s="320">
        <f>IFERROR(__xludf.DUMMYFUNCTION("""COMPUTED_VALUE"""),0.447)</f>
        <v>0.447</v>
      </c>
      <c r="AC393" s="320">
        <f>IFERROR(__xludf.DUMMYFUNCTION("""COMPUTED_VALUE"""),3.86)</f>
        <v>3.86</v>
      </c>
      <c r="AD393" s="320">
        <f>IFERROR(__xludf.DUMMYFUNCTION("""COMPUTED_VALUE"""),1.0)</f>
        <v>1</v>
      </c>
      <c r="AE393" s="320">
        <f>IFERROR(__xludf.DUMMYFUNCTION("""COMPUTED_VALUE"""),2.0)</f>
        <v>2</v>
      </c>
      <c r="AF393" s="320">
        <f>IFERROR(__xludf.DUMMYFUNCTION("""COMPUTED_VALUE"""),5.0)</f>
        <v>5</v>
      </c>
      <c r="AG393" s="320">
        <f>IFERROR(__xludf.DUMMYFUNCTION("""COMPUTED_VALUE"""),9.0)</f>
        <v>9</v>
      </c>
      <c r="AH393" s="320">
        <f>IFERROR(__xludf.DUMMYFUNCTION("""COMPUTED_VALUE"""),70.8)</f>
        <v>70.8</v>
      </c>
      <c r="AI393" s="320">
        <f>IFERROR(__xludf.DUMMYFUNCTION("""COMPUTED_VALUE"""),28.99)</f>
        <v>28.99</v>
      </c>
      <c r="AJ393" s="320">
        <f>IFERROR(__xludf.DUMMYFUNCTION("""COMPUTED_VALUE"""),7.97)</f>
        <v>7.97</v>
      </c>
      <c r="AK393" s="320">
        <f>IFERROR(__xludf.DUMMYFUNCTION("""COMPUTED_VALUE"""),0.2308)</f>
        <v>0.2308</v>
      </c>
      <c r="AL393" s="320">
        <f>IFERROR(__xludf.DUMMYFUNCTION("""COMPUTED_VALUE"""),21.11)</f>
        <v>21.11</v>
      </c>
      <c r="AM393" s="320">
        <f>IFERROR(__xludf.DUMMYFUNCTION("""COMPUTED_VALUE"""),59.07)</f>
        <v>59.07</v>
      </c>
      <c r="AN393" s="320">
        <f>IFERROR(__xludf.DUMMYFUNCTION("""COMPUTED_VALUE"""),68.24)</f>
        <v>68.24</v>
      </c>
      <c r="AO393" s="320">
        <f>IFERROR(__xludf.DUMMYFUNCTION("""COMPUTED_VALUE"""),14.41)</f>
        <v>14.41</v>
      </c>
    </row>
    <row r="394" ht="15.75" customHeight="1">
      <c r="A394" s="330">
        <f>IFERROR(__xludf.DUMMYFUNCTION("""COMPUTED_VALUE"""),46115.0)</f>
        <v>46115</v>
      </c>
      <c r="B394" s="319" t="str">
        <f>IFERROR(__xludf.DUMMYFUNCTION("""COMPUTED_VALUE"""),"C. 10-19")</f>
        <v>C. 10-19</v>
      </c>
      <c r="C394" s="320">
        <f>IFERROR(__xludf.DUMMYFUNCTION("""COMPUTED_VALUE"""),15957.0)</f>
        <v>15957</v>
      </c>
      <c r="D394" s="320">
        <f>IFERROR(__xludf.DUMMYFUNCTION("""COMPUTED_VALUE"""),21.82)</f>
        <v>21.82</v>
      </c>
      <c r="E394" s="320">
        <f>IFERROR(__xludf.DUMMYFUNCTION("""COMPUTED_VALUE"""),17952.87)</f>
        <v>17952.87</v>
      </c>
      <c r="F394" s="320">
        <f>IFERROR(__xludf.DUMMYFUNCTION("""COMPUTED_VALUE"""),1.1251)</f>
        <v>1.1251</v>
      </c>
      <c r="G394" s="320">
        <f>IFERROR(__xludf.DUMMYFUNCTION("""COMPUTED_VALUE"""),22.68)</f>
        <v>22.68</v>
      </c>
      <c r="H394" s="320">
        <f>IFERROR(__xludf.DUMMYFUNCTION("""COMPUTED_VALUE"""),4.9607)</f>
        <v>4.9607</v>
      </c>
      <c r="I394" s="320">
        <f>IFERROR(__xludf.DUMMYFUNCTION("""COMPUTED_VALUE"""),61.98)</f>
        <v>61.98</v>
      </c>
      <c r="J394" s="320">
        <f>IFERROR(__xludf.DUMMYFUNCTION("""COMPUTED_VALUE"""),35.67)</f>
        <v>35.67</v>
      </c>
      <c r="K394" s="320">
        <f>IFERROR(__xludf.DUMMYFUNCTION("""COMPUTED_VALUE"""),14.59)</f>
        <v>14.59</v>
      </c>
      <c r="L394" s="320">
        <f>IFERROR(__xludf.DUMMYFUNCTION("""COMPUTED_VALUE"""),0.4091)</f>
        <v>0.4091</v>
      </c>
      <c r="M394" s="320">
        <f>IFERROR(__xludf.DUMMYFUNCTION("""COMPUTED_VALUE"""),0.6538)</f>
        <v>0.6538</v>
      </c>
      <c r="N394" s="320">
        <f>IFERROR(__xludf.DUMMYFUNCTION("""COMPUTED_VALUE"""),0.3736)</f>
        <v>0.3736</v>
      </c>
      <c r="O394" s="320">
        <f>IFERROR(__xludf.DUMMYFUNCTION("""COMPUTED_VALUE"""),2.4446)</f>
        <v>2.4446</v>
      </c>
      <c r="P394" s="320">
        <f>IFERROR(__xludf.DUMMYFUNCTION("""COMPUTED_VALUE"""),186.69)</f>
        <v>186.69</v>
      </c>
      <c r="Q394" s="320">
        <f>IFERROR(__xludf.DUMMYFUNCTION("""COMPUTED_VALUE"""),162.52)</f>
        <v>162.52</v>
      </c>
      <c r="R394" s="320">
        <f>IFERROR(__xludf.DUMMYFUNCTION("""COMPUTED_VALUE"""),24.16)</f>
        <v>24.16</v>
      </c>
      <c r="S394" s="320">
        <f>IFERROR(__xludf.DUMMYFUNCTION("""COMPUTED_VALUE"""),72.66)</f>
        <v>72.66</v>
      </c>
      <c r="T394" s="320">
        <f>IFERROR(__xludf.DUMMYFUNCTION("""COMPUTED_VALUE"""),114.03)</f>
        <v>114.03</v>
      </c>
      <c r="U394" s="320">
        <f>IFERROR(__xludf.DUMMYFUNCTION("""COMPUTED_VALUE"""),190.05)</f>
        <v>190.05</v>
      </c>
      <c r="V394" s="320">
        <f>IFERROR(__xludf.DUMMYFUNCTION("""COMPUTED_VALUE"""),5.3276)</f>
        <v>5.3276</v>
      </c>
      <c r="W394" s="320">
        <f>IFERROR(__xludf.DUMMYFUNCTION("""COMPUTED_VALUE"""),38.92)</f>
        <v>38.92</v>
      </c>
      <c r="X394" s="320">
        <f>IFERROR(__xludf.DUMMYFUNCTION("""COMPUTED_VALUE"""),82.0)</f>
        <v>82</v>
      </c>
      <c r="Y394" s="320">
        <f>IFERROR(__xludf.DUMMYFUNCTION("""COMPUTED_VALUE"""),184.0)</f>
        <v>184</v>
      </c>
      <c r="Z394" s="320">
        <f>IFERROR(__xludf.DUMMYFUNCTION("""COMPUTED_VALUE"""),603.0)</f>
        <v>603</v>
      </c>
      <c r="AA394" s="320">
        <f>IFERROR(__xludf.DUMMYFUNCTION("""COMPUTED_VALUE"""),52.3089)</f>
        <v>52.3089</v>
      </c>
      <c r="AB394" s="320">
        <f>IFERROR(__xludf.DUMMYFUNCTION("""COMPUTED_VALUE"""),0.5462)</f>
        <v>0.5462</v>
      </c>
      <c r="AC394" s="320">
        <f>IFERROR(__xludf.DUMMYFUNCTION("""COMPUTED_VALUE"""),9.18)</f>
        <v>9.18</v>
      </c>
      <c r="AD394" s="320">
        <f>IFERROR(__xludf.DUMMYFUNCTION("""COMPUTED_VALUE"""),3.0)</f>
        <v>3</v>
      </c>
      <c r="AE394" s="320">
        <f>IFERROR(__xludf.DUMMYFUNCTION("""COMPUTED_VALUE"""),7.0)</f>
        <v>7</v>
      </c>
      <c r="AF394" s="320">
        <f>IFERROR(__xludf.DUMMYFUNCTION("""COMPUTED_VALUE"""),13.0)</f>
        <v>13</v>
      </c>
      <c r="AG394" s="320">
        <f>IFERROR(__xludf.DUMMYFUNCTION("""COMPUTED_VALUE"""),20.0)</f>
        <v>20</v>
      </c>
      <c r="AH394" s="320">
        <f>IFERROR(__xludf.DUMMYFUNCTION("""COMPUTED_VALUE"""),57.58)</f>
        <v>57.58</v>
      </c>
      <c r="AI394" s="320">
        <f>IFERROR(__xludf.DUMMYFUNCTION("""COMPUTED_VALUE"""),25.22)</f>
        <v>25.22</v>
      </c>
      <c r="AJ394" s="320">
        <f>IFERROR(__xludf.DUMMYFUNCTION("""COMPUTED_VALUE"""),4.85)</f>
        <v>4.85</v>
      </c>
      <c r="AK394" s="320">
        <f>IFERROR(__xludf.DUMMYFUNCTION("""COMPUTED_VALUE"""),0.2112)</f>
        <v>0.2112</v>
      </c>
      <c r="AL394" s="320">
        <f>IFERROR(__xludf.DUMMYFUNCTION("""COMPUTED_VALUE"""),21.66)</f>
        <v>21.66</v>
      </c>
      <c r="AM394" s="320">
        <f>IFERROR(__xludf.DUMMYFUNCTION("""COMPUTED_VALUE"""),140.86)</f>
        <v>140.86</v>
      </c>
      <c r="AN394" s="320">
        <f>IFERROR(__xludf.DUMMYFUNCTION("""COMPUTED_VALUE"""),73.6)</f>
        <v>73.6</v>
      </c>
      <c r="AO394" s="320">
        <f>IFERROR(__xludf.DUMMYFUNCTION("""COMPUTED_VALUE"""),15.94)</f>
        <v>15.94</v>
      </c>
    </row>
    <row r="395" ht="15.75" customHeight="1">
      <c r="A395" s="330">
        <f>IFERROR(__xludf.DUMMYFUNCTION("""COMPUTED_VALUE"""),46115.0)</f>
        <v>46115</v>
      </c>
      <c r="B395" s="319" t="str">
        <f>IFERROR(__xludf.DUMMYFUNCTION("""COMPUTED_VALUE"""),"D. 20-39")</f>
        <v>D. 20-39</v>
      </c>
      <c r="C395" s="320">
        <f>IFERROR(__xludf.DUMMYFUNCTION("""COMPUTED_VALUE"""),8149.0)</f>
        <v>8149</v>
      </c>
      <c r="D395" s="320">
        <f>IFERROR(__xludf.DUMMYFUNCTION("""COMPUTED_VALUE"""),11.14)</f>
        <v>11.14</v>
      </c>
      <c r="E395" s="320">
        <f>IFERROR(__xludf.DUMMYFUNCTION("""COMPUTED_VALUE"""),21266.83)</f>
        <v>21266.83</v>
      </c>
      <c r="F395" s="320">
        <f>IFERROR(__xludf.DUMMYFUNCTION("""COMPUTED_VALUE"""),2.6097)</f>
        <v>2.6097</v>
      </c>
      <c r="G395" s="320">
        <f>IFERROR(__xludf.DUMMYFUNCTION("""COMPUTED_VALUE"""),34.78)</f>
        <v>34.78</v>
      </c>
      <c r="H395" s="320">
        <f>IFERROR(__xludf.DUMMYFUNCTION("""COMPUTED_VALUE"""),7.5042)</f>
        <v>7.5042</v>
      </c>
      <c r="I395" s="320">
        <f>IFERROR(__xludf.DUMMYFUNCTION("""COMPUTED_VALUE"""),88.63)</f>
        <v>88.63</v>
      </c>
      <c r="J395" s="320">
        <f>IFERROR(__xludf.DUMMYFUNCTION("""COMPUTED_VALUE"""),52.74)</f>
        <v>52.74</v>
      </c>
      <c r="K395" s="320">
        <f>IFERROR(__xludf.DUMMYFUNCTION("""COMPUTED_VALUE"""),27.08)</f>
        <v>27.08</v>
      </c>
      <c r="L395" s="320">
        <f>IFERROR(__xludf.DUMMYFUNCTION("""COMPUTED_VALUE"""),0.5134)</f>
        <v>0.5134</v>
      </c>
      <c r="M395" s="320">
        <f>IFERROR(__xludf.DUMMYFUNCTION("""COMPUTED_VALUE"""),0.5575)</f>
        <v>0.5575</v>
      </c>
      <c r="N395" s="320">
        <f>IFERROR(__xludf.DUMMYFUNCTION("""COMPUTED_VALUE"""),0.3137)</f>
        <v>0.3137</v>
      </c>
      <c r="O395" s="320">
        <f>IFERROR(__xludf.DUMMYFUNCTION("""COMPUTED_VALUE"""),1.9478)</f>
        <v>1.9478</v>
      </c>
      <c r="P395" s="320">
        <f>IFERROR(__xludf.DUMMYFUNCTION("""COMPUTED_VALUE"""),331.57)</f>
        <v>331.57</v>
      </c>
      <c r="Q395" s="320">
        <f>IFERROR(__xludf.DUMMYFUNCTION("""COMPUTED_VALUE"""),285.83)</f>
        <v>285.83</v>
      </c>
      <c r="R395" s="320">
        <f>IFERROR(__xludf.DUMMYFUNCTION("""COMPUTED_VALUE"""),45.74)</f>
        <v>45.74</v>
      </c>
      <c r="S395" s="320">
        <f>IFERROR(__xludf.DUMMYFUNCTION("""COMPUTED_VALUE"""),166.49)</f>
        <v>166.49</v>
      </c>
      <c r="T395" s="320">
        <f>IFERROR(__xludf.DUMMYFUNCTION("""COMPUTED_VALUE"""),165.08)</f>
        <v>165.08</v>
      </c>
      <c r="U395" s="320">
        <f>IFERROR(__xludf.DUMMYFUNCTION("""COMPUTED_VALUE"""),351.98)</f>
        <v>351.98</v>
      </c>
      <c r="V395" s="320">
        <f>IFERROR(__xludf.DUMMYFUNCTION("""COMPUTED_VALUE"""),6.6733)</f>
        <v>6.6733</v>
      </c>
      <c r="W395" s="320">
        <f>IFERROR(__xludf.DUMMYFUNCTION("""COMPUTED_VALUE"""),50.21)</f>
        <v>50.21</v>
      </c>
      <c r="X395" s="320">
        <f>IFERROR(__xludf.DUMMYFUNCTION("""COMPUTED_VALUE"""),85.0)</f>
        <v>85</v>
      </c>
      <c r="Y395" s="320">
        <f>IFERROR(__xludf.DUMMYFUNCTION("""COMPUTED_VALUE"""),207.0)</f>
        <v>207</v>
      </c>
      <c r="Z395" s="320">
        <f>IFERROR(__xludf.DUMMYFUNCTION("""COMPUTED_VALUE"""),651.0)</f>
        <v>651</v>
      </c>
      <c r="AA395" s="320">
        <f>IFERROR(__xludf.DUMMYFUNCTION("""COMPUTED_VALUE"""),54.3628)</f>
        <v>54.3628</v>
      </c>
      <c r="AB395" s="320">
        <f>IFERROR(__xludf.DUMMYFUNCTION("""COMPUTED_VALUE"""),0.6546)</f>
        <v>0.6546</v>
      </c>
      <c r="AC395" s="320">
        <f>IFERROR(__xludf.DUMMYFUNCTION("""COMPUTED_VALUE"""),16.75)</f>
        <v>16.75</v>
      </c>
      <c r="AD395" s="320">
        <f>IFERROR(__xludf.DUMMYFUNCTION("""COMPUTED_VALUE"""),6.0)</f>
        <v>6</v>
      </c>
      <c r="AE395" s="320">
        <f>IFERROR(__xludf.DUMMYFUNCTION("""COMPUTED_VALUE"""),12.0)</f>
        <v>12</v>
      </c>
      <c r="AF395" s="320">
        <f>IFERROR(__xludf.DUMMYFUNCTION("""COMPUTED_VALUE"""),23.0)</f>
        <v>23</v>
      </c>
      <c r="AG395" s="320">
        <f>IFERROR(__xludf.DUMMYFUNCTION("""COMPUTED_VALUE"""),36.0)</f>
        <v>36</v>
      </c>
      <c r="AH395" s="320">
        <f>IFERROR(__xludf.DUMMYFUNCTION("""COMPUTED_VALUE"""),55.07)</f>
        <v>55.07</v>
      </c>
      <c r="AI395" s="320">
        <f>IFERROR(__xludf.DUMMYFUNCTION("""COMPUTED_VALUE"""),21.19)</f>
        <v>21.19</v>
      </c>
      <c r="AJ395" s="320">
        <f>IFERROR(__xludf.DUMMYFUNCTION("""COMPUTED_VALUE"""),6.48)</f>
        <v>6.48</v>
      </c>
      <c r="AK395" s="320">
        <f>IFERROR(__xludf.DUMMYFUNCTION("""COMPUTED_VALUE"""),0.2101)</f>
        <v>0.2101</v>
      </c>
      <c r="AL395" s="320">
        <f>IFERROR(__xludf.DUMMYFUNCTION("""COMPUTED_VALUE"""),20.81)</f>
        <v>20.81</v>
      </c>
      <c r="AM395" s="320">
        <f>IFERROR(__xludf.DUMMYFUNCTION("""COMPUTED_VALUE"""),265.02)</f>
        <v>265.02</v>
      </c>
      <c r="AN395" s="320">
        <f>IFERROR(__xludf.DUMMYFUNCTION("""COMPUTED_VALUE"""),75.25)</f>
        <v>75.25</v>
      </c>
      <c r="AO395" s="320">
        <f>IFERROR(__xludf.DUMMYFUNCTION("""COMPUTED_VALUE"""),15.66)</f>
        <v>15.66</v>
      </c>
    </row>
    <row r="396" ht="15.75" customHeight="1">
      <c r="A396" s="330">
        <f>IFERROR(__xludf.DUMMYFUNCTION("""COMPUTED_VALUE"""),46115.0)</f>
        <v>46115</v>
      </c>
      <c r="B396" s="319" t="str">
        <f>IFERROR(__xludf.DUMMYFUNCTION("""COMPUTED_VALUE"""),"E. 40-99")</f>
        <v>E. 40-99</v>
      </c>
      <c r="C396" s="320">
        <f>IFERROR(__xludf.DUMMYFUNCTION("""COMPUTED_VALUE"""),3139.0)</f>
        <v>3139</v>
      </c>
      <c r="D396" s="320">
        <f>IFERROR(__xludf.DUMMYFUNCTION("""COMPUTED_VALUE"""),4.29)</f>
        <v>4.29</v>
      </c>
      <c r="E396" s="320">
        <f>IFERROR(__xludf.DUMMYFUNCTION("""COMPUTED_VALUE"""),21236.36)</f>
        <v>21236.36</v>
      </c>
      <c r="F396" s="320">
        <f>IFERROR(__xludf.DUMMYFUNCTION("""COMPUTED_VALUE"""),6.7653)</f>
        <v>6.7653</v>
      </c>
      <c r="G396" s="320">
        <f>IFERROR(__xludf.DUMMYFUNCTION("""COMPUTED_VALUE"""),48.01)</f>
        <v>48.01</v>
      </c>
      <c r="H396" s="320">
        <f>IFERROR(__xludf.DUMMYFUNCTION("""COMPUTED_VALUE"""),14.0918)</f>
        <v>14.0918</v>
      </c>
      <c r="I396" s="320">
        <f>IFERROR(__xludf.DUMMYFUNCTION("""COMPUTED_VALUE"""),139.49)</f>
        <v>139.49</v>
      </c>
      <c r="J396" s="320">
        <f>IFERROR(__xludf.DUMMYFUNCTION("""COMPUTED_VALUE"""),86.05)</f>
        <v>86.05</v>
      </c>
      <c r="K396" s="320">
        <f>IFERROR(__xludf.DUMMYFUNCTION("""COMPUTED_VALUE"""),55.3)</f>
        <v>55.3</v>
      </c>
      <c r="L396" s="320">
        <f>IFERROR(__xludf.DUMMYFUNCTION("""COMPUTED_VALUE"""),0.6426)</f>
        <v>0.6426</v>
      </c>
      <c r="M396" s="320">
        <f>IFERROR(__xludf.DUMMYFUNCTION("""COMPUTED_VALUE"""),0.4434)</f>
        <v>0.4434</v>
      </c>
      <c r="N396" s="320">
        <f>IFERROR(__xludf.DUMMYFUNCTION("""COMPUTED_VALUE"""),0.2497)</f>
        <v>0.2497</v>
      </c>
      <c r="O396" s="320">
        <f>IFERROR(__xludf.DUMMYFUNCTION("""COMPUTED_VALUE"""),1.5561)</f>
        <v>1.5561</v>
      </c>
      <c r="P396" s="320">
        <f>IFERROR(__xludf.DUMMYFUNCTION("""COMPUTED_VALUE"""),709.77)</f>
        <v>709.77</v>
      </c>
      <c r="Q396" s="320">
        <f>IFERROR(__xludf.DUMMYFUNCTION("""COMPUTED_VALUE"""),615.86)</f>
        <v>615.86</v>
      </c>
      <c r="R396" s="320">
        <f>IFERROR(__xludf.DUMMYFUNCTION("""COMPUTED_VALUE"""),93.91)</f>
        <v>93.91</v>
      </c>
      <c r="S396" s="320">
        <f>IFERROR(__xludf.DUMMYFUNCTION("""COMPUTED_VALUE"""),438.98)</f>
        <v>438.98</v>
      </c>
      <c r="T396" s="320">
        <f>IFERROR(__xludf.DUMMYFUNCTION("""COMPUTED_VALUE"""),270.79)</f>
        <v>270.79</v>
      </c>
      <c r="U396" s="320">
        <f>IFERROR(__xludf.DUMMYFUNCTION("""COMPUTED_VALUE"""),736.72)</f>
        <v>736.72</v>
      </c>
      <c r="V396" s="320">
        <f>IFERROR(__xludf.DUMMYFUNCTION("""COMPUTED_VALUE"""),8.5614)</f>
        <v>8.5614</v>
      </c>
      <c r="W396" s="320">
        <f>IFERROR(__xludf.DUMMYFUNCTION("""COMPUTED_VALUE"""),61.85)</f>
        <v>61.85</v>
      </c>
      <c r="X396" s="320">
        <f>IFERROR(__xludf.DUMMYFUNCTION("""COMPUTED_VALUE"""),92.0)</f>
        <v>92</v>
      </c>
      <c r="Y396" s="320">
        <f>IFERROR(__xludf.DUMMYFUNCTION("""COMPUTED_VALUE"""),289.0)</f>
        <v>289</v>
      </c>
      <c r="Z396" s="320">
        <f>IFERROR(__xludf.DUMMYFUNCTION("""COMPUTED_VALUE"""),935.0)</f>
        <v>935</v>
      </c>
      <c r="AA396" s="320">
        <f>IFERROR(__xludf.DUMMYFUNCTION("""COMPUTED_VALUE"""),57.1956)</f>
        <v>57.1956</v>
      </c>
      <c r="AB396" s="320">
        <f>IFERROR(__xludf.DUMMYFUNCTION("""COMPUTED_VALUE"""),0.7465)</f>
        <v>0.7465</v>
      </c>
      <c r="AC396" s="320">
        <f>IFERROR(__xludf.DUMMYFUNCTION("""COMPUTED_VALUE"""),35.28)</f>
        <v>35.28</v>
      </c>
      <c r="AD396" s="320">
        <f>IFERROR(__xludf.DUMMYFUNCTION("""COMPUTED_VALUE"""),12.0)</f>
        <v>12</v>
      </c>
      <c r="AE396" s="320">
        <f>IFERROR(__xludf.DUMMYFUNCTION("""COMPUTED_VALUE"""),26.0)</f>
        <v>26</v>
      </c>
      <c r="AF396" s="320">
        <f>IFERROR(__xludf.DUMMYFUNCTION("""COMPUTED_VALUE"""),49.0)</f>
        <v>49</v>
      </c>
      <c r="AG396" s="320">
        <f>IFERROR(__xludf.DUMMYFUNCTION("""COMPUTED_VALUE"""),79.0)</f>
        <v>79</v>
      </c>
      <c r="AH396" s="320">
        <f>IFERROR(__xludf.DUMMYFUNCTION("""COMPUTED_VALUE"""),47.31)</f>
        <v>47.31</v>
      </c>
      <c r="AI396" s="320">
        <f>IFERROR(__xludf.DUMMYFUNCTION("""COMPUTED_VALUE"""),18.0)</f>
        <v>18</v>
      </c>
      <c r="AJ396" s="320">
        <f>IFERROR(__xludf.DUMMYFUNCTION("""COMPUTED_VALUE"""),5.19)</f>
        <v>5.19</v>
      </c>
      <c r="AK396" s="320">
        <f>IFERROR(__xludf.DUMMYFUNCTION("""COMPUTED_VALUE"""),0.1743)</f>
        <v>0.1743</v>
      </c>
      <c r="AL396" s="320">
        <f>IFERROR(__xludf.DUMMYFUNCTION("""COMPUTED_VALUE"""),22.01)</f>
        <v>22.01</v>
      </c>
      <c r="AM396" s="320">
        <f>IFERROR(__xludf.DUMMYFUNCTION("""COMPUTED_VALUE"""),593.85)</f>
        <v>593.85</v>
      </c>
      <c r="AN396" s="320">
        <f>IFERROR(__xludf.DUMMYFUNCTION("""COMPUTED_VALUE"""),77.74)</f>
        <v>77.74</v>
      </c>
      <c r="AO396" s="320">
        <f>IFERROR(__xludf.DUMMYFUNCTION("""COMPUTED_VALUE"""),17.11)</f>
        <v>17.11</v>
      </c>
    </row>
    <row r="397" ht="15.75" customHeight="1">
      <c r="A397" s="330">
        <f>IFERROR(__xludf.DUMMYFUNCTION("""COMPUTED_VALUE"""),46115.0)</f>
        <v>46115</v>
      </c>
      <c r="B397" s="319" t="str">
        <f>IFERROR(__xludf.DUMMYFUNCTION("""COMPUTED_VALUE"""),"F. 100+")</f>
        <v>F. 100+</v>
      </c>
      <c r="C397" s="320">
        <f>IFERROR(__xludf.DUMMYFUNCTION("""COMPUTED_VALUE"""),351.0)</f>
        <v>351</v>
      </c>
      <c r="D397" s="320">
        <f>IFERROR(__xludf.DUMMYFUNCTION("""COMPUTED_VALUE"""),0.48)</f>
        <v>0.48</v>
      </c>
      <c r="E397" s="320">
        <f>IFERROR(__xludf.DUMMYFUNCTION("""COMPUTED_VALUE"""),4753.83)</f>
        <v>4753.83</v>
      </c>
      <c r="F397" s="320">
        <f>IFERROR(__xludf.DUMMYFUNCTION("""COMPUTED_VALUE"""),13.5437)</f>
        <v>13.5437</v>
      </c>
      <c r="G397" s="320">
        <f>IFERROR(__xludf.DUMMYFUNCTION("""COMPUTED_VALUE"""),55.27)</f>
        <v>55.27</v>
      </c>
      <c r="H397" s="320">
        <f>IFERROR(__xludf.DUMMYFUNCTION("""COMPUTED_VALUE"""),24.5043)</f>
        <v>24.5043</v>
      </c>
      <c r="I397" s="320">
        <f>IFERROR(__xludf.DUMMYFUNCTION("""COMPUTED_VALUE"""),256.38)</f>
        <v>256.38</v>
      </c>
      <c r="J397" s="320">
        <f>IFERROR(__xludf.DUMMYFUNCTION("""COMPUTED_VALUE"""),165.11)</f>
        <v>165.11</v>
      </c>
      <c r="K397" s="320">
        <f>IFERROR(__xludf.DUMMYFUNCTION("""COMPUTED_VALUE"""),126.94)</f>
        <v>126.94</v>
      </c>
      <c r="L397" s="320">
        <f>IFERROR(__xludf.DUMMYFUNCTION("""COMPUTED_VALUE"""),0.7688)</f>
        <v>0.7688</v>
      </c>
      <c r="M397" s="320">
        <f>IFERROR(__xludf.DUMMYFUNCTION("""COMPUTED_VALUE"""),0.3259)</f>
        <v>0.3259</v>
      </c>
      <c r="N397" s="320">
        <f>IFERROR(__xludf.DUMMYFUNCTION("""COMPUTED_VALUE"""),0.1905)</f>
        <v>0.1905</v>
      </c>
      <c r="O397" s="320">
        <f>IFERROR(__xludf.DUMMYFUNCTION("""COMPUTED_VALUE"""),1.3007)</f>
        <v>1.3007</v>
      </c>
      <c r="P397" s="320">
        <f>IFERROR(__xludf.DUMMYFUNCTION("""COMPUTED_VALUE"""),1377.59)</f>
        <v>1377.59</v>
      </c>
      <c r="Q397" s="320">
        <f>IFERROR(__xludf.DUMMYFUNCTION("""COMPUTED_VALUE"""),1162.26)</f>
        <v>1162.26</v>
      </c>
      <c r="R397" s="320">
        <f>IFERROR(__xludf.DUMMYFUNCTION("""COMPUTED_VALUE"""),215.33)</f>
        <v>215.33</v>
      </c>
      <c r="S397" s="320">
        <f>IFERROR(__xludf.DUMMYFUNCTION("""COMPUTED_VALUE"""),875.0)</f>
        <v>875</v>
      </c>
      <c r="T397" s="320">
        <f>IFERROR(__xludf.DUMMYFUNCTION("""COMPUTED_VALUE"""),502.59)</f>
        <v>502.59</v>
      </c>
      <c r="U397" s="320">
        <f>IFERROR(__xludf.DUMMYFUNCTION("""COMPUTED_VALUE"""),1455.84)</f>
        <v>1455.84</v>
      </c>
      <c r="V397" s="320">
        <f>IFERROR(__xludf.DUMMYFUNCTION("""COMPUTED_VALUE"""),8.8176)</f>
        <v>8.8176</v>
      </c>
      <c r="W397" s="320">
        <f>IFERROR(__xludf.DUMMYFUNCTION("""COMPUTED_VALUE"""),63.52)</f>
        <v>63.52</v>
      </c>
      <c r="X397" s="320">
        <f>IFERROR(__xludf.DUMMYFUNCTION("""COMPUTED_VALUE"""),119.0)</f>
        <v>119</v>
      </c>
      <c r="Y397" s="320">
        <f>IFERROR(__xludf.DUMMYFUNCTION("""COMPUTED_VALUE"""),588.0)</f>
        <v>588</v>
      </c>
      <c r="Z397" s="320">
        <f>IFERROR(__xludf.DUMMYFUNCTION("""COMPUTED_VALUE"""),2542.0)</f>
        <v>2542</v>
      </c>
      <c r="AA397" s="320">
        <f>IFERROR(__xludf.DUMMYFUNCTION("""COMPUTED_VALUE"""),61.1562)</f>
        <v>61.1562</v>
      </c>
      <c r="AB397" s="320">
        <f>IFERROR(__xludf.DUMMYFUNCTION("""COMPUTED_VALUE"""),0.8219)</f>
        <v>0.8219</v>
      </c>
      <c r="AC397" s="320">
        <f>IFERROR(__xludf.DUMMYFUNCTION("""COMPUTED_VALUE"""),81.48)</f>
        <v>81.48</v>
      </c>
      <c r="AD397" s="320">
        <f>IFERROR(__xludf.DUMMYFUNCTION("""COMPUTED_VALUE"""),26.0)</f>
        <v>26</v>
      </c>
      <c r="AE397" s="320">
        <f>IFERROR(__xludf.DUMMYFUNCTION("""COMPUTED_VALUE"""),65.0)</f>
        <v>65</v>
      </c>
      <c r="AF397" s="320">
        <f>IFERROR(__xludf.DUMMYFUNCTION("""COMPUTED_VALUE"""),125.0)</f>
        <v>125</v>
      </c>
      <c r="AG397" s="320">
        <f>IFERROR(__xludf.DUMMYFUNCTION("""COMPUTED_VALUE"""),178.0)</f>
        <v>178</v>
      </c>
      <c r="AH397" s="320">
        <f>IFERROR(__xludf.DUMMYFUNCTION("""COMPUTED_VALUE"""),43.59)</f>
        <v>43.59</v>
      </c>
      <c r="AI397" s="320">
        <f>IFERROR(__xludf.DUMMYFUNCTION("""COMPUTED_VALUE"""),10.83)</f>
        <v>10.83</v>
      </c>
      <c r="AJ397" s="320">
        <f>IFERROR(__xludf.DUMMYFUNCTION("""COMPUTED_VALUE"""),0.85)</f>
        <v>0.85</v>
      </c>
      <c r="AK397" s="320">
        <f>IFERROR(__xludf.DUMMYFUNCTION("""COMPUTED_VALUE"""),0.114)</f>
        <v>0.114</v>
      </c>
      <c r="AL397" s="320">
        <f>IFERROR(__xludf.DUMMYFUNCTION("""COMPUTED_VALUE"""),23.63)</f>
        <v>23.63</v>
      </c>
      <c r="AM397" s="320">
        <f>IFERROR(__xludf.DUMMYFUNCTION("""COMPUTED_VALUE"""),1138.63)</f>
        <v>1138.63</v>
      </c>
      <c r="AN397" s="320">
        <f>IFERROR(__xludf.DUMMYFUNCTION("""COMPUTED_VALUE"""),79.36)</f>
        <v>79.36</v>
      </c>
      <c r="AO397" s="320">
        <f>IFERROR(__xludf.DUMMYFUNCTION("""COMPUTED_VALUE"""),18.75)</f>
        <v>18.75</v>
      </c>
    </row>
    <row r="398" ht="15.75" customHeight="1">
      <c r="A398" s="330">
        <f>IFERROR(__xludf.DUMMYFUNCTION("""COMPUTED_VALUE"""),46116.0)</f>
        <v>46116</v>
      </c>
      <c r="B398" s="319" t="str">
        <f>IFERROR(__xludf.DUMMYFUNCTION("""COMPUTED_VALUE"""),"A. 0")</f>
        <v>A. 0</v>
      </c>
      <c r="C398" s="320">
        <f>IFERROR(__xludf.DUMMYFUNCTION("""COMPUTED_VALUE"""),14967.0)</f>
        <v>14967</v>
      </c>
      <c r="D398" s="320">
        <f>IFERROR(__xludf.DUMMYFUNCTION("""COMPUTED_VALUE"""),20.6)</f>
        <v>20.6</v>
      </c>
      <c r="E398" s="320">
        <f>IFERROR(__xludf.DUMMYFUNCTION("""COMPUTED_VALUE"""),54.62)</f>
        <v>54.62</v>
      </c>
      <c r="F398" s="320">
        <f>IFERROR(__xludf.DUMMYFUNCTION("""COMPUTED_VALUE"""),0.0036)</f>
        <v>0.0036</v>
      </c>
      <c r="G398" s="320">
        <f>IFERROR(__xludf.DUMMYFUNCTION("""COMPUTED_VALUE"""),0.19)</f>
        <v>0.19</v>
      </c>
      <c r="H398" s="320">
        <f>IFERROR(__xludf.DUMMYFUNCTION("""COMPUTED_VALUE"""),1.9507)</f>
        <v>1.9507</v>
      </c>
      <c r="I398" s="320">
        <f>IFERROR(__xludf.DUMMYFUNCTION("""COMPUTED_VALUE"""),5.99)</f>
        <v>5.99</v>
      </c>
      <c r="J398" s="320">
        <f>IFERROR(__xludf.DUMMYFUNCTION("""COMPUTED_VALUE"""),2.67)</f>
        <v>2.67</v>
      </c>
      <c r="K398" s="320">
        <f>IFERROR(__xludf.DUMMYFUNCTION("""COMPUTED_VALUE"""),0.03)</f>
        <v>0.03</v>
      </c>
      <c r="L398" s="320">
        <f>IFERROR(__xludf.DUMMYFUNCTION("""COMPUTED_VALUE"""),0.0114)</f>
        <v>0.0114</v>
      </c>
      <c r="M398" s="320">
        <f>IFERROR(__xludf.DUMMYFUNCTION("""COMPUTED_VALUE"""),0.9895)</f>
        <v>0.9895</v>
      </c>
      <c r="N398" s="320">
        <f>IFERROR(__xludf.DUMMYFUNCTION("""COMPUTED_VALUE"""),0.8665)</f>
        <v>0.8665</v>
      </c>
      <c r="O398" s="320">
        <f>IFERROR(__xludf.DUMMYFUNCTION("""COMPUTED_VALUE"""),87.7802)</f>
        <v>87.7802</v>
      </c>
      <c r="P398" s="320">
        <f>IFERROR(__xludf.DUMMYFUNCTION("""COMPUTED_VALUE"""),27.71)</f>
        <v>27.71</v>
      </c>
      <c r="Q398" s="320">
        <f>IFERROR(__xludf.DUMMYFUNCTION("""COMPUTED_VALUE"""),27.65)</f>
        <v>27.65</v>
      </c>
      <c r="R398" s="320">
        <f>IFERROR(__xludf.DUMMYFUNCTION("""COMPUTED_VALUE"""),0.06)</f>
        <v>0.06</v>
      </c>
      <c r="S398" s="320">
        <f>IFERROR(__xludf.DUMMYFUNCTION("""COMPUTED_VALUE"""),0.44)</f>
        <v>0.44</v>
      </c>
      <c r="T398" s="320">
        <f>IFERROR(__xludf.DUMMYFUNCTION("""COMPUTED_VALUE"""),27.26)</f>
        <v>27.26</v>
      </c>
      <c r="U398" s="320">
        <f>IFERROR(__xludf.DUMMYFUNCTION("""COMPUTED_VALUE"""),2.28)</f>
        <v>2.28</v>
      </c>
      <c r="V398" s="320">
        <f>IFERROR(__xludf.DUMMYFUNCTION("""COMPUTED_VALUE"""),0.8538)</f>
        <v>0.8538</v>
      </c>
      <c r="W398" s="320">
        <f>IFERROR(__xludf.DUMMYFUNCTION("""COMPUTED_VALUE"""),1.59)</f>
        <v>1.59</v>
      </c>
      <c r="X398" s="320">
        <f>IFERROR(__xludf.DUMMYFUNCTION("""COMPUTED_VALUE"""),156.0)</f>
        <v>156</v>
      </c>
      <c r="Y398" s="320">
        <f>IFERROR(__xludf.DUMMYFUNCTION("""COMPUTED_VALUE"""),1091.0)</f>
        <v>1091</v>
      </c>
      <c r="Z398" s="320">
        <f>IFERROR(__xludf.DUMMYFUNCTION("""COMPUTED_VALUE"""),7519.0)</f>
        <v>7519</v>
      </c>
      <c r="AA398" s="320">
        <f>IFERROR(__xludf.DUMMYFUNCTION("""COMPUTED_VALUE"""),49.7001)</f>
        <v>49.7001</v>
      </c>
      <c r="AB398" s="320">
        <f>IFERROR(__xludf.DUMMYFUNCTION("""COMPUTED_VALUE"""),0.5136)</f>
        <v>0.5136</v>
      </c>
      <c r="AC398" s="106"/>
      <c r="AD398" s="106"/>
      <c r="AE398" s="106"/>
      <c r="AF398" s="106"/>
      <c r="AG398" s="106"/>
      <c r="AH398" s="320">
        <f>IFERROR(__xludf.DUMMYFUNCTION("""COMPUTED_VALUE"""),0.0)</f>
        <v>0</v>
      </c>
      <c r="AI398" s="320">
        <f>IFERROR(__xludf.DUMMYFUNCTION("""COMPUTED_VALUE"""),0.0)</f>
        <v>0</v>
      </c>
      <c r="AJ398" s="320">
        <f>IFERROR(__xludf.DUMMYFUNCTION("""COMPUTED_VALUE"""),0.0)</f>
        <v>0</v>
      </c>
      <c r="AK398" s="320">
        <f>IFERROR(__xludf.DUMMYFUNCTION("""COMPUTED_VALUE"""),0.2832)</f>
        <v>0.2832</v>
      </c>
      <c r="AL398" s="320">
        <f>IFERROR(__xludf.DUMMYFUNCTION("""COMPUTED_VALUE"""),17.92)</f>
        <v>17.92</v>
      </c>
      <c r="AM398" s="320">
        <f>IFERROR(__xludf.DUMMYFUNCTION("""COMPUTED_VALUE"""),9.72)</f>
        <v>9.72</v>
      </c>
      <c r="AN398" s="331"/>
      <c r="AO398" s="331"/>
    </row>
    <row r="399" ht="15.75" customHeight="1">
      <c r="A399" s="330">
        <f>IFERROR(__xludf.DUMMYFUNCTION("""COMPUTED_VALUE"""),46116.0)</f>
        <v>46116</v>
      </c>
      <c r="B399" s="319" t="str">
        <f>IFERROR(__xludf.DUMMYFUNCTION("""COMPUTED_VALUE"""),"B. 1-9")</f>
        <v>B. 1-9</v>
      </c>
      <c r="C399" s="320">
        <f>IFERROR(__xludf.DUMMYFUNCTION("""COMPUTED_VALUE"""),30640.0)</f>
        <v>30640</v>
      </c>
      <c r="D399" s="320">
        <f>IFERROR(__xludf.DUMMYFUNCTION("""COMPUTED_VALUE"""),42.18)</f>
        <v>42.18</v>
      </c>
      <c r="E399" s="320">
        <f>IFERROR(__xludf.DUMMYFUNCTION("""COMPUTED_VALUE"""),7467.88)</f>
        <v>7467.88</v>
      </c>
      <c r="F399" s="320">
        <f>IFERROR(__xludf.DUMMYFUNCTION("""COMPUTED_VALUE"""),0.2437)</f>
        <v>0.2437</v>
      </c>
      <c r="G399" s="320">
        <f>IFERROR(__xludf.DUMMYFUNCTION("""COMPUTED_VALUE"""),7.16)</f>
        <v>7.16</v>
      </c>
      <c r="H399" s="320">
        <f>IFERROR(__xludf.DUMMYFUNCTION("""COMPUTED_VALUE"""),3.4038)</f>
        <v>3.4038</v>
      </c>
      <c r="I399" s="320">
        <f>IFERROR(__xludf.DUMMYFUNCTION("""COMPUTED_VALUE"""),31.05)</f>
        <v>31.05</v>
      </c>
      <c r="J399" s="320">
        <f>IFERROR(__xludf.DUMMYFUNCTION("""COMPUTED_VALUE"""),16.7)</f>
        <v>16.7</v>
      </c>
      <c r="K399" s="320">
        <f>IFERROR(__xludf.DUMMYFUNCTION("""COMPUTED_VALUE"""),5.42)</f>
        <v>5.42</v>
      </c>
      <c r="L399" s="320">
        <f>IFERROR(__xludf.DUMMYFUNCTION("""COMPUTED_VALUE"""),0.3248)</f>
        <v>0.3248</v>
      </c>
      <c r="M399" s="320">
        <f>IFERROR(__xludf.DUMMYFUNCTION("""COMPUTED_VALUE"""),0.7477)</f>
        <v>0.7477</v>
      </c>
      <c r="N399" s="320">
        <f>IFERROR(__xludf.DUMMYFUNCTION("""COMPUTED_VALUE"""),0.5029)</f>
        <v>0.5029</v>
      </c>
      <c r="O399" s="320">
        <f>IFERROR(__xludf.DUMMYFUNCTION("""COMPUTED_VALUE"""),3.0785)</f>
        <v>3.0785</v>
      </c>
      <c r="P399" s="320">
        <f>IFERROR(__xludf.DUMMYFUNCTION("""COMPUTED_VALUE"""),71.53)</f>
        <v>71.53</v>
      </c>
      <c r="Q399" s="320">
        <f>IFERROR(__xludf.DUMMYFUNCTION("""COMPUTED_VALUE"""),62.69)</f>
        <v>62.69</v>
      </c>
      <c r="R399" s="320">
        <f>IFERROR(__xludf.DUMMYFUNCTION("""COMPUTED_VALUE"""),8.84)</f>
        <v>8.84</v>
      </c>
      <c r="S399" s="320">
        <f>IFERROR(__xludf.DUMMYFUNCTION("""COMPUTED_VALUE"""),15.86)</f>
        <v>15.86</v>
      </c>
      <c r="T399" s="320">
        <f>IFERROR(__xludf.DUMMYFUNCTION("""COMPUTED_VALUE"""),55.66)</f>
        <v>55.66</v>
      </c>
      <c r="U399" s="320">
        <f>IFERROR(__xludf.DUMMYFUNCTION("""COMPUTED_VALUE"""),77.38)</f>
        <v>77.38</v>
      </c>
      <c r="V399" s="320">
        <f>IFERROR(__xludf.DUMMYFUNCTION("""COMPUTED_VALUE"""),4.6347)</f>
        <v>4.6347</v>
      </c>
      <c r="W399" s="320">
        <f>IFERROR(__xludf.DUMMYFUNCTION("""COMPUTED_VALUE"""),22.18)</f>
        <v>22.18</v>
      </c>
      <c r="X399" s="320">
        <f>IFERROR(__xludf.DUMMYFUNCTION("""COMPUTED_VALUE"""),87.0)</f>
        <v>87</v>
      </c>
      <c r="Y399" s="320">
        <f>IFERROR(__xludf.DUMMYFUNCTION("""COMPUTED_VALUE"""),220.0)</f>
        <v>220</v>
      </c>
      <c r="Z399" s="320">
        <f>IFERROR(__xludf.DUMMYFUNCTION("""COMPUTED_VALUE"""),897.0)</f>
        <v>897</v>
      </c>
      <c r="AA399" s="320">
        <f>IFERROR(__xludf.DUMMYFUNCTION("""COMPUTED_VALUE"""),49.583)</f>
        <v>49.583</v>
      </c>
      <c r="AB399" s="320">
        <f>IFERROR(__xludf.DUMMYFUNCTION("""COMPUTED_VALUE"""),0.4528)</f>
        <v>0.4528</v>
      </c>
      <c r="AC399" s="320">
        <f>IFERROR(__xludf.DUMMYFUNCTION("""COMPUTED_VALUE"""),3.64)</f>
        <v>3.64</v>
      </c>
      <c r="AD399" s="320">
        <f>IFERROR(__xludf.DUMMYFUNCTION("""COMPUTED_VALUE"""),1.0)</f>
        <v>1</v>
      </c>
      <c r="AE399" s="320">
        <f>IFERROR(__xludf.DUMMYFUNCTION("""COMPUTED_VALUE"""),2.0)</f>
        <v>2</v>
      </c>
      <c r="AF399" s="320">
        <f>IFERROR(__xludf.DUMMYFUNCTION("""COMPUTED_VALUE"""),5.0)</f>
        <v>5</v>
      </c>
      <c r="AG399" s="320">
        <f>IFERROR(__xludf.DUMMYFUNCTION("""COMPUTED_VALUE"""),8.0)</f>
        <v>8</v>
      </c>
      <c r="AH399" s="320">
        <f>IFERROR(__xludf.DUMMYFUNCTION("""COMPUTED_VALUE"""),67.0)</f>
        <v>67</v>
      </c>
      <c r="AI399" s="320">
        <f>IFERROR(__xludf.DUMMYFUNCTION("""COMPUTED_VALUE"""),26.09)</f>
        <v>26.09</v>
      </c>
      <c r="AJ399" s="320">
        <f>IFERROR(__xludf.DUMMYFUNCTION("""COMPUTED_VALUE"""),7.51)</f>
        <v>7.51</v>
      </c>
      <c r="AK399" s="320">
        <f>IFERROR(__xludf.DUMMYFUNCTION("""COMPUTED_VALUE"""),0.229)</f>
        <v>0.229</v>
      </c>
      <c r="AL399" s="320">
        <f>IFERROR(__xludf.DUMMYFUNCTION("""COMPUTED_VALUE"""),22.5)</f>
        <v>22.5</v>
      </c>
      <c r="AM399" s="320">
        <f>IFERROR(__xludf.DUMMYFUNCTION("""COMPUTED_VALUE"""),40.19)</f>
        <v>40.19</v>
      </c>
      <c r="AN399" s="320">
        <f>IFERROR(__xludf.DUMMYFUNCTION("""COMPUTED_VALUE"""),67.96)</f>
        <v>67.96</v>
      </c>
      <c r="AO399" s="320">
        <f>IFERROR(__xludf.DUMMYFUNCTION("""COMPUTED_VALUE"""),15.29)</f>
        <v>15.29</v>
      </c>
    </row>
    <row r="400" ht="15.75" customHeight="1">
      <c r="A400" s="330">
        <f>IFERROR(__xludf.DUMMYFUNCTION("""COMPUTED_VALUE"""),46116.0)</f>
        <v>46116</v>
      </c>
      <c r="B400" s="319" t="str">
        <f>IFERROR(__xludf.DUMMYFUNCTION("""COMPUTED_VALUE"""),"C. 10-19")</f>
        <v>C. 10-19</v>
      </c>
      <c r="C400" s="320">
        <f>IFERROR(__xludf.DUMMYFUNCTION("""COMPUTED_VALUE"""),15596.0)</f>
        <v>15596</v>
      </c>
      <c r="D400" s="320">
        <f>IFERROR(__xludf.DUMMYFUNCTION("""COMPUTED_VALUE"""),21.47)</f>
        <v>21.47</v>
      </c>
      <c r="E400" s="320">
        <f>IFERROR(__xludf.DUMMYFUNCTION("""COMPUTED_VALUE"""),15784.54)</f>
        <v>15784.54</v>
      </c>
      <c r="F400" s="320">
        <f>IFERROR(__xludf.DUMMYFUNCTION("""COMPUTED_VALUE"""),1.0121)</f>
        <v>1.0121</v>
      </c>
      <c r="G400" s="320">
        <f>IFERROR(__xludf.DUMMYFUNCTION("""COMPUTED_VALUE"""),21.26)</f>
        <v>21.26</v>
      </c>
      <c r="H400" s="320">
        <f>IFERROR(__xludf.DUMMYFUNCTION("""COMPUTED_VALUE"""),4.7616)</f>
        <v>4.7616</v>
      </c>
      <c r="I400" s="320">
        <f>IFERROR(__xludf.DUMMYFUNCTION("""COMPUTED_VALUE"""),56.76)</f>
        <v>56.76</v>
      </c>
      <c r="J400" s="320">
        <f>IFERROR(__xludf.DUMMYFUNCTION("""COMPUTED_VALUE"""),32.31)</f>
        <v>32.31</v>
      </c>
      <c r="K400" s="320">
        <f>IFERROR(__xludf.DUMMYFUNCTION("""COMPUTED_VALUE"""),13.3)</f>
        <v>13.3</v>
      </c>
      <c r="L400" s="320">
        <f>IFERROR(__xludf.DUMMYFUNCTION("""COMPUTED_VALUE"""),0.4117)</f>
        <v>0.4117</v>
      </c>
      <c r="M400" s="320">
        <f>IFERROR(__xludf.DUMMYFUNCTION("""COMPUTED_VALUE"""),0.6526)</f>
        <v>0.6526</v>
      </c>
      <c r="N400" s="320">
        <f>IFERROR(__xludf.DUMMYFUNCTION("""COMPUTED_VALUE"""),0.3773)</f>
        <v>0.3773</v>
      </c>
      <c r="O400" s="320">
        <f>IFERROR(__xludf.DUMMYFUNCTION("""COMPUTED_VALUE"""),2.4289)</f>
        <v>2.4289</v>
      </c>
      <c r="P400" s="320">
        <f>IFERROR(__xludf.DUMMYFUNCTION("""COMPUTED_VALUE"""),162.43)</f>
        <v>162.43</v>
      </c>
      <c r="Q400" s="320">
        <f>IFERROR(__xludf.DUMMYFUNCTION("""COMPUTED_VALUE"""),140.41)</f>
        <v>140.41</v>
      </c>
      <c r="R400" s="320">
        <f>IFERROR(__xludf.DUMMYFUNCTION("""COMPUTED_VALUE"""),22.02)</f>
        <v>22.02</v>
      </c>
      <c r="S400" s="320">
        <f>IFERROR(__xludf.DUMMYFUNCTION("""COMPUTED_VALUE"""),66.23)</f>
        <v>66.23</v>
      </c>
      <c r="T400" s="320">
        <f>IFERROR(__xludf.DUMMYFUNCTION("""COMPUTED_VALUE"""),96.2)</f>
        <v>96.2</v>
      </c>
      <c r="U400" s="320">
        <f>IFERROR(__xludf.DUMMYFUNCTION("""COMPUTED_VALUE"""),173.7)</f>
        <v>173.7</v>
      </c>
      <c r="V400" s="320">
        <f>IFERROR(__xludf.DUMMYFUNCTION("""COMPUTED_VALUE"""),5.3765)</f>
        <v>5.3765</v>
      </c>
      <c r="W400" s="320">
        <f>IFERROR(__xludf.DUMMYFUNCTION("""COMPUTED_VALUE"""),40.77)</f>
        <v>40.77</v>
      </c>
      <c r="X400" s="320">
        <f>IFERROR(__xludf.DUMMYFUNCTION("""COMPUTED_VALUE"""),83.0)</f>
        <v>83</v>
      </c>
      <c r="Y400" s="320">
        <f>IFERROR(__xludf.DUMMYFUNCTION("""COMPUTED_VALUE"""),183.0)</f>
        <v>183</v>
      </c>
      <c r="Z400" s="320">
        <f>IFERROR(__xludf.DUMMYFUNCTION("""COMPUTED_VALUE"""),616.0)</f>
        <v>616</v>
      </c>
      <c r="AA400" s="320">
        <f>IFERROR(__xludf.DUMMYFUNCTION("""COMPUTED_VALUE"""),52.381)</f>
        <v>52.381</v>
      </c>
      <c r="AB400" s="320">
        <f>IFERROR(__xludf.DUMMYFUNCTION("""COMPUTED_VALUE"""),0.5534)</f>
        <v>0.5534</v>
      </c>
      <c r="AC400" s="320">
        <f>IFERROR(__xludf.DUMMYFUNCTION("""COMPUTED_VALUE"""),8.61)</f>
        <v>8.61</v>
      </c>
      <c r="AD400" s="320">
        <f>IFERROR(__xludf.DUMMYFUNCTION("""COMPUTED_VALUE"""),3.0)</f>
        <v>3</v>
      </c>
      <c r="AE400" s="320">
        <f>IFERROR(__xludf.DUMMYFUNCTION("""COMPUTED_VALUE"""),6.0)</f>
        <v>6</v>
      </c>
      <c r="AF400" s="320">
        <f>IFERROR(__xludf.DUMMYFUNCTION("""COMPUTED_VALUE"""),12.0)</f>
        <v>12</v>
      </c>
      <c r="AG400" s="320">
        <f>IFERROR(__xludf.DUMMYFUNCTION("""COMPUTED_VALUE"""),19.0)</f>
        <v>19</v>
      </c>
      <c r="AH400" s="320">
        <f>IFERROR(__xludf.DUMMYFUNCTION("""COMPUTED_VALUE"""),53.82)</f>
        <v>53.82</v>
      </c>
      <c r="AI400" s="320">
        <f>IFERROR(__xludf.DUMMYFUNCTION("""COMPUTED_VALUE"""),23.13)</f>
        <v>23.13</v>
      </c>
      <c r="AJ400" s="320">
        <f>IFERROR(__xludf.DUMMYFUNCTION("""COMPUTED_VALUE"""),4.17)</f>
        <v>4.17</v>
      </c>
      <c r="AK400" s="320">
        <f>IFERROR(__xludf.DUMMYFUNCTION("""COMPUTED_VALUE"""),0.2143)</f>
        <v>0.2143</v>
      </c>
      <c r="AL400" s="320">
        <f>IFERROR(__xludf.DUMMYFUNCTION("""COMPUTED_VALUE"""),22.6)</f>
        <v>22.6</v>
      </c>
      <c r="AM400" s="320">
        <f>IFERROR(__xludf.DUMMYFUNCTION("""COMPUTED_VALUE"""),117.8)</f>
        <v>117.8</v>
      </c>
      <c r="AN400" s="320">
        <f>IFERROR(__xludf.DUMMYFUNCTION("""COMPUTED_VALUE"""),72.9)</f>
        <v>72.9</v>
      </c>
      <c r="AO400" s="320">
        <f>IFERROR(__xludf.DUMMYFUNCTION("""COMPUTED_VALUE"""),16.48)</f>
        <v>16.48</v>
      </c>
    </row>
    <row r="401" ht="15.75" customHeight="1">
      <c r="A401" s="330">
        <f>IFERROR(__xludf.DUMMYFUNCTION("""COMPUTED_VALUE"""),46116.0)</f>
        <v>46116</v>
      </c>
      <c r="B401" s="319" t="str">
        <f>IFERROR(__xludf.DUMMYFUNCTION("""COMPUTED_VALUE"""),"D. 20-39")</f>
        <v>D. 20-39</v>
      </c>
      <c r="C401" s="320">
        <f>IFERROR(__xludf.DUMMYFUNCTION("""COMPUTED_VALUE"""),7937.0)</f>
        <v>7937</v>
      </c>
      <c r="D401" s="320">
        <f>IFERROR(__xludf.DUMMYFUNCTION("""COMPUTED_VALUE"""),10.93)</f>
        <v>10.93</v>
      </c>
      <c r="E401" s="320">
        <f>IFERROR(__xludf.DUMMYFUNCTION("""COMPUTED_VALUE"""),20858.86)</f>
        <v>20858.86</v>
      </c>
      <c r="F401" s="320">
        <f>IFERROR(__xludf.DUMMYFUNCTION("""COMPUTED_VALUE"""),2.6281)</f>
        <v>2.6281</v>
      </c>
      <c r="G401" s="320">
        <f>IFERROR(__xludf.DUMMYFUNCTION("""COMPUTED_VALUE"""),35.16)</f>
        <v>35.16</v>
      </c>
      <c r="H401" s="320">
        <f>IFERROR(__xludf.DUMMYFUNCTION("""COMPUTED_VALUE"""),7.4736)</f>
        <v>7.4736</v>
      </c>
      <c r="I401" s="320">
        <f>IFERROR(__xludf.DUMMYFUNCTION("""COMPUTED_VALUE"""),84.65)</f>
        <v>84.65</v>
      </c>
      <c r="J401" s="320">
        <f>IFERROR(__xludf.DUMMYFUNCTION("""COMPUTED_VALUE"""),50.67)</f>
        <v>50.67</v>
      </c>
      <c r="K401" s="320">
        <f>IFERROR(__xludf.DUMMYFUNCTION("""COMPUTED_VALUE"""),26.61)</f>
        <v>26.61</v>
      </c>
      <c r="L401" s="320">
        <f>IFERROR(__xludf.DUMMYFUNCTION("""COMPUTED_VALUE"""),0.5252)</f>
        <v>0.5252</v>
      </c>
      <c r="M401" s="320">
        <f>IFERROR(__xludf.DUMMYFUNCTION("""COMPUTED_VALUE"""),0.5471)</f>
        <v>0.5471</v>
      </c>
      <c r="N401" s="320">
        <f>IFERROR(__xludf.DUMMYFUNCTION("""COMPUTED_VALUE"""),0.3044)</f>
        <v>0.3044</v>
      </c>
      <c r="O401" s="320">
        <f>IFERROR(__xludf.DUMMYFUNCTION("""COMPUTED_VALUE"""),1.9041)</f>
        <v>1.9041</v>
      </c>
      <c r="P401" s="320">
        <f>IFERROR(__xludf.DUMMYFUNCTION("""COMPUTED_VALUE"""),330.78)</f>
        <v>330.78</v>
      </c>
      <c r="Q401" s="320">
        <f>IFERROR(__xludf.DUMMYFUNCTION("""COMPUTED_VALUE"""),285.98)</f>
        <v>285.98</v>
      </c>
      <c r="R401" s="320">
        <f>IFERROR(__xludf.DUMMYFUNCTION("""COMPUTED_VALUE"""),44.8)</f>
        <v>44.8</v>
      </c>
      <c r="S401" s="320">
        <f>IFERROR(__xludf.DUMMYFUNCTION("""COMPUTED_VALUE"""),168.51)</f>
        <v>168.51</v>
      </c>
      <c r="T401" s="320">
        <f>IFERROR(__xludf.DUMMYFUNCTION("""COMPUTED_VALUE"""),162.27)</f>
        <v>162.27</v>
      </c>
      <c r="U401" s="320">
        <f>IFERROR(__xludf.DUMMYFUNCTION("""COMPUTED_VALUE"""),345.57)</f>
        <v>345.57</v>
      </c>
      <c r="V401" s="320">
        <f>IFERROR(__xludf.DUMMYFUNCTION("""COMPUTED_VALUE"""),6.8198)</f>
        <v>6.8198</v>
      </c>
      <c r="W401" s="320">
        <f>IFERROR(__xludf.DUMMYFUNCTION("""COMPUTED_VALUE"""),50.94)</f>
        <v>50.94</v>
      </c>
      <c r="X401" s="320">
        <f>IFERROR(__xludf.DUMMYFUNCTION("""COMPUTED_VALUE"""),84.0)</f>
        <v>84</v>
      </c>
      <c r="Y401" s="320">
        <f>IFERROR(__xludf.DUMMYFUNCTION("""COMPUTED_VALUE"""),206.0)</f>
        <v>206</v>
      </c>
      <c r="Z401" s="320">
        <f>IFERROR(__xludf.DUMMYFUNCTION("""COMPUTED_VALUE"""),647.0)</f>
        <v>647</v>
      </c>
      <c r="AA401" s="320">
        <f>IFERROR(__xludf.DUMMYFUNCTION("""COMPUTED_VALUE"""),54.4192)</f>
        <v>54.4192</v>
      </c>
      <c r="AB401" s="320">
        <f>IFERROR(__xludf.DUMMYFUNCTION("""COMPUTED_VALUE"""),0.6534)</f>
        <v>0.6534</v>
      </c>
      <c r="AC401" s="320">
        <f>IFERROR(__xludf.DUMMYFUNCTION("""COMPUTED_VALUE"""),16.93)</f>
        <v>16.93</v>
      </c>
      <c r="AD401" s="320">
        <f>IFERROR(__xludf.DUMMYFUNCTION("""COMPUTED_VALUE"""),6.0)</f>
        <v>6</v>
      </c>
      <c r="AE401" s="320">
        <f>IFERROR(__xludf.DUMMYFUNCTION("""COMPUTED_VALUE"""),12.0)</f>
        <v>12</v>
      </c>
      <c r="AF401" s="320">
        <f>IFERROR(__xludf.DUMMYFUNCTION("""COMPUTED_VALUE"""),23.0)</f>
        <v>23</v>
      </c>
      <c r="AG401" s="320">
        <f>IFERROR(__xludf.DUMMYFUNCTION("""COMPUTED_VALUE"""),37.0)</f>
        <v>37</v>
      </c>
      <c r="AH401" s="320">
        <f>IFERROR(__xludf.DUMMYFUNCTION("""COMPUTED_VALUE"""),55.0)</f>
        <v>55</v>
      </c>
      <c r="AI401" s="320">
        <f>IFERROR(__xludf.DUMMYFUNCTION("""COMPUTED_VALUE"""),21.83)</f>
        <v>21.83</v>
      </c>
      <c r="AJ401" s="320">
        <f>IFERROR(__xludf.DUMMYFUNCTION("""COMPUTED_VALUE"""),7.16)</f>
        <v>7.16</v>
      </c>
      <c r="AK401" s="320">
        <f>IFERROR(__xludf.DUMMYFUNCTION("""COMPUTED_VALUE"""),0.195)</f>
        <v>0.195</v>
      </c>
      <c r="AL401" s="320">
        <f>IFERROR(__xludf.DUMMYFUNCTION("""COMPUTED_VALUE"""),22.76)</f>
        <v>22.76</v>
      </c>
      <c r="AM401" s="320">
        <f>IFERROR(__xludf.DUMMYFUNCTION("""COMPUTED_VALUE"""),263.22)</f>
        <v>263.22</v>
      </c>
      <c r="AN401" s="320">
        <f>IFERROR(__xludf.DUMMYFUNCTION("""COMPUTED_VALUE"""),75.2)</f>
        <v>75.2</v>
      </c>
      <c r="AO401" s="320">
        <f>IFERROR(__xludf.DUMMYFUNCTION("""COMPUTED_VALUE"""),17.12)</f>
        <v>17.12</v>
      </c>
    </row>
    <row r="402" ht="15.75" customHeight="1">
      <c r="A402" s="330">
        <f>IFERROR(__xludf.DUMMYFUNCTION("""COMPUTED_VALUE"""),46116.0)</f>
        <v>46116</v>
      </c>
      <c r="B402" s="319" t="str">
        <f>IFERROR(__xludf.DUMMYFUNCTION("""COMPUTED_VALUE"""),"E. 40-99")</f>
        <v>E. 40-99</v>
      </c>
      <c r="C402" s="320">
        <f>IFERROR(__xludf.DUMMYFUNCTION("""COMPUTED_VALUE"""),3158.0)</f>
        <v>3158</v>
      </c>
      <c r="D402" s="320">
        <f>IFERROR(__xludf.DUMMYFUNCTION("""COMPUTED_VALUE"""),4.35)</f>
        <v>4.35</v>
      </c>
      <c r="E402" s="320">
        <f>IFERROR(__xludf.DUMMYFUNCTION("""COMPUTED_VALUE"""),19221.64)</f>
        <v>19221.64</v>
      </c>
      <c r="F402" s="320">
        <f>IFERROR(__xludf.DUMMYFUNCTION("""COMPUTED_VALUE"""),6.0866)</f>
        <v>6.0866</v>
      </c>
      <c r="G402" s="320">
        <f>IFERROR(__xludf.DUMMYFUNCTION("""COMPUTED_VALUE"""),45.63)</f>
        <v>45.63</v>
      </c>
      <c r="H402" s="320">
        <f>IFERROR(__xludf.DUMMYFUNCTION("""COMPUTED_VALUE"""),13.3391)</f>
        <v>13.3391</v>
      </c>
      <c r="I402" s="320">
        <f>IFERROR(__xludf.DUMMYFUNCTION("""COMPUTED_VALUE"""),135.26)</f>
        <v>135.26</v>
      </c>
      <c r="J402" s="320">
        <f>IFERROR(__xludf.DUMMYFUNCTION("""COMPUTED_VALUE"""),84.01)</f>
        <v>84.01</v>
      </c>
      <c r="K402" s="320">
        <f>IFERROR(__xludf.DUMMYFUNCTION("""COMPUTED_VALUE"""),54.32)</f>
        <v>54.32</v>
      </c>
      <c r="L402" s="320">
        <f>IFERROR(__xludf.DUMMYFUNCTION("""COMPUTED_VALUE"""),0.6466)</f>
        <v>0.6466</v>
      </c>
      <c r="M402" s="320">
        <f>IFERROR(__xludf.DUMMYFUNCTION("""COMPUTED_VALUE"""),0.4407)</f>
        <v>0.4407</v>
      </c>
      <c r="N402" s="320">
        <f>IFERROR(__xludf.DUMMYFUNCTION("""COMPUTED_VALUE"""),0.2496)</f>
        <v>0.2496</v>
      </c>
      <c r="O402" s="320">
        <f>IFERROR(__xludf.DUMMYFUNCTION("""COMPUTED_VALUE"""),1.5466)</f>
        <v>1.5466</v>
      </c>
      <c r="P402" s="320">
        <f>IFERROR(__xludf.DUMMYFUNCTION("""COMPUTED_VALUE"""),703.12)</f>
        <v>703.12</v>
      </c>
      <c r="Q402" s="320">
        <f>IFERROR(__xludf.DUMMYFUNCTION("""COMPUTED_VALUE"""),611.47)</f>
        <v>611.47</v>
      </c>
      <c r="R402" s="320">
        <f>IFERROR(__xludf.DUMMYFUNCTION("""COMPUTED_VALUE"""),91.64)</f>
        <v>91.64</v>
      </c>
      <c r="S402" s="320">
        <f>IFERROR(__xludf.DUMMYFUNCTION("""COMPUTED_VALUE"""),401.72)</f>
        <v>401.72</v>
      </c>
      <c r="T402" s="320">
        <f>IFERROR(__xludf.DUMMYFUNCTION("""COMPUTED_VALUE"""),301.4)</f>
        <v>301.4</v>
      </c>
      <c r="U402" s="320">
        <f>IFERROR(__xludf.DUMMYFUNCTION("""COMPUTED_VALUE"""),732.17)</f>
        <v>732.17</v>
      </c>
      <c r="V402" s="320">
        <f>IFERROR(__xludf.DUMMYFUNCTION("""COMPUTED_VALUE"""),8.7153)</f>
        <v>8.7153</v>
      </c>
      <c r="W402" s="320">
        <f>IFERROR(__xludf.DUMMYFUNCTION("""COMPUTED_VALUE"""),57.13)</f>
        <v>57.13</v>
      </c>
      <c r="X402" s="320">
        <f>IFERROR(__xludf.DUMMYFUNCTION("""COMPUTED_VALUE"""),93.0)</f>
        <v>93</v>
      </c>
      <c r="Y402" s="320">
        <f>IFERROR(__xludf.DUMMYFUNCTION("""COMPUTED_VALUE"""),291.0)</f>
        <v>291</v>
      </c>
      <c r="Z402" s="320">
        <f>IFERROR(__xludf.DUMMYFUNCTION("""COMPUTED_VALUE"""),934.0)</f>
        <v>934</v>
      </c>
      <c r="AA402" s="320">
        <f>IFERROR(__xludf.DUMMYFUNCTION("""COMPUTED_VALUE"""),57.1891)</f>
        <v>57.1891</v>
      </c>
      <c r="AB402" s="320">
        <f>IFERROR(__xludf.DUMMYFUNCTION("""COMPUTED_VALUE"""),0.7476)</f>
        <v>0.7476</v>
      </c>
      <c r="AC402" s="320">
        <f>IFERROR(__xludf.DUMMYFUNCTION("""COMPUTED_VALUE"""),34.69)</f>
        <v>34.69</v>
      </c>
      <c r="AD402" s="320">
        <f>IFERROR(__xludf.DUMMYFUNCTION("""COMPUTED_VALUE"""),11.0)</f>
        <v>11</v>
      </c>
      <c r="AE402" s="320">
        <f>IFERROR(__xludf.DUMMYFUNCTION("""COMPUTED_VALUE"""),24.0)</f>
        <v>24</v>
      </c>
      <c r="AF402" s="320">
        <f>IFERROR(__xludf.DUMMYFUNCTION("""COMPUTED_VALUE"""),49.0)</f>
        <v>49</v>
      </c>
      <c r="AG402" s="320">
        <f>IFERROR(__xludf.DUMMYFUNCTION("""COMPUTED_VALUE"""),77.0)</f>
        <v>77</v>
      </c>
      <c r="AH402" s="320">
        <f>IFERROR(__xludf.DUMMYFUNCTION("""COMPUTED_VALUE"""),45.38)</f>
        <v>45.38</v>
      </c>
      <c r="AI402" s="320">
        <f>IFERROR(__xludf.DUMMYFUNCTION("""COMPUTED_VALUE"""),17.57)</f>
        <v>17.57</v>
      </c>
      <c r="AJ402" s="320">
        <f>IFERROR(__xludf.DUMMYFUNCTION("""COMPUTED_VALUE"""),5.13)</f>
        <v>5.13</v>
      </c>
      <c r="AK402" s="320">
        <f>IFERROR(__xludf.DUMMYFUNCTION("""COMPUTED_VALUE"""),0.1609)</f>
        <v>0.1609</v>
      </c>
      <c r="AL402" s="320">
        <f>IFERROR(__xludf.DUMMYFUNCTION("""COMPUTED_VALUE"""),23.02)</f>
        <v>23.02</v>
      </c>
      <c r="AM402" s="320">
        <f>IFERROR(__xludf.DUMMYFUNCTION("""COMPUTED_VALUE"""),588.45)</f>
        <v>588.45</v>
      </c>
      <c r="AN402" s="320">
        <f>IFERROR(__xludf.DUMMYFUNCTION("""COMPUTED_VALUE"""),77.42)</f>
        <v>77.42</v>
      </c>
      <c r="AO402" s="320">
        <f>IFERROR(__xludf.DUMMYFUNCTION("""COMPUTED_VALUE"""),17.82)</f>
        <v>17.82</v>
      </c>
    </row>
    <row r="403" ht="15.75" customHeight="1">
      <c r="A403" s="330">
        <f>IFERROR(__xludf.DUMMYFUNCTION("""COMPUTED_VALUE"""),46116.0)</f>
        <v>46116</v>
      </c>
      <c r="B403" s="319" t="str">
        <f>IFERROR(__xludf.DUMMYFUNCTION("""COMPUTED_VALUE"""),"F. 100+")</f>
        <v>F. 100+</v>
      </c>
      <c r="C403" s="320">
        <f>IFERROR(__xludf.DUMMYFUNCTION("""COMPUTED_VALUE"""),348.0)</f>
        <v>348</v>
      </c>
      <c r="D403" s="320">
        <f>IFERROR(__xludf.DUMMYFUNCTION("""COMPUTED_VALUE"""),0.48)</f>
        <v>0.48</v>
      </c>
      <c r="E403" s="320">
        <f>IFERROR(__xludf.DUMMYFUNCTION("""COMPUTED_VALUE"""),3948.45)</f>
        <v>3948.45</v>
      </c>
      <c r="F403" s="320">
        <f>IFERROR(__xludf.DUMMYFUNCTION("""COMPUTED_VALUE"""),11.3461)</f>
        <v>11.3461</v>
      </c>
      <c r="G403" s="320">
        <f>IFERROR(__xludf.DUMMYFUNCTION("""COMPUTED_VALUE"""),50.57)</f>
        <v>50.57</v>
      </c>
      <c r="H403" s="320">
        <f>IFERROR(__xludf.DUMMYFUNCTION("""COMPUTED_VALUE"""),22.4344)</f>
        <v>22.4344</v>
      </c>
      <c r="I403" s="320">
        <f>IFERROR(__xludf.DUMMYFUNCTION("""COMPUTED_VALUE"""),241.13)</f>
        <v>241.13</v>
      </c>
      <c r="J403" s="320">
        <f>IFERROR(__xludf.DUMMYFUNCTION("""COMPUTED_VALUE"""),154.53)</f>
        <v>154.53</v>
      </c>
      <c r="K403" s="320">
        <f>IFERROR(__xludf.DUMMYFUNCTION("""COMPUTED_VALUE"""),121.92)</f>
        <v>121.92</v>
      </c>
      <c r="L403" s="320">
        <f>IFERROR(__xludf.DUMMYFUNCTION("""COMPUTED_VALUE"""),0.789)</f>
        <v>0.789</v>
      </c>
      <c r="M403" s="320">
        <f>IFERROR(__xludf.DUMMYFUNCTION("""COMPUTED_VALUE"""),0.3067)</f>
        <v>0.3067</v>
      </c>
      <c r="N403" s="320">
        <f>IFERROR(__xludf.DUMMYFUNCTION("""COMPUTED_VALUE"""),0.1841)</f>
        <v>0.1841</v>
      </c>
      <c r="O403" s="320">
        <f>IFERROR(__xludf.DUMMYFUNCTION("""COMPUTED_VALUE"""),1.2675)</f>
        <v>1.2675</v>
      </c>
      <c r="P403" s="320">
        <f>IFERROR(__xludf.DUMMYFUNCTION("""COMPUTED_VALUE"""),1266.59)</f>
        <v>1266.59</v>
      </c>
      <c r="Q403" s="320">
        <f>IFERROR(__xludf.DUMMYFUNCTION("""COMPUTED_VALUE"""),1058.86)</f>
        <v>1058.86</v>
      </c>
      <c r="R403" s="320">
        <f>IFERROR(__xludf.DUMMYFUNCTION("""COMPUTED_VALUE"""),207.73)</f>
        <v>207.73</v>
      </c>
      <c r="S403" s="320">
        <f>IFERROR(__xludf.DUMMYFUNCTION("""COMPUTED_VALUE"""),706.74)</f>
        <v>706.74</v>
      </c>
      <c r="T403" s="320">
        <f>IFERROR(__xludf.DUMMYFUNCTION("""COMPUTED_VALUE"""),559.86)</f>
        <v>559.86</v>
      </c>
      <c r="U403" s="320">
        <f>IFERROR(__xludf.DUMMYFUNCTION("""COMPUTED_VALUE"""),1382.04)</f>
        <v>1382.04</v>
      </c>
      <c r="V403" s="320">
        <f>IFERROR(__xludf.DUMMYFUNCTION("""COMPUTED_VALUE"""),8.9437)</f>
        <v>8.9437</v>
      </c>
      <c r="W403" s="320">
        <f>IFERROR(__xludf.DUMMYFUNCTION("""COMPUTED_VALUE"""),55.8)</f>
        <v>55.8</v>
      </c>
      <c r="X403" s="320">
        <f>IFERROR(__xludf.DUMMYFUNCTION("""COMPUTED_VALUE"""),141.0)</f>
        <v>141</v>
      </c>
      <c r="Y403" s="320">
        <f>IFERROR(__xludf.DUMMYFUNCTION("""COMPUTED_VALUE"""),565.0)</f>
        <v>565</v>
      </c>
      <c r="Z403" s="320">
        <f>IFERROR(__xludf.DUMMYFUNCTION("""COMPUTED_VALUE"""),2551.0)</f>
        <v>2551</v>
      </c>
      <c r="AA403" s="320">
        <f>IFERROR(__xludf.DUMMYFUNCTION("""COMPUTED_VALUE"""),61.2214)</f>
        <v>61.2214</v>
      </c>
      <c r="AB403" s="320">
        <f>IFERROR(__xludf.DUMMYFUNCTION("""COMPUTED_VALUE"""),0.8254)</f>
        <v>0.8254</v>
      </c>
      <c r="AC403" s="320">
        <f>IFERROR(__xludf.DUMMYFUNCTION("""COMPUTED_VALUE"""),80.1)</f>
        <v>80.1</v>
      </c>
      <c r="AD403" s="320">
        <f>IFERROR(__xludf.DUMMYFUNCTION("""COMPUTED_VALUE"""),28.0)</f>
        <v>28</v>
      </c>
      <c r="AE403" s="320">
        <f>IFERROR(__xludf.DUMMYFUNCTION("""COMPUTED_VALUE"""),61.0)</f>
        <v>61</v>
      </c>
      <c r="AF403" s="320">
        <f>IFERROR(__xludf.DUMMYFUNCTION("""COMPUTED_VALUE"""),112.0)</f>
        <v>112</v>
      </c>
      <c r="AG403" s="320">
        <f>IFERROR(__xludf.DUMMYFUNCTION("""COMPUTED_VALUE"""),177.0)</f>
        <v>177</v>
      </c>
      <c r="AH403" s="320">
        <f>IFERROR(__xludf.DUMMYFUNCTION("""COMPUTED_VALUE"""),38.51)</f>
        <v>38.51</v>
      </c>
      <c r="AI403" s="320">
        <f>IFERROR(__xludf.DUMMYFUNCTION("""COMPUTED_VALUE"""),10.63)</f>
        <v>10.63</v>
      </c>
      <c r="AJ403" s="320">
        <f>IFERROR(__xludf.DUMMYFUNCTION("""COMPUTED_VALUE"""),1.15)</f>
        <v>1.15</v>
      </c>
      <c r="AK403" s="320">
        <f>IFERROR(__xludf.DUMMYFUNCTION("""COMPUTED_VALUE"""),0.1264)</f>
        <v>0.1264</v>
      </c>
      <c r="AL403" s="320">
        <f>IFERROR(__xludf.DUMMYFUNCTION("""COMPUTED_VALUE"""),22.53)</f>
        <v>22.53</v>
      </c>
      <c r="AM403" s="320">
        <f>IFERROR(__xludf.DUMMYFUNCTION("""COMPUTED_VALUE"""),1036.34)</f>
        <v>1036.34</v>
      </c>
      <c r="AN403" s="320">
        <f>IFERROR(__xludf.DUMMYFUNCTION("""COMPUTED_VALUE"""),77.01)</f>
        <v>77.01</v>
      </c>
      <c r="AO403" s="320">
        <f>IFERROR(__xludf.DUMMYFUNCTION("""COMPUTED_VALUE"""),17.35)</f>
        <v>17.35</v>
      </c>
    </row>
    <row r="404" ht="15.75" customHeight="1">
      <c r="A404" s="330">
        <f>IFERROR(__xludf.DUMMYFUNCTION("""COMPUTED_VALUE"""),46117.0)</f>
        <v>46117</v>
      </c>
      <c r="B404" s="319" t="str">
        <f>IFERROR(__xludf.DUMMYFUNCTION("""COMPUTED_VALUE"""),"A. 0")</f>
        <v>A. 0</v>
      </c>
      <c r="C404" s="320">
        <f>IFERROR(__xludf.DUMMYFUNCTION("""COMPUTED_VALUE"""),15615.0)</f>
        <v>15615</v>
      </c>
      <c r="D404" s="320">
        <f>IFERROR(__xludf.DUMMYFUNCTION("""COMPUTED_VALUE"""),21.33)</f>
        <v>21.33</v>
      </c>
      <c r="E404" s="320">
        <f>IFERROR(__xludf.DUMMYFUNCTION("""COMPUTED_VALUE"""),104.83)</f>
        <v>104.83</v>
      </c>
      <c r="F404" s="320">
        <f>IFERROR(__xludf.DUMMYFUNCTION("""COMPUTED_VALUE"""),0.0067)</f>
        <v>0.0067</v>
      </c>
      <c r="G404" s="320">
        <f>IFERROR(__xludf.DUMMYFUNCTION("""COMPUTED_VALUE"""),0.2)</f>
        <v>0.2</v>
      </c>
      <c r="H404" s="320">
        <f>IFERROR(__xludf.DUMMYFUNCTION("""COMPUTED_VALUE"""),3.2759)</f>
        <v>3.2759</v>
      </c>
      <c r="I404" s="320">
        <f>IFERROR(__xludf.DUMMYFUNCTION("""COMPUTED_VALUE"""),6.28)</f>
        <v>6.28</v>
      </c>
      <c r="J404" s="320">
        <f>IFERROR(__xludf.DUMMYFUNCTION("""COMPUTED_VALUE"""),2.92)</f>
        <v>2.92</v>
      </c>
      <c r="K404" s="320">
        <f>IFERROR(__xludf.DUMMYFUNCTION("""COMPUTED_VALUE"""),0.05)</f>
        <v>0.05</v>
      </c>
      <c r="L404" s="320">
        <f>IFERROR(__xludf.DUMMYFUNCTION("""COMPUTED_VALUE"""),0.0187)</f>
        <v>0.0187</v>
      </c>
      <c r="M404" s="320">
        <f>IFERROR(__xludf.DUMMYFUNCTION("""COMPUTED_VALUE"""),0.9821)</f>
        <v>0.9821</v>
      </c>
      <c r="N404" s="320">
        <f>IFERROR(__xludf.DUMMYFUNCTION("""COMPUTED_VALUE"""),0.7773)</f>
        <v>0.7773</v>
      </c>
      <c r="O404" s="320">
        <f>IFERROR(__xludf.DUMMYFUNCTION("""COMPUTED_VALUE"""),53.4385)</f>
        <v>53.4385</v>
      </c>
      <c r="P404" s="320">
        <f>IFERROR(__xludf.DUMMYFUNCTION("""COMPUTED_VALUE"""),23.8)</f>
        <v>23.8</v>
      </c>
      <c r="Q404" s="320">
        <f>IFERROR(__xludf.DUMMYFUNCTION("""COMPUTED_VALUE"""),23.75)</f>
        <v>23.75</v>
      </c>
      <c r="R404" s="320">
        <f>IFERROR(__xludf.DUMMYFUNCTION("""COMPUTED_VALUE"""),0.05)</f>
        <v>0.05</v>
      </c>
      <c r="S404" s="320">
        <f>IFERROR(__xludf.DUMMYFUNCTION("""COMPUTED_VALUE"""),0.54)</f>
        <v>0.54</v>
      </c>
      <c r="T404" s="320">
        <f>IFERROR(__xludf.DUMMYFUNCTION("""COMPUTED_VALUE"""),23.26)</f>
        <v>23.26</v>
      </c>
      <c r="U404" s="320">
        <f>IFERROR(__xludf.DUMMYFUNCTION("""COMPUTED_VALUE"""),2.02)</f>
        <v>2.02</v>
      </c>
      <c r="V404" s="320">
        <f>IFERROR(__xludf.DUMMYFUNCTION("""COMPUTED_VALUE"""),0.691)</f>
        <v>0.691</v>
      </c>
      <c r="W404" s="320">
        <f>IFERROR(__xludf.DUMMYFUNCTION("""COMPUTED_VALUE"""),2.25)</f>
        <v>2.25</v>
      </c>
      <c r="X404" s="320">
        <f>IFERROR(__xludf.DUMMYFUNCTION("""COMPUTED_VALUE"""),143.0)</f>
        <v>143</v>
      </c>
      <c r="Y404" s="320">
        <f>IFERROR(__xludf.DUMMYFUNCTION("""COMPUTED_VALUE"""),1143.0)</f>
        <v>1143</v>
      </c>
      <c r="Z404" s="320">
        <f>IFERROR(__xludf.DUMMYFUNCTION("""COMPUTED_VALUE"""),7347.0)</f>
        <v>7347</v>
      </c>
      <c r="AA404" s="320">
        <f>IFERROR(__xludf.DUMMYFUNCTION("""COMPUTED_VALUE"""),49.8472)</f>
        <v>49.8472</v>
      </c>
      <c r="AB404" s="320">
        <f>IFERROR(__xludf.DUMMYFUNCTION("""COMPUTED_VALUE"""),0.5201)</f>
        <v>0.5201</v>
      </c>
      <c r="AC404" s="106"/>
      <c r="AD404" s="106"/>
      <c r="AE404" s="106"/>
      <c r="AF404" s="106"/>
      <c r="AG404" s="106"/>
      <c r="AH404" s="320">
        <f>IFERROR(__xludf.DUMMYFUNCTION("""COMPUTED_VALUE"""),0.0)</f>
        <v>0</v>
      </c>
      <c r="AI404" s="320">
        <f>IFERROR(__xludf.DUMMYFUNCTION("""COMPUTED_VALUE"""),0.0)</f>
        <v>0</v>
      </c>
      <c r="AJ404" s="320">
        <f>IFERROR(__xludf.DUMMYFUNCTION("""COMPUTED_VALUE"""),0.0)</f>
        <v>0</v>
      </c>
      <c r="AK404" s="320">
        <f>IFERROR(__xludf.DUMMYFUNCTION("""COMPUTED_VALUE"""),0.2733)</f>
        <v>0.2733</v>
      </c>
      <c r="AL404" s="320">
        <f>IFERROR(__xludf.DUMMYFUNCTION("""COMPUTED_VALUE"""),17.29)</f>
        <v>17.29</v>
      </c>
      <c r="AM404" s="320">
        <f>IFERROR(__xludf.DUMMYFUNCTION("""COMPUTED_VALUE"""),6.46)</f>
        <v>6.46</v>
      </c>
      <c r="AN404" s="331"/>
      <c r="AO404" s="331"/>
    </row>
    <row r="405" ht="15.75" customHeight="1">
      <c r="A405" s="330">
        <f>IFERROR(__xludf.DUMMYFUNCTION("""COMPUTED_VALUE"""),46117.0)</f>
        <v>46117</v>
      </c>
      <c r="B405" s="319" t="str">
        <f>IFERROR(__xludf.DUMMYFUNCTION("""COMPUTED_VALUE"""),"B. 1-9")</f>
        <v>B. 1-9</v>
      </c>
      <c r="C405" s="320">
        <f>IFERROR(__xludf.DUMMYFUNCTION("""COMPUTED_VALUE"""),30669.0)</f>
        <v>30669</v>
      </c>
      <c r="D405" s="320">
        <f>IFERROR(__xludf.DUMMYFUNCTION("""COMPUTED_VALUE"""),41.89)</f>
        <v>41.89</v>
      </c>
      <c r="E405" s="320">
        <f>IFERROR(__xludf.DUMMYFUNCTION("""COMPUTED_VALUE"""),7169.57)</f>
        <v>7169.57</v>
      </c>
      <c r="F405" s="320">
        <f>IFERROR(__xludf.DUMMYFUNCTION("""COMPUTED_VALUE"""),0.2338)</f>
        <v>0.2338</v>
      </c>
      <c r="G405" s="320">
        <f>IFERROR(__xludf.DUMMYFUNCTION("""COMPUTED_VALUE"""),7.05)</f>
        <v>7.05</v>
      </c>
      <c r="H405" s="320">
        <f>IFERROR(__xludf.DUMMYFUNCTION("""COMPUTED_VALUE"""),3.3162)</f>
        <v>3.3162</v>
      </c>
      <c r="I405" s="320">
        <f>IFERROR(__xludf.DUMMYFUNCTION("""COMPUTED_VALUE"""),34.19)</f>
        <v>34.19</v>
      </c>
      <c r="J405" s="320">
        <f>IFERROR(__xludf.DUMMYFUNCTION("""COMPUTED_VALUE"""),18.65)</f>
        <v>18.65</v>
      </c>
      <c r="K405" s="320">
        <f>IFERROR(__xludf.DUMMYFUNCTION("""COMPUTED_VALUE"""),5.41)</f>
        <v>5.41</v>
      </c>
      <c r="L405" s="320">
        <f>IFERROR(__xludf.DUMMYFUNCTION("""COMPUTED_VALUE"""),0.2899)</f>
        <v>0.2899</v>
      </c>
      <c r="M405" s="320">
        <f>IFERROR(__xludf.DUMMYFUNCTION("""COMPUTED_VALUE"""),0.773)</f>
        <v>0.773</v>
      </c>
      <c r="N405" s="320">
        <f>IFERROR(__xludf.DUMMYFUNCTION("""COMPUTED_VALUE"""),0.5238)</f>
        <v>0.5238</v>
      </c>
      <c r="O405" s="320">
        <f>IFERROR(__xludf.DUMMYFUNCTION("""COMPUTED_VALUE"""),3.4496)</f>
        <v>3.4496</v>
      </c>
      <c r="P405" s="320">
        <f>IFERROR(__xludf.DUMMYFUNCTION("""COMPUTED_VALUE"""),63.11)</f>
        <v>63.11</v>
      </c>
      <c r="Q405" s="320">
        <f>IFERROR(__xludf.DUMMYFUNCTION("""COMPUTED_VALUE"""),54.2)</f>
        <v>54.2</v>
      </c>
      <c r="R405" s="320">
        <f>IFERROR(__xludf.DUMMYFUNCTION("""COMPUTED_VALUE"""),8.91)</f>
        <v>8.91</v>
      </c>
      <c r="S405" s="320">
        <f>IFERROR(__xludf.DUMMYFUNCTION("""COMPUTED_VALUE"""),15.5)</f>
        <v>15.5</v>
      </c>
      <c r="T405" s="320">
        <f>IFERROR(__xludf.DUMMYFUNCTION("""COMPUTED_VALUE"""),47.61)</f>
        <v>47.61</v>
      </c>
      <c r="U405" s="320">
        <f>IFERROR(__xludf.DUMMYFUNCTION("""COMPUTED_VALUE"""),72.47)</f>
        <v>72.47</v>
      </c>
      <c r="V405" s="320">
        <f>IFERROR(__xludf.DUMMYFUNCTION("""COMPUTED_VALUE"""),3.8861)</f>
        <v>3.8861</v>
      </c>
      <c r="W405" s="320">
        <f>IFERROR(__xludf.DUMMYFUNCTION("""COMPUTED_VALUE"""),24.56)</f>
        <v>24.56</v>
      </c>
      <c r="X405" s="320">
        <f>IFERROR(__xludf.DUMMYFUNCTION("""COMPUTED_VALUE"""),83.0)</f>
        <v>83</v>
      </c>
      <c r="Y405" s="320">
        <f>IFERROR(__xludf.DUMMYFUNCTION("""COMPUTED_VALUE"""),203.0)</f>
        <v>203</v>
      </c>
      <c r="Z405" s="320">
        <f>IFERROR(__xludf.DUMMYFUNCTION("""COMPUTED_VALUE"""),840.0)</f>
        <v>840</v>
      </c>
      <c r="AA405" s="320">
        <f>IFERROR(__xludf.DUMMYFUNCTION("""COMPUTED_VALUE"""),49.6022)</f>
        <v>49.6022</v>
      </c>
      <c r="AB405" s="320">
        <f>IFERROR(__xludf.DUMMYFUNCTION("""COMPUTED_VALUE"""),0.454)</f>
        <v>0.454</v>
      </c>
      <c r="AC405" s="320">
        <f>IFERROR(__xludf.DUMMYFUNCTION("""COMPUTED_VALUE"""),3.51)</f>
        <v>3.51</v>
      </c>
      <c r="AD405" s="320">
        <f>IFERROR(__xludf.DUMMYFUNCTION("""COMPUTED_VALUE"""),1.0)</f>
        <v>1</v>
      </c>
      <c r="AE405" s="320">
        <f>IFERROR(__xludf.DUMMYFUNCTION("""COMPUTED_VALUE"""),2.0)</f>
        <v>2</v>
      </c>
      <c r="AF405" s="320">
        <f>IFERROR(__xludf.DUMMYFUNCTION("""COMPUTED_VALUE"""),5.0)</f>
        <v>5</v>
      </c>
      <c r="AG405" s="320">
        <f>IFERROR(__xludf.DUMMYFUNCTION("""COMPUTED_VALUE"""),8.0)</f>
        <v>8</v>
      </c>
      <c r="AH405" s="320">
        <f>IFERROR(__xludf.DUMMYFUNCTION("""COMPUTED_VALUE"""),67.37)</f>
        <v>67.37</v>
      </c>
      <c r="AI405" s="320">
        <f>IFERROR(__xludf.DUMMYFUNCTION("""COMPUTED_VALUE"""),25.04)</f>
        <v>25.04</v>
      </c>
      <c r="AJ405" s="320">
        <f>IFERROR(__xludf.DUMMYFUNCTION("""COMPUTED_VALUE"""),6.57)</f>
        <v>6.57</v>
      </c>
      <c r="AK405" s="320">
        <f>IFERROR(__xludf.DUMMYFUNCTION("""COMPUTED_VALUE"""),0.2384)</f>
        <v>0.2384</v>
      </c>
      <c r="AL405" s="320">
        <f>IFERROR(__xludf.DUMMYFUNCTION("""COMPUTED_VALUE"""),21.49)</f>
        <v>21.49</v>
      </c>
      <c r="AM405" s="320">
        <f>IFERROR(__xludf.DUMMYFUNCTION("""COMPUTED_VALUE"""),32.7)</f>
        <v>32.7</v>
      </c>
      <c r="AN405" s="320">
        <f>IFERROR(__xludf.DUMMYFUNCTION("""COMPUTED_VALUE"""),67.57)</f>
        <v>67.57</v>
      </c>
      <c r="AO405" s="320">
        <f>IFERROR(__xludf.DUMMYFUNCTION("""COMPUTED_VALUE"""),14.52)</f>
        <v>14.52</v>
      </c>
    </row>
    <row r="406" ht="15.75" customHeight="1">
      <c r="A406" s="330">
        <f>IFERROR(__xludf.DUMMYFUNCTION("""COMPUTED_VALUE"""),46117.0)</f>
        <v>46117</v>
      </c>
      <c r="B406" s="319" t="str">
        <f>IFERROR(__xludf.DUMMYFUNCTION("""COMPUTED_VALUE"""),"C. 10-19")</f>
        <v>C. 10-19</v>
      </c>
      <c r="C406" s="320">
        <f>IFERROR(__xludf.DUMMYFUNCTION("""COMPUTED_VALUE"""),15468.0)</f>
        <v>15468</v>
      </c>
      <c r="D406" s="320">
        <f>IFERROR(__xludf.DUMMYFUNCTION("""COMPUTED_VALUE"""),21.13)</f>
        <v>21.13</v>
      </c>
      <c r="E406" s="320">
        <f>IFERROR(__xludf.DUMMYFUNCTION("""COMPUTED_VALUE"""),15813.09)</f>
        <v>15813.09</v>
      </c>
      <c r="F406" s="320">
        <f>IFERROR(__xludf.DUMMYFUNCTION("""COMPUTED_VALUE"""),1.0223)</f>
        <v>1.0223</v>
      </c>
      <c r="G406" s="320">
        <f>IFERROR(__xludf.DUMMYFUNCTION("""COMPUTED_VALUE"""),21.37)</f>
        <v>21.37</v>
      </c>
      <c r="H406" s="320">
        <f>IFERROR(__xludf.DUMMYFUNCTION("""COMPUTED_VALUE"""),4.7846)</f>
        <v>4.7846</v>
      </c>
      <c r="I406" s="320">
        <f>IFERROR(__xludf.DUMMYFUNCTION("""COMPUTED_VALUE"""),60.48)</f>
        <v>60.48</v>
      </c>
      <c r="J406" s="320">
        <f>IFERROR(__xludf.DUMMYFUNCTION("""COMPUTED_VALUE"""),34.94)</f>
        <v>34.94</v>
      </c>
      <c r="K406" s="320">
        <f>IFERROR(__xludf.DUMMYFUNCTION("""COMPUTED_VALUE"""),13.32)</f>
        <v>13.32</v>
      </c>
      <c r="L406" s="320">
        <f>IFERROR(__xludf.DUMMYFUNCTION("""COMPUTED_VALUE"""),0.3814)</f>
        <v>0.3814</v>
      </c>
      <c r="M406" s="320">
        <f>IFERROR(__xludf.DUMMYFUNCTION("""COMPUTED_VALUE"""),0.6755)</f>
        <v>0.6755</v>
      </c>
      <c r="N406" s="320">
        <f>IFERROR(__xludf.DUMMYFUNCTION("""COMPUTED_VALUE"""),0.3913)</f>
        <v>0.3913</v>
      </c>
      <c r="O406" s="320">
        <f>IFERROR(__xludf.DUMMYFUNCTION("""COMPUTED_VALUE"""),2.622)</f>
        <v>2.622</v>
      </c>
      <c r="P406" s="320">
        <f>IFERROR(__xludf.DUMMYFUNCTION("""COMPUTED_VALUE"""),142.63)</f>
        <v>142.63</v>
      </c>
      <c r="Q406" s="320">
        <f>IFERROR(__xludf.DUMMYFUNCTION("""COMPUTED_VALUE"""),120.63)</f>
        <v>120.63</v>
      </c>
      <c r="R406" s="320">
        <f>IFERROR(__xludf.DUMMYFUNCTION("""COMPUTED_VALUE"""),22.0)</f>
        <v>22</v>
      </c>
      <c r="S406" s="320">
        <f>IFERROR(__xludf.DUMMYFUNCTION("""COMPUTED_VALUE"""),67.29)</f>
        <v>67.29</v>
      </c>
      <c r="T406" s="320">
        <f>IFERROR(__xludf.DUMMYFUNCTION("""COMPUTED_VALUE"""),75.34)</f>
        <v>75.34</v>
      </c>
      <c r="U406" s="320">
        <f>IFERROR(__xludf.DUMMYFUNCTION("""COMPUTED_VALUE"""),162.36)</f>
        <v>162.36</v>
      </c>
      <c r="V406" s="320">
        <f>IFERROR(__xludf.DUMMYFUNCTION("""COMPUTED_VALUE"""),4.6473)</f>
        <v>4.6473</v>
      </c>
      <c r="W406" s="320">
        <f>IFERROR(__xludf.DUMMYFUNCTION("""COMPUTED_VALUE"""),47.18)</f>
        <v>47.18</v>
      </c>
      <c r="X406" s="320">
        <f>IFERROR(__xludf.DUMMYFUNCTION("""COMPUTED_VALUE"""),77.0)</f>
        <v>77</v>
      </c>
      <c r="Y406" s="320">
        <f>IFERROR(__xludf.DUMMYFUNCTION("""COMPUTED_VALUE"""),159.0)</f>
        <v>159</v>
      </c>
      <c r="Z406" s="320">
        <f>IFERROR(__xludf.DUMMYFUNCTION("""COMPUTED_VALUE"""),538.0)</f>
        <v>538</v>
      </c>
      <c r="AA406" s="320">
        <f>IFERROR(__xludf.DUMMYFUNCTION("""COMPUTED_VALUE"""),52.428)</f>
        <v>52.428</v>
      </c>
      <c r="AB406" s="320">
        <f>IFERROR(__xludf.DUMMYFUNCTION("""COMPUTED_VALUE"""),0.5501)</f>
        <v>0.5501</v>
      </c>
      <c r="AC406" s="320">
        <f>IFERROR(__xludf.DUMMYFUNCTION("""COMPUTED_VALUE"""),8.41)</f>
        <v>8.41</v>
      </c>
      <c r="AD406" s="320">
        <f>IFERROR(__xludf.DUMMYFUNCTION("""COMPUTED_VALUE"""),3.0)</f>
        <v>3</v>
      </c>
      <c r="AE406" s="320">
        <f>IFERROR(__xludf.DUMMYFUNCTION("""COMPUTED_VALUE"""),6.0)</f>
        <v>6</v>
      </c>
      <c r="AF406" s="320">
        <f>IFERROR(__xludf.DUMMYFUNCTION("""COMPUTED_VALUE"""),12.0)</f>
        <v>12</v>
      </c>
      <c r="AG406" s="320">
        <f>IFERROR(__xludf.DUMMYFUNCTION("""COMPUTED_VALUE"""),19.0)</f>
        <v>19</v>
      </c>
      <c r="AH406" s="320">
        <f>IFERROR(__xludf.DUMMYFUNCTION("""COMPUTED_VALUE"""),52.65)</f>
        <v>52.65</v>
      </c>
      <c r="AI406" s="320">
        <f>IFERROR(__xludf.DUMMYFUNCTION("""COMPUTED_VALUE"""),22.46)</f>
        <v>22.46</v>
      </c>
      <c r="AJ406" s="320">
        <f>IFERROR(__xludf.DUMMYFUNCTION("""COMPUTED_VALUE"""),3.9)</f>
        <v>3.9</v>
      </c>
      <c r="AK406" s="320">
        <f>IFERROR(__xludf.DUMMYFUNCTION("""COMPUTED_VALUE"""),0.217)</f>
        <v>0.217</v>
      </c>
      <c r="AL406" s="320">
        <f>IFERROR(__xludf.DUMMYFUNCTION("""COMPUTED_VALUE"""),21.02)</f>
        <v>21.02</v>
      </c>
      <c r="AM406" s="320">
        <f>IFERROR(__xludf.DUMMYFUNCTION("""COMPUTED_VALUE"""),99.61)</f>
        <v>99.61</v>
      </c>
      <c r="AN406" s="320">
        <f>IFERROR(__xludf.DUMMYFUNCTION("""COMPUTED_VALUE"""),72.61)</f>
        <v>72.61</v>
      </c>
      <c r="AO406" s="320">
        <f>IFERROR(__xludf.DUMMYFUNCTION("""COMPUTED_VALUE"""),15.26)</f>
        <v>15.26</v>
      </c>
    </row>
    <row r="407" ht="15.75" customHeight="1">
      <c r="A407" s="330">
        <f>IFERROR(__xludf.DUMMYFUNCTION("""COMPUTED_VALUE"""),46117.0)</f>
        <v>46117</v>
      </c>
      <c r="B407" s="319" t="str">
        <f>IFERROR(__xludf.DUMMYFUNCTION("""COMPUTED_VALUE"""),"D. 20-39")</f>
        <v>D. 20-39</v>
      </c>
      <c r="C407" s="320">
        <f>IFERROR(__xludf.DUMMYFUNCTION("""COMPUTED_VALUE"""),7941.0)</f>
        <v>7941</v>
      </c>
      <c r="D407" s="320">
        <f>IFERROR(__xludf.DUMMYFUNCTION("""COMPUTED_VALUE"""),10.85)</f>
        <v>10.85</v>
      </c>
      <c r="E407" s="320">
        <f>IFERROR(__xludf.DUMMYFUNCTION("""COMPUTED_VALUE"""),21938.69)</f>
        <v>21938.69</v>
      </c>
      <c r="F407" s="320">
        <f>IFERROR(__xludf.DUMMYFUNCTION("""COMPUTED_VALUE"""),2.7627)</f>
        <v>2.7627</v>
      </c>
      <c r="G407" s="320">
        <f>IFERROR(__xludf.DUMMYFUNCTION("""COMPUTED_VALUE"""),36.33)</f>
        <v>36.33</v>
      </c>
      <c r="H407" s="320">
        <f>IFERROR(__xludf.DUMMYFUNCTION("""COMPUTED_VALUE"""),7.6044)</f>
        <v>7.6044</v>
      </c>
      <c r="I407" s="320">
        <f>IFERROR(__xludf.DUMMYFUNCTION("""COMPUTED_VALUE"""),89.93)</f>
        <v>89.93</v>
      </c>
      <c r="J407" s="320">
        <f>IFERROR(__xludf.DUMMYFUNCTION("""COMPUTED_VALUE"""),54.51)</f>
        <v>54.51</v>
      </c>
      <c r="K407" s="320">
        <f>IFERROR(__xludf.DUMMYFUNCTION("""COMPUTED_VALUE"""),26.95)</f>
        <v>26.95</v>
      </c>
      <c r="L407" s="320">
        <f>IFERROR(__xludf.DUMMYFUNCTION("""COMPUTED_VALUE"""),0.4944)</f>
        <v>0.4944</v>
      </c>
      <c r="M407" s="320">
        <f>IFERROR(__xludf.DUMMYFUNCTION("""COMPUTED_VALUE"""),0.5714)</f>
        <v>0.5714</v>
      </c>
      <c r="N407" s="320">
        <f>IFERROR(__xludf.DUMMYFUNCTION("""COMPUTED_VALUE"""),0.3104)</f>
        <v>0.3104</v>
      </c>
      <c r="O407" s="320">
        <f>IFERROR(__xludf.DUMMYFUNCTION("""COMPUTED_VALUE"""),2.0227)</f>
        <v>2.0227</v>
      </c>
      <c r="P407" s="320">
        <f>IFERROR(__xludf.DUMMYFUNCTION("""COMPUTED_VALUE"""),302.1)</f>
        <v>302.1</v>
      </c>
      <c r="Q407" s="320">
        <f>IFERROR(__xludf.DUMMYFUNCTION("""COMPUTED_VALUE"""),257.16)</f>
        <v>257.16</v>
      </c>
      <c r="R407" s="320">
        <f>IFERROR(__xludf.DUMMYFUNCTION("""COMPUTED_VALUE"""),44.95)</f>
        <v>44.95</v>
      </c>
      <c r="S407" s="320">
        <f>IFERROR(__xludf.DUMMYFUNCTION("""COMPUTED_VALUE"""),177.53)</f>
        <v>177.53</v>
      </c>
      <c r="T407" s="320">
        <f>IFERROR(__xludf.DUMMYFUNCTION("""COMPUTED_VALUE"""),124.57)</f>
        <v>124.57</v>
      </c>
      <c r="U407" s="320">
        <f>IFERROR(__xludf.DUMMYFUNCTION("""COMPUTED_VALUE"""),335.15)</f>
        <v>335.15</v>
      </c>
      <c r="V407" s="320">
        <f>IFERROR(__xludf.DUMMYFUNCTION("""COMPUTED_VALUE"""),6.1485)</f>
        <v>6.1485</v>
      </c>
      <c r="W407" s="320">
        <f>IFERROR(__xludf.DUMMYFUNCTION("""COMPUTED_VALUE"""),58.77)</f>
        <v>58.77</v>
      </c>
      <c r="X407" s="320">
        <f>IFERROR(__xludf.DUMMYFUNCTION("""COMPUTED_VALUE"""),78.0)</f>
        <v>78</v>
      </c>
      <c r="Y407" s="320">
        <f>IFERROR(__xludf.DUMMYFUNCTION("""COMPUTED_VALUE"""),174.0)</f>
        <v>174</v>
      </c>
      <c r="Z407" s="320">
        <f>IFERROR(__xludf.DUMMYFUNCTION("""COMPUTED_VALUE"""),579.0)</f>
        <v>579</v>
      </c>
      <c r="AA407" s="320">
        <f>IFERROR(__xludf.DUMMYFUNCTION("""COMPUTED_VALUE"""),54.4196)</f>
        <v>54.4196</v>
      </c>
      <c r="AB407" s="320">
        <f>IFERROR(__xludf.DUMMYFUNCTION("""COMPUTED_VALUE"""),0.6487)</f>
        <v>0.6487</v>
      </c>
      <c r="AC407" s="320">
        <f>IFERROR(__xludf.DUMMYFUNCTION("""COMPUTED_VALUE"""),16.76)</f>
        <v>16.76</v>
      </c>
      <c r="AD407" s="320">
        <f>IFERROR(__xludf.DUMMYFUNCTION("""COMPUTED_VALUE"""),5.0)</f>
        <v>5</v>
      </c>
      <c r="AE407" s="320">
        <f>IFERROR(__xludf.DUMMYFUNCTION("""COMPUTED_VALUE"""),12.0)</f>
        <v>12</v>
      </c>
      <c r="AF407" s="320">
        <f>IFERROR(__xludf.DUMMYFUNCTION("""COMPUTED_VALUE"""),23.0)</f>
        <v>23</v>
      </c>
      <c r="AG407" s="320">
        <f>IFERROR(__xludf.DUMMYFUNCTION("""COMPUTED_VALUE"""),38.0)</f>
        <v>38</v>
      </c>
      <c r="AH407" s="320">
        <f>IFERROR(__xludf.DUMMYFUNCTION("""COMPUTED_VALUE"""),52.59)</f>
        <v>52.59</v>
      </c>
      <c r="AI407" s="320">
        <f>IFERROR(__xludf.DUMMYFUNCTION("""COMPUTED_VALUE"""),21.4)</f>
        <v>21.4</v>
      </c>
      <c r="AJ407" s="320">
        <f>IFERROR(__xludf.DUMMYFUNCTION("""COMPUTED_VALUE"""),7.52)</f>
        <v>7.52</v>
      </c>
      <c r="AK407" s="320">
        <f>IFERROR(__xludf.DUMMYFUNCTION("""COMPUTED_VALUE"""),0.2016)</f>
        <v>0.2016</v>
      </c>
      <c r="AL407" s="320">
        <f>IFERROR(__xludf.DUMMYFUNCTION("""COMPUTED_VALUE"""),21.54)</f>
        <v>21.54</v>
      </c>
      <c r="AM407" s="320">
        <f>IFERROR(__xludf.DUMMYFUNCTION("""COMPUTED_VALUE"""),235.62)</f>
        <v>235.62</v>
      </c>
      <c r="AN407" s="320">
        <f>IFERROR(__xludf.DUMMYFUNCTION("""COMPUTED_VALUE"""),75.34)</f>
        <v>75.34</v>
      </c>
      <c r="AO407" s="320">
        <f>IFERROR(__xludf.DUMMYFUNCTION("""COMPUTED_VALUE"""),16.23)</f>
        <v>16.23</v>
      </c>
    </row>
    <row r="408" ht="15.75" customHeight="1">
      <c r="A408" s="330">
        <f>IFERROR(__xludf.DUMMYFUNCTION("""COMPUTED_VALUE"""),46117.0)</f>
        <v>46117</v>
      </c>
      <c r="B408" s="319" t="str">
        <f>IFERROR(__xludf.DUMMYFUNCTION("""COMPUTED_VALUE"""),"E. 40-99")</f>
        <v>E. 40-99</v>
      </c>
      <c r="C408" s="320">
        <f>IFERROR(__xludf.DUMMYFUNCTION("""COMPUTED_VALUE"""),3186.0)</f>
        <v>3186</v>
      </c>
      <c r="D408" s="320">
        <f>IFERROR(__xludf.DUMMYFUNCTION("""COMPUTED_VALUE"""),4.35)</f>
        <v>4.35</v>
      </c>
      <c r="E408" s="320">
        <f>IFERROR(__xludf.DUMMYFUNCTION("""COMPUTED_VALUE"""),20929.54)</f>
        <v>20929.54</v>
      </c>
      <c r="F408" s="320">
        <f>IFERROR(__xludf.DUMMYFUNCTION("""COMPUTED_VALUE"""),6.5692)</f>
        <v>6.5692</v>
      </c>
      <c r="G408" s="320">
        <f>IFERROR(__xludf.DUMMYFUNCTION("""COMPUTED_VALUE"""),48.46)</f>
        <v>48.46</v>
      </c>
      <c r="H408" s="320">
        <f>IFERROR(__xludf.DUMMYFUNCTION("""COMPUTED_VALUE"""),13.5554)</f>
        <v>13.5554</v>
      </c>
      <c r="I408" s="320">
        <f>IFERROR(__xludf.DUMMYFUNCTION("""COMPUTED_VALUE"""),138.75)</f>
        <v>138.75</v>
      </c>
      <c r="J408" s="320">
        <f>IFERROR(__xludf.DUMMYFUNCTION("""COMPUTED_VALUE"""),87.4)</f>
        <v>87.4</v>
      </c>
      <c r="K408" s="320">
        <f>IFERROR(__xludf.DUMMYFUNCTION("""COMPUTED_VALUE"""),54.07)</f>
        <v>54.07</v>
      </c>
      <c r="L408" s="320">
        <f>IFERROR(__xludf.DUMMYFUNCTION("""COMPUTED_VALUE"""),0.6186)</f>
        <v>0.6186</v>
      </c>
      <c r="M408" s="320">
        <f>IFERROR(__xludf.DUMMYFUNCTION("""COMPUTED_VALUE"""),0.46)</f>
        <v>0.46</v>
      </c>
      <c r="N408" s="320">
        <f>IFERROR(__xludf.DUMMYFUNCTION("""COMPUTED_VALUE"""),0.2521)</f>
        <v>0.2521</v>
      </c>
      <c r="O408" s="320">
        <f>IFERROR(__xludf.DUMMYFUNCTION("""COMPUTED_VALUE"""),1.6166)</f>
        <v>1.6166</v>
      </c>
      <c r="P408" s="320">
        <f>IFERROR(__xludf.DUMMYFUNCTION("""COMPUTED_VALUE"""),629.26)</f>
        <v>629.26</v>
      </c>
      <c r="Q408" s="320">
        <f>IFERROR(__xludf.DUMMYFUNCTION("""COMPUTED_VALUE"""),538.54)</f>
        <v>538.54</v>
      </c>
      <c r="R408" s="320">
        <f>IFERROR(__xludf.DUMMYFUNCTION("""COMPUTED_VALUE"""),90.73)</f>
        <v>90.73</v>
      </c>
      <c r="S408" s="320">
        <f>IFERROR(__xludf.DUMMYFUNCTION("""COMPUTED_VALUE"""),421.94)</f>
        <v>421.94</v>
      </c>
      <c r="T408" s="320">
        <f>IFERROR(__xludf.DUMMYFUNCTION("""COMPUTED_VALUE"""),207.32)</f>
        <v>207.32</v>
      </c>
      <c r="U408" s="320">
        <f>IFERROR(__xludf.DUMMYFUNCTION("""COMPUTED_VALUE"""),680.99)</f>
        <v>680.99</v>
      </c>
      <c r="V408" s="320">
        <f>IFERROR(__xludf.DUMMYFUNCTION("""COMPUTED_VALUE"""),7.7916)</f>
        <v>7.7916</v>
      </c>
      <c r="W408" s="320">
        <f>IFERROR(__xludf.DUMMYFUNCTION("""COMPUTED_VALUE"""),67.05)</f>
        <v>67.05</v>
      </c>
      <c r="X408" s="320">
        <f>IFERROR(__xludf.DUMMYFUNCTION("""COMPUTED_VALUE"""),84.0)</f>
        <v>84</v>
      </c>
      <c r="Y408" s="320">
        <f>IFERROR(__xludf.DUMMYFUNCTION("""COMPUTED_VALUE"""),237.0)</f>
        <v>237</v>
      </c>
      <c r="Z408" s="320">
        <f>IFERROR(__xludf.DUMMYFUNCTION("""COMPUTED_VALUE"""),878.0)</f>
        <v>878</v>
      </c>
      <c r="AA408" s="320">
        <f>IFERROR(__xludf.DUMMYFUNCTION("""COMPUTED_VALUE"""),57.0153)</f>
        <v>57.0153</v>
      </c>
      <c r="AB408" s="320">
        <f>IFERROR(__xludf.DUMMYFUNCTION("""COMPUTED_VALUE"""),0.7418)</f>
        <v>0.7418</v>
      </c>
      <c r="AC408" s="320">
        <f>IFERROR(__xludf.DUMMYFUNCTION("""COMPUTED_VALUE"""),33.93)</f>
        <v>33.93</v>
      </c>
      <c r="AD408" s="320">
        <f>IFERROR(__xludf.DUMMYFUNCTION("""COMPUTED_VALUE"""),11.0)</f>
        <v>11</v>
      </c>
      <c r="AE408" s="320">
        <f>IFERROR(__xludf.DUMMYFUNCTION("""COMPUTED_VALUE"""),24.0)</f>
        <v>24</v>
      </c>
      <c r="AF408" s="320">
        <f>IFERROR(__xludf.DUMMYFUNCTION("""COMPUTED_VALUE"""),48.0)</f>
        <v>48</v>
      </c>
      <c r="AG408" s="320">
        <f>IFERROR(__xludf.DUMMYFUNCTION("""COMPUTED_VALUE"""),76.0)</f>
        <v>76</v>
      </c>
      <c r="AH408" s="320">
        <f>IFERROR(__xludf.DUMMYFUNCTION("""COMPUTED_VALUE"""),45.1)</f>
        <v>45.1</v>
      </c>
      <c r="AI408" s="320">
        <f>IFERROR(__xludf.DUMMYFUNCTION("""COMPUTED_VALUE"""),17.14)</f>
        <v>17.14</v>
      </c>
      <c r="AJ408" s="320">
        <f>IFERROR(__xludf.DUMMYFUNCTION("""COMPUTED_VALUE"""),4.39)</f>
        <v>4.39</v>
      </c>
      <c r="AK408" s="320">
        <f>IFERROR(__xludf.DUMMYFUNCTION("""COMPUTED_VALUE"""),0.1657)</f>
        <v>0.1657</v>
      </c>
      <c r="AL408" s="320">
        <f>IFERROR(__xludf.DUMMYFUNCTION("""COMPUTED_VALUE"""),20.69)</f>
        <v>20.69</v>
      </c>
      <c r="AM408" s="320">
        <f>IFERROR(__xludf.DUMMYFUNCTION("""COMPUTED_VALUE"""),517.85)</f>
        <v>517.85</v>
      </c>
      <c r="AN408" s="320">
        <f>IFERROR(__xludf.DUMMYFUNCTION("""COMPUTED_VALUE"""),77.29)</f>
        <v>77.29</v>
      </c>
      <c r="AO408" s="320">
        <f>IFERROR(__xludf.DUMMYFUNCTION("""COMPUTED_VALUE"""),15.99)</f>
        <v>15.99</v>
      </c>
    </row>
    <row r="409" ht="15.75" customHeight="1">
      <c r="A409" s="330">
        <f>IFERROR(__xludf.DUMMYFUNCTION("""COMPUTED_VALUE"""),46117.0)</f>
        <v>46117</v>
      </c>
      <c r="B409" s="319" t="str">
        <f>IFERROR(__xludf.DUMMYFUNCTION("""COMPUTED_VALUE"""),"F. 100+")</f>
        <v>F. 100+</v>
      </c>
      <c r="C409" s="320">
        <f>IFERROR(__xludf.DUMMYFUNCTION("""COMPUTED_VALUE"""),342.0)</f>
        <v>342</v>
      </c>
      <c r="D409" s="320">
        <f>IFERROR(__xludf.DUMMYFUNCTION("""COMPUTED_VALUE"""),0.47)</f>
        <v>0.47</v>
      </c>
      <c r="E409" s="320">
        <f>IFERROR(__xludf.DUMMYFUNCTION("""COMPUTED_VALUE"""),4580.0)</f>
        <v>4580</v>
      </c>
      <c r="F409" s="320">
        <f>IFERROR(__xludf.DUMMYFUNCTION("""COMPUTED_VALUE"""),13.3918)</f>
        <v>13.3918</v>
      </c>
      <c r="G409" s="320">
        <f>IFERROR(__xludf.DUMMYFUNCTION("""COMPUTED_VALUE"""),50.88)</f>
        <v>50.88</v>
      </c>
      <c r="H409" s="320">
        <f>IFERROR(__xludf.DUMMYFUNCTION("""COMPUTED_VALUE"""),26.3218)</f>
        <v>26.3218</v>
      </c>
      <c r="I409" s="320">
        <f>IFERROR(__xludf.DUMMYFUNCTION("""COMPUTED_VALUE"""),235.19)</f>
        <v>235.19</v>
      </c>
      <c r="J409" s="320">
        <f>IFERROR(__xludf.DUMMYFUNCTION("""COMPUTED_VALUE"""),157.01)</f>
        <v>157.01</v>
      </c>
      <c r="K409" s="320">
        <f>IFERROR(__xludf.DUMMYFUNCTION("""COMPUTED_VALUE"""),117.78)</f>
        <v>117.78</v>
      </c>
      <c r="L409" s="320">
        <f>IFERROR(__xludf.DUMMYFUNCTION("""COMPUTED_VALUE"""),0.7502)</f>
        <v>0.7502</v>
      </c>
      <c r="M409" s="320">
        <f>IFERROR(__xludf.DUMMYFUNCTION("""COMPUTED_VALUE"""),0.3403)</f>
        <v>0.3403</v>
      </c>
      <c r="N409" s="320">
        <f>IFERROR(__xludf.DUMMYFUNCTION("""COMPUTED_VALUE"""),0.1948)</f>
        <v>0.1948</v>
      </c>
      <c r="O409" s="320">
        <f>IFERROR(__xludf.DUMMYFUNCTION("""COMPUTED_VALUE"""),1.3331)</f>
        <v>1.3331</v>
      </c>
      <c r="P409" s="320">
        <f>IFERROR(__xludf.DUMMYFUNCTION("""COMPUTED_VALUE"""),1190.47)</f>
        <v>1190.47</v>
      </c>
      <c r="Q409" s="320">
        <f>IFERROR(__xludf.DUMMYFUNCTION("""COMPUTED_VALUE"""),991.82)</f>
        <v>991.82</v>
      </c>
      <c r="R409" s="320">
        <f>IFERROR(__xludf.DUMMYFUNCTION("""COMPUTED_VALUE"""),198.65)</f>
        <v>198.65</v>
      </c>
      <c r="S409" s="320">
        <f>IFERROR(__xludf.DUMMYFUNCTION("""COMPUTED_VALUE"""),825.37)</f>
        <v>825.37</v>
      </c>
      <c r="T409" s="320">
        <f>IFERROR(__xludf.DUMMYFUNCTION("""COMPUTED_VALUE"""),365.11)</f>
        <v>365.11</v>
      </c>
      <c r="U409" s="320">
        <f>IFERROR(__xludf.DUMMYFUNCTION("""COMPUTED_VALUE"""),1320.03)</f>
        <v>1320.03</v>
      </c>
      <c r="V409" s="320">
        <f>IFERROR(__xludf.DUMMYFUNCTION("""COMPUTED_VALUE"""),8.4072)</f>
        <v>8.4072</v>
      </c>
      <c r="W409" s="320">
        <f>IFERROR(__xludf.DUMMYFUNCTION("""COMPUTED_VALUE"""),69.33)</f>
        <v>69.33</v>
      </c>
      <c r="X409" s="320">
        <f>IFERROR(__xludf.DUMMYFUNCTION("""COMPUTED_VALUE"""),104.0)</f>
        <v>104</v>
      </c>
      <c r="Y409" s="320">
        <f>IFERROR(__xludf.DUMMYFUNCTION("""COMPUTED_VALUE"""),480.0)</f>
        <v>480</v>
      </c>
      <c r="Z409" s="320">
        <f>IFERROR(__xludf.DUMMYFUNCTION("""COMPUTED_VALUE"""),2193.0)</f>
        <v>2193</v>
      </c>
      <c r="AA409" s="320">
        <f>IFERROR(__xludf.DUMMYFUNCTION("""COMPUTED_VALUE"""),60.8748)</f>
        <v>60.8748</v>
      </c>
      <c r="AB409" s="320">
        <f>IFERROR(__xludf.DUMMYFUNCTION("""COMPUTED_VALUE"""),0.8281)</f>
        <v>0.8281</v>
      </c>
      <c r="AC409" s="320">
        <f>IFERROR(__xludf.DUMMYFUNCTION("""COMPUTED_VALUE"""),74.3)</f>
        <v>74.3</v>
      </c>
      <c r="AD409" s="320">
        <f>IFERROR(__xludf.DUMMYFUNCTION("""COMPUTED_VALUE"""),22.0)</f>
        <v>22</v>
      </c>
      <c r="AE409" s="320">
        <f>IFERROR(__xludf.DUMMYFUNCTION("""COMPUTED_VALUE"""),53.0)</f>
        <v>53</v>
      </c>
      <c r="AF409" s="320">
        <f>IFERROR(__xludf.DUMMYFUNCTION("""COMPUTED_VALUE"""),113.0)</f>
        <v>113</v>
      </c>
      <c r="AG409" s="320">
        <f>IFERROR(__xludf.DUMMYFUNCTION("""COMPUTED_VALUE"""),168.0)</f>
        <v>168</v>
      </c>
      <c r="AH409" s="320">
        <f>IFERROR(__xludf.DUMMYFUNCTION("""COMPUTED_VALUE"""),39.18)</f>
        <v>39.18</v>
      </c>
      <c r="AI409" s="320">
        <f>IFERROR(__xludf.DUMMYFUNCTION("""COMPUTED_VALUE"""),8.48)</f>
        <v>8.48</v>
      </c>
      <c r="AJ409" s="320">
        <f>IFERROR(__xludf.DUMMYFUNCTION("""COMPUTED_VALUE"""),0.88)</f>
        <v>0.88</v>
      </c>
      <c r="AK409" s="320">
        <f>IFERROR(__xludf.DUMMYFUNCTION("""COMPUTED_VALUE"""),0.155)</f>
        <v>0.155</v>
      </c>
      <c r="AL409" s="320">
        <f>IFERROR(__xludf.DUMMYFUNCTION("""COMPUTED_VALUE"""),19.66)</f>
        <v>19.66</v>
      </c>
      <c r="AM409" s="320">
        <f>IFERROR(__xludf.DUMMYFUNCTION("""COMPUTED_VALUE"""),972.15)</f>
        <v>972.15</v>
      </c>
      <c r="AN409" s="320">
        <f>IFERROR(__xludf.DUMMYFUNCTION("""COMPUTED_VALUE"""),74.98)</f>
        <v>74.98</v>
      </c>
      <c r="AO409" s="320">
        <f>IFERROR(__xludf.DUMMYFUNCTION("""COMPUTED_VALUE"""),14.74)</f>
        <v>14.74</v>
      </c>
    </row>
    <row r="410" ht="15.75" customHeight="1">
      <c r="A410" s="330">
        <f>IFERROR(__xludf.DUMMYFUNCTION("""COMPUTED_VALUE"""),46118.0)</f>
        <v>46118</v>
      </c>
      <c r="B410" s="319" t="str">
        <f>IFERROR(__xludf.DUMMYFUNCTION("""COMPUTED_VALUE"""),"A. 0")</f>
        <v>A. 0</v>
      </c>
      <c r="C410" s="320">
        <f>IFERROR(__xludf.DUMMYFUNCTION("""COMPUTED_VALUE"""),14569.0)</f>
        <v>14569</v>
      </c>
      <c r="D410" s="320">
        <f>IFERROR(__xludf.DUMMYFUNCTION("""COMPUTED_VALUE"""),18.97)</f>
        <v>18.97</v>
      </c>
      <c r="E410" s="320">
        <f>IFERROR(__xludf.DUMMYFUNCTION("""COMPUTED_VALUE"""),152.57)</f>
        <v>152.57</v>
      </c>
      <c r="F410" s="320">
        <f>IFERROR(__xludf.DUMMYFUNCTION("""COMPUTED_VALUE"""),0.0105)</f>
        <v>0.0105</v>
      </c>
      <c r="G410" s="320">
        <f>IFERROR(__xludf.DUMMYFUNCTION("""COMPUTED_VALUE"""),0.21)</f>
        <v>0.21</v>
      </c>
      <c r="H410" s="320">
        <f>IFERROR(__xludf.DUMMYFUNCTION("""COMPUTED_VALUE"""),5.0857)</f>
        <v>5.0857</v>
      </c>
      <c r="I410" s="320">
        <f>IFERROR(__xludf.DUMMYFUNCTION("""COMPUTED_VALUE"""),5.3)</f>
        <v>5.3</v>
      </c>
      <c r="J410" s="320">
        <f>IFERROR(__xludf.DUMMYFUNCTION("""COMPUTED_VALUE"""),2.27)</f>
        <v>2.27</v>
      </c>
      <c r="K410" s="320">
        <f>IFERROR(__xludf.DUMMYFUNCTION("""COMPUTED_VALUE"""),0.08)</f>
        <v>0.08</v>
      </c>
      <c r="L410" s="320">
        <f>IFERROR(__xludf.DUMMYFUNCTION("""COMPUTED_VALUE"""),0.0341)</f>
        <v>0.0341</v>
      </c>
      <c r="M410" s="320">
        <f>IFERROR(__xludf.DUMMYFUNCTION("""COMPUTED_VALUE"""),0.9707)</f>
        <v>0.9707</v>
      </c>
      <c r="N410" s="320">
        <f>IFERROR(__xludf.DUMMYFUNCTION("""COMPUTED_VALUE"""),0.71)</f>
        <v>0.71</v>
      </c>
      <c r="O410" s="320">
        <f>IFERROR(__xludf.DUMMYFUNCTION("""COMPUTED_VALUE"""),29.3588)</f>
        <v>29.3588</v>
      </c>
      <c r="P410" s="320">
        <f>IFERROR(__xludf.DUMMYFUNCTION("""COMPUTED_VALUE"""),37.92)</f>
        <v>37.92</v>
      </c>
      <c r="Q410" s="320">
        <f>IFERROR(__xludf.DUMMYFUNCTION("""COMPUTED_VALUE"""),37.85)</f>
        <v>37.85</v>
      </c>
      <c r="R410" s="320">
        <f>IFERROR(__xludf.DUMMYFUNCTION("""COMPUTED_VALUE"""),0.07)</f>
        <v>0.07</v>
      </c>
      <c r="S410" s="320">
        <f>IFERROR(__xludf.DUMMYFUNCTION("""COMPUTED_VALUE"""),0.76)</f>
        <v>0.76</v>
      </c>
      <c r="T410" s="320">
        <f>IFERROR(__xludf.DUMMYFUNCTION("""COMPUTED_VALUE"""),37.16)</f>
        <v>37.16</v>
      </c>
      <c r="U410" s="320">
        <f>IFERROR(__xludf.DUMMYFUNCTION("""COMPUTED_VALUE"""),3.12)</f>
        <v>3.12</v>
      </c>
      <c r="V410" s="320">
        <f>IFERROR(__xludf.DUMMYFUNCTION("""COMPUTED_VALUE"""),1.3749)</f>
        <v>1.3749</v>
      </c>
      <c r="W410" s="320">
        <f>IFERROR(__xludf.DUMMYFUNCTION("""COMPUTED_VALUE"""),1.99)</f>
        <v>1.99</v>
      </c>
      <c r="X410" s="320">
        <f>IFERROR(__xludf.DUMMYFUNCTION("""COMPUTED_VALUE"""),199.0)</f>
        <v>199</v>
      </c>
      <c r="Y410" s="320">
        <f>IFERROR(__xludf.DUMMYFUNCTION("""COMPUTED_VALUE"""),1515.0)</f>
        <v>1515</v>
      </c>
      <c r="Z410" s="320">
        <f>IFERROR(__xludf.DUMMYFUNCTION("""COMPUTED_VALUE"""),8534.0)</f>
        <v>8534</v>
      </c>
      <c r="AA410" s="320">
        <f>IFERROR(__xludf.DUMMYFUNCTION("""COMPUTED_VALUE"""),50.1436)</f>
        <v>50.1436</v>
      </c>
      <c r="AB410" s="320">
        <f>IFERROR(__xludf.DUMMYFUNCTION("""COMPUTED_VALUE"""),0.5321)</f>
        <v>0.5321</v>
      </c>
      <c r="AC410" s="106"/>
      <c r="AD410" s="106"/>
      <c r="AE410" s="106"/>
      <c r="AF410" s="106"/>
      <c r="AG410" s="106"/>
      <c r="AH410" s="320">
        <f>IFERROR(__xludf.DUMMYFUNCTION("""COMPUTED_VALUE"""),0.0)</f>
        <v>0</v>
      </c>
      <c r="AI410" s="320">
        <f>IFERROR(__xludf.DUMMYFUNCTION("""COMPUTED_VALUE"""),0.0)</f>
        <v>0</v>
      </c>
      <c r="AJ410" s="320">
        <f>IFERROR(__xludf.DUMMYFUNCTION("""COMPUTED_VALUE"""),0.0)</f>
        <v>0</v>
      </c>
      <c r="AK410" s="320">
        <f>IFERROR(__xludf.DUMMYFUNCTION("""COMPUTED_VALUE"""),0.2796)</f>
        <v>0.2796</v>
      </c>
      <c r="AL410" s="320">
        <f>IFERROR(__xludf.DUMMYFUNCTION("""COMPUTED_VALUE"""),15.75)</f>
        <v>15.75</v>
      </c>
      <c r="AM410" s="320">
        <f>IFERROR(__xludf.DUMMYFUNCTION("""COMPUTED_VALUE"""),22.1)</f>
        <v>22.1</v>
      </c>
      <c r="AN410" s="331"/>
      <c r="AO410" s="331"/>
    </row>
    <row r="411" ht="15.75" customHeight="1">
      <c r="A411" s="330">
        <f>IFERROR(__xludf.DUMMYFUNCTION("""COMPUTED_VALUE"""),46118.0)</f>
        <v>46118</v>
      </c>
      <c r="B411" s="319" t="str">
        <f>IFERROR(__xludf.DUMMYFUNCTION("""COMPUTED_VALUE"""),"B. 1-9")</f>
        <v>B. 1-9</v>
      </c>
      <c r="C411" s="320">
        <f>IFERROR(__xludf.DUMMYFUNCTION("""COMPUTED_VALUE"""),32188.0)</f>
        <v>32188</v>
      </c>
      <c r="D411" s="320">
        <f>IFERROR(__xludf.DUMMYFUNCTION("""COMPUTED_VALUE"""),41.91)</f>
        <v>41.91</v>
      </c>
      <c r="E411" s="320">
        <f>IFERROR(__xludf.DUMMYFUNCTION("""COMPUTED_VALUE"""),5966.25)</f>
        <v>5966.25</v>
      </c>
      <c r="F411" s="320">
        <f>IFERROR(__xludf.DUMMYFUNCTION("""COMPUTED_VALUE"""),0.1854)</f>
        <v>0.1854</v>
      </c>
      <c r="G411" s="320">
        <f>IFERROR(__xludf.DUMMYFUNCTION("""COMPUTED_VALUE"""),5.8)</f>
        <v>5.8</v>
      </c>
      <c r="H411" s="320">
        <f>IFERROR(__xludf.DUMMYFUNCTION("""COMPUTED_VALUE"""),3.1956)</f>
        <v>3.1956</v>
      </c>
      <c r="I411" s="320">
        <f>IFERROR(__xludf.DUMMYFUNCTION("""COMPUTED_VALUE"""),34.65)</f>
        <v>34.65</v>
      </c>
      <c r="J411" s="320">
        <f>IFERROR(__xludf.DUMMYFUNCTION("""COMPUTED_VALUE"""),18.72)</f>
        <v>18.72</v>
      </c>
      <c r="K411" s="320">
        <f>IFERROR(__xludf.DUMMYFUNCTION("""COMPUTED_VALUE"""),5.57)</f>
        <v>5.57</v>
      </c>
      <c r="L411" s="320">
        <f>IFERROR(__xludf.DUMMYFUNCTION("""COMPUTED_VALUE"""),0.2977)</f>
        <v>0.2977</v>
      </c>
      <c r="M411" s="320">
        <f>IFERROR(__xludf.DUMMYFUNCTION("""COMPUTED_VALUE"""),0.7722)</f>
        <v>0.7722</v>
      </c>
      <c r="N411" s="320">
        <f>IFERROR(__xludf.DUMMYFUNCTION("""COMPUTED_VALUE"""),0.5318)</f>
        <v>0.5318</v>
      </c>
      <c r="O411" s="320">
        <f>IFERROR(__xludf.DUMMYFUNCTION("""COMPUTED_VALUE"""),3.3594)</f>
        <v>3.3594</v>
      </c>
      <c r="P411" s="320">
        <f>IFERROR(__xludf.DUMMYFUNCTION("""COMPUTED_VALUE"""),95.51)</f>
        <v>95.51</v>
      </c>
      <c r="Q411" s="320">
        <f>IFERROR(__xludf.DUMMYFUNCTION("""COMPUTED_VALUE"""),86.51)</f>
        <v>86.51</v>
      </c>
      <c r="R411" s="320">
        <f>IFERROR(__xludf.DUMMYFUNCTION("""COMPUTED_VALUE"""),9.0)</f>
        <v>9</v>
      </c>
      <c r="S411" s="320">
        <f>IFERROR(__xludf.DUMMYFUNCTION("""COMPUTED_VALUE"""),12.59)</f>
        <v>12.59</v>
      </c>
      <c r="T411" s="320">
        <f>IFERROR(__xludf.DUMMYFUNCTION("""COMPUTED_VALUE"""),82.92)</f>
        <v>82.92</v>
      </c>
      <c r="U411" s="320">
        <f>IFERROR(__xludf.DUMMYFUNCTION("""COMPUTED_VALUE"""),87.22)</f>
        <v>87.22</v>
      </c>
      <c r="V411" s="320">
        <f>IFERROR(__xludf.DUMMYFUNCTION("""COMPUTED_VALUE"""),4.6602)</f>
        <v>4.6602</v>
      </c>
      <c r="W411" s="320">
        <f>IFERROR(__xludf.DUMMYFUNCTION("""COMPUTED_VALUE"""),13.18)</f>
        <v>13.18</v>
      </c>
      <c r="X411" s="320">
        <f>IFERROR(__xludf.DUMMYFUNCTION("""COMPUTED_VALUE"""),93.0)</f>
        <v>93</v>
      </c>
      <c r="Y411" s="320">
        <f>IFERROR(__xludf.DUMMYFUNCTION("""COMPUTED_VALUE"""),221.0)</f>
        <v>221</v>
      </c>
      <c r="Z411" s="320">
        <f>IFERROR(__xludf.DUMMYFUNCTION("""COMPUTED_VALUE"""),874.0)</f>
        <v>874</v>
      </c>
      <c r="AA411" s="320">
        <f>IFERROR(__xludf.DUMMYFUNCTION("""COMPUTED_VALUE"""),49.5592)</f>
        <v>49.5592</v>
      </c>
      <c r="AB411" s="320">
        <f>IFERROR(__xludf.DUMMYFUNCTION("""COMPUTED_VALUE"""),0.4437)</f>
        <v>0.4437</v>
      </c>
      <c r="AC411" s="320">
        <f>IFERROR(__xludf.DUMMYFUNCTION("""COMPUTED_VALUE"""),3.56)</f>
        <v>3.56</v>
      </c>
      <c r="AD411" s="320">
        <f>IFERROR(__xludf.DUMMYFUNCTION("""COMPUTED_VALUE"""),1.0)</f>
        <v>1</v>
      </c>
      <c r="AE411" s="320">
        <f>IFERROR(__xludf.DUMMYFUNCTION("""COMPUTED_VALUE"""),2.0)</f>
        <v>2</v>
      </c>
      <c r="AF411" s="320">
        <f>IFERROR(__xludf.DUMMYFUNCTION("""COMPUTED_VALUE"""),5.0)</f>
        <v>5</v>
      </c>
      <c r="AG411" s="320">
        <f>IFERROR(__xludf.DUMMYFUNCTION("""COMPUTED_VALUE"""),8.0)</f>
        <v>8</v>
      </c>
      <c r="AH411" s="320">
        <f>IFERROR(__xludf.DUMMYFUNCTION("""COMPUTED_VALUE"""),68.92)</f>
        <v>68.92</v>
      </c>
      <c r="AI411" s="320">
        <f>IFERROR(__xludf.DUMMYFUNCTION("""COMPUTED_VALUE"""),25.64)</f>
        <v>25.64</v>
      </c>
      <c r="AJ411" s="320">
        <f>IFERROR(__xludf.DUMMYFUNCTION("""COMPUTED_VALUE"""),6.62)</f>
        <v>6.62</v>
      </c>
      <c r="AK411" s="320">
        <f>IFERROR(__xludf.DUMMYFUNCTION("""COMPUTED_VALUE"""),0.22)</f>
        <v>0.22</v>
      </c>
      <c r="AL411" s="320">
        <f>IFERROR(__xludf.DUMMYFUNCTION("""COMPUTED_VALUE"""),18.39)</f>
        <v>18.39</v>
      </c>
      <c r="AM411" s="320">
        <f>IFERROR(__xludf.DUMMYFUNCTION("""COMPUTED_VALUE"""),68.12)</f>
        <v>68.12</v>
      </c>
      <c r="AN411" s="320">
        <f>IFERROR(__xludf.DUMMYFUNCTION("""COMPUTED_VALUE"""),67.73)</f>
        <v>67.73</v>
      </c>
      <c r="AO411" s="320">
        <f>IFERROR(__xludf.DUMMYFUNCTION("""COMPUTED_VALUE"""),12.46)</f>
        <v>12.46</v>
      </c>
    </row>
    <row r="412" ht="15.75" customHeight="1">
      <c r="A412" s="330">
        <f>IFERROR(__xludf.DUMMYFUNCTION("""COMPUTED_VALUE"""),46118.0)</f>
        <v>46118</v>
      </c>
      <c r="B412" s="319" t="str">
        <f>IFERROR(__xludf.DUMMYFUNCTION("""COMPUTED_VALUE"""),"C. 10-19")</f>
        <v>C. 10-19</v>
      </c>
      <c r="C412" s="320">
        <f>IFERROR(__xludf.DUMMYFUNCTION("""COMPUTED_VALUE"""),17087.0)</f>
        <v>17087</v>
      </c>
      <c r="D412" s="320">
        <f>IFERROR(__xludf.DUMMYFUNCTION("""COMPUTED_VALUE"""),22.25)</f>
        <v>22.25</v>
      </c>
      <c r="E412" s="320">
        <f>IFERROR(__xludf.DUMMYFUNCTION("""COMPUTED_VALUE"""),15743.8)</f>
        <v>15743.8</v>
      </c>
      <c r="F412" s="320">
        <f>IFERROR(__xludf.DUMMYFUNCTION("""COMPUTED_VALUE"""),0.9214)</f>
        <v>0.9214</v>
      </c>
      <c r="G412" s="320">
        <f>IFERROR(__xludf.DUMMYFUNCTION("""COMPUTED_VALUE"""),20.04)</f>
        <v>20.04</v>
      </c>
      <c r="H412" s="320">
        <f>IFERROR(__xludf.DUMMYFUNCTION("""COMPUTED_VALUE"""),4.5967)</f>
        <v>4.5967</v>
      </c>
      <c r="I412" s="320">
        <f>IFERROR(__xludf.DUMMYFUNCTION("""COMPUTED_VALUE"""),63.66)</f>
        <v>63.66</v>
      </c>
      <c r="J412" s="320">
        <f>IFERROR(__xludf.DUMMYFUNCTION("""COMPUTED_VALUE"""),36.66)</f>
        <v>36.66</v>
      </c>
      <c r="K412" s="320">
        <f>IFERROR(__xludf.DUMMYFUNCTION("""COMPUTED_VALUE"""),14.54)</f>
        <v>14.54</v>
      </c>
      <c r="L412" s="320">
        <f>IFERROR(__xludf.DUMMYFUNCTION("""COMPUTED_VALUE"""),0.3967)</f>
        <v>0.3967</v>
      </c>
      <c r="M412" s="320">
        <f>IFERROR(__xludf.DUMMYFUNCTION("""COMPUTED_VALUE"""),0.6672)</f>
        <v>0.6672</v>
      </c>
      <c r="N412" s="320">
        <f>IFERROR(__xludf.DUMMYFUNCTION("""COMPUTED_VALUE"""),0.3975)</f>
        <v>0.3975</v>
      </c>
      <c r="O412" s="320">
        <f>IFERROR(__xludf.DUMMYFUNCTION("""COMPUTED_VALUE"""),2.5206)</f>
        <v>2.5206</v>
      </c>
      <c r="P412" s="320">
        <f>IFERROR(__xludf.DUMMYFUNCTION("""COMPUTED_VALUE"""),200.11)</f>
        <v>200.11</v>
      </c>
      <c r="Q412" s="320">
        <f>IFERROR(__xludf.DUMMYFUNCTION("""COMPUTED_VALUE"""),177.53)</f>
        <v>177.53</v>
      </c>
      <c r="R412" s="320">
        <f>IFERROR(__xludf.DUMMYFUNCTION("""COMPUTED_VALUE"""),22.58)</f>
        <v>22.58</v>
      </c>
      <c r="S412" s="320">
        <f>IFERROR(__xludf.DUMMYFUNCTION("""COMPUTED_VALUE"""),62.34)</f>
        <v>62.34</v>
      </c>
      <c r="T412" s="320">
        <f>IFERROR(__xludf.DUMMYFUNCTION("""COMPUTED_VALUE"""),137.77)</f>
        <v>137.77</v>
      </c>
      <c r="U412" s="320">
        <f>IFERROR(__xludf.DUMMYFUNCTION("""COMPUTED_VALUE"""),196.98)</f>
        <v>196.98</v>
      </c>
      <c r="V412" s="320">
        <f>IFERROR(__xludf.DUMMYFUNCTION("""COMPUTED_VALUE"""),5.3737)</f>
        <v>5.3737</v>
      </c>
      <c r="W412" s="320">
        <f>IFERROR(__xludf.DUMMYFUNCTION("""COMPUTED_VALUE"""),31.15)</f>
        <v>31.15</v>
      </c>
      <c r="X412" s="320">
        <f>IFERROR(__xludf.DUMMYFUNCTION("""COMPUTED_VALUE"""),86.0)</f>
        <v>86</v>
      </c>
      <c r="Y412" s="320">
        <f>IFERROR(__xludf.DUMMYFUNCTION("""COMPUTED_VALUE"""),190.0)</f>
        <v>190</v>
      </c>
      <c r="Z412" s="320">
        <f>IFERROR(__xludf.DUMMYFUNCTION("""COMPUTED_VALUE"""),606.0)</f>
        <v>606</v>
      </c>
      <c r="AA412" s="320">
        <f>IFERROR(__xludf.DUMMYFUNCTION("""COMPUTED_VALUE"""),52.2219)</f>
        <v>52.2219</v>
      </c>
      <c r="AB412" s="320">
        <f>IFERROR(__xludf.DUMMYFUNCTION("""COMPUTED_VALUE"""),0.5081)</f>
        <v>0.5081</v>
      </c>
      <c r="AC412" s="320">
        <f>IFERROR(__xludf.DUMMYFUNCTION("""COMPUTED_VALUE"""),8.75)</f>
        <v>8.75</v>
      </c>
      <c r="AD412" s="320">
        <f>IFERROR(__xludf.DUMMYFUNCTION("""COMPUTED_VALUE"""),3.0)</f>
        <v>3</v>
      </c>
      <c r="AE412" s="320">
        <f>IFERROR(__xludf.DUMMYFUNCTION("""COMPUTED_VALUE"""),7.0)</f>
        <v>7</v>
      </c>
      <c r="AF412" s="320">
        <f>IFERROR(__xludf.DUMMYFUNCTION("""COMPUTED_VALUE"""),12.0)</f>
        <v>12</v>
      </c>
      <c r="AG412" s="320">
        <f>IFERROR(__xludf.DUMMYFUNCTION("""COMPUTED_VALUE"""),19.0)</f>
        <v>19</v>
      </c>
      <c r="AH412" s="320">
        <f>IFERROR(__xludf.DUMMYFUNCTION("""COMPUTED_VALUE"""),55.65)</f>
        <v>55.65</v>
      </c>
      <c r="AI412" s="320">
        <f>IFERROR(__xludf.DUMMYFUNCTION("""COMPUTED_VALUE"""),23.91)</f>
        <v>23.91</v>
      </c>
      <c r="AJ412" s="320">
        <f>IFERROR(__xludf.DUMMYFUNCTION("""COMPUTED_VALUE"""),4.14)</f>
        <v>4.14</v>
      </c>
      <c r="AK412" s="320">
        <f>IFERROR(__xludf.DUMMYFUNCTION("""COMPUTED_VALUE"""),0.1915)</f>
        <v>0.1915</v>
      </c>
      <c r="AL412" s="320">
        <f>IFERROR(__xludf.DUMMYFUNCTION("""COMPUTED_VALUE"""),19.39)</f>
        <v>19.39</v>
      </c>
      <c r="AM412" s="320">
        <f>IFERROR(__xludf.DUMMYFUNCTION("""COMPUTED_VALUE"""),158.14)</f>
        <v>158.14</v>
      </c>
      <c r="AN412" s="320">
        <f>IFERROR(__xludf.DUMMYFUNCTION("""COMPUTED_VALUE"""),70.86)</f>
        <v>70.86</v>
      </c>
      <c r="AO412" s="320">
        <f>IFERROR(__xludf.DUMMYFUNCTION("""COMPUTED_VALUE"""),13.74)</f>
        <v>13.74</v>
      </c>
    </row>
    <row r="413" ht="15.75" customHeight="1">
      <c r="A413" s="330">
        <f>IFERROR(__xludf.DUMMYFUNCTION("""COMPUTED_VALUE"""),46118.0)</f>
        <v>46118</v>
      </c>
      <c r="B413" s="319" t="str">
        <f>IFERROR(__xludf.DUMMYFUNCTION("""COMPUTED_VALUE"""),"D. 20-39")</f>
        <v>D. 20-39</v>
      </c>
      <c r="C413" s="320">
        <f>IFERROR(__xludf.DUMMYFUNCTION("""COMPUTED_VALUE"""),8986.0)</f>
        <v>8986</v>
      </c>
      <c r="D413" s="320">
        <f>IFERROR(__xludf.DUMMYFUNCTION("""COMPUTED_VALUE"""),11.7)</f>
        <v>11.7</v>
      </c>
      <c r="E413" s="320">
        <f>IFERROR(__xludf.DUMMYFUNCTION("""COMPUTED_VALUE"""),23428.86)</f>
        <v>23428.86</v>
      </c>
      <c r="F413" s="320">
        <f>IFERROR(__xludf.DUMMYFUNCTION("""COMPUTED_VALUE"""),2.6073)</f>
        <v>2.6073</v>
      </c>
      <c r="G413" s="320">
        <f>IFERROR(__xludf.DUMMYFUNCTION("""COMPUTED_VALUE"""),33.66)</f>
        <v>33.66</v>
      </c>
      <c r="H413" s="320">
        <f>IFERROR(__xludf.DUMMYFUNCTION("""COMPUTED_VALUE"""),7.7451)</f>
        <v>7.7451</v>
      </c>
      <c r="I413" s="320">
        <f>IFERROR(__xludf.DUMMYFUNCTION("""COMPUTED_VALUE"""),97.85)</f>
        <v>97.85</v>
      </c>
      <c r="J413" s="320">
        <f>IFERROR(__xludf.DUMMYFUNCTION("""COMPUTED_VALUE"""),58.38)</f>
        <v>58.38</v>
      </c>
      <c r="K413" s="320">
        <f>IFERROR(__xludf.DUMMYFUNCTION("""COMPUTED_VALUE"""),29.87)</f>
        <v>29.87</v>
      </c>
      <c r="L413" s="320">
        <f>IFERROR(__xludf.DUMMYFUNCTION("""COMPUTED_VALUE"""),0.5117)</f>
        <v>0.5117</v>
      </c>
      <c r="M413" s="320">
        <f>IFERROR(__xludf.DUMMYFUNCTION("""COMPUTED_VALUE"""),0.5595)</f>
        <v>0.5595</v>
      </c>
      <c r="N413" s="320">
        <f>IFERROR(__xludf.DUMMYFUNCTION("""COMPUTED_VALUE"""),0.3142)</f>
        <v>0.3142</v>
      </c>
      <c r="O413" s="320">
        <f>IFERROR(__xludf.DUMMYFUNCTION("""COMPUTED_VALUE"""),1.9543)</f>
        <v>1.9543</v>
      </c>
      <c r="P413" s="320">
        <f>IFERROR(__xludf.DUMMYFUNCTION("""COMPUTED_VALUE"""),397.19)</f>
        <v>397.19</v>
      </c>
      <c r="Q413" s="320">
        <f>IFERROR(__xludf.DUMMYFUNCTION("""COMPUTED_VALUE"""),351.82)</f>
        <v>351.82</v>
      </c>
      <c r="R413" s="320">
        <f>IFERROR(__xludf.DUMMYFUNCTION("""COMPUTED_VALUE"""),45.37)</f>
        <v>45.37</v>
      </c>
      <c r="S413" s="320">
        <f>IFERROR(__xludf.DUMMYFUNCTION("""COMPUTED_VALUE"""),173.43)</f>
        <v>173.43</v>
      </c>
      <c r="T413" s="320">
        <f>IFERROR(__xludf.DUMMYFUNCTION("""COMPUTED_VALUE"""),223.76)</f>
        <v>223.76</v>
      </c>
      <c r="U413" s="320">
        <f>IFERROR(__xludf.DUMMYFUNCTION("""COMPUTED_VALUE"""),401.07)</f>
        <v>401.07</v>
      </c>
      <c r="V413" s="320">
        <f>IFERROR(__xludf.DUMMYFUNCTION("""COMPUTED_VALUE"""),6.8705)</f>
        <v>6.8705</v>
      </c>
      <c r="W413" s="320">
        <f>IFERROR(__xludf.DUMMYFUNCTION("""COMPUTED_VALUE"""),43.66)</f>
        <v>43.66</v>
      </c>
      <c r="X413" s="320">
        <f>IFERROR(__xludf.DUMMYFUNCTION("""COMPUTED_VALUE"""),86.0)</f>
        <v>86</v>
      </c>
      <c r="Y413" s="320">
        <f>IFERROR(__xludf.DUMMYFUNCTION("""COMPUTED_VALUE"""),211.0)</f>
        <v>211</v>
      </c>
      <c r="Z413" s="320">
        <f>IFERROR(__xludf.DUMMYFUNCTION("""COMPUTED_VALUE"""),674.0)</f>
        <v>674</v>
      </c>
      <c r="AA413" s="320">
        <f>IFERROR(__xludf.DUMMYFUNCTION("""COMPUTED_VALUE"""),54.0017)</f>
        <v>54.0017</v>
      </c>
      <c r="AB413" s="320">
        <f>IFERROR(__xludf.DUMMYFUNCTION("""COMPUTED_VALUE"""),0.5723)</f>
        <v>0.5723</v>
      </c>
      <c r="AC413" s="320">
        <f>IFERROR(__xludf.DUMMYFUNCTION("""COMPUTED_VALUE"""),17.02)</f>
        <v>17.02</v>
      </c>
      <c r="AD413" s="320">
        <f>IFERROR(__xludf.DUMMYFUNCTION("""COMPUTED_VALUE"""),6.0)</f>
        <v>6</v>
      </c>
      <c r="AE413" s="320">
        <f>IFERROR(__xludf.DUMMYFUNCTION("""COMPUTED_VALUE"""),13.0)</f>
        <v>13</v>
      </c>
      <c r="AF413" s="320">
        <f>IFERROR(__xludf.DUMMYFUNCTION("""COMPUTED_VALUE"""),23.0)</f>
        <v>23</v>
      </c>
      <c r="AG413" s="320">
        <f>IFERROR(__xludf.DUMMYFUNCTION("""COMPUTED_VALUE"""),36.0)</f>
        <v>36</v>
      </c>
      <c r="AH413" s="320">
        <f>IFERROR(__xludf.DUMMYFUNCTION("""COMPUTED_VALUE"""),56.22)</f>
        <v>56.22</v>
      </c>
      <c r="AI413" s="320">
        <f>IFERROR(__xludf.DUMMYFUNCTION("""COMPUTED_VALUE"""),21.88)</f>
        <v>21.88</v>
      </c>
      <c r="AJ413" s="320">
        <f>IFERROR(__xludf.DUMMYFUNCTION("""COMPUTED_VALUE"""),5.78)</f>
        <v>5.78</v>
      </c>
      <c r="AK413" s="320">
        <f>IFERROR(__xludf.DUMMYFUNCTION("""COMPUTED_VALUE"""),0.169)</f>
        <v>0.169</v>
      </c>
      <c r="AL413" s="320">
        <f>IFERROR(__xludf.DUMMYFUNCTION("""COMPUTED_VALUE"""),19.37)</f>
        <v>19.37</v>
      </c>
      <c r="AM413" s="320">
        <f>IFERROR(__xludf.DUMMYFUNCTION("""COMPUTED_VALUE"""),332.45)</f>
        <v>332.45</v>
      </c>
      <c r="AN413" s="320">
        <f>IFERROR(__xludf.DUMMYFUNCTION("""COMPUTED_VALUE"""),71.12)</f>
        <v>71.12</v>
      </c>
      <c r="AO413" s="320">
        <f>IFERROR(__xludf.DUMMYFUNCTION("""COMPUTED_VALUE"""),13.78)</f>
        <v>13.78</v>
      </c>
    </row>
    <row r="414" ht="15.75" customHeight="1">
      <c r="A414" s="330">
        <f>IFERROR(__xludf.DUMMYFUNCTION("""COMPUTED_VALUE"""),46118.0)</f>
        <v>46118</v>
      </c>
      <c r="B414" s="319" t="str">
        <f>IFERROR(__xludf.DUMMYFUNCTION("""COMPUTED_VALUE"""),"E. 40-99")</f>
        <v>E. 40-99</v>
      </c>
      <c r="C414" s="320">
        <f>IFERROR(__xludf.DUMMYFUNCTION("""COMPUTED_VALUE"""),3641.0)</f>
        <v>3641</v>
      </c>
      <c r="D414" s="320">
        <f>IFERROR(__xludf.DUMMYFUNCTION("""COMPUTED_VALUE"""),4.74)</f>
        <v>4.74</v>
      </c>
      <c r="E414" s="320">
        <f>IFERROR(__xludf.DUMMYFUNCTION("""COMPUTED_VALUE"""),23041.34)</f>
        <v>23041.34</v>
      </c>
      <c r="F414" s="320">
        <f>IFERROR(__xludf.DUMMYFUNCTION("""COMPUTED_VALUE"""),6.3283)</f>
        <v>6.3283</v>
      </c>
      <c r="G414" s="320">
        <f>IFERROR(__xludf.DUMMYFUNCTION("""COMPUTED_VALUE"""),45.37)</f>
        <v>45.37</v>
      </c>
      <c r="H414" s="320">
        <f>IFERROR(__xludf.DUMMYFUNCTION("""COMPUTED_VALUE"""),13.9475)</f>
        <v>13.9475</v>
      </c>
      <c r="I414" s="320">
        <f>IFERROR(__xludf.DUMMYFUNCTION("""COMPUTED_VALUE"""),147.08)</f>
        <v>147.08</v>
      </c>
      <c r="J414" s="320">
        <f>IFERROR(__xludf.DUMMYFUNCTION("""COMPUTED_VALUE"""),90.67)</f>
        <v>90.67</v>
      </c>
      <c r="K414" s="320">
        <f>IFERROR(__xludf.DUMMYFUNCTION("""COMPUTED_VALUE"""),57.81)</f>
        <v>57.81</v>
      </c>
      <c r="L414" s="320">
        <f>IFERROR(__xludf.DUMMYFUNCTION("""COMPUTED_VALUE"""),0.6376)</f>
        <v>0.6376</v>
      </c>
      <c r="M414" s="320">
        <f>IFERROR(__xludf.DUMMYFUNCTION("""COMPUTED_VALUE"""),0.4508)</f>
        <v>0.4508</v>
      </c>
      <c r="N414" s="320">
        <f>IFERROR(__xludf.DUMMYFUNCTION("""COMPUTED_VALUE"""),0.2564)</f>
        <v>0.2564</v>
      </c>
      <c r="O414" s="320">
        <f>IFERROR(__xludf.DUMMYFUNCTION("""COMPUTED_VALUE"""),1.5683)</f>
        <v>1.5683</v>
      </c>
      <c r="P414" s="320">
        <f>IFERROR(__xludf.DUMMYFUNCTION("""COMPUTED_VALUE"""),764.23)</f>
        <v>764.23</v>
      </c>
      <c r="Q414" s="320">
        <f>IFERROR(__xludf.DUMMYFUNCTION("""COMPUTED_VALUE"""),675.89)</f>
        <v>675.89</v>
      </c>
      <c r="R414" s="320">
        <f>IFERROR(__xludf.DUMMYFUNCTION("""COMPUTED_VALUE"""),88.34)</f>
        <v>88.34</v>
      </c>
      <c r="S414" s="320">
        <f>IFERROR(__xludf.DUMMYFUNCTION("""COMPUTED_VALUE"""),406.71)</f>
        <v>406.71</v>
      </c>
      <c r="T414" s="320">
        <f>IFERROR(__xludf.DUMMYFUNCTION("""COMPUTED_VALUE"""),357.53)</f>
        <v>357.53</v>
      </c>
      <c r="U414" s="320">
        <f>IFERROR(__xludf.DUMMYFUNCTION("""COMPUTED_VALUE"""),800.19)</f>
        <v>800.19</v>
      </c>
      <c r="V414" s="320">
        <f>IFERROR(__xludf.DUMMYFUNCTION("""COMPUTED_VALUE"""),8.8255)</f>
        <v>8.8255</v>
      </c>
      <c r="W414" s="320">
        <f>IFERROR(__xludf.DUMMYFUNCTION("""COMPUTED_VALUE"""),53.22)</f>
        <v>53.22</v>
      </c>
      <c r="X414" s="320">
        <f>IFERROR(__xludf.DUMMYFUNCTION("""COMPUTED_VALUE"""),97.0)</f>
        <v>97</v>
      </c>
      <c r="Y414" s="320">
        <f>IFERROR(__xludf.DUMMYFUNCTION("""COMPUTED_VALUE"""),323.0)</f>
        <v>323</v>
      </c>
      <c r="Z414" s="320">
        <f>IFERROR(__xludf.DUMMYFUNCTION("""COMPUTED_VALUE"""),1072.0)</f>
        <v>1072</v>
      </c>
      <c r="AA414" s="320">
        <f>IFERROR(__xludf.DUMMYFUNCTION("""COMPUTED_VALUE"""),56.4937)</f>
        <v>56.4937</v>
      </c>
      <c r="AB414" s="320">
        <f>IFERROR(__xludf.DUMMYFUNCTION("""COMPUTED_VALUE"""),0.6498)</f>
        <v>0.6498</v>
      </c>
      <c r="AC414" s="320">
        <f>IFERROR(__xludf.DUMMYFUNCTION("""COMPUTED_VALUE"""),33.23)</f>
        <v>33.23</v>
      </c>
      <c r="AD414" s="320">
        <f>IFERROR(__xludf.DUMMYFUNCTION("""COMPUTED_VALUE"""),11.0)</f>
        <v>11</v>
      </c>
      <c r="AE414" s="320">
        <f>IFERROR(__xludf.DUMMYFUNCTION("""COMPUTED_VALUE"""),25.0)</f>
        <v>25</v>
      </c>
      <c r="AF414" s="320">
        <f>IFERROR(__xludf.DUMMYFUNCTION("""COMPUTED_VALUE"""),44.0)</f>
        <v>44</v>
      </c>
      <c r="AG414" s="320">
        <f>IFERROR(__xludf.DUMMYFUNCTION("""COMPUTED_VALUE"""),71.0)</f>
        <v>71</v>
      </c>
      <c r="AH414" s="320">
        <f>IFERROR(__xludf.DUMMYFUNCTION("""COMPUTED_VALUE"""),46.2)</f>
        <v>46.2</v>
      </c>
      <c r="AI414" s="320">
        <f>IFERROR(__xludf.DUMMYFUNCTION("""COMPUTED_VALUE"""),14.97)</f>
        <v>14.97</v>
      </c>
      <c r="AJ414" s="320">
        <f>IFERROR(__xludf.DUMMYFUNCTION("""COMPUTED_VALUE"""),3.68)</f>
        <v>3.68</v>
      </c>
      <c r="AK414" s="320">
        <f>IFERROR(__xludf.DUMMYFUNCTION("""COMPUTED_VALUE"""),0.1434)</f>
        <v>0.1434</v>
      </c>
      <c r="AL414" s="320">
        <f>IFERROR(__xludf.DUMMYFUNCTION("""COMPUTED_VALUE"""),19.46)</f>
        <v>19.46</v>
      </c>
      <c r="AM414" s="320">
        <f>IFERROR(__xludf.DUMMYFUNCTION("""COMPUTED_VALUE"""),656.43)</f>
        <v>656.43</v>
      </c>
      <c r="AN414" s="320">
        <f>IFERROR(__xludf.DUMMYFUNCTION("""COMPUTED_VALUE"""),71.89)</f>
        <v>71.89</v>
      </c>
      <c r="AO414" s="320">
        <f>IFERROR(__xludf.DUMMYFUNCTION("""COMPUTED_VALUE"""),13.99)</f>
        <v>13.99</v>
      </c>
    </row>
    <row r="415" ht="15.75" customHeight="1">
      <c r="A415" s="330">
        <f>IFERROR(__xludf.DUMMYFUNCTION("""COMPUTED_VALUE"""),46118.0)</f>
        <v>46118</v>
      </c>
      <c r="B415" s="319" t="str">
        <f>IFERROR(__xludf.DUMMYFUNCTION("""COMPUTED_VALUE"""),"F. 100+")</f>
        <v>F. 100+</v>
      </c>
      <c r="C415" s="320">
        <f>IFERROR(__xludf.DUMMYFUNCTION("""COMPUTED_VALUE"""),324.0)</f>
        <v>324</v>
      </c>
      <c r="D415" s="320">
        <f>IFERROR(__xludf.DUMMYFUNCTION("""COMPUTED_VALUE"""),0.42)</f>
        <v>0.42</v>
      </c>
      <c r="E415" s="320">
        <f>IFERROR(__xludf.DUMMYFUNCTION("""COMPUTED_VALUE"""),4552.22)</f>
        <v>4552.22</v>
      </c>
      <c r="F415" s="320">
        <f>IFERROR(__xludf.DUMMYFUNCTION("""COMPUTED_VALUE"""),14.0501)</f>
        <v>14.0501</v>
      </c>
      <c r="G415" s="320">
        <f>IFERROR(__xludf.DUMMYFUNCTION("""COMPUTED_VALUE"""),54.63)</f>
        <v>54.63</v>
      </c>
      <c r="H415" s="320">
        <f>IFERROR(__xludf.DUMMYFUNCTION("""COMPUTED_VALUE"""),25.7188)</f>
        <v>25.7188</v>
      </c>
      <c r="I415" s="320">
        <f>IFERROR(__xludf.DUMMYFUNCTION("""COMPUTED_VALUE"""),260.12)</f>
        <v>260.12</v>
      </c>
      <c r="J415" s="320">
        <f>IFERROR(__xludf.DUMMYFUNCTION("""COMPUTED_VALUE"""),169.53)</f>
        <v>169.53</v>
      </c>
      <c r="K415" s="320">
        <f>IFERROR(__xludf.DUMMYFUNCTION("""COMPUTED_VALUE"""),133.78)</f>
        <v>133.78</v>
      </c>
      <c r="L415" s="320">
        <f>IFERROR(__xludf.DUMMYFUNCTION("""COMPUTED_VALUE"""),0.7891)</f>
        <v>0.7891</v>
      </c>
      <c r="M415" s="320">
        <f>IFERROR(__xludf.DUMMYFUNCTION("""COMPUTED_VALUE"""),0.3135)</f>
        <v>0.3135</v>
      </c>
      <c r="N415" s="320">
        <f>IFERROR(__xludf.DUMMYFUNCTION("""COMPUTED_VALUE"""),0.1954)</f>
        <v>0.1954</v>
      </c>
      <c r="O415" s="320">
        <f>IFERROR(__xludf.DUMMYFUNCTION("""COMPUTED_VALUE"""),1.2672)</f>
        <v>1.2672</v>
      </c>
      <c r="P415" s="320">
        <f>IFERROR(__xludf.DUMMYFUNCTION("""COMPUTED_VALUE"""),1548.44)</f>
        <v>1548.44</v>
      </c>
      <c r="Q415" s="320">
        <f>IFERROR(__xludf.DUMMYFUNCTION("""COMPUTED_VALUE"""),1326.48)</f>
        <v>1326.48</v>
      </c>
      <c r="R415" s="320">
        <f>IFERROR(__xludf.DUMMYFUNCTION("""COMPUTED_VALUE"""),221.96)</f>
        <v>221.96</v>
      </c>
      <c r="S415" s="320">
        <f>IFERROR(__xludf.DUMMYFUNCTION("""COMPUTED_VALUE"""),910.65)</f>
        <v>910.65</v>
      </c>
      <c r="T415" s="320">
        <f>IFERROR(__xludf.DUMMYFUNCTION("""COMPUTED_VALUE"""),637.79)</f>
        <v>637.79</v>
      </c>
      <c r="U415" s="320">
        <f>IFERROR(__xludf.DUMMYFUNCTION("""COMPUTED_VALUE"""),1610.34)</f>
        <v>1610.34</v>
      </c>
      <c r="V415" s="320">
        <f>IFERROR(__xludf.DUMMYFUNCTION("""COMPUTED_VALUE"""),9.499)</f>
        <v>9.499</v>
      </c>
      <c r="W415" s="320">
        <f>IFERROR(__xludf.DUMMYFUNCTION("""COMPUTED_VALUE"""),58.81)</f>
        <v>58.81</v>
      </c>
      <c r="X415" s="320">
        <f>IFERROR(__xludf.DUMMYFUNCTION("""COMPUTED_VALUE"""),121.0)</f>
        <v>121</v>
      </c>
      <c r="Y415" s="320">
        <f>IFERROR(__xludf.DUMMYFUNCTION("""COMPUTED_VALUE"""),528.0)</f>
        <v>528</v>
      </c>
      <c r="Z415" s="320">
        <f>IFERROR(__xludf.DUMMYFUNCTION("""COMPUTED_VALUE"""),2335.0)</f>
        <v>2335</v>
      </c>
      <c r="AA415" s="320">
        <f>IFERROR(__xludf.DUMMYFUNCTION("""COMPUTED_VALUE"""),61.1722)</f>
        <v>61.1722</v>
      </c>
      <c r="AB415" s="320">
        <f>IFERROR(__xludf.DUMMYFUNCTION("""COMPUTED_VALUE"""),0.8123)</f>
        <v>0.8123</v>
      </c>
      <c r="AC415" s="320">
        <f>IFERROR(__xludf.DUMMYFUNCTION("""COMPUTED_VALUE"""),87.91)</f>
        <v>87.91</v>
      </c>
      <c r="AD415" s="320">
        <f>IFERROR(__xludf.DUMMYFUNCTION("""COMPUTED_VALUE"""),31.0)</f>
        <v>31</v>
      </c>
      <c r="AE415" s="320">
        <f>IFERROR(__xludf.DUMMYFUNCTION("""COMPUTED_VALUE"""),66.0)</f>
        <v>66</v>
      </c>
      <c r="AF415" s="320">
        <f>IFERROR(__xludf.DUMMYFUNCTION("""COMPUTED_VALUE"""),134.0)</f>
        <v>134</v>
      </c>
      <c r="AG415" s="320">
        <f>IFERROR(__xludf.DUMMYFUNCTION("""COMPUTED_VALUE"""),176.0)</f>
        <v>176</v>
      </c>
      <c r="AH415" s="320">
        <f>IFERROR(__xludf.DUMMYFUNCTION("""COMPUTED_VALUE"""),42.59)</f>
        <v>42.59</v>
      </c>
      <c r="AI415" s="320">
        <f>IFERROR(__xludf.DUMMYFUNCTION("""COMPUTED_VALUE"""),10.8)</f>
        <v>10.8</v>
      </c>
      <c r="AJ415" s="320">
        <f>IFERROR(__xludf.DUMMYFUNCTION("""COMPUTED_VALUE"""),1.85)</f>
        <v>1.85</v>
      </c>
      <c r="AK415" s="320">
        <f>IFERROR(__xludf.DUMMYFUNCTION("""COMPUTED_VALUE"""),0.0988)</f>
        <v>0.0988</v>
      </c>
      <c r="AL415" s="320">
        <f>IFERROR(__xludf.DUMMYFUNCTION("""COMPUTED_VALUE"""),21.71)</f>
        <v>21.71</v>
      </c>
      <c r="AM415" s="320">
        <f>IFERROR(__xludf.DUMMYFUNCTION("""COMPUTED_VALUE"""),1304.77)</f>
        <v>1304.77</v>
      </c>
      <c r="AN415" s="320">
        <f>IFERROR(__xludf.DUMMYFUNCTION("""COMPUTED_VALUE"""),75.44)</f>
        <v>75.44</v>
      </c>
      <c r="AO415" s="320">
        <f>IFERROR(__xludf.DUMMYFUNCTION("""COMPUTED_VALUE"""),16.38)</f>
        <v>16.38</v>
      </c>
    </row>
    <row r="416" ht="15.75" customHeight="1">
      <c r="A416" s="330">
        <f>IFERROR(__xludf.DUMMYFUNCTION("""COMPUTED_VALUE"""),46119.0)</f>
        <v>46119</v>
      </c>
      <c r="B416" s="319" t="str">
        <f>IFERROR(__xludf.DUMMYFUNCTION("""COMPUTED_VALUE"""),"A. 0")</f>
        <v>A. 0</v>
      </c>
      <c r="C416" s="320">
        <f>IFERROR(__xludf.DUMMYFUNCTION("""COMPUTED_VALUE"""),15732.0)</f>
        <v>15732</v>
      </c>
      <c r="D416" s="320">
        <f>IFERROR(__xludf.DUMMYFUNCTION("""COMPUTED_VALUE"""),20.69)</f>
        <v>20.69</v>
      </c>
      <c r="E416" s="320">
        <f>IFERROR(__xludf.DUMMYFUNCTION("""COMPUTED_VALUE"""),135.77)</f>
        <v>135.77</v>
      </c>
      <c r="F416" s="320">
        <f>IFERROR(__xludf.DUMMYFUNCTION("""COMPUTED_VALUE"""),0.0086)</f>
        <v>0.0086</v>
      </c>
      <c r="G416" s="320">
        <f>IFERROR(__xludf.DUMMYFUNCTION("""COMPUTED_VALUE"""),0.17)</f>
        <v>0.17</v>
      </c>
      <c r="H416" s="320">
        <f>IFERROR(__xludf.DUMMYFUNCTION("""COMPUTED_VALUE"""),5.2219)</f>
        <v>5.2219</v>
      </c>
      <c r="I416" s="320">
        <f>IFERROR(__xludf.DUMMYFUNCTION("""COMPUTED_VALUE"""),5.87)</f>
        <v>5.87</v>
      </c>
      <c r="J416" s="320">
        <f>IFERROR(__xludf.DUMMYFUNCTION("""COMPUTED_VALUE"""),2.59)</f>
        <v>2.59</v>
      </c>
      <c r="K416" s="320">
        <f>IFERROR(__xludf.DUMMYFUNCTION("""COMPUTED_VALUE"""),0.04)</f>
        <v>0.04</v>
      </c>
      <c r="L416" s="320">
        <f>IFERROR(__xludf.DUMMYFUNCTION("""COMPUTED_VALUE"""),0.0158)</f>
        <v>0.0158</v>
      </c>
      <c r="M416" s="320">
        <f>IFERROR(__xludf.DUMMYFUNCTION("""COMPUTED_VALUE"""),0.9859)</f>
        <v>0.9859</v>
      </c>
      <c r="N416" s="320">
        <f>IFERROR(__xludf.DUMMYFUNCTION("""COMPUTED_VALUE"""),0.8244)</f>
        <v>0.8244</v>
      </c>
      <c r="O416" s="320">
        <f>IFERROR(__xludf.DUMMYFUNCTION("""COMPUTED_VALUE"""),63.1612)</f>
        <v>63.1612</v>
      </c>
      <c r="P416" s="320">
        <f>IFERROR(__xludf.DUMMYFUNCTION("""COMPUTED_VALUE"""),27.2)</f>
        <v>27.2</v>
      </c>
      <c r="Q416" s="320">
        <f>IFERROR(__xludf.DUMMYFUNCTION("""COMPUTED_VALUE"""),27.15)</f>
        <v>27.15</v>
      </c>
      <c r="R416" s="320">
        <f>IFERROR(__xludf.DUMMYFUNCTION("""COMPUTED_VALUE"""),0.06)</f>
        <v>0.06</v>
      </c>
      <c r="S416" s="320">
        <f>IFERROR(__xludf.DUMMYFUNCTION("""COMPUTED_VALUE"""),0.72)</f>
        <v>0.72</v>
      </c>
      <c r="T416" s="320">
        <f>IFERROR(__xludf.DUMMYFUNCTION("""COMPUTED_VALUE"""),26.48)</f>
        <v>26.48</v>
      </c>
      <c r="U416" s="320">
        <f>IFERROR(__xludf.DUMMYFUNCTION("""COMPUTED_VALUE"""),2.43)</f>
        <v>2.43</v>
      </c>
      <c r="V416" s="320">
        <f>IFERROR(__xludf.DUMMYFUNCTION("""COMPUTED_VALUE"""),0.9377)</f>
        <v>0.9377</v>
      </c>
      <c r="W416" s="320">
        <f>IFERROR(__xludf.DUMMYFUNCTION("""COMPUTED_VALUE"""),2.66)</f>
        <v>2.66</v>
      </c>
      <c r="X416" s="320">
        <f>IFERROR(__xludf.DUMMYFUNCTION("""COMPUTED_VALUE"""),166.0)</f>
        <v>166</v>
      </c>
      <c r="Y416" s="320">
        <f>IFERROR(__xludf.DUMMYFUNCTION("""COMPUTED_VALUE"""),1218.0)</f>
        <v>1218</v>
      </c>
      <c r="Z416" s="320">
        <f>IFERROR(__xludf.DUMMYFUNCTION("""COMPUTED_VALUE"""),7565.0)</f>
        <v>7565</v>
      </c>
      <c r="AA416" s="320">
        <f>IFERROR(__xludf.DUMMYFUNCTION("""COMPUTED_VALUE"""),49.7706)</f>
        <v>49.7706</v>
      </c>
      <c r="AB416" s="320">
        <f>IFERROR(__xludf.DUMMYFUNCTION("""COMPUTED_VALUE"""),0.5143)</f>
        <v>0.5143</v>
      </c>
      <c r="AC416" s="106"/>
      <c r="AD416" s="106"/>
      <c r="AE416" s="106"/>
      <c r="AF416" s="106"/>
      <c r="AG416" s="106"/>
      <c r="AH416" s="320">
        <f>IFERROR(__xludf.DUMMYFUNCTION("""COMPUTED_VALUE"""),0.0)</f>
        <v>0</v>
      </c>
      <c r="AI416" s="320">
        <f>IFERROR(__xludf.DUMMYFUNCTION("""COMPUTED_VALUE"""),0.0)</f>
        <v>0</v>
      </c>
      <c r="AJ416" s="320">
        <f>IFERROR(__xludf.DUMMYFUNCTION("""COMPUTED_VALUE"""),0.0)</f>
        <v>0</v>
      </c>
      <c r="AK416" s="320">
        <f>IFERROR(__xludf.DUMMYFUNCTION("""COMPUTED_VALUE"""),0.26)</f>
        <v>0.26</v>
      </c>
      <c r="AL416" s="320">
        <f>IFERROR(__xludf.DUMMYFUNCTION("""COMPUTED_VALUE"""),15.21)</f>
        <v>15.21</v>
      </c>
      <c r="AM416" s="320">
        <f>IFERROR(__xludf.DUMMYFUNCTION("""COMPUTED_VALUE"""),11.94)</f>
        <v>11.94</v>
      </c>
      <c r="AN416" s="331"/>
      <c r="AO416" s="331"/>
    </row>
    <row r="417" ht="15.75" customHeight="1">
      <c r="A417" s="330">
        <f>IFERROR(__xludf.DUMMYFUNCTION("""COMPUTED_VALUE"""),46119.0)</f>
        <v>46119</v>
      </c>
      <c r="B417" s="319" t="str">
        <f>IFERROR(__xludf.DUMMYFUNCTION("""COMPUTED_VALUE"""),"B. 1-9")</f>
        <v>B. 1-9</v>
      </c>
      <c r="C417" s="320">
        <f>IFERROR(__xludf.DUMMYFUNCTION("""COMPUTED_VALUE"""),32227.0)</f>
        <v>32227</v>
      </c>
      <c r="D417" s="320">
        <f>IFERROR(__xludf.DUMMYFUNCTION("""COMPUTED_VALUE"""),42.38)</f>
        <v>42.38</v>
      </c>
      <c r="E417" s="320">
        <f>IFERROR(__xludf.DUMMYFUNCTION("""COMPUTED_VALUE"""),6423.59)</f>
        <v>6423.59</v>
      </c>
      <c r="F417" s="320">
        <f>IFERROR(__xludf.DUMMYFUNCTION("""COMPUTED_VALUE"""),0.1993)</f>
        <v>0.1993</v>
      </c>
      <c r="G417" s="320">
        <f>IFERROR(__xludf.DUMMYFUNCTION("""COMPUTED_VALUE"""),6.09)</f>
        <v>6.09</v>
      </c>
      <c r="H417" s="320">
        <f>IFERROR(__xludf.DUMMYFUNCTION("""COMPUTED_VALUE"""),3.274)</f>
        <v>3.274</v>
      </c>
      <c r="I417" s="320">
        <f>IFERROR(__xludf.DUMMYFUNCTION("""COMPUTED_VALUE"""),29.26)</f>
        <v>29.26</v>
      </c>
      <c r="J417" s="320">
        <f>IFERROR(__xludf.DUMMYFUNCTION("""COMPUTED_VALUE"""),15.53)</f>
        <v>15.53</v>
      </c>
      <c r="K417" s="320">
        <f>IFERROR(__xludf.DUMMYFUNCTION("""COMPUTED_VALUE"""),5.05)</f>
        <v>5.05</v>
      </c>
      <c r="L417" s="320">
        <f>IFERROR(__xludf.DUMMYFUNCTION("""COMPUTED_VALUE"""),0.325)</f>
        <v>0.325</v>
      </c>
      <c r="M417" s="320">
        <f>IFERROR(__xludf.DUMMYFUNCTION("""COMPUTED_VALUE"""),0.7511)</f>
        <v>0.7511</v>
      </c>
      <c r="N417" s="320">
        <f>IFERROR(__xludf.DUMMYFUNCTION("""COMPUTED_VALUE"""),0.5224)</f>
        <v>0.5224</v>
      </c>
      <c r="O417" s="320">
        <f>IFERROR(__xludf.DUMMYFUNCTION("""COMPUTED_VALUE"""),3.0766)</f>
        <v>3.0766</v>
      </c>
      <c r="P417" s="320">
        <f>IFERROR(__xludf.DUMMYFUNCTION("""COMPUTED_VALUE"""),66.64)</f>
        <v>66.64</v>
      </c>
      <c r="Q417" s="320">
        <f>IFERROR(__xludf.DUMMYFUNCTION("""COMPUTED_VALUE"""),58.38)</f>
        <v>58.38</v>
      </c>
      <c r="R417" s="320">
        <f>IFERROR(__xludf.DUMMYFUNCTION("""COMPUTED_VALUE"""),8.26)</f>
        <v>8.26</v>
      </c>
      <c r="S417" s="320">
        <f>IFERROR(__xludf.DUMMYFUNCTION("""COMPUTED_VALUE"""),13.74)</f>
        <v>13.74</v>
      </c>
      <c r="T417" s="320">
        <f>IFERROR(__xludf.DUMMYFUNCTION("""COMPUTED_VALUE"""),52.89)</f>
        <v>52.89</v>
      </c>
      <c r="U417" s="320">
        <f>IFERROR(__xludf.DUMMYFUNCTION("""COMPUTED_VALUE"""),74.13)</f>
        <v>74.13</v>
      </c>
      <c r="V417" s="320">
        <f>IFERROR(__xludf.DUMMYFUNCTION("""COMPUTED_VALUE"""),4.7743)</f>
        <v>4.7743</v>
      </c>
      <c r="W417" s="320">
        <f>IFERROR(__xludf.DUMMYFUNCTION("""COMPUTED_VALUE"""),20.63)</f>
        <v>20.63</v>
      </c>
      <c r="X417" s="320">
        <f>IFERROR(__xludf.DUMMYFUNCTION("""COMPUTED_VALUE"""),87.0)</f>
        <v>87</v>
      </c>
      <c r="Y417" s="320">
        <f>IFERROR(__xludf.DUMMYFUNCTION("""COMPUTED_VALUE"""),207.0)</f>
        <v>207</v>
      </c>
      <c r="Z417" s="320">
        <f>IFERROR(__xludf.DUMMYFUNCTION("""COMPUTED_VALUE"""),860.0)</f>
        <v>860</v>
      </c>
      <c r="AA417" s="320">
        <f>IFERROR(__xludf.DUMMYFUNCTION("""COMPUTED_VALUE"""),49.7927)</f>
        <v>49.7927</v>
      </c>
      <c r="AB417" s="320">
        <f>IFERROR(__xludf.DUMMYFUNCTION("""COMPUTED_VALUE"""),0.4488)</f>
        <v>0.4488</v>
      </c>
      <c r="AC417" s="320">
        <f>IFERROR(__xludf.DUMMYFUNCTION("""COMPUTED_VALUE"""),3.47)</f>
        <v>3.47</v>
      </c>
      <c r="AD417" s="320">
        <f>IFERROR(__xludf.DUMMYFUNCTION("""COMPUTED_VALUE"""),1.0)</f>
        <v>1</v>
      </c>
      <c r="AE417" s="320">
        <f>IFERROR(__xludf.DUMMYFUNCTION("""COMPUTED_VALUE"""),2.0)</f>
        <v>2</v>
      </c>
      <c r="AF417" s="320">
        <f>IFERROR(__xludf.DUMMYFUNCTION("""COMPUTED_VALUE"""),4.0)</f>
        <v>4</v>
      </c>
      <c r="AG417" s="320">
        <f>IFERROR(__xludf.DUMMYFUNCTION("""COMPUTED_VALUE"""),8.0)</f>
        <v>8</v>
      </c>
      <c r="AH417" s="320">
        <f>IFERROR(__xludf.DUMMYFUNCTION("""COMPUTED_VALUE"""),65.91)</f>
        <v>65.91</v>
      </c>
      <c r="AI417" s="320">
        <f>IFERROR(__xludf.DUMMYFUNCTION("""COMPUTED_VALUE"""),24.42)</f>
        <v>24.42</v>
      </c>
      <c r="AJ417" s="320">
        <f>IFERROR(__xludf.DUMMYFUNCTION("""COMPUTED_VALUE"""),6.84)</f>
        <v>6.84</v>
      </c>
      <c r="AK417" s="320">
        <f>IFERROR(__xludf.DUMMYFUNCTION("""COMPUTED_VALUE"""),0.2143)</f>
        <v>0.2143</v>
      </c>
      <c r="AL417" s="320">
        <f>IFERROR(__xludf.DUMMYFUNCTION("""COMPUTED_VALUE"""),18.03)</f>
        <v>18.03</v>
      </c>
      <c r="AM417" s="320">
        <f>IFERROR(__xludf.DUMMYFUNCTION("""COMPUTED_VALUE"""),40.35)</f>
        <v>40.35</v>
      </c>
      <c r="AN417" s="320">
        <f>IFERROR(__xludf.DUMMYFUNCTION("""COMPUTED_VALUE"""),67.79)</f>
        <v>67.79</v>
      </c>
      <c r="AO417" s="320">
        <f>IFERROR(__xludf.DUMMYFUNCTION("""COMPUTED_VALUE"""),12.22)</f>
        <v>12.22</v>
      </c>
    </row>
    <row r="418" ht="15.75" customHeight="1">
      <c r="A418" s="330">
        <f>IFERROR(__xludf.DUMMYFUNCTION("""COMPUTED_VALUE"""),46119.0)</f>
        <v>46119</v>
      </c>
      <c r="B418" s="319" t="str">
        <f>IFERROR(__xludf.DUMMYFUNCTION("""COMPUTED_VALUE"""),"C. 10-19")</f>
        <v>C. 10-19</v>
      </c>
      <c r="C418" s="320">
        <f>IFERROR(__xludf.DUMMYFUNCTION("""COMPUTED_VALUE"""),16395.0)</f>
        <v>16395</v>
      </c>
      <c r="D418" s="320">
        <f>IFERROR(__xludf.DUMMYFUNCTION("""COMPUTED_VALUE"""),21.56)</f>
        <v>21.56</v>
      </c>
      <c r="E418" s="320">
        <f>IFERROR(__xludf.DUMMYFUNCTION("""COMPUTED_VALUE"""),16316.13)</f>
        <v>16316.13</v>
      </c>
      <c r="F418" s="320">
        <f>IFERROR(__xludf.DUMMYFUNCTION("""COMPUTED_VALUE"""),0.9952)</f>
        <v>0.9952</v>
      </c>
      <c r="G418" s="320">
        <f>IFERROR(__xludf.DUMMYFUNCTION("""COMPUTED_VALUE"""),20.73)</f>
        <v>20.73</v>
      </c>
      <c r="H418" s="320">
        <f>IFERROR(__xludf.DUMMYFUNCTION("""COMPUTED_VALUE"""),4.8003)</f>
        <v>4.8003</v>
      </c>
      <c r="I418" s="320">
        <f>IFERROR(__xludf.DUMMYFUNCTION("""COMPUTED_VALUE"""),54.65)</f>
        <v>54.65</v>
      </c>
      <c r="J418" s="320">
        <f>IFERROR(__xludf.DUMMYFUNCTION("""COMPUTED_VALUE"""),30.95)</f>
        <v>30.95</v>
      </c>
      <c r="K418" s="320">
        <f>IFERROR(__xludf.DUMMYFUNCTION("""COMPUTED_VALUE"""),13.28)</f>
        <v>13.28</v>
      </c>
      <c r="L418" s="320">
        <f>IFERROR(__xludf.DUMMYFUNCTION("""COMPUTED_VALUE"""),0.429)</f>
        <v>0.429</v>
      </c>
      <c r="M418" s="320">
        <f>IFERROR(__xludf.DUMMYFUNCTION("""COMPUTED_VALUE"""),0.6386)</f>
        <v>0.6386</v>
      </c>
      <c r="N418" s="320">
        <f>IFERROR(__xludf.DUMMYFUNCTION("""COMPUTED_VALUE"""),0.3777)</f>
        <v>0.3777</v>
      </c>
      <c r="O418" s="320">
        <f>IFERROR(__xludf.DUMMYFUNCTION("""COMPUTED_VALUE"""),2.3308)</f>
        <v>2.3308</v>
      </c>
      <c r="P418" s="320">
        <f>IFERROR(__xludf.DUMMYFUNCTION("""COMPUTED_VALUE"""),161.92)</f>
        <v>161.92</v>
      </c>
      <c r="Q418" s="320">
        <f>IFERROR(__xludf.DUMMYFUNCTION("""COMPUTED_VALUE"""),140.78)</f>
        <v>140.78</v>
      </c>
      <c r="R418" s="320">
        <f>IFERROR(__xludf.DUMMYFUNCTION("""COMPUTED_VALUE"""),21.14)</f>
        <v>21.14</v>
      </c>
      <c r="S418" s="320">
        <f>IFERROR(__xludf.DUMMYFUNCTION("""COMPUTED_VALUE"""),66.27)</f>
        <v>66.27</v>
      </c>
      <c r="T418" s="320">
        <f>IFERROR(__xludf.DUMMYFUNCTION("""COMPUTED_VALUE"""),95.65)</f>
        <v>95.65</v>
      </c>
      <c r="U418" s="320">
        <f>IFERROR(__xludf.DUMMYFUNCTION("""COMPUTED_VALUE"""),174.57)</f>
        <v>174.57</v>
      </c>
      <c r="V418" s="320">
        <f>IFERROR(__xludf.DUMMYFUNCTION("""COMPUTED_VALUE"""),5.6404)</f>
        <v>5.6404</v>
      </c>
      <c r="W418" s="320">
        <f>IFERROR(__xludf.DUMMYFUNCTION("""COMPUTED_VALUE"""),40.93)</f>
        <v>40.93</v>
      </c>
      <c r="X418" s="320">
        <f>IFERROR(__xludf.DUMMYFUNCTION("""COMPUTED_VALUE"""),82.0)</f>
        <v>82</v>
      </c>
      <c r="Y418" s="320">
        <f>IFERROR(__xludf.DUMMYFUNCTION("""COMPUTED_VALUE"""),186.0)</f>
        <v>186</v>
      </c>
      <c r="Z418" s="320">
        <f>IFERROR(__xludf.DUMMYFUNCTION("""COMPUTED_VALUE"""),611.0)</f>
        <v>611</v>
      </c>
      <c r="AA418" s="320">
        <f>IFERROR(__xludf.DUMMYFUNCTION("""COMPUTED_VALUE"""),52.3971)</f>
        <v>52.3971</v>
      </c>
      <c r="AB418" s="320">
        <f>IFERROR(__xludf.DUMMYFUNCTION("""COMPUTED_VALUE"""),0.5152)</f>
        <v>0.5152</v>
      </c>
      <c r="AC418" s="320">
        <f>IFERROR(__xludf.DUMMYFUNCTION("""COMPUTED_VALUE"""),8.43)</f>
        <v>8.43</v>
      </c>
      <c r="AD418" s="320">
        <f>IFERROR(__xludf.DUMMYFUNCTION("""COMPUTED_VALUE"""),3.0)</f>
        <v>3</v>
      </c>
      <c r="AE418" s="320">
        <f>IFERROR(__xludf.DUMMYFUNCTION("""COMPUTED_VALUE"""),6.0)</f>
        <v>6</v>
      </c>
      <c r="AF418" s="320">
        <f>IFERROR(__xludf.DUMMYFUNCTION("""COMPUTED_VALUE"""),12.0)</f>
        <v>12</v>
      </c>
      <c r="AG418" s="320">
        <f>IFERROR(__xludf.DUMMYFUNCTION("""COMPUTED_VALUE"""),19.0)</f>
        <v>19</v>
      </c>
      <c r="AH418" s="320">
        <f>IFERROR(__xludf.DUMMYFUNCTION("""COMPUTED_VALUE"""),52.67)</f>
        <v>52.67</v>
      </c>
      <c r="AI418" s="320">
        <f>IFERROR(__xludf.DUMMYFUNCTION("""COMPUTED_VALUE"""),22.79)</f>
        <v>22.79</v>
      </c>
      <c r="AJ418" s="320">
        <f>IFERROR(__xludf.DUMMYFUNCTION("""COMPUTED_VALUE"""),3.88)</f>
        <v>3.88</v>
      </c>
      <c r="AK418" s="320">
        <f>IFERROR(__xludf.DUMMYFUNCTION("""COMPUTED_VALUE"""),0.1864)</f>
        <v>0.1864</v>
      </c>
      <c r="AL418" s="320">
        <f>IFERROR(__xludf.DUMMYFUNCTION("""COMPUTED_VALUE"""),18.76)</f>
        <v>18.76</v>
      </c>
      <c r="AM418" s="320">
        <f>IFERROR(__xludf.DUMMYFUNCTION("""COMPUTED_VALUE"""),122.02)</f>
        <v>122.02</v>
      </c>
      <c r="AN418" s="320">
        <f>IFERROR(__xludf.DUMMYFUNCTION("""COMPUTED_VALUE"""),70.93)</f>
        <v>70.93</v>
      </c>
      <c r="AO418" s="320">
        <f>IFERROR(__xludf.DUMMYFUNCTION("""COMPUTED_VALUE"""),13.31)</f>
        <v>13.31</v>
      </c>
    </row>
    <row r="419" ht="15.75" customHeight="1">
      <c r="A419" s="330">
        <f>IFERROR(__xludf.DUMMYFUNCTION("""COMPUTED_VALUE"""),46119.0)</f>
        <v>46119</v>
      </c>
      <c r="B419" s="319" t="str">
        <f>IFERROR(__xludf.DUMMYFUNCTION("""COMPUTED_VALUE"""),"D. 20-39")</f>
        <v>D. 20-39</v>
      </c>
      <c r="C419" s="320">
        <f>IFERROR(__xludf.DUMMYFUNCTION("""COMPUTED_VALUE"""),8279.0)</f>
        <v>8279</v>
      </c>
      <c r="D419" s="320">
        <f>IFERROR(__xludf.DUMMYFUNCTION("""COMPUTED_VALUE"""),10.89)</f>
        <v>10.89</v>
      </c>
      <c r="E419" s="320">
        <f>IFERROR(__xludf.DUMMYFUNCTION("""COMPUTED_VALUE"""),22177.45)</f>
        <v>22177.45</v>
      </c>
      <c r="F419" s="320">
        <f>IFERROR(__xludf.DUMMYFUNCTION("""COMPUTED_VALUE"""),2.6788)</f>
        <v>2.6788</v>
      </c>
      <c r="G419" s="320">
        <f>IFERROR(__xludf.DUMMYFUNCTION("""COMPUTED_VALUE"""),33.86)</f>
        <v>33.86</v>
      </c>
      <c r="H419" s="320">
        <f>IFERROR(__xludf.DUMMYFUNCTION("""COMPUTED_VALUE"""),7.912)</f>
        <v>7.912</v>
      </c>
      <c r="I419" s="320">
        <f>IFERROR(__xludf.DUMMYFUNCTION("""COMPUTED_VALUE"""),84.97)</f>
        <v>84.97</v>
      </c>
      <c r="J419" s="320">
        <f>IFERROR(__xludf.DUMMYFUNCTION("""COMPUTED_VALUE"""),50.54)</f>
        <v>50.54</v>
      </c>
      <c r="K419" s="320">
        <f>IFERROR(__xludf.DUMMYFUNCTION("""COMPUTED_VALUE"""),26.63)</f>
        <v>26.63</v>
      </c>
      <c r="L419" s="320">
        <f>IFERROR(__xludf.DUMMYFUNCTION("""COMPUTED_VALUE"""),0.5268)</f>
        <v>0.5268</v>
      </c>
      <c r="M419" s="320">
        <f>IFERROR(__xludf.DUMMYFUNCTION("""COMPUTED_VALUE"""),0.5473)</f>
        <v>0.5473</v>
      </c>
      <c r="N419" s="320">
        <f>IFERROR(__xludf.DUMMYFUNCTION("""COMPUTED_VALUE"""),0.3047)</f>
        <v>0.3047</v>
      </c>
      <c r="O419" s="320">
        <f>IFERROR(__xludf.DUMMYFUNCTION("""COMPUTED_VALUE"""),1.8982)</f>
        <v>1.8982</v>
      </c>
      <c r="P419" s="320">
        <f>IFERROR(__xludf.DUMMYFUNCTION("""COMPUTED_VALUE"""),345.55)</f>
        <v>345.55</v>
      </c>
      <c r="Q419" s="320">
        <f>IFERROR(__xludf.DUMMYFUNCTION("""COMPUTED_VALUE"""),304.93)</f>
        <v>304.93</v>
      </c>
      <c r="R419" s="320">
        <f>IFERROR(__xludf.DUMMYFUNCTION("""COMPUTED_VALUE"""),40.63)</f>
        <v>40.63</v>
      </c>
      <c r="S419" s="320">
        <f>IFERROR(__xludf.DUMMYFUNCTION("""COMPUTED_VALUE"""),179.33)</f>
        <v>179.33</v>
      </c>
      <c r="T419" s="320">
        <f>IFERROR(__xludf.DUMMYFUNCTION("""COMPUTED_VALUE"""),166.22)</f>
        <v>166.22</v>
      </c>
      <c r="U419" s="320">
        <f>IFERROR(__xludf.DUMMYFUNCTION("""COMPUTED_VALUE"""),356.99)</f>
        <v>356.99</v>
      </c>
      <c r="V419" s="320">
        <f>IFERROR(__xludf.DUMMYFUNCTION("""COMPUTED_VALUE"""),7.0635)</f>
        <v>7.0635</v>
      </c>
      <c r="W419" s="320">
        <f>IFERROR(__xludf.DUMMYFUNCTION("""COMPUTED_VALUE"""),51.9)</f>
        <v>51.9</v>
      </c>
      <c r="X419" s="320">
        <f>IFERROR(__xludf.DUMMYFUNCTION("""COMPUTED_VALUE"""),87.0)</f>
        <v>87</v>
      </c>
      <c r="Y419" s="320">
        <f>IFERROR(__xludf.DUMMYFUNCTION("""COMPUTED_VALUE"""),208.0)</f>
        <v>208</v>
      </c>
      <c r="Z419" s="320">
        <f>IFERROR(__xludf.DUMMYFUNCTION("""COMPUTED_VALUE"""),683.0)</f>
        <v>683</v>
      </c>
      <c r="AA419" s="320">
        <f>IFERROR(__xludf.DUMMYFUNCTION("""COMPUTED_VALUE"""),54.0827)</f>
        <v>54.0827</v>
      </c>
      <c r="AB419" s="320">
        <f>IFERROR(__xludf.DUMMYFUNCTION("""COMPUTED_VALUE"""),0.5879)</f>
        <v>0.5879</v>
      </c>
      <c r="AC419" s="320">
        <f>IFERROR(__xludf.DUMMYFUNCTION("""COMPUTED_VALUE"""),15.21)</f>
        <v>15.21</v>
      </c>
      <c r="AD419" s="320">
        <f>IFERROR(__xludf.DUMMYFUNCTION("""COMPUTED_VALUE"""),5.0)</f>
        <v>5</v>
      </c>
      <c r="AE419" s="320">
        <f>IFERROR(__xludf.DUMMYFUNCTION("""COMPUTED_VALUE"""),11.0)</f>
        <v>11</v>
      </c>
      <c r="AF419" s="320">
        <f>IFERROR(__xludf.DUMMYFUNCTION("""COMPUTED_VALUE"""),21.0)</f>
        <v>21</v>
      </c>
      <c r="AG419" s="320">
        <f>IFERROR(__xludf.DUMMYFUNCTION("""COMPUTED_VALUE"""),33.0)</f>
        <v>33</v>
      </c>
      <c r="AH419" s="320">
        <f>IFERROR(__xludf.DUMMYFUNCTION("""COMPUTED_VALUE"""),50.6)</f>
        <v>50.6</v>
      </c>
      <c r="AI419" s="320">
        <f>IFERROR(__xludf.DUMMYFUNCTION("""COMPUTED_VALUE"""),17.8)</f>
        <v>17.8</v>
      </c>
      <c r="AJ419" s="320">
        <f>IFERROR(__xludf.DUMMYFUNCTION("""COMPUTED_VALUE"""),5.13)</f>
        <v>5.13</v>
      </c>
      <c r="AK419" s="320">
        <f>IFERROR(__xludf.DUMMYFUNCTION("""COMPUTED_VALUE"""),0.1649)</f>
        <v>0.1649</v>
      </c>
      <c r="AL419" s="320">
        <f>IFERROR(__xludf.DUMMYFUNCTION("""COMPUTED_VALUE"""),19.31)</f>
        <v>19.31</v>
      </c>
      <c r="AM419" s="320">
        <f>IFERROR(__xludf.DUMMYFUNCTION("""COMPUTED_VALUE"""),285.62)</f>
        <v>285.62</v>
      </c>
      <c r="AN419" s="320">
        <f>IFERROR(__xludf.DUMMYFUNCTION("""COMPUTED_VALUE"""),72.25)</f>
        <v>72.25</v>
      </c>
      <c r="AO419" s="320">
        <f>IFERROR(__xludf.DUMMYFUNCTION("""COMPUTED_VALUE"""),13.95)</f>
        <v>13.95</v>
      </c>
    </row>
    <row r="420" ht="15.75" customHeight="1">
      <c r="A420" s="330">
        <f>IFERROR(__xludf.DUMMYFUNCTION("""COMPUTED_VALUE"""),46119.0)</f>
        <v>46119</v>
      </c>
      <c r="B420" s="319" t="str">
        <f>IFERROR(__xludf.DUMMYFUNCTION("""COMPUTED_VALUE"""),"E. 40-99")</f>
        <v>E. 40-99</v>
      </c>
      <c r="C420" s="320">
        <f>IFERROR(__xludf.DUMMYFUNCTION("""COMPUTED_VALUE"""),3130.0)</f>
        <v>3130</v>
      </c>
      <c r="D420" s="320">
        <f>IFERROR(__xludf.DUMMYFUNCTION("""COMPUTED_VALUE"""),4.12)</f>
        <v>4.12</v>
      </c>
      <c r="E420" s="320">
        <f>IFERROR(__xludf.DUMMYFUNCTION("""COMPUTED_VALUE"""),18788.87)</f>
        <v>18788.87</v>
      </c>
      <c r="F420" s="320">
        <f>IFERROR(__xludf.DUMMYFUNCTION("""COMPUTED_VALUE"""),6.0028)</f>
        <v>6.0028</v>
      </c>
      <c r="G420" s="320">
        <f>IFERROR(__xludf.DUMMYFUNCTION("""COMPUTED_VALUE"""),45.69)</f>
        <v>45.69</v>
      </c>
      <c r="H420" s="320">
        <f>IFERROR(__xludf.DUMMYFUNCTION("""COMPUTED_VALUE"""),13.1391)</f>
        <v>13.1391</v>
      </c>
      <c r="I420" s="320">
        <f>IFERROR(__xludf.DUMMYFUNCTION("""COMPUTED_VALUE"""),128.61)</f>
        <v>128.61</v>
      </c>
      <c r="J420" s="320">
        <f>IFERROR(__xludf.DUMMYFUNCTION("""COMPUTED_VALUE"""),80.14)</f>
        <v>80.14</v>
      </c>
      <c r="K420" s="320">
        <f>IFERROR(__xludf.DUMMYFUNCTION("""COMPUTED_VALUE"""),51.82)</f>
        <v>51.82</v>
      </c>
      <c r="L420" s="320">
        <f>IFERROR(__xludf.DUMMYFUNCTION("""COMPUTED_VALUE"""),0.6467)</f>
        <v>0.6467</v>
      </c>
      <c r="M420" s="320">
        <f>IFERROR(__xludf.DUMMYFUNCTION("""COMPUTED_VALUE"""),0.4417)</f>
        <v>0.4417</v>
      </c>
      <c r="N420" s="320">
        <f>IFERROR(__xludf.DUMMYFUNCTION("""COMPUTED_VALUE"""),0.2519)</f>
        <v>0.2519</v>
      </c>
      <c r="O420" s="320">
        <f>IFERROR(__xludf.DUMMYFUNCTION("""COMPUTED_VALUE"""),1.5463)</f>
        <v>1.5463</v>
      </c>
      <c r="P420" s="320">
        <f>IFERROR(__xludf.DUMMYFUNCTION("""COMPUTED_VALUE"""),673.96)</f>
        <v>673.96</v>
      </c>
      <c r="Q420" s="320">
        <f>IFERROR(__xludf.DUMMYFUNCTION("""COMPUTED_VALUE"""),587.76)</f>
        <v>587.76</v>
      </c>
      <c r="R420" s="320">
        <f>IFERROR(__xludf.DUMMYFUNCTION("""COMPUTED_VALUE"""),86.2)</f>
        <v>86.2</v>
      </c>
      <c r="S420" s="320">
        <f>IFERROR(__xludf.DUMMYFUNCTION("""COMPUTED_VALUE"""),381.12)</f>
        <v>381.12</v>
      </c>
      <c r="T420" s="320">
        <f>IFERROR(__xludf.DUMMYFUNCTION("""COMPUTED_VALUE"""),292.84)</f>
        <v>292.84</v>
      </c>
      <c r="U420" s="320">
        <f>IFERROR(__xludf.DUMMYFUNCTION("""COMPUTED_VALUE"""),699.81)</f>
        <v>699.81</v>
      </c>
      <c r="V420" s="320">
        <f>IFERROR(__xludf.DUMMYFUNCTION("""COMPUTED_VALUE"""),8.7324)</f>
        <v>8.7324</v>
      </c>
      <c r="W420" s="320">
        <f>IFERROR(__xludf.DUMMYFUNCTION("""COMPUTED_VALUE"""),56.55)</f>
        <v>56.55</v>
      </c>
      <c r="X420" s="320">
        <f>IFERROR(__xludf.DUMMYFUNCTION("""COMPUTED_VALUE"""),90.0)</f>
        <v>90</v>
      </c>
      <c r="Y420" s="320">
        <f>IFERROR(__xludf.DUMMYFUNCTION("""COMPUTED_VALUE"""),266.0)</f>
        <v>266</v>
      </c>
      <c r="Z420" s="320">
        <f>IFERROR(__xludf.DUMMYFUNCTION("""COMPUTED_VALUE"""),835.0)</f>
        <v>835</v>
      </c>
      <c r="AA420" s="320">
        <f>IFERROR(__xludf.DUMMYFUNCTION("""COMPUTED_VALUE"""),57.0052)</f>
        <v>57.0052</v>
      </c>
      <c r="AB420" s="320">
        <f>IFERROR(__xludf.DUMMYFUNCTION("""COMPUTED_VALUE"""),0.7195)</f>
        <v>0.7195</v>
      </c>
      <c r="AC420" s="320">
        <f>IFERROR(__xludf.DUMMYFUNCTION("""COMPUTED_VALUE"""),33.14)</f>
        <v>33.14</v>
      </c>
      <c r="AD420" s="320">
        <f>IFERROR(__xludf.DUMMYFUNCTION("""COMPUTED_VALUE"""),10.0)</f>
        <v>10</v>
      </c>
      <c r="AE420" s="320">
        <f>IFERROR(__xludf.DUMMYFUNCTION("""COMPUTED_VALUE"""),23.0)</f>
        <v>23</v>
      </c>
      <c r="AF420" s="320">
        <f>IFERROR(__xludf.DUMMYFUNCTION("""COMPUTED_VALUE"""),46.0)</f>
        <v>46</v>
      </c>
      <c r="AG420" s="320">
        <f>IFERROR(__xludf.DUMMYFUNCTION("""COMPUTED_VALUE"""),74.0)</f>
        <v>74</v>
      </c>
      <c r="AH420" s="320">
        <f>IFERROR(__xludf.DUMMYFUNCTION("""COMPUTED_VALUE"""),44.38)</f>
        <v>44.38</v>
      </c>
      <c r="AI420" s="320">
        <f>IFERROR(__xludf.DUMMYFUNCTION("""COMPUTED_VALUE"""),16.17)</f>
        <v>16.17</v>
      </c>
      <c r="AJ420" s="320">
        <f>IFERROR(__xludf.DUMMYFUNCTION("""COMPUTED_VALUE"""),4.35)</f>
        <v>4.35</v>
      </c>
      <c r="AK420" s="320">
        <f>IFERROR(__xludf.DUMMYFUNCTION("""COMPUTED_VALUE"""),0.1425)</f>
        <v>0.1425</v>
      </c>
      <c r="AL420" s="320">
        <f>IFERROR(__xludf.DUMMYFUNCTION("""COMPUTED_VALUE"""),20.07)</f>
        <v>20.07</v>
      </c>
      <c r="AM420" s="320">
        <f>IFERROR(__xludf.DUMMYFUNCTION("""COMPUTED_VALUE"""),567.69)</f>
        <v>567.69</v>
      </c>
      <c r="AN420" s="320">
        <f>IFERROR(__xludf.DUMMYFUNCTION("""COMPUTED_VALUE"""),78.19)</f>
        <v>78.19</v>
      </c>
      <c r="AO420" s="320">
        <f>IFERROR(__xludf.DUMMYFUNCTION("""COMPUTED_VALUE"""),15.69)</f>
        <v>15.69</v>
      </c>
    </row>
    <row r="421" ht="15.75" customHeight="1">
      <c r="A421" s="330">
        <f>IFERROR(__xludf.DUMMYFUNCTION("""COMPUTED_VALUE"""),46119.0)</f>
        <v>46119</v>
      </c>
      <c r="B421" s="319" t="str">
        <f>IFERROR(__xludf.DUMMYFUNCTION("""COMPUTED_VALUE"""),"F. 100+")</f>
        <v>F. 100+</v>
      </c>
      <c r="C421" s="320">
        <f>IFERROR(__xludf.DUMMYFUNCTION("""COMPUTED_VALUE"""),288.0)</f>
        <v>288</v>
      </c>
      <c r="D421" s="320">
        <f>IFERROR(__xludf.DUMMYFUNCTION("""COMPUTED_VALUE"""),0.38)</f>
        <v>0.38</v>
      </c>
      <c r="E421" s="320">
        <f>IFERROR(__xludf.DUMMYFUNCTION("""COMPUTED_VALUE"""),3120.21)</f>
        <v>3120.21</v>
      </c>
      <c r="F421" s="320">
        <f>IFERROR(__xludf.DUMMYFUNCTION("""COMPUTED_VALUE"""),10.8341)</f>
        <v>10.8341</v>
      </c>
      <c r="G421" s="320">
        <f>IFERROR(__xludf.DUMMYFUNCTION("""COMPUTED_VALUE"""),48.26)</f>
        <v>48.26</v>
      </c>
      <c r="H421" s="320">
        <f>IFERROR(__xludf.DUMMYFUNCTION("""COMPUTED_VALUE"""),22.4476)</f>
        <v>22.4476</v>
      </c>
      <c r="I421" s="320">
        <f>IFERROR(__xludf.DUMMYFUNCTION("""COMPUTED_VALUE"""),235.72)</f>
        <v>235.72</v>
      </c>
      <c r="J421" s="320">
        <f>IFERROR(__xludf.DUMMYFUNCTION("""COMPUTED_VALUE"""),153.86)</f>
        <v>153.86</v>
      </c>
      <c r="K421" s="320">
        <f>IFERROR(__xludf.DUMMYFUNCTION("""COMPUTED_VALUE"""),119.31)</f>
        <v>119.31</v>
      </c>
      <c r="L421" s="320">
        <f>IFERROR(__xludf.DUMMYFUNCTION("""COMPUTED_VALUE"""),0.7755)</f>
        <v>0.7755</v>
      </c>
      <c r="M421" s="320">
        <f>IFERROR(__xludf.DUMMYFUNCTION("""COMPUTED_VALUE"""),0.3165)</f>
        <v>0.3165</v>
      </c>
      <c r="N421" s="320">
        <f>IFERROR(__xludf.DUMMYFUNCTION("""COMPUTED_VALUE"""),0.1922)</f>
        <v>0.1922</v>
      </c>
      <c r="O421" s="320">
        <f>IFERROR(__xludf.DUMMYFUNCTION("""COMPUTED_VALUE"""),1.2896)</f>
        <v>1.2896</v>
      </c>
      <c r="P421" s="320">
        <f>IFERROR(__xludf.DUMMYFUNCTION("""COMPUTED_VALUE"""),1194.38)</f>
        <v>1194.38</v>
      </c>
      <c r="Q421" s="320">
        <f>IFERROR(__xludf.DUMMYFUNCTION("""COMPUTED_VALUE"""),994.03)</f>
        <v>994.03</v>
      </c>
      <c r="R421" s="320">
        <f>IFERROR(__xludf.DUMMYFUNCTION("""COMPUTED_VALUE"""),200.35)</f>
        <v>200.35</v>
      </c>
      <c r="S421" s="320">
        <f>IFERROR(__xludf.DUMMYFUNCTION("""COMPUTED_VALUE"""),633.85)</f>
        <v>633.85</v>
      </c>
      <c r="T421" s="320">
        <f>IFERROR(__xludf.DUMMYFUNCTION("""COMPUTED_VALUE"""),560.52)</f>
        <v>560.52</v>
      </c>
      <c r="U421" s="320">
        <f>IFERROR(__xludf.DUMMYFUNCTION("""COMPUTED_VALUE"""),1324.48)</f>
        <v>1324.48</v>
      </c>
      <c r="V421" s="320">
        <f>IFERROR(__xludf.DUMMYFUNCTION("""COMPUTED_VALUE"""),8.6083)</f>
        <v>8.6083</v>
      </c>
      <c r="W421" s="320">
        <f>IFERROR(__xludf.DUMMYFUNCTION("""COMPUTED_VALUE"""),53.07)</f>
        <v>53.07</v>
      </c>
      <c r="X421" s="320">
        <f>IFERROR(__xludf.DUMMYFUNCTION("""COMPUTED_VALUE"""),102.0)</f>
        <v>102</v>
      </c>
      <c r="Y421" s="320">
        <f>IFERROR(__xludf.DUMMYFUNCTION("""COMPUTED_VALUE"""),455.0)</f>
        <v>455</v>
      </c>
      <c r="Z421" s="320">
        <f>IFERROR(__xludf.DUMMYFUNCTION("""COMPUTED_VALUE"""),2157.0)</f>
        <v>2157</v>
      </c>
      <c r="AA421" s="320">
        <f>IFERROR(__xludf.DUMMYFUNCTION("""COMPUTED_VALUE"""),60.964)</f>
        <v>60.964</v>
      </c>
      <c r="AB421" s="320">
        <f>IFERROR(__xludf.DUMMYFUNCTION("""COMPUTED_VALUE"""),0.8221)</f>
        <v>0.8221</v>
      </c>
      <c r="AC421" s="320">
        <f>IFERROR(__xludf.DUMMYFUNCTION("""COMPUTED_VALUE"""),77.88)</f>
        <v>77.88</v>
      </c>
      <c r="AD421" s="320">
        <f>IFERROR(__xludf.DUMMYFUNCTION("""COMPUTED_VALUE"""),25.0)</f>
        <v>25</v>
      </c>
      <c r="AE421" s="320">
        <f>IFERROR(__xludf.DUMMYFUNCTION("""COMPUTED_VALUE"""),54.0)</f>
        <v>54</v>
      </c>
      <c r="AF421" s="320">
        <f>IFERROR(__xludf.DUMMYFUNCTION("""COMPUTED_VALUE"""),110.0)</f>
        <v>110</v>
      </c>
      <c r="AG421" s="320">
        <f>IFERROR(__xludf.DUMMYFUNCTION("""COMPUTED_VALUE"""),166.0)</f>
        <v>166</v>
      </c>
      <c r="AH421" s="320">
        <f>IFERROR(__xludf.DUMMYFUNCTION("""COMPUTED_VALUE"""),38.19)</f>
        <v>38.19</v>
      </c>
      <c r="AI421" s="320">
        <f>IFERROR(__xludf.DUMMYFUNCTION("""COMPUTED_VALUE"""),9.03)</f>
        <v>9.03</v>
      </c>
      <c r="AJ421" s="320">
        <f>IFERROR(__xludf.DUMMYFUNCTION("""COMPUTED_VALUE"""),2.43)</f>
        <v>2.43</v>
      </c>
      <c r="AK421" s="320">
        <f>IFERROR(__xludf.DUMMYFUNCTION("""COMPUTED_VALUE"""),0.0938)</f>
        <v>0.0938</v>
      </c>
      <c r="AL421" s="320">
        <f>IFERROR(__xludf.DUMMYFUNCTION("""COMPUTED_VALUE"""),21.55)</f>
        <v>21.55</v>
      </c>
      <c r="AM421" s="320">
        <f>IFERROR(__xludf.DUMMYFUNCTION("""COMPUTED_VALUE"""),972.48)</f>
        <v>972.48</v>
      </c>
      <c r="AN421" s="320">
        <f>IFERROR(__xludf.DUMMYFUNCTION("""COMPUTED_VALUE"""),77.23)</f>
        <v>77.23</v>
      </c>
      <c r="AO421" s="320">
        <f>IFERROR(__xludf.DUMMYFUNCTION("""COMPUTED_VALUE"""),16.64)</f>
        <v>16.64</v>
      </c>
    </row>
    <row r="422" ht="15.75" customHeight="1">
      <c r="A422" s="330">
        <f>IFERROR(__xludf.DUMMYFUNCTION("""COMPUTED_VALUE"""),46120.0)</f>
        <v>46120</v>
      </c>
      <c r="B422" s="319" t="str">
        <f>IFERROR(__xludf.DUMMYFUNCTION("""COMPUTED_VALUE"""),"A. 0")</f>
        <v>A. 0</v>
      </c>
      <c r="C422" s="320">
        <f>IFERROR(__xludf.DUMMYFUNCTION("""COMPUTED_VALUE"""),16668.0)</f>
        <v>16668</v>
      </c>
      <c r="D422" s="320">
        <f>IFERROR(__xludf.DUMMYFUNCTION("""COMPUTED_VALUE"""),22.1)</f>
        <v>22.1</v>
      </c>
      <c r="E422" s="320">
        <f>IFERROR(__xludf.DUMMYFUNCTION("""COMPUTED_VALUE"""),135.89)</f>
        <v>135.89</v>
      </c>
      <c r="F422" s="320">
        <f>IFERROR(__xludf.DUMMYFUNCTION("""COMPUTED_VALUE"""),0.0082)</f>
        <v>0.0082</v>
      </c>
      <c r="G422" s="320">
        <f>IFERROR(__xludf.DUMMYFUNCTION("""COMPUTED_VALUE"""),0.19)</f>
        <v>0.19</v>
      </c>
      <c r="H422" s="320">
        <f>IFERROR(__xludf.DUMMYFUNCTION("""COMPUTED_VALUE"""),4.3835)</f>
        <v>4.3835</v>
      </c>
      <c r="I422" s="320">
        <f>IFERROR(__xludf.DUMMYFUNCTION("""COMPUTED_VALUE"""),6.23)</f>
        <v>6.23</v>
      </c>
      <c r="J422" s="320">
        <f>IFERROR(__xludf.DUMMYFUNCTION("""COMPUTED_VALUE"""),2.81)</f>
        <v>2.81</v>
      </c>
      <c r="K422" s="320">
        <f>IFERROR(__xludf.DUMMYFUNCTION("""COMPUTED_VALUE"""),0.04)</f>
        <v>0.04</v>
      </c>
      <c r="L422" s="320">
        <f>IFERROR(__xludf.DUMMYFUNCTION("""COMPUTED_VALUE"""),0.0132)</f>
        <v>0.0132</v>
      </c>
      <c r="M422" s="320">
        <f>IFERROR(__xludf.DUMMYFUNCTION("""COMPUTED_VALUE"""),0.9885)</f>
        <v>0.9885</v>
      </c>
      <c r="N422" s="320">
        <f>IFERROR(__xludf.DUMMYFUNCTION("""COMPUTED_VALUE"""),0.849)</f>
        <v>0.849</v>
      </c>
      <c r="O422" s="320">
        <f>IFERROR(__xludf.DUMMYFUNCTION("""COMPUTED_VALUE"""),75.6236)</f>
        <v>75.6236</v>
      </c>
      <c r="P422" s="320">
        <f>IFERROR(__xludf.DUMMYFUNCTION("""COMPUTED_VALUE"""),23.2)</f>
        <v>23.2</v>
      </c>
      <c r="Q422" s="320">
        <f>IFERROR(__xludf.DUMMYFUNCTION("""COMPUTED_VALUE"""),23.14)</f>
        <v>23.14</v>
      </c>
      <c r="R422" s="320">
        <f>IFERROR(__xludf.DUMMYFUNCTION("""COMPUTED_VALUE"""),0.06)</f>
        <v>0.06</v>
      </c>
      <c r="S422" s="320">
        <f>IFERROR(__xludf.DUMMYFUNCTION("""COMPUTED_VALUE"""),0.69)</f>
        <v>0.69</v>
      </c>
      <c r="T422" s="320">
        <f>IFERROR(__xludf.DUMMYFUNCTION("""COMPUTED_VALUE"""),22.51)</f>
        <v>22.51</v>
      </c>
      <c r="U422" s="320">
        <f>IFERROR(__xludf.DUMMYFUNCTION("""COMPUTED_VALUE"""),2.06)</f>
        <v>2.06</v>
      </c>
      <c r="V422" s="320">
        <f>IFERROR(__xludf.DUMMYFUNCTION("""COMPUTED_VALUE"""),0.7338)</f>
        <v>0.7338</v>
      </c>
      <c r="W422" s="320">
        <f>IFERROR(__xludf.DUMMYFUNCTION("""COMPUTED_VALUE"""),2.96)</f>
        <v>2.96</v>
      </c>
      <c r="X422" s="320">
        <f>IFERROR(__xludf.DUMMYFUNCTION("""COMPUTED_VALUE"""),152.0)</f>
        <v>152</v>
      </c>
      <c r="Y422" s="320">
        <f>IFERROR(__xludf.DUMMYFUNCTION("""COMPUTED_VALUE"""),1120.0)</f>
        <v>1120</v>
      </c>
      <c r="Z422" s="320">
        <f>IFERROR(__xludf.DUMMYFUNCTION("""COMPUTED_VALUE"""),7340.0)</f>
        <v>7340</v>
      </c>
      <c r="AA422" s="320">
        <f>IFERROR(__xludf.DUMMYFUNCTION("""COMPUTED_VALUE"""),50.0248)</f>
        <v>50.0248</v>
      </c>
      <c r="AB422" s="320">
        <f>IFERROR(__xludf.DUMMYFUNCTION("""COMPUTED_VALUE"""),0.5215)</f>
        <v>0.5215</v>
      </c>
      <c r="AC422" s="106"/>
      <c r="AD422" s="106"/>
      <c r="AE422" s="106"/>
      <c r="AF422" s="106"/>
      <c r="AG422" s="106"/>
      <c r="AH422" s="320">
        <f>IFERROR(__xludf.DUMMYFUNCTION("""COMPUTED_VALUE"""),0.0)</f>
        <v>0</v>
      </c>
      <c r="AI422" s="320">
        <f>IFERROR(__xludf.DUMMYFUNCTION("""COMPUTED_VALUE"""),0.0)</f>
        <v>0</v>
      </c>
      <c r="AJ422" s="320">
        <f>IFERROR(__xludf.DUMMYFUNCTION("""COMPUTED_VALUE"""),0.0)</f>
        <v>0</v>
      </c>
      <c r="AK422" s="320">
        <f>IFERROR(__xludf.DUMMYFUNCTION("""COMPUTED_VALUE"""),0.2706)</f>
        <v>0.2706</v>
      </c>
      <c r="AL422" s="320">
        <f>IFERROR(__xludf.DUMMYFUNCTION("""COMPUTED_VALUE"""),15.62)</f>
        <v>15.62</v>
      </c>
      <c r="AM422" s="320">
        <f>IFERROR(__xludf.DUMMYFUNCTION("""COMPUTED_VALUE"""),7.52)</f>
        <v>7.52</v>
      </c>
      <c r="AN422" s="331"/>
      <c r="AO422" s="331"/>
    </row>
    <row r="423" ht="15.75" customHeight="1">
      <c r="A423" s="330">
        <f>IFERROR(__xludf.DUMMYFUNCTION("""COMPUTED_VALUE"""),46120.0)</f>
        <v>46120</v>
      </c>
      <c r="B423" s="319" t="str">
        <f>IFERROR(__xludf.DUMMYFUNCTION("""COMPUTED_VALUE"""),"B. 1-9")</f>
        <v>B. 1-9</v>
      </c>
      <c r="C423" s="320">
        <f>IFERROR(__xludf.DUMMYFUNCTION("""COMPUTED_VALUE"""),32322.0)</f>
        <v>32322</v>
      </c>
      <c r="D423" s="320">
        <f>IFERROR(__xludf.DUMMYFUNCTION("""COMPUTED_VALUE"""),42.86)</f>
        <v>42.86</v>
      </c>
      <c r="E423" s="320">
        <f>IFERROR(__xludf.DUMMYFUNCTION("""COMPUTED_VALUE"""),7117.51)</f>
        <v>7117.51</v>
      </c>
      <c r="F423" s="320">
        <f>IFERROR(__xludf.DUMMYFUNCTION("""COMPUTED_VALUE"""),0.2202)</f>
        <v>0.2202</v>
      </c>
      <c r="G423" s="320">
        <f>IFERROR(__xludf.DUMMYFUNCTION("""COMPUTED_VALUE"""),6.31)</f>
        <v>6.31</v>
      </c>
      <c r="H423" s="320">
        <f>IFERROR(__xludf.DUMMYFUNCTION("""COMPUTED_VALUE"""),3.4924)</f>
        <v>3.4924</v>
      </c>
      <c r="I423" s="320">
        <f>IFERROR(__xludf.DUMMYFUNCTION("""COMPUTED_VALUE"""),31.78)</f>
        <v>31.78</v>
      </c>
      <c r="J423" s="320">
        <f>IFERROR(__xludf.DUMMYFUNCTION("""COMPUTED_VALUE"""),17.1)</f>
        <v>17.1</v>
      </c>
      <c r="K423" s="320">
        <f>IFERROR(__xludf.DUMMYFUNCTION("""COMPUTED_VALUE"""),5.01)</f>
        <v>5.01</v>
      </c>
      <c r="L423" s="320">
        <f>IFERROR(__xludf.DUMMYFUNCTION("""COMPUTED_VALUE"""),0.2929)</f>
        <v>0.2929</v>
      </c>
      <c r="M423" s="320">
        <f>IFERROR(__xludf.DUMMYFUNCTION("""COMPUTED_VALUE"""),0.7727)</f>
        <v>0.7727</v>
      </c>
      <c r="N423" s="320">
        <f>IFERROR(__xludf.DUMMYFUNCTION("""COMPUTED_VALUE"""),0.535)</f>
        <v>0.535</v>
      </c>
      <c r="O423" s="320">
        <f>IFERROR(__xludf.DUMMYFUNCTION("""COMPUTED_VALUE"""),3.414)</f>
        <v>3.414</v>
      </c>
      <c r="P423" s="320">
        <f>IFERROR(__xludf.DUMMYFUNCTION("""COMPUTED_VALUE"""),58.41)</f>
        <v>58.41</v>
      </c>
      <c r="Q423" s="320">
        <f>IFERROR(__xludf.DUMMYFUNCTION("""COMPUTED_VALUE"""),50.22)</f>
        <v>50.22</v>
      </c>
      <c r="R423" s="320">
        <f>IFERROR(__xludf.DUMMYFUNCTION("""COMPUTED_VALUE"""),8.19)</f>
        <v>8.19</v>
      </c>
      <c r="S423" s="320">
        <f>IFERROR(__xludf.DUMMYFUNCTION("""COMPUTED_VALUE"""),14.5)</f>
        <v>14.5</v>
      </c>
      <c r="T423" s="320">
        <f>IFERROR(__xludf.DUMMYFUNCTION("""COMPUTED_VALUE"""),43.92)</f>
        <v>43.92</v>
      </c>
      <c r="U423" s="320">
        <f>IFERROR(__xludf.DUMMYFUNCTION("""COMPUTED_VALUE"""),66.54)</f>
        <v>66.54</v>
      </c>
      <c r="V423" s="320">
        <f>IFERROR(__xludf.DUMMYFUNCTION("""COMPUTED_VALUE"""),3.8906)</f>
        <v>3.8906</v>
      </c>
      <c r="W423" s="320">
        <f>IFERROR(__xludf.DUMMYFUNCTION("""COMPUTED_VALUE"""),24.82)</f>
        <v>24.82</v>
      </c>
      <c r="X423" s="320">
        <f>IFERROR(__xludf.DUMMYFUNCTION("""COMPUTED_VALUE"""),84.0)</f>
        <v>84</v>
      </c>
      <c r="Y423" s="320">
        <f>IFERROR(__xludf.DUMMYFUNCTION("""COMPUTED_VALUE"""),198.0)</f>
        <v>198</v>
      </c>
      <c r="Z423" s="320">
        <f>IFERROR(__xludf.DUMMYFUNCTION("""COMPUTED_VALUE"""),831.0)</f>
        <v>831</v>
      </c>
      <c r="AA423" s="320">
        <f>IFERROR(__xludf.DUMMYFUNCTION("""COMPUTED_VALUE"""),49.7084)</f>
        <v>49.7084</v>
      </c>
      <c r="AB423" s="320">
        <f>IFERROR(__xludf.DUMMYFUNCTION("""COMPUTED_VALUE"""),0.4479)</f>
        <v>0.4479</v>
      </c>
      <c r="AC423" s="320">
        <f>IFERROR(__xludf.DUMMYFUNCTION("""COMPUTED_VALUE"""),3.33)</f>
        <v>3.33</v>
      </c>
      <c r="AD423" s="320">
        <f>IFERROR(__xludf.DUMMYFUNCTION("""COMPUTED_VALUE"""),1.0)</f>
        <v>1</v>
      </c>
      <c r="AE423" s="320">
        <f>IFERROR(__xludf.DUMMYFUNCTION("""COMPUTED_VALUE"""),2.0)</f>
        <v>2</v>
      </c>
      <c r="AF423" s="320">
        <f>IFERROR(__xludf.DUMMYFUNCTION("""COMPUTED_VALUE"""),4.0)</f>
        <v>4</v>
      </c>
      <c r="AG423" s="320">
        <f>IFERROR(__xludf.DUMMYFUNCTION("""COMPUTED_VALUE"""),7.0)</f>
        <v>7</v>
      </c>
      <c r="AH423" s="320">
        <f>IFERROR(__xludf.DUMMYFUNCTION("""COMPUTED_VALUE"""),64.86)</f>
        <v>64.86</v>
      </c>
      <c r="AI423" s="320">
        <f>IFERROR(__xludf.DUMMYFUNCTION("""COMPUTED_VALUE"""),22.98)</f>
        <v>22.98</v>
      </c>
      <c r="AJ423" s="320">
        <f>IFERROR(__xludf.DUMMYFUNCTION("""COMPUTED_VALUE"""),5.78)</f>
        <v>5.78</v>
      </c>
      <c r="AK423" s="320">
        <f>IFERROR(__xludf.DUMMYFUNCTION("""COMPUTED_VALUE"""),0.2184)</f>
        <v>0.2184</v>
      </c>
      <c r="AL423" s="320">
        <f>IFERROR(__xludf.DUMMYFUNCTION("""COMPUTED_VALUE"""),19.27)</f>
        <v>19.27</v>
      </c>
      <c r="AM423" s="320">
        <f>IFERROR(__xludf.DUMMYFUNCTION("""COMPUTED_VALUE"""),30.95)</f>
        <v>30.95</v>
      </c>
      <c r="AN423" s="320">
        <f>IFERROR(__xludf.DUMMYFUNCTION("""COMPUTED_VALUE"""),68.05)</f>
        <v>68.05</v>
      </c>
      <c r="AO423" s="320">
        <f>IFERROR(__xludf.DUMMYFUNCTION("""COMPUTED_VALUE"""),13.11)</f>
        <v>13.11</v>
      </c>
    </row>
    <row r="424" ht="15.75" customHeight="1">
      <c r="A424" s="330">
        <f>IFERROR(__xludf.DUMMYFUNCTION("""COMPUTED_VALUE"""),46120.0)</f>
        <v>46120</v>
      </c>
      <c r="B424" s="319" t="str">
        <f>IFERROR(__xludf.DUMMYFUNCTION("""COMPUTED_VALUE"""),"C. 10-19")</f>
        <v>C. 10-19</v>
      </c>
      <c r="C424" s="320">
        <f>IFERROR(__xludf.DUMMYFUNCTION("""COMPUTED_VALUE"""),15789.0)</f>
        <v>15789</v>
      </c>
      <c r="D424" s="320">
        <f>IFERROR(__xludf.DUMMYFUNCTION("""COMPUTED_VALUE"""),20.94)</f>
        <v>20.94</v>
      </c>
      <c r="E424" s="320">
        <f>IFERROR(__xludf.DUMMYFUNCTION("""COMPUTED_VALUE"""),17121.78)</f>
        <v>17121.78</v>
      </c>
      <c r="F424" s="320">
        <f>IFERROR(__xludf.DUMMYFUNCTION("""COMPUTED_VALUE"""),1.0844)</f>
        <v>1.0844</v>
      </c>
      <c r="G424" s="320">
        <f>IFERROR(__xludf.DUMMYFUNCTION("""COMPUTED_VALUE"""),21.65)</f>
        <v>21.65</v>
      </c>
      <c r="H424" s="320">
        <f>IFERROR(__xludf.DUMMYFUNCTION("""COMPUTED_VALUE"""),5.0078)</f>
        <v>5.0078</v>
      </c>
      <c r="I424" s="320">
        <f>IFERROR(__xludf.DUMMYFUNCTION("""COMPUTED_VALUE"""),58.95)</f>
        <v>58.95</v>
      </c>
      <c r="J424" s="320">
        <f>IFERROR(__xludf.DUMMYFUNCTION("""COMPUTED_VALUE"""),33.66)</f>
        <v>33.66</v>
      </c>
      <c r="K424" s="320">
        <f>IFERROR(__xludf.DUMMYFUNCTION("""COMPUTED_VALUE"""),13.43)</f>
        <v>13.43</v>
      </c>
      <c r="L424" s="320">
        <f>IFERROR(__xludf.DUMMYFUNCTION("""COMPUTED_VALUE"""),0.3989)</f>
        <v>0.3989</v>
      </c>
      <c r="M424" s="320">
        <f>IFERROR(__xludf.DUMMYFUNCTION("""COMPUTED_VALUE"""),0.6607)</f>
        <v>0.6607</v>
      </c>
      <c r="N424" s="320">
        <f>IFERROR(__xludf.DUMMYFUNCTION("""COMPUTED_VALUE"""),0.3814)</f>
        <v>0.3814</v>
      </c>
      <c r="O424" s="320">
        <f>IFERROR(__xludf.DUMMYFUNCTION("""COMPUTED_VALUE"""),2.5067)</f>
        <v>2.5067</v>
      </c>
      <c r="P424" s="320">
        <f>IFERROR(__xludf.DUMMYFUNCTION("""COMPUTED_VALUE"""),144.38)</f>
        <v>144.38</v>
      </c>
      <c r="Q424" s="320">
        <f>IFERROR(__xludf.DUMMYFUNCTION("""COMPUTED_VALUE"""),123.28)</f>
        <v>123.28</v>
      </c>
      <c r="R424" s="320">
        <f>IFERROR(__xludf.DUMMYFUNCTION("""COMPUTED_VALUE"""),21.1)</f>
        <v>21.1</v>
      </c>
      <c r="S424" s="320">
        <f>IFERROR(__xludf.DUMMYFUNCTION("""COMPUTED_VALUE"""),71.63)</f>
        <v>71.63</v>
      </c>
      <c r="T424" s="320">
        <f>IFERROR(__xludf.DUMMYFUNCTION("""COMPUTED_VALUE"""),72.75)</f>
        <v>72.75</v>
      </c>
      <c r="U424" s="320">
        <f>IFERROR(__xludf.DUMMYFUNCTION("""COMPUTED_VALUE"""),163.87)</f>
        <v>163.87</v>
      </c>
      <c r="V424" s="320">
        <f>IFERROR(__xludf.DUMMYFUNCTION("""COMPUTED_VALUE"""),4.8686)</f>
        <v>4.8686</v>
      </c>
      <c r="W424" s="320">
        <f>IFERROR(__xludf.DUMMYFUNCTION("""COMPUTED_VALUE"""),49.61)</f>
        <v>49.61</v>
      </c>
      <c r="X424" s="320">
        <f>IFERROR(__xludf.DUMMYFUNCTION("""COMPUTED_VALUE"""),78.0)</f>
        <v>78</v>
      </c>
      <c r="Y424" s="320">
        <f>IFERROR(__xludf.DUMMYFUNCTION("""COMPUTED_VALUE"""),161.0)</f>
        <v>161</v>
      </c>
      <c r="Z424" s="320">
        <f>IFERROR(__xludf.DUMMYFUNCTION("""COMPUTED_VALUE"""),571.0)</f>
        <v>571</v>
      </c>
      <c r="AA424" s="320">
        <f>IFERROR(__xludf.DUMMYFUNCTION("""COMPUTED_VALUE"""),52.3723)</f>
        <v>52.3723</v>
      </c>
      <c r="AB424" s="320">
        <f>IFERROR(__xludf.DUMMYFUNCTION("""COMPUTED_VALUE"""),0.5182)</f>
        <v>0.5182</v>
      </c>
      <c r="AC424" s="320">
        <f>IFERROR(__xludf.DUMMYFUNCTION("""COMPUTED_VALUE"""),8.05)</f>
        <v>8.05</v>
      </c>
      <c r="AD424" s="320">
        <f>IFERROR(__xludf.DUMMYFUNCTION("""COMPUTED_VALUE"""),2.0)</f>
        <v>2</v>
      </c>
      <c r="AE424" s="320">
        <f>IFERROR(__xludf.DUMMYFUNCTION("""COMPUTED_VALUE"""),6.0)</f>
        <v>6</v>
      </c>
      <c r="AF424" s="320">
        <f>IFERROR(__xludf.DUMMYFUNCTION("""COMPUTED_VALUE"""),11.0)</f>
        <v>11</v>
      </c>
      <c r="AG424" s="320">
        <f>IFERROR(__xludf.DUMMYFUNCTION("""COMPUTED_VALUE"""),18.0)</f>
        <v>18</v>
      </c>
      <c r="AH424" s="320">
        <f>IFERROR(__xludf.DUMMYFUNCTION("""COMPUTED_VALUE"""),50.62)</f>
        <v>50.62</v>
      </c>
      <c r="AI424" s="320">
        <f>IFERROR(__xludf.DUMMYFUNCTION("""COMPUTED_VALUE"""),21.19)</f>
        <v>21.19</v>
      </c>
      <c r="AJ424" s="320">
        <f>IFERROR(__xludf.DUMMYFUNCTION("""COMPUTED_VALUE"""),3.52)</f>
        <v>3.52</v>
      </c>
      <c r="AK424" s="320">
        <f>IFERROR(__xludf.DUMMYFUNCTION("""COMPUTED_VALUE"""),0.1876)</f>
        <v>0.1876</v>
      </c>
      <c r="AL424" s="320">
        <f>IFERROR(__xludf.DUMMYFUNCTION("""COMPUTED_VALUE"""),19.43)</f>
        <v>19.43</v>
      </c>
      <c r="AM424" s="320">
        <f>IFERROR(__xludf.DUMMYFUNCTION("""COMPUTED_VALUE"""),103.85)</f>
        <v>103.85</v>
      </c>
      <c r="AN424" s="320">
        <f>IFERROR(__xludf.DUMMYFUNCTION("""COMPUTED_VALUE"""),71.64)</f>
        <v>71.64</v>
      </c>
      <c r="AO424" s="320">
        <f>IFERROR(__xludf.DUMMYFUNCTION("""COMPUTED_VALUE"""),13.92)</f>
        <v>13.92</v>
      </c>
    </row>
    <row r="425" ht="15.75" customHeight="1">
      <c r="A425" s="330">
        <f>IFERROR(__xludf.DUMMYFUNCTION("""COMPUTED_VALUE"""),46120.0)</f>
        <v>46120</v>
      </c>
      <c r="B425" s="319" t="str">
        <f>IFERROR(__xludf.DUMMYFUNCTION("""COMPUTED_VALUE"""),"D. 20-39")</f>
        <v>D. 20-39</v>
      </c>
      <c r="C425" s="320">
        <f>IFERROR(__xludf.DUMMYFUNCTION("""COMPUTED_VALUE"""),7390.0)</f>
        <v>7390</v>
      </c>
      <c r="D425" s="320">
        <f>IFERROR(__xludf.DUMMYFUNCTION("""COMPUTED_VALUE"""),9.8)</f>
        <v>9.8</v>
      </c>
      <c r="E425" s="320">
        <f>IFERROR(__xludf.DUMMYFUNCTION("""COMPUTED_VALUE"""),19566.67)</f>
        <v>19566.67</v>
      </c>
      <c r="F425" s="320">
        <f>IFERROR(__xludf.DUMMYFUNCTION("""COMPUTED_VALUE"""),2.6477)</f>
        <v>2.6477</v>
      </c>
      <c r="G425" s="320">
        <f>IFERROR(__xludf.DUMMYFUNCTION("""COMPUTED_VALUE"""),35.13)</f>
        <v>35.13</v>
      </c>
      <c r="H425" s="320">
        <f>IFERROR(__xludf.DUMMYFUNCTION("""COMPUTED_VALUE"""),7.5372)</f>
        <v>7.5372</v>
      </c>
      <c r="I425" s="320">
        <f>IFERROR(__xludf.DUMMYFUNCTION("""COMPUTED_VALUE"""),84.61)</f>
        <v>84.61</v>
      </c>
      <c r="J425" s="320">
        <f>IFERROR(__xludf.DUMMYFUNCTION("""COMPUTED_VALUE"""),50.65)</f>
        <v>50.65</v>
      </c>
      <c r="K425" s="320">
        <f>IFERROR(__xludf.DUMMYFUNCTION("""COMPUTED_VALUE"""),24.59)</f>
        <v>24.59</v>
      </c>
      <c r="L425" s="320">
        <f>IFERROR(__xludf.DUMMYFUNCTION("""COMPUTED_VALUE"""),0.4855)</f>
        <v>0.4855</v>
      </c>
      <c r="M425" s="320">
        <f>IFERROR(__xludf.DUMMYFUNCTION("""COMPUTED_VALUE"""),0.581)</f>
        <v>0.581</v>
      </c>
      <c r="N425" s="320">
        <f>IFERROR(__xludf.DUMMYFUNCTION("""COMPUTED_VALUE"""),0.3229)</f>
        <v>0.3229</v>
      </c>
      <c r="O425" s="320">
        <f>IFERROR(__xludf.DUMMYFUNCTION("""COMPUTED_VALUE"""),2.0599)</f>
        <v>2.0599</v>
      </c>
      <c r="P425" s="320">
        <f>IFERROR(__xludf.DUMMYFUNCTION("""COMPUTED_VALUE"""),285.41)</f>
        <v>285.41</v>
      </c>
      <c r="Q425" s="320">
        <f>IFERROR(__xludf.DUMMYFUNCTION("""COMPUTED_VALUE"""),245.47)</f>
        <v>245.47</v>
      </c>
      <c r="R425" s="320">
        <f>IFERROR(__xludf.DUMMYFUNCTION("""COMPUTED_VALUE"""),39.94)</f>
        <v>39.94</v>
      </c>
      <c r="S425" s="320">
        <f>IFERROR(__xludf.DUMMYFUNCTION("""COMPUTED_VALUE"""),171.9)</f>
        <v>171.9</v>
      </c>
      <c r="T425" s="320">
        <f>IFERROR(__xludf.DUMMYFUNCTION("""COMPUTED_VALUE"""),113.51)</f>
        <v>113.51</v>
      </c>
      <c r="U425" s="320">
        <f>IFERROR(__xludf.DUMMYFUNCTION("""COMPUTED_VALUE"""),313.57)</f>
        <v>313.57</v>
      </c>
      <c r="V425" s="320">
        <f>IFERROR(__xludf.DUMMYFUNCTION("""COMPUTED_VALUE"""),6.1914)</f>
        <v>6.1914</v>
      </c>
      <c r="W425" s="320">
        <f>IFERROR(__xludf.DUMMYFUNCTION("""COMPUTED_VALUE"""),60.23)</f>
        <v>60.23</v>
      </c>
      <c r="X425" s="320">
        <f>IFERROR(__xludf.DUMMYFUNCTION("""COMPUTED_VALUE"""),81.0)</f>
        <v>81</v>
      </c>
      <c r="Y425" s="320">
        <f>IFERROR(__xludf.DUMMYFUNCTION("""COMPUTED_VALUE"""),179.0)</f>
        <v>179</v>
      </c>
      <c r="Z425" s="320">
        <f>IFERROR(__xludf.DUMMYFUNCTION("""COMPUTED_VALUE"""),587.0)</f>
        <v>587</v>
      </c>
      <c r="AA425" s="320">
        <f>IFERROR(__xludf.DUMMYFUNCTION("""COMPUTED_VALUE"""),54.2262)</f>
        <v>54.2262</v>
      </c>
      <c r="AB425" s="320">
        <f>IFERROR(__xludf.DUMMYFUNCTION("""COMPUTED_VALUE"""),0.6261)</f>
        <v>0.6261</v>
      </c>
      <c r="AC425" s="320">
        <f>IFERROR(__xludf.DUMMYFUNCTION("""COMPUTED_VALUE"""),15.07)</f>
        <v>15.07</v>
      </c>
      <c r="AD425" s="320">
        <f>IFERROR(__xludf.DUMMYFUNCTION("""COMPUTED_VALUE"""),5.0)</f>
        <v>5</v>
      </c>
      <c r="AE425" s="320">
        <f>IFERROR(__xludf.DUMMYFUNCTION("""COMPUTED_VALUE"""),11.0)</f>
        <v>11</v>
      </c>
      <c r="AF425" s="320">
        <f>IFERROR(__xludf.DUMMYFUNCTION("""COMPUTED_VALUE"""),21.0)</f>
        <v>21</v>
      </c>
      <c r="AG425" s="320">
        <f>IFERROR(__xludf.DUMMYFUNCTION("""COMPUTED_VALUE"""),33.0)</f>
        <v>33</v>
      </c>
      <c r="AH425" s="320">
        <f>IFERROR(__xludf.DUMMYFUNCTION("""COMPUTED_VALUE"""),49.08)</f>
        <v>49.08</v>
      </c>
      <c r="AI425" s="320">
        <f>IFERROR(__xludf.DUMMYFUNCTION("""COMPUTED_VALUE"""),18.19)</f>
        <v>18.19</v>
      </c>
      <c r="AJ425" s="320">
        <f>IFERROR(__xludf.DUMMYFUNCTION("""COMPUTED_VALUE"""),5.13)</f>
        <v>5.13</v>
      </c>
      <c r="AK425" s="320">
        <f>IFERROR(__xludf.DUMMYFUNCTION("""COMPUTED_VALUE"""),0.1723)</f>
        <v>0.1723</v>
      </c>
      <c r="AL425" s="320">
        <f>IFERROR(__xludf.DUMMYFUNCTION("""COMPUTED_VALUE"""),20.16)</f>
        <v>20.16</v>
      </c>
      <c r="AM425" s="320">
        <f>IFERROR(__xludf.DUMMYFUNCTION("""COMPUTED_VALUE"""),225.31)</f>
        <v>225.31</v>
      </c>
      <c r="AN425" s="320">
        <f>IFERROR(__xludf.DUMMYFUNCTION("""COMPUTED_VALUE"""),75.63)</f>
        <v>75.63</v>
      </c>
      <c r="AO425" s="320">
        <f>IFERROR(__xludf.DUMMYFUNCTION("""COMPUTED_VALUE"""),15.25)</f>
        <v>15.25</v>
      </c>
    </row>
    <row r="426" ht="15.75" customHeight="1">
      <c r="A426" s="330">
        <f>IFERROR(__xludf.DUMMYFUNCTION("""COMPUTED_VALUE"""),46120.0)</f>
        <v>46120</v>
      </c>
      <c r="B426" s="319" t="str">
        <f>IFERROR(__xludf.DUMMYFUNCTION("""COMPUTED_VALUE"""),"E. 40-99")</f>
        <v>E. 40-99</v>
      </c>
      <c r="C426" s="320">
        <f>IFERROR(__xludf.DUMMYFUNCTION("""COMPUTED_VALUE"""),2955.0)</f>
        <v>2955</v>
      </c>
      <c r="D426" s="320">
        <f>IFERROR(__xludf.DUMMYFUNCTION("""COMPUTED_VALUE"""),3.92)</f>
        <v>3.92</v>
      </c>
      <c r="E426" s="320">
        <f>IFERROR(__xludf.DUMMYFUNCTION("""COMPUTED_VALUE"""),19863.47)</f>
        <v>19863.47</v>
      </c>
      <c r="F426" s="320">
        <f>IFERROR(__xludf.DUMMYFUNCTION("""COMPUTED_VALUE"""),6.722)</f>
        <v>6.722</v>
      </c>
      <c r="G426" s="320">
        <f>IFERROR(__xludf.DUMMYFUNCTION("""COMPUTED_VALUE"""),49.37)</f>
        <v>49.37</v>
      </c>
      <c r="H426" s="320">
        <f>IFERROR(__xludf.DUMMYFUNCTION("""COMPUTED_VALUE"""),13.6144)</f>
        <v>13.6144</v>
      </c>
      <c r="I426" s="320">
        <f>IFERROR(__xludf.DUMMYFUNCTION("""COMPUTED_VALUE"""),132.5)</f>
        <v>132.5</v>
      </c>
      <c r="J426" s="320">
        <f>IFERROR(__xludf.DUMMYFUNCTION("""COMPUTED_VALUE"""),81.96)</f>
        <v>81.96</v>
      </c>
      <c r="K426" s="320">
        <f>IFERROR(__xludf.DUMMYFUNCTION("""COMPUTED_VALUE"""),50.34)</f>
        <v>50.34</v>
      </c>
      <c r="L426" s="320">
        <f>IFERROR(__xludf.DUMMYFUNCTION("""COMPUTED_VALUE"""),0.6142)</f>
        <v>0.6142</v>
      </c>
      <c r="M426" s="320">
        <f>IFERROR(__xludf.DUMMYFUNCTION("""COMPUTED_VALUE"""),0.4665)</f>
        <v>0.4665</v>
      </c>
      <c r="N426" s="320">
        <f>IFERROR(__xludf.DUMMYFUNCTION("""COMPUTED_VALUE"""),0.2586)</f>
        <v>0.2586</v>
      </c>
      <c r="O426" s="320">
        <f>IFERROR(__xludf.DUMMYFUNCTION("""COMPUTED_VALUE"""),1.6281)</f>
        <v>1.6281</v>
      </c>
      <c r="P426" s="320">
        <f>IFERROR(__xludf.DUMMYFUNCTION("""COMPUTED_VALUE"""),612.14)</f>
        <v>612.14</v>
      </c>
      <c r="Q426" s="320">
        <f>IFERROR(__xludf.DUMMYFUNCTION("""COMPUTED_VALUE"""),527.97)</f>
        <v>527.97</v>
      </c>
      <c r="R426" s="320">
        <f>IFERROR(__xludf.DUMMYFUNCTION("""COMPUTED_VALUE"""),84.16)</f>
        <v>84.16</v>
      </c>
      <c r="S426" s="320">
        <f>IFERROR(__xludf.DUMMYFUNCTION("""COMPUTED_VALUE"""),426.08)</f>
        <v>426.08</v>
      </c>
      <c r="T426" s="320">
        <f>IFERROR(__xludf.DUMMYFUNCTION("""COMPUTED_VALUE"""),186.05)</f>
        <v>186.05</v>
      </c>
      <c r="U426" s="320">
        <f>IFERROR(__xludf.DUMMYFUNCTION("""COMPUTED_VALUE"""),657.31)</f>
        <v>657.31</v>
      </c>
      <c r="V426" s="320">
        <f>IFERROR(__xludf.DUMMYFUNCTION("""COMPUTED_VALUE"""),8.0199)</f>
        <v>8.0199</v>
      </c>
      <c r="W426" s="320">
        <f>IFERROR(__xludf.DUMMYFUNCTION("""COMPUTED_VALUE"""),69.61)</f>
        <v>69.61</v>
      </c>
      <c r="X426" s="320">
        <f>IFERROR(__xludf.DUMMYFUNCTION("""COMPUTED_VALUE"""),83.0)</f>
        <v>83</v>
      </c>
      <c r="Y426" s="320">
        <f>IFERROR(__xludf.DUMMYFUNCTION("""COMPUTED_VALUE"""),226.0)</f>
        <v>226</v>
      </c>
      <c r="Z426" s="320">
        <f>IFERROR(__xludf.DUMMYFUNCTION("""COMPUTED_VALUE"""),839.0)</f>
        <v>839</v>
      </c>
      <c r="AA426" s="320">
        <f>IFERROR(__xludf.DUMMYFUNCTION("""COMPUTED_VALUE"""),56.9804)</f>
        <v>56.9804</v>
      </c>
      <c r="AB426" s="320">
        <f>IFERROR(__xludf.DUMMYFUNCTION("""COMPUTED_VALUE"""),0.7252)</f>
        <v>0.7252</v>
      </c>
      <c r="AC426" s="320">
        <f>IFERROR(__xludf.DUMMYFUNCTION("""COMPUTED_VALUE"""),31.74)</f>
        <v>31.74</v>
      </c>
      <c r="AD426" s="320">
        <f>IFERROR(__xludf.DUMMYFUNCTION("""COMPUTED_VALUE"""),10.0)</f>
        <v>10</v>
      </c>
      <c r="AE426" s="320">
        <f>IFERROR(__xludf.DUMMYFUNCTION("""COMPUTED_VALUE"""),22.0)</f>
        <v>22</v>
      </c>
      <c r="AF426" s="320">
        <f>IFERROR(__xludf.DUMMYFUNCTION("""COMPUTED_VALUE"""),45.0)</f>
        <v>45</v>
      </c>
      <c r="AG426" s="320">
        <f>IFERROR(__xludf.DUMMYFUNCTION("""COMPUTED_VALUE"""),73.0)</f>
        <v>73</v>
      </c>
      <c r="AH426" s="320">
        <f>IFERROR(__xludf.DUMMYFUNCTION("""COMPUTED_VALUE"""),42.47)</f>
        <v>42.47</v>
      </c>
      <c r="AI426" s="320">
        <f>IFERROR(__xludf.DUMMYFUNCTION("""COMPUTED_VALUE"""),16.01)</f>
        <v>16.01</v>
      </c>
      <c r="AJ426" s="320">
        <f>IFERROR(__xludf.DUMMYFUNCTION("""COMPUTED_VALUE"""),4.06)</f>
        <v>4.06</v>
      </c>
      <c r="AK426" s="320">
        <f>IFERROR(__xludf.DUMMYFUNCTION("""COMPUTED_VALUE"""),0.1313)</f>
        <v>0.1313</v>
      </c>
      <c r="AL426" s="320">
        <f>IFERROR(__xludf.DUMMYFUNCTION("""COMPUTED_VALUE"""),19.73)</f>
        <v>19.73</v>
      </c>
      <c r="AM426" s="320">
        <f>IFERROR(__xludf.DUMMYFUNCTION("""COMPUTED_VALUE"""),508.25)</f>
        <v>508.25</v>
      </c>
      <c r="AN426" s="320">
        <f>IFERROR(__xludf.DUMMYFUNCTION("""COMPUTED_VALUE"""),79.85)</f>
        <v>79.85</v>
      </c>
      <c r="AO426" s="320">
        <f>IFERROR(__xludf.DUMMYFUNCTION("""COMPUTED_VALUE"""),15.75)</f>
        <v>15.75</v>
      </c>
    </row>
    <row r="427" ht="15.75" customHeight="1">
      <c r="A427" s="330">
        <f>IFERROR(__xludf.DUMMYFUNCTION("""COMPUTED_VALUE"""),46120.0)</f>
        <v>46120</v>
      </c>
      <c r="B427" s="319" t="str">
        <f>IFERROR(__xludf.DUMMYFUNCTION("""COMPUTED_VALUE"""),"F. 100+")</f>
        <v>F. 100+</v>
      </c>
      <c r="C427" s="320">
        <f>IFERROR(__xludf.DUMMYFUNCTION("""COMPUTED_VALUE"""),281.0)</f>
        <v>281</v>
      </c>
      <c r="D427" s="320">
        <f>IFERROR(__xludf.DUMMYFUNCTION("""COMPUTED_VALUE"""),0.37)</f>
        <v>0.37</v>
      </c>
      <c r="E427" s="320">
        <f>IFERROR(__xludf.DUMMYFUNCTION("""COMPUTED_VALUE"""),3525.87)</f>
        <v>3525.87</v>
      </c>
      <c r="F427" s="320">
        <f>IFERROR(__xludf.DUMMYFUNCTION("""COMPUTED_VALUE"""),12.5476)</f>
        <v>12.5476</v>
      </c>
      <c r="G427" s="320">
        <f>IFERROR(__xludf.DUMMYFUNCTION("""COMPUTED_VALUE"""),56.94)</f>
        <v>56.94</v>
      </c>
      <c r="H427" s="320">
        <f>IFERROR(__xludf.DUMMYFUNCTION("""COMPUTED_VALUE"""),22.0367)</f>
        <v>22.0367</v>
      </c>
      <c r="I427" s="320">
        <f>IFERROR(__xludf.DUMMYFUNCTION("""COMPUTED_VALUE"""),249.12)</f>
        <v>249.12</v>
      </c>
      <c r="J427" s="320">
        <f>IFERROR(__xludf.DUMMYFUNCTION("""COMPUTED_VALUE"""),162.51)</f>
        <v>162.51</v>
      </c>
      <c r="K427" s="320">
        <f>IFERROR(__xludf.DUMMYFUNCTION("""COMPUTED_VALUE"""),120.79)</f>
        <v>120.79</v>
      </c>
      <c r="L427" s="320">
        <f>IFERROR(__xludf.DUMMYFUNCTION("""COMPUTED_VALUE"""),0.7433)</f>
        <v>0.7433</v>
      </c>
      <c r="M427" s="320">
        <f>IFERROR(__xludf.DUMMYFUNCTION("""COMPUTED_VALUE"""),0.3413)</f>
        <v>0.3413</v>
      </c>
      <c r="N427" s="320">
        <f>IFERROR(__xludf.DUMMYFUNCTION("""COMPUTED_VALUE"""),0.1964)</f>
        <v>0.1964</v>
      </c>
      <c r="O427" s="320">
        <f>IFERROR(__xludf.DUMMYFUNCTION("""COMPUTED_VALUE"""),1.3454)</f>
        <v>1.3454</v>
      </c>
      <c r="P427" s="320">
        <f>IFERROR(__xludf.DUMMYFUNCTION("""COMPUTED_VALUE"""),1162.61)</f>
        <v>1162.61</v>
      </c>
      <c r="Q427" s="320">
        <f>IFERROR(__xludf.DUMMYFUNCTION("""COMPUTED_VALUE"""),957.9)</f>
        <v>957.9</v>
      </c>
      <c r="R427" s="320">
        <f>IFERROR(__xludf.DUMMYFUNCTION("""COMPUTED_VALUE"""),204.72)</f>
        <v>204.72</v>
      </c>
      <c r="S427" s="320">
        <f>IFERROR(__xludf.DUMMYFUNCTION("""COMPUTED_VALUE"""),778.52)</f>
        <v>778.52</v>
      </c>
      <c r="T427" s="320">
        <f>IFERROR(__xludf.DUMMYFUNCTION("""COMPUTED_VALUE"""),384.09)</f>
        <v>384.09</v>
      </c>
      <c r="U427" s="320">
        <f>IFERROR(__xludf.DUMMYFUNCTION("""COMPUTED_VALUE"""),1251.96)</f>
        <v>1251.96</v>
      </c>
      <c r="V427" s="320">
        <f>IFERROR(__xludf.DUMMYFUNCTION("""COMPUTED_VALUE"""),7.7041)</f>
        <v>7.7041</v>
      </c>
      <c r="W427" s="320">
        <f>IFERROR(__xludf.DUMMYFUNCTION("""COMPUTED_VALUE"""),66.96)</f>
        <v>66.96</v>
      </c>
      <c r="X427" s="320">
        <f>IFERROR(__xludf.DUMMYFUNCTION("""COMPUTED_VALUE"""),108.0)</f>
        <v>108</v>
      </c>
      <c r="Y427" s="320">
        <f>IFERROR(__xludf.DUMMYFUNCTION("""COMPUTED_VALUE"""),474.0)</f>
        <v>474</v>
      </c>
      <c r="Z427" s="320">
        <f>IFERROR(__xludf.DUMMYFUNCTION("""COMPUTED_VALUE"""),1710.0)</f>
        <v>1710</v>
      </c>
      <c r="AA427" s="320">
        <f>IFERROR(__xludf.DUMMYFUNCTION("""COMPUTED_VALUE"""),61.1245)</f>
        <v>61.1245</v>
      </c>
      <c r="AB427" s="320">
        <f>IFERROR(__xludf.DUMMYFUNCTION("""COMPUTED_VALUE"""),0.8083)</f>
        <v>0.8083</v>
      </c>
      <c r="AC427" s="320">
        <f>IFERROR(__xludf.DUMMYFUNCTION("""COMPUTED_VALUE"""),75.33)</f>
        <v>75.33</v>
      </c>
      <c r="AD427" s="320">
        <f>IFERROR(__xludf.DUMMYFUNCTION("""COMPUTED_VALUE"""),25.0)</f>
        <v>25</v>
      </c>
      <c r="AE427" s="320">
        <f>IFERROR(__xludf.DUMMYFUNCTION("""COMPUTED_VALUE"""),52.0)</f>
        <v>52</v>
      </c>
      <c r="AF427" s="320">
        <f>IFERROR(__xludf.DUMMYFUNCTION("""COMPUTED_VALUE"""),106.0)</f>
        <v>106</v>
      </c>
      <c r="AG427" s="320">
        <f>IFERROR(__xludf.DUMMYFUNCTION("""COMPUTED_VALUE"""),179.0)</f>
        <v>179</v>
      </c>
      <c r="AH427" s="320">
        <f>IFERROR(__xludf.DUMMYFUNCTION("""COMPUTED_VALUE"""),35.94)</f>
        <v>35.94</v>
      </c>
      <c r="AI427" s="320">
        <f>IFERROR(__xludf.DUMMYFUNCTION("""COMPUTED_VALUE"""),11.03)</f>
        <v>11.03</v>
      </c>
      <c r="AJ427" s="320">
        <f>IFERROR(__xludf.DUMMYFUNCTION("""COMPUTED_VALUE"""),1.42)</f>
        <v>1.42</v>
      </c>
      <c r="AK427" s="320">
        <f>IFERROR(__xludf.DUMMYFUNCTION("""COMPUTED_VALUE"""),0.1103)</f>
        <v>0.1103</v>
      </c>
      <c r="AL427" s="320">
        <f>IFERROR(__xludf.DUMMYFUNCTION("""COMPUTED_VALUE"""),20.0)</f>
        <v>20</v>
      </c>
      <c r="AM427" s="320">
        <f>IFERROR(__xludf.DUMMYFUNCTION("""COMPUTED_VALUE"""),937.9)</f>
        <v>937.9</v>
      </c>
      <c r="AN427" s="320">
        <f>IFERROR(__xludf.DUMMYFUNCTION("""COMPUTED_VALUE"""),77.53)</f>
        <v>77.53</v>
      </c>
      <c r="AO427" s="320">
        <f>IFERROR(__xludf.DUMMYFUNCTION("""COMPUTED_VALUE"""),15.51)</f>
        <v>15.51</v>
      </c>
    </row>
    <row r="428" ht="15.75" customHeight="1">
      <c r="A428" s="330">
        <f>IFERROR(__xludf.DUMMYFUNCTION("""COMPUTED_VALUE"""),46121.0)</f>
        <v>46121</v>
      </c>
      <c r="B428" s="319" t="str">
        <f>IFERROR(__xludf.DUMMYFUNCTION("""COMPUTED_VALUE"""),"A. 0")</f>
        <v>A. 0</v>
      </c>
      <c r="C428" s="320">
        <f>IFERROR(__xludf.DUMMYFUNCTION("""COMPUTED_VALUE"""),16629.0)</f>
        <v>16629</v>
      </c>
      <c r="D428" s="320">
        <f>IFERROR(__xludf.DUMMYFUNCTION("""COMPUTED_VALUE"""),22.51)</f>
        <v>22.51</v>
      </c>
      <c r="E428" s="320">
        <f>IFERROR(__xludf.DUMMYFUNCTION("""COMPUTED_VALUE"""),88.25)</f>
        <v>88.25</v>
      </c>
      <c r="F428" s="320">
        <f>IFERROR(__xludf.DUMMYFUNCTION("""COMPUTED_VALUE"""),0.0053)</f>
        <v>0.0053</v>
      </c>
      <c r="G428" s="320">
        <f>IFERROR(__xludf.DUMMYFUNCTION("""COMPUTED_VALUE"""),0.13)</f>
        <v>0.13</v>
      </c>
      <c r="H428" s="320">
        <f>IFERROR(__xludf.DUMMYFUNCTION("""COMPUTED_VALUE"""),4.2024)</f>
        <v>4.2024</v>
      </c>
      <c r="I428" s="320">
        <f>IFERROR(__xludf.DUMMYFUNCTION("""COMPUTED_VALUE"""),6.15)</f>
        <v>6.15</v>
      </c>
      <c r="J428" s="320">
        <f>IFERROR(__xludf.DUMMYFUNCTION("""COMPUTED_VALUE"""),2.76)</f>
        <v>2.76</v>
      </c>
      <c r="K428" s="320">
        <f>IFERROR(__xludf.DUMMYFUNCTION("""COMPUTED_VALUE"""),0.04)</f>
        <v>0.04</v>
      </c>
      <c r="L428" s="320">
        <f>IFERROR(__xludf.DUMMYFUNCTION("""COMPUTED_VALUE"""),0.0148)</f>
        <v>0.0148</v>
      </c>
      <c r="M428" s="320">
        <f>IFERROR(__xludf.DUMMYFUNCTION("""COMPUTED_VALUE"""),0.9863)</f>
        <v>0.9863</v>
      </c>
      <c r="N428" s="320">
        <f>IFERROR(__xludf.DUMMYFUNCTION("""COMPUTED_VALUE"""),0.8119)</f>
        <v>0.8119</v>
      </c>
      <c r="O428" s="320">
        <f>IFERROR(__xludf.DUMMYFUNCTION("""COMPUTED_VALUE"""),67.7001)</f>
        <v>67.7001</v>
      </c>
      <c r="P428" s="320">
        <f>IFERROR(__xludf.DUMMYFUNCTION("""COMPUTED_VALUE"""),23.84)</f>
        <v>23.84</v>
      </c>
      <c r="Q428" s="320">
        <f>IFERROR(__xludf.DUMMYFUNCTION("""COMPUTED_VALUE"""),23.79)</f>
        <v>23.79</v>
      </c>
      <c r="R428" s="320">
        <f>IFERROR(__xludf.DUMMYFUNCTION("""COMPUTED_VALUE"""),0.04)</f>
        <v>0.04</v>
      </c>
      <c r="S428" s="320">
        <f>IFERROR(__xludf.DUMMYFUNCTION("""COMPUTED_VALUE"""),0.46)</f>
        <v>0.46</v>
      </c>
      <c r="T428" s="320">
        <f>IFERROR(__xludf.DUMMYFUNCTION("""COMPUTED_VALUE"""),23.38)</f>
        <v>23.38</v>
      </c>
      <c r="U428" s="320">
        <f>IFERROR(__xludf.DUMMYFUNCTION("""COMPUTED_VALUE"""),2.07)</f>
        <v>2.07</v>
      </c>
      <c r="V428" s="320">
        <f>IFERROR(__xludf.DUMMYFUNCTION("""COMPUTED_VALUE"""),0.7495)</f>
        <v>0.7495</v>
      </c>
      <c r="W428" s="320">
        <f>IFERROR(__xludf.DUMMYFUNCTION("""COMPUTED_VALUE"""),1.94)</f>
        <v>1.94</v>
      </c>
      <c r="X428" s="320">
        <f>IFERROR(__xludf.DUMMYFUNCTION("""COMPUTED_VALUE"""),141.0)</f>
        <v>141</v>
      </c>
      <c r="Y428" s="320">
        <f>IFERROR(__xludf.DUMMYFUNCTION("""COMPUTED_VALUE"""),1061.0)</f>
        <v>1061</v>
      </c>
      <c r="Z428" s="320">
        <f>IFERROR(__xludf.DUMMYFUNCTION("""COMPUTED_VALUE"""),7173.0)</f>
        <v>7173</v>
      </c>
      <c r="AA428" s="320">
        <f>IFERROR(__xludf.DUMMYFUNCTION("""COMPUTED_VALUE"""),49.7678)</f>
        <v>49.7678</v>
      </c>
      <c r="AB428" s="320">
        <f>IFERROR(__xludf.DUMMYFUNCTION("""COMPUTED_VALUE"""),0.5092)</f>
        <v>0.5092</v>
      </c>
      <c r="AC428" s="106"/>
      <c r="AD428" s="106"/>
      <c r="AE428" s="106"/>
      <c r="AF428" s="106"/>
      <c r="AG428" s="106"/>
      <c r="AH428" s="320">
        <f>IFERROR(__xludf.DUMMYFUNCTION("""COMPUTED_VALUE"""),0.0)</f>
        <v>0</v>
      </c>
      <c r="AI428" s="320">
        <f>IFERROR(__xludf.DUMMYFUNCTION("""COMPUTED_VALUE"""),0.0)</f>
        <v>0</v>
      </c>
      <c r="AJ428" s="320">
        <f>IFERROR(__xludf.DUMMYFUNCTION("""COMPUTED_VALUE"""),0.0)</f>
        <v>0</v>
      </c>
      <c r="AK428" s="320">
        <f>IFERROR(__xludf.DUMMYFUNCTION("""COMPUTED_VALUE"""),0.2727)</f>
        <v>0.2727</v>
      </c>
      <c r="AL428" s="320">
        <f>IFERROR(__xludf.DUMMYFUNCTION("""COMPUTED_VALUE"""),16.21)</f>
        <v>16.21</v>
      </c>
      <c r="AM428" s="320">
        <f>IFERROR(__xludf.DUMMYFUNCTION("""COMPUTED_VALUE"""),7.59)</f>
        <v>7.59</v>
      </c>
      <c r="AN428" s="331"/>
      <c r="AO428" s="331"/>
    </row>
    <row r="429" ht="15.75" customHeight="1">
      <c r="A429" s="330">
        <f>IFERROR(__xludf.DUMMYFUNCTION("""COMPUTED_VALUE"""),46121.0)</f>
        <v>46121</v>
      </c>
      <c r="B429" s="319" t="str">
        <f>IFERROR(__xludf.DUMMYFUNCTION("""COMPUTED_VALUE"""),"B. 1-9")</f>
        <v>B. 1-9</v>
      </c>
      <c r="C429" s="320">
        <f>IFERROR(__xludf.DUMMYFUNCTION("""COMPUTED_VALUE"""),31918.0)</f>
        <v>31918</v>
      </c>
      <c r="D429" s="320">
        <f>IFERROR(__xludf.DUMMYFUNCTION("""COMPUTED_VALUE"""),43.2)</f>
        <v>43.2</v>
      </c>
      <c r="E429" s="320">
        <f>IFERROR(__xludf.DUMMYFUNCTION("""COMPUTED_VALUE"""),7452.19)</f>
        <v>7452.19</v>
      </c>
      <c r="F429" s="320">
        <f>IFERROR(__xludf.DUMMYFUNCTION("""COMPUTED_VALUE"""),0.2335)</f>
        <v>0.2335</v>
      </c>
      <c r="G429" s="320">
        <f>IFERROR(__xludf.DUMMYFUNCTION("""COMPUTED_VALUE"""),6.7)</f>
        <v>6.7</v>
      </c>
      <c r="H429" s="320">
        <f>IFERROR(__xludf.DUMMYFUNCTION("""COMPUTED_VALUE"""),3.4823)</f>
        <v>3.4823</v>
      </c>
      <c r="I429" s="320">
        <f>IFERROR(__xludf.DUMMYFUNCTION("""COMPUTED_VALUE"""),28.67)</f>
        <v>28.67</v>
      </c>
      <c r="J429" s="320">
        <f>IFERROR(__xludf.DUMMYFUNCTION("""COMPUTED_VALUE"""),15.1)</f>
        <v>15.1</v>
      </c>
      <c r="K429" s="320">
        <f>IFERROR(__xludf.DUMMYFUNCTION("""COMPUTED_VALUE"""),4.91)</f>
        <v>4.91</v>
      </c>
      <c r="L429" s="320">
        <f>IFERROR(__xludf.DUMMYFUNCTION("""COMPUTED_VALUE"""),0.3252)</f>
        <v>0.3252</v>
      </c>
      <c r="M429" s="320">
        <f>IFERROR(__xludf.DUMMYFUNCTION("""COMPUTED_VALUE"""),0.7487)</f>
        <v>0.7487</v>
      </c>
      <c r="N429" s="320">
        <f>IFERROR(__xludf.DUMMYFUNCTION("""COMPUTED_VALUE"""),0.5183)</f>
        <v>0.5183</v>
      </c>
      <c r="O429" s="320">
        <f>IFERROR(__xludf.DUMMYFUNCTION("""COMPUTED_VALUE"""),3.0754)</f>
        <v>3.0754</v>
      </c>
      <c r="P429" s="320">
        <f>IFERROR(__xludf.DUMMYFUNCTION("""COMPUTED_VALUE"""),62.0)</f>
        <v>62</v>
      </c>
      <c r="Q429" s="320">
        <f>IFERROR(__xludf.DUMMYFUNCTION("""COMPUTED_VALUE"""),52.74)</f>
        <v>52.74</v>
      </c>
      <c r="R429" s="320">
        <f>IFERROR(__xludf.DUMMYFUNCTION("""COMPUTED_VALUE"""),9.26)</f>
        <v>9.26</v>
      </c>
      <c r="S429" s="320">
        <f>IFERROR(__xludf.DUMMYFUNCTION("""COMPUTED_VALUE"""),15.82)</f>
        <v>15.82</v>
      </c>
      <c r="T429" s="320">
        <f>IFERROR(__xludf.DUMMYFUNCTION("""COMPUTED_VALUE"""),46.18)</f>
        <v>46.18</v>
      </c>
      <c r="U429" s="320">
        <f>IFERROR(__xludf.DUMMYFUNCTION("""COMPUTED_VALUE"""),66.62)</f>
        <v>66.62</v>
      </c>
      <c r="V429" s="320">
        <f>IFERROR(__xludf.DUMMYFUNCTION("""COMPUTED_VALUE"""),4.411)</f>
        <v>4.411</v>
      </c>
      <c r="W429" s="320">
        <f>IFERROR(__xludf.DUMMYFUNCTION("""COMPUTED_VALUE"""),25.51)</f>
        <v>25.51</v>
      </c>
      <c r="X429" s="320">
        <f>IFERROR(__xludf.DUMMYFUNCTION("""COMPUTED_VALUE"""),85.0)</f>
        <v>85</v>
      </c>
      <c r="Y429" s="320">
        <f>IFERROR(__xludf.DUMMYFUNCTION("""COMPUTED_VALUE"""),197.0)</f>
        <v>197</v>
      </c>
      <c r="Z429" s="320">
        <f>IFERROR(__xludf.DUMMYFUNCTION("""COMPUTED_VALUE"""),810.0)</f>
        <v>810</v>
      </c>
      <c r="AA429" s="320">
        <f>IFERROR(__xludf.DUMMYFUNCTION("""COMPUTED_VALUE"""),49.7853)</f>
        <v>49.7853</v>
      </c>
      <c r="AB429" s="320">
        <f>IFERROR(__xludf.DUMMYFUNCTION("""COMPUTED_VALUE"""),0.4491)</f>
        <v>0.4491</v>
      </c>
      <c r="AC429" s="320">
        <f>IFERROR(__xludf.DUMMYFUNCTION("""COMPUTED_VALUE"""),3.36)</f>
        <v>3.36</v>
      </c>
      <c r="AD429" s="320">
        <f>IFERROR(__xludf.DUMMYFUNCTION("""COMPUTED_VALUE"""),1.0)</f>
        <v>1</v>
      </c>
      <c r="AE429" s="320">
        <f>IFERROR(__xludf.DUMMYFUNCTION("""COMPUTED_VALUE"""),2.0)</f>
        <v>2</v>
      </c>
      <c r="AF429" s="320">
        <f>IFERROR(__xludf.DUMMYFUNCTION("""COMPUTED_VALUE"""),4.0)</f>
        <v>4</v>
      </c>
      <c r="AG429" s="320">
        <f>IFERROR(__xludf.DUMMYFUNCTION("""COMPUTED_VALUE"""),8.0)</f>
        <v>8</v>
      </c>
      <c r="AH429" s="320">
        <f>IFERROR(__xludf.DUMMYFUNCTION("""COMPUTED_VALUE"""),64.26)</f>
        <v>64.26</v>
      </c>
      <c r="AI429" s="320">
        <f>IFERROR(__xludf.DUMMYFUNCTION("""COMPUTED_VALUE"""),23.16)</f>
        <v>23.16</v>
      </c>
      <c r="AJ429" s="320">
        <f>IFERROR(__xludf.DUMMYFUNCTION("""COMPUTED_VALUE"""),6.45)</f>
        <v>6.45</v>
      </c>
      <c r="AK429" s="320">
        <f>IFERROR(__xludf.DUMMYFUNCTION("""COMPUTED_VALUE"""),0.2238)</f>
        <v>0.2238</v>
      </c>
      <c r="AL429" s="320">
        <f>IFERROR(__xludf.DUMMYFUNCTION("""COMPUTED_VALUE"""),20.09)</f>
        <v>20.09</v>
      </c>
      <c r="AM429" s="320">
        <f>IFERROR(__xludf.DUMMYFUNCTION("""COMPUTED_VALUE"""),32.65)</f>
        <v>32.65</v>
      </c>
      <c r="AN429" s="320">
        <f>IFERROR(__xludf.DUMMYFUNCTION("""COMPUTED_VALUE"""),68.61)</f>
        <v>68.61</v>
      </c>
      <c r="AO429" s="320">
        <f>IFERROR(__xludf.DUMMYFUNCTION("""COMPUTED_VALUE"""),13.78)</f>
        <v>13.78</v>
      </c>
    </row>
    <row r="430" ht="15.75" customHeight="1">
      <c r="A430" s="330">
        <f>IFERROR(__xludf.DUMMYFUNCTION("""COMPUTED_VALUE"""),46121.0)</f>
        <v>46121</v>
      </c>
      <c r="B430" s="319" t="str">
        <f>IFERROR(__xludf.DUMMYFUNCTION("""COMPUTED_VALUE"""),"C. 10-19")</f>
        <v>C. 10-19</v>
      </c>
      <c r="C430" s="320">
        <f>IFERROR(__xludf.DUMMYFUNCTION("""COMPUTED_VALUE"""),14796.0)</f>
        <v>14796</v>
      </c>
      <c r="D430" s="320">
        <f>IFERROR(__xludf.DUMMYFUNCTION("""COMPUTED_VALUE"""),20.03)</f>
        <v>20.03</v>
      </c>
      <c r="E430" s="320">
        <f>IFERROR(__xludf.DUMMYFUNCTION("""COMPUTED_VALUE"""),15723.74)</f>
        <v>15723.74</v>
      </c>
      <c r="F430" s="320">
        <f>IFERROR(__xludf.DUMMYFUNCTION("""COMPUTED_VALUE"""),1.0627)</f>
        <v>1.0627</v>
      </c>
      <c r="G430" s="320">
        <f>IFERROR(__xludf.DUMMYFUNCTION("""COMPUTED_VALUE"""),21.57)</f>
        <v>21.57</v>
      </c>
      <c r="H430" s="320">
        <f>IFERROR(__xludf.DUMMYFUNCTION("""COMPUTED_VALUE"""),4.9275)</f>
        <v>4.9275</v>
      </c>
      <c r="I430" s="320">
        <f>IFERROR(__xludf.DUMMYFUNCTION("""COMPUTED_VALUE"""),51.77)</f>
        <v>51.77</v>
      </c>
      <c r="J430" s="320">
        <f>IFERROR(__xludf.DUMMYFUNCTION("""COMPUTED_VALUE"""),29.0)</f>
        <v>29</v>
      </c>
      <c r="K430" s="320">
        <f>IFERROR(__xludf.DUMMYFUNCTION("""COMPUTED_VALUE"""),12.87)</f>
        <v>12.87</v>
      </c>
      <c r="L430" s="320">
        <f>IFERROR(__xludf.DUMMYFUNCTION("""COMPUTED_VALUE"""),0.4437)</f>
        <v>0.4437</v>
      </c>
      <c r="M430" s="320">
        <f>IFERROR(__xludf.DUMMYFUNCTION("""COMPUTED_VALUE"""),0.6252)</f>
        <v>0.6252</v>
      </c>
      <c r="N430" s="320">
        <f>IFERROR(__xludf.DUMMYFUNCTION("""COMPUTED_VALUE"""),0.3647)</f>
        <v>0.3647</v>
      </c>
      <c r="O430" s="320">
        <f>IFERROR(__xludf.DUMMYFUNCTION("""COMPUTED_VALUE"""),2.254)</f>
        <v>2.254</v>
      </c>
      <c r="P430" s="320">
        <f>IFERROR(__xludf.DUMMYFUNCTION("""COMPUTED_VALUE"""),163.45)</f>
        <v>163.45</v>
      </c>
      <c r="Q430" s="320">
        <f>IFERROR(__xludf.DUMMYFUNCTION("""COMPUTED_VALUE"""),139.82)</f>
        <v>139.82</v>
      </c>
      <c r="R430" s="320">
        <f>IFERROR(__xludf.DUMMYFUNCTION("""COMPUTED_VALUE"""),23.63)</f>
        <v>23.63</v>
      </c>
      <c r="S430" s="320">
        <f>IFERROR(__xludf.DUMMYFUNCTION("""COMPUTED_VALUE"""),71.03)</f>
        <v>71.03</v>
      </c>
      <c r="T430" s="320">
        <f>IFERROR(__xludf.DUMMYFUNCTION("""COMPUTED_VALUE"""),92.42)</f>
        <v>92.42</v>
      </c>
      <c r="U430" s="320">
        <f>IFERROR(__xludf.DUMMYFUNCTION("""COMPUTED_VALUE"""),165.3)</f>
        <v>165.3</v>
      </c>
      <c r="V430" s="320">
        <f>IFERROR(__xludf.DUMMYFUNCTION("""COMPUTED_VALUE"""),5.6993)</f>
        <v>5.6993</v>
      </c>
      <c r="W430" s="320">
        <f>IFERROR(__xludf.DUMMYFUNCTION("""COMPUTED_VALUE"""),43.46)</f>
        <v>43.46</v>
      </c>
      <c r="X430" s="320">
        <f>IFERROR(__xludf.DUMMYFUNCTION("""COMPUTED_VALUE"""),81.0)</f>
        <v>81</v>
      </c>
      <c r="Y430" s="320">
        <f>IFERROR(__xludf.DUMMYFUNCTION("""COMPUTED_VALUE"""),172.0)</f>
        <v>172</v>
      </c>
      <c r="Z430" s="320">
        <f>IFERROR(__xludf.DUMMYFUNCTION("""COMPUTED_VALUE"""),574.0)</f>
        <v>574</v>
      </c>
      <c r="AA430" s="320">
        <f>IFERROR(__xludf.DUMMYFUNCTION("""COMPUTED_VALUE"""),52.4906)</f>
        <v>52.4906</v>
      </c>
      <c r="AB430" s="320">
        <f>IFERROR(__xludf.DUMMYFUNCTION("""COMPUTED_VALUE"""),0.5338)</f>
        <v>0.5338</v>
      </c>
      <c r="AC430" s="320">
        <f>IFERROR(__xludf.DUMMYFUNCTION("""COMPUTED_VALUE"""),8.27)</f>
        <v>8.27</v>
      </c>
      <c r="AD430" s="320">
        <f>IFERROR(__xludf.DUMMYFUNCTION("""COMPUTED_VALUE"""),2.0)</f>
        <v>2</v>
      </c>
      <c r="AE430" s="320">
        <f>IFERROR(__xludf.DUMMYFUNCTION("""COMPUTED_VALUE"""),6.0)</f>
        <v>6</v>
      </c>
      <c r="AF430" s="320">
        <f>IFERROR(__xludf.DUMMYFUNCTION("""COMPUTED_VALUE"""),11.0)</f>
        <v>11</v>
      </c>
      <c r="AG430" s="320">
        <f>IFERROR(__xludf.DUMMYFUNCTION("""COMPUTED_VALUE"""),19.0)</f>
        <v>19</v>
      </c>
      <c r="AH430" s="320">
        <f>IFERROR(__xludf.DUMMYFUNCTION("""COMPUTED_VALUE"""),50.78)</f>
        <v>50.78</v>
      </c>
      <c r="AI430" s="320">
        <f>IFERROR(__xludf.DUMMYFUNCTION("""COMPUTED_VALUE"""),21.54)</f>
        <v>21.54</v>
      </c>
      <c r="AJ430" s="320">
        <f>IFERROR(__xludf.DUMMYFUNCTION("""COMPUTED_VALUE"""),4.1)</f>
        <v>4.1</v>
      </c>
      <c r="AK430" s="320">
        <f>IFERROR(__xludf.DUMMYFUNCTION("""COMPUTED_VALUE"""),0.2012)</f>
        <v>0.2012</v>
      </c>
      <c r="AL430" s="320">
        <f>IFERROR(__xludf.DUMMYFUNCTION("""COMPUTED_VALUE"""),20.22)</f>
        <v>20.22</v>
      </c>
      <c r="AM430" s="320">
        <f>IFERROR(__xludf.DUMMYFUNCTION("""COMPUTED_VALUE"""),119.6)</f>
        <v>119.6</v>
      </c>
      <c r="AN430" s="320">
        <f>IFERROR(__xludf.DUMMYFUNCTION("""COMPUTED_VALUE"""),73.28)</f>
        <v>73.28</v>
      </c>
      <c r="AO430" s="320">
        <f>IFERROR(__xludf.DUMMYFUNCTION("""COMPUTED_VALUE"""),14.82)</f>
        <v>14.82</v>
      </c>
    </row>
    <row r="431" ht="15.75" customHeight="1">
      <c r="A431" s="330">
        <f>IFERROR(__xludf.DUMMYFUNCTION("""COMPUTED_VALUE"""),46121.0)</f>
        <v>46121</v>
      </c>
      <c r="B431" s="319" t="str">
        <f>IFERROR(__xludf.DUMMYFUNCTION("""COMPUTED_VALUE"""),"D. 20-39")</f>
        <v>D. 20-39</v>
      </c>
      <c r="C431" s="320">
        <f>IFERROR(__xludf.DUMMYFUNCTION("""COMPUTED_VALUE"""),7293.0)</f>
        <v>7293</v>
      </c>
      <c r="D431" s="320">
        <f>IFERROR(__xludf.DUMMYFUNCTION("""COMPUTED_VALUE"""),9.87)</f>
        <v>9.87</v>
      </c>
      <c r="E431" s="320">
        <f>IFERROR(__xludf.DUMMYFUNCTION("""COMPUTED_VALUE"""),17462.45)</f>
        <v>17462.45</v>
      </c>
      <c r="F431" s="320">
        <f>IFERROR(__xludf.DUMMYFUNCTION("""COMPUTED_VALUE"""),2.3944)</f>
        <v>2.3944</v>
      </c>
      <c r="G431" s="320">
        <f>IFERROR(__xludf.DUMMYFUNCTION("""COMPUTED_VALUE"""),33.48)</f>
        <v>33.48</v>
      </c>
      <c r="H431" s="320">
        <f>IFERROR(__xludf.DUMMYFUNCTION("""COMPUTED_VALUE"""),7.1509)</f>
        <v>7.1509</v>
      </c>
      <c r="I431" s="320">
        <f>IFERROR(__xludf.DUMMYFUNCTION("""COMPUTED_VALUE"""),79.64)</f>
        <v>79.64</v>
      </c>
      <c r="J431" s="320">
        <f>IFERROR(__xludf.DUMMYFUNCTION("""COMPUTED_VALUE"""),47.1)</f>
        <v>47.1</v>
      </c>
      <c r="K431" s="320">
        <f>IFERROR(__xludf.DUMMYFUNCTION("""COMPUTED_VALUE"""),25.27)</f>
        <v>25.27</v>
      </c>
      <c r="L431" s="320">
        <f>IFERROR(__xludf.DUMMYFUNCTION("""COMPUTED_VALUE"""),0.5366)</f>
        <v>0.5366</v>
      </c>
      <c r="M431" s="320">
        <f>IFERROR(__xludf.DUMMYFUNCTION("""COMPUTED_VALUE"""),0.5382)</f>
        <v>0.5382</v>
      </c>
      <c r="N431" s="320">
        <f>IFERROR(__xludf.DUMMYFUNCTION("""COMPUTED_VALUE"""),0.3)</f>
        <v>0.3</v>
      </c>
      <c r="O431" s="320">
        <f>IFERROR(__xludf.DUMMYFUNCTION("""COMPUTED_VALUE"""),1.8636)</f>
        <v>1.8636</v>
      </c>
      <c r="P431" s="320">
        <f>IFERROR(__xludf.DUMMYFUNCTION("""COMPUTED_VALUE"""),333.15)</f>
        <v>333.15</v>
      </c>
      <c r="Q431" s="320">
        <f>IFERROR(__xludf.DUMMYFUNCTION("""COMPUTED_VALUE"""),284.9)</f>
        <v>284.9</v>
      </c>
      <c r="R431" s="320">
        <f>IFERROR(__xludf.DUMMYFUNCTION("""COMPUTED_VALUE"""),48.26)</f>
        <v>48.26</v>
      </c>
      <c r="S431" s="320">
        <f>IFERROR(__xludf.DUMMYFUNCTION("""COMPUTED_VALUE"""),155.6)</f>
        <v>155.6</v>
      </c>
      <c r="T431" s="320">
        <f>IFERROR(__xludf.DUMMYFUNCTION("""COMPUTED_VALUE"""),177.55)</f>
        <v>177.55</v>
      </c>
      <c r="U431" s="320">
        <f>IFERROR(__xludf.DUMMYFUNCTION("""COMPUTED_VALUE"""),334.69)</f>
        <v>334.69</v>
      </c>
      <c r="V431" s="320">
        <f>IFERROR(__xludf.DUMMYFUNCTION("""COMPUTED_VALUE"""),7.1057)</f>
        <v>7.1057</v>
      </c>
      <c r="W431" s="320">
        <f>IFERROR(__xludf.DUMMYFUNCTION("""COMPUTED_VALUE"""),46.71)</f>
        <v>46.71</v>
      </c>
      <c r="X431" s="320">
        <f>IFERROR(__xludf.DUMMYFUNCTION("""COMPUTED_VALUE"""),85.0)</f>
        <v>85</v>
      </c>
      <c r="Y431" s="320">
        <f>IFERROR(__xludf.DUMMYFUNCTION("""COMPUTED_VALUE"""),202.0)</f>
        <v>202</v>
      </c>
      <c r="Z431" s="320">
        <f>IFERROR(__xludf.DUMMYFUNCTION("""COMPUTED_VALUE"""),606.0)</f>
        <v>606</v>
      </c>
      <c r="AA431" s="320">
        <f>IFERROR(__xludf.DUMMYFUNCTION("""COMPUTED_VALUE"""),54.1685)</f>
        <v>54.1685</v>
      </c>
      <c r="AB431" s="320">
        <f>IFERROR(__xludf.DUMMYFUNCTION("""COMPUTED_VALUE"""),0.6294)</f>
        <v>0.6294</v>
      </c>
      <c r="AC431" s="320">
        <f>IFERROR(__xludf.DUMMYFUNCTION("""COMPUTED_VALUE"""),16.67)</f>
        <v>16.67</v>
      </c>
      <c r="AD431" s="320">
        <f>IFERROR(__xludf.DUMMYFUNCTION("""COMPUTED_VALUE"""),5.0)</f>
        <v>5</v>
      </c>
      <c r="AE431" s="320">
        <f>IFERROR(__xludf.DUMMYFUNCTION("""COMPUTED_VALUE"""),11.0)</f>
        <v>11</v>
      </c>
      <c r="AF431" s="320">
        <f>IFERROR(__xludf.DUMMYFUNCTION("""COMPUTED_VALUE"""),23.0)</f>
        <v>23</v>
      </c>
      <c r="AG431" s="320">
        <f>IFERROR(__xludf.DUMMYFUNCTION("""COMPUTED_VALUE"""),38.0)</f>
        <v>38</v>
      </c>
      <c r="AH431" s="320">
        <f>IFERROR(__xludf.DUMMYFUNCTION("""COMPUTED_VALUE"""),52.64)</f>
        <v>52.64</v>
      </c>
      <c r="AI431" s="320">
        <f>IFERROR(__xludf.DUMMYFUNCTION("""COMPUTED_VALUE"""),21.84)</f>
        <v>21.84</v>
      </c>
      <c r="AJ431" s="320">
        <f>IFERROR(__xludf.DUMMYFUNCTION("""COMPUTED_VALUE"""),7.61)</f>
        <v>7.61</v>
      </c>
      <c r="AK431" s="320">
        <f>IFERROR(__xludf.DUMMYFUNCTION("""COMPUTED_VALUE"""),0.1866)</f>
        <v>0.1866</v>
      </c>
      <c r="AL431" s="320">
        <f>IFERROR(__xludf.DUMMYFUNCTION("""COMPUTED_VALUE"""),20.5)</f>
        <v>20.5</v>
      </c>
      <c r="AM431" s="320">
        <f>IFERROR(__xludf.DUMMYFUNCTION("""COMPUTED_VALUE"""),264.39)</f>
        <v>264.39</v>
      </c>
      <c r="AN431" s="320">
        <f>IFERROR(__xludf.DUMMYFUNCTION("""COMPUTED_VALUE"""),76.63)</f>
        <v>76.63</v>
      </c>
      <c r="AO431" s="320">
        <f>IFERROR(__xludf.DUMMYFUNCTION("""COMPUTED_VALUE"""),15.71)</f>
        <v>15.71</v>
      </c>
    </row>
    <row r="432" ht="15.75" customHeight="1">
      <c r="A432" s="330">
        <f>IFERROR(__xludf.DUMMYFUNCTION("""COMPUTED_VALUE"""),46121.0)</f>
        <v>46121</v>
      </c>
      <c r="B432" s="319" t="str">
        <f>IFERROR(__xludf.DUMMYFUNCTION("""COMPUTED_VALUE"""),"E. 40-99")</f>
        <v>E. 40-99</v>
      </c>
      <c r="C432" s="320">
        <f>IFERROR(__xludf.DUMMYFUNCTION("""COMPUTED_VALUE"""),2952.0)</f>
        <v>2952</v>
      </c>
      <c r="D432" s="320">
        <f>IFERROR(__xludf.DUMMYFUNCTION("""COMPUTED_VALUE"""),4.0)</f>
        <v>4</v>
      </c>
      <c r="E432" s="320">
        <f>IFERROR(__xludf.DUMMYFUNCTION("""COMPUTED_VALUE"""),16657.01)</f>
        <v>16657.01</v>
      </c>
      <c r="F432" s="320">
        <f>IFERROR(__xludf.DUMMYFUNCTION("""COMPUTED_VALUE"""),5.6426)</f>
        <v>5.6426</v>
      </c>
      <c r="G432" s="320">
        <f>IFERROR(__xludf.DUMMYFUNCTION("""COMPUTED_VALUE"""),42.55)</f>
        <v>42.55</v>
      </c>
      <c r="H432" s="320">
        <f>IFERROR(__xludf.DUMMYFUNCTION("""COMPUTED_VALUE"""),13.262)</f>
        <v>13.262</v>
      </c>
      <c r="I432" s="320">
        <f>IFERROR(__xludf.DUMMYFUNCTION("""COMPUTED_VALUE"""),125.61)</f>
        <v>125.61</v>
      </c>
      <c r="J432" s="320">
        <f>IFERROR(__xludf.DUMMYFUNCTION("""COMPUTED_VALUE"""),77.56)</f>
        <v>77.56</v>
      </c>
      <c r="K432" s="320">
        <f>IFERROR(__xludf.DUMMYFUNCTION("""COMPUTED_VALUE"""),52.47)</f>
        <v>52.47</v>
      </c>
      <c r="L432" s="320">
        <f>IFERROR(__xludf.DUMMYFUNCTION("""COMPUTED_VALUE"""),0.6766)</f>
        <v>0.6766</v>
      </c>
      <c r="M432" s="320">
        <f>IFERROR(__xludf.DUMMYFUNCTION("""COMPUTED_VALUE"""),0.4138)</f>
        <v>0.4138</v>
      </c>
      <c r="N432" s="320">
        <f>IFERROR(__xludf.DUMMYFUNCTION("""COMPUTED_VALUE"""),0.2398)</f>
        <v>0.2398</v>
      </c>
      <c r="O432" s="320">
        <f>IFERROR(__xludf.DUMMYFUNCTION("""COMPUTED_VALUE"""),1.478)</f>
        <v>1.478</v>
      </c>
      <c r="P432" s="320">
        <f>IFERROR(__xludf.DUMMYFUNCTION("""COMPUTED_VALUE"""),729.95)</f>
        <v>729.95</v>
      </c>
      <c r="Q432" s="320">
        <f>IFERROR(__xludf.DUMMYFUNCTION("""COMPUTED_VALUE"""),629.9)</f>
        <v>629.9</v>
      </c>
      <c r="R432" s="320">
        <f>IFERROR(__xludf.DUMMYFUNCTION("""COMPUTED_VALUE"""),100.05)</f>
        <v>100.05</v>
      </c>
      <c r="S432" s="320">
        <f>IFERROR(__xludf.DUMMYFUNCTION("""COMPUTED_VALUE"""),355.6)</f>
        <v>355.6</v>
      </c>
      <c r="T432" s="320">
        <f>IFERROR(__xludf.DUMMYFUNCTION("""COMPUTED_VALUE"""),374.34)</f>
        <v>374.34</v>
      </c>
      <c r="U432" s="320">
        <f>IFERROR(__xludf.DUMMYFUNCTION("""COMPUTED_VALUE"""),720.41)</f>
        <v>720.41</v>
      </c>
      <c r="V432" s="320">
        <f>IFERROR(__xludf.DUMMYFUNCTION("""COMPUTED_VALUE"""),9.2889)</f>
        <v>9.2889</v>
      </c>
      <c r="W432" s="320">
        <f>IFERROR(__xludf.DUMMYFUNCTION("""COMPUTED_VALUE"""),48.72)</f>
        <v>48.72</v>
      </c>
      <c r="X432" s="320">
        <f>IFERROR(__xludf.DUMMYFUNCTION("""COMPUTED_VALUE"""),94.0)</f>
        <v>94</v>
      </c>
      <c r="Y432" s="320">
        <f>IFERROR(__xludf.DUMMYFUNCTION("""COMPUTED_VALUE"""),300.0)</f>
        <v>300</v>
      </c>
      <c r="Z432" s="320">
        <f>IFERROR(__xludf.DUMMYFUNCTION("""COMPUTED_VALUE"""),874.0)</f>
        <v>874</v>
      </c>
      <c r="AA432" s="320">
        <f>IFERROR(__xludf.DUMMYFUNCTION("""COMPUTED_VALUE"""),57.1496)</f>
        <v>57.1496</v>
      </c>
      <c r="AB432" s="320">
        <f>IFERROR(__xludf.DUMMYFUNCTION("""COMPUTED_VALUE"""),0.7198)</f>
        <v>0.7198</v>
      </c>
      <c r="AC432" s="320">
        <f>IFERROR(__xludf.DUMMYFUNCTION("""COMPUTED_VALUE"""),35.08)</f>
        <v>35.08</v>
      </c>
      <c r="AD432" s="320">
        <f>IFERROR(__xludf.DUMMYFUNCTION("""COMPUTED_VALUE"""),11.0)</f>
        <v>11</v>
      </c>
      <c r="AE432" s="320">
        <f>IFERROR(__xludf.DUMMYFUNCTION("""COMPUTED_VALUE"""),27.0)</f>
        <v>27</v>
      </c>
      <c r="AF432" s="320">
        <f>IFERROR(__xludf.DUMMYFUNCTION("""COMPUTED_VALUE"""),50.0)</f>
        <v>50</v>
      </c>
      <c r="AG432" s="320">
        <f>IFERROR(__xludf.DUMMYFUNCTION("""COMPUTED_VALUE"""),77.0)</f>
        <v>77</v>
      </c>
      <c r="AH432" s="320">
        <f>IFERROR(__xludf.DUMMYFUNCTION("""COMPUTED_VALUE"""),48.71)</f>
        <v>48.71</v>
      </c>
      <c r="AI432" s="320">
        <f>IFERROR(__xludf.DUMMYFUNCTION("""COMPUTED_VALUE"""),18.12)</f>
        <v>18.12</v>
      </c>
      <c r="AJ432" s="320">
        <f>IFERROR(__xludf.DUMMYFUNCTION("""COMPUTED_VALUE"""),4.78)</f>
        <v>4.78</v>
      </c>
      <c r="AK432" s="320">
        <f>IFERROR(__xludf.DUMMYFUNCTION("""COMPUTED_VALUE"""),0.1484)</f>
        <v>0.1484</v>
      </c>
      <c r="AL432" s="320">
        <f>IFERROR(__xludf.DUMMYFUNCTION("""COMPUTED_VALUE"""),20.78)</f>
        <v>20.78</v>
      </c>
      <c r="AM432" s="320">
        <f>IFERROR(__xludf.DUMMYFUNCTION("""COMPUTED_VALUE"""),609.12)</f>
        <v>609.12</v>
      </c>
      <c r="AN432" s="320">
        <f>IFERROR(__xludf.DUMMYFUNCTION("""COMPUTED_VALUE"""),79.02)</f>
        <v>79.02</v>
      </c>
      <c r="AO432" s="320">
        <f>IFERROR(__xludf.DUMMYFUNCTION("""COMPUTED_VALUE"""),16.42)</f>
        <v>16.42</v>
      </c>
    </row>
    <row r="433" ht="15.75" customHeight="1">
      <c r="A433" s="330">
        <f>IFERROR(__xludf.DUMMYFUNCTION("""COMPUTED_VALUE"""),46121.0)</f>
        <v>46121</v>
      </c>
      <c r="B433" s="319" t="str">
        <f>IFERROR(__xludf.DUMMYFUNCTION("""COMPUTED_VALUE"""),"F. 100+")</f>
        <v>F. 100+</v>
      </c>
      <c r="C433" s="320">
        <f>IFERROR(__xludf.DUMMYFUNCTION("""COMPUTED_VALUE"""),293.0)</f>
        <v>293</v>
      </c>
      <c r="D433" s="320">
        <f>IFERROR(__xludf.DUMMYFUNCTION("""COMPUTED_VALUE"""),0.4)</f>
        <v>0.4</v>
      </c>
      <c r="E433" s="320">
        <f>IFERROR(__xludf.DUMMYFUNCTION("""COMPUTED_VALUE"""),2809.5)</f>
        <v>2809.5</v>
      </c>
      <c r="F433" s="320">
        <f>IFERROR(__xludf.DUMMYFUNCTION("""COMPUTED_VALUE"""),9.5887)</f>
        <v>9.5887</v>
      </c>
      <c r="G433" s="320">
        <f>IFERROR(__xludf.DUMMYFUNCTION("""COMPUTED_VALUE"""),45.05)</f>
        <v>45.05</v>
      </c>
      <c r="H433" s="320">
        <f>IFERROR(__xludf.DUMMYFUNCTION("""COMPUTED_VALUE"""),21.2841)</f>
        <v>21.2841</v>
      </c>
      <c r="I433" s="320">
        <f>IFERROR(__xludf.DUMMYFUNCTION("""COMPUTED_VALUE"""),256.69)</f>
        <v>256.69</v>
      </c>
      <c r="J433" s="320">
        <f>IFERROR(__xludf.DUMMYFUNCTION("""COMPUTED_VALUE"""),168.37)</f>
        <v>168.37</v>
      </c>
      <c r="K433" s="320">
        <f>IFERROR(__xludf.DUMMYFUNCTION("""COMPUTED_VALUE"""),135.06)</f>
        <v>135.06</v>
      </c>
      <c r="L433" s="320">
        <f>IFERROR(__xludf.DUMMYFUNCTION("""COMPUTED_VALUE"""),0.8022)</f>
        <v>0.8022</v>
      </c>
      <c r="M433" s="320">
        <f>IFERROR(__xludf.DUMMYFUNCTION("""COMPUTED_VALUE"""),0.2885)</f>
        <v>0.2885</v>
      </c>
      <c r="N433" s="320">
        <f>IFERROR(__xludf.DUMMYFUNCTION("""COMPUTED_VALUE"""),0.1778)</f>
        <v>0.1778</v>
      </c>
      <c r="O433" s="320">
        <f>IFERROR(__xludf.DUMMYFUNCTION("""COMPUTED_VALUE"""),1.2466)</f>
        <v>1.2466</v>
      </c>
      <c r="P433" s="320">
        <f>IFERROR(__xludf.DUMMYFUNCTION("""COMPUTED_VALUE"""),1394.1)</f>
        <v>1394.1</v>
      </c>
      <c r="Q433" s="320">
        <f>IFERROR(__xludf.DUMMYFUNCTION("""COMPUTED_VALUE"""),1136.32)</f>
        <v>1136.32</v>
      </c>
      <c r="R433" s="320">
        <f>IFERROR(__xludf.DUMMYFUNCTION("""COMPUTED_VALUE"""),257.78)</f>
        <v>257.78</v>
      </c>
      <c r="S433" s="320">
        <f>IFERROR(__xludf.DUMMYFUNCTION("""COMPUTED_VALUE"""),595.1)</f>
        <v>595.1</v>
      </c>
      <c r="T433" s="320">
        <f>IFERROR(__xludf.DUMMYFUNCTION("""COMPUTED_VALUE"""),799.0)</f>
        <v>799</v>
      </c>
      <c r="U433" s="320">
        <f>IFERROR(__xludf.DUMMYFUNCTION("""COMPUTED_VALUE"""),1376.62)</f>
        <v>1376.62</v>
      </c>
      <c r="V433" s="320">
        <f>IFERROR(__xludf.DUMMYFUNCTION("""COMPUTED_VALUE"""),8.1761)</f>
        <v>8.1761</v>
      </c>
      <c r="W433" s="320">
        <f>IFERROR(__xludf.DUMMYFUNCTION("""COMPUTED_VALUE"""),42.69)</f>
        <v>42.69</v>
      </c>
      <c r="X433" s="320">
        <f>IFERROR(__xludf.DUMMYFUNCTION("""COMPUTED_VALUE"""),185.0)</f>
        <v>185</v>
      </c>
      <c r="Y433" s="320">
        <f>IFERROR(__xludf.DUMMYFUNCTION("""COMPUTED_VALUE"""),725.0)</f>
        <v>725</v>
      </c>
      <c r="Z433" s="320">
        <f>IFERROR(__xludf.DUMMYFUNCTION("""COMPUTED_VALUE"""),2100.0)</f>
        <v>2100</v>
      </c>
      <c r="AA433" s="320">
        <f>IFERROR(__xludf.DUMMYFUNCTION("""COMPUTED_VALUE"""),61.1346)</f>
        <v>61.1346</v>
      </c>
      <c r="AB433" s="320">
        <f>IFERROR(__xludf.DUMMYFUNCTION("""COMPUTED_VALUE"""),0.8127)</f>
        <v>0.8127</v>
      </c>
      <c r="AC433" s="320">
        <f>IFERROR(__xludf.DUMMYFUNCTION("""COMPUTED_VALUE"""),92.71)</f>
        <v>92.71</v>
      </c>
      <c r="AD433" s="320">
        <f>IFERROR(__xludf.DUMMYFUNCTION("""COMPUTED_VALUE"""),32.0)</f>
        <v>32</v>
      </c>
      <c r="AE433" s="320">
        <f>IFERROR(__xludf.DUMMYFUNCTION("""COMPUTED_VALUE"""),68.0)</f>
        <v>68</v>
      </c>
      <c r="AF433" s="320">
        <f>IFERROR(__xludf.DUMMYFUNCTION("""COMPUTED_VALUE"""),135.0)</f>
        <v>135</v>
      </c>
      <c r="AG433" s="320">
        <f>IFERROR(__xludf.DUMMYFUNCTION("""COMPUTED_VALUE"""),185.0)</f>
        <v>185</v>
      </c>
      <c r="AH433" s="320">
        <f>IFERROR(__xludf.DUMMYFUNCTION("""COMPUTED_VALUE"""),44.37)</f>
        <v>44.37</v>
      </c>
      <c r="AI433" s="320">
        <f>IFERROR(__xludf.DUMMYFUNCTION("""COMPUTED_VALUE"""),12.29)</f>
        <v>12.29</v>
      </c>
      <c r="AJ433" s="320">
        <f>IFERROR(__xludf.DUMMYFUNCTION("""COMPUTED_VALUE"""),3.41)</f>
        <v>3.41</v>
      </c>
      <c r="AK433" s="320">
        <f>IFERROR(__xludf.DUMMYFUNCTION("""COMPUTED_VALUE"""),0.0887)</f>
        <v>0.0887</v>
      </c>
      <c r="AL433" s="320">
        <f>IFERROR(__xludf.DUMMYFUNCTION("""COMPUTED_VALUE"""),25.02)</f>
        <v>25.02</v>
      </c>
      <c r="AM433" s="320">
        <f>IFERROR(__xludf.DUMMYFUNCTION("""COMPUTED_VALUE"""),1111.3)</f>
        <v>1111.3</v>
      </c>
      <c r="AN433" s="320">
        <f>IFERROR(__xludf.DUMMYFUNCTION("""COMPUTED_VALUE"""),77.86)</f>
        <v>77.86</v>
      </c>
      <c r="AO433" s="320">
        <f>IFERROR(__xludf.DUMMYFUNCTION("""COMPUTED_VALUE"""),19.48)</f>
        <v>19.48</v>
      </c>
    </row>
    <row r="434" ht="15.75" customHeight="1">
      <c r="A434" s="330">
        <f>IFERROR(__xludf.DUMMYFUNCTION("""COMPUTED_VALUE"""),46122.0)</f>
        <v>46122</v>
      </c>
      <c r="B434" s="319" t="str">
        <f>IFERROR(__xludf.DUMMYFUNCTION("""COMPUTED_VALUE"""),"A. 0")</f>
        <v>A. 0</v>
      </c>
      <c r="C434" s="320">
        <f>IFERROR(__xludf.DUMMYFUNCTION("""COMPUTED_VALUE"""),14770.0)</f>
        <v>14770</v>
      </c>
      <c r="D434" s="320">
        <f>IFERROR(__xludf.DUMMYFUNCTION("""COMPUTED_VALUE"""),20.37)</f>
        <v>20.37</v>
      </c>
      <c r="E434" s="320">
        <f>IFERROR(__xludf.DUMMYFUNCTION("""COMPUTED_VALUE"""),238.4)</f>
        <v>238.4</v>
      </c>
      <c r="F434" s="320">
        <f>IFERROR(__xludf.DUMMYFUNCTION("""COMPUTED_VALUE"""),0.0161)</f>
        <v>0.0161</v>
      </c>
      <c r="G434" s="320">
        <f>IFERROR(__xludf.DUMMYFUNCTION("""COMPUTED_VALUE"""),0.43)</f>
        <v>0.43</v>
      </c>
      <c r="H434" s="320">
        <f>IFERROR(__xludf.DUMMYFUNCTION("""COMPUTED_VALUE"""),3.7841)</f>
        <v>3.7841</v>
      </c>
      <c r="I434" s="320">
        <f>IFERROR(__xludf.DUMMYFUNCTION("""COMPUTED_VALUE"""),5.62)</f>
        <v>5.62</v>
      </c>
      <c r="J434" s="320">
        <f>IFERROR(__xludf.DUMMYFUNCTION("""COMPUTED_VALUE"""),2.3)</f>
        <v>2.3</v>
      </c>
      <c r="K434" s="320">
        <f>IFERROR(__xludf.DUMMYFUNCTION("""COMPUTED_VALUE"""),0.03)</f>
        <v>0.03</v>
      </c>
      <c r="L434" s="320">
        <f>IFERROR(__xludf.DUMMYFUNCTION("""COMPUTED_VALUE"""),0.0139)</f>
        <v>0.0139</v>
      </c>
      <c r="M434" s="320">
        <f>IFERROR(__xludf.DUMMYFUNCTION("""COMPUTED_VALUE"""),0.9876)</f>
        <v>0.9876</v>
      </c>
      <c r="N434" s="320">
        <f>IFERROR(__xludf.DUMMYFUNCTION("""COMPUTED_VALUE"""),0.8429)</f>
        <v>0.8429</v>
      </c>
      <c r="O434" s="320">
        <f>IFERROR(__xludf.DUMMYFUNCTION("""COMPUTED_VALUE"""),72.0381)</f>
        <v>72.0381</v>
      </c>
      <c r="P434" s="320">
        <f>IFERROR(__xludf.DUMMYFUNCTION("""COMPUTED_VALUE"""),31.51)</f>
        <v>31.51</v>
      </c>
      <c r="Q434" s="320">
        <f>IFERROR(__xludf.DUMMYFUNCTION("""COMPUTED_VALUE"""),31.45)</f>
        <v>31.45</v>
      </c>
      <c r="R434" s="320">
        <f>IFERROR(__xludf.DUMMYFUNCTION("""COMPUTED_VALUE"""),0.06)</f>
        <v>0.06</v>
      </c>
      <c r="S434" s="320">
        <f>IFERROR(__xludf.DUMMYFUNCTION("""COMPUTED_VALUE"""),1.22)</f>
        <v>1.22</v>
      </c>
      <c r="T434" s="320">
        <f>IFERROR(__xludf.DUMMYFUNCTION("""COMPUTED_VALUE"""),30.28)</f>
        <v>30.28</v>
      </c>
      <c r="U434" s="320">
        <f>IFERROR(__xludf.DUMMYFUNCTION("""COMPUTED_VALUE"""),1.74)</f>
        <v>1.74</v>
      </c>
      <c r="V434" s="320">
        <f>IFERROR(__xludf.DUMMYFUNCTION("""COMPUTED_VALUE"""),0.7573)</f>
        <v>0.7573</v>
      </c>
      <c r="W434" s="320">
        <f>IFERROR(__xludf.DUMMYFUNCTION("""COMPUTED_VALUE"""),3.88)</f>
        <v>3.88</v>
      </c>
      <c r="X434" s="320">
        <f>IFERROR(__xludf.DUMMYFUNCTION("""COMPUTED_VALUE"""),183.0)</f>
        <v>183</v>
      </c>
      <c r="Y434" s="320">
        <f>IFERROR(__xludf.DUMMYFUNCTION("""COMPUTED_VALUE"""),1361.0)</f>
        <v>1361</v>
      </c>
      <c r="Z434" s="320">
        <f>IFERROR(__xludf.DUMMYFUNCTION("""COMPUTED_VALUE"""),8201.0)</f>
        <v>8201</v>
      </c>
      <c r="AA434" s="320">
        <f>IFERROR(__xludf.DUMMYFUNCTION("""COMPUTED_VALUE"""),50.026)</f>
        <v>50.026</v>
      </c>
      <c r="AB434" s="320">
        <f>IFERROR(__xludf.DUMMYFUNCTION("""COMPUTED_VALUE"""),0.5251)</f>
        <v>0.5251</v>
      </c>
      <c r="AC434" s="106"/>
      <c r="AD434" s="106"/>
      <c r="AE434" s="106"/>
      <c r="AF434" s="106"/>
      <c r="AG434" s="106"/>
      <c r="AH434" s="320">
        <f>IFERROR(__xludf.DUMMYFUNCTION("""COMPUTED_VALUE"""),0.0)</f>
        <v>0</v>
      </c>
      <c r="AI434" s="320">
        <f>IFERROR(__xludf.DUMMYFUNCTION("""COMPUTED_VALUE"""),0.0)</f>
        <v>0</v>
      </c>
      <c r="AJ434" s="320">
        <f>IFERROR(__xludf.DUMMYFUNCTION("""COMPUTED_VALUE"""),0.0)</f>
        <v>0</v>
      </c>
      <c r="AK434" s="320">
        <f>IFERROR(__xludf.DUMMYFUNCTION("""COMPUTED_VALUE"""),0.3032)</f>
        <v>0.3032</v>
      </c>
      <c r="AL434" s="320">
        <f>IFERROR(__xludf.DUMMYFUNCTION("""COMPUTED_VALUE"""),17.15)</f>
        <v>17.15</v>
      </c>
      <c r="AM434" s="320">
        <f>IFERROR(__xludf.DUMMYFUNCTION("""COMPUTED_VALUE"""),14.3)</f>
        <v>14.3</v>
      </c>
      <c r="AN434" s="331"/>
      <c r="AO434" s="331"/>
    </row>
    <row r="435" ht="15.75" customHeight="1">
      <c r="A435" s="330">
        <f>IFERROR(__xludf.DUMMYFUNCTION("""COMPUTED_VALUE"""),46122.0)</f>
        <v>46122</v>
      </c>
      <c r="B435" s="319" t="str">
        <f>IFERROR(__xludf.DUMMYFUNCTION("""COMPUTED_VALUE"""),"B. 1-9")</f>
        <v>B. 1-9</v>
      </c>
      <c r="C435" s="320">
        <f>IFERROR(__xludf.DUMMYFUNCTION("""COMPUTED_VALUE"""),32743.0)</f>
        <v>32743</v>
      </c>
      <c r="D435" s="320">
        <f>IFERROR(__xludf.DUMMYFUNCTION("""COMPUTED_VALUE"""),45.15)</f>
        <v>45.15</v>
      </c>
      <c r="E435" s="320">
        <f>IFERROR(__xludf.DUMMYFUNCTION("""COMPUTED_VALUE"""),8674.08)</f>
        <v>8674.08</v>
      </c>
      <c r="F435" s="320">
        <f>IFERROR(__xludf.DUMMYFUNCTION("""COMPUTED_VALUE"""),0.2649)</f>
        <v>0.2649</v>
      </c>
      <c r="G435" s="320">
        <f>IFERROR(__xludf.DUMMYFUNCTION("""COMPUTED_VALUE"""),7.17)</f>
        <v>7.17</v>
      </c>
      <c r="H435" s="320">
        <f>IFERROR(__xludf.DUMMYFUNCTION("""COMPUTED_VALUE"""),3.6958)</f>
        <v>3.6958</v>
      </c>
      <c r="I435" s="320">
        <f>IFERROR(__xludf.DUMMYFUNCTION("""COMPUTED_VALUE"""),33.28)</f>
        <v>33.28</v>
      </c>
      <c r="J435" s="320">
        <f>IFERROR(__xludf.DUMMYFUNCTION("""COMPUTED_VALUE"""),17.69)</f>
        <v>17.69</v>
      </c>
      <c r="K435" s="320">
        <f>IFERROR(__xludf.DUMMYFUNCTION("""COMPUTED_VALUE"""),5.63)</f>
        <v>5.63</v>
      </c>
      <c r="L435" s="320">
        <f>IFERROR(__xludf.DUMMYFUNCTION("""COMPUTED_VALUE"""),0.3183)</f>
        <v>0.3183</v>
      </c>
      <c r="M435" s="320">
        <f>IFERROR(__xludf.DUMMYFUNCTION("""COMPUTED_VALUE"""),0.7522)</f>
        <v>0.7522</v>
      </c>
      <c r="N435" s="320">
        <f>IFERROR(__xludf.DUMMYFUNCTION("""COMPUTED_VALUE"""),0.509)</f>
        <v>0.509</v>
      </c>
      <c r="O435" s="320">
        <f>IFERROR(__xludf.DUMMYFUNCTION("""COMPUTED_VALUE"""),3.1421)</f>
        <v>3.1421</v>
      </c>
      <c r="P435" s="320">
        <f>IFERROR(__xludf.DUMMYFUNCTION("""COMPUTED_VALUE"""),88.41)</f>
        <v>88.41</v>
      </c>
      <c r="Q435" s="320">
        <f>IFERROR(__xludf.DUMMYFUNCTION("""COMPUTED_VALUE"""),76.87)</f>
        <v>76.87</v>
      </c>
      <c r="R435" s="320">
        <f>IFERROR(__xludf.DUMMYFUNCTION("""COMPUTED_VALUE"""),11.54)</f>
        <v>11.54</v>
      </c>
      <c r="S435" s="320">
        <f>IFERROR(__xludf.DUMMYFUNCTION("""COMPUTED_VALUE"""),17.96)</f>
        <v>17.96</v>
      </c>
      <c r="T435" s="320">
        <f>IFERROR(__xludf.DUMMYFUNCTION("""COMPUTED_VALUE"""),70.44)</f>
        <v>70.44</v>
      </c>
      <c r="U435" s="320">
        <f>IFERROR(__xludf.DUMMYFUNCTION("""COMPUTED_VALUE"""),80.58)</f>
        <v>80.58</v>
      </c>
      <c r="V435" s="320">
        <f>IFERROR(__xludf.DUMMYFUNCTION("""COMPUTED_VALUE"""),4.5551)</f>
        <v>4.5551</v>
      </c>
      <c r="W435" s="320">
        <f>IFERROR(__xludf.DUMMYFUNCTION("""COMPUTED_VALUE"""),20.32)</f>
        <v>20.32</v>
      </c>
      <c r="X435" s="320">
        <f>IFERROR(__xludf.DUMMYFUNCTION("""COMPUTED_VALUE"""),89.0)</f>
        <v>89</v>
      </c>
      <c r="Y435" s="320">
        <f>IFERROR(__xludf.DUMMYFUNCTION("""COMPUTED_VALUE"""),212.0)</f>
        <v>212</v>
      </c>
      <c r="Z435" s="320">
        <f>IFERROR(__xludf.DUMMYFUNCTION("""COMPUTED_VALUE"""),842.0)</f>
        <v>842</v>
      </c>
      <c r="AA435" s="320">
        <f>IFERROR(__xludf.DUMMYFUNCTION("""COMPUTED_VALUE"""),49.6428)</f>
        <v>49.6428</v>
      </c>
      <c r="AB435" s="320">
        <f>IFERROR(__xludf.DUMMYFUNCTION("""COMPUTED_VALUE"""),0.4461)</f>
        <v>0.4461</v>
      </c>
      <c r="AC435" s="320">
        <f>IFERROR(__xludf.DUMMYFUNCTION("""COMPUTED_VALUE"""),3.72)</f>
        <v>3.72</v>
      </c>
      <c r="AD435" s="320">
        <f>IFERROR(__xludf.DUMMYFUNCTION("""COMPUTED_VALUE"""),1.0)</f>
        <v>1</v>
      </c>
      <c r="AE435" s="320">
        <f>IFERROR(__xludf.DUMMYFUNCTION("""COMPUTED_VALUE"""),2.0)</f>
        <v>2</v>
      </c>
      <c r="AF435" s="320">
        <f>IFERROR(__xludf.DUMMYFUNCTION("""COMPUTED_VALUE"""),5.0)</f>
        <v>5</v>
      </c>
      <c r="AG435" s="320">
        <f>IFERROR(__xludf.DUMMYFUNCTION("""COMPUTED_VALUE"""),9.0)</f>
        <v>9</v>
      </c>
      <c r="AH435" s="320">
        <f>IFERROR(__xludf.DUMMYFUNCTION("""COMPUTED_VALUE"""),68.91)</f>
        <v>68.91</v>
      </c>
      <c r="AI435" s="320">
        <f>IFERROR(__xludf.DUMMYFUNCTION("""COMPUTED_VALUE"""),26.95)</f>
        <v>26.95</v>
      </c>
      <c r="AJ435" s="320">
        <f>IFERROR(__xludf.DUMMYFUNCTION("""COMPUTED_VALUE"""),7.8)</f>
        <v>7.8</v>
      </c>
      <c r="AK435" s="320">
        <f>IFERROR(__xludf.DUMMYFUNCTION("""COMPUTED_VALUE"""),0.2348)</f>
        <v>0.2348</v>
      </c>
      <c r="AL435" s="320">
        <f>IFERROR(__xludf.DUMMYFUNCTION("""COMPUTED_VALUE"""),21.22)</f>
        <v>21.22</v>
      </c>
      <c r="AM435" s="320">
        <f>IFERROR(__xludf.DUMMYFUNCTION("""COMPUTED_VALUE"""),55.65)</f>
        <v>55.65</v>
      </c>
      <c r="AN435" s="320">
        <f>IFERROR(__xludf.DUMMYFUNCTION("""COMPUTED_VALUE"""),68.63)</f>
        <v>68.63</v>
      </c>
      <c r="AO435" s="320">
        <f>IFERROR(__xludf.DUMMYFUNCTION("""COMPUTED_VALUE"""),14.56)</f>
        <v>14.56</v>
      </c>
    </row>
    <row r="436" ht="15.75" customHeight="1">
      <c r="A436" s="330">
        <f>IFERROR(__xludf.DUMMYFUNCTION("""COMPUTED_VALUE"""),46122.0)</f>
        <v>46122</v>
      </c>
      <c r="B436" s="319" t="str">
        <f>IFERROR(__xludf.DUMMYFUNCTION("""COMPUTED_VALUE"""),"C. 10-19")</f>
        <v>C. 10-19</v>
      </c>
      <c r="C436" s="320">
        <f>IFERROR(__xludf.DUMMYFUNCTION("""COMPUTED_VALUE"""),14470.0)</f>
        <v>14470</v>
      </c>
      <c r="D436" s="320">
        <f>IFERROR(__xludf.DUMMYFUNCTION("""COMPUTED_VALUE"""),19.95)</f>
        <v>19.95</v>
      </c>
      <c r="E436" s="320">
        <f>IFERROR(__xludf.DUMMYFUNCTION("""COMPUTED_VALUE"""),15412.42)</f>
        <v>15412.42</v>
      </c>
      <c r="F436" s="320">
        <f>IFERROR(__xludf.DUMMYFUNCTION("""COMPUTED_VALUE"""),1.0651)</f>
        <v>1.0651</v>
      </c>
      <c r="G436" s="320">
        <f>IFERROR(__xludf.DUMMYFUNCTION("""COMPUTED_VALUE"""),22.23)</f>
        <v>22.23</v>
      </c>
      <c r="H436" s="320">
        <f>IFERROR(__xludf.DUMMYFUNCTION("""COMPUTED_VALUE"""),4.7924)</f>
        <v>4.7924</v>
      </c>
      <c r="I436" s="320">
        <f>IFERROR(__xludf.DUMMYFUNCTION("""COMPUTED_VALUE"""),60.69)</f>
        <v>60.69</v>
      </c>
      <c r="J436" s="320">
        <f>IFERROR(__xludf.DUMMYFUNCTION("""COMPUTED_VALUE"""),34.63)</f>
        <v>34.63</v>
      </c>
      <c r="K436" s="320">
        <f>IFERROR(__xludf.DUMMYFUNCTION("""COMPUTED_VALUE"""),14.47)</f>
        <v>14.47</v>
      </c>
      <c r="L436" s="320">
        <f>IFERROR(__xludf.DUMMYFUNCTION("""COMPUTED_VALUE"""),0.4179)</f>
        <v>0.4179</v>
      </c>
      <c r="M436" s="320">
        <f>IFERROR(__xludf.DUMMYFUNCTION("""COMPUTED_VALUE"""),0.6468)</f>
        <v>0.6468</v>
      </c>
      <c r="N436" s="320">
        <f>IFERROR(__xludf.DUMMYFUNCTION("""COMPUTED_VALUE"""),0.374)</f>
        <v>0.374</v>
      </c>
      <c r="O436" s="320">
        <f>IFERROR(__xludf.DUMMYFUNCTION("""COMPUTED_VALUE"""),2.3928)</f>
        <v>2.3928</v>
      </c>
      <c r="P436" s="320">
        <f>IFERROR(__xludf.DUMMYFUNCTION("""COMPUTED_VALUE"""),190.76)</f>
        <v>190.76</v>
      </c>
      <c r="Q436" s="320">
        <f>IFERROR(__xludf.DUMMYFUNCTION("""COMPUTED_VALUE"""),161.29)</f>
        <v>161.29</v>
      </c>
      <c r="R436" s="320">
        <f>IFERROR(__xludf.DUMMYFUNCTION("""COMPUTED_VALUE"""),29.48)</f>
        <v>29.48</v>
      </c>
      <c r="S436" s="320">
        <f>IFERROR(__xludf.DUMMYFUNCTION("""COMPUTED_VALUE"""),72.36)</f>
        <v>72.36</v>
      </c>
      <c r="T436" s="320">
        <f>IFERROR(__xludf.DUMMYFUNCTION("""COMPUTED_VALUE"""),118.4)</f>
        <v>118.4</v>
      </c>
      <c r="U436" s="320">
        <f>IFERROR(__xludf.DUMMYFUNCTION("""COMPUTED_VALUE"""),190.39)</f>
        <v>190.39</v>
      </c>
      <c r="V436" s="320">
        <f>IFERROR(__xludf.DUMMYFUNCTION("""COMPUTED_VALUE"""),5.4976)</f>
        <v>5.4976</v>
      </c>
      <c r="W436" s="320">
        <f>IFERROR(__xludf.DUMMYFUNCTION("""COMPUTED_VALUE"""),37.93)</f>
        <v>37.93</v>
      </c>
      <c r="X436" s="320">
        <f>IFERROR(__xludf.DUMMYFUNCTION("""COMPUTED_VALUE"""),82.0)</f>
        <v>82</v>
      </c>
      <c r="Y436" s="320">
        <f>IFERROR(__xludf.DUMMYFUNCTION("""COMPUTED_VALUE"""),177.0)</f>
        <v>177</v>
      </c>
      <c r="Z436" s="320">
        <f>IFERROR(__xludf.DUMMYFUNCTION("""COMPUTED_VALUE"""),557.0)</f>
        <v>557</v>
      </c>
      <c r="AA436" s="320">
        <f>IFERROR(__xludf.DUMMYFUNCTION("""COMPUTED_VALUE"""),52.3129)</f>
        <v>52.3129</v>
      </c>
      <c r="AB436" s="320">
        <f>IFERROR(__xludf.DUMMYFUNCTION("""COMPUTED_VALUE"""),0.535)</f>
        <v>0.535</v>
      </c>
      <c r="AC436" s="320">
        <f>IFERROR(__xludf.DUMMYFUNCTION("""COMPUTED_VALUE"""),9.21)</f>
        <v>9.21</v>
      </c>
      <c r="AD436" s="320">
        <f>IFERROR(__xludf.DUMMYFUNCTION("""COMPUTED_VALUE"""),3.0)</f>
        <v>3</v>
      </c>
      <c r="AE436" s="320">
        <f>IFERROR(__xludf.DUMMYFUNCTION("""COMPUTED_VALUE"""),7.0)</f>
        <v>7</v>
      </c>
      <c r="AF436" s="320">
        <f>IFERROR(__xludf.DUMMYFUNCTION("""COMPUTED_VALUE"""),13.0)</f>
        <v>13</v>
      </c>
      <c r="AG436" s="320">
        <f>IFERROR(__xludf.DUMMYFUNCTION("""COMPUTED_VALUE"""),20.0)</f>
        <v>20</v>
      </c>
      <c r="AH436" s="320">
        <f>IFERROR(__xludf.DUMMYFUNCTION("""COMPUTED_VALUE"""),56.65)</f>
        <v>56.65</v>
      </c>
      <c r="AI436" s="320">
        <f>IFERROR(__xludf.DUMMYFUNCTION("""COMPUTED_VALUE"""),25.6)</f>
        <v>25.6</v>
      </c>
      <c r="AJ436" s="320">
        <f>IFERROR(__xludf.DUMMYFUNCTION("""COMPUTED_VALUE"""),5.21)</f>
        <v>5.21</v>
      </c>
      <c r="AK436" s="320">
        <f>IFERROR(__xludf.DUMMYFUNCTION("""COMPUTED_VALUE"""),0.2186)</f>
        <v>0.2186</v>
      </c>
      <c r="AL436" s="320">
        <f>IFERROR(__xludf.DUMMYFUNCTION("""COMPUTED_VALUE"""),21.89)</f>
        <v>21.89</v>
      </c>
      <c r="AM436" s="320">
        <f>IFERROR(__xludf.DUMMYFUNCTION("""COMPUTED_VALUE"""),139.4)</f>
        <v>139.4</v>
      </c>
      <c r="AN436" s="320">
        <f>IFERROR(__xludf.DUMMYFUNCTION("""COMPUTED_VALUE"""),73.58)</f>
        <v>73.58</v>
      </c>
      <c r="AO436" s="320">
        <f>IFERROR(__xludf.DUMMYFUNCTION("""COMPUTED_VALUE"""),16.11)</f>
        <v>16.11</v>
      </c>
    </row>
    <row r="437" ht="15.75" customHeight="1">
      <c r="A437" s="330">
        <f>IFERROR(__xludf.DUMMYFUNCTION("""COMPUTED_VALUE"""),46122.0)</f>
        <v>46122</v>
      </c>
      <c r="B437" s="319" t="str">
        <f>IFERROR(__xludf.DUMMYFUNCTION("""COMPUTED_VALUE"""),"D. 20-39")</f>
        <v>D. 20-39</v>
      </c>
      <c r="C437" s="320">
        <f>IFERROR(__xludf.DUMMYFUNCTION("""COMPUTED_VALUE"""),7366.0)</f>
        <v>7366</v>
      </c>
      <c r="D437" s="320">
        <f>IFERROR(__xludf.DUMMYFUNCTION("""COMPUTED_VALUE"""),10.16)</f>
        <v>10.16</v>
      </c>
      <c r="E437" s="320">
        <f>IFERROR(__xludf.DUMMYFUNCTION("""COMPUTED_VALUE"""),19852.23)</f>
        <v>19852.23</v>
      </c>
      <c r="F437" s="320">
        <f>IFERROR(__xludf.DUMMYFUNCTION("""COMPUTED_VALUE"""),2.6951)</f>
        <v>2.6951</v>
      </c>
      <c r="G437" s="320">
        <f>IFERROR(__xludf.DUMMYFUNCTION("""COMPUTED_VALUE"""),34.81)</f>
        <v>34.81</v>
      </c>
      <c r="H437" s="320">
        <f>IFERROR(__xludf.DUMMYFUNCTION("""COMPUTED_VALUE"""),7.7427)</f>
        <v>7.7427</v>
      </c>
      <c r="I437" s="320">
        <f>IFERROR(__xludf.DUMMYFUNCTION("""COMPUTED_VALUE"""),90.92)</f>
        <v>90.92</v>
      </c>
      <c r="J437" s="320">
        <f>IFERROR(__xludf.DUMMYFUNCTION("""COMPUTED_VALUE"""),54.27)</f>
        <v>54.27</v>
      </c>
      <c r="K437" s="320">
        <f>IFERROR(__xludf.DUMMYFUNCTION("""COMPUTED_VALUE"""),27.79)</f>
        <v>27.79</v>
      </c>
      <c r="L437" s="320">
        <f>IFERROR(__xludf.DUMMYFUNCTION("""COMPUTED_VALUE"""),0.5121)</f>
        <v>0.5121</v>
      </c>
      <c r="M437" s="320">
        <f>IFERROR(__xludf.DUMMYFUNCTION("""COMPUTED_VALUE"""),0.5574)</f>
        <v>0.5574</v>
      </c>
      <c r="N437" s="320">
        <f>IFERROR(__xludf.DUMMYFUNCTION("""COMPUTED_VALUE"""),0.3071)</f>
        <v>0.3071</v>
      </c>
      <c r="O437" s="320">
        <f>IFERROR(__xludf.DUMMYFUNCTION("""COMPUTED_VALUE"""),1.9526)</f>
        <v>1.9526</v>
      </c>
      <c r="P437" s="320">
        <f>IFERROR(__xludf.DUMMYFUNCTION("""COMPUTED_VALUE"""),360.22)</f>
        <v>360.22</v>
      </c>
      <c r="Q437" s="320">
        <f>IFERROR(__xludf.DUMMYFUNCTION("""COMPUTED_VALUE"""),302.49)</f>
        <v>302.49</v>
      </c>
      <c r="R437" s="320">
        <f>IFERROR(__xludf.DUMMYFUNCTION("""COMPUTED_VALUE"""),57.73)</f>
        <v>57.73</v>
      </c>
      <c r="S437" s="320">
        <f>IFERROR(__xludf.DUMMYFUNCTION("""COMPUTED_VALUE"""),176.59)</f>
        <v>176.59</v>
      </c>
      <c r="T437" s="320">
        <f>IFERROR(__xludf.DUMMYFUNCTION("""COMPUTED_VALUE"""),183.62)</f>
        <v>183.62</v>
      </c>
      <c r="U437" s="320">
        <f>IFERROR(__xludf.DUMMYFUNCTION("""COMPUTED_VALUE"""),360.85)</f>
        <v>360.85</v>
      </c>
      <c r="V437" s="320">
        <f>IFERROR(__xludf.DUMMYFUNCTION("""COMPUTED_VALUE"""),6.6491)</f>
        <v>6.6491</v>
      </c>
      <c r="W437" s="320">
        <f>IFERROR(__xludf.DUMMYFUNCTION("""COMPUTED_VALUE"""),49.02)</f>
        <v>49.02</v>
      </c>
      <c r="X437" s="320">
        <f>IFERROR(__xludf.DUMMYFUNCTION("""COMPUTED_VALUE"""),87.0)</f>
        <v>87</v>
      </c>
      <c r="Y437" s="320">
        <f>IFERROR(__xludf.DUMMYFUNCTION("""COMPUTED_VALUE"""),207.0)</f>
        <v>207</v>
      </c>
      <c r="Z437" s="320">
        <f>IFERROR(__xludf.DUMMYFUNCTION("""COMPUTED_VALUE"""),666.0)</f>
        <v>666</v>
      </c>
      <c r="AA437" s="320">
        <f>IFERROR(__xludf.DUMMYFUNCTION("""COMPUTED_VALUE"""),54.2303)</f>
        <v>54.2303</v>
      </c>
      <c r="AB437" s="320">
        <f>IFERROR(__xludf.DUMMYFUNCTION("""COMPUTED_VALUE"""),0.6281)</f>
        <v>0.6281</v>
      </c>
      <c r="AC437" s="320">
        <f>IFERROR(__xludf.DUMMYFUNCTION("""COMPUTED_VALUE"""),17.42)</f>
        <v>17.42</v>
      </c>
      <c r="AD437" s="320">
        <f>IFERROR(__xludf.DUMMYFUNCTION("""COMPUTED_VALUE"""),6.0)</f>
        <v>6</v>
      </c>
      <c r="AE437" s="320">
        <f>IFERROR(__xludf.DUMMYFUNCTION("""COMPUTED_VALUE"""),12.0)</f>
        <v>12</v>
      </c>
      <c r="AF437" s="320">
        <f>IFERROR(__xludf.DUMMYFUNCTION("""COMPUTED_VALUE"""),24.0)</f>
        <v>24</v>
      </c>
      <c r="AG437" s="320">
        <f>IFERROR(__xludf.DUMMYFUNCTION("""COMPUTED_VALUE"""),38.0)</f>
        <v>38</v>
      </c>
      <c r="AH437" s="320">
        <f>IFERROR(__xludf.DUMMYFUNCTION("""COMPUTED_VALUE"""),55.99)</f>
        <v>55.99</v>
      </c>
      <c r="AI437" s="320">
        <f>IFERROR(__xludf.DUMMYFUNCTION("""COMPUTED_VALUE"""),22.66)</f>
        <v>22.66</v>
      </c>
      <c r="AJ437" s="320">
        <f>IFERROR(__xludf.DUMMYFUNCTION("""COMPUTED_VALUE"""),7.66)</f>
        <v>7.66</v>
      </c>
      <c r="AK437" s="320">
        <f>IFERROR(__xludf.DUMMYFUNCTION("""COMPUTED_VALUE"""),0.197)</f>
        <v>0.197</v>
      </c>
      <c r="AL437" s="320">
        <f>IFERROR(__xludf.DUMMYFUNCTION("""COMPUTED_VALUE"""),22.05)</f>
        <v>22.05</v>
      </c>
      <c r="AM437" s="320">
        <f>IFERROR(__xludf.DUMMYFUNCTION("""COMPUTED_VALUE"""),280.44)</f>
        <v>280.44</v>
      </c>
      <c r="AN437" s="320">
        <f>IFERROR(__xludf.DUMMYFUNCTION("""COMPUTED_VALUE"""),77.03)</f>
        <v>77.03</v>
      </c>
      <c r="AO437" s="320">
        <f>IFERROR(__xludf.DUMMYFUNCTION("""COMPUTED_VALUE"""),16.99)</f>
        <v>16.99</v>
      </c>
    </row>
    <row r="438" ht="15.75" customHeight="1">
      <c r="A438" s="330">
        <f>IFERROR(__xludf.DUMMYFUNCTION("""COMPUTED_VALUE"""),46122.0)</f>
        <v>46122</v>
      </c>
      <c r="B438" s="319" t="str">
        <f>IFERROR(__xludf.DUMMYFUNCTION("""COMPUTED_VALUE"""),"E. 40-99")</f>
        <v>E. 40-99</v>
      </c>
      <c r="C438" s="320">
        <f>IFERROR(__xludf.DUMMYFUNCTION("""COMPUTED_VALUE"""),2868.0)</f>
        <v>2868</v>
      </c>
      <c r="D438" s="320">
        <f>IFERROR(__xludf.DUMMYFUNCTION("""COMPUTED_VALUE"""),3.95)</f>
        <v>3.95</v>
      </c>
      <c r="E438" s="320">
        <f>IFERROR(__xludf.DUMMYFUNCTION("""COMPUTED_VALUE"""),18012.08)</f>
        <v>18012.08</v>
      </c>
      <c r="F438" s="320">
        <f>IFERROR(__xludf.DUMMYFUNCTION("""COMPUTED_VALUE"""),6.2804)</f>
        <v>6.2804</v>
      </c>
      <c r="G438" s="320">
        <f>IFERROR(__xludf.DUMMYFUNCTION("""COMPUTED_VALUE"""),47.04)</f>
        <v>47.04</v>
      </c>
      <c r="H438" s="320">
        <f>IFERROR(__xludf.DUMMYFUNCTION("""COMPUTED_VALUE"""),13.3522)</f>
        <v>13.3522</v>
      </c>
      <c r="I438" s="320">
        <f>IFERROR(__xludf.DUMMYFUNCTION("""COMPUTED_VALUE"""),136.44)</f>
        <v>136.44</v>
      </c>
      <c r="J438" s="320">
        <f>IFERROR(__xludf.DUMMYFUNCTION("""COMPUTED_VALUE"""),84.53)</f>
        <v>84.53</v>
      </c>
      <c r="K438" s="320">
        <f>IFERROR(__xludf.DUMMYFUNCTION("""COMPUTED_VALUE"""),54.26)</f>
        <v>54.26</v>
      </c>
      <c r="L438" s="320">
        <f>IFERROR(__xludf.DUMMYFUNCTION("""COMPUTED_VALUE"""),0.6419)</f>
        <v>0.6419</v>
      </c>
      <c r="M438" s="320">
        <f>IFERROR(__xludf.DUMMYFUNCTION("""COMPUTED_VALUE"""),0.442)</f>
        <v>0.442</v>
      </c>
      <c r="N438" s="320">
        <f>IFERROR(__xludf.DUMMYFUNCTION("""COMPUTED_VALUE"""),0.247)</f>
        <v>0.247</v>
      </c>
      <c r="O438" s="320">
        <f>IFERROR(__xludf.DUMMYFUNCTION("""COMPUTED_VALUE"""),1.5579)</f>
        <v>1.5579</v>
      </c>
      <c r="P438" s="320">
        <f>IFERROR(__xludf.DUMMYFUNCTION("""COMPUTED_VALUE"""),693.67)</f>
        <v>693.67</v>
      </c>
      <c r="Q438" s="320">
        <f>IFERROR(__xludf.DUMMYFUNCTION("""COMPUTED_VALUE"""),581.26)</f>
        <v>581.26</v>
      </c>
      <c r="R438" s="320">
        <f>IFERROR(__xludf.DUMMYFUNCTION("""COMPUTED_VALUE"""),112.41)</f>
        <v>112.41</v>
      </c>
      <c r="S438" s="320">
        <f>IFERROR(__xludf.DUMMYFUNCTION("""COMPUTED_VALUE"""),399.56)</f>
        <v>399.56</v>
      </c>
      <c r="T438" s="320">
        <f>IFERROR(__xludf.DUMMYFUNCTION("""COMPUTED_VALUE"""),294.11)</f>
        <v>294.11</v>
      </c>
      <c r="U438" s="320">
        <f>IFERROR(__xludf.DUMMYFUNCTION("""COMPUTED_VALUE"""),709.92)</f>
        <v>709.92</v>
      </c>
      <c r="V438" s="320">
        <f>IFERROR(__xludf.DUMMYFUNCTION("""COMPUTED_VALUE"""),8.3982)</f>
        <v>8.3982</v>
      </c>
      <c r="W438" s="320">
        <f>IFERROR(__xludf.DUMMYFUNCTION("""COMPUTED_VALUE"""),57.6)</f>
        <v>57.6</v>
      </c>
      <c r="X438" s="320">
        <f>IFERROR(__xludf.DUMMYFUNCTION("""COMPUTED_VALUE"""),94.0)</f>
        <v>94</v>
      </c>
      <c r="Y438" s="320">
        <f>IFERROR(__xludf.DUMMYFUNCTION("""COMPUTED_VALUE"""),284.0)</f>
        <v>284</v>
      </c>
      <c r="Z438" s="320">
        <f>IFERROR(__xludf.DUMMYFUNCTION("""COMPUTED_VALUE"""),917.0)</f>
        <v>917</v>
      </c>
      <c r="AA438" s="320">
        <f>IFERROR(__xludf.DUMMYFUNCTION("""COMPUTED_VALUE"""),57.0802)</f>
        <v>57.0802</v>
      </c>
      <c r="AB438" s="320">
        <f>IFERROR(__xludf.DUMMYFUNCTION("""COMPUTED_VALUE"""),0.7379)</f>
        <v>0.7379</v>
      </c>
      <c r="AC438" s="320">
        <f>IFERROR(__xludf.DUMMYFUNCTION("""COMPUTED_VALUE"""),34.19)</f>
        <v>34.19</v>
      </c>
      <c r="AD438" s="320">
        <f>IFERROR(__xludf.DUMMYFUNCTION("""COMPUTED_VALUE"""),11.0)</f>
        <v>11</v>
      </c>
      <c r="AE438" s="320">
        <f>IFERROR(__xludf.DUMMYFUNCTION("""COMPUTED_VALUE"""),25.0)</f>
        <v>25</v>
      </c>
      <c r="AF438" s="320">
        <f>IFERROR(__xludf.DUMMYFUNCTION("""COMPUTED_VALUE"""),48.0)</f>
        <v>48</v>
      </c>
      <c r="AG438" s="320">
        <f>IFERROR(__xludf.DUMMYFUNCTION("""COMPUTED_VALUE"""),74.0)</f>
        <v>74</v>
      </c>
      <c r="AH438" s="320">
        <f>IFERROR(__xludf.DUMMYFUNCTION("""COMPUTED_VALUE"""),45.96)</f>
        <v>45.96</v>
      </c>
      <c r="AI438" s="320">
        <f>IFERROR(__xludf.DUMMYFUNCTION("""COMPUTED_VALUE"""),17.19)</f>
        <v>17.19</v>
      </c>
      <c r="AJ438" s="320">
        <f>IFERROR(__xludf.DUMMYFUNCTION("""COMPUTED_VALUE"""),4.74)</f>
        <v>4.74</v>
      </c>
      <c r="AK438" s="320">
        <f>IFERROR(__xludf.DUMMYFUNCTION("""COMPUTED_VALUE"""),0.1635)</f>
        <v>0.1635</v>
      </c>
      <c r="AL438" s="320">
        <f>IFERROR(__xludf.DUMMYFUNCTION("""COMPUTED_VALUE"""),22.1)</f>
        <v>22.1</v>
      </c>
      <c r="AM438" s="320">
        <f>IFERROR(__xludf.DUMMYFUNCTION("""COMPUTED_VALUE"""),559.16)</f>
        <v>559.16</v>
      </c>
      <c r="AN438" s="320">
        <f>IFERROR(__xludf.DUMMYFUNCTION("""COMPUTED_VALUE"""),78.88)</f>
        <v>78.88</v>
      </c>
      <c r="AO438" s="320">
        <f>IFERROR(__xludf.DUMMYFUNCTION("""COMPUTED_VALUE"""),17.43)</f>
        <v>17.43</v>
      </c>
    </row>
    <row r="439" ht="15.75" customHeight="1">
      <c r="A439" s="330">
        <f>IFERROR(__xludf.DUMMYFUNCTION("""COMPUTED_VALUE"""),46122.0)</f>
        <v>46122</v>
      </c>
      <c r="B439" s="319" t="str">
        <f>IFERROR(__xludf.DUMMYFUNCTION("""COMPUTED_VALUE"""),"F. 100+")</f>
        <v>F. 100+</v>
      </c>
      <c r="C439" s="320">
        <f>IFERROR(__xludf.DUMMYFUNCTION("""COMPUTED_VALUE"""),299.0)</f>
        <v>299</v>
      </c>
      <c r="D439" s="320">
        <f>IFERROR(__xludf.DUMMYFUNCTION("""COMPUTED_VALUE"""),0.41)</f>
        <v>0.41</v>
      </c>
      <c r="E439" s="320">
        <f>IFERROR(__xludf.DUMMYFUNCTION("""COMPUTED_VALUE"""),3059.42)</f>
        <v>3059.42</v>
      </c>
      <c r="F439" s="320">
        <f>IFERROR(__xludf.DUMMYFUNCTION("""COMPUTED_VALUE"""),10.2322)</f>
        <v>10.2322</v>
      </c>
      <c r="G439" s="320">
        <f>IFERROR(__xludf.DUMMYFUNCTION("""COMPUTED_VALUE"""),50.84)</f>
        <v>50.84</v>
      </c>
      <c r="H439" s="320">
        <f>IFERROR(__xludf.DUMMYFUNCTION("""COMPUTED_VALUE"""),20.1278)</f>
        <v>20.1278</v>
      </c>
      <c r="I439" s="320">
        <f>IFERROR(__xludf.DUMMYFUNCTION("""COMPUTED_VALUE"""),261.79)</f>
        <v>261.79</v>
      </c>
      <c r="J439" s="320">
        <f>IFERROR(__xludf.DUMMYFUNCTION("""COMPUTED_VALUE"""),171.57)</f>
        <v>171.57</v>
      </c>
      <c r="K439" s="320">
        <f>IFERROR(__xludf.DUMMYFUNCTION("""COMPUTED_VALUE"""),129.63)</f>
        <v>129.63</v>
      </c>
      <c r="L439" s="320">
        <f>IFERROR(__xludf.DUMMYFUNCTION("""COMPUTED_VALUE"""),0.7556)</f>
        <v>0.7556</v>
      </c>
      <c r="M439" s="320">
        <f>IFERROR(__xludf.DUMMYFUNCTION("""COMPUTED_VALUE"""),0.3279)</f>
        <v>0.3279</v>
      </c>
      <c r="N439" s="320">
        <f>IFERROR(__xludf.DUMMYFUNCTION("""COMPUTED_VALUE"""),0.1885)</f>
        <v>0.1885</v>
      </c>
      <c r="O439" s="320">
        <f>IFERROR(__xludf.DUMMYFUNCTION("""COMPUTED_VALUE"""),1.3235)</f>
        <v>1.3235</v>
      </c>
      <c r="P439" s="320">
        <f>IFERROR(__xludf.DUMMYFUNCTION("""COMPUTED_VALUE"""),1250.79)</f>
        <v>1250.79</v>
      </c>
      <c r="Q439" s="320">
        <f>IFERROR(__xludf.DUMMYFUNCTION("""COMPUTED_VALUE"""),983.28)</f>
        <v>983.28</v>
      </c>
      <c r="R439" s="320">
        <f>IFERROR(__xludf.DUMMYFUNCTION("""COMPUTED_VALUE"""),267.51)</f>
        <v>267.51</v>
      </c>
      <c r="S439" s="320">
        <f>IFERROR(__xludf.DUMMYFUNCTION("""COMPUTED_VALUE"""),632.44)</f>
        <v>632.44</v>
      </c>
      <c r="T439" s="320">
        <f>IFERROR(__xludf.DUMMYFUNCTION("""COMPUTED_VALUE"""),618.34)</f>
        <v>618.34</v>
      </c>
      <c r="U439" s="320">
        <f>IFERROR(__xludf.DUMMYFUNCTION("""COMPUTED_VALUE"""),1333.78)</f>
        <v>1333.78</v>
      </c>
      <c r="V439" s="320">
        <f>IFERROR(__xludf.DUMMYFUNCTION("""COMPUTED_VALUE"""),7.774)</f>
        <v>7.774</v>
      </c>
      <c r="W439" s="320">
        <f>IFERROR(__xludf.DUMMYFUNCTION("""COMPUTED_VALUE"""),50.56)</f>
        <v>50.56</v>
      </c>
      <c r="X439" s="320">
        <f>IFERROR(__xludf.DUMMYFUNCTION("""COMPUTED_VALUE"""),147.0)</f>
        <v>147</v>
      </c>
      <c r="Y439" s="320">
        <f>IFERROR(__xludf.DUMMYFUNCTION("""COMPUTED_VALUE"""),600.0)</f>
        <v>600</v>
      </c>
      <c r="Z439" s="320">
        <f>IFERROR(__xludf.DUMMYFUNCTION("""COMPUTED_VALUE"""),2013.0)</f>
        <v>2013</v>
      </c>
      <c r="AA439" s="320">
        <f>IFERROR(__xludf.DUMMYFUNCTION("""COMPUTED_VALUE"""),61.1373)</f>
        <v>61.1373</v>
      </c>
      <c r="AB439" s="320">
        <f>IFERROR(__xludf.DUMMYFUNCTION("""COMPUTED_VALUE"""),0.8285)</f>
        <v>0.8285</v>
      </c>
      <c r="AC439" s="320">
        <f>IFERROR(__xludf.DUMMYFUNCTION("""COMPUTED_VALUE"""),80.63)</f>
        <v>80.63</v>
      </c>
      <c r="AD439" s="320">
        <f>IFERROR(__xludf.DUMMYFUNCTION("""COMPUTED_VALUE"""),29.0)</f>
        <v>29</v>
      </c>
      <c r="AE439" s="320">
        <f>IFERROR(__xludf.DUMMYFUNCTION("""COMPUTED_VALUE"""),67.0)</f>
        <v>67</v>
      </c>
      <c r="AF439" s="320">
        <f>IFERROR(__xludf.DUMMYFUNCTION("""COMPUTED_VALUE"""),118.0)</f>
        <v>118</v>
      </c>
      <c r="AG439" s="320">
        <f>IFERROR(__xludf.DUMMYFUNCTION("""COMPUTED_VALUE"""),162.0)</f>
        <v>162</v>
      </c>
      <c r="AH439" s="320">
        <f>IFERROR(__xludf.DUMMYFUNCTION("""COMPUTED_VALUE"""),43.81)</f>
        <v>43.81</v>
      </c>
      <c r="AI439" s="320">
        <f>IFERROR(__xludf.DUMMYFUNCTION("""COMPUTED_VALUE"""),7.36)</f>
        <v>7.36</v>
      </c>
      <c r="AJ439" s="320">
        <f>IFERROR(__xludf.DUMMYFUNCTION("""COMPUTED_VALUE"""),1.0)</f>
        <v>1</v>
      </c>
      <c r="AK439" s="320">
        <f>IFERROR(__xludf.DUMMYFUNCTION("""COMPUTED_VALUE"""),0.1304)</f>
        <v>0.1304</v>
      </c>
      <c r="AL439" s="320">
        <f>IFERROR(__xludf.DUMMYFUNCTION("""COMPUTED_VALUE"""),24.52)</f>
        <v>24.52</v>
      </c>
      <c r="AM439" s="320">
        <f>IFERROR(__xludf.DUMMYFUNCTION("""COMPUTED_VALUE"""),958.76)</f>
        <v>958.76</v>
      </c>
      <c r="AN439" s="320">
        <f>IFERROR(__xludf.DUMMYFUNCTION("""COMPUTED_VALUE"""),77.02)</f>
        <v>77.02</v>
      </c>
      <c r="AO439" s="320">
        <f>IFERROR(__xludf.DUMMYFUNCTION("""COMPUTED_VALUE"""),18.89)</f>
        <v>18.89</v>
      </c>
    </row>
    <row r="440" ht="15.75" customHeight="1">
      <c r="A440" s="330">
        <f>IFERROR(__xludf.DUMMYFUNCTION("""COMPUTED_VALUE"""),46123.0)</f>
        <v>46123</v>
      </c>
      <c r="B440" s="319" t="str">
        <f>IFERROR(__xludf.DUMMYFUNCTION("""COMPUTED_VALUE"""),"A. 0")</f>
        <v>A. 0</v>
      </c>
      <c r="C440" s="320">
        <f>IFERROR(__xludf.DUMMYFUNCTION("""COMPUTED_VALUE"""),15075.0)</f>
        <v>15075</v>
      </c>
      <c r="D440" s="320">
        <f>IFERROR(__xludf.DUMMYFUNCTION("""COMPUTED_VALUE"""),21.09)</f>
        <v>21.09</v>
      </c>
      <c r="E440" s="320">
        <f>IFERROR(__xludf.DUMMYFUNCTION("""COMPUTED_VALUE"""),210.49)</f>
        <v>210.49</v>
      </c>
      <c r="F440" s="320">
        <f>IFERROR(__xludf.DUMMYFUNCTION("""COMPUTED_VALUE"""),0.014)</f>
        <v>0.014</v>
      </c>
      <c r="G440" s="320">
        <f>IFERROR(__xludf.DUMMYFUNCTION("""COMPUTED_VALUE"""),0.28)</f>
        <v>0.28</v>
      </c>
      <c r="H440" s="320">
        <f>IFERROR(__xludf.DUMMYFUNCTION("""COMPUTED_VALUE"""),5.0117)</f>
        <v>5.0117</v>
      </c>
      <c r="I440" s="320">
        <f>IFERROR(__xludf.DUMMYFUNCTION("""COMPUTED_VALUE"""),5.95)</f>
        <v>5.95</v>
      </c>
      <c r="J440" s="320">
        <f>IFERROR(__xludf.DUMMYFUNCTION("""COMPUTED_VALUE"""),2.67)</f>
        <v>2.67</v>
      </c>
      <c r="K440" s="320">
        <f>IFERROR(__xludf.DUMMYFUNCTION("""COMPUTED_VALUE"""),0.08)</f>
        <v>0.08</v>
      </c>
      <c r="L440" s="320">
        <f>IFERROR(__xludf.DUMMYFUNCTION("""COMPUTED_VALUE"""),0.0309)</f>
        <v>0.0309</v>
      </c>
      <c r="M440" s="320">
        <f>IFERROR(__xludf.DUMMYFUNCTION("""COMPUTED_VALUE"""),0.9706)</f>
        <v>0.9706</v>
      </c>
      <c r="N440" s="320">
        <f>IFERROR(__xludf.DUMMYFUNCTION("""COMPUTED_VALUE"""),0.7067)</f>
        <v>0.7067</v>
      </c>
      <c r="O440" s="320">
        <f>IFERROR(__xludf.DUMMYFUNCTION("""COMPUTED_VALUE"""),32.3293)</f>
        <v>32.3293</v>
      </c>
      <c r="P440" s="320">
        <f>IFERROR(__xludf.DUMMYFUNCTION("""COMPUTED_VALUE"""),26.72)</f>
        <v>26.72</v>
      </c>
      <c r="Q440" s="320">
        <f>IFERROR(__xludf.DUMMYFUNCTION("""COMPUTED_VALUE"""),26.67)</f>
        <v>26.67</v>
      </c>
      <c r="R440" s="320">
        <f>IFERROR(__xludf.DUMMYFUNCTION("""COMPUTED_VALUE"""),0.05)</f>
        <v>0.05</v>
      </c>
      <c r="S440" s="320">
        <f>IFERROR(__xludf.DUMMYFUNCTION("""COMPUTED_VALUE"""),0.87)</f>
        <v>0.87</v>
      </c>
      <c r="T440" s="320">
        <f>IFERROR(__xludf.DUMMYFUNCTION("""COMPUTED_VALUE"""),25.85)</f>
        <v>25.85</v>
      </c>
      <c r="U440" s="320">
        <f>IFERROR(__xludf.DUMMYFUNCTION("""COMPUTED_VALUE"""),2.21)</f>
        <v>2.21</v>
      </c>
      <c r="V440" s="320">
        <f>IFERROR(__xludf.DUMMYFUNCTION("""COMPUTED_VALUE"""),0.8273)</f>
        <v>0.8273</v>
      </c>
      <c r="W440" s="320">
        <f>IFERROR(__xludf.DUMMYFUNCTION("""COMPUTED_VALUE"""),3.26)</f>
        <v>3.26</v>
      </c>
      <c r="X440" s="320">
        <f>IFERROR(__xludf.DUMMYFUNCTION("""COMPUTED_VALUE"""),150.0)</f>
        <v>150</v>
      </c>
      <c r="Y440" s="320">
        <f>IFERROR(__xludf.DUMMYFUNCTION("""COMPUTED_VALUE"""),1128.0)</f>
        <v>1128</v>
      </c>
      <c r="Z440" s="320">
        <f>IFERROR(__xludf.DUMMYFUNCTION("""COMPUTED_VALUE"""),7806.0)</f>
        <v>7806</v>
      </c>
      <c r="AA440" s="320">
        <f>IFERROR(__xludf.DUMMYFUNCTION("""COMPUTED_VALUE"""),49.8914)</f>
        <v>49.8914</v>
      </c>
      <c r="AB440" s="320">
        <f>IFERROR(__xludf.DUMMYFUNCTION("""COMPUTED_VALUE"""),0.5137)</f>
        <v>0.5137</v>
      </c>
      <c r="AC440" s="106"/>
      <c r="AD440" s="106"/>
      <c r="AE440" s="106"/>
      <c r="AF440" s="106"/>
      <c r="AG440" s="106"/>
      <c r="AH440" s="320">
        <f>IFERROR(__xludf.DUMMYFUNCTION("""COMPUTED_VALUE"""),0.0)</f>
        <v>0</v>
      </c>
      <c r="AI440" s="320">
        <f>IFERROR(__xludf.DUMMYFUNCTION("""COMPUTED_VALUE"""),0.0)</f>
        <v>0</v>
      </c>
      <c r="AJ440" s="320">
        <f>IFERROR(__xludf.DUMMYFUNCTION("""COMPUTED_VALUE"""),0.0)</f>
        <v>0</v>
      </c>
      <c r="AK440" s="320">
        <f>IFERROR(__xludf.DUMMYFUNCTION("""COMPUTED_VALUE"""),0.2727)</f>
        <v>0.2727</v>
      </c>
      <c r="AL440" s="320">
        <f>IFERROR(__xludf.DUMMYFUNCTION("""COMPUTED_VALUE"""),16.83)</f>
        <v>16.83</v>
      </c>
      <c r="AM440" s="320">
        <f>IFERROR(__xludf.DUMMYFUNCTION("""COMPUTED_VALUE"""),9.83)</f>
        <v>9.83</v>
      </c>
      <c r="AN440" s="331"/>
      <c r="AO440" s="331"/>
    </row>
    <row r="441" ht="15.75" customHeight="1">
      <c r="A441" s="330">
        <f>IFERROR(__xludf.DUMMYFUNCTION("""COMPUTED_VALUE"""),46123.0)</f>
        <v>46123</v>
      </c>
      <c r="B441" s="319" t="str">
        <f>IFERROR(__xludf.DUMMYFUNCTION("""COMPUTED_VALUE"""),"B. 1-9")</f>
        <v>B. 1-9</v>
      </c>
      <c r="C441" s="320">
        <f>IFERROR(__xludf.DUMMYFUNCTION("""COMPUTED_VALUE"""),31788.0)</f>
        <v>31788</v>
      </c>
      <c r="D441" s="320">
        <f>IFERROR(__xludf.DUMMYFUNCTION("""COMPUTED_VALUE"""),44.48)</f>
        <v>44.48</v>
      </c>
      <c r="E441" s="320">
        <f>IFERROR(__xludf.DUMMYFUNCTION("""COMPUTED_VALUE"""),7761.3)</f>
        <v>7761.3</v>
      </c>
      <c r="F441" s="320">
        <f>IFERROR(__xludf.DUMMYFUNCTION("""COMPUTED_VALUE"""),0.2442)</f>
        <v>0.2442</v>
      </c>
      <c r="G441" s="320">
        <f>IFERROR(__xludf.DUMMYFUNCTION("""COMPUTED_VALUE"""),7.02)</f>
        <v>7.02</v>
      </c>
      <c r="H441" s="320">
        <f>IFERROR(__xludf.DUMMYFUNCTION("""COMPUTED_VALUE"""),3.4757)</f>
        <v>3.4757</v>
      </c>
      <c r="I441" s="320">
        <f>IFERROR(__xludf.DUMMYFUNCTION("""COMPUTED_VALUE"""),31.38)</f>
        <v>31.38</v>
      </c>
      <c r="J441" s="320">
        <f>IFERROR(__xludf.DUMMYFUNCTION("""COMPUTED_VALUE"""),16.67)</f>
        <v>16.67</v>
      </c>
      <c r="K441" s="320">
        <f>IFERROR(__xludf.DUMMYFUNCTION("""COMPUTED_VALUE"""),5.45)</f>
        <v>5.45</v>
      </c>
      <c r="L441" s="320">
        <f>IFERROR(__xludf.DUMMYFUNCTION("""COMPUTED_VALUE"""),0.3267)</f>
        <v>0.3267</v>
      </c>
      <c r="M441" s="320">
        <f>IFERROR(__xludf.DUMMYFUNCTION("""COMPUTED_VALUE"""),0.7467)</f>
        <v>0.7467</v>
      </c>
      <c r="N441" s="320">
        <f>IFERROR(__xludf.DUMMYFUNCTION("""COMPUTED_VALUE"""),0.5068)</f>
        <v>0.5068</v>
      </c>
      <c r="O441" s="320">
        <f>IFERROR(__xludf.DUMMYFUNCTION("""COMPUTED_VALUE"""),3.0609)</f>
        <v>3.0609</v>
      </c>
      <c r="P441" s="320">
        <f>IFERROR(__xludf.DUMMYFUNCTION("""COMPUTED_VALUE"""),73.54)</f>
        <v>73.54</v>
      </c>
      <c r="Q441" s="320">
        <f>IFERROR(__xludf.DUMMYFUNCTION("""COMPUTED_VALUE"""),62.44)</f>
        <v>62.44</v>
      </c>
      <c r="R441" s="320">
        <f>IFERROR(__xludf.DUMMYFUNCTION("""COMPUTED_VALUE"""),11.11)</f>
        <v>11.11</v>
      </c>
      <c r="S441" s="320">
        <f>IFERROR(__xludf.DUMMYFUNCTION("""COMPUTED_VALUE"""),16.83)</f>
        <v>16.83</v>
      </c>
      <c r="T441" s="320">
        <f>IFERROR(__xludf.DUMMYFUNCTION("""COMPUTED_VALUE"""),56.71)</f>
        <v>56.71</v>
      </c>
      <c r="U441" s="320">
        <f>IFERROR(__xludf.DUMMYFUNCTION("""COMPUTED_VALUE"""),78.54)</f>
        <v>78.54</v>
      </c>
      <c r="V441" s="320">
        <f>IFERROR(__xludf.DUMMYFUNCTION("""COMPUTED_VALUE"""),4.7115)</f>
        <v>4.7115</v>
      </c>
      <c r="W441" s="320">
        <f>IFERROR(__xludf.DUMMYFUNCTION("""COMPUTED_VALUE"""),22.88)</f>
        <v>22.88</v>
      </c>
      <c r="X441" s="320">
        <f>IFERROR(__xludf.DUMMYFUNCTION("""COMPUTED_VALUE"""),86.0)</f>
        <v>86</v>
      </c>
      <c r="Y441" s="320">
        <f>IFERROR(__xludf.DUMMYFUNCTION("""COMPUTED_VALUE"""),206.0)</f>
        <v>206</v>
      </c>
      <c r="Z441" s="320">
        <f>IFERROR(__xludf.DUMMYFUNCTION("""COMPUTED_VALUE"""),830.0)</f>
        <v>830</v>
      </c>
      <c r="AA441" s="320">
        <f>IFERROR(__xludf.DUMMYFUNCTION("""COMPUTED_VALUE"""),49.5731)</f>
        <v>49.5731</v>
      </c>
      <c r="AB441" s="320">
        <f>IFERROR(__xludf.DUMMYFUNCTION("""COMPUTED_VALUE"""),0.4489)</f>
        <v>0.4489</v>
      </c>
      <c r="AC441" s="320">
        <f>IFERROR(__xludf.DUMMYFUNCTION("""COMPUTED_VALUE"""),3.68)</f>
        <v>3.68</v>
      </c>
      <c r="AD441" s="320">
        <f>IFERROR(__xludf.DUMMYFUNCTION("""COMPUTED_VALUE"""),1.0)</f>
        <v>1</v>
      </c>
      <c r="AE441" s="320">
        <f>IFERROR(__xludf.DUMMYFUNCTION("""COMPUTED_VALUE"""),2.0)</f>
        <v>2</v>
      </c>
      <c r="AF441" s="320">
        <f>IFERROR(__xludf.DUMMYFUNCTION("""COMPUTED_VALUE"""),5.0)</f>
        <v>5</v>
      </c>
      <c r="AG441" s="320">
        <f>IFERROR(__xludf.DUMMYFUNCTION("""COMPUTED_VALUE"""),8.0)</f>
        <v>8</v>
      </c>
      <c r="AH441" s="320">
        <f>IFERROR(__xludf.DUMMYFUNCTION("""COMPUTED_VALUE"""),67.36)</f>
        <v>67.36</v>
      </c>
      <c r="AI441" s="320">
        <f>IFERROR(__xludf.DUMMYFUNCTION("""COMPUTED_VALUE"""),26.03)</f>
        <v>26.03</v>
      </c>
      <c r="AJ441" s="320">
        <f>IFERROR(__xludf.DUMMYFUNCTION("""COMPUTED_VALUE"""),7.65)</f>
        <v>7.65</v>
      </c>
      <c r="AK441" s="320">
        <f>IFERROR(__xludf.DUMMYFUNCTION("""COMPUTED_VALUE"""),0.2215)</f>
        <v>0.2215</v>
      </c>
      <c r="AL441" s="320">
        <f>IFERROR(__xludf.DUMMYFUNCTION("""COMPUTED_VALUE"""),22.45)</f>
        <v>22.45</v>
      </c>
      <c r="AM441" s="320">
        <f>IFERROR(__xludf.DUMMYFUNCTION("""COMPUTED_VALUE"""),39.98)</f>
        <v>39.98</v>
      </c>
      <c r="AN441" s="320">
        <f>IFERROR(__xludf.DUMMYFUNCTION("""COMPUTED_VALUE"""),68.37)</f>
        <v>68.37</v>
      </c>
      <c r="AO441" s="320">
        <f>IFERROR(__xludf.DUMMYFUNCTION("""COMPUTED_VALUE"""),15.35)</f>
        <v>15.35</v>
      </c>
    </row>
    <row r="442" ht="15.75" customHeight="1">
      <c r="A442" s="330">
        <f>IFERROR(__xludf.DUMMYFUNCTION("""COMPUTED_VALUE"""),46123.0)</f>
        <v>46123</v>
      </c>
      <c r="B442" s="319" t="str">
        <f>IFERROR(__xludf.DUMMYFUNCTION("""COMPUTED_VALUE"""),"C. 10-19")</f>
        <v>C. 10-19</v>
      </c>
      <c r="C442" s="320">
        <f>IFERROR(__xludf.DUMMYFUNCTION("""COMPUTED_VALUE"""),14173.0)</f>
        <v>14173</v>
      </c>
      <c r="D442" s="320">
        <f>IFERROR(__xludf.DUMMYFUNCTION("""COMPUTED_VALUE"""),19.83)</f>
        <v>19.83</v>
      </c>
      <c r="E442" s="320">
        <f>IFERROR(__xludf.DUMMYFUNCTION("""COMPUTED_VALUE"""),14934.35)</f>
        <v>14934.35</v>
      </c>
      <c r="F442" s="320">
        <f>IFERROR(__xludf.DUMMYFUNCTION("""COMPUTED_VALUE"""),1.0537)</f>
        <v>1.0537</v>
      </c>
      <c r="G442" s="320">
        <f>IFERROR(__xludf.DUMMYFUNCTION("""COMPUTED_VALUE"""),22.0)</f>
        <v>22</v>
      </c>
      <c r="H442" s="320">
        <f>IFERROR(__xludf.DUMMYFUNCTION("""COMPUTED_VALUE"""),4.7897)</f>
        <v>4.7897</v>
      </c>
      <c r="I442" s="320">
        <f>IFERROR(__xludf.DUMMYFUNCTION("""COMPUTED_VALUE"""),58.02)</f>
        <v>58.02</v>
      </c>
      <c r="J442" s="320">
        <f>IFERROR(__xludf.DUMMYFUNCTION("""COMPUTED_VALUE"""),33.04)</f>
        <v>33.04</v>
      </c>
      <c r="K442" s="320">
        <f>IFERROR(__xludf.DUMMYFUNCTION("""COMPUTED_VALUE"""),14.37)</f>
        <v>14.37</v>
      </c>
      <c r="L442" s="320">
        <f>IFERROR(__xludf.DUMMYFUNCTION("""COMPUTED_VALUE"""),0.4349)</f>
        <v>0.4349</v>
      </c>
      <c r="M442" s="320">
        <f>IFERROR(__xludf.DUMMYFUNCTION("""COMPUTED_VALUE"""),0.6318)</f>
        <v>0.6318</v>
      </c>
      <c r="N442" s="320">
        <f>IFERROR(__xludf.DUMMYFUNCTION("""COMPUTED_VALUE"""),0.3623)</f>
        <v>0.3623</v>
      </c>
      <c r="O442" s="320">
        <f>IFERROR(__xludf.DUMMYFUNCTION("""COMPUTED_VALUE"""),2.2994)</f>
        <v>2.2994</v>
      </c>
      <c r="P442" s="320">
        <f>IFERROR(__xludf.DUMMYFUNCTION("""COMPUTED_VALUE"""),178.35)</f>
        <v>178.35</v>
      </c>
      <c r="Q442" s="320">
        <f>IFERROR(__xludf.DUMMYFUNCTION("""COMPUTED_VALUE"""),148.88)</f>
        <v>148.88</v>
      </c>
      <c r="R442" s="320">
        <f>IFERROR(__xludf.DUMMYFUNCTION("""COMPUTED_VALUE"""),29.48)</f>
        <v>29.48</v>
      </c>
      <c r="S442" s="320">
        <f>IFERROR(__xludf.DUMMYFUNCTION("""COMPUTED_VALUE"""),71.06)</f>
        <v>71.06</v>
      </c>
      <c r="T442" s="320">
        <f>IFERROR(__xludf.DUMMYFUNCTION("""COMPUTED_VALUE"""),107.29)</f>
        <v>107.29</v>
      </c>
      <c r="U442" s="320">
        <f>IFERROR(__xludf.DUMMYFUNCTION("""COMPUTED_VALUE"""),186.45)</f>
        <v>186.45</v>
      </c>
      <c r="V442" s="320">
        <f>IFERROR(__xludf.DUMMYFUNCTION("""COMPUTED_VALUE"""),5.6434)</f>
        <v>5.6434</v>
      </c>
      <c r="W442" s="320">
        <f>IFERROR(__xludf.DUMMYFUNCTION("""COMPUTED_VALUE"""),39.84)</f>
        <v>39.84</v>
      </c>
      <c r="X442" s="320">
        <f>IFERROR(__xludf.DUMMYFUNCTION("""COMPUTED_VALUE"""),82.0)</f>
        <v>82</v>
      </c>
      <c r="Y442" s="320">
        <f>IFERROR(__xludf.DUMMYFUNCTION("""COMPUTED_VALUE"""),184.0)</f>
        <v>184</v>
      </c>
      <c r="Z442" s="320">
        <f>IFERROR(__xludf.DUMMYFUNCTION("""COMPUTED_VALUE"""),625.0)</f>
        <v>625</v>
      </c>
      <c r="AA442" s="320">
        <f>IFERROR(__xludf.DUMMYFUNCTION("""COMPUTED_VALUE"""),52.4601)</f>
        <v>52.4601</v>
      </c>
      <c r="AB442" s="320">
        <f>IFERROR(__xludf.DUMMYFUNCTION("""COMPUTED_VALUE"""),0.5468)</f>
        <v>0.5468</v>
      </c>
      <c r="AC442" s="320">
        <f>IFERROR(__xludf.DUMMYFUNCTION("""COMPUTED_VALUE"""),9.47)</f>
        <v>9.47</v>
      </c>
      <c r="AD442" s="320">
        <f>IFERROR(__xludf.DUMMYFUNCTION("""COMPUTED_VALUE"""),3.0)</f>
        <v>3</v>
      </c>
      <c r="AE442" s="320">
        <f>IFERROR(__xludf.DUMMYFUNCTION("""COMPUTED_VALUE"""),7.0)</f>
        <v>7</v>
      </c>
      <c r="AF442" s="320">
        <f>IFERROR(__xludf.DUMMYFUNCTION("""COMPUTED_VALUE"""),13.0)</f>
        <v>13</v>
      </c>
      <c r="AG442" s="320">
        <f>IFERROR(__xludf.DUMMYFUNCTION("""COMPUTED_VALUE"""),21.0)</f>
        <v>21</v>
      </c>
      <c r="AH442" s="320">
        <f>IFERROR(__xludf.DUMMYFUNCTION("""COMPUTED_VALUE"""),56.66)</f>
        <v>56.66</v>
      </c>
      <c r="AI442" s="320">
        <f>IFERROR(__xludf.DUMMYFUNCTION("""COMPUTED_VALUE"""),26.33)</f>
        <v>26.33</v>
      </c>
      <c r="AJ442" s="320">
        <f>IFERROR(__xludf.DUMMYFUNCTION("""COMPUTED_VALUE"""),6.07)</f>
        <v>6.07</v>
      </c>
      <c r="AK442" s="320">
        <f>IFERROR(__xludf.DUMMYFUNCTION("""COMPUTED_VALUE"""),0.2078)</f>
        <v>0.2078</v>
      </c>
      <c r="AL442" s="320">
        <f>IFERROR(__xludf.DUMMYFUNCTION("""COMPUTED_VALUE"""),23.15)</f>
        <v>23.15</v>
      </c>
      <c r="AM442" s="320">
        <f>IFERROR(__xludf.DUMMYFUNCTION("""COMPUTED_VALUE"""),125.72)</f>
        <v>125.72</v>
      </c>
      <c r="AN442" s="320">
        <f>IFERROR(__xludf.DUMMYFUNCTION("""COMPUTED_VALUE"""),73.09)</f>
        <v>73.09</v>
      </c>
      <c r="AO442" s="320">
        <f>IFERROR(__xludf.DUMMYFUNCTION("""COMPUTED_VALUE"""),16.92)</f>
        <v>16.92</v>
      </c>
    </row>
    <row r="443" ht="15.75" customHeight="1">
      <c r="A443" s="330">
        <f>IFERROR(__xludf.DUMMYFUNCTION("""COMPUTED_VALUE"""),46123.0)</f>
        <v>46123</v>
      </c>
      <c r="B443" s="319" t="str">
        <f>IFERROR(__xludf.DUMMYFUNCTION("""COMPUTED_VALUE"""),"D. 20-39")</f>
        <v>D. 20-39</v>
      </c>
      <c r="C443" s="320">
        <f>IFERROR(__xludf.DUMMYFUNCTION("""COMPUTED_VALUE"""),7324.0)</f>
        <v>7324</v>
      </c>
      <c r="D443" s="320">
        <f>IFERROR(__xludf.DUMMYFUNCTION("""COMPUTED_VALUE"""),10.25)</f>
        <v>10.25</v>
      </c>
      <c r="E443" s="320">
        <f>IFERROR(__xludf.DUMMYFUNCTION("""COMPUTED_VALUE"""),18573.26)</f>
        <v>18573.26</v>
      </c>
      <c r="F443" s="320">
        <f>IFERROR(__xludf.DUMMYFUNCTION("""COMPUTED_VALUE"""),2.5359)</f>
        <v>2.5359</v>
      </c>
      <c r="G443" s="320">
        <f>IFERROR(__xludf.DUMMYFUNCTION("""COMPUTED_VALUE"""),34.48)</f>
        <v>34.48</v>
      </c>
      <c r="H443" s="320">
        <f>IFERROR(__xludf.DUMMYFUNCTION("""COMPUTED_VALUE"""),7.3557)</f>
        <v>7.3557</v>
      </c>
      <c r="I443" s="320">
        <f>IFERROR(__xludf.DUMMYFUNCTION("""COMPUTED_VALUE"""),85.25)</f>
        <v>85.25</v>
      </c>
      <c r="J443" s="320">
        <f>IFERROR(__xludf.DUMMYFUNCTION("""COMPUTED_VALUE"""),50.96)</f>
        <v>50.96</v>
      </c>
      <c r="K443" s="320">
        <f>IFERROR(__xludf.DUMMYFUNCTION("""COMPUTED_VALUE"""),27.19)</f>
        <v>27.19</v>
      </c>
      <c r="L443" s="320">
        <f>IFERROR(__xludf.DUMMYFUNCTION("""COMPUTED_VALUE"""),0.5336)</f>
        <v>0.5336</v>
      </c>
      <c r="M443" s="320">
        <f>IFERROR(__xludf.DUMMYFUNCTION("""COMPUTED_VALUE"""),0.5404)</f>
        <v>0.5404</v>
      </c>
      <c r="N443" s="320">
        <f>IFERROR(__xludf.DUMMYFUNCTION("""COMPUTED_VALUE"""),0.3004)</f>
        <v>0.3004</v>
      </c>
      <c r="O443" s="320">
        <f>IFERROR(__xludf.DUMMYFUNCTION("""COMPUTED_VALUE"""),1.8742)</f>
        <v>1.8742</v>
      </c>
      <c r="P443" s="320">
        <f>IFERROR(__xludf.DUMMYFUNCTION("""COMPUTED_VALUE"""),345.51)</f>
        <v>345.51</v>
      </c>
      <c r="Q443" s="320">
        <f>IFERROR(__xludf.DUMMYFUNCTION("""COMPUTED_VALUE"""),289.29)</f>
        <v>289.29</v>
      </c>
      <c r="R443" s="320">
        <f>IFERROR(__xludf.DUMMYFUNCTION("""COMPUTED_VALUE"""),56.21)</f>
        <v>56.21</v>
      </c>
      <c r="S443" s="320">
        <f>IFERROR(__xludf.DUMMYFUNCTION("""COMPUTED_VALUE"""),165.43)</f>
        <v>165.43</v>
      </c>
      <c r="T443" s="320">
        <f>IFERROR(__xludf.DUMMYFUNCTION("""COMPUTED_VALUE"""),180.08)</f>
        <v>180.08</v>
      </c>
      <c r="U443" s="320">
        <f>IFERROR(__xludf.DUMMYFUNCTION("""COMPUTED_VALUE"""),359.88)</f>
        <v>359.88</v>
      </c>
      <c r="V443" s="320">
        <f>IFERROR(__xludf.DUMMYFUNCTION("""COMPUTED_VALUE"""),7.0623)</f>
        <v>7.0623</v>
      </c>
      <c r="W443" s="320">
        <f>IFERROR(__xludf.DUMMYFUNCTION("""COMPUTED_VALUE"""),47.88)</f>
        <v>47.88</v>
      </c>
      <c r="X443" s="320">
        <f>IFERROR(__xludf.DUMMYFUNCTION("""COMPUTED_VALUE"""),86.0)</f>
        <v>86</v>
      </c>
      <c r="Y443" s="320">
        <f>IFERROR(__xludf.DUMMYFUNCTION("""COMPUTED_VALUE"""),207.0)</f>
        <v>207</v>
      </c>
      <c r="Z443" s="320">
        <f>IFERROR(__xludf.DUMMYFUNCTION("""COMPUTED_VALUE"""),636.0)</f>
        <v>636</v>
      </c>
      <c r="AA443" s="320">
        <f>IFERROR(__xludf.DUMMYFUNCTION("""COMPUTED_VALUE"""),54.3622)</f>
        <v>54.3622</v>
      </c>
      <c r="AB443" s="320">
        <f>IFERROR(__xludf.DUMMYFUNCTION("""COMPUTED_VALUE"""),0.6432)</f>
        <v>0.6432</v>
      </c>
      <c r="AC443" s="320">
        <f>IFERROR(__xludf.DUMMYFUNCTION("""COMPUTED_VALUE"""),17.44)</f>
        <v>17.44</v>
      </c>
      <c r="AD443" s="320">
        <f>IFERROR(__xludf.DUMMYFUNCTION("""COMPUTED_VALUE"""),6.0)</f>
        <v>6</v>
      </c>
      <c r="AE443" s="320">
        <f>IFERROR(__xludf.DUMMYFUNCTION("""COMPUTED_VALUE"""),12.0)</f>
        <v>12</v>
      </c>
      <c r="AF443" s="320">
        <f>IFERROR(__xludf.DUMMYFUNCTION("""COMPUTED_VALUE"""),24.0)</f>
        <v>24</v>
      </c>
      <c r="AG443" s="320">
        <f>IFERROR(__xludf.DUMMYFUNCTION("""COMPUTED_VALUE"""),37.0)</f>
        <v>37</v>
      </c>
      <c r="AH443" s="320">
        <f>IFERROR(__xludf.DUMMYFUNCTION("""COMPUTED_VALUE"""),55.23)</f>
        <v>55.23</v>
      </c>
      <c r="AI443" s="320">
        <f>IFERROR(__xludf.DUMMYFUNCTION("""COMPUTED_VALUE"""),22.84)</f>
        <v>22.84</v>
      </c>
      <c r="AJ443" s="320">
        <f>IFERROR(__xludf.DUMMYFUNCTION("""COMPUTED_VALUE"""),7.89)</f>
        <v>7.89</v>
      </c>
      <c r="AK443" s="320">
        <f>IFERROR(__xludf.DUMMYFUNCTION("""COMPUTED_VALUE"""),0.1897)</f>
        <v>0.1897</v>
      </c>
      <c r="AL443" s="320">
        <f>IFERROR(__xludf.DUMMYFUNCTION("""COMPUTED_VALUE"""),22.78)</f>
        <v>22.78</v>
      </c>
      <c r="AM443" s="320">
        <f>IFERROR(__xludf.DUMMYFUNCTION("""COMPUTED_VALUE"""),266.52)</f>
        <v>266.52</v>
      </c>
      <c r="AN443" s="320">
        <f>IFERROR(__xludf.DUMMYFUNCTION("""COMPUTED_VALUE"""),75.82)</f>
        <v>75.82</v>
      </c>
      <c r="AO443" s="320">
        <f>IFERROR(__xludf.DUMMYFUNCTION("""COMPUTED_VALUE"""),17.27)</f>
        <v>17.27</v>
      </c>
    </row>
    <row r="444" ht="15.75" customHeight="1">
      <c r="A444" s="330">
        <f>IFERROR(__xludf.DUMMYFUNCTION("""COMPUTED_VALUE"""),46123.0)</f>
        <v>46123</v>
      </c>
      <c r="B444" s="319" t="str">
        <f>IFERROR(__xludf.DUMMYFUNCTION("""COMPUTED_VALUE"""),"E. 40-99")</f>
        <v>E. 40-99</v>
      </c>
      <c r="C444" s="320">
        <f>IFERROR(__xludf.DUMMYFUNCTION("""COMPUTED_VALUE"""),2803.0)</f>
        <v>2803</v>
      </c>
      <c r="D444" s="320">
        <f>IFERROR(__xludf.DUMMYFUNCTION("""COMPUTED_VALUE"""),3.92)</f>
        <v>3.92</v>
      </c>
      <c r="E444" s="320">
        <f>IFERROR(__xludf.DUMMYFUNCTION("""COMPUTED_VALUE"""),16203.54)</f>
        <v>16203.54</v>
      </c>
      <c r="F444" s="320">
        <f>IFERROR(__xludf.DUMMYFUNCTION("""COMPUTED_VALUE"""),5.7808)</f>
        <v>5.7808</v>
      </c>
      <c r="G444" s="320">
        <f>IFERROR(__xludf.DUMMYFUNCTION("""COMPUTED_VALUE"""),43.35)</f>
        <v>43.35</v>
      </c>
      <c r="H444" s="320">
        <f>IFERROR(__xludf.DUMMYFUNCTION("""COMPUTED_VALUE"""),13.3362)</f>
        <v>13.3362</v>
      </c>
      <c r="I444" s="320">
        <f>IFERROR(__xludf.DUMMYFUNCTION("""COMPUTED_VALUE"""),128.34)</f>
        <v>128.34</v>
      </c>
      <c r="J444" s="320">
        <f>IFERROR(__xludf.DUMMYFUNCTION("""COMPUTED_VALUE"""),80.08)</f>
        <v>80.08</v>
      </c>
      <c r="K444" s="320">
        <f>IFERROR(__xludf.DUMMYFUNCTION("""COMPUTED_VALUE"""),53.99)</f>
        <v>53.99</v>
      </c>
      <c r="L444" s="320">
        <f>IFERROR(__xludf.DUMMYFUNCTION("""COMPUTED_VALUE"""),0.6742)</f>
        <v>0.6742</v>
      </c>
      <c r="M444" s="320">
        <f>IFERROR(__xludf.DUMMYFUNCTION("""COMPUTED_VALUE"""),0.4143)</f>
        <v>0.4143</v>
      </c>
      <c r="N444" s="320">
        <f>IFERROR(__xludf.DUMMYFUNCTION("""COMPUTED_VALUE"""),0.2365)</f>
        <v>0.2365</v>
      </c>
      <c r="O444" s="320">
        <f>IFERROR(__xludf.DUMMYFUNCTION("""COMPUTED_VALUE"""),1.4832)</f>
        <v>1.4832</v>
      </c>
      <c r="P444" s="320">
        <f>IFERROR(__xludf.DUMMYFUNCTION("""COMPUTED_VALUE"""),686.36)</f>
        <v>686.36</v>
      </c>
      <c r="Q444" s="320">
        <f>IFERROR(__xludf.DUMMYFUNCTION("""COMPUTED_VALUE"""),574.47)</f>
        <v>574.47</v>
      </c>
      <c r="R444" s="320">
        <f>IFERROR(__xludf.DUMMYFUNCTION("""COMPUTED_VALUE"""),111.89)</f>
        <v>111.89</v>
      </c>
      <c r="S444" s="320">
        <f>IFERROR(__xludf.DUMMYFUNCTION("""COMPUTED_VALUE"""),359.97)</f>
        <v>359.97</v>
      </c>
      <c r="T444" s="320">
        <f>IFERROR(__xludf.DUMMYFUNCTION("""COMPUTED_VALUE"""),326.39)</f>
        <v>326.39</v>
      </c>
      <c r="U444" s="320">
        <f>IFERROR(__xludf.DUMMYFUNCTION("""COMPUTED_VALUE"""),717.43)</f>
        <v>717.43</v>
      </c>
      <c r="V444" s="320">
        <f>IFERROR(__xludf.DUMMYFUNCTION("""COMPUTED_VALUE"""),8.9585)</f>
        <v>8.9585</v>
      </c>
      <c r="W444" s="320">
        <f>IFERROR(__xludf.DUMMYFUNCTION("""COMPUTED_VALUE"""),52.45)</f>
        <v>52.45</v>
      </c>
      <c r="X444" s="320">
        <f>IFERROR(__xludf.DUMMYFUNCTION("""COMPUTED_VALUE"""),95.0)</f>
        <v>95</v>
      </c>
      <c r="Y444" s="320">
        <f>IFERROR(__xludf.DUMMYFUNCTION("""COMPUTED_VALUE"""),296.0)</f>
        <v>296</v>
      </c>
      <c r="Z444" s="320">
        <f>IFERROR(__xludf.DUMMYFUNCTION("""COMPUTED_VALUE"""),911.0)</f>
        <v>911</v>
      </c>
      <c r="AA444" s="320">
        <f>IFERROR(__xludf.DUMMYFUNCTION("""COMPUTED_VALUE"""),57.2564)</f>
        <v>57.2564</v>
      </c>
      <c r="AB444" s="320">
        <f>IFERROR(__xludf.DUMMYFUNCTION("""COMPUTED_VALUE"""),0.7473)</f>
        <v>0.7473</v>
      </c>
      <c r="AC444" s="320">
        <f>IFERROR(__xludf.DUMMYFUNCTION("""COMPUTED_VALUE"""),35.22)</f>
        <v>35.22</v>
      </c>
      <c r="AD444" s="320">
        <f>IFERROR(__xludf.DUMMYFUNCTION("""COMPUTED_VALUE"""),11.0)</f>
        <v>11</v>
      </c>
      <c r="AE444" s="320">
        <f>IFERROR(__xludf.DUMMYFUNCTION("""COMPUTED_VALUE"""),26.0)</f>
        <v>26</v>
      </c>
      <c r="AF444" s="320">
        <f>IFERROR(__xludf.DUMMYFUNCTION("""COMPUTED_VALUE"""),49.0)</f>
        <v>49</v>
      </c>
      <c r="AG444" s="320">
        <f>IFERROR(__xludf.DUMMYFUNCTION("""COMPUTED_VALUE"""),77.0)</f>
        <v>77</v>
      </c>
      <c r="AH444" s="320">
        <f>IFERROR(__xludf.DUMMYFUNCTION("""COMPUTED_VALUE"""),48.16)</f>
        <v>48.16</v>
      </c>
      <c r="AI444" s="320">
        <f>IFERROR(__xludf.DUMMYFUNCTION("""COMPUTED_VALUE"""),18.16)</f>
        <v>18.16</v>
      </c>
      <c r="AJ444" s="320">
        <f>IFERROR(__xludf.DUMMYFUNCTION("""COMPUTED_VALUE"""),4.39)</f>
        <v>4.39</v>
      </c>
      <c r="AK444" s="320">
        <f>IFERROR(__xludf.DUMMYFUNCTION("""COMPUTED_VALUE"""),0.1591)</f>
        <v>0.1591</v>
      </c>
      <c r="AL444" s="320">
        <f>IFERROR(__xludf.DUMMYFUNCTION("""COMPUTED_VALUE"""),22.21)</f>
        <v>22.21</v>
      </c>
      <c r="AM444" s="320">
        <f>IFERROR(__xludf.DUMMYFUNCTION("""COMPUTED_VALUE"""),552.26)</f>
        <v>552.26</v>
      </c>
      <c r="AN444" s="320">
        <f>IFERROR(__xludf.DUMMYFUNCTION("""COMPUTED_VALUE"""),77.56)</f>
        <v>77.56</v>
      </c>
      <c r="AO444" s="320">
        <f>IFERROR(__xludf.DUMMYFUNCTION("""COMPUTED_VALUE"""),17.23)</f>
        <v>17.23</v>
      </c>
    </row>
    <row r="445" ht="15.75" customHeight="1">
      <c r="A445" s="330">
        <f>IFERROR(__xludf.DUMMYFUNCTION("""COMPUTED_VALUE"""),46123.0)</f>
        <v>46123</v>
      </c>
      <c r="B445" s="319" t="str">
        <f>IFERROR(__xludf.DUMMYFUNCTION("""COMPUTED_VALUE"""),"F. 100+")</f>
        <v>F. 100+</v>
      </c>
      <c r="C445" s="320">
        <f>IFERROR(__xludf.DUMMYFUNCTION("""COMPUTED_VALUE"""),300.0)</f>
        <v>300</v>
      </c>
      <c r="D445" s="320">
        <f>IFERROR(__xludf.DUMMYFUNCTION("""COMPUTED_VALUE"""),0.42)</f>
        <v>0.42</v>
      </c>
      <c r="E445" s="320">
        <f>IFERROR(__xludf.DUMMYFUNCTION("""COMPUTED_VALUE"""),3095.02)</f>
        <v>3095.02</v>
      </c>
      <c r="F445" s="320">
        <f>IFERROR(__xludf.DUMMYFUNCTION("""COMPUTED_VALUE"""),10.3167)</f>
        <v>10.3167</v>
      </c>
      <c r="G445" s="320">
        <f>IFERROR(__xludf.DUMMYFUNCTION("""COMPUTED_VALUE"""),51.33)</f>
        <v>51.33</v>
      </c>
      <c r="H445" s="320">
        <f>IFERROR(__xludf.DUMMYFUNCTION("""COMPUTED_VALUE"""),20.0975)</f>
        <v>20.0975</v>
      </c>
      <c r="I445" s="320">
        <f>IFERROR(__xludf.DUMMYFUNCTION("""COMPUTED_VALUE"""),251.96)</f>
        <v>251.96</v>
      </c>
      <c r="J445" s="320">
        <f>IFERROR(__xludf.DUMMYFUNCTION("""COMPUTED_VALUE"""),165.52)</f>
        <v>165.52</v>
      </c>
      <c r="K445" s="320">
        <f>IFERROR(__xludf.DUMMYFUNCTION("""COMPUTED_VALUE"""),128.35)</f>
        <v>128.35</v>
      </c>
      <c r="L445" s="320">
        <f>IFERROR(__xludf.DUMMYFUNCTION("""COMPUTED_VALUE"""),0.7754)</f>
        <v>0.7754</v>
      </c>
      <c r="M445" s="320">
        <f>IFERROR(__xludf.DUMMYFUNCTION("""COMPUTED_VALUE"""),0.3097)</f>
        <v>0.3097</v>
      </c>
      <c r="N445" s="320">
        <f>IFERROR(__xludf.DUMMYFUNCTION("""COMPUTED_VALUE"""),0.1843)</f>
        <v>0.1843</v>
      </c>
      <c r="O445" s="320">
        <f>IFERROR(__xludf.DUMMYFUNCTION("""COMPUTED_VALUE"""),1.2896)</f>
        <v>1.2896</v>
      </c>
      <c r="P445" s="320">
        <f>IFERROR(__xludf.DUMMYFUNCTION("""COMPUTED_VALUE"""),1347.62)</f>
        <v>1347.62</v>
      </c>
      <c r="Q445" s="320">
        <f>IFERROR(__xludf.DUMMYFUNCTION("""COMPUTED_VALUE"""),1081.22)</f>
        <v>1081.22</v>
      </c>
      <c r="R445" s="320">
        <f>IFERROR(__xludf.DUMMYFUNCTION("""COMPUTED_VALUE"""),266.4)</f>
        <v>266.4</v>
      </c>
      <c r="S445" s="320">
        <f>IFERROR(__xludf.DUMMYFUNCTION("""COMPUTED_VALUE"""),646.2)</f>
        <v>646.2</v>
      </c>
      <c r="T445" s="320">
        <f>IFERROR(__xludf.DUMMYFUNCTION("""COMPUTED_VALUE"""),701.42)</f>
        <v>701.42</v>
      </c>
      <c r="U445" s="320">
        <f>IFERROR(__xludf.DUMMYFUNCTION("""COMPUTED_VALUE"""),1364.33)</f>
        <v>1364.33</v>
      </c>
      <c r="V445" s="320">
        <f>IFERROR(__xludf.DUMMYFUNCTION("""COMPUTED_VALUE"""),8.2427)</f>
        <v>8.2427</v>
      </c>
      <c r="W445" s="320">
        <f>IFERROR(__xludf.DUMMYFUNCTION("""COMPUTED_VALUE"""),47.95)</f>
        <v>47.95</v>
      </c>
      <c r="X445" s="320">
        <f>IFERROR(__xludf.DUMMYFUNCTION("""COMPUTED_VALUE"""),163.0)</f>
        <v>163</v>
      </c>
      <c r="Y445" s="320">
        <f>IFERROR(__xludf.DUMMYFUNCTION("""COMPUTED_VALUE"""),710.0)</f>
        <v>710</v>
      </c>
      <c r="Z445" s="320">
        <f>IFERROR(__xludf.DUMMYFUNCTION("""COMPUTED_VALUE"""),2108.0)</f>
        <v>2108</v>
      </c>
      <c r="AA445" s="320">
        <f>IFERROR(__xludf.DUMMYFUNCTION("""COMPUTED_VALUE"""),61.2024)</f>
        <v>61.2024</v>
      </c>
      <c r="AB445" s="320">
        <f>IFERROR(__xludf.DUMMYFUNCTION("""COMPUTED_VALUE"""),0.8254)</f>
        <v>0.8254</v>
      </c>
      <c r="AC445" s="320">
        <f>IFERROR(__xludf.DUMMYFUNCTION("""COMPUTED_VALUE"""),81.08)</f>
        <v>81.08</v>
      </c>
      <c r="AD445" s="320">
        <f>IFERROR(__xludf.DUMMYFUNCTION("""COMPUTED_VALUE"""),27.0)</f>
        <v>27</v>
      </c>
      <c r="AE445" s="320">
        <f>IFERROR(__xludf.DUMMYFUNCTION("""COMPUTED_VALUE"""),63.0)</f>
        <v>63</v>
      </c>
      <c r="AF445" s="320">
        <f>IFERROR(__xludf.DUMMYFUNCTION("""COMPUTED_VALUE"""),115.0)</f>
        <v>115</v>
      </c>
      <c r="AG445" s="320">
        <f>IFERROR(__xludf.DUMMYFUNCTION("""COMPUTED_VALUE"""),182.0)</f>
        <v>182</v>
      </c>
      <c r="AH445" s="320">
        <f>IFERROR(__xludf.DUMMYFUNCTION("""COMPUTED_VALUE"""),41.33)</f>
        <v>41.33</v>
      </c>
      <c r="AI445" s="320">
        <f>IFERROR(__xludf.DUMMYFUNCTION("""COMPUTED_VALUE"""),11.67)</f>
        <v>11.67</v>
      </c>
      <c r="AJ445" s="320">
        <f>IFERROR(__xludf.DUMMYFUNCTION("""COMPUTED_VALUE"""),1.67)</f>
        <v>1.67</v>
      </c>
      <c r="AK445" s="320">
        <f>IFERROR(__xludf.DUMMYFUNCTION("""COMPUTED_VALUE"""),0.1567)</f>
        <v>0.1567</v>
      </c>
      <c r="AL445" s="320">
        <f>IFERROR(__xludf.DUMMYFUNCTION("""COMPUTED_VALUE"""),21.1)</f>
        <v>21.1</v>
      </c>
      <c r="AM445" s="320">
        <f>IFERROR(__xludf.DUMMYFUNCTION("""COMPUTED_VALUE"""),1060.12)</f>
        <v>1060.12</v>
      </c>
      <c r="AN445" s="320">
        <f>IFERROR(__xludf.DUMMYFUNCTION("""COMPUTED_VALUE"""),73.05)</f>
        <v>73.05</v>
      </c>
      <c r="AO445" s="320">
        <f>IFERROR(__xludf.DUMMYFUNCTION("""COMPUTED_VALUE"""),15.41)</f>
        <v>15.41</v>
      </c>
    </row>
    <row r="446" ht="15.75" customHeight="1">
      <c r="A446" s="330">
        <f>IFERROR(__xludf.DUMMYFUNCTION("""COMPUTED_VALUE"""),46124.0)</f>
        <v>46124</v>
      </c>
      <c r="B446" s="319" t="str">
        <f>IFERROR(__xludf.DUMMYFUNCTION("""COMPUTED_VALUE"""),"A. 0")</f>
        <v>A. 0</v>
      </c>
      <c r="C446" s="320">
        <f>IFERROR(__xludf.DUMMYFUNCTION("""COMPUTED_VALUE"""),15325.0)</f>
        <v>15325</v>
      </c>
      <c r="D446" s="320">
        <f>IFERROR(__xludf.DUMMYFUNCTION("""COMPUTED_VALUE"""),21.02)</f>
        <v>21.02</v>
      </c>
      <c r="E446" s="320">
        <f>IFERROR(__xludf.DUMMYFUNCTION("""COMPUTED_VALUE"""),83.06)</f>
        <v>83.06</v>
      </c>
      <c r="F446" s="320">
        <f>IFERROR(__xludf.DUMMYFUNCTION("""COMPUTED_VALUE"""),0.0054)</f>
        <v>0.0054</v>
      </c>
      <c r="G446" s="320">
        <f>IFERROR(__xludf.DUMMYFUNCTION("""COMPUTED_VALUE"""),0.14)</f>
        <v>0.14</v>
      </c>
      <c r="H446" s="320">
        <f>IFERROR(__xludf.DUMMYFUNCTION("""COMPUTED_VALUE"""),3.9552)</f>
        <v>3.9552</v>
      </c>
      <c r="I446" s="320">
        <f>IFERROR(__xludf.DUMMYFUNCTION("""COMPUTED_VALUE"""),6.4)</f>
        <v>6.4</v>
      </c>
      <c r="J446" s="320">
        <f>IFERROR(__xludf.DUMMYFUNCTION("""COMPUTED_VALUE"""),2.93)</f>
        <v>2.93</v>
      </c>
      <c r="K446" s="320">
        <f>IFERROR(__xludf.DUMMYFUNCTION("""COMPUTED_VALUE"""),0.04)</f>
        <v>0.04</v>
      </c>
      <c r="L446" s="320">
        <f>IFERROR(__xludf.DUMMYFUNCTION("""COMPUTED_VALUE"""),0.0127)</f>
        <v>0.0127</v>
      </c>
      <c r="M446" s="320">
        <f>IFERROR(__xludf.DUMMYFUNCTION("""COMPUTED_VALUE"""),0.988)</f>
        <v>0.988</v>
      </c>
      <c r="N446" s="320">
        <f>IFERROR(__xludf.DUMMYFUNCTION("""COMPUTED_VALUE"""),0.8263)</f>
        <v>0.8263</v>
      </c>
      <c r="O446" s="320">
        <f>IFERROR(__xludf.DUMMYFUNCTION("""COMPUTED_VALUE"""),78.4712)</f>
        <v>78.4712</v>
      </c>
      <c r="P446" s="320">
        <f>IFERROR(__xludf.DUMMYFUNCTION("""COMPUTED_VALUE"""),23.04)</f>
        <v>23.04</v>
      </c>
      <c r="Q446" s="320">
        <f>IFERROR(__xludf.DUMMYFUNCTION("""COMPUTED_VALUE"""),22.98)</f>
        <v>22.98</v>
      </c>
      <c r="R446" s="320">
        <f>IFERROR(__xludf.DUMMYFUNCTION("""COMPUTED_VALUE"""),0.06)</f>
        <v>0.06</v>
      </c>
      <c r="S446" s="320">
        <f>IFERROR(__xludf.DUMMYFUNCTION("""COMPUTED_VALUE"""),0.45)</f>
        <v>0.45</v>
      </c>
      <c r="T446" s="320">
        <f>IFERROR(__xludf.DUMMYFUNCTION("""COMPUTED_VALUE"""),22.59)</f>
        <v>22.59</v>
      </c>
      <c r="U446" s="320">
        <f>IFERROR(__xludf.DUMMYFUNCTION("""COMPUTED_VALUE"""),1.82)</f>
        <v>1.82</v>
      </c>
      <c r="V446" s="320">
        <f>IFERROR(__xludf.DUMMYFUNCTION("""COMPUTED_VALUE"""),0.6194)</f>
        <v>0.6194</v>
      </c>
      <c r="W446" s="320">
        <f>IFERROR(__xludf.DUMMYFUNCTION("""COMPUTED_VALUE"""),1.96)</f>
        <v>1.96</v>
      </c>
      <c r="X446" s="320">
        <f>IFERROR(__xludf.DUMMYFUNCTION("""COMPUTED_VALUE"""),143.0)</f>
        <v>143</v>
      </c>
      <c r="Y446" s="320">
        <f>IFERROR(__xludf.DUMMYFUNCTION("""COMPUTED_VALUE"""),1108.0)</f>
        <v>1108</v>
      </c>
      <c r="Z446" s="320">
        <f>IFERROR(__xludf.DUMMYFUNCTION("""COMPUTED_VALUE"""),7662.0)</f>
        <v>7662</v>
      </c>
      <c r="AA446" s="320">
        <f>IFERROR(__xludf.DUMMYFUNCTION("""COMPUTED_VALUE"""),49.8525)</f>
        <v>49.8525</v>
      </c>
      <c r="AB446" s="320">
        <f>IFERROR(__xludf.DUMMYFUNCTION("""COMPUTED_VALUE"""),0.5207)</f>
        <v>0.5207</v>
      </c>
      <c r="AC446" s="106"/>
      <c r="AD446" s="106"/>
      <c r="AE446" s="106"/>
      <c r="AF446" s="106"/>
      <c r="AG446" s="106"/>
      <c r="AH446" s="320">
        <f>IFERROR(__xludf.DUMMYFUNCTION("""COMPUTED_VALUE"""),0.0)</f>
        <v>0</v>
      </c>
      <c r="AI446" s="320">
        <f>IFERROR(__xludf.DUMMYFUNCTION("""COMPUTED_VALUE"""),0.0)</f>
        <v>0</v>
      </c>
      <c r="AJ446" s="320">
        <f>IFERROR(__xludf.DUMMYFUNCTION("""COMPUTED_VALUE"""),0.0)</f>
        <v>0</v>
      </c>
      <c r="AK446" s="320">
        <f>IFERROR(__xludf.DUMMYFUNCTION("""COMPUTED_VALUE"""),0.279)</f>
        <v>0.279</v>
      </c>
      <c r="AL446" s="320">
        <f>IFERROR(__xludf.DUMMYFUNCTION("""COMPUTED_VALUE"""),17.08)</f>
        <v>17.08</v>
      </c>
      <c r="AM446" s="320">
        <f>IFERROR(__xludf.DUMMYFUNCTION("""COMPUTED_VALUE"""),5.9)</f>
        <v>5.9</v>
      </c>
      <c r="AN446" s="331"/>
      <c r="AO446" s="331"/>
    </row>
    <row r="447" ht="15.75" customHeight="1">
      <c r="A447" s="330">
        <f>IFERROR(__xludf.DUMMYFUNCTION("""COMPUTED_VALUE"""),46124.0)</f>
        <v>46124</v>
      </c>
      <c r="B447" s="319" t="str">
        <f>IFERROR(__xludf.DUMMYFUNCTION("""COMPUTED_VALUE"""),"B. 1-9")</f>
        <v>B. 1-9</v>
      </c>
      <c r="C447" s="320">
        <f>IFERROR(__xludf.DUMMYFUNCTION("""COMPUTED_VALUE"""),32310.0)</f>
        <v>32310</v>
      </c>
      <c r="D447" s="320">
        <f>IFERROR(__xludf.DUMMYFUNCTION("""COMPUTED_VALUE"""),44.32)</f>
        <v>44.32</v>
      </c>
      <c r="E447" s="320">
        <f>IFERROR(__xludf.DUMMYFUNCTION("""COMPUTED_VALUE"""),7660.33)</f>
        <v>7660.33</v>
      </c>
      <c r="F447" s="320">
        <f>IFERROR(__xludf.DUMMYFUNCTION("""COMPUTED_VALUE"""),0.2371)</f>
        <v>0.2371</v>
      </c>
      <c r="G447" s="320">
        <f>IFERROR(__xludf.DUMMYFUNCTION("""COMPUTED_VALUE"""),6.87)</f>
        <v>6.87</v>
      </c>
      <c r="H447" s="320">
        <f>IFERROR(__xludf.DUMMYFUNCTION("""COMPUTED_VALUE"""),3.449)</f>
        <v>3.449</v>
      </c>
      <c r="I447" s="320">
        <f>IFERROR(__xludf.DUMMYFUNCTION("""COMPUTED_VALUE"""),34.89)</f>
        <v>34.89</v>
      </c>
      <c r="J447" s="320">
        <f>IFERROR(__xludf.DUMMYFUNCTION("""COMPUTED_VALUE"""),19.06)</f>
        <v>19.06</v>
      </c>
      <c r="K447" s="320">
        <f>IFERROR(__xludf.DUMMYFUNCTION("""COMPUTED_VALUE"""),5.51)</f>
        <v>5.51</v>
      </c>
      <c r="L447" s="320">
        <f>IFERROR(__xludf.DUMMYFUNCTION("""COMPUTED_VALUE"""),0.2891)</f>
        <v>0.2891</v>
      </c>
      <c r="M447" s="320">
        <f>IFERROR(__xludf.DUMMYFUNCTION("""COMPUTED_VALUE"""),0.7735)</f>
        <v>0.7735</v>
      </c>
      <c r="N447" s="320">
        <f>IFERROR(__xludf.DUMMYFUNCTION("""COMPUTED_VALUE"""),0.5236)</f>
        <v>0.5236</v>
      </c>
      <c r="O447" s="320">
        <f>IFERROR(__xludf.DUMMYFUNCTION("""COMPUTED_VALUE"""),3.4596)</f>
        <v>3.4596</v>
      </c>
      <c r="P447" s="320">
        <f>IFERROR(__xludf.DUMMYFUNCTION("""COMPUTED_VALUE"""),65.75)</f>
        <v>65.75</v>
      </c>
      <c r="Q447" s="320">
        <f>IFERROR(__xludf.DUMMYFUNCTION("""COMPUTED_VALUE"""),54.54)</f>
        <v>54.54</v>
      </c>
      <c r="R447" s="320">
        <f>IFERROR(__xludf.DUMMYFUNCTION("""COMPUTED_VALUE"""),11.2)</f>
        <v>11.2</v>
      </c>
      <c r="S447" s="320">
        <f>IFERROR(__xludf.DUMMYFUNCTION("""COMPUTED_VALUE"""),16.48)</f>
        <v>16.48</v>
      </c>
      <c r="T447" s="320">
        <f>IFERROR(__xludf.DUMMYFUNCTION("""COMPUTED_VALUE"""),49.26)</f>
        <v>49.26</v>
      </c>
      <c r="U447" s="320">
        <f>IFERROR(__xludf.DUMMYFUNCTION("""COMPUTED_VALUE"""),74.18)</f>
        <v>74.18</v>
      </c>
      <c r="V447" s="320">
        <f>IFERROR(__xludf.DUMMYFUNCTION("""COMPUTED_VALUE"""),3.8926)</f>
        <v>3.8926</v>
      </c>
      <c r="W447" s="320">
        <f>IFERROR(__xludf.DUMMYFUNCTION("""COMPUTED_VALUE"""),25.07)</f>
        <v>25.07</v>
      </c>
      <c r="X447" s="320">
        <f>IFERROR(__xludf.DUMMYFUNCTION("""COMPUTED_VALUE"""),82.0)</f>
        <v>82</v>
      </c>
      <c r="Y447" s="320">
        <f>IFERROR(__xludf.DUMMYFUNCTION("""COMPUTED_VALUE"""),196.0)</f>
        <v>196</v>
      </c>
      <c r="Z447" s="320">
        <f>IFERROR(__xludf.DUMMYFUNCTION("""COMPUTED_VALUE"""),843.0)</f>
        <v>843</v>
      </c>
      <c r="AA447" s="320">
        <f>IFERROR(__xludf.DUMMYFUNCTION("""COMPUTED_VALUE"""),49.6122)</f>
        <v>49.6122</v>
      </c>
      <c r="AB447" s="320">
        <f>IFERROR(__xludf.DUMMYFUNCTION("""COMPUTED_VALUE"""),0.4494)</f>
        <v>0.4494</v>
      </c>
      <c r="AC447" s="320">
        <f>IFERROR(__xludf.DUMMYFUNCTION("""COMPUTED_VALUE"""),3.56)</f>
        <v>3.56</v>
      </c>
      <c r="AD447" s="320">
        <f>IFERROR(__xludf.DUMMYFUNCTION("""COMPUTED_VALUE"""),1.0)</f>
        <v>1</v>
      </c>
      <c r="AE447" s="320">
        <f>IFERROR(__xludf.DUMMYFUNCTION("""COMPUTED_VALUE"""),2.0)</f>
        <v>2</v>
      </c>
      <c r="AF447" s="320">
        <f>IFERROR(__xludf.DUMMYFUNCTION("""COMPUTED_VALUE"""),5.0)</f>
        <v>5</v>
      </c>
      <c r="AG447" s="320">
        <f>IFERROR(__xludf.DUMMYFUNCTION("""COMPUTED_VALUE"""),8.0)</f>
        <v>8</v>
      </c>
      <c r="AH447" s="320">
        <f>IFERROR(__xludf.DUMMYFUNCTION("""COMPUTED_VALUE"""),67.37)</f>
        <v>67.37</v>
      </c>
      <c r="AI447" s="320">
        <f>IFERROR(__xludf.DUMMYFUNCTION("""COMPUTED_VALUE"""),25.14)</f>
        <v>25.14</v>
      </c>
      <c r="AJ447" s="320">
        <f>IFERROR(__xludf.DUMMYFUNCTION("""COMPUTED_VALUE"""),6.98)</f>
        <v>6.98</v>
      </c>
      <c r="AK447" s="320">
        <f>IFERROR(__xludf.DUMMYFUNCTION("""COMPUTED_VALUE"""),0.2355)</f>
        <v>0.2355</v>
      </c>
      <c r="AL447" s="320">
        <f>IFERROR(__xludf.DUMMYFUNCTION("""COMPUTED_VALUE"""),21.77)</f>
        <v>21.77</v>
      </c>
      <c r="AM447" s="320">
        <f>IFERROR(__xludf.DUMMYFUNCTION("""COMPUTED_VALUE"""),32.78)</f>
        <v>32.78</v>
      </c>
      <c r="AN447" s="320">
        <f>IFERROR(__xludf.DUMMYFUNCTION("""COMPUTED_VALUE"""),68.01)</f>
        <v>68.01</v>
      </c>
      <c r="AO447" s="320">
        <f>IFERROR(__xludf.DUMMYFUNCTION("""COMPUTED_VALUE"""),14.81)</f>
        <v>14.81</v>
      </c>
    </row>
    <row r="448" ht="15.75" customHeight="1">
      <c r="A448" s="330">
        <f>IFERROR(__xludf.DUMMYFUNCTION("""COMPUTED_VALUE"""),46124.0)</f>
        <v>46124</v>
      </c>
      <c r="B448" s="319" t="str">
        <f>IFERROR(__xludf.DUMMYFUNCTION("""COMPUTED_VALUE"""),"C. 10-19")</f>
        <v>C. 10-19</v>
      </c>
      <c r="C448" s="320">
        <f>IFERROR(__xludf.DUMMYFUNCTION("""COMPUTED_VALUE"""),14630.0)</f>
        <v>14630</v>
      </c>
      <c r="D448" s="320">
        <f>IFERROR(__xludf.DUMMYFUNCTION("""COMPUTED_VALUE"""),20.07)</f>
        <v>20.07</v>
      </c>
      <c r="E448" s="320">
        <f>IFERROR(__xludf.DUMMYFUNCTION("""COMPUTED_VALUE"""),15148.8)</f>
        <v>15148.8</v>
      </c>
      <c r="F448" s="320">
        <f>IFERROR(__xludf.DUMMYFUNCTION("""COMPUTED_VALUE"""),1.0355)</f>
        <v>1.0355</v>
      </c>
      <c r="G448" s="320">
        <f>IFERROR(__xludf.DUMMYFUNCTION("""COMPUTED_VALUE"""),21.3)</f>
        <v>21.3</v>
      </c>
      <c r="H448" s="320">
        <f>IFERROR(__xludf.DUMMYFUNCTION("""COMPUTED_VALUE"""),4.8616)</f>
        <v>4.8616</v>
      </c>
      <c r="I448" s="320">
        <f>IFERROR(__xludf.DUMMYFUNCTION("""COMPUTED_VALUE"""),63.34)</f>
        <v>63.34</v>
      </c>
      <c r="J448" s="320">
        <f>IFERROR(__xludf.DUMMYFUNCTION("""COMPUTED_VALUE"""),36.6)</f>
        <v>36.6</v>
      </c>
      <c r="K448" s="320">
        <f>IFERROR(__xludf.DUMMYFUNCTION("""COMPUTED_VALUE"""),14.37)</f>
        <v>14.37</v>
      </c>
      <c r="L448" s="320">
        <f>IFERROR(__xludf.DUMMYFUNCTION("""COMPUTED_VALUE"""),0.3925)</f>
        <v>0.3925</v>
      </c>
      <c r="M448" s="320">
        <f>IFERROR(__xludf.DUMMYFUNCTION("""COMPUTED_VALUE"""),0.6652)</f>
        <v>0.6652</v>
      </c>
      <c r="N448" s="320">
        <f>IFERROR(__xludf.DUMMYFUNCTION("""COMPUTED_VALUE"""),0.3827)</f>
        <v>0.3827</v>
      </c>
      <c r="O448" s="320">
        <f>IFERROR(__xludf.DUMMYFUNCTION("""COMPUTED_VALUE"""),2.5475)</f>
        <v>2.5475</v>
      </c>
      <c r="P448" s="320">
        <f>IFERROR(__xludf.DUMMYFUNCTION("""COMPUTED_VALUE"""),156.16)</f>
        <v>156.16</v>
      </c>
      <c r="Q448" s="320">
        <f>IFERROR(__xludf.DUMMYFUNCTION("""COMPUTED_VALUE"""),126.81)</f>
        <v>126.81</v>
      </c>
      <c r="R448" s="320">
        <f>IFERROR(__xludf.DUMMYFUNCTION("""COMPUTED_VALUE"""),29.36)</f>
        <v>29.36</v>
      </c>
      <c r="S448" s="320">
        <f>IFERROR(__xludf.DUMMYFUNCTION("""COMPUTED_VALUE"""),69.81)</f>
        <v>69.81</v>
      </c>
      <c r="T448" s="320">
        <f>IFERROR(__xludf.DUMMYFUNCTION("""COMPUTED_VALUE"""),86.35)</f>
        <v>86.35</v>
      </c>
      <c r="U448" s="320">
        <f>IFERROR(__xludf.DUMMYFUNCTION("""COMPUTED_VALUE"""),176.87)</f>
        <v>176.87</v>
      </c>
      <c r="V448" s="320">
        <f>IFERROR(__xludf.DUMMYFUNCTION("""COMPUTED_VALUE"""),4.8327)</f>
        <v>4.8327</v>
      </c>
      <c r="W448" s="320">
        <f>IFERROR(__xludf.DUMMYFUNCTION("""COMPUTED_VALUE"""),44.7)</f>
        <v>44.7</v>
      </c>
      <c r="X448" s="320">
        <f>IFERROR(__xludf.DUMMYFUNCTION("""COMPUTED_VALUE"""),78.0)</f>
        <v>78</v>
      </c>
      <c r="Y448" s="320">
        <f>IFERROR(__xludf.DUMMYFUNCTION("""COMPUTED_VALUE"""),159.0)</f>
        <v>159</v>
      </c>
      <c r="Z448" s="320">
        <f>IFERROR(__xludf.DUMMYFUNCTION("""COMPUTED_VALUE"""),562.0)</f>
        <v>562</v>
      </c>
      <c r="AA448" s="320">
        <f>IFERROR(__xludf.DUMMYFUNCTION("""COMPUTED_VALUE"""),52.437)</f>
        <v>52.437</v>
      </c>
      <c r="AB448" s="320">
        <f>IFERROR(__xludf.DUMMYFUNCTION("""COMPUTED_VALUE"""),0.5491)</f>
        <v>0.5491</v>
      </c>
      <c r="AC448" s="320">
        <f>IFERROR(__xludf.DUMMYFUNCTION("""COMPUTED_VALUE"""),9.04)</f>
        <v>9.04</v>
      </c>
      <c r="AD448" s="320">
        <f>IFERROR(__xludf.DUMMYFUNCTION("""COMPUTED_VALUE"""),3.0)</f>
        <v>3</v>
      </c>
      <c r="AE448" s="320">
        <f>IFERROR(__xludf.DUMMYFUNCTION("""COMPUTED_VALUE"""),6.0)</f>
        <v>6</v>
      </c>
      <c r="AF448" s="320">
        <f>IFERROR(__xludf.DUMMYFUNCTION("""COMPUTED_VALUE"""),12.0)</f>
        <v>12</v>
      </c>
      <c r="AG448" s="320">
        <f>IFERROR(__xludf.DUMMYFUNCTION("""COMPUTED_VALUE"""),20.0)</f>
        <v>20</v>
      </c>
      <c r="AH448" s="320">
        <f>IFERROR(__xludf.DUMMYFUNCTION("""COMPUTED_VALUE"""),55.07)</f>
        <v>55.07</v>
      </c>
      <c r="AI448" s="320">
        <f>IFERROR(__xludf.DUMMYFUNCTION("""COMPUTED_VALUE"""),24.43)</f>
        <v>24.43</v>
      </c>
      <c r="AJ448" s="320">
        <f>IFERROR(__xludf.DUMMYFUNCTION("""COMPUTED_VALUE"""),5.19)</f>
        <v>5.19</v>
      </c>
      <c r="AK448" s="320">
        <f>IFERROR(__xludf.DUMMYFUNCTION("""COMPUTED_VALUE"""),0.2219)</f>
        <v>0.2219</v>
      </c>
      <c r="AL448" s="320">
        <f>IFERROR(__xludf.DUMMYFUNCTION("""COMPUTED_VALUE"""),21.43)</f>
        <v>21.43</v>
      </c>
      <c r="AM448" s="320">
        <f>IFERROR(__xludf.DUMMYFUNCTION("""COMPUTED_VALUE"""),105.38)</f>
        <v>105.38</v>
      </c>
      <c r="AN448" s="320">
        <f>IFERROR(__xludf.DUMMYFUNCTION("""COMPUTED_VALUE"""),72.44)</f>
        <v>72.44</v>
      </c>
      <c r="AO448" s="320">
        <f>IFERROR(__xludf.DUMMYFUNCTION("""COMPUTED_VALUE"""),15.52)</f>
        <v>15.52</v>
      </c>
    </row>
    <row r="449" ht="15.75" customHeight="1">
      <c r="A449" s="330">
        <f>IFERROR(__xludf.DUMMYFUNCTION("""COMPUTED_VALUE"""),46124.0)</f>
        <v>46124</v>
      </c>
      <c r="B449" s="319" t="str">
        <f>IFERROR(__xludf.DUMMYFUNCTION("""COMPUTED_VALUE"""),"D. 20-39")</f>
        <v>D. 20-39</v>
      </c>
      <c r="C449" s="320">
        <f>IFERROR(__xludf.DUMMYFUNCTION("""COMPUTED_VALUE"""),7491.0)</f>
        <v>7491</v>
      </c>
      <c r="D449" s="320">
        <f>IFERROR(__xludf.DUMMYFUNCTION("""COMPUTED_VALUE"""),10.28)</f>
        <v>10.28</v>
      </c>
      <c r="E449" s="320">
        <f>IFERROR(__xludf.DUMMYFUNCTION("""COMPUTED_VALUE"""),20890.46)</f>
        <v>20890.46</v>
      </c>
      <c r="F449" s="320">
        <f>IFERROR(__xludf.DUMMYFUNCTION("""COMPUTED_VALUE"""),2.7887)</f>
        <v>2.7887</v>
      </c>
      <c r="G449" s="320">
        <f>IFERROR(__xludf.DUMMYFUNCTION("""COMPUTED_VALUE"""),35.27)</f>
        <v>35.27</v>
      </c>
      <c r="H449" s="320">
        <f>IFERROR(__xludf.DUMMYFUNCTION("""COMPUTED_VALUE"""),7.9071)</f>
        <v>7.9071</v>
      </c>
      <c r="I449" s="320">
        <f>IFERROR(__xludf.DUMMYFUNCTION("""COMPUTED_VALUE"""),92.45)</f>
        <v>92.45</v>
      </c>
      <c r="J449" s="320">
        <f>IFERROR(__xludf.DUMMYFUNCTION("""COMPUTED_VALUE"""),55.47)</f>
        <v>55.47</v>
      </c>
      <c r="K449" s="320">
        <f>IFERROR(__xludf.DUMMYFUNCTION("""COMPUTED_VALUE"""),27.93)</f>
        <v>27.93</v>
      </c>
      <c r="L449" s="320">
        <f>IFERROR(__xludf.DUMMYFUNCTION("""COMPUTED_VALUE"""),0.5035)</f>
        <v>0.5035</v>
      </c>
      <c r="M449" s="320">
        <f>IFERROR(__xludf.DUMMYFUNCTION("""COMPUTED_VALUE"""),0.5635)</f>
        <v>0.5635</v>
      </c>
      <c r="N449" s="320">
        <f>IFERROR(__xludf.DUMMYFUNCTION("""COMPUTED_VALUE"""),0.3088)</f>
        <v>0.3088</v>
      </c>
      <c r="O449" s="320">
        <f>IFERROR(__xludf.DUMMYFUNCTION("""COMPUTED_VALUE"""),1.986)</f>
        <v>1.986</v>
      </c>
      <c r="P449" s="320">
        <f>IFERROR(__xludf.DUMMYFUNCTION("""COMPUTED_VALUE"""),324.45)</f>
        <v>324.45</v>
      </c>
      <c r="Q449" s="320">
        <f>IFERROR(__xludf.DUMMYFUNCTION("""COMPUTED_VALUE"""),266.38)</f>
        <v>266.38</v>
      </c>
      <c r="R449" s="320">
        <f>IFERROR(__xludf.DUMMYFUNCTION("""COMPUTED_VALUE"""),58.07)</f>
        <v>58.07</v>
      </c>
      <c r="S449" s="320">
        <f>IFERROR(__xludf.DUMMYFUNCTION("""COMPUTED_VALUE"""),179.62)</f>
        <v>179.62</v>
      </c>
      <c r="T449" s="320">
        <f>IFERROR(__xludf.DUMMYFUNCTION("""COMPUTED_VALUE"""),144.82)</f>
        <v>144.82</v>
      </c>
      <c r="U449" s="320">
        <f>IFERROR(__xludf.DUMMYFUNCTION("""COMPUTED_VALUE"""),354.17)</f>
        <v>354.17</v>
      </c>
      <c r="V449" s="320">
        <f>IFERROR(__xludf.DUMMYFUNCTION("""COMPUTED_VALUE"""),6.3853)</f>
        <v>6.3853</v>
      </c>
      <c r="W449" s="320">
        <f>IFERROR(__xludf.DUMMYFUNCTION("""COMPUTED_VALUE"""),55.36)</f>
        <v>55.36</v>
      </c>
      <c r="X449" s="320">
        <f>IFERROR(__xludf.DUMMYFUNCTION("""COMPUTED_VALUE"""),81.0)</f>
        <v>81</v>
      </c>
      <c r="Y449" s="320">
        <f>IFERROR(__xludf.DUMMYFUNCTION("""COMPUTED_VALUE"""),178.0)</f>
        <v>178</v>
      </c>
      <c r="Z449" s="320">
        <f>IFERROR(__xludf.DUMMYFUNCTION("""COMPUTED_VALUE"""),617.0)</f>
        <v>617</v>
      </c>
      <c r="AA449" s="320">
        <f>IFERROR(__xludf.DUMMYFUNCTION("""COMPUTED_VALUE"""),54.3718)</f>
        <v>54.3718</v>
      </c>
      <c r="AB449" s="320">
        <f>IFERROR(__xludf.DUMMYFUNCTION("""COMPUTED_VALUE"""),0.6516)</f>
        <v>0.6516</v>
      </c>
      <c r="AC449" s="320">
        <f>IFERROR(__xludf.DUMMYFUNCTION("""COMPUTED_VALUE"""),17.41)</f>
        <v>17.41</v>
      </c>
      <c r="AD449" s="320">
        <f>IFERROR(__xludf.DUMMYFUNCTION("""COMPUTED_VALUE"""),6.0)</f>
        <v>6</v>
      </c>
      <c r="AE449" s="320">
        <f>IFERROR(__xludf.DUMMYFUNCTION("""COMPUTED_VALUE"""),12.0)</f>
        <v>12</v>
      </c>
      <c r="AF449" s="320">
        <f>IFERROR(__xludf.DUMMYFUNCTION("""COMPUTED_VALUE"""),24.0)</f>
        <v>24</v>
      </c>
      <c r="AG449" s="320">
        <f>IFERROR(__xludf.DUMMYFUNCTION("""COMPUTED_VALUE"""),38.0)</f>
        <v>38</v>
      </c>
      <c r="AH449" s="320">
        <f>IFERROR(__xludf.DUMMYFUNCTION("""COMPUTED_VALUE"""),54.6)</f>
        <v>54.6</v>
      </c>
      <c r="AI449" s="320">
        <f>IFERROR(__xludf.DUMMYFUNCTION("""COMPUTED_VALUE"""),22.33)</f>
        <v>22.33</v>
      </c>
      <c r="AJ449" s="320">
        <f>IFERROR(__xludf.DUMMYFUNCTION("""COMPUTED_VALUE"""),8.26)</f>
        <v>8.26</v>
      </c>
      <c r="AK449" s="320">
        <f>IFERROR(__xludf.DUMMYFUNCTION("""COMPUTED_VALUE"""),0.2117)</f>
        <v>0.2117</v>
      </c>
      <c r="AL449" s="320">
        <f>IFERROR(__xludf.DUMMYFUNCTION("""COMPUTED_VALUE"""),21.73)</f>
        <v>21.73</v>
      </c>
      <c r="AM449" s="320">
        <f>IFERROR(__xludf.DUMMYFUNCTION("""COMPUTED_VALUE"""),244.65)</f>
        <v>244.65</v>
      </c>
      <c r="AN449" s="320">
        <f>IFERROR(__xludf.DUMMYFUNCTION("""COMPUTED_VALUE"""),74.8)</f>
        <v>74.8</v>
      </c>
      <c r="AO449" s="320">
        <f>IFERROR(__xludf.DUMMYFUNCTION("""COMPUTED_VALUE"""),16.25)</f>
        <v>16.25</v>
      </c>
    </row>
    <row r="450" ht="15.75" customHeight="1">
      <c r="A450" s="330">
        <f>IFERROR(__xludf.DUMMYFUNCTION("""COMPUTED_VALUE"""),46124.0)</f>
        <v>46124</v>
      </c>
      <c r="B450" s="319" t="str">
        <f>IFERROR(__xludf.DUMMYFUNCTION("""COMPUTED_VALUE"""),"E. 40-99")</f>
        <v>E. 40-99</v>
      </c>
      <c r="C450" s="320">
        <f>IFERROR(__xludf.DUMMYFUNCTION("""COMPUTED_VALUE"""),2825.0)</f>
        <v>2825</v>
      </c>
      <c r="D450" s="320">
        <f>IFERROR(__xludf.DUMMYFUNCTION("""COMPUTED_VALUE"""),3.88)</f>
        <v>3.88</v>
      </c>
      <c r="E450" s="320">
        <f>IFERROR(__xludf.DUMMYFUNCTION("""COMPUTED_VALUE"""),17817.71)</f>
        <v>17817.71</v>
      </c>
      <c r="F450" s="320">
        <f>IFERROR(__xludf.DUMMYFUNCTION("""COMPUTED_VALUE"""),6.3072)</f>
        <v>6.3072</v>
      </c>
      <c r="G450" s="320">
        <f>IFERROR(__xludf.DUMMYFUNCTION("""COMPUTED_VALUE"""),47.04)</f>
        <v>47.04</v>
      </c>
      <c r="H450" s="320">
        <f>IFERROR(__xludf.DUMMYFUNCTION("""COMPUTED_VALUE"""),13.4069)</f>
        <v>13.4069</v>
      </c>
      <c r="I450" s="320">
        <f>IFERROR(__xludf.DUMMYFUNCTION("""COMPUTED_VALUE"""),135.58)</f>
        <v>135.58</v>
      </c>
      <c r="J450" s="320">
        <f>IFERROR(__xludf.DUMMYFUNCTION("""COMPUTED_VALUE"""),85.78)</f>
        <v>85.78</v>
      </c>
      <c r="K450" s="320">
        <f>IFERROR(__xludf.DUMMYFUNCTION("""COMPUTED_VALUE"""),54.99)</f>
        <v>54.99</v>
      </c>
      <c r="L450" s="320">
        <f>IFERROR(__xludf.DUMMYFUNCTION("""COMPUTED_VALUE"""),0.641)</f>
        <v>0.641</v>
      </c>
      <c r="M450" s="320">
        <f>IFERROR(__xludf.DUMMYFUNCTION("""COMPUTED_VALUE"""),0.4384)</f>
        <v>0.4384</v>
      </c>
      <c r="N450" s="320">
        <f>IFERROR(__xludf.DUMMYFUNCTION("""COMPUTED_VALUE"""),0.24)</f>
        <v>0.24</v>
      </c>
      <c r="O450" s="320">
        <f>IFERROR(__xludf.DUMMYFUNCTION("""COMPUTED_VALUE"""),1.56)</f>
        <v>1.56</v>
      </c>
      <c r="P450" s="320">
        <f>IFERROR(__xludf.DUMMYFUNCTION("""COMPUTED_VALUE"""),641.62)</f>
        <v>641.62</v>
      </c>
      <c r="Q450" s="320">
        <f>IFERROR(__xludf.DUMMYFUNCTION("""COMPUTED_VALUE"""),527.73)</f>
        <v>527.73</v>
      </c>
      <c r="R450" s="320">
        <f>IFERROR(__xludf.DUMMYFUNCTION("""COMPUTED_VALUE"""),113.89)</f>
        <v>113.89</v>
      </c>
      <c r="S450" s="320">
        <f>IFERROR(__xludf.DUMMYFUNCTION("""COMPUTED_VALUE"""),392.9)</f>
        <v>392.9</v>
      </c>
      <c r="T450" s="320">
        <f>IFERROR(__xludf.DUMMYFUNCTION("""COMPUTED_VALUE"""),248.72)</f>
        <v>248.72</v>
      </c>
      <c r="U450" s="320">
        <f>IFERROR(__xludf.DUMMYFUNCTION("""COMPUTED_VALUE"""),673.73)</f>
        <v>673.73</v>
      </c>
      <c r="V450" s="320">
        <f>IFERROR(__xludf.DUMMYFUNCTION("""COMPUTED_VALUE"""),7.8542)</f>
        <v>7.8542</v>
      </c>
      <c r="W450" s="320">
        <f>IFERROR(__xludf.DUMMYFUNCTION("""COMPUTED_VALUE"""),61.24)</f>
        <v>61.24</v>
      </c>
      <c r="X450" s="320">
        <f>IFERROR(__xludf.DUMMYFUNCTION("""COMPUTED_VALUE"""),89.0)</f>
        <v>89</v>
      </c>
      <c r="Y450" s="320">
        <f>IFERROR(__xludf.DUMMYFUNCTION("""COMPUTED_VALUE"""),250.0)</f>
        <v>250</v>
      </c>
      <c r="Z450" s="320">
        <f>IFERROR(__xludf.DUMMYFUNCTION("""COMPUTED_VALUE"""),881.0)</f>
        <v>881</v>
      </c>
      <c r="AA450" s="320">
        <f>IFERROR(__xludf.DUMMYFUNCTION("""COMPUTED_VALUE"""),57.4422)</f>
        <v>57.4422</v>
      </c>
      <c r="AB450" s="320">
        <f>IFERROR(__xludf.DUMMYFUNCTION("""COMPUTED_VALUE"""),0.7526)</f>
        <v>0.7526</v>
      </c>
      <c r="AC450" s="320">
        <f>IFERROR(__xludf.DUMMYFUNCTION("""COMPUTED_VALUE"""),34.59)</f>
        <v>34.59</v>
      </c>
      <c r="AD450" s="320">
        <f>IFERROR(__xludf.DUMMYFUNCTION("""COMPUTED_VALUE"""),11.0)</f>
        <v>11</v>
      </c>
      <c r="AE450" s="320">
        <f>IFERROR(__xludf.DUMMYFUNCTION("""COMPUTED_VALUE"""),24.0)</f>
        <v>24</v>
      </c>
      <c r="AF450" s="320">
        <f>IFERROR(__xludf.DUMMYFUNCTION("""COMPUTED_VALUE"""),50.0)</f>
        <v>50</v>
      </c>
      <c r="AG450" s="320">
        <f>IFERROR(__xludf.DUMMYFUNCTION("""COMPUTED_VALUE"""),77.0)</f>
        <v>77</v>
      </c>
      <c r="AH450" s="320">
        <f>IFERROR(__xludf.DUMMYFUNCTION("""COMPUTED_VALUE"""),45.98)</f>
        <v>45.98</v>
      </c>
      <c r="AI450" s="320">
        <f>IFERROR(__xludf.DUMMYFUNCTION("""COMPUTED_VALUE"""),18.37)</f>
        <v>18.37</v>
      </c>
      <c r="AJ450" s="320">
        <f>IFERROR(__xludf.DUMMYFUNCTION("""COMPUTED_VALUE"""),4.32)</f>
        <v>4.32</v>
      </c>
      <c r="AK450" s="320">
        <f>IFERROR(__xludf.DUMMYFUNCTION("""COMPUTED_VALUE"""),0.1989)</f>
        <v>0.1989</v>
      </c>
      <c r="AL450" s="320">
        <f>IFERROR(__xludf.DUMMYFUNCTION("""COMPUTED_VALUE"""),21.03)</f>
        <v>21.03</v>
      </c>
      <c r="AM450" s="320">
        <f>IFERROR(__xludf.DUMMYFUNCTION("""COMPUTED_VALUE"""),506.7)</f>
        <v>506.7</v>
      </c>
      <c r="AN450" s="320">
        <f>IFERROR(__xludf.DUMMYFUNCTION("""COMPUTED_VALUE"""),75.9)</f>
        <v>75.9</v>
      </c>
      <c r="AO450" s="320">
        <f>IFERROR(__xludf.DUMMYFUNCTION("""COMPUTED_VALUE"""),15.96)</f>
        <v>15.96</v>
      </c>
    </row>
    <row r="451" ht="15.75" customHeight="1">
      <c r="A451" s="330">
        <f>IFERROR(__xludf.DUMMYFUNCTION("""COMPUTED_VALUE"""),46124.0)</f>
        <v>46124</v>
      </c>
      <c r="B451" s="319" t="str">
        <f>IFERROR(__xludf.DUMMYFUNCTION("""COMPUTED_VALUE"""),"F. 100+")</f>
        <v>F. 100+</v>
      </c>
      <c r="C451" s="320">
        <f>IFERROR(__xludf.DUMMYFUNCTION("""COMPUTED_VALUE"""),313.0)</f>
        <v>313</v>
      </c>
      <c r="D451" s="320">
        <f>IFERROR(__xludf.DUMMYFUNCTION("""COMPUTED_VALUE"""),0.43)</f>
        <v>0.43</v>
      </c>
      <c r="E451" s="320">
        <f>IFERROR(__xludf.DUMMYFUNCTION("""COMPUTED_VALUE"""),3831.2)</f>
        <v>3831.2</v>
      </c>
      <c r="F451" s="320">
        <f>IFERROR(__xludf.DUMMYFUNCTION("""COMPUTED_VALUE"""),12.2403)</f>
        <v>12.2403</v>
      </c>
      <c r="G451" s="320">
        <f>IFERROR(__xludf.DUMMYFUNCTION("""COMPUTED_VALUE"""),52.4)</f>
        <v>52.4</v>
      </c>
      <c r="H451" s="320">
        <f>IFERROR(__xludf.DUMMYFUNCTION("""COMPUTED_VALUE"""),23.361)</f>
        <v>23.361</v>
      </c>
      <c r="I451" s="320">
        <f>IFERROR(__xludf.DUMMYFUNCTION("""COMPUTED_VALUE"""),260.05)</f>
        <v>260.05</v>
      </c>
      <c r="J451" s="320">
        <f>IFERROR(__xludf.DUMMYFUNCTION("""COMPUTED_VALUE"""),170.06)</f>
        <v>170.06</v>
      </c>
      <c r="K451" s="320">
        <f>IFERROR(__xludf.DUMMYFUNCTION("""COMPUTED_VALUE"""),130.71)</f>
        <v>130.71</v>
      </c>
      <c r="L451" s="320">
        <f>IFERROR(__xludf.DUMMYFUNCTION("""COMPUTED_VALUE"""),0.7686)</f>
        <v>0.7686</v>
      </c>
      <c r="M451" s="320">
        <f>IFERROR(__xludf.DUMMYFUNCTION("""COMPUTED_VALUE"""),0.3167)</f>
        <v>0.3167</v>
      </c>
      <c r="N451" s="320">
        <f>IFERROR(__xludf.DUMMYFUNCTION("""COMPUTED_VALUE"""),0.186)</f>
        <v>0.186</v>
      </c>
      <c r="O451" s="320">
        <f>IFERROR(__xludf.DUMMYFUNCTION("""COMPUTED_VALUE"""),1.3011)</f>
        <v>1.3011</v>
      </c>
      <c r="P451" s="320">
        <f>IFERROR(__xludf.DUMMYFUNCTION("""COMPUTED_VALUE"""),1325.87)</f>
        <v>1325.87</v>
      </c>
      <c r="Q451" s="320">
        <f>IFERROR(__xludf.DUMMYFUNCTION("""COMPUTED_VALUE"""),1055.47)</f>
        <v>1055.47</v>
      </c>
      <c r="R451" s="320">
        <f>IFERROR(__xludf.DUMMYFUNCTION("""COMPUTED_VALUE"""),270.4)</f>
        <v>270.4</v>
      </c>
      <c r="S451" s="320">
        <f>IFERROR(__xludf.DUMMYFUNCTION("""COMPUTED_VALUE"""),790.94)</f>
        <v>790.94</v>
      </c>
      <c r="T451" s="320">
        <f>IFERROR(__xludf.DUMMYFUNCTION("""COMPUTED_VALUE"""),534.93)</f>
        <v>534.93</v>
      </c>
      <c r="U451" s="320">
        <f>IFERROR(__xludf.DUMMYFUNCTION("""COMPUTED_VALUE"""),1403.35)</f>
        <v>1403.35</v>
      </c>
      <c r="V451" s="320">
        <f>IFERROR(__xludf.DUMMYFUNCTION("""COMPUTED_VALUE"""),8.2521)</f>
        <v>8.2521</v>
      </c>
      <c r="W451" s="320">
        <f>IFERROR(__xludf.DUMMYFUNCTION("""COMPUTED_VALUE"""),59.65)</f>
        <v>59.65</v>
      </c>
      <c r="X451" s="320">
        <f>IFERROR(__xludf.DUMMYFUNCTION("""COMPUTED_VALUE"""),127.0)</f>
        <v>127</v>
      </c>
      <c r="Y451" s="320">
        <f>IFERROR(__xludf.DUMMYFUNCTION("""COMPUTED_VALUE"""),585.0)</f>
        <v>585</v>
      </c>
      <c r="Z451" s="320">
        <f>IFERROR(__xludf.DUMMYFUNCTION("""COMPUTED_VALUE"""),1689.0)</f>
        <v>1689</v>
      </c>
      <c r="AA451" s="320">
        <f>IFERROR(__xludf.DUMMYFUNCTION("""COMPUTED_VALUE"""),60.769)</f>
        <v>60.769</v>
      </c>
      <c r="AB451" s="320">
        <f>IFERROR(__xludf.DUMMYFUNCTION("""COMPUTED_VALUE"""),0.7914)</f>
        <v>0.7914</v>
      </c>
      <c r="AC451" s="320">
        <f>IFERROR(__xludf.DUMMYFUNCTION("""COMPUTED_VALUE"""),83.32)</f>
        <v>83.32</v>
      </c>
      <c r="AD451" s="320">
        <f>IFERROR(__xludf.DUMMYFUNCTION("""COMPUTED_VALUE"""),29.0)</f>
        <v>29</v>
      </c>
      <c r="AE451" s="320">
        <f>IFERROR(__xludf.DUMMYFUNCTION("""COMPUTED_VALUE"""),61.0)</f>
        <v>61</v>
      </c>
      <c r="AF451" s="320">
        <f>IFERROR(__xludf.DUMMYFUNCTION("""COMPUTED_VALUE"""),122.0)</f>
        <v>122</v>
      </c>
      <c r="AG451" s="320">
        <f>IFERROR(__xludf.DUMMYFUNCTION("""COMPUTED_VALUE"""),179.0)</f>
        <v>179</v>
      </c>
      <c r="AH451" s="320">
        <f>IFERROR(__xludf.DUMMYFUNCTION("""COMPUTED_VALUE"""),43.13)</f>
        <v>43.13</v>
      </c>
      <c r="AI451" s="320">
        <f>IFERROR(__xludf.DUMMYFUNCTION("""COMPUTED_VALUE"""),11.5)</f>
        <v>11.5</v>
      </c>
      <c r="AJ451" s="320">
        <f>IFERROR(__xludf.DUMMYFUNCTION("""COMPUTED_VALUE"""),2.56)</f>
        <v>2.56</v>
      </c>
      <c r="AK451" s="320">
        <f>IFERROR(__xludf.DUMMYFUNCTION("""COMPUTED_VALUE"""),0.1534)</f>
        <v>0.1534</v>
      </c>
      <c r="AL451" s="320">
        <f>IFERROR(__xludf.DUMMYFUNCTION("""COMPUTED_VALUE"""),21.18)</f>
        <v>21.18</v>
      </c>
      <c r="AM451" s="320">
        <f>IFERROR(__xludf.DUMMYFUNCTION("""COMPUTED_VALUE"""),1034.29)</f>
        <v>1034.29</v>
      </c>
      <c r="AN451" s="320">
        <f>IFERROR(__xludf.DUMMYFUNCTION("""COMPUTED_VALUE"""),73.25)</f>
        <v>73.25</v>
      </c>
      <c r="AO451" s="320">
        <f>IFERROR(__xludf.DUMMYFUNCTION("""COMPUTED_VALUE"""),15.51)</f>
        <v>15.51</v>
      </c>
    </row>
    <row r="452" ht="15.75" customHeight="1">
      <c r="A452" s="330">
        <f>IFERROR(__xludf.DUMMYFUNCTION("""COMPUTED_VALUE"""),46125.0)</f>
        <v>46125</v>
      </c>
      <c r="B452" s="319" t="str">
        <f>IFERROR(__xludf.DUMMYFUNCTION("""COMPUTED_VALUE"""),"A. 0")</f>
        <v>A. 0</v>
      </c>
      <c r="C452" s="320">
        <f>IFERROR(__xludf.DUMMYFUNCTION("""COMPUTED_VALUE"""),14757.0)</f>
        <v>14757</v>
      </c>
      <c r="D452" s="320">
        <f>IFERROR(__xludf.DUMMYFUNCTION("""COMPUTED_VALUE"""),19.48)</f>
        <v>19.48</v>
      </c>
      <c r="E452" s="320">
        <f>IFERROR(__xludf.DUMMYFUNCTION("""COMPUTED_VALUE"""),501.02)</f>
        <v>501.02</v>
      </c>
      <c r="F452" s="320">
        <f>IFERROR(__xludf.DUMMYFUNCTION("""COMPUTED_VALUE"""),0.034)</f>
        <v>0.034</v>
      </c>
      <c r="G452" s="320">
        <f>IFERROR(__xludf.DUMMYFUNCTION("""COMPUTED_VALUE"""),0.25)</f>
        <v>0.25</v>
      </c>
      <c r="H452" s="320">
        <f>IFERROR(__xludf.DUMMYFUNCTION("""COMPUTED_VALUE"""),13.5411)</f>
        <v>13.5411</v>
      </c>
      <c r="I452" s="320">
        <f>IFERROR(__xludf.DUMMYFUNCTION("""COMPUTED_VALUE"""),5.54)</f>
        <v>5.54</v>
      </c>
      <c r="J452" s="320">
        <f>IFERROR(__xludf.DUMMYFUNCTION("""COMPUTED_VALUE"""),2.37)</f>
        <v>2.37</v>
      </c>
      <c r="K452" s="320">
        <f>IFERROR(__xludf.DUMMYFUNCTION("""COMPUTED_VALUE"""),0.11)</f>
        <v>0.11</v>
      </c>
      <c r="L452" s="320">
        <f>IFERROR(__xludf.DUMMYFUNCTION("""COMPUTED_VALUE"""),0.0463)</f>
        <v>0.0463</v>
      </c>
      <c r="M452" s="320">
        <f>IFERROR(__xludf.DUMMYFUNCTION("""COMPUTED_VALUE"""),0.961)</f>
        <v>0.961</v>
      </c>
      <c r="N452" s="320">
        <f>IFERROR(__xludf.DUMMYFUNCTION("""COMPUTED_VALUE"""),0.6539)</f>
        <v>0.6539</v>
      </c>
      <c r="O452" s="320">
        <f>IFERROR(__xludf.DUMMYFUNCTION("""COMPUTED_VALUE"""),21.6181)</f>
        <v>21.6181</v>
      </c>
      <c r="P452" s="320">
        <f>IFERROR(__xludf.DUMMYFUNCTION("""COMPUTED_VALUE"""),40.22)</f>
        <v>40.22</v>
      </c>
      <c r="Q452" s="320">
        <f>IFERROR(__xludf.DUMMYFUNCTION("""COMPUTED_VALUE"""),40.15)</f>
        <v>40.15</v>
      </c>
      <c r="R452" s="320">
        <f>IFERROR(__xludf.DUMMYFUNCTION("""COMPUTED_VALUE"""),0.07)</f>
        <v>0.07</v>
      </c>
      <c r="S452" s="320">
        <f>IFERROR(__xludf.DUMMYFUNCTION("""COMPUTED_VALUE"""),1.77)</f>
        <v>1.77</v>
      </c>
      <c r="T452" s="320">
        <f>IFERROR(__xludf.DUMMYFUNCTION("""COMPUTED_VALUE"""),38.45)</f>
        <v>38.45</v>
      </c>
      <c r="U452" s="320">
        <f>IFERROR(__xludf.DUMMYFUNCTION("""COMPUTED_VALUE"""),4.03)</f>
        <v>4.03</v>
      </c>
      <c r="V452" s="320">
        <f>IFERROR(__xludf.DUMMYFUNCTION("""COMPUTED_VALUE"""),1.6951)</f>
        <v>1.6951</v>
      </c>
      <c r="W452" s="320">
        <f>IFERROR(__xludf.DUMMYFUNCTION("""COMPUTED_VALUE"""),4.41)</f>
        <v>4.41</v>
      </c>
      <c r="X452" s="320">
        <f>IFERROR(__xludf.DUMMYFUNCTION("""COMPUTED_VALUE"""),211.0)</f>
        <v>211</v>
      </c>
      <c r="Y452" s="320">
        <f>IFERROR(__xludf.DUMMYFUNCTION("""COMPUTED_VALUE"""),1456.0)</f>
        <v>1456</v>
      </c>
      <c r="Z452" s="320">
        <f>IFERROR(__xludf.DUMMYFUNCTION("""COMPUTED_VALUE"""),8217.0)</f>
        <v>8217</v>
      </c>
      <c r="AA452" s="320">
        <f>IFERROR(__xludf.DUMMYFUNCTION("""COMPUTED_VALUE"""),49.9781)</f>
        <v>49.9781</v>
      </c>
      <c r="AB452" s="320">
        <f>IFERROR(__xludf.DUMMYFUNCTION("""COMPUTED_VALUE"""),0.5277)</f>
        <v>0.5277</v>
      </c>
      <c r="AC452" s="106"/>
      <c r="AD452" s="106"/>
      <c r="AE452" s="106"/>
      <c r="AF452" s="106"/>
      <c r="AG452" s="106"/>
      <c r="AH452" s="320">
        <f>IFERROR(__xludf.DUMMYFUNCTION("""COMPUTED_VALUE"""),0.0)</f>
        <v>0</v>
      </c>
      <c r="AI452" s="320">
        <f>IFERROR(__xludf.DUMMYFUNCTION("""COMPUTED_VALUE"""),0.0)</f>
        <v>0</v>
      </c>
      <c r="AJ452" s="320">
        <f>IFERROR(__xludf.DUMMYFUNCTION("""COMPUTED_VALUE"""),0.0)</f>
        <v>0</v>
      </c>
      <c r="AK452" s="320">
        <f>IFERROR(__xludf.DUMMYFUNCTION("""COMPUTED_VALUE"""),0.2824)</f>
        <v>0.2824</v>
      </c>
      <c r="AL452" s="320">
        <f>IFERROR(__xludf.DUMMYFUNCTION("""COMPUTED_VALUE"""),16.16)</f>
        <v>16.16</v>
      </c>
      <c r="AM452" s="320">
        <f>IFERROR(__xludf.DUMMYFUNCTION("""COMPUTED_VALUE"""),23.99)</f>
        <v>23.99</v>
      </c>
      <c r="AN452" s="331"/>
      <c r="AO452" s="331"/>
    </row>
    <row r="453" ht="15.75" customHeight="1">
      <c r="A453" s="330">
        <f>IFERROR(__xludf.DUMMYFUNCTION("""COMPUTED_VALUE"""),46125.0)</f>
        <v>46125</v>
      </c>
      <c r="B453" s="319" t="str">
        <f>IFERROR(__xludf.DUMMYFUNCTION("""COMPUTED_VALUE"""),"B. 1-9")</f>
        <v>B. 1-9</v>
      </c>
      <c r="C453" s="320">
        <f>IFERROR(__xludf.DUMMYFUNCTION("""COMPUTED_VALUE"""),33312.0)</f>
        <v>33312</v>
      </c>
      <c r="D453" s="320">
        <f>IFERROR(__xludf.DUMMYFUNCTION("""COMPUTED_VALUE"""),43.96)</f>
        <v>43.96</v>
      </c>
      <c r="E453" s="320">
        <f>IFERROR(__xludf.DUMMYFUNCTION("""COMPUTED_VALUE"""),6082.42)</f>
        <v>6082.42</v>
      </c>
      <c r="F453" s="320">
        <f>IFERROR(__xludf.DUMMYFUNCTION("""COMPUTED_VALUE"""),0.1826)</f>
        <v>0.1826</v>
      </c>
      <c r="G453" s="320">
        <f>IFERROR(__xludf.DUMMYFUNCTION("""COMPUTED_VALUE"""),5.51)</f>
        <v>5.51</v>
      </c>
      <c r="H453" s="320">
        <f>IFERROR(__xludf.DUMMYFUNCTION("""COMPUTED_VALUE"""),3.3165)</f>
        <v>3.3165</v>
      </c>
      <c r="I453" s="320">
        <f>IFERROR(__xludf.DUMMYFUNCTION("""COMPUTED_VALUE"""),34.36)</f>
        <v>34.36</v>
      </c>
      <c r="J453" s="320">
        <f>IFERROR(__xludf.DUMMYFUNCTION("""COMPUTED_VALUE"""),18.52)</f>
        <v>18.52</v>
      </c>
      <c r="K453" s="320">
        <f>IFERROR(__xludf.DUMMYFUNCTION("""COMPUTED_VALUE"""),5.57)</f>
        <v>5.57</v>
      </c>
      <c r="L453" s="320">
        <f>IFERROR(__xludf.DUMMYFUNCTION("""COMPUTED_VALUE"""),0.3005)</f>
        <v>0.3005</v>
      </c>
      <c r="M453" s="320">
        <f>IFERROR(__xludf.DUMMYFUNCTION("""COMPUTED_VALUE"""),0.77)</f>
        <v>0.77</v>
      </c>
      <c r="N453" s="320">
        <f>IFERROR(__xludf.DUMMYFUNCTION("""COMPUTED_VALUE"""),0.526)</f>
        <v>0.526</v>
      </c>
      <c r="O453" s="320">
        <f>IFERROR(__xludf.DUMMYFUNCTION("""COMPUTED_VALUE"""),3.3281)</f>
        <v>3.3281</v>
      </c>
      <c r="P453" s="320">
        <f>IFERROR(__xludf.DUMMYFUNCTION("""COMPUTED_VALUE"""),98.01)</f>
        <v>98.01</v>
      </c>
      <c r="Q453" s="320">
        <f>IFERROR(__xludf.DUMMYFUNCTION("""COMPUTED_VALUE"""),86.82)</f>
        <v>86.82</v>
      </c>
      <c r="R453" s="320">
        <f>IFERROR(__xludf.DUMMYFUNCTION("""COMPUTED_VALUE"""),11.19)</f>
        <v>11.19</v>
      </c>
      <c r="S453" s="320">
        <f>IFERROR(__xludf.DUMMYFUNCTION("""COMPUTED_VALUE"""),12.96)</f>
        <v>12.96</v>
      </c>
      <c r="T453" s="320">
        <f>IFERROR(__xludf.DUMMYFUNCTION("""COMPUTED_VALUE"""),85.05)</f>
        <v>85.05</v>
      </c>
      <c r="U453" s="320">
        <f>IFERROR(__xludf.DUMMYFUNCTION("""COMPUTED_VALUE"""),87.9)</f>
        <v>87.9</v>
      </c>
      <c r="V453" s="320">
        <f>IFERROR(__xludf.DUMMYFUNCTION("""COMPUTED_VALUE"""),4.7452)</f>
        <v>4.7452</v>
      </c>
      <c r="W453" s="320">
        <f>IFERROR(__xludf.DUMMYFUNCTION("""COMPUTED_VALUE"""),13.23)</f>
        <v>13.23</v>
      </c>
      <c r="X453" s="320">
        <f>IFERROR(__xludf.DUMMYFUNCTION("""COMPUTED_VALUE"""),92.0)</f>
        <v>92</v>
      </c>
      <c r="Y453" s="320">
        <f>IFERROR(__xludf.DUMMYFUNCTION("""COMPUTED_VALUE"""),217.0)</f>
        <v>217</v>
      </c>
      <c r="Z453" s="320">
        <f>IFERROR(__xludf.DUMMYFUNCTION("""COMPUTED_VALUE"""),846.0)</f>
        <v>846</v>
      </c>
      <c r="AA453" s="320">
        <f>IFERROR(__xludf.DUMMYFUNCTION("""COMPUTED_VALUE"""),49.5595)</f>
        <v>49.5595</v>
      </c>
      <c r="AB453" s="320">
        <f>IFERROR(__xludf.DUMMYFUNCTION("""COMPUTED_VALUE"""),0.4403)</f>
        <v>0.4403</v>
      </c>
      <c r="AC453" s="320">
        <f>IFERROR(__xludf.DUMMYFUNCTION("""COMPUTED_VALUE"""),3.61)</f>
        <v>3.61</v>
      </c>
      <c r="AD453" s="320">
        <f>IFERROR(__xludf.DUMMYFUNCTION("""COMPUTED_VALUE"""),1.0)</f>
        <v>1</v>
      </c>
      <c r="AE453" s="320">
        <f>IFERROR(__xludf.DUMMYFUNCTION("""COMPUTED_VALUE"""),2.0)</f>
        <v>2</v>
      </c>
      <c r="AF453" s="320">
        <f>IFERROR(__xludf.DUMMYFUNCTION("""COMPUTED_VALUE"""),5.0)</f>
        <v>5</v>
      </c>
      <c r="AG453" s="320">
        <f>IFERROR(__xludf.DUMMYFUNCTION("""COMPUTED_VALUE"""),8.0)</f>
        <v>8</v>
      </c>
      <c r="AH453" s="320">
        <f>IFERROR(__xludf.DUMMYFUNCTION("""COMPUTED_VALUE"""),68.82)</f>
        <v>68.82</v>
      </c>
      <c r="AI453" s="320">
        <f>IFERROR(__xludf.DUMMYFUNCTION("""COMPUTED_VALUE"""),25.83)</f>
        <v>25.83</v>
      </c>
      <c r="AJ453" s="320">
        <f>IFERROR(__xludf.DUMMYFUNCTION("""COMPUTED_VALUE"""),6.88)</f>
        <v>6.88</v>
      </c>
      <c r="AK453" s="320">
        <f>IFERROR(__xludf.DUMMYFUNCTION("""COMPUTED_VALUE"""),0.2148)</f>
        <v>0.2148</v>
      </c>
      <c r="AL453" s="320">
        <f>IFERROR(__xludf.DUMMYFUNCTION("""COMPUTED_VALUE"""),18.72)</f>
        <v>18.72</v>
      </c>
      <c r="AM453" s="320">
        <f>IFERROR(__xludf.DUMMYFUNCTION("""COMPUTED_VALUE"""),68.1)</f>
        <v>68.1</v>
      </c>
      <c r="AN453" s="320">
        <f>IFERROR(__xludf.DUMMYFUNCTION("""COMPUTED_VALUE"""),68.02)</f>
        <v>68.02</v>
      </c>
      <c r="AO453" s="320">
        <f>IFERROR(__xludf.DUMMYFUNCTION("""COMPUTED_VALUE"""),12.73)</f>
        <v>12.73</v>
      </c>
    </row>
    <row r="454" ht="15.75" customHeight="1">
      <c r="A454" s="330">
        <f>IFERROR(__xludf.DUMMYFUNCTION("""COMPUTED_VALUE"""),46125.0)</f>
        <v>46125</v>
      </c>
      <c r="B454" s="319" t="str">
        <f>IFERROR(__xludf.DUMMYFUNCTION("""COMPUTED_VALUE"""),"C. 10-19")</f>
        <v>C. 10-19</v>
      </c>
      <c r="C454" s="320">
        <f>IFERROR(__xludf.DUMMYFUNCTION("""COMPUTED_VALUE"""),16067.0)</f>
        <v>16067</v>
      </c>
      <c r="D454" s="320">
        <f>IFERROR(__xludf.DUMMYFUNCTION("""COMPUTED_VALUE"""),21.2)</f>
        <v>21.2</v>
      </c>
      <c r="E454" s="320">
        <f>IFERROR(__xludf.DUMMYFUNCTION("""COMPUTED_VALUE"""),15067.26)</f>
        <v>15067.26</v>
      </c>
      <c r="F454" s="320">
        <f>IFERROR(__xludf.DUMMYFUNCTION("""COMPUTED_VALUE"""),0.9378)</f>
        <v>0.9378</v>
      </c>
      <c r="G454" s="320">
        <f>IFERROR(__xludf.DUMMYFUNCTION("""COMPUTED_VALUE"""),19.79)</f>
        <v>19.79</v>
      </c>
      <c r="H454" s="320">
        <f>IFERROR(__xludf.DUMMYFUNCTION("""COMPUTED_VALUE"""),4.7381)</f>
        <v>4.7381</v>
      </c>
      <c r="I454" s="320">
        <f>IFERROR(__xludf.DUMMYFUNCTION("""COMPUTED_VALUE"""),64.86)</f>
        <v>64.86</v>
      </c>
      <c r="J454" s="320">
        <f>IFERROR(__xludf.DUMMYFUNCTION("""COMPUTED_VALUE"""),37.01)</f>
        <v>37.01</v>
      </c>
      <c r="K454" s="320">
        <f>IFERROR(__xludf.DUMMYFUNCTION("""COMPUTED_VALUE"""),15.1)</f>
        <v>15.1</v>
      </c>
      <c r="L454" s="320">
        <f>IFERROR(__xludf.DUMMYFUNCTION("""COMPUTED_VALUE"""),0.4081)</f>
        <v>0.4081</v>
      </c>
      <c r="M454" s="320">
        <f>IFERROR(__xludf.DUMMYFUNCTION("""COMPUTED_VALUE"""),0.6571)</f>
        <v>0.6571</v>
      </c>
      <c r="N454" s="320">
        <f>IFERROR(__xludf.DUMMYFUNCTION("""COMPUTED_VALUE"""),0.3812)</f>
        <v>0.3812</v>
      </c>
      <c r="O454" s="320">
        <f>IFERROR(__xludf.DUMMYFUNCTION("""COMPUTED_VALUE"""),2.4505)</f>
        <v>2.4505</v>
      </c>
      <c r="P454" s="320">
        <f>IFERROR(__xludf.DUMMYFUNCTION("""COMPUTED_VALUE"""),212.27)</f>
        <v>212.27</v>
      </c>
      <c r="Q454" s="320">
        <f>IFERROR(__xludf.DUMMYFUNCTION("""COMPUTED_VALUE"""),183.16)</f>
        <v>183.16</v>
      </c>
      <c r="R454" s="320">
        <f>IFERROR(__xludf.DUMMYFUNCTION("""COMPUTED_VALUE"""),29.11)</f>
        <v>29.11</v>
      </c>
      <c r="S454" s="320">
        <f>IFERROR(__xludf.DUMMYFUNCTION("""COMPUTED_VALUE"""),63.4)</f>
        <v>63.4</v>
      </c>
      <c r="T454" s="320">
        <f>IFERROR(__xludf.DUMMYFUNCTION("""COMPUTED_VALUE"""),148.87)</f>
        <v>148.87</v>
      </c>
      <c r="U454" s="320">
        <f>IFERROR(__xludf.DUMMYFUNCTION("""COMPUTED_VALUE"""),208.29)</f>
        <v>208.29</v>
      </c>
      <c r="V454" s="320">
        <f>IFERROR(__xludf.DUMMYFUNCTION("""COMPUTED_VALUE"""),5.6275)</f>
        <v>5.6275</v>
      </c>
      <c r="W454" s="320">
        <f>IFERROR(__xludf.DUMMYFUNCTION("""COMPUTED_VALUE"""),29.87)</f>
        <v>29.87</v>
      </c>
      <c r="X454" s="320">
        <f>IFERROR(__xludf.DUMMYFUNCTION("""COMPUTED_VALUE"""),85.0)</f>
        <v>85</v>
      </c>
      <c r="Y454" s="320">
        <f>IFERROR(__xludf.DUMMYFUNCTION("""COMPUTED_VALUE"""),191.0)</f>
        <v>191</v>
      </c>
      <c r="Z454" s="320">
        <f>IFERROR(__xludf.DUMMYFUNCTION("""COMPUTED_VALUE"""),585.0)</f>
        <v>585</v>
      </c>
      <c r="AA454" s="320">
        <f>IFERROR(__xludf.DUMMYFUNCTION("""COMPUTED_VALUE"""),52.2287)</f>
        <v>52.2287</v>
      </c>
      <c r="AB454" s="320">
        <f>IFERROR(__xludf.DUMMYFUNCTION("""COMPUTED_VALUE"""),0.5018)</f>
        <v>0.5018</v>
      </c>
      <c r="AC454" s="320">
        <f>IFERROR(__xludf.DUMMYFUNCTION("""COMPUTED_VALUE"""),9.26)</f>
        <v>9.26</v>
      </c>
      <c r="AD454" s="320">
        <f>IFERROR(__xludf.DUMMYFUNCTION("""COMPUTED_VALUE"""),3.0)</f>
        <v>3</v>
      </c>
      <c r="AE454" s="320">
        <f>IFERROR(__xludf.DUMMYFUNCTION("""COMPUTED_VALUE"""),7.0)</f>
        <v>7</v>
      </c>
      <c r="AF454" s="320">
        <f>IFERROR(__xludf.DUMMYFUNCTION("""COMPUTED_VALUE"""),13.0)</f>
        <v>13</v>
      </c>
      <c r="AG454" s="320">
        <f>IFERROR(__xludf.DUMMYFUNCTION("""COMPUTED_VALUE"""),20.0)</f>
        <v>20</v>
      </c>
      <c r="AH454" s="320">
        <f>IFERROR(__xludf.DUMMYFUNCTION("""COMPUTED_VALUE"""),57.34)</f>
        <v>57.34</v>
      </c>
      <c r="AI454" s="320">
        <f>IFERROR(__xludf.DUMMYFUNCTION("""COMPUTED_VALUE"""),25.5)</f>
        <v>25.5</v>
      </c>
      <c r="AJ454" s="320">
        <f>IFERROR(__xludf.DUMMYFUNCTION("""COMPUTED_VALUE"""),5.34)</f>
        <v>5.34</v>
      </c>
      <c r="AK454" s="320">
        <f>IFERROR(__xludf.DUMMYFUNCTION("""COMPUTED_VALUE"""),0.1787)</f>
        <v>0.1787</v>
      </c>
      <c r="AL454" s="320">
        <f>IFERROR(__xludf.DUMMYFUNCTION("""COMPUTED_VALUE"""),19.46)</f>
        <v>19.46</v>
      </c>
      <c r="AM454" s="320">
        <f>IFERROR(__xludf.DUMMYFUNCTION("""COMPUTED_VALUE"""),163.7)</f>
        <v>163.7</v>
      </c>
      <c r="AN454" s="320">
        <f>IFERROR(__xludf.DUMMYFUNCTION("""COMPUTED_VALUE"""),71.06)</f>
        <v>71.06</v>
      </c>
      <c r="AO454" s="320">
        <f>IFERROR(__xludf.DUMMYFUNCTION("""COMPUTED_VALUE"""),13.83)</f>
        <v>13.83</v>
      </c>
    </row>
    <row r="455" ht="15.75" customHeight="1">
      <c r="A455" s="330">
        <f>IFERROR(__xludf.DUMMYFUNCTION("""COMPUTED_VALUE"""),46125.0)</f>
        <v>46125</v>
      </c>
      <c r="B455" s="319" t="str">
        <f>IFERROR(__xludf.DUMMYFUNCTION("""COMPUTED_VALUE"""),"D. 20-39")</f>
        <v>D. 20-39</v>
      </c>
      <c r="C455" s="320">
        <f>IFERROR(__xludf.DUMMYFUNCTION("""COMPUTED_VALUE"""),8236.0)</f>
        <v>8236</v>
      </c>
      <c r="D455" s="320">
        <f>IFERROR(__xludf.DUMMYFUNCTION("""COMPUTED_VALUE"""),10.87)</f>
        <v>10.87</v>
      </c>
      <c r="E455" s="320">
        <f>IFERROR(__xludf.DUMMYFUNCTION("""COMPUTED_VALUE"""),21933.68)</f>
        <v>21933.68</v>
      </c>
      <c r="F455" s="320">
        <f>IFERROR(__xludf.DUMMYFUNCTION("""COMPUTED_VALUE"""),2.6631)</f>
        <v>2.6631</v>
      </c>
      <c r="G455" s="320">
        <f>IFERROR(__xludf.DUMMYFUNCTION("""COMPUTED_VALUE"""),33.39)</f>
        <v>33.39</v>
      </c>
      <c r="H455" s="320">
        <f>IFERROR(__xludf.DUMMYFUNCTION("""COMPUTED_VALUE"""),7.9759)</f>
        <v>7.9759</v>
      </c>
      <c r="I455" s="320">
        <f>IFERROR(__xludf.DUMMYFUNCTION("""COMPUTED_VALUE"""),94.61)</f>
        <v>94.61</v>
      </c>
      <c r="J455" s="320">
        <f>IFERROR(__xludf.DUMMYFUNCTION("""COMPUTED_VALUE"""),56.36)</f>
        <v>56.36</v>
      </c>
      <c r="K455" s="320">
        <f>IFERROR(__xludf.DUMMYFUNCTION("""COMPUTED_VALUE"""),29.85)</f>
        <v>29.85</v>
      </c>
      <c r="L455" s="320">
        <f>IFERROR(__xludf.DUMMYFUNCTION("""COMPUTED_VALUE"""),0.5297)</f>
        <v>0.5297</v>
      </c>
      <c r="M455" s="320">
        <f>IFERROR(__xludf.DUMMYFUNCTION("""COMPUTED_VALUE"""),0.5471)</f>
        <v>0.5471</v>
      </c>
      <c r="N455" s="320">
        <f>IFERROR(__xludf.DUMMYFUNCTION("""COMPUTED_VALUE"""),0.304)</f>
        <v>0.304</v>
      </c>
      <c r="O455" s="320">
        <f>IFERROR(__xludf.DUMMYFUNCTION("""COMPUTED_VALUE"""),1.8878)</f>
        <v>1.8878</v>
      </c>
      <c r="P455" s="320">
        <f>IFERROR(__xludf.DUMMYFUNCTION("""COMPUTED_VALUE"""),415.77)</f>
        <v>415.77</v>
      </c>
      <c r="Q455" s="320">
        <f>IFERROR(__xludf.DUMMYFUNCTION("""COMPUTED_VALUE"""),358.12)</f>
        <v>358.12</v>
      </c>
      <c r="R455" s="320">
        <f>IFERROR(__xludf.DUMMYFUNCTION("""COMPUTED_VALUE"""),57.65)</f>
        <v>57.65</v>
      </c>
      <c r="S455" s="320">
        <f>IFERROR(__xludf.DUMMYFUNCTION("""COMPUTED_VALUE"""),172.48)</f>
        <v>172.48</v>
      </c>
      <c r="T455" s="320">
        <f>IFERROR(__xludf.DUMMYFUNCTION("""COMPUTED_VALUE"""),243.3)</f>
        <v>243.3</v>
      </c>
      <c r="U455" s="320">
        <f>IFERROR(__xludf.DUMMYFUNCTION("""COMPUTED_VALUE"""),421.39)</f>
        <v>421.39</v>
      </c>
      <c r="V455" s="320">
        <f>IFERROR(__xludf.DUMMYFUNCTION("""COMPUTED_VALUE"""),7.4774)</f>
        <v>7.4774</v>
      </c>
      <c r="W455" s="320">
        <f>IFERROR(__xludf.DUMMYFUNCTION("""COMPUTED_VALUE"""),41.48)</f>
        <v>41.48</v>
      </c>
      <c r="X455" s="320">
        <f>IFERROR(__xludf.DUMMYFUNCTION("""COMPUTED_VALUE"""),88.0)</f>
        <v>88</v>
      </c>
      <c r="Y455" s="320">
        <f>IFERROR(__xludf.DUMMYFUNCTION("""COMPUTED_VALUE"""),239.0)</f>
        <v>239</v>
      </c>
      <c r="Z455" s="320">
        <f>IFERROR(__xludf.DUMMYFUNCTION("""COMPUTED_VALUE"""),728.0)</f>
        <v>728</v>
      </c>
      <c r="AA455" s="320">
        <f>IFERROR(__xludf.DUMMYFUNCTION("""COMPUTED_VALUE"""),54.1976)</f>
        <v>54.1976</v>
      </c>
      <c r="AB455" s="320">
        <f>IFERROR(__xludf.DUMMYFUNCTION("""COMPUTED_VALUE"""),0.5838)</f>
        <v>0.5838</v>
      </c>
      <c r="AC455" s="320">
        <f>IFERROR(__xludf.DUMMYFUNCTION("""COMPUTED_VALUE"""),17.97)</f>
        <v>17.97</v>
      </c>
      <c r="AD455" s="320">
        <f>IFERROR(__xludf.DUMMYFUNCTION("""COMPUTED_VALUE"""),6.0)</f>
        <v>6</v>
      </c>
      <c r="AE455" s="320">
        <f>IFERROR(__xludf.DUMMYFUNCTION("""COMPUTED_VALUE"""),14.0)</f>
        <v>14</v>
      </c>
      <c r="AF455" s="320">
        <f>IFERROR(__xludf.DUMMYFUNCTION("""COMPUTED_VALUE"""),26.0)</f>
        <v>26</v>
      </c>
      <c r="AG455" s="320">
        <f>IFERROR(__xludf.DUMMYFUNCTION("""COMPUTED_VALUE"""),38.0)</f>
        <v>38</v>
      </c>
      <c r="AH455" s="320">
        <f>IFERROR(__xludf.DUMMYFUNCTION("""COMPUTED_VALUE"""),58.69)</f>
        <v>58.69</v>
      </c>
      <c r="AI455" s="320">
        <f>IFERROR(__xludf.DUMMYFUNCTION("""COMPUTED_VALUE"""),24.93)</f>
        <v>24.93</v>
      </c>
      <c r="AJ455" s="320">
        <f>IFERROR(__xludf.DUMMYFUNCTION("""COMPUTED_VALUE"""),6.85)</f>
        <v>6.85</v>
      </c>
      <c r="AK455" s="320">
        <f>IFERROR(__xludf.DUMMYFUNCTION("""COMPUTED_VALUE"""),0.1668)</f>
        <v>0.1668</v>
      </c>
      <c r="AL455" s="320">
        <f>IFERROR(__xludf.DUMMYFUNCTION("""COMPUTED_VALUE"""),19.34)</f>
        <v>19.34</v>
      </c>
      <c r="AM455" s="320">
        <f>IFERROR(__xludf.DUMMYFUNCTION("""COMPUTED_VALUE"""),338.78)</f>
        <v>338.78</v>
      </c>
      <c r="AN455" s="320">
        <f>IFERROR(__xludf.DUMMYFUNCTION("""COMPUTED_VALUE"""),71.53)</f>
        <v>71.53</v>
      </c>
      <c r="AO455" s="320">
        <f>IFERROR(__xludf.DUMMYFUNCTION("""COMPUTED_VALUE"""),13.83)</f>
        <v>13.83</v>
      </c>
    </row>
    <row r="456" ht="15.75" customHeight="1">
      <c r="A456" s="330">
        <f>IFERROR(__xludf.DUMMYFUNCTION("""COMPUTED_VALUE"""),46125.0)</f>
        <v>46125</v>
      </c>
      <c r="B456" s="319" t="str">
        <f>IFERROR(__xludf.DUMMYFUNCTION("""COMPUTED_VALUE"""),"E. 40-99")</f>
        <v>E. 40-99</v>
      </c>
      <c r="C456" s="320">
        <f>IFERROR(__xludf.DUMMYFUNCTION("""COMPUTED_VALUE"""),3080.0)</f>
        <v>3080</v>
      </c>
      <c r="D456" s="320">
        <f>IFERROR(__xludf.DUMMYFUNCTION("""COMPUTED_VALUE"""),4.06)</f>
        <v>4.06</v>
      </c>
      <c r="E456" s="320">
        <f>IFERROR(__xludf.DUMMYFUNCTION("""COMPUTED_VALUE"""),18341.5)</f>
        <v>18341.5</v>
      </c>
      <c r="F456" s="320">
        <f>IFERROR(__xludf.DUMMYFUNCTION("""COMPUTED_VALUE"""),5.955)</f>
        <v>5.955</v>
      </c>
      <c r="G456" s="320">
        <f>IFERROR(__xludf.DUMMYFUNCTION("""COMPUTED_VALUE"""),44.42)</f>
        <v>44.42</v>
      </c>
      <c r="H456" s="320">
        <f>IFERROR(__xludf.DUMMYFUNCTION("""COMPUTED_VALUE"""),13.4075)</f>
        <v>13.4075</v>
      </c>
      <c r="I456" s="320">
        <f>IFERROR(__xludf.DUMMYFUNCTION("""COMPUTED_VALUE"""),145.29)</f>
        <v>145.29</v>
      </c>
      <c r="J456" s="320">
        <f>IFERROR(__xludf.DUMMYFUNCTION("""COMPUTED_VALUE"""),90.88)</f>
        <v>90.88</v>
      </c>
      <c r="K456" s="320">
        <f>IFERROR(__xludf.DUMMYFUNCTION("""COMPUTED_VALUE"""),61.21)</f>
        <v>61.21</v>
      </c>
      <c r="L456" s="320">
        <f>IFERROR(__xludf.DUMMYFUNCTION("""COMPUTED_VALUE"""),0.6735)</f>
        <v>0.6735</v>
      </c>
      <c r="M456" s="320">
        <f>IFERROR(__xludf.DUMMYFUNCTION("""COMPUTED_VALUE"""),0.4167)</f>
        <v>0.4167</v>
      </c>
      <c r="N456" s="320">
        <f>IFERROR(__xludf.DUMMYFUNCTION("""COMPUTED_VALUE"""),0.2383)</f>
        <v>0.2383</v>
      </c>
      <c r="O456" s="320">
        <f>IFERROR(__xludf.DUMMYFUNCTION("""COMPUTED_VALUE"""),1.4847)</f>
        <v>1.4847</v>
      </c>
      <c r="P456" s="320">
        <f>IFERROR(__xludf.DUMMYFUNCTION("""COMPUTED_VALUE"""),808.36)</f>
        <v>808.36</v>
      </c>
      <c r="Q456" s="320">
        <f>IFERROR(__xludf.DUMMYFUNCTION("""COMPUTED_VALUE"""),694.15)</f>
        <v>694.15</v>
      </c>
      <c r="R456" s="320">
        <f>IFERROR(__xludf.DUMMYFUNCTION("""COMPUTED_VALUE"""),114.21)</f>
        <v>114.21</v>
      </c>
      <c r="S456" s="320">
        <f>IFERROR(__xludf.DUMMYFUNCTION("""COMPUTED_VALUE"""),392.85)</f>
        <v>392.85</v>
      </c>
      <c r="T456" s="320">
        <f>IFERROR(__xludf.DUMMYFUNCTION("""COMPUTED_VALUE"""),415.51)</f>
        <v>415.51</v>
      </c>
      <c r="U456" s="320">
        <f>IFERROR(__xludf.DUMMYFUNCTION("""COMPUTED_VALUE"""),832.76)</f>
        <v>832.76</v>
      </c>
      <c r="V456" s="320">
        <f>IFERROR(__xludf.DUMMYFUNCTION("""COMPUTED_VALUE"""),9.1629)</f>
        <v>9.1629</v>
      </c>
      <c r="W456" s="320">
        <f>IFERROR(__xludf.DUMMYFUNCTION("""COMPUTED_VALUE"""),48.6)</f>
        <v>48.6</v>
      </c>
      <c r="X456" s="320">
        <f>IFERROR(__xludf.DUMMYFUNCTION("""COMPUTED_VALUE"""),102.0)</f>
        <v>102</v>
      </c>
      <c r="Y456" s="320">
        <f>IFERROR(__xludf.DUMMYFUNCTION("""COMPUTED_VALUE"""),344.0)</f>
        <v>344</v>
      </c>
      <c r="Z456" s="320">
        <f>IFERROR(__xludf.DUMMYFUNCTION("""COMPUTED_VALUE"""),1103.0)</f>
        <v>1103</v>
      </c>
      <c r="AA456" s="320">
        <f>IFERROR(__xludf.DUMMYFUNCTION("""COMPUTED_VALUE"""),57.1011)</f>
        <v>57.1011</v>
      </c>
      <c r="AB456" s="320">
        <f>IFERROR(__xludf.DUMMYFUNCTION("""COMPUTED_VALUE"""),0.6594)</f>
        <v>0.6594</v>
      </c>
      <c r="AC456" s="320">
        <f>IFERROR(__xludf.DUMMYFUNCTION("""COMPUTED_VALUE"""),35.31)</f>
        <v>35.31</v>
      </c>
      <c r="AD456" s="320">
        <f>IFERROR(__xludf.DUMMYFUNCTION("""COMPUTED_VALUE"""),12.0)</f>
        <v>12</v>
      </c>
      <c r="AE456" s="320">
        <f>IFERROR(__xludf.DUMMYFUNCTION("""COMPUTED_VALUE"""),27.0)</f>
        <v>27</v>
      </c>
      <c r="AF456" s="320">
        <f>IFERROR(__xludf.DUMMYFUNCTION("""COMPUTED_VALUE"""),47.0)</f>
        <v>47</v>
      </c>
      <c r="AG456" s="320">
        <f>IFERROR(__xludf.DUMMYFUNCTION("""COMPUTED_VALUE"""),74.0)</f>
        <v>74</v>
      </c>
      <c r="AH456" s="320">
        <f>IFERROR(__xludf.DUMMYFUNCTION("""COMPUTED_VALUE"""),49.77)</f>
        <v>49.77</v>
      </c>
      <c r="AI456" s="320">
        <f>IFERROR(__xludf.DUMMYFUNCTION("""COMPUTED_VALUE"""),17.11)</f>
        <v>17.11</v>
      </c>
      <c r="AJ456" s="320">
        <f>IFERROR(__xludf.DUMMYFUNCTION("""COMPUTED_VALUE"""),4.42)</f>
        <v>4.42</v>
      </c>
      <c r="AK456" s="320">
        <f>IFERROR(__xludf.DUMMYFUNCTION("""COMPUTED_VALUE"""),0.1315)</f>
        <v>0.1315</v>
      </c>
      <c r="AL456" s="320">
        <f>IFERROR(__xludf.DUMMYFUNCTION("""COMPUTED_VALUE"""),19.5)</f>
        <v>19.5</v>
      </c>
      <c r="AM456" s="320">
        <f>IFERROR(__xludf.DUMMYFUNCTION("""COMPUTED_VALUE"""),674.65)</f>
        <v>674.65</v>
      </c>
      <c r="AN456" s="320">
        <f>IFERROR(__xludf.DUMMYFUNCTION("""COMPUTED_VALUE"""),71.23)</f>
        <v>71.23</v>
      </c>
      <c r="AO456" s="320">
        <f>IFERROR(__xludf.DUMMYFUNCTION("""COMPUTED_VALUE"""),13.89)</f>
        <v>13.89</v>
      </c>
    </row>
    <row r="457" ht="15.75" customHeight="1">
      <c r="A457" s="330">
        <f>IFERROR(__xludf.DUMMYFUNCTION("""COMPUTED_VALUE"""),46125.0)</f>
        <v>46125</v>
      </c>
      <c r="B457" s="319" t="str">
        <f>IFERROR(__xludf.DUMMYFUNCTION("""COMPUTED_VALUE"""),"F. 100+")</f>
        <v>F. 100+</v>
      </c>
      <c r="C457" s="320">
        <f>IFERROR(__xludf.DUMMYFUNCTION("""COMPUTED_VALUE"""),322.0)</f>
        <v>322</v>
      </c>
      <c r="D457" s="320">
        <f>IFERROR(__xludf.DUMMYFUNCTION("""COMPUTED_VALUE"""),0.42)</f>
        <v>0.42</v>
      </c>
      <c r="E457" s="320">
        <f>IFERROR(__xludf.DUMMYFUNCTION("""COMPUTED_VALUE"""),2767.0)</f>
        <v>2767</v>
      </c>
      <c r="F457" s="320">
        <f>IFERROR(__xludf.DUMMYFUNCTION("""COMPUTED_VALUE"""),8.5932)</f>
        <v>8.5932</v>
      </c>
      <c r="G457" s="320">
        <f>IFERROR(__xludf.DUMMYFUNCTION("""COMPUTED_VALUE"""),43.17)</f>
        <v>43.17</v>
      </c>
      <c r="H457" s="320">
        <f>IFERROR(__xludf.DUMMYFUNCTION("""COMPUTED_VALUE"""),19.9065)</f>
        <v>19.9065</v>
      </c>
      <c r="I457" s="320">
        <f>IFERROR(__xludf.DUMMYFUNCTION("""COMPUTED_VALUE"""),263.28)</f>
        <v>263.28</v>
      </c>
      <c r="J457" s="320">
        <f>IFERROR(__xludf.DUMMYFUNCTION("""COMPUTED_VALUE"""),173.72)</f>
        <v>173.72</v>
      </c>
      <c r="K457" s="320">
        <f>IFERROR(__xludf.DUMMYFUNCTION("""COMPUTED_VALUE"""),138.04)</f>
        <v>138.04</v>
      </c>
      <c r="L457" s="320">
        <f>IFERROR(__xludf.DUMMYFUNCTION("""COMPUTED_VALUE"""),0.7946)</f>
        <v>0.7946</v>
      </c>
      <c r="M457" s="320">
        <f>IFERROR(__xludf.DUMMYFUNCTION("""COMPUTED_VALUE"""),0.295)</f>
        <v>0.295</v>
      </c>
      <c r="N457" s="320">
        <f>IFERROR(__xludf.DUMMYFUNCTION("""COMPUTED_VALUE"""),0.178)</f>
        <v>0.178</v>
      </c>
      <c r="O457" s="320">
        <f>IFERROR(__xludf.DUMMYFUNCTION("""COMPUTED_VALUE"""),1.2584)</f>
        <v>1.2584</v>
      </c>
      <c r="P457" s="320">
        <f>IFERROR(__xludf.DUMMYFUNCTION("""COMPUTED_VALUE"""),1360.37)</f>
        <v>1360.37</v>
      </c>
      <c r="Q457" s="320">
        <f>IFERROR(__xludf.DUMMYFUNCTION("""COMPUTED_VALUE"""),1075.21)</f>
        <v>1075.21</v>
      </c>
      <c r="R457" s="320">
        <f>IFERROR(__xludf.DUMMYFUNCTION("""COMPUTED_VALUE"""),285.16)</f>
        <v>285.16</v>
      </c>
      <c r="S457" s="320">
        <f>IFERROR(__xludf.DUMMYFUNCTION("""COMPUTED_VALUE"""),550.33)</f>
        <v>550.33</v>
      </c>
      <c r="T457" s="320">
        <f>IFERROR(__xludf.DUMMYFUNCTION("""COMPUTED_VALUE"""),810.04)</f>
        <v>810.04</v>
      </c>
      <c r="U457" s="320">
        <f>IFERROR(__xludf.DUMMYFUNCTION("""COMPUTED_VALUE"""),1450.16)</f>
        <v>1450.16</v>
      </c>
      <c r="V457" s="320">
        <f>IFERROR(__xludf.DUMMYFUNCTION("""COMPUTED_VALUE"""),8.3478)</f>
        <v>8.3478</v>
      </c>
      <c r="W457" s="320">
        <f>IFERROR(__xludf.DUMMYFUNCTION("""COMPUTED_VALUE"""),40.45)</f>
        <v>40.45</v>
      </c>
      <c r="X457" s="320">
        <f>IFERROR(__xludf.DUMMYFUNCTION("""COMPUTED_VALUE"""),176.0)</f>
        <v>176</v>
      </c>
      <c r="Y457" s="320">
        <f>IFERROR(__xludf.DUMMYFUNCTION("""COMPUTED_VALUE"""),698.0)</f>
        <v>698</v>
      </c>
      <c r="Z457" s="320">
        <f>IFERROR(__xludf.DUMMYFUNCTION("""COMPUTED_VALUE"""),2840.0)</f>
        <v>2840</v>
      </c>
      <c r="AA457" s="320">
        <f>IFERROR(__xludf.DUMMYFUNCTION("""COMPUTED_VALUE"""),61.3552)</f>
        <v>61.3552</v>
      </c>
      <c r="AB457" s="320">
        <f>IFERROR(__xludf.DUMMYFUNCTION("""COMPUTED_VALUE"""),0.802)</f>
        <v>0.802</v>
      </c>
      <c r="AC457" s="320">
        <f>IFERROR(__xludf.DUMMYFUNCTION("""COMPUTED_VALUE"""),88.27)</f>
        <v>88.27</v>
      </c>
      <c r="AD457" s="320">
        <f>IFERROR(__xludf.DUMMYFUNCTION("""COMPUTED_VALUE"""),28.0)</f>
        <v>28</v>
      </c>
      <c r="AE457" s="320">
        <f>IFERROR(__xludf.DUMMYFUNCTION("""COMPUTED_VALUE"""),71.0)</f>
        <v>71</v>
      </c>
      <c r="AF457" s="320">
        <f>IFERROR(__xludf.DUMMYFUNCTION("""COMPUTED_VALUE"""),129.0)</f>
        <v>129</v>
      </c>
      <c r="AG457" s="320">
        <f>IFERROR(__xludf.DUMMYFUNCTION("""COMPUTED_VALUE"""),190.0)</f>
        <v>190</v>
      </c>
      <c r="AH457" s="320">
        <f>IFERROR(__xludf.DUMMYFUNCTION("""COMPUTED_VALUE"""),45.96)</f>
        <v>45.96</v>
      </c>
      <c r="AI457" s="320">
        <f>IFERROR(__xludf.DUMMYFUNCTION("""COMPUTED_VALUE"""),12.73)</f>
        <v>12.73</v>
      </c>
      <c r="AJ457" s="320">
        <f>IFERROR(__xludf.DUMMYFUNCTION("""COMPUTED_VALUE"""),1.86)</f>
        <v>1.86</v>
      </c>
      <c r="AK457" s="320">
        <f>IFERROR(__xludf.DUMMYFUNCTION("""COMPUTED_VALUE"""),0.1429)</f>
        <v>0.1429</v>
      </c>
      <c r="AL457" s="320">
        <f>IFERROR(__xludf.DUMMYFUNCTION("""COMPUTED_VALUE"""),22.93)</f>
        <v>22.93</v>
      </c>
      <c r="AM457" s="320">
        <f>IFERROR(__xludf.DUMMYFUNCTION("""COMPUTED_VALUE"""),1052.28)</f>
        <v>1052.28</v>
      </c>
      <c r="AN457" s="320">
        <f>IFERROR(__xludf.DUMMYFUNCTION("""COMPUTED_VALUE"""),75.87)</f>
        <v>75.87</v>
      </c>
      <c r="AO457" s="320">
        <f>IFERROR(__xludf.DUMMYFUNCTION("""COMPUTED_VALUE"""),17.4)</f>
        <v>17.4</v>
      </c>
    </row>
    <row r="458" ht="15.75" customHeight="1">
      <c r="A458" s="330">
        <f>IFERROR(__xludf.DUMMYFUNCTION("""COMPUTED_VALUE"""),46126.0)</f>
        <v>46126</v>
      </c>
      <c r="B458" s="319" t="str">
        <f>IFERROR(__xludf.DUMMYFUNCTION("""COMPUTED_VALUE"""),"A. 0")</f>
        <v>A. 0</v>
      </c>
      <c r="C458" s="320">
        <f>IFERROR(__xludf.DUMMYFUNCTION("""COMPUTED_VALUE"""),15917.0)</f>
        <v>15917</v>
      </c>
      <c r="D458" s="320">
        <f>IFERROR(__xludf.DUMMYFUNCTION("""COMPUTED_VALUE"""),21.14)</f>
        <v>21.14</v>
      </c>
      <c r="E458" s="320">
        <f>IFERROR(__xludf.DUMMYFUNCTION("""COMPUTED_VALUE"""),143.73)</f>
        <v>143.73</v>
      </c>
      <c r="F458" s="320">
        <f>IFERROR(__xludf.DUMMYFUNCTION("""COMPUTED_VALUE"""),0.009)</f>
        <v>0.009</v>
      </c>
      <c r="G458" s="320">
        <f>IFERROR(__xludf.DUMMYFUNCTION("""COMPUTED_VALUE"""),0.19)</f>
        <v>0.19</v>
      </c>
      <c r="H458" s="320">
        <f>IFERROR(__xludf.DUMMYFUNCTION("""COMPUTED_VALUE"""),4.791)</f>
        <v>4.791</v>
      </c>
      <c r="I458" s="320">
        <f>IFERROR(__xludf.DUMMYFUNCTION("""COMPUTED_VALUE"""),6.05)</f>
        <v>6.05</v>
      </c>
      <c r="J458" s="320">
        <f>IFERROR(__xludf.DUMMYFUNCTION("""COMPUTED_VALUE"""),2.78)</f>
        <v>2.78</v>
      </c>
      <c r="K458" s="320">
        <f>IFERROR(__xludf.DUMMYFUNCTION("""COMPUTED_VALUE"""),0.04)</f>
        <v>0.04</v>
      </c>
      <c r="L458" s="320">
        <f>IFERROR(__xludf.DUMMYFUNCTION("""COMPUTED_VALUE"""),0.0149)</f>
        <v>0.0149</v>
      </c>
      <c r="M458" s="320">
        <f>IFERROR(__xludf.DUMMYFUNCTION("""COMPUTED_VALUE"""),0.986)</f>
        <v>0.986</v>
      </c>
      <c r="N458" s="320">
        <f>IFERROR(__xludf.DUMMYFUNCTION("""COMPUTED_VALUE"""),0.8191)</f>
        <v>0.8191</v>
      </c>
      <c r="O458" s="320">
        <f>IFERROR(__xludf.DUMMYFUNCTION("""COMPUTED_VALUE"""),66.9788)</f>
        <v>66.9788</v>
      </c>
      <c r="P458" s="320">
        <f>IFERROR(__xludf.DUMMYFUNCTION("""COMPUTED_VALUE"""),27.4)</f>
        <v>27.4</v>
      </c>
      <c r="Q458" s="320">
        <f>IFERROR(__xludf.DUMMYFUNCTION("""COMPUTED_VALUE"""),27.34)</f>
        <v>27.34</v>
      </c>
      <c r="R458" s="320">
        <f>IFERROR(__xludf.DUMMYFUNCTION("""COMPUTED_VALUE"""),0.06)</f>
        <v>0.06</v>
      </c>
      <c r="S458" s="320">
        <f>IFERROR(__xludf.DUMMYFUNCTION("""COMPUTED_VALUE"""),0.67)</f>
        <v>0.67</v>
      </c>
      <c r="T458" s="320">
        <f>IFERROR(__xludf.DUMMYFUNCTION("""COMPUTED_VALUE"""),26.73)</f>
        <v>26.73</v>
      </c>
      <c r="U458" s="320">
        <f>IFERROR(__xludf.DUMMYFUNCTION("""COMPUTED_VALUE"""),2.57)</f>
        <v>2.57</v>
      </c>
      <c r="V458" s="320">
        <f>IFERROR(__xludf.DUMMYFUNCTION("""COMPUTED_VALUE"""),0.9238)</f>
        <v>0.9238</v>
      </c>
      <c r="W458" s="320">
        <f>IFERROR(__xludf.DUMMYFUNCTION("""COMPUTED_VALUE"""),2.44)</f>
        <v>2.44</v>
      </c>
      <c r="X458" s="320">
        <f>IFERROR(__xludf.DUMMYFUNCTION("""COMPUTED_VALUE"""),169.0)</f>
        <v>169</v>
      </c>
      <c r="Y458" s="320">
        <f>IFERROR(__xludf.DUMMYFUNCTION("""COMPUTED_VALUE"""),1193.0)</f>
        <v>1193</v>
      </c>
      <c r="Z458" s="320">
        <f>IFERROR(__xludf.DUMMYFUNCTION("""COMPUTED_VALUE"""),7258.0)</f>
        <v>7258</v>
      </c>
      <c r="AA458" s="320">
        <f>IFERROR(__xludf.DUMMYFUNCTION("""COMPUTED_VALUE"""),49.5794)</f>
        <v>49.5794</v>
      </c>
      <c r="AB458" s="320">
        <f>IFERROR(__xludf.DUMMYFUNCTION("""COMPUTED_VALUE"""),0.5117)</f>
        <v>0.5117</v>
      </c>
      <c r="AC458" s="106"/>
      <c r="AD458" s="106"/>
      <c r="AE458" s="106"/>
      <c r="AF458" s="106"/>
      <c r="AG458" s="106"/>
      <c r="AH458" s="320">
        <f>IFERROR(__xludf.DUMMYFUNCTION("""COMPUTED_VALUE"""),0.0)</f>
        <v>0</v>
      </c>
      <c r="AI458" s="320">
        <f>IFERROR(__xludf.DUMMYFUNCTION("""COMPUTED_VALUE"""),0.0)</f>
        <v>0</v>
      </c>
      <c r="AJ458" s="320">
        <f>IFERROR(__xludf.DUMMYFUNCTION("""COMPUTED_VALUE"""),0.0)</f>
        <v>0</v>
      </c>
      <c r="AK458" s="320">
        <f>IFERROR(__xludf.DUMMYFUNCTION("""COMPUTED_VALUE"""),0.2624)</f>
        <v>0.2624</v>
      </c>
      <c r="AL458" s="320">
        <f>IFERROR(__xludf.DUMMYFUNCTION("""COMPUTED_VALUE"""),14.97)</f>
        <v>14.97</v>
      </c>
      <c r="AM458" s="320">
        <f>IFERROR(__xludf.DUMMYFUNCTION("""COMPUTED_VALUE"""),12.37)</f>
        <v>12.37</v>
      </c>
      <c r="AN458" s="331"/>
      <c r="AO458" s="331"/>
    </row>
    <row r="459" ht="15.75" customHeight="1">
      <c r="A459" s="330">
        <f>IFERROR(__xludf.DUMMYFUNCTION("""COMPUTED_VALUE"""),46126.0)</f>
        <v>46126</v>
      </c>
      <c r="B459" s="319" t="str">
        <f>IFERROR(__xludf.DUMMYFUNCTION("""COMPUTED_VALUE"""),"B. 1-9")</f>
        <v>B. 1-9</v>
      </c>
      <c r="C459" s="320">
        <f>IFERROR(__xludf.DUMMYFUNCTION("""COMPUTED_VALUE"""),32604.0)</f>
        <v>32604</v>
      </c>
      <c r="D459" s="320">
        <f>IFERROR(__xludf.DUMMYFUNCTION("""COMPUTED_VALUE"""),43.29)</f>
        <v>43.29</v>
      </c>
      <c r="E459" s="320">
        <f>IFERROR(__xludf.DUMMYFUNCTION("""COMPUTED_VALUE"""),6317.93)</f>
        <v>6317.93</v>
      </c>
      <c r="F459" s="320">
        <f>IFERROR(__xludf.DUMMYFUNCTION("""COMPUTED_VALUE"""),0.1938)</f>
        <v>0.1938</v>
      </c>
      <c r="G459" s="320">
        <f>IFERROR(__xludf.DUMMYFUNCTION("""COMPUTED_VALUE"""),5.97)</f>
        <v>5.97</v>
      </c>
      <c r="H459" s="320">
        <f>IFERROR(__xludf.DUMMYFUNCTION("""COMPUTED_VALUE"""),3.2483)</f>
        <v>3.2483</v>
      </c>
      <c r="I459" s="320">
        <f>IFERROR(__xludf.DUMMYFUNCTION("""COMPUTED_VALUE"""),29.63)</f>
        <v>29.63</v>
      </c>
      <c r="J459" s="320">
        <f>IFERROR(__xludf.DUMMYFUNCTION("""COMPUTED_VALUE"""),15.61)</f>
        <v>15.61</v>
      </c>
      <c r="K459" s="320">
        <f>IFERROR(__xludf.DUMMYFUNCTION("""COMPUTED_VALUE"""),5.05)</f>
        <v>5.05</v>
      </c>
      <c r="L459" s="320">
        <f>IFERROR(__xludf.DUMMYFUNCTION("""COMPUTED_VALUE"""),0.3234)</f>
        <v>0.3234</v>
      </c>
      <c r="M459" s="320">
        <f>IFERROR(__xludf.DUMMYFUNCTION("""COMPUTED_VALUE"""),0.7528)</f>
        <v>0.7528</v>
      </c>
      <c r="N459" s="320">
        <f>IFERROR(__xludf.DUMMYFUNCTION("""COMPUTED_VALUE"""),0.518)</f>
        <v>0.518</v>
      </c>
      <c r="O459" s="320">
        <f>IFERROR(__xludf.DUMMYFUNCTION("""COMPUTED_VALUE"""),3.0921)</f>
        <v>3.0921</v>
      </c>
      <c r="P459" s="320">
        <f>IFERROR(__xludf.DUMMYFUNCTION("""COMPUTED_VALUE"""),69.15)</f>
        <v>69.15</v>
      </c>
      <c r="Q459" s="320">
        <f>IFERROR(__xludf.DUMMYFUNCTION("""COMPUTED_VALUE"""),58.83)</f>
        <v>58.83</v>
      </c>
      <c r="R459" s="320">
        <f>IFERROR(__xludf.DUMMYFUNCTION("""COMPUTED_VALUE"""),10.32)</f>
        <v>10.32</v>
      </c>
      <c r="S459" s="320">
        <f>IFERROR(__xludf.DUMMYFUNCTION("""COMPUTED_VALUE"""),13.86)</f>
        <v>13.86</v>
      </c>
      <c r="T459" s="320">
        <f>IFERROR(__xludf.DUMMYFUNCTION("""COMPUTED_VALUE"""),55.29)</f>
        <v>55.29</v>
      </c>
      <c r="U459" s="320">
        <f>IFERROR(__xludf.DUMMYFUNCTION("""COMPUTED_VALUE"""),75.79)</f>
        <v>75.79</v>
      </c>
      <c r="V459" s="320">
        <f>IFERROR(__xludf.DUMMYFUNCTION("""COMPUTED_VALUE"""),4.8557)</f>
        <v>4.8557</v>
      </c>
      <c r="W459" s="320">
        <f>IFERROR(__xludf.DUMMYFUNCTION("""COMPUTED_VALUE"""),20.04)</f>
        <v>20.04</v>
      </c>
      <c r="X459" s="320">
        <f>IFERROR(__xludf.DUMMYFUNCTION("""COMPUTED_VALUE"""),88.0)</f>
        <v>88</v>
      </c>
      <c r="Y459" s="320">
        <f>IFERROR(__xludf.DUMMYFUNCTION("""COMPUTED_VALUE"""),205.0)</f>
        <v>205</v>
      </c>
      <c r="Z459" s="320">
        <f>IFERROR(__xludf.DUMMYFUNCTION("""COMPUTED_VALUE"""),823.0)</f>
        <v>823</v>
      </c>
      <c r="AA459" s="320">
        <f>IFERROR(__xludf.DUMMYFUNCTION("""COMPUTED_VALUE"""),49.5031)</f>
        <v>49.5031</v>
      </c>
      <c r="AB459" s="320">
        <f>IFERROR(__xludf.DUMMYFUNCTION("""COMPUTED_VALUE"""),0.4389)</f>
        <v>0.4389</v>
      </c>
      <c r="AC459" s="320">
        <f>IFERROR(__xludf.DUMMYFUNCTION("""COMPUTED_VALUE"""),3.5)</f>
        <v>3.5</v>
      </c>
      <c r="AD459" s="320">
        <f>IFERROR(__xludf.DUMMYFUNCTION("""COMPUTED_VALUE"""),1.0)</f>
        <v>1</v>
      </c>
      <c r="AE459" s="320">
        <f>IFERROR(__xludf.DUMMYFUNCTION("""COMPUTED_VALUE"""),2.0)</f>
        <v>2</v>
      </c>
      <c r="AF459" s="320">
        <f>IFERROR(__xludf.DUMMYFUNCTION("""COMPUTED_VALUE"""),4.0)</f>
        <v>4</v>
      </c>
      <c r="AG459" s="320">
        <f>IFERROR(__xludf.DUMMYFUNCTION("""COMPUTED_VALUE"""),8.0)</f>
        <v>8</v>
      </c>
      <c r="AH459" s="320">
        <f>IFERROR(__xludf.DUMMYFUNCTION("""COMPUTED_VALUE"""),66.59)</f>
        <v>66.59</v>
      </c>
      <c r="AI459" s="320">
        <f>IFERROR(__xludf.DUMMYFUNCTION("""COMPUTED_VALUE"""),24.39)</f>
        <v>24.39</v>
      </c>
      <c r="AJ459" s="320">
        <f>IFERROR(__xludf.DUMMYFUNCTION("""COMPUTED_VALUE"""),6.74)</f>
        <v>6.74</v>
      </c>
      <c r="AK459" s="320">
        <f>IFERROR(__xludf.DUMMYFUNCTION("""COMPUTED_VALUE"""),0.2124)</f>
        <v>0.2124</v>
      </c>
      <c r="AL459" s="320">
        <f>IFERROR(__xludf.DUMMYFUNCTION("""COMPUTED_VALUE"""),18.39)</f>
        <v>18.39</v>
      </c>
      <c r="AM459" s="320">
        <f>IFERROR(__xludf.DUMMYFUNCTION("""COMPUTED_VALUE"""),40.44)</f>
        <v>40.44</v>
      </c>
      <c r="AN459" s="320">
        <f>IFERROR(__xludf.DUMMYFUNCTION("""COMPUTED_VALUE"""),68.06)</f>
        <v>68.06</v>
      </c>
      <c r="AO459" s="320">
        <f>IFERROR(__xludf.DUMMYFUNCTION("""COMPUTED_VALUE"""),12.52)</f>
        <v>12.52</v>
      </c>
    </row>
    <row r="460" ht="15.75" customHeight="1">
      <c r="A460" s="330">
        <f>IFERROR(__xludf.DUMMYFUNCTION("""COMPUTED_VALUE"""),46126.0)</f>
        <v>46126</v>
      </c>
      <c r="B460" s="319" t="str">
        <f>IFERROR(__xludf.DUMMYFUNCTION("""COMPUTED_VALUE"""),"C. 10-19")</f>
        <v>C. 10-19</v>
      </c>
      <c r="C460" s="320">
        <f>IFERROR(__xludf.DUMMYFUNCTION("""COMPUTED_VALUE"""),15742.0)</f>
        <v>15742</v>
      </c>
      <c r="D460" s="320">
        <f>IFERROR(__xludf.DUMMYFUNCTION("""COMPUTED_VALUE"""),20.9)</f>
        <v>20.9</v>
      </c>
      <c r="E460" s="320">
        <f>IFERROR(__xludf.DUMMYFUNCTION("""COMPUTED_VALUE"""),16040.92)</f>
        <v>16040.92</v>
      </c>
      <c r="F460" s="320">
        <f>IFERROR(__xludf.DUMMYFUNCTION("""COMPUTED_VALUE"""),1.019)</f>
        <v>1.019</v>
      </c>
      <c r="G460" s="320">
        <f>IFERROR(__xludf.DUMMYFUNCTION("""COMPUTED_VALUE"""),20.73)</f>
        <v>20.73</v>
      </c>
      <c r="H460" s="320">
        <f>IFERROR(__xludf.DUMMYFUNCTION("""COMPUTED_VALUE"""),4.9145)</f>
        <v>4.9145</v>
      </c>
      <c r="I460" s="320">
        <f>IFERROR(__xludf.DUMMYFUNCTION("""COMPUTED_VALUE"""),56.47)</f>
        <v>56.47</v>
      </c>
      <c r="J460" s="320">
        <f>IFERROR(__xludf.DUMMYFUNCTION("""COMPUTED_VALUE"""),31.76)</f>
        <v>31.76</v>
      </c>
      <c r="K460" s="320">
        <f>IFERROR(__xludf.DUMMYFUNCTION("""COMPUTED_VALUE"""),13.72)</f>
        <v>13.72</v>
      </c>
      <c r="L460" s="320">
        <f>IFERROR(__xludf.DUMMYFUNCTION("""COMPUTED_VALUE"""),0.4321)</f>
        <v>0.4321</v>
      </c>
      <c r="M460" s="320">
        <f>IFERROR(__xludf.DUMMYFUNCTION("""COMPUTED_VALUE"""),0.6361)</f>
        <v>0.6361</v>
      </c>
      <c r="N460" s="320">
        <f>IFERROR(__xludf.DUMMYFUNCTION("""COMPUTED_VALUE"""),0.3665)</f>
        <v>0.3665</v>
      </c>
      <c r="O460" s="320">
        <f>IFERROR(__xludf.DUMMYFUNCTION("""COMPUTED_VALUE"""),2.3143)</f>
        <v>2.3143</v>
      </c>
      <c r="P460" s="320">
        <f>IFERROR(__xludf.DUMMYFUNCTION("""COMPUTED_VALUE"""),176.58)</f>
        <v>176.58</v>
      </c>
      <c r="Q460" s="320">
        <f>IFERROR(__xludf.DUMMYFUNCTION("""COMPUTED_VALUE"""),148.62)</f>
        <v>148.62</v>
      </c>
      <c r="R460" s="320">
        <f>IFERROR(__xludf.DUMMYFUNCTION("""COMPUTED_VALUE"""),27.97)</f>
        <v>27.97</v>
      </c>
      <c r="S460" s="320">
        <f>IFERROR(__xludf.DUMMYFUNCTION("""COMPUTED_VALUE"""),69.33)</f>
        <v>69.33</v>
      </c>
      <c r="T460" s="320">
        <f>IFERROR(__xludf.DUMMYFUNCTION("""COMPUTED_VALUE"""),107.25)</f>
        <v>107.25</v>
      </c>
      <c r="U460" s="320">
        <f>IFERROR(__xludf.DUMMYFUNCTION("""COMPUTED_VALUE"""),185.48)</f>
        <v>185.48</v>
      </c>
      <c r="V460" s="320">
        <f>IFERROR(__xludf.DUMMYFUNCTION("""COMPUTED_VALUE"""),5.84)</f>
        <v>5.84</v>
      </c>
      <c r="W460" s="320">
        <f>IFERROR(__xludf.DUMMYFUNCTION("""COMPUTED_VALUE"""),39.26)</f>
        <v>39.26</v>
      </c>
      <c r="X460" s="320">
        <f>IFERROR(__xludf.DUMMYFUNCTION("""COMPUTED_VALUE"""),83.0)</f>
        <v>83</v>
      </c>
      <c r="Y460" s="320">
        <f>IFERROR(__xludf.DUMMYFUNCTION("""COMPUTED_VALUE"""),195.0)</f>
        <v>195</v>
      </c>
      <c r="Z460" s="320">
        <f>IFERROR(__xludf.DUMMYFUNCTION("""COMPUTED_VALUE"""),647.0)</f>
        <v>647</v>
      </c>
      <c r="AA460" s="320">
        <f>IFERROR(__xludf.DUMMYFUNCTION("""COMPUTED_VALUE"""),52.4044)</f>
        <v>52.4044</v>
      </c>
      <c r="AB460" s="320">
        <f>IFERROR(__xludf.DUMMYFUNCTION("""COMPUTED_VALUE"""),0.5145)</f>
        <v>0.5145</v>
      </c>
      <c r="AC460" s="320">
        <f>IFERROR(__xludf.DUMMYFUNCTION("""COMPUTED_VALUE"""),8.91)</f>
        <v>8.91</v>
      </c>
      <c r="AD460" s="320">
        <f>IFERROR(__xludf.DUMMYFUNCTION("""COMPUTED_VALUE"""),3.0)</f>
        <v>3</v>
      </c>
      <c r="AE460" s="320">
        <f>IFERROR(__xludf.DUMMYFUNCTION("""COMPUTED_VALUE"""),7.0)</f>
        <v>7</v>
      </c>
      <c r="AF460" s="320">
        <f>IFERROR(__xludf.DUMMYFUNCTION("""COMPUTED_VALUE"""),12.0)</f>
        <v>12</v>
      </c>
      <c r="AG460" s="320">
        <f>IFERROR(__xludf.DUMMYFUNCTION("""COMPUTED_VALUE"""),20.0)</f>
        <v>20</v>
      </c>
      <c r="AH460" s="320">
        <f>IFERROR(__xludf.DUMMYFUNCTION("""COMPUTED_VALUE"""),54.24)</f>
        <v>54.24</v>
      </c>
      <c r="AI460" s="320">
        <f>IFERROR(__xludf.DUMMYFUNCTION("""COMPUTED_VALUE"""),24.18)</f>
        <v>24.18</v>
      </c>
      <c r="AJ460" s="320">
        <f>IFERROR(__xludf.DUMMYFUNCTION("""COMPUTED_VALUE"""),5.24)</f>
        <v>5.24</v>
      </c>
      <c r="AK460" s="320">
        <f>IFERROR(__xludf.DUMMYFUNCTION("""COMPUTED_VALUE"""),0.1826)</f>
        <v>0.1826</v>
      </c>
      <c r="AL460" s="320">
        <f>IFERROR(__xludf.DUMMYFUNCTION("""COMPUTED_VALUE"""),18.96)</f>
        <v>18.96</v>
      </c>
      <c r="AM460" s="320">
        <f>IFERROR(__xludf.DUMMYFUNCTION("""COMPUTED_VALUE"""),129.66)</f>
        <v>129.66</v>
      </c>
      <c r="AN460" s="320">
        <f>IFERROR(__xludf.DUMMYFUNCTION("""COMPUTED_VALUE"""),71.71)</f>
        <v>71.71</v>
      </c>
      <c r="AO460" s="320">
        <f>IFERROR(__xludf.DUMMYFUNCTION("""COMPUTED_VALUE"""),13.6)</f>
        <v>13.6</v>
      </c>
    </row>
    <row r="461" ht="15.75" customHeight="1">
      <c r="A461" s="330">
        <f>IFERROR(__xludf.DUMMYFUNCTION("""COMPUTED_VALUE"""),46126.0)</f>
        <v>46126</v>
      </c>
      <c r="B461" s="319" t="str">
        <f>IFERROR(__xludf.DUMMYFUNCTION("""COMPUTED_VALUE"""),"D. 20-39")</f>
        <v>D. 20-39</v>
      </c>
      <c r="C461" s="320">
        <f>IFERROR(__xludf.DUMMYFUNCTION("""COMPUTED_VALUE"""),7985.0)</f>
        <v>7985</v>
      </c>
      <c r="D461" s="320">
        <f>IFERROR(__xludf.DUMMYFUNCTION("""COMPUTED_VALUE"""),10.6)</f>
        <v>10.6</v>
      </c>
      <c r="E461" s="320">
        <f>IFERROR(__xludf.DUMMYFUNCTION("""COMPUTED_VALUE"""),20851.33)</f>
        <v>20851.33</v>
      </c>
      <c r="F461" s="320">
        <f>IFERROR(__xludf.DUMMYFUNCTION("""COMPUTED_VALUE"""),2.6113)</f>
        <v>2.6113</v>
      </c>
      <c r="G461" s="320">
        <f>IFERROR(__xludf.DUMMYFUNCTION("""COMPUTED_VALUE"""),33.34)</f>
        <v>33.34</v>
      </c>
      <c r="H461" s="320">
        <f>IFERROR(__xludf.DUMMYFUNCTION("""COMPUTED_VALUE"""),7.833)</f>
        <v>7.833</v>
      </c>
      <c r="I461" s="320">
        <f>IFERROR(__xludf.DUMMYFUNCTION("""COMPUTED_VALUE"""),82.33)</f>
        <v>82.33</v>
      </c>
      <c r="J461" s="320">
        <f>IFERROR(__xludf.DUMMYFUNCTION("""COMPUTED_VALUE"""),49.28)</f>
        <v>49.28</v>
      </c>
      <c r="K461" s="320">
        <f>IFERROR(__xludf.DUMMYFUNCTION("""COMPUTED_VALUE"""),27.19)</f>
        <v>27.19</v>
      </c>
      <c r="L461" s="320">
        <f>IFERROR(__xludf.DUMMYFUNCTION("""COMPUTED_VALUE"""),0.5516)</f>
        <v>0.5516</v>
      </c>
      <c r="M461" s="320">
        <f>IFERROR(__xludf.DUMMYFUNCTION("""COMPUTED_VALUE"""),0.5252)</f>
        <v>0.5252</v>
      </c>
      <c r="N461" s="320">
        <f>IFERROR(__xludf.DUMMYFUNCTION("""COMPUTED_VALUE"""),0.2898)</f>
        <v>0.2898</v>
      </c>
      <c r="O461" s="320">
        <f>IFERROR(__xludf.DUMMYFUNCTION("""COMPUTED_VALUE"""),1.8128)</f>
        <v>1.8128</v>
      </c>
      <c r="P461" s="320">
        <f>IFERROR(__xludf.DUMMYFUNCTION("""COMPUTED_VALUE"""),356.14)</f>
        <v>356.14</v>
      </c>
      <c r="Q461" s="320">
        <f>IFERROR(__xludf.DUMMYFUNCTION("""COMPUTED_VALUE"""),303.86)</f>
        <v>303.86</v>
      </c>
      <c r="R461" s="320">
        <f>IFERROR(__xludf.DUMMYFUNCTION("""COMPUTED_VALUE"""),52.29)</f>
        <v>52.29</v>
      </c>
      <c r="S461" s="320">
        <f>IFERROR(__xludf.DUMMYFUNCTION("""COMPUTED_VALUE"""),168.55)</f>
        <v>168.55</v>
      </c>
      <c r="T461" s="320">
        <f>IFERROR(__xludf.DUMMYFUNCTION("""COMPUTED_VALUE"""),187.59)</f>
        <v>187.59</v>
      </c>
      <c r="U461" s="320">
        <f>IFERROR(__xludf.DUMMYFUNCTION("""COMPUTED_VALUE"""),367.05)</f>
        <v>367.05</v>
      </c>
      <c r="V461" s="320">
        <f>IFERROR(__xludf.DUMMYFUNCTION("""COMPUTED_VALUE"""),7.4476)</f>
        <v>7.4476</v>
      </c>
      <c r="W461" s="320">
        <f>IFERROR(__xludf.DUMMYFUNCTION("""COMPUTED_VALUE"""),47.33)</f>
        <v>47.33</v>
      </c>
      <c r="X461" s="320">
        <f>IFERROR(__xludf.DUMMYFUNCTION("""COMPUTED_VALUE"""),88.0)</f>
        <v>88</v>
      </c>
      <c r="Y461" s="320">
        <f>IFERROR(__xludf.DUMMYFUNCTION("""COMPUTED_VALUE"""),237.0)</f>
        <v>237</v>
      </c>
      <c r="Z461" s="320">
        <f>IFERROR(__xludf.DUMMYFUNCTION("""COMPUTED_VALUE"""),753.0)</f>
        <v>753</v>
      </c>
      <c r="AA461" s="320">
        <f>IFERROR(__xludf.DUMMYFUNCTION("""COMPUTED_VALUE"""),54.4308)</f>
        <v>54.4308</v>
      </c>
      <c r="AB461" s="320">
        <f>IFERROR(__xludf.DUMMYFUNCTION("""COMPUTED_VALUE"""),0.6092)</f>
        <v>0.6092</v>
      </c>
      <c r="AC461" s="320">
        <f>IFERROR(__xludf.DUMMYFUNCTION("""COMPUTED_VALUE"""),16.23)</f>
        <v>16.23</v>
      </c>
      <c r="AD461" s="320">
        <f>IFERROR(__xludf.DUMMYFUNCTION("""COMPUTED_VALUE"""),5.0)</f>
        <v>5</v>
      </c>
      <c r="AE461" s="320">
        <f>IFERROR(__xludf.DUMMYFUNCTION("""COMPUTED_VALUE"""),12.0)</f>
        <v>12</v>
      </c>
      <c r="AF461" s="320">
        <f>IFERROR(__xludf.DUMMYFUNCTION("""COMPUTED_VALUE"""),22.0)</f>
        <v>22</v>
      </c>
      <c r="AG461" s="320">
        <f>IFERROR(__xludf.DUMMYFUNCTION("""COMPUTED_VALUE"""),35.0)</f>
        <v>35</v>
      </c>
      <c r="AH461" s="320">
        <f>IFERROR(__xludf.DUMMYFUNCTION("""COMPUTED_VALUE"""),53.79)</f>
        <v>53.79</v>
      </c>
      <c r="AI461" s="320">
        <f>IFERROR(__xludf.DUMMYFUNCTION("""COMPUTED_VALUE"""),20.21)</f>
        <v>20.21</v>
      </c>
      <c r="AJ461" s="320">
        <f>IFERROR(__xludf.DUMMYFUNCTION("""COMPUTED_VALUE"""),6.3)</f>
        <v>6.3</v>
      </c>
      <c r="AK461" s="320">
        <f>IFERROR(__xludf.DUMMYFUNCTION("""COMPUTED_VALUE"""),0.1619)</f>
        <v>0.1619</v>
      </c>
      <c r="AL461" s="320">
        <f>IFERROR(__xludf.DUMMYFUNCTION("""COMPUTED_VALUE"""),19.2)</f>
        <v>19.2</v>
      </c>
      <c r="AM461" s="320">
        <f>IFERROR(__xludf.DUMMYFUNCTION("""COMPUTED_VALUE"""),284.66)</f>
        <v>284.66</v>
      </c>
      <c r="AN461" s="320">
        <f>IFERROR(__xludf.DUMMYFUNCTION("""COMPUTED_VALUE"""),72.96)</f>
        <v>72.96</v>
      </c>
      <c r="AO461" s="320">
        <f>IFERROR(__xludf.DUMMYFUNCTION("""COMPUTED_VALUE"""),14.01)</f>
        <v>14.01</v>
      </c>
    </row>
    <row r="462" ht="15.75" customHeight="1">
      <c r="A462" s="330">
        <f>IFERROR(__xludf.DUMMYFUNCTION("""COMPUTED_VALUE"""),46126.0)</f>
        <v>46126</v>
      </c>
      <c r="B462" s="319" t="str">
        <f>IFERROR(__xludf.DUMMYFUNCTION("""COMPUTED_VALUE"""),"E. 40-99")</f>
        <v>E. 40-99</v>
      </c>
      <c r="C462" s="320">
        <f>IFERROR(__xludf.DUMMYFUNCTION("""COMPUTED_VALUE"""),2777.0)</f>
        <v>2777</v>
      </c>
      <c r="D462" s="320">
        <f>IFERROR(__xludf.DUMMYFUNCTION("""COMPUTED_VALUE"""),3.69)</f>
        <v>3.69</v>
      </c>
      <c r="E462" s="320">
        <f>IFERROR(__xludf.DUMMYFUNCTION("""COMPUTED_VALUE"""),15562.18)</f>
        <v>15562.18</v>
      </c>
      <c r="F462" s="320">
        <f>IFERROR(__xludf.DUMMYFUNCTION("""COMPUTED_VALUE"""),5.604)</f>
        <v>5.604</v>
      </c>
      <c r="G462" s="320">
        <f>IFERROR(__xludf.DUMMYFUNCTION("""COMPUTED_VALUE"""),44.36)</f>
        <v>44.36</v>
      </c>
      <c r="H462" s="320">
        <f>IFERROR(__xludf.DUMMYFUNCTION("""COMPUTED_VALUE"""),12.6316)</f>
        <v>12.6316</v>
      </c>
      <c r="I462" s="320">
        <f>IFERROR(__xludf.DUMMYFUNCTION("""COMPUTED_VALUE"""),126.13)</f>
        <v>126.13</v>
      </c>
      <c r="J462" s="320">
        <f>IFERROR(__xludf.DUMMYFUNCTION("""COMPUTED_VALUE"""),78.86)</f>
        <v>78.86</v>
      </c>
      <c r="K462" s="320">
        <f>IFERROR(__xludf.DUMMYFUNCTION("""COMPUTED_VALUE"""),52.47)</f>
        <v>52.47</v>
      </c>
      <c r="L462" s="320">
        <f>IFERROR(__xludf.DUMMYFUNCTION("""COMPUTED_VALUE"""),0.6654)</f>
        <v>0.6654</v>
      </c>
      <c r="M462" s="320">
        <f>IFERROR(__xludf.DUMMYFUNCTION("""COMPUTED_VALUE"""),0.4223)</f>
        <v>0.4223</v>
      </c>
      <c r="N462" s="320">
        <f>IFERROR(__xludf.DUMMYFUNCTION("""COMPUTED_VALUE"""),0.2384)</f>
        <v>0.2384</v>
      </c>
      <c r="O462" s="320">
        <f>IFERROR(__xludf.DUMMYFUNCTION("""COMPUTED_VALUE"""),1.5028)</f>
        <v>1.5028</v>
      </c>
      <c r="P462" s="320">
        <f>IFERROR(__xludf.DUMMYFUNCTION("""COMPUTED_VALUE"""),696.87)</f>
        <v>696.87</v>
      </c>
      <c r="Q462" s="320">
        <f>IFERROR(__xludf.DUMMYFUNCTION("""COMPUTED_VALUE"""),589.76)</f>
        <v>589.76</v>
      </c>
      <c r="R462" s="320">
        <f>IFERROR(__xludf.DUMMYFUNCTION("""COMPUTED_VALUE"""),107.11)</f>
        <v>107.11</v>
      </c>
      <c r="S462" s="320">
        <f>IFERROR(__xludf.DUMMYFUNCTION("""COMPUTED_VALUE"""),353.18)</f>
        <v>353.18</v>
      </c>
      <c r="T462" s="320">
        <f>IFERROR(__xludf.DUMMYFUNCTION("""COMPUTED_VALUE"""),343.69)</f>
        <v>343.69</v>
      </c>
      <c r="U462" s="320">
        <f>IFERROR(__xludf.DUMMYFUNCTION("""COMPUTED_VALUE"""),695.64)</f>
        <v>695.64</v>
      </c>
      <c r="V462" s="320">
        <f>IFERROR(__xludf.DUMMYFUNCTION("""COMPUTED_VALUE"""),8.8213)</f>
        <v>8.8213</v>
      </c>
      <c r="W462" s="320">
        <f>IFERROR(__xludf.DUMMYFUNCTION("""COMPUTED_VALUE"""),50.68)</f>
        <v>50.68</v>
      </c>
      <c r="X462" s="320">
        <f>IFERROR(__xludf.DUMMYFUNCTION("""COMPUTED_VALUE"""),95.0)</f>
        <v>95</v>
      </c>
      <c r="Y462" s="320">
        <f>IFERROR(__xludf.DUMMYFUNCTION("""COMPUTED_VALUE"""),302.0)</f>
        <v>302</v>
      </c>
      <c r="Z462" s="320">
        <f>IFERROR(__xludf.DUMMYFUNCTION("""COMPUTED_VALUE"""),935.0)</f>
        <v>935</v>
      </c>
      <c r="AA462" s="320">
        <f>IFERROR(__xludf.DUMMYFUNCTION("""COMPUTED_VALUE"""),57.3166)</f>
        <v>57.3166</v>
      </c>
      <c r="AB462" s="320">
        <f>IFERROR(__xludf.DUMMYFUNCTION("""COMPUTED_VALUE"""),0.7395)</f>
        <v>0.7395</v>
      </c>
      <c r="AC462" s="320">
        <f>IFERROR(__xludf.DUMMYFUNCTION("""COMPUTED_VALUE"""),34.21)</f>
        <v>34.21</v>
      </c>
      <c r="AD462" s="320">
        <f>IFERROR(__xludf.DUMMYFUNCTION("""COMPUTED_VALUE"""),12.0)</f>
        <v>12</v>
      </c>
      <c r="AE462" s="320">
        <f>IFERROR(__xludf.DUMMYFUNCTION("""COMPUTED_VALUE"""),26.0)</f>
        <v>26</v>
      </c>
      <c r="AF462" s="320">
        <f>IFERROR(__xludf.DUMMYFUNCTION("""COMPUTED_VALUE"""),48.0)</f>
        <v>48</v>
      </c>
      <c r="AG462" s="320">
        <f>IFERROR(__xludf.DUMMYFUNCTION("""COMPUTED_VALUE"""),75.0)</f>
        <v>75</v>
      </c>
      <c r="AH462" s="320">
        <f>IFERROR(__xludf.DUMMYFUNCTION("""COMPUTED_VALUE"""),47.68)</f>
        <v>47.68</v>
      </c>
      <c r="AI462" s="320">
        <f>IFERROR(__xludf.DUMMYFUNCTION("""COMPUTED_VALUE"""),16.78)</f>
        <v>16.78</v>
      </c>
      <c r="AJ462" s="320">
        <f>IFERROR(__xludf.DUMMYFUNCTION("""COMPUTED_VALUE"""),3.96)</f>
        <v>3.96</v>
      </c>
      <c r="AK462" s="320">
        <f>IFERROR(__xludf.DUMMYFUNCTION("""COMPUTED_VALUE"""),0.143)</f>
        <v>0.143</v>
      </c>
      <c r="AL462" s="320">
        <f>IFERROR(__xludf.DUMMYFUNCTION("""COMPUTED_VALUE"""),19.74)</f>
        <v>19.74</v>
      </c>
      <c r="AM462" s="320">
        <f>IFERROR(__xludf.DUMMYFUNCTION("""COMPUTED_VALUE"""),570.02)</f>
        <v>570.02</v>
      </c>
      <c r="AN462" s="320">
        <f>IFERROR(__xludf.DUMMYFUNCTION("""COMPUTED_VALUE"""),77.54)</f>
        <v>77.54</v>
      </c>
      <c r="AO462" s="320">
        <f>IFERROR(__xludf.DUMMYFUNCTION("""COMPUTED_VALUE"""),15.31)</f>
        <v>15.31</v>
      </c>
    </row>
    <row r="463" ht="15.75" customHeight="1">
      <c r="A463" s="330">
        <f>IFERROR(__xludf.DUMMYFUNCTION("""COMPUTED_VALUE"""),46126.0)</f>
        <v>46126</v>
      </c>
      <c r="B463" s="319" t="str">
        <f>IFERROR(__xludf.DUMMYFUNCTION("""COMPUTED_VALUE"""),"F. 100+")</f>
        <v>F. 100+</v>
      </c>
      <c r="C463" s="320">
        <f>IFERROR(__xludf.DUMMYFUNCTION("""COMPUTED_VALUE"""),283.0)</f>
        <v>283</v>
      </c>
      <c r="D463" s="320">
        <f>IFERROR(__xludf.DUMMYFUNCTION("""COMPUTED_VALUE"""),0.38)</f>
        <v>0.38</v>
      </c>
      <c r="E463" s="320">
        <f>IFERROR(__xludf.DUMMYFUNCTION("""COMPUTED_VALUE"""),2384.71)</f>
        <v>2384.71</v>
      </c>
      <c r="F463" s="320">
        <f>IFERROR(__xludf.DUMMYFUNCTION("""COMPUTED_VALUE"""),8.4265)</f>
        <v>8.4265</v>
      </c>
      <c r="G463" s="320">
        <f>IFERROR(__xludf.DUMMYFUNCTION("""COMPUTED_VALUE"""),47.0)</f>
        <v>47</v>
      </c>
      <c r="H463" s="320">
        <f>IFERROR(__xludf.DUMMYFUNCTION("""COMPUTED_VALUE"""),17.9302)</f>
        <v>17.9302</v>
      </c>
      <c r="I463" s="320">
        <f>IFERROR(__xludf.DUMMYFUNCTION("""COMPUTED_VALUE"""),233.56)</f>
        <v>233.56</v>
      </c>
      <c r="J463" s="320">
        <f>IFERROR(__xludf.DUMMYFUNCTION("""COMPUTED_VALUE"""),157.3)</f>
        <v>157.3</v>
      </c>
      <c r="K463" s="320">
        <f>IFERROR(__xludf.DUMMYFUNCTION("""COMPUTED_VALUE"""),122.09)</f>
        <v>122.09</v>
      </c>
      <c r="L463" s="320">
        <f>IFERROR(__xludf.DUMMYFUNCTION("""COMPUTED_VALUE"""),0.7761)</f>
        <v>0.7761</v>
      </c>
      <c r="M463" s="320">
        <f>IFERROR(__xludf.DUMMYFUNCTION("""COMPUTED_VALUE"""),0.3093)</f>
        <v>0.3093</v>
      </c>
      <c r="N463" s="320">
        <f>IFERROR(__xludf.DUMMYFUNCTION("""COMPUTED_VALUE"""),0.179)</f>
        <v>0.179</v>
      </c>
      <c r="O463" s="320">
        <f>IFERROR(__xludf.DUMMYFUNCTION("""COMPUTED_VALUE"""),1.2884)</f>
        <v>1.2884</v>
      </c>
      <c r="P463" s="320">
        <f>IFERROR(__xludf.DUMMYFUNCTION("""COMPUTED_VALUE"""),1227.67)</f>
        <v>1227.67</v>
      </c>
      <c r="Q463" s="320">
        <f>IFERROR(__xludf.DUMMYFUNCTION("""COMPUTED_VALUE"""),974.19)</f>
        <v>974.19</v>
      </c>
      <c r="R463" s="320">
        <f>IFERROR(__xludf.DUMMYFUNCTION("""COMPUTED_VALUE"""),253.48)</f>
        <v>253.48</v>
      </c>
      <c r="S463" s="320">
        <f>IFERROR(__xludf.DUMMYFUNCTION("""COMPUTED_VALUE"""),519.36)</f>
        <v>519.36</v>
      </c>
      <c r="T463" s="320">
        <f>IFERROR(__xludf.DUMMYFUNCTION("""COMPUTED_VALUE"""),708.31)</f>
        <v>708.31</v>
      </c>
      <c r="U463" s="320">
        <f>IFERROR(__xludf.DUMMYFUNCTION("""COMPUTED_VALUE"""),1240.99)</f>
        <v>1240.99</v>
      </c>
      <c r="V463" s="320">
        <f>IFERROR(__xludf.DUMMYFUNCTION("""COMPUTED_VALUE"""),7.8891)</f>
        <v>7.8891</v>
      </c>
      <c r="W463" s="320">
        <f>IFERROR(__xludf.DUMMYFUNCTION("""COMPUTED_VALUE"""),42.3)</f>
        <v>42.3</v>
      </c>
      <c r="X463" s="320">
        <f>IFERROR(__xludf.DUMMYFUNCTION("""COMPUTED_VALUE"""),148.0)</f>
        <v>148</v>
      </c>
      <c r="Y463" s="320">
        <f>IFERROR(__xludf.DUMMYFUNCTION("""COMPUTED_VALUE"""),825.0)</f>
        <v>825</v>
      </c>
      <c r="Z463" s="320">
        <f>IFERROR(__xludf.DUMMYFUNCTION("""COMPUTED_VALUE"""),2114.0)</f>
        <v>2114</v>
      </c>
      <c r="AA463" s="320">
        <f>IFERROR(__xludf.DUMMYFUNCTION("""COMPUTED_VALUE"""),60.736)</f>
        <v>60.736</v>
      </c>
      <c r="AB463" s="320">
        <f>IFERROR(__xludf.DUMMYFUNCTION("""COMPUTED_VALUE"""),0.8203)</f>
        <v>0.8203</v>
      </c>
      <c r="AC463" s="320">
        <f>IFERROR(__xludf.DUMMYFUNCTION("""COMPUTED_VALUE"""),77.72)</f>
        <v>77.72</v>
      </c>
      <c r="AD463" s="320">
        <f>IFERROR(__xludf.DUMMYFUNCTION("""COMPUTED_VALUE"""),27.0)</f>
        <v>27</v>
      </c>
      <c r="AE463" s="320">
        <f>IFERROR(__xludf.DUMMYFUNCTION("""COMPUTED_VALUE"""),59.0)</f>
        <v>59</v>
      </c>
      <c r="AF463" s="320">
        <f>IFERROR(__xludf.DUMMYFUNCTION("""COMPUTED_VALUE"""),109.0)</f>
        <v>109</v>
      </c>
      <c r="AG463" s="320">
        <f>IFERROR(__xludf.DUMMYFUNCTION("""COMPUTED_VALUE"""),168.0)</f>
        <v>168</v>
      </c>
      <c r="AH463" s="320">
        <f>IFERROR(__xludf.DUMMYFUNCTION("""COMPUTED_VALUE"""),39.93)</f>
        <v>39.93</v>
      </c>
      <c r="AI463" s="320">
        <f>IFERROR(__xludf.DUMMYFUNCTION("""COMPUTED_VALUE"""),8.13)</f>
        <v>8.13</v>
      </c>
      <c r="AJ463" s="320">
        <f>IFERROR(__xludf.DUMMYFUNCTION("""COMPUTED_VALUE"""),2.47)</f>
        <v>2.47</v>
      </c>
      <c r="AK463" s="320">
        <f>IFERROR(__xludf.DUMMYFUNCTION("""COMPUTED_VALUE"""),0.106)</f>
        <v>0.106</v>
      </c>
      <c r="AL463" s="320">
        <f>IFERROR(__xludf.DUMMYFUNCTION("""COMPUTED_VALUE"""),21.31)</f>
        <v>21.31</v>
      </c>
      <c r="AM463" s="320">
        <f>IFERROR(__xludf.DUMMYFUNCTION("""COMPUTED_VALUE"""),952.89)</f>
        <v>952.89</v>
      </c>
      <c r="AN463" s="320">
        <f>IFERROR(__xludf.DUMMYFUNCTION("""COMPUTED_VALUE"""),79.71)</f>
        <v>79.71</v>
      </c>
      <c r="AO463" s="320">
        <f>IFERROR(__xludf.DUMMYFUNCTION("""COMPUTED_VALUE"""),16.99)</f>
        <v>16.99</v>
      </c>
    </row>
    <row r="464" ht="15.75" customHeight="1">
      <c r="A464" s="330">
        <f>IFERROR(__xludf.DUMMYFUNCTION("""COMPUTED_VALUE"""),46127.0)</f>
        <v>46127</v>
      </c>
      <c r="B464" s="319" t="str">
        <f>IFERROR(__xludf.DUMMYFUNCTION("""COMPUTED_VALUE"""),"A. 0")</f>
        <v>A. 0</v>
      </c>
      <c r="C464" s="320">
        <f>IFERROR(__xludf.DUMMYFUNCTION("""COMPUTED_VALUE"""),16183.0)</f>
        <v>16183</v>
      </c>
      <c r="D464" s="320">
        <f>IFERROR(__xludf.DUMMYFUNCTION("""COMPUTED_VALUE"""),21.67)</f>
        <v>21.67</v>
      </c>
      <c r="E464" s="320">
        <f>IFERROR(__xludf.DUMMYFUNCTION("""COMPUTED_VALUE"""),125.57)</f>
        <v>125.57</v>
      </c>
      <c r="F464" s="320">
        <f>IFERROR(__xludf.DUMMYFUNCTION("""COMPUTED_VALUE"""),0.0078)</f>
        <v>0.0078</v>
      </c>
      <c r="G464" s="320">
        <f>IFERROR(__xludf.DUMMYFUNCTION("""COMPUTED_VALUE"""),0.18)</f>
        <v>0.18</v>
      </c>
      <c r="H464" s="320">
        <f>IFERROR(__xludf.DUMMYFUNCTION("""COMPUTED_VALUE"""),4.33)</f>
        <v>4.33</v>
      </c>
      <c r="I464" s="320">
        <f>IFERROR(__xludf.DUMMYFUNCTION("""COMPUTED_VALUE"""),6.48)</f>
        <v>6.48</v>
      </c>
      <c r="J464" s="320">
        <f>IFERROR(__xludf.DUMMYFUNCTION("""COMPUTED_VALUE"""),2.95)</f>
        <v>2.95</v>
      </c>
      <c r="K464" s="320">
        <f>IFERROR(__xludf.DUMMYFUNCTION("""COMPUTED_VALUE"""),0.03)</f>
        <v>0.03</v>
      </c>
      <c r="L464" s="320">
        <f>IFERROR(__xludf.DUMMYFUNCTION("""COMPUTED_VALUE"""),0.0102)</f>
        <v>0.0102</v>
      </c>
      <c r="M464" s="320">
        <f>IFERROR(__xludf.DUMMYFUNCTION("""COMPUTED_VALUE"""),0.9912)</f>
        <v>0.9912</v>
      </c>
      <c r="N464" s="320">
        <f>IFERROR(__xludf.DUMMYFUNCTION("""COMPUTED_VALUE"""),0.8824)</f>
        <v>0.8824</v>
      </c>
      <c r="O464" s="320">
        <f>IFERROR(__xludf.DUMMYFUNCTION("""COMPUTED_VALUE"""),97.5735)</f>
        <v>97.5735</v>
      </c>
      <c r="P464" s="320">
        <f>IFERROR(__xludf.DUMMYFUNCTION("""COMPUTED_VALUE"""),22.89)</f>
        <v>22.89</v>
      </c>
      <c r="Q464" s="320">
        <f>IFERROR(__xludf.DUMMYFUNCTION("""COMPUTED_VALUE"""),22.82)</f>
        <v>22.82</v>
      </c>
      <c r="R464" s="320">
        <f>IFERROR(__xludf.DUMMYFUNCTION("""COMPUTED_VALUE"""),0.07)</f>
        <v>0.07</v>
      </c>
      <c r="S464" s="320">
        <f>IFERROR(__xludf.DUMMYFUNCTION("""COMPUTED_VALUE"""),0.59)</f>
        <v>0.59</v>
      </c>
      <c r="T464" s="320">
        <f>IFERROR(__xludf.DUMMYFUNCTION("""COMPUTED_VALUE"""),22.29)</f>
        <v>22.29</v>
      </c>
      <c r="U464" s="320">
        <f>IFERROR(__xludf.DUMMYFUNCTION("""COMPUTED_VALUE"""),1.86)</f>
        <v>1.86</v>
      </c>
      <c r="V464" s="320">
        <f>IFERROR(__xludf.DUMMYFUNCTION("""COMPUTED_VALUE"""),0.6306)</f>
        <v>0.6306</v>
      </c>
      <c r="W464" s="320">
        <f>IFERROR(__xludf.DUMMYFUNCTION("""COMPUTED_VALUE"""),2.59)</f>
        <v>2.59</v>
      </c>
      <c r="X464" s="320">
        <f>IFERROR(__xludf.DUMMYFUNCTION("""COMPUTED_VALUE"""),165.0)</f>
        <v>165</v>
      </c>
      <c r="Y464" s="320">
        <f>IFERROR(__xludf.DUMMYFUNCTION("""COMPUTED_VALUE"""),1195.0)</f>
        <v>1195</v>
      </c>
      <c r="Z464" s="320">
        <f>IFERROR(__xludf.DUMMYFUNCTION("""COMPUTED_VALUE"""),7591.0)</f>
        <v>7591</v>
      </c>
      <c r="AA464" s="320">
        <f>IFERROR(__xludf.DUMMYFUNCTION("""COMPUTED_VALUE"""),49.8891)</f>
        <v>49.8891</v>
      </c>
      <c r="AB464" s="320">
        <f>IFERROR(__xludf.DUMMYFUNCTION("""COMPUTED_VALUE"""),0.517)</f>
        <v>0.517</v>
      </c>
      <c r="AC464" s="106"/>
      <c r="AD464" s="106"/>
      <c r="AE464" s="106"/>
      <c r="AF464" s="106"/>
      <c r="AG464" s="106"/>
      <c r="AH464" s="320">
        <f>IFERROR(__xludf.DUMMYFUNCTION("""COMPUTED_VALUE"""),0.0)</f>
        <v>0</v>
      </c>
      <c r="AI464" s="320">
        <f>IFERROR(__xludf.DUMMYFUNCTION("""COMPUTED_VALUE"""),0.0)</f>
        <v>0</v>
      </c>
      <c r="AJ464" s="320">
        <f>IFERROR(__xludf.DUMMYFUNCTION("""COMPUTED_VALUE"""),0.0)</f>
        <v>0</v>
      </c>
      <c r="AK464" s="320">
        <f>IFERROR(__xludf.DUMMYFUNCTION("""COMPUTED_VALUE"""),0.2697)</f>
        <v>0.2697</v>
      </c>
      <c r="AL464" s="320">
        <f>IFERROR(__xludf.DUMMYFUNCTION("""COMPUTED_VALUE"""),15.68)</f>
        <v>15.68</v>
      </c>
      <c r="AM464" s="320">
        <f>IFERROR(__xludf.DUMMYFUNCTION("""COMPUTED_VALUE"""),7.14)</f>
        <v>7.14</v>
      </c>
      <c r="AN464" s="331"/>
      <c r="AO464" s="331"/>
    </row>
    <row r="465" ht="15.75" customHeight="1">
      <c r="A465" s="330">
        <f>IFERROR(__xludf.DUMMYFUNCTION("""COMPUTED_VALUE"""),46127.0)</f>
        <v>46127</v>
      </c>
      <c r="B465" s="319" t="str">
        <f>IFERROR(__xludf.DUMMYFUNCTION("""COMPUTED_VALUE"""),"B. 1-9")</f>
        <v>B. 1-9</v>
      </c>
      <c r="C465" s="320">
        <f>IFERROR(__xludf.DUMMYFUNCTION("""COMPUTED_VALUE"""),32380.0)</f>
        <v>32380</v>
      </c>
      <c r="D465" s="320">
        <f>IFERROR(__xludf.DUMMYFUNCTION("""COMPUTED_VALUE"""),43.36)</f>
        <v>43.36</v>
      </c>
      <c r="E465" s="320">
        <f>IFERROR(__xludf.DUMMYFUNCTION("""COMPUTED_VALUE"""),6942.1)</f>
        <v>6942.1</v>
      </c>
      <c r="F465" s="320">
        <f>IFERROR(__xludf.DUMMYFUNCTION("""COMPUTED_VALUE"""),0.2144)</f>
        <v>0.2144</v>
      </c>
      <c r="G465" s="320">
        <f>IFERROR(__xludf.DUMMYFUNCTION("""COMPUTED_VALUE"""),6.41)</f>
        <v>6.41</v>
      </c>
      <c r="H465" s="320">
        <f>IFERROR(__xludf.DUMMYFUNCTION("""COMPUTED_VALUE"""),3.3472)</f>
        <v>3.3472</v>
      </c>
      <c r="I465" s="320">
        <f>IFERROR(__xludf.DUMMYFUNCTION("""COMPUTED_VALUE"""),33.95)</f>
        <v>33.95</v>
      </c>
      <c r="J465" s="320">
        <f>IFERROR(__xludf.DUMMYFUNCTION("""COMPUTED_VALUE"""),18.61)</f>
        <v>18.61</v>
      </c>
      <c r="K465" s="320">
        <f>IFERROR(__xludf.DUMMYFUNCTION("""COMPUTED_VALUE"""),5.18)</f>
        <v>5.18</v>
      </c>
      <c r="L465" s="320">
        <f>IFERROR(__xludf.DUMMYFUNCTION("""COMPUTED_VALUE"""),0.2783)</f>
        <v>0.2783</v>
      </c>
      <c r="M465" s="320">
        <f>IFERROR(__xludf.DUMMYFUNCTION("""COMPUTED_VALUE"""),0.7835)</f>
        <v>0.7835</v>
      </c>
      <c r="N465" s="320">
        <f>IFERROR(__xludf.DUMMYFUNCTION("""COMPUTED_VALUE"""),0.5285)</f>
        <v>0.5285</v>
      </c>
      <c r="O465" s="320">
        <f>IFERROR(__xludf.DUMMYFUNCTION("""COMPUTED_VALUE"""),3.5927)</f>
        <v>3.5927</v>
      </c>
      <c r="P465" s="320">
        <f>IFERROR(__xludf.DUMMYFUNCTION("""COMPUTED_VALUE"""),62.16)</f>
        <v>62.16</v>
      </c>
      <c r="Q465" s="320">
        <f>IFERROR(__xludf.DUMMYFUNCTION("""COMPUTED_VALUE"""),51.53)</f>
        <v>51.53</v>
      </c>
      <c r="R465" s="320">
        <f>IFERROR(__xludf.DUMMYFUNCTION("""COMPUTED_VALUE"""),10.63)</f>
        <v>10.63</v>
      </c>
      <c r="S465" s="320">
        <f>IFERROR(__xludf.DUMMYFUNCTION("""COMPUTED_VALUE"""),15.3)</f>
        <v>15.3</v>
      </c>
      <c r="T465" s="320">
        <f>IFERROR(__xludf.DUMMYFUNCTION("""COMPUTED_VALUE"""),46.86)</f>
        <v>46.86</v>
      </c>
      <c r="U465" s="320">
        <f>IFERROR(__xludf.DUMMYFUNCTION("""COMPUTED_VALUE"""),69.51)</f>
        <v>69.51</v>
      </c>
      <c r="V465" s="320">
        <f>IFERROR(__xludf.DUMMYFUNCTION("""COMPUTED_VALUE"""),3.7356)</f>
        <v>3.7356</v>
      </c>
      <c r="W465" s="320">
        <f>IFERROR(__xludf.DUMMYFUNCTION("""COMPUTED_VALUE"""),24.61)</f>
        <v>24.61</v>
      </c>
      <c r="X465" s="320">
        <f>IFERROR(__xludf.DUMMYFUNCTION("""COMPUTED_VALUE"""),86.0)</f>
        <v>86</v>
      </c>
      <c r="Y465" s="320">
        <f>IFERROR(__xludf.DUMMYFUNCTION("""COMPUTED_VALUE"""),210.0)</f>
        <v>210</v>
      </c>
      <c r="Z465" s="320">
        <f>IFERROR(__xludf.DUMMYFUNCTION("""COMPUTED_VALUE"""),837.0)</f>
        <v>837</v>
      </c>
      <c r="AA465" s="320">
        <f>IFERROR(__xludf.DUMMYFUNCTION("""COMPUTED_VALUE"""),49.4061)</f>
        <v>49.4061</v>
      </c>
      <c r="AB465" s="320">
        <f>IFERROR(__xludf.DUMMYFUNCTION("""COMPUTED_VALUE"""),0.4435)</f>
        <v>0.4435</v>
      </c>
      <c r="AC465" s="320">
        <f>IFERROR(__xludf.DUMMYFUNCTION("""COMPUTED_VALUE"""),3.44)</f>
        <v>3.44</v>
      </c>
      <c r="AD465" s="320">
        <f>IFERROR(__xludf.DUMMYFUNCTION("""COMPUTED_VALUE"""),1.0)</f>
        <v>1</v>
      </c>
      <c r="AE465" s="320">
        <f>IFERROR(__xludf.DUMMYFUNCTION("""COMPUTED_VALUE"""),2.0)</f>
        <v>2</v>
      </c>
      <c r="AF465" s="320">
        <f>IFERROR(__xludf.DUMMYFUNCTION("""COMPUTED_VALUE"""),4.0)</f>
        <v>4</v>
      </c>
      <c r="AG465" s="320">
        <f>IFERROR(__xludf.DUMMYFUNCTION("""COMPUTED_VALUE"""),8.0)</f>
        <v>8</v>
      </c>
      <c r="AH465" s="320">
        <f>IFERROR(__xludf.DUMMYFUNCTION("""COMPUTED_VALUE"""),65.79)</f>
        <v>65.79</v>
      </c>
      <c r="AI465" s="320">
        <f>IFERROR(__xludf.DUMMYFUNCTION("""COMPUTED_VALUE"""),23.87)</f>
        <v>23.87</v>
      </c>
      <c r="AJ465" s="320">
        <f>IFERROR(__xludf.DUMMYFUNCTION("""COMPUTED_VALUE"""),6.29)</f>
        <v>6.29</v>
      </c>
      <c r="AK465" s="320">
        <f>IFERROR(__xludf.DUMMYFUNCTION("""COMPUTED_VALUE"""),0.219)</f>
        <v>0.219</v>
      </c>
      <c r="AL465" s="320">
        <f>IFERROR(__xludf.DUMMYFUNCTION("""COMPUTED_VALUE"""),19.13)</f>
        <v>19.13</v>
      </c>
      <c r="AM465" s="320">
        <f>IFERROR(__xludf.DUMMYFUNCTION("""COMPUTED_VALUE"""),32.4)</f>
        <v>32.4</v>
      </c>
      <c r="AN465" s="320">
        <f>IFERROR(__xludf.DUMMYFUNCTION("""COMPUTED_VALUE"""),67.87)</f>
        <v>67.87</v>
      </c>
      <c r="AO465" s="320">
        <f>IFERROR(__xludf.DUMMYFUNCTION("""COMPUTED_VALUE"""),12.98)</f>
        <v>12.98</v>
      </c>
    </row>
    <row r="466" ht="15.75" customHeight="1">
      <c r="A466" s="330">
        <f>IFERROR(__xludf.DUMMYFUNCTION("""COMPUTED_VALUE"""),46127.0)</f>
        <v>46127</v>
      </c>
      <c r="B466" s="319" t="str">
        <f>IFERROR(__xludf.DUMMYFUNCTION("""COMPUTED_VALUE"""),"C. 10-19")</f>
        <v>C. 10-19</v>
      </c>
      <c r="C466" s="320">
        <f>IFERROR(__xludf.DUMMYFUNCTION("""COMPUTED_VALUE"""),15594.0)</f>
        <v>15594</v>
      </c>
      <c r="D466" s="320">
        <f>IFERROR(__xludf.DUMMYFUNCTION("""COMPUTED_VALUE"""),20.88)</f>
        <v>20.88</v>
      </c>
      <c r="E466" s="320">
        <f>IFERROR(__xludf.DUMMYFUNCTION("""COMPUTED_VALUE"""),17081.0)</f>
        <v>17081</v>
      </c>
      <c r="F466" s="320">
        <f>IFERROR(__xludf.DUMMYFUNCTION("""COMPUTED_VALUE"""),1.0954)</f>
        <v>1.0954</v>
      </c>
      <c r="G466" s="320">
        <f>IFERROR(__xludf.DUMMYFUNCTION("""COMPUTED_VALUE"""),21.82)</f>
        <v>21.82</v>
      </c>
      <c r="H466" s="320">
        <f>IFERROR(__xludf.DUMMYFUNCTION("""COMPUTED_VALUE"""),5.0194)</f>
        <v>5.0194</v>
      </c>
      <c r="I466" s="320">
        <f>IFERROR(__xludf.DUMMYFUNCTION("""COMPUTED_VALUE"""),65.16)</f>
        <v>65.16</v>
      </c>
      <c r="J466" s="320">
        <f>IFERROR(__xludf.DUMMYFUNCTION("""COMPUTED_VALUE"""),37.87)</f>
        <v>37.87</v>
      </c>
      <c r="K466" s="320">
        <f>IFERROR(__xludf.DUMMYFUNCTION("""COMPUTED_VALUE"""),14.37)</f>
        <v>14.37</v>
      </c>
      <c r="L466" s="320">
        <f>IFERROR(__xludf.DUMMYFUNCTION("""COMPUTED_VALUE"""),0.3796)</f>
        <v>0.3796</v>
      </c>
      <c r="M466" s="320">
        <f>IFERROR(__xludf.DUMMYFUNCTION("""COMPUTED_VALUE"""),0.6767)</f>
        <v>0.6767</v>
      </c>
      <c r="N466" s="320">
        <f>IFERROR(__xludf.DUMMYFUNCTION("""COMPUTED_VALUE"""),0.3784)</f>
        <v>0.3784</v>
      </c>
      <c r="O466" s="320">
        <f>IFERROR(__xludf.DUMMYFUNCTION("""COMPUTED_VALUE"""),2.6346)</f>
        <v>2.6346</v>
      </c>
      <c r="P466" s="320">
        <f>IFERROR(__xludf.DUMMYFUNCTION("""COMPUTED_VALUE"""),159.04)</f>
        <v>159.04</v>
      </c>
      <c r="Q466" s="320">
        <f>IFERROR(__xludf.DUMMYFUNCTION("""COMPUTED_VALUE"""),130.77)</f>
        <v>130.77</v>
      </c>
      <c r="R466" s="320">
        <f>IFERROR(__xludf.DUMMYFUNCTION("""COMPUTED_VALUE"""),28.27)</f>
        <v>28.27</v>
      </c>
      <c r="S466" s="320">
        <f>IFERROR(__xludf.DUMMYFUNCTION("""COMPUTED_VALUE"""),73.56)</f>
        <v>73.56</v>
      </c>
      <c r="T466" s="320">
        <f>IFERROR(__xludf.DUMMYFUNCTION("""COMPUTED_VALUE"""),85.49)</f>
        <v>85.49</v>
      </c>
      <c r="U466" s="320">
        <f>IFERROR(__xludf.DUMMYFUNCTION("""COMPUTED_VALUE"""),176.12)</f>
        <v>176.12</v>
      </c>
      <c r="V466" s="320">
        <f>IFERROR(__xludf.DUMMYFUNCTION("""COMPUTED_VALUE"""),4.6505)</f>
        <v>4.6505</v>
      </c>
      <c r="W466" s="320">
        <f>IFERROR(__xludf.DUMMYFUNCTION("""COMPUTED_VALUE"""),46.25)</f>
        <v>46.25</v>
      </c>
      <c r="X466" s="320">
        <f>IFERROR(__xludf.DUMMYFUNCTION("""COMPUTED_VALUE"""),80.0)</f>
        <v>80</v>
      </c>
      <c r="Y466" s="320">
        <f>IFERROR(__xludf.DUMMYFUNCTION("""COMPUTED_VALUE"""),171.0)</f>
        <v>171</v>
      </c>
      <c r="Z466" s="320">
        <f>IFERROR(__xludf.DUMMYFUNCTION("""COMPUTED_VALUE"""),574.0)</f>
        <v>574</v>
      </c>
      <c r="AA466" s="320">
        <f>IFERROR(__xludf.DUMMYFUNCTION("""COMPUTED_VALUE"""),52.2302)</f>
        <v>52.2302</v>
      </c>
      <c r="AB466" s="320">
        <f>IFERROR(__xludf.DUMMYFUNCTION("""COMPUTED_VALUE"""),0.5201)</f>
        <v>0.5201</v>
      </c>
      <c r="AC466" s="320">
        <f>IFERROR(__xludf.DUMMYFUNCTION("""COMPUTED_VALUE"""),8.48)</f>
        <v>8.48</v>
      </c>
      <c r="AD466" s="320">
        <f>IFERROR(__xludf.DUMMYFUNCTION("""COMPUTED_VALUE"""),3.0)</f>
        <v>3</v>
      </c>
      <c r="AE466" s="320">
        <f>IFERROR(__xludf.DUMMYFUNCTION("""COMPUTED_VALUE"""),6.0)</f>
        <v>6</v>
      </c>
      <c r="AF466" s="320">
        <f>IFERROR(__xludf.DUMMYFUNCTION("""COMPUTED_VALUE"""),12.0)</f>
        <v>12</v>
      </c>
      <c r="AG466" s="320">
        <f>IFERROR(__xludf.DUMMYFUNCTION("""COMPUTED_VALUE"""),19.0)</f>
        <v>19</v>
      </c>
      <c r="AH466" s="320">
        <f>IFERROR(__xludf.DUMMYFUNCTION("""COMPUTED_VALUE"""),51.68)</f>
        <v>51.68</v>
      </c>
      <c r="AI466" s="320">
        <f>IFERROR(__xludf.DUMMYFUNCTION("""COMPUTED_VALUE"""),23.0)</f>
        <v>23</v>
      </c>
      <c r="AJ466" s="320">
        <f>IFERROR(__xludf.DUMMYFUNCTION("""COMPUTED_VALUE"""),4.65)</f>
        <v>4.65</v>
      </c>
      <c r="AK466" s="320">
        <f>IFERROR(__xludf.DUMMYFUNCTION("""COMPUTED_VALUE"""),0.1835)</f>
        <v>0.1835</v>
      </c>
      <c r="AL466" s="320">
        <f>IFERROR(__xludf.DUMMYFUNCTION("""COMPUTED_VALUE"""),19.87)</f>
        <v>19.87</v>
      </c>
      <c r="AM466" s="320">
        <f>IFERROR(__xludf.DUMMYFUNCTION("""COMPUTED_VALUE"""),110.9)</f>
        <v>110.9</v>
      </c>
      <c r="AN466" s="320">
        <f>IFERROR(__xludf.DUMMYFUNCTION("""COMPUTED_VALUE"""),72.29)</f>
        <v>72.29</v>
      </c>
      <c r="AO466" s="320">
        <f>IFERROR(__xludf.DUMMYFUNCTION("""COMPUTED_VALUE"""),14.36)</f>
        <v>14.36</v>
      </c>
    </row>
    <row r="467" ht="15.75" customHeight="1">
      <c r="A467" s="330">
        <f>IFERROR(__xludf.DUMMYFUNCTION("""COMPUTED_VALUE"""),46127.0)</f>
        <v>46127</v>
      </c>
      <c r="B467" s="319" t="str">
        <f>IFERROR(__xludf.DUMMYFUNCTION("""COMPUTED_VALUE"""),"D. 20-39")</f>
        <v>D. 20-39</v>
      </c>
      <c r="C467" s="320">
        <f>IFERROR(__xludf.DUMMYFUNCTION("""COMPUTED_VALUE"""),7526.0)</f>
        <v>7526</v>
      </c>
      <c r="D467" s="320">
        <f>IFERROR(__xludf.DUMMYFUNCTION("""COMPUTED_VALUE"""),10.08)</f>
        <v>10.08</v>
      </c>
      <c r="E467" s="320">
        <f>IFERROR(__xludf.DUMMYFUNCTION("""COMPUTED_VALUE"""),19289.26)</f>
        <v>19289.26</v>
      </c>
      <c r="F467" s="320">
        <f>IFERROR(__xludf.DUMMYFUNCTION("""COMPUTED_VALUE"""),2.563)</f>
        <v>2.563</v>
      </c>
      <c r="G467" s="320">
        <f>IFERROR(__xludf.DUMMYFUNCTION("""COMPUTED_VALUE"""),33.64)</f>
        <v>33.64</v>
      </c>
      <c r="H467" s="320">
        <f>IFERROR(__xludf.DUMMYFUNCTION("""COMPUTED_VALUE"""),7.6182)</f>
        <v>7.6182</v>
      </c>
      <c r="I467" s="320">
        <f>IFERROR(__xludf.DUMMYFUNCTION("""COMPUTED_VALUE"""),89.01)</f>
        <v>89.01</v>
      </c>
      <c r="J467" s="320">
        <f>IFERROR(__xludf.DUMMYFUNCTION("""COMPUTED_VALUE"""),54.15)</f>
        <v>54.15</v>
      </c>
      <c r="K467" s="320">
        <f>IFERROR(__xludf.DUMMYFUNCTION("""COMPUTED_VALUE"""),26.33)</f>
        <v>26.33</v>
      </c>
      <c r="L467" s="320">
        <f>IFERROR(__xludf.DUMMYFUNCTION("""COMPUTED_VALUE"""),0.4862)</f>
        <v>0.4862</v>
      </c>
      <c r="M467" s="320">
        <f>IFERROR(__xludf.DUMMYFUNCTION("""COMPUTED_VALUE"""),0.5782)</f>
        <v>0.5782</v>
      </c>
      <c r="N467" s="320">
        <f>IFERROR(__xludf.DUMMYFUNCTION("""COMPUTED_VALUE"""),0.312)</f>
        <v>0.312</v>
      </c>
      <c r="O467" s="320">
        <f>IFERROR(__xludf.DUMMYFUNCTION("""COMPUTED_VALUE"""),2.0569)</f>
        <v>2.0569</v>
      </c>
      <c r="P467" s="320">
        <f>IFERROR(__xludf.DUMMYFUNCTION("""COMPUTED_VALUE"""),300.01)</f>
        <v>300.01</v>
      </c>
      <c r="Q467" s="320">
        <f>IFERROR(__xludf.DUMMYFUNCTION("""COMPUTED_VALUE"""),246.11)</f>
        <v>246.11</v>
      </c>
      <c r="R467" s="320">
        <f>IFERROR(__xludf.DUMMYFUNCTION("""COMPUTED_VALUE"""),53.9)</f>
        <v>53.9</v>
      </c>
      <c r="S467" s="320">
        <f>IFERROR(__xludf.DUMMYFUNCTION("""COMPUTED_VALUE"""),164.17)</f>
        <v>164.17</v>
      </c>
      <c r="T467" s="320">
        <f>IFERROR(__xludf.DUMMYFUNCTION("""COMPUTED_VALUE"""),135.84)</f>
        <v>135.84</v>
      </c>
      <c r="U467" s="320">
        <f>IFERROR(__xludf.DUMMYFUNCTION("""COMPUTED_VALUE"""),327.15)</f>
        <v>327.15</v>
      </c>
      <c r="V467" s="320">
        <f>IFERROR(__xludf.DUMMYFUNCTION("""COMPUTED_VALUE"""),6.0417)</f>
        <v>6.0417</v>
      </c>
      <c r="W467" s="320">
        <f>IFERROR(__xludf.DUMMYFUNCTION("""COMPUTED_VALUE"""),54.72)</f>
        <v>54.72</v>
      </c>
      <c r="X467" s="320">
        <f>IFERROR(__xludf.DUMMYFUNCTION("""COMPUTED_VALUE"""),83.0)</f>
        <v>83</v>
      </c>
      <c r="Y467" s="320">
        <f>IFERROR(__xludf.DUMMYFUNCTION("""COMPUTED_VALUE"""),188.0)</f>
        <v>188</v>
      </c>
      <c r="Z467" s="320">
        <f>IFERROR(__xludf.DUMMYFUNCTION("""COMPUTED_VALUE"""),636.0)</f>
        <v>636</v>
      </c>
      <c r="AA467" s="320">
        <f>IFERROR(__xludf.DUMMYFUNCTION("""COMPUTED_VALUE"""),54.4482)</f>
        <v>54.4482</v>
      </c>
      <c r="AB467" s="320">
        <f>IFERROR(__xludf.DUMMYFUNCTION("""COMPUTED_VALUE"""),0.6374)</f>
        <v>0.6374</v>
      </c>
      <c r="AC467" s="320">
        <f>IFERROR(__xludf.DUMMYFUNCTION("""COMPUTED_VALUE"""),16.09)</f>
        <v>16.09</v>
      </c>
      <c r="AD467" s="320">
        <f>IFERROR(__xludf.DUMMYFUNCTION("""COMPUTED_VALUE"""),5.0)</f>
        <v>5</v>
      </c>
      <c r="AE467" s="320">
        <f>IFERROR(__xludf.DUMMYFUNCTION("""COMPUTED_VALUE"""),11.0)</f>
        <v>11</v>
      </c>
      <c r="AF467" s="320">
        <f>IFERROR(__xludf.DUMMYFUNCTION("""COMPUTED_VALUE"""),22.0)</f>
        <v>22</v>
      </c>
      <c r="AG467" s="320">
        <f>IFERROR(__xludf.DUMMYFUNCTION("""COMPUTED_VALUE"""),35.0)</f>
        <v>35</v>
      </c>
      <c r="AH467" s="320">
        <f>IFERROR(__xludf.DUMMYFUNCTION("""COMPUTED_VALUE"""),52.33)</f>
        <v>52.33</v>
      </c>
      <c r="AI467" s="320">
        <f>IFERROR(__xludf.DUMMYFUNCTION("""COMPUTED_VALUE"""),20.77)</f>
        <v>20.77</v>
      </c>
      <c r="AJ467" s="320">
        <f>IFERROR(__xludf.DUMMYFUNCTION("""COMPUTED_VALUE"""),6.22)</f>
        <v>6.22</v>
      </c>
      <c r="AK467" s="320">
        <f>IFERROR(__xludf.DUMMYFUNCTION("""COMPUTED_VALUE"""),0.1766)</f>
        <v>0.1766</v>
      </c>
      <c r="AL467" s="320">
        <f>IFERROR(__xludf.DUMMYFUNCTION("""COMPUTED_VALUE"""),19.6)</f>
        <v>19.6</v>
      </c>
      <c r="AM467" s="320">
        <f>IFERROR(__xludf.DUMMYFUNCTION("""COMPUTED_VALUE"""),226.51)</f>
        <v>226.51</v>
      </c>
      <c r="AN467" s="320">
        <f>IFERROR(__xludf.DUMMYFUNCTION("""COMPUTED_VALUE"""),76.08)</f>
        <v>76.08</v>
      </c>
      <c r="AO467" s="320">
        <f>IFERROR(__xludf.DUMMYFUNCTION("""COMPUTED_VALUE"""),14.91)</f>
        <v>14.91</v>
      </c>
    </row>
    <row r="468" ht="15.75" customHeight="1">
      <c r="A468" s="330">
        <f>IFERROR(__xludf.DUMMYFUNCTION("""COMPUTED_VALUE"""),46127.0)</f>
        <v>46127</v>
      </c>
      <c r="B468" s="319" t="str">
        <f>IFERROR(__xludf.DUMMYFUNCTION("""COMPUTED_VALUE"""),"E. 40-99")</f>
        <v>E. 40-99</v>
      </c>
      <c r="C468" s="320">
        <f>IFERROR(__xludf.DUMMYFUNCTION("""COMPUTED_VALUE"""),2710.0)</f>
        <v>2710</v>
      </c>
      <c r="D468" s="320">
        <f>IFERROR(__xludf.DUMMYFUNCTION("""COMPUTED_VALUE"""),3.63)</f>
        <v>3.63</v>
      </c>
      <c r="E468" s="320">
        <f>IFERROR(__xludf.DUMMYFUNCTION("""COMPUTED_VALUE"""),16247.83)</f>
        <v>16247.83</v>
      </c>
      <c r="F468" s="320">
        <f>IFERROR(__xludf.DUMMYFUNCTION("""COMPUTED_VALUE"""),5.9955)</f>
        <v>5.9955</v>
      </c>
      <c r="G468" s="320">
        <f>IFERROR(__xludf.DUMMYFUNCTION("""COMPUTED_VALUE"""),45.02)</f>
        <v>45.02</v>
      </c>
      <c r="H468" s="320">
        <f>IFERROR(__xludf.DUMMYFUNCTION("""COMPUTED_VALUE"""),13.3179)</f>
        <v>13.3179</v>
      </c>
      <c r="I468" s="320">
        <f>IFERROR(__xludf.DUMMYFUNCTION("""COMPUTED_VALUE"""),133.73)</f>
        <v>133.73</v>
      </c>
      <c r="J468" s="320">
        <f>IFERROR(__xludf.DUMMYFUNCTION("""COMPUTED_VALUE"""),84.45)</f>
        <v>84.45</v>
      </c>
      <c r="K468" s="320">
        <f>IFERROR(__xludf.DUMMYFUNCTION("""COMPUTED_VALUE"""),52.81)</f>
        <v>52.81</v>
      </c>
      <c r="L468" s="320">
        <f>IFERROR(__xludf.DUMMYFUNCTION("""COMPUTED_VALUE"""),0.6253)</f>
        <v>0.6253</v>
      </c>
      <c r="M468" s="320">
        <f>IFERROR(__xludf.DUMMYFUNCTION("""COMPUTED_VALUE"""),0.4532)</f>
        <v>0.4532</v>
      </c>
      <c r="N468" s="320">
        <f>IFERROR(__xludf.DUMMYFUNCTION("""COMPUTED_VALUE"""),0.2451)</f>
        <v>0.2451</v>
      </c>
      <c r="O468" s="320">
        <f>IFERROR(__xludf.DUMMYFUNCTION("""COMPUTED_VALUE"""),1.5992)</f>
        <v>1.5992</v>
      </c>
      <c r="P468" s="320">
        <f>IFERROR(__xludf.DUMMYFUNCTION("""COMPUTED_VALUE"""),614.4)</f>
        <v>614.4</v>
      </c>
      <c r="Q468" s="320">
        <f>IFERROR(__xludf.DUMMYFUNCTION("""COMPUTED_VALUE"""),505.22)</f>
        <v>505.22</v>
      </c>
      <c r="R468" s="320">
        <f>IFERROR(__xludf.DUMMYFUNCTION("""COMPUTED_VALUE"""),109.18)</f>
        <v>109.18</v>
      </c>
      <c r="S468" s="320">
        <f>IFERROR(__xludf.DUMMYFUNCTION("""COMPUTED_VALUE"""),371.57)</f>
        <v>371.57</v>
      </c>
      <c r="T468" s="320">
        <f>IFERROR(__xludf.DUMMYFUNCTION("""COMPUTED_VALUE"""),242.83)</f>
        <v>242.83</v>
      </c>
      <c r="U468" s="320">
        <f>IFERROR(__xludf.DUMMYFUNCTION("""COMPUTED_VALUE"""),651.53)</f>
        <v>651.53</v>
      </c>
      <c r="V468" s="320">
        <f>IFERROR(__xludf.DUMMYFUNCTION("""COMPUTED_VALUE"""),7.7149)</f>
        <v>7.7149</v>
      </c>
      <c r="W468" s="320">
        <f>IFERROR(__xludf.DUMMYFUNCTION("""COMPUTED_VALUE"""),60.48)</f>
        <v>60.48</v>
      </c>
      <c r="X468" s="320">
        <f>IFERROR(__xludf.DUMMYFUNCTION("""COMPUTED_VALUE"""),90.0)</f>
        <v>90</v>
      </c>
      <c r="Y468" s="320">
        <f>IFERROR(__xludf.DUMMYFUNCTION("""COMPUTED_VALUE"""),268.0)</f>
        <v>268</v>
      </c>
      <c r="Z468" s="320">
        <f>IFERROR(__xludf.DUMMYFUNCTION("""COMPUTED_VALUE"""),934.0)</f>
        <v>934</v>
      </c>
      <c r="AA468" s="320">
        <f>IFERROR(__xludf.DUMMYFUNCTION("""COMPUTED_VALUE"""),57.4842)</f>
        <v>57.4842</v>
      </c>
      <c r="AB468" s="320">
        <f>IFERROR(__xludf.DUMMYFUNCTION("""COMPUTED_VALUE"""),0.7426)</f>
        <v>0.7426</v>
      </c>
      <c r="AC468" s="320">
        <f>IFERROR(__xludf.DUMMYFUNCTION("""COMPUTED_VALUE"""),33.92)</f>
        <v>33.92</v>
      </c>
      <c r="AD468" s="320">
        <f>IFERROR(__xludf.DUMMYFUNCTION("""COMPUTED_VALUE"""),11.0)</f>
        <v>11</v>
      </c>
      <c r="AE468" s="320">
        <f>IFERROR(__xludf.DUMMYFUNCTION("""COMPUTED_VALUE"""),24.0)</f>
        <v>24</v>
      </c>
      <c r="AF468" s="320">
        <f>IFERROR(__xludf.DUMMYFUNCTION("""COMPUTED_VALUE"""),47.0)</f>
        <v>47</v>
      </c>
      <c r="AG468" s="320">
        <f>IFERROR(__xludf.DUMMYFUNCTION("""COMPUTED_VALUE"""),76.0)</f>
        <v>76</v>
      </c>
      <c r="AH468" s="320">
        <f>IFERROR(__xludf.DUMMYFUNCTION("""COMPUTED_VALUE"""),45.9)</f>
        <v>45.9</v>
      </c>
      <c r="AI468" s="320">
        <f>IFERROR(__xludf.DUMMYFUNCTION("""COMPUTED_VALUE"""),17.45)</f>
        <v>17.45</v>
      </c>
      <c r="AJ468" s="320">
        <f>IFERROR(__xludf.DUMMYFUNCTION("""COMPUTED_VALUE"""),4.21)</f>
        <v>4.21</v>
      </c>
      <c r="AK468" s="320">
        <f>IFERROR(__xludf.DUMMYFUNCTION("""COMPUTED_VALUE"""),0.1513)</f>
        <v>0.1513</v>
      </c>
      <c r="AL468" s="320">
        <f>IFERROR(__xludf.DUMMYFUNCTION("""COMPUTED_VALUE"""),19.53)</f>
        <v>19.53</v>
      </c>
      <c r="AM468" s="320">
        <f>IFERROR(__xludf.DUMMYFUNCTION("""COMPUTED_VALUE"""),485.7)</f>
        <v>485.7</v>
      </c>
      <c r="AN468" s="320">
        <f>IFERROR(__xludf.DUMMYFUNCTION("""COMPUTED_VALUE"""),78.64)</f>
        <v>78.64</v>
      </c>
      <c r="AO468" s="320">
        <f>IFERROR(__xludf.DUMMYFUNCTION("""COMPUTED_VALUE"""),15.36)</f>
        <v>15.36</v>
      </c>
    </row>
    <row r="469" ht="15.75" customHeight="1">
      <c r="A469" s="330">
        <f>IFERROR(__xludf.DUMMYFUNCTION("""COMPUTED_VALUE"""),46127.0)</f>
        <v>46127</v>
      </c>
      <c r="B469" s="319" t="str">
        <f>IFERROR(__xludf.DUMMYFUNCTION("""COMPUTED_VALUE"""),"F. 100+")</f>
        <v>F. 100+</v>
      </c>
      <c r="C469" s="320">
        <f>IFERROR(__xludf.DUMMYFUNCTION("""COMPUTED_VALUE"""),285.0)</f>
        <v>285</v>
      </c>
      <c r="D469" s="320">
        <f>IFERROR(__xludf.DUMMYFUNCTION("""COMPUTED_VALUE"""),0.38)</f>
        <v>0.38</v>
      </c>
      <c r="E469" s="320">
        <f>IFERROR(__xludf.DUMMYFUNCTION("""COMPUTED_VALUE"""),3644.41)</f>
        <v>3644.41</v>
      </c>
      <c r="F469" s="320">
        <f>IFERROR(__xludf.DUMMYFUNCTION("""COMPUTED_VALUE"""),12.7874)</f>
        <v>12.7874</v>
      </c>
      <c r="G469" s="320">
        <f>IFERROR(__xludf.DUMMYFUNCTION("""COMPUTED_VALUE"""),54.74)</f>
        <v>54.74</v>
      </c>
      <c r="H469" s="320">
        <f>IFERROR(__xludf.DUMMYFUNCTION("""COMPUTED_VALUE"""),23.3616)</f>
        <v>23.3616</v>
      </c>
      <c r="I469" s="320">
        <f>IFERROR(__xludf.DUMMYFUNCTION("""COMPUTED_VALUE"""),247.53)</f>
        <v>247.53</v>
      </c>
      <c r="J469" s="320">
        <f>IFERROR(__xludf.DUMMYFUNCTION("""COMPUTED_VALUE"""),160.41)</f>
        <v>160.41</v>
      </c>
      <c r="K469" s="320">
        <f>IFERROR(__xludf.DUMMYFUNCTION("""COMPUTED_VALUE"""),122.77)</f>
        <v>122.77</v>
      </c>
      <c r="L469" s="320">
        <f>IFERROR(__xludf.DUMMYFUNCTION("""COMPUTED_VALUE"""),0.7654)</f>
        <v>0.7654</v>
      </c>
      <c r="M469" s="320">
        <f>IFERROR(__xludf.DUMMYFUNCTION("""COMPUTED_VALUE"""),0.3289)</f>
        <v>0.3289</v>
      </c>
      <c r="N469" s="320">
        <f>IFERROR(__xludf.DUMMYFUNCTION("""COMPUTED_VALUE"""),0.1938)</f>
        <v>0.1938</v>
      </c>
      <c r="O469" s="320">
        <f>IFERROR(__xludf.DUMMYFUNCTION("""COMPUTED_VALUE"""),1.3066)</f>
        <v>1.3066</v>
      </c>
      <c r="P469" s="320">
        <f>IFERROR(__xludf.DUMMYFUNCTION("""COMPUTED_VALUE"""),1322.77)</f>
        <v>1322.77</v>
      </c>
      <c r="Q469" s="320">
        <f>IFERROR(__xludf.DUMMYFUNCTION("""COMPUTED_VALUE"""),1064.7)</f>
        <v>1064.7</v>
      </c>
      <c r="R469" s="320">
        <f>IFERROR(__xludf.DUMMYFUNCTION("""COMPUTED_VALUE"""),258.07)</f>
        <v>258.07</v>
      </c>
      <c r="S469" s="320">
        <f>IFERROR(__xludf.DUMMYFUNCTION("""COMPUTED_VALUE"""),804.54)</f>
        <v>804.54</v>
      </c>
      <c r="T469" s="320">
        <f>IFERROR(__xludf.DUMMYFUNCTION("""COMPUTED_VALUE"""),518.22)</f>
        <v>518.22</v>
      </c>
      <c r="U469" s="320">
        <f>IFERROR(__xludf.DUMMYFUNCTION("""COMPUTED_VALUE"""),1436.32)</f>
        <v>1436.32</v>
      </c>
      <c r="V469" s="320">
        <f>IFERROR(__xludf.DUMMYFUNCTION("""COMPUTED_VALUE"""),8.9542)</f>
        <v>8.9542</v>
      </c>
      <c r="W469" s="320">
        <f>IFERROR(__xludf.DUMMYFUNCTION("""COMPUTED_VALUE"""),60.82)</f>
        <v>60.82</v>
      </c>
      <c r="X469" s="320">
        <f>IFERROR(__xludf.DUMMYFUNCTION("""COMPUTED_VALUE"""),160.0)</f>
        <v>160</v>
      </c>
      <c r="Y469" s="320">
        <f>IFERROR(__xludf.DUMMYFUNCTION("""COMPUTED_VALUE"""),708.0)</f>
        <v>708</v>
      </c>
      <c r="Z469" s="320">
        <f>IFERROR(__xludf.DUMMYFUNCTION("""COMPUTED_VALUE"""),2393.0)</f>
        <v>2393</v>
      </c>
      <c r="AA469" s="320">
        <f>IFERROR(__xludf.DUMMYFUNCTION("""COMPUTED_VALUE"""),61.535)</f>
        <v>61.535</v>
      </c>
      <c r="AB469" s="320">
        <f>IFERROR(__xludf.DUMMYFUNCTION("""COMPUTED_VALUE"""),0.8344)</f>
        <v>0.8344</v>
      </c>
      <c r="AC469" s="320">
        <f>IFERROR(__xludf.DUMMYFUNCTION("""COMPUTED_VALUE"""),82.1)</f>
        <v>82.1</v>
      </c>
      <c r="AD469" s="320">
        <f>IFERROR(__xludf.DUMMYFUNCTION("""COMPUTED_VALUE"""),26.0)</f>
        <v>26</v>
      </c>
      <c r="AE469" s="320">
        <f>IFERROR(__xludf.DUMMYFUNCTION("""COMPUTED_VALUE"""),60.0)</f>
        <v>60</v>
      </c>
      <c r="AF469" s="320">
        <f>IFERROR(__xludf.DUMMYFUNCTION("""COMPUTED_VALUE"""),117.0)</f>
        <v>117</v>
      </c>
      <c r="AG469" s="320">
        <f>IFERROR(__xludf.DUMMYFUNCTION("""COMPUTED_VALUE"""),172.0)</f>
        <v>172</v>
      </c>
      <c r="AH469" s="320">
        <f>IFERROR(__xludf.DUMMYFUNCTION("""COMPUTED_VALUE"""),40.0)</f>
        <v>40</v>
      </c>
      <c r="AI469" s="320">
        <f>IFERROR(__xludf.DUMMYFUNCTION("""COMPUTED_VALUE"""),9.47)</f>
        <v>9.47</v>
      </c>
      <c r="AJ469" s="320">
        <f>IFERROR(__xludf.DUMMYFUNCTION("""COMPUTED_VALUE"""),1.75)</f>
        <v>1.75</v>
      </c>
      <c r="AK469" s="320">
        <f>IFERROR(__xludf.DUMMYFUNCTION("""COMPUTED_VALUE"""),0.0982)</f>
        <v>0.0982</v>
      </c>
      <c r="AL469" s="320">
        <f>IFERROR(__xludf.DUMMYFUNCTION("""COMPUTED_VALUE"""),19.51)</f>
        <v>19.51</v>
      </c>
      <c r="AM469" s="320">
        <f>IFERROR(__xludf.DUMMYFUNCTION("""COMPUTED_VALUE"""),1045.19)</f>
        <v>1045.19</v>
      </c>
      <c r="AN469" s="320">
        <f>IFERROR(__xludf.DUMMYFUNCTION("""COMPUTED_VALUE"""),79.45)</f>
        <v>79.45</v>
      </c>
      <c r="AO469" s="320">
        <f>IFERROR(__xludf.DUMMYFUNCTION("""COMPUTED_VALUE"""),15.5)</f>
        <v>15.5</v>
      </c>
    </row>
    <row r="470" ht="15.75" customHeight="1">
      <c r="A470" s="330">
        <f>IFERROR(__xludf.DUMMYFUNCTION("""COMPUTED_VALUE"""),46128.0)</f>
        <v>46128</v>
      </c>
      <c r="B470" s="319" t="str">
        <f>IFERROR(__xludf.DUMMYFUNCTION("""COMPUTED_VALUE"""),"A. 0")</f>
        <v>A. 0</v>
      </c>
      <c r="C470" s="320">
        <f>IFERROR(__xludf.DUMMYFUNCTION("""COMPUTED_VALUE"""),16305.0)</f>
        <v>16305</v>
      </c>
      <c r="D470" s="320">
        <f>IFERROR(__xludf.DUMMYFUNCTION("""COMPUTED_VALUE"""),22.29)</f>
        <v>22.29</v>
      </c>
      <c r="E470" s="320">
        <f>IFERROR(__xludf.DUMMYFUNCTION("""COMPUTED_VALUE"""),120.44)</f>
        <v>120.44</v>
      </c>
      <c r="F470" s="320">
        <f>IFERROR(__xludf.DUMMYFUNCTION("""COMPUTED_VALUE"""),0.0074)</f>
        <v>0.0074</v>
      </c>
      <c r="G470" s="320">
        <f>IFERROR(__xludf.DUMMYFUNCTION("""COMPUTED_VALUE"""),0.17)</f>
        <v>0.17</v>
      </c>
      <c r="H470" s="320">
        <f>IFERROR(__xludf.DUMMYFUNCTION("""COMPUTED_VALUE"""),4.3014)</f>
        <v>4.3014</v>
      </c>
      <c r="I470" s="320">
        <f>IFERROR(__xludf.DUMMYFUNCTION("""COMPUTED_VALUE"""),6.76)</f>
        <v>6.76</v>
      </c>
      <c r="J470" s="320">
        <f>IFERROR(__xludf.DUMMYFUNCTION("""COMPUTED_VALUE"""),3.02)</f>
        <v>3.02</v>
      </c>
      <c r="K470" s="320">
        <f>IFERROR(__xludf.DUMMYFUNCTION("""COMPUTED_VALUE"""),0.03)</f>
        <v>0.03</v>
      </c>
      <c r="L470" s="320">
        <f>IFERROR(__xludf.DUMMYFUNCTION("""COMPUTED_VALUE"""),0.0114)</f>
        <v>0.0114</v>
      </c>
      <c r="M470" s="320">
        <f>IFERROR(__xludf.DUMMYFUNCTION("""COMPUTED_VALUE"""),0.9896)</f>
        <v>0.9896</v>
      </c>
      <c r="N470" s="320">
        <f>IFERROR(__xludf.DUMMYFUNCTION("""COMPUTED_VALUE"""),0.8521)</f>
        <v>0.8521</v>
      </c>
      <c r="O470" s="320">
        <f>IFERROR(__xludf.DUMMYFUNCTION("""COMPUTED_VALUE"""),88.0286)</f>
        <v>88.0286</v>
      </c>
      <c r="P470" s="320">
        <f>IFERROR(__xludf.DUMMYFUNCTION("""COMPUTED_VALUE"""),22.26)</f>
        <v>22.26</v>
      </c>
      <c r="Q470" s="320">
        <f>IFERROR(__xludf.DUMMYFUNCTION("""COMPUTED_VALUE"""),22.2)</f>
        <v>22.2</v>
      </c>
      <c r="R470" s="320">
        <f>IFERROR(__xludf.DUMMYFUNCTION("""COMPUTED_VALUE"""),0.06)</f>
        <v>0.06</v>
      </c>
      <c r="S470" s="320">
        <f>IFERROR(__xludf.DUMMYFUNCTION("""COMPUTED_VALUE"""),0.59)</f>
        <v>0.59</v>
      </c>
      <c r="T470" s="320">
        <f>IFERROR(__xludf.DUMMYFUNCTION("""COMPUTED_VALUE"""),21.67)</f>
        <v>21.67</v>
      </c>
      <c r="U470" s="320">
        <f>IFERROR(__xludf.DUMMYFUNCTION("""COMPUTED_VALUE"""),2.12)</f>
        <v>2.12</v>
      </c>
      <c r="V470" s="320">
        <f>IFERROR(__xludf.DUMMYFUNCTION("""COMPUTED_VALUE"""),0.7011)</f>
        <v>0.7011</v>
      </c>
      <c r="W470" s="320">
        <f>IFERROR(__xludf.DUMMYFUNCTION("""COMPUTED_VALUE"""),2.67)</f>
        <v>2.67</v>
      </c>
      <c r="X470" s="320">
        <f>IFERROR(__xludf.DUMMYFUNCTION("""COMPUTED_VALUE"""),138.0)</f>
        <v>138</v>
      </c>
      <c r="Y470" s="320">
        <f>IFERROR(__xludf.DUMMYFUNCTION("""COMPUTED_VALUE"""),1060.0)</f>
        <v>1060</v>
      </c>
      <c r="Z470" s="320">
        <f>IFERROR(__xludf.DUMMYFUNCTION("""COMPUTED_VALUE"""),7016.0)</f>
        <v>7016</v>
      </c>
      <c r="AA470" s="320">
        <f>IFERROR(__xludf.DUMMYFUNCTION("""COMPUTED_VALUE"""),49.5593)</f>
        <v>49.5593</v>
      </c>
      <c r="AB470" s="320">
        <f>IFERROR(__xludf.DUMMYFUNCTION("""COMPUTED_VALUE"""),0.5091)</f>
        <v>0.5091</v>
      </c>
      <c r="AC470" s="106"/>
      <c r="AD470" s="106"/>
      <c r="AE470" s="106"/>
      <c r="AF470" s="106"/>
      <c r="AG470" s="106"/>
      <c r="AH470" s="320">
        <f>IFERROR(__xludf.DUMMYFUNCTION("""COMPUTED_VALUE"""),0.0)</f>
        <v>0</v>
      </c>
      <c r="AI470" s="320">
        <f>IFERROR(__xludf.DUMMYFUNCTION("""COMPUTED_VALUE"""),0.0)</f>
        <v>0</v>
      </c>
      <c r="AJ470" s="320">
        <f>IFERROR(__xludf.DUMMYFUNCTION("""COMPUTED_VALUE"""),0.0)</f>
        <v>0</v>
      </c>
      <c r="AK470" s="320">
        <f>IFERROR(__xludf.DUMMYFUNCTION("""COMPUTED_VALUE"""),0.2721)</f>
        <v>0.2721</v>
      </c>
      <c r="AL470" s="320">
        <f>IFERROR(__xludf.DUMMYFUNCTION("""COMPUTED_VALUE"""),16.23)</f>
        <v>16.23</v>
      </c>
      <c r="AM470" s="320">
        <f>IFERROR(__xludf.DUMMYFUNCTION("""COMPUTED_VALUE"""),5.98)</f>
        <v>5.98</v>
      </c>
      <c r="AN470" s="331"/>
      <c r="AO470" s="331"/>
    </row>
    <row r="471" ht="15.75" customHeight="1">
      <c r="A471" s="330">
        <f>IFERROR(__xludf.DUMMYFUNCTION("""COMPUTED_VALUE"""),46128.0)</f>
        <v>46128</v>
      </c>
      <c r="B471" s="319" t="str">
        <f>IFERROR(__xludf.DUMMYFUNCTION("""COMPUTED_VALUE"""),"B. 1-9")</f>
        <v>B. 1-9</v>
      </c>
      <c r="C471" s="320">
        <f>IFERROR(__xludf.DUMMYFUNCTION("""COMPUTED_VALUE"""),31545.0)</f>
        <v>31545</v>
      </c>
      <c r="D471" s="320">
        <f>IFERROR(__xludf.DUMMYFUNCTION("""COMPUTED_VALUE"""),43.12)</f>
        <v>43.12</v>
      </c>
      <c r="E471" s="320">
        <f>IFERROR(__xludf.DUMMYFUNCTION("""COMPUTED_VALUE"""),6890.76)</f>
        <v>6890.76</v>
      </c>
      <c r="F471" s="320">
        <f>IFERROR(__xludf.DUMMYFUNCTION("""COMPUTED_VALUE"""),0.2184)</f>
        <v>0.2184</v>
      </c>
      <c r="G471" s="320">
        <f>IFERROR(__xludf.DUMMYFUNCTION("""COMPUTED_VALUE"""),6.41)</f>
        <v>6.41</v>
      </c>
      <c r="H471" s="320">
        <f>IFERROR(__xludf.DUMMYFUNCTION("""COMPUTED_VALUE"""),3.4096)</f>
        <v>3.4096</v>
      </c>
      <c r="I471" s="320">
        <f>IFERROR(__xludf.DUMMYFUNCTION("""COMPUTED_VALUE"""),31.02)</f>
        <v>31.02</v>
      </c>
      <c r="J471" s="320">
        <f>IFERROR(__xludf.DUMMYFUNCTION("""COMPUTED_VALUE"""),16.7)</f>
        <v>16.7</v>
      </c>
      <c r="K471" s="320">
        <f>IFERROR(__xludf.DUMMYFUNCTION("""COMPUTED_VALUE"""),5.0)</f>
        <v>5</v>
      </c>
      <c r="L471" s="320">
        <f>IFERROR(__xludf.DUMMYFUNCTION("""COMPUTED_VALUE"""),0.2993)</f>
        <v>0.2993</v>
      </c>
      <c r="M471" s="320">
        <f>IFERROR(__xludf.DUMMYFUNCTION("""COMPUTED_VALUE"""),0.7684)</f>
        <v>0.7684</v>
      </c>
      <c r="N471" s="320">
        <f>IFERROR(__xludf.DUMMYFUNCTION("""COMPUTED_VALUE"""),0.5208)</f>
        <v>0.5208</v>
      </c>
      <c r="O471" s="320">
        <f>IFERROR(__xludf.DUMMYFUNCTION("""COMPUTED_VALUE"""),3.3415)</f>
        <v>3.3415</v>
      </c>
      <c r="P471" s="320">
        <f>IFERROR(__xludf.DUMMYFUNCTION("""COMPUTED_VALUE"""),61.21)</f>
        <v>61.21</v>
      </c>
      <c r="Q471" s="320">
        <f>IFERROR(__xludf.DUMMYFUNCTION("""COMPUTED_VALUE"""),50.77)</f>
        <v>50.77</v>
      </c>
      <c r="R471" s="320">
        <f>IFERROR(__xludf.DUMMYFUNCTION("""COMPUTED_VALUE"""),10.44)</f>
        <v>10.44</v>
      </c>
      <c r="S471" s="320">
        <f>IFERROR(__xludf.DUMMYFUNCTION("""COMPUTED_VALUE"""),15.62)</f>
        <v>15.62</v>
      </c>
      <c r="T471" s="320">
        <f>IFERROR(__xludf.DUMMYFUNCTION("""COMPUTED_VALUE"""),45.59)</f>
        <v>45.59</v>
      </c>
      <c r="U471" s="320">
        <f>IFERROR(__xludf.DUMMYFUNCTION("""COMPUTED_VALUE"""),68.7)</f>
        <v>68.7</v>
      </c>
      <c r="V471" s="320">
        <f>IFERROR(__xludf.DUMMYFUNCTION("""COMPUTED_VALUE"""),4.1124)</f>
        <v>4.1124</v>
      </c>
      <c r="W471" s="320">
        <f>IFERROR(__xludf.DUMMYFUNCTION("""COMPUTED_VALUE"""),25.52)</f>
        <v>25.52</v>
      </c>
      <c r="X471" s="320">
        <f>IFERROR(__xludf.DUMMYFUNCTION("""COMPUTED_VALUE"""),86.0)</f>
        <v>86</v>
      </c>
      <c r="Y471" s="320">
        <f>IFERROR(__xludf.DUMMYFUNCTION("""COMPUTED_VALUE"""),197.0)</f>
        <v>197</v>
      </c>
      <c r="Z471" s="320">
        <f>IFERROR(__xludf.DUMMYFUNCTION("""COMPUTED_VALUE"""),825.0)</f>
        <v>825</v>
      </c>
      <c r="AA471" s="320">
        <f>IFERROR(__xludf.DUMMYFUNCTION("""COMPUTED_VALUE"""),49.4028)</f>
        <v>49.4028</v>
      </c>
      <c r="AB471" s="320">
        <f>IFERROR(__xludf.DUMMYFUNCTION("""COMPUTED_VALUE"""),0.4433)</f>
        <v>0.4433</v>
      </c>
      <c r="AC471" s="320">
        <f>IFERROR(__xludf.DUMMYFUNCTION("""COMPUTED_VALUE"""),3.4)</f>
        <v>3.4</v>
      </c>
      <c r="AD471" s="320">
        <f>IFERROR(__xludf.DUMMYFUNCTION("""COMPUTED_VALUE"""),1.0)</f>
        <v>1</v>
      </c>
      <c r="AE471" s="320">
        <f>IFERROR(__xludf.DUMMYFUNCTION("""COMPUTED_VALUE"""),2.0)</f>
        <v>2</v>
      </c>
      <c r="AF471" s="320">
        <f>IFERROR(__xludf.DUMMYFUNCTION("""COMPUTED_VALUE"""),4.0)</f>
        <v>4</v>
      </c>
      <c r="AG471" s="320">
        <f>IFERROR(__xludf.DUMMYFUNCTION("""COMPUTED_VALUE"""),8.0)</f>
        <v>8</v>
      </c>
      <c r="AH471" s="320">
        <f>IFERROR(__xludf.DUMMYFUNCTION("""COMPUTED_VALUE"""),64.75)</f>
        <v>64.75</v>
      </c>
      <c r="AI471" s="320">
        <f>IFERROR(__xludf.DUMMYFUNCTION("""COMPUTED_VALUE"""),23.17)</f>
        <v>23.17</v>
      </c>
      <c r="AJ471" s="320">
        <f>IFERROR(__xludf.DUMMYFUNCTION("""COMPUTED_VALUE"""),6.5)</f>
        <v>6.5</v>
      </c>
      <c r="AK471" s="320">
        <f>IFERROR(__xludf.DUMMYFUNCTION("""COMPUTED_VALUE"""),0.2269)</f>
        <v>0.2269</v>
      </c>
      <c r="AL471" s="320">
        <f>IFERROR(__xludf.DUMMYFUNCTION("""COMPUTED_VALUE"""),19.89)</f>
        <v>19.89</v>
      </c>
      <c r="AM471" s="320">
        <f>IFERROR(__xludf.DUMMYFUNCTION("""COMPUTED_VALUE"""),30.89)</f>
        <v>30.89</v>
      </c>
      <c r="AN471" s="320">
        <f>IFERROR(__xludf.DUMMYFUNCTION("""COMPUTED_VALUE"""),68.19)</f>
        <v>68.19</v>
      </c>
      <c r="AO471" s="320">
        <f>IFERROR(__xludf.DUMMYFUNCTION("""COMPUTED_VALUE"""),13.56)</f>
        <v>13.56</v>
      </c>
    </row>
    <row r="472" ht="15.75" customHeight="1">
      <c r="A472" s="330">
        <f>IFERROR(__xludf.DUMMYFUNCTION("""COMPUTED_VALUE"""),46128.0)</f>
        <v>46128</v>
      </c>
      <c r="B472" s="319" t="str">
        <f>IFERROR(__xludf.DUMMYFUNCTION("""COMPUTED_VALUE"""),"C. 10-19")</f>
        <v>C. 10-19</v>
      </c>
      <c r="C472" s="320">
        <f>IFERROR(__xludf.DUMMYFUNCTION("""COMPUTED_VALUE"""),14908.0)</f>
        <v>14908</v>
      </c>
      <c r="D472" s="320">
        <f>IFERROR(__xludf.DUMMYFUNCTION("""COMPUTED_VALUE"""),20.38)</f>
        <v>20.38</v>
      </c>
      <c r="E472" s="320">
        <f>IFERROR(__xludf.DUMMYFUNCTION("""COMPUTED_VALUE"""),15185.96)</f>
        <v>15185.96</v>
      </c>
      <c r="F472" s="320">
        <f>IFERROR(__xludf.DUMMYFUNCTION("""COMPUTED_VALUE"""),1.0186)</f>
        <v>1.0186</v>
      </c>
      <c r="G472" s="320">
        <f>IFERROR(__xludf.DUMMYFUNCTION("""COMPUTED_VALUE"""),20.72)</f>
        <v>20.72</v>
      </c>
      <c r="H472" s="320">
        <f>IFERROR(__xludf.DUMMYFUNCTION("""COMPUTED_VALUE"""),4.9161)</f>
        <v>4.9161</v>
      </c>
      <c r="I472" s="320">
        <f>IFERROR(__xludf.DUMMYFUNCTION("""COMPUTED_VALUE"""),57.13)</f>
        <v>57.13</v>
      </c>
      <c r="J472" s="320">
        <f>IFERROR(__xludf.DUMMYFUNCTION("""COMPUTED_VALUE"""),32.92)</f>
        <v>32.92</v>
      </c>
      <c r="K472" s="320">
        <f>IFERROR(__xludf.DUMMYFUNCTION("""COMPUTED_VALUE"""),13.17)</f>
        <v>13.17</v>
      </c>
      <c r="L472" s="320">
        <f>IFERROR(__xludf.DUMMYFUNCTION("""COMPUTED_VALUE"""),0.4)</f>
        <v>0.4</v>
      </c>
      <c r="M472" s="320">
        <f>IFERROR(__xludf.DUMMYFUNCTION("""COMPUTED_VALUE"""),0.6614)</f>
        <v>0.6614</v>
      </c>
      <c r="N472" s="320">
        <f>IFERROR(__xludf.DUMMYFUNCTION("""COMPUTED_VALUE"""),0.3783)</f>
        <v>0.3783</v>
      </c>
      <c r="O472" s="320">
        <f>IFERROR(__xludf.DUMMYFUNCTION("""COMPUTED_VALUE"""),2.4997)</f>
        <v>2.4997</v>
      </c>
      <c r="P472" s="320">
        <f>IFERROR(__xludf.DUMMYFUNCTION("""COMPUTED_VALUE"""),160.91)</f>
        <v>160.91</v>
      </c>
      <c r="Q472" s="320">
        <f>IFERROR(__xludf.DUMMYFUNCTION("""COMPUTED_VALUE"""),134.48)</f>
        <v>134.48</v>
      </c>
      <c r="R472" s="320">
        <f>IFERROR(__xludf.DUMMYFUNCTION("""COMPUTED_VALUE"""),26.42)</f>
        <v>26.42</v>
      </c>
      <c r="S472" s="320">
        <f>IFERROR(__xludf.DUMMYFUNCTION("""COMPUTED_VALUE"""),68.45)</f>
        <v>68.45</v>
      </c>
      <c r="T472" s="320">
        <f>IFERROR(__xludf.DUMMYFUNCTION("""COMPUTED_VALUE"""),92.45)</f>
        <v>92.45</v>
      </c>
      <c r="U472" s="320">
        <f>IFERROR(__xludf.DUMMYFUNCTION("""COMPUTED_VALUE"""),168.88)</f>
        <v>168.88</v>
      </c>
      <c r="V472" s="320">
        <f>IFERROR(__xludf.DUMMYFUNCTION("""COMPUTED_VALUE"""),5.1303)</f>
        <v>5.1303</v>
      </c>
      <c r="W472" s="320">
        <f>IFERROR(__xludf.DUMMYFUNCTION("""COMPUTED_VALUE"""),42.54)</f>
        <v>42.54</v>
      </c>
      <c r="X472" s="320">
        <f>IFERROR(__xludf.DUMMYFUNCTION("""COMPUTED_VALUE"""),82.0)</f>
        <v>82</v>
      </c>
      <c r="Y472" s="320">
        <f>IFERROR(__xludf.DUMMYFUNCTION("""COMPUTED_VALUE"""),180.0)</f>
        <v>180</v>
      </c>
      <c r="Z472" s="320">
        <f>IFERROR(__xludf.DUMMYFUNCTION("""COMPUTED_VALUE"""),608.0)</f>
        <v>608</v>
      </c>
      <c r="AA472" s="320">
        <f>IFERROR(__xludf.DUMMYFUNCTION("""COMPUTED_VALUE"""),52.2778)</f>
        <v>52.2778</v>
      </c>
      <c r="AB472" s="320">
        <f>IFERROR(__xludf.DUMMYFUNCTION("""COMPUTED_VALUE"""),0.5316)</f>
        <v>0.5316</v>
      </c>
      <c r="AC472" s="320">
        <f>IFERROR(__xludf.DUMMYFUNCTION("""COMPUTED_VALUE"""),8.11)</f>
        <v>8.11</v>
      </c>
      <c r="AD472" s="320">
        <f>IFERROR(__xludf.DUMMYFUNCTION("""COMPUTED_VALUE"""),2.0)</f>
        <v>2</v>
      </c>
      <c r="AE472" s="320">
        <f>IFERROR(__xludf.DUMMYFUNCTION("""COMPUTED_VALUE"""),6.0)</f>
        <v>6</v>
      </c>
      <c r="AF472" s="320">
        <f>IFERROR(__xludf.DUMMYFUNCTION("""COMPUTED_VALUE"""),11.0)</f>
        <v>11</v>
      </c>
      <c r="AG472" s="320">
        <f>IFERROR(__xludf.DUMMYFUNCTION("""COMPUTED_VALUE"""),18.0)</f>
        <v>18</v>
      </c>
      <c r="AH472" s="320">
        <f>IFERROR(__xludf.DUMMYFUNCTION("""COMPUTED_VALUE"""),50.21)</f>
        <v>50.21</v>
      </c>
      <c r="AI472" s="320">
        <f>IFERROR(__xludf.DUMMYFUNCTION("""COMPUTED_VALUE"""),21.2)</f>
        <v>21.2</v>
      </c>
      <c r="AJ472" s="320">
        <f>IFERROR(__xludf.DUMMYFUNCTION("""COMPUTED_VALUE"""),3.81)</f>
        <v>3.81</v>
      </c>
      <c r="AK472" s="320">
        <f>IFERROR(__xludf.DUMMYFUNCTION("""COMPUTED_VALUE"""),0.1924)</f>
        <v>0.1924</v>
      </c>
      <c r="AL472" s="320">
        <f>IFERROR(__xludf.DUMMYFUNCTION("""COMPUTED_VALUE"""),20.18)</f>
        <v>20.18</v>
      </c>
      <c r="AM472" s="320">
        <f>IFERROR(__xludf.DUMMYFUNCTION("""COMPUTED_VALUE"""),114.3)</f>
        <v>114.3</v>
      </c>
      <c r="AN472" s="320">
        <f>IFERROR(__xludf.DUMMYFUNCTION("""COMPUTED_VALUE"""),73.81)</f>
        <v>73.81</v>
      </c>
      <c r="AO472" s="320">
        <f>IFERROR(__xludf.DUMMYFUNCTION("""COMPUTED_VALUE"""),14.89)</f>
        <v>14.89</v>
      </c>
    </row>
    <row r="473" ht="15.75" customHeight="1">
      <c r="A473" s="330">
        <f>IFERROR(__xludf.DUMMYFUNCTION("""COMPUTED_VALUE"""),46128.0)</f>
        <v>46128</v>
      </c>
      <c r="B473" s="319" t="str">
        <f>IFERROR(__xludf.DUMMYFUNCTION("""COMPUTED_VALUE"""),"D. 20-39")</f>
        <v>D. 20-39</v>
      </c>
      <c r="C473" s="320">
        <f>IFERROR(__xludf.DUMMYFUNCTION("""COMPUTED_VALUE"""),7416.0)</f>
        <v>7416</v>
      </c>
      <c r="D473" s="320">
        <f>IFERROR(__xludf.DUMMYFUNCTION("""COMPUTED_VALUE"""),10.14)</f>
        <v>10.14</v>
      </c>
      <c r="E473" s="320">
        <f>IFERROR(__xludf.DUMMYFUNCTION("""COMPUTED_VALUE"""),17774.73)</f>
        <v>17774.73</v>
      </c>
      <c r="F473" s="320">
        <f>IFERROR(__xludf.DUMMYFUNCTION("""COMPUTED_VALUE"""),2.3968)</f>
        <v>2.3968</v>
      </c>
      <c r="G473" s="320">
        <f>IFERROR(__xludf.DUMMYFUNCTION("""COMPUTED_VALUE"""),31.61)</f>
        <v>31.61</v>
      </c>
      <c r="H473" s="320">
        <f>IFERROR(__xludf.DUMMYFUNCTION("""COMPUTED_VALUE"""),7.5831)</f>
        <v>7.5831</v>
      </c>
      <c r="I473" s="320">
        <f>IFERROR(__xludf.DUMMYFUNCTION("""COMPUTED_VALUE"""),79.8)</f>
        <v>79.8</v>
      </c>
      <c r="J473" s="320">
        <f>IFERROR(__xludf.DUMMYFUNCTION("""COMPUTED_VALUE"""),48.25)</f>
        <v>48.25</v>
      </c>
      <c r="K473" s="320">
        <f>IFERROR(__xludf.DUMMYFUNCTION("""COMPUTED_VALUE"""),24.42)</f>
        <v>24.42</v>
      </c>
      <c r="L473" s="320">
        <f>IFERROR(__xludf.DUMMYFUNCTION("""COMPUTED_VALUE"""),0.506)</f>
        <v>0.506</v>
      </c>
      <c r="M473" s="320">
        <f>IFERROR(__xludf.DUMMYFUNCTION("""COMPUTED_VALUE"""),0.5645)</f>
        <v>0.5645</v>
      </c>
      <c r="N473" s="320">
        <f>IFERROR(__xludf.DUMMYFUNCTION("""COMPUTED_VALUE"""),0.3108)</f>
        <v>0.3108</v>
      </c>
      <c r="O473" s="320">
        <f>IFERROR(__xludf.DUMMYFUNCTION("""COMPUTED_VALUE"""),1.9762)</f>
        <v>1.9762</v>
      </c>
      <c r="P473" s="320">
        <f>IFERROR(__xludf.DUMMYFUNCTION("""COMPUTED_VALUE"""),316.61)</f>
        <v>316.61</v>
      </c>
      <c r="Q473" s="320">
        <f>IFERROR(__xludf.DUMMYFUNCTION("""COMPUTED_VALUE"""),266.35)</f>
        <v>266.35</v>
      </c>
      <c r="R473" s="320">
        <f>IFERROR(__xludf.DUMMYFUNCTION("""COMPUTED_VALUE"""),50.26)</f>
        <v>50.26</v>
      </c>
      <c r="S473" s="320">
        <f>IFERROR(__xludf.DUMMYFUNCTION("""COMPUTED_VALUE"""),156.01)</f>
        <v>156.01</v>
      </c>
      <c r="T473" s="320">
        <f>IFERROR(__xludf.DUMMYFUNCTION("""COMPUTED_VALUE"""),160.6)</f>
        <v>160.6</v>
      </c>
      <c r="U473" s="320">
        <f>IFERROR(__xludf.DUMMYFUNCTION("""COMPUTED_VALUE"""),323.55)</f>
        <v>323.55</v>
      </c>
      <c r="V473" s="320">
        <f>IFERROR(__xludf.DUMMYFUNCTION("""COMPUTED_VALUE"""),6.7056)</f>
        <v>6.7056</v>
      </c>
      <c r="W473" s="320">
        <f>IFERROR(__xludf.DUMMYFUNCTION("""COMPUTED_VALUE"""),49.27)</f>
        <v>49.27</v>
      </c>
      <c r="X473" s="320">
        <f>IFERROR(__xludf.DUMMYFUNCTION("""COMPUTED_VALUE"""),86.0)</f>
        <v>86</v>
      </c>
      <c r="Y473" s="320">
        <f>IFERROR(__xludf.DUMMYFUNCTION("""COMPUTED_VALUE"""),195.0)</f>
        <v>195</v>
      </c>
      <c r="Z473" s="320">
        <f>IFERROR(__xludf.DUMMYFUNCTION("""COMPUTED_VALUE"""),601.0)</f>
        <v>601</v>
      </c>
      <c r="AA473" s="320">
        <f>IFERROR(__xludf.DUMMYFUNCTION("""COMPUTED_VALUE"""),54.2905)</f>
        <v>54.2905</v>
      </c>
      <c r="AB473" s="320">
        <f>IFERROR(__xludf.DUMMYFUNCTION("""COMPUTED_VALUE"""),0.6351)</f>
        <v>0.6351</v>
      </c>
      <c r="AC473" s="320">
        <f>IFERROR(__xludf.DUMMYFUNCTION("""COMPUTED_VALUE"""),15.5)</f>
        <v>15.5</v>
      </c>
      <c r="AD473" s="320">
        <f>IFERROR(__xludf.DUMMYFUNCTION("""COMPUTED_VALUE"""),5.0)</f>
        <v>5</v>
      </c>
      <c r="AE473" s="320">
        <f>IFERROR(__xludf.DUMMYFUNCTION("""COMPUTED_VALUE"""),11.0)</f>
        <v>11</v>
      </c>
      <c r="AF473" s="320">
        <f>IFERROR(__xludf.DUMMYFUNCTION("""COMPUTED_VALUE"""),22.0)</f>
        <v>22</v>
      </c>
      <c r="AG473" s="320">
        <f>IFERROR(__xludf.DUMMYFUNCTION("""COMPUTED_VALUE"""),34.0)</f>
        <v>34</v>
      </c>
      <c r="AH473" s="320">
        <f>IFERROR(__xludf.DUMMYFUNCTION("""COMPUTED_VALUE"""),51.66)</f>
        <v>51.66</v>
      </c>
      <c r="AI473" s="320">
        <f>IFERROR(__xludf.DUMMYFUNCTION("""COMPUTED_VALUE"""),18.89)</f>
        <v>18.89</v>
      </c>
      <c r="AJ473" s="320">
        <f>IFERROR(__xludf.DUMMYFUNCTION("""COMPUTED_VALUE"""),5.43)</f>
        <v>5.43</v>
      </c>
      <c r="AK473" s="320">
        <f>IFERROR(__xludf.DUMMYFUNCTION("""COMPUTED_VALUE"""),0.1758)</f>
        <v>0.1758</v>
      </c>
      <c r="AL473" s="320">
        <f>IFERROR(__xludf.DUMMYFUNCTION("""COMPUTED_VALUE"""),19.84)</f>
        <v>19.84</v>
      </c>
      <c r="AM473" s="320">
        <f>IFERROR(__xludf.DUMMYFUNCTION("""COMPUTED_VALUE"""),246.51)</f>
        <v>246.51</v>
      </c>
      <c r="AN473" s="320">
        <f>IFERROR(__xludf.DUMMYFUNCTION("""COMPUTED_VALUE"""),76.75)</f>
        <v>76.75</v>
      </c>
      <c r="AO473" s="320">
        <f>IFERROR(__xludf.DUMMYFUNCTION("""COMPUTED_VALUE"""),15.23)</f>
        <v>15.23</v>
      </c>
    </row>
    <row r="474" ht="15.75" customHeight="1">
      <c r="A474" s="330">
        <f>IFERROR(__xludf.DUMMYFUNCTION("""COMPUTED_VALUE"""),46128.0)</f>
        <v>46128</v>
      </c>
      <c r="B474" s="319" t="str">
        <f>IFERROR(__xludf.DUMMYFUNCTION("""COMPUTED_VALUE"""),"E. 40-99")</f>
        <v>E. 40-99</v>
      </c>
      <c r="C474" s="320">
        <f>IFERROR(__xludf.DUMMYFUNCTION("""COMPUTED_VALUE"""),2714.0)</f>
        <v>2714</v>
      </c>
      <c r="D474" s="320">
        <f>IFERROR(__xludf.DUMMYFUNCTION("""COMPUTED_VALUE"""),3.71)</f>
        <v>3.71</v>
      </c>
      <c r="E474" s="320">
        <f>IFERROR(__xludf.DUMMYFUNCTION("""COMPUTED_VALUE"""),16144.74)</f>
        <v>16144.74</v>
      </c>
      <c r="F474" s="320">
        <f>IFERROR(__xludf.DUMMYFUNCTION("""COMPUTED_VALUE"""),5.9487)</f>
        <v>5.9487</v>
      </c>
      <c r="G474" s="320">
        <f>IFERROR(__xludf.DUMMYFUNCTION("""COMPUTED_VALUE"""),44.36)</f>
        <v>44.36</v>
      </c>
      <c r="H474" s="320">
        <f>IFERROR(__xludf.DUMMYFUNCTION("""COMPUTED_VALUE"""),13.4093)</f>
        <v>13.4093</v>
      </c>
      <c r="I474" s="320">
        <f>IFERROR(__xludf.DUMMYFUNCTION("""COMPUTED_VALUE"""),125.95)</f>
        <v>125.95</v>
      </c>
      <c r="J474" s="320">
        <f>IFERROR(__xludf.DUMMYFUNCTION("""COMPUTED_VALUE"""),79.12)</f>
        <v>79.12</v>
      </c>
      <c r="K474" s="320">
        <f>IFERROR(__xludf.DUMMYFUNCTION("""COMPUTED_VALUE"""),51.12)</f>
        <v>51.12</v>
      </c>
      <c r="L474" s="320">
        <f>IFERROR(__xludf.DUMMYFUNCTION("""COMPUTED_VALUE"""),0.6461)</f>
        <v>0.6461</v>
      </c>
      <c r="M474" s="320">
        <f>IFERROR(__xludf.DUMMYFUNCTION("""COMPUTED_VALUE"""),0.4428)</f>
        <v>0.4428</v>
      </c>
      <c r="N474" s="320">
        <f>IFERROR(__xludf.DUMMYFUNCTION("""COMPUTED_VALUE"""),0.2493)</f>
        <v>0.2493</v>
      </c>
      <c r="O474" s="320">
        <f>IFERROR(__xludf.DUMMYFUNCTION("""COMPUTED_VALUE"""),1.5478)</f>
        <v>1.5478</v>
      </c>
      <c r="P474" s="320">
        <f>IFERROR(__xludf.DUMMYFUNCTION("""COMPUTED_VALUE"""),672.98)</f>
        <v>672.98</v>
      </c>
      <c r="Q474" s="320">
        <f>IFERROR(__xludf.DUMMYFUNCTION("""COMPUTED_VALUE"""),568.35)</f>
        <v>568.35</v>
      </c>
      <c r="R474" s="320">
        <f>IFERROR(__xludf.DUMMYFUNCTION("""COMPUTED_VALUE"""),104.64)</f>
        <v>104.64</v>
      </c>
      <c r="S474" s="320">
        <f>IFERROR(__xludf.DUMMYFUNCTION("""COMPUTED_VALUE"""),369.85)</f>
        <v>369.85</v>
      </c>
      <c r="T474" s="320">
        <f>IFERROR(__xludf.DUMMYFUNCTION("""COMPUTED_VALUE"""),303.13)</f>
        <v>303.13</v>
      </c>
      <c r="U474" s="320">
        <f>IFERROR(__xludf.DUMMYFUNCTION("""COMPUTED_VALUE"""),691.58)</f>
        <v>691.58</v>
      </c>
      <c r="V474" s="320">
        <f>IFERROR(__xludf.DUMMYFUNCTION("""COMPUTED_VALUE"""),8.7406)</f>
        <v>8.7406</v>
      </c>
      <c r="W474" s="320">
        <f>IFERROR(__xludf.DUMMYFUNCTION("""COMPUTED_VALUE"""),54.96)</f>
        <v>54.96</v>
      </c>
      <c r="X474" s="320">
        <f>IFERROR(__xludf.DUMMYFUNCTION("""COMPUTED_VALUE"""),90.0)</f>
        <v>90</v>
      </c>
      <c r="Y474" s="320">
        <f>IFERROR(__xludf.DUMMYFUNCTION("""COMPUTED_VALUE"""),278.0)</f>
        <v>278</v>
      </c>
      <c r="Z474" s="320">
        <f>IFERROR(__xludf.DUMMYFUNCTION("""COMPUTED_VALUE"""),903.0)</f>
        <v>903</v>
      </c>
      <c r="AA474" s="320">
        <f>IFERROR(__xludf.DUMMYFUNCTION("""COMPUTED_VALUE"""),57.433)</f>
        <v>57.433</v>
      </c>
      <c r="AB474" s="320">
        <f>IFERROR(__xludf.DUMMYFUNCTION("""COMPUTED_VALUE"""),0.7257)</f>
        <v>0.7257</v>
      </c>
      <c r="AC474" s="320">
        <f>IFERROR(__xludf.DUMMYFUNCTION("""COMPUTED_VALUE"""),33.07)</f>
        <v>33.07</v>
      </c>
      <c r="AD474" s="320">
        <f>IFERROR(__xludf.DUMMYFUNCTION("""COMPUTED_VALUE"""),11.0)</f>
        <v>11</v>
      </c>
      <c r="AE474" s="320">
        <f>IFERROR(__xludf.DUMMYFUNCTION("""COMPUTED_VALUE"""),24.0)</f>
        <v>24</v>
      </c>
      <c r="AF474" s="320">
        <f>IFERROR(__xludf.DUMMYFUNCTION("""COMPUTED_VALUE"""),46.0)</f>
        <v>46</v>
      </c>
      <c r="AG474" s="320">
        <f>IFERROR(__xludf.DUMMYFUNCTION("""COMPUTED_VALUE"""),74.0)</f>
        <v>74</v>
      </c>
      <c r="AH474" s="320">
        <f>IFERROR(__xludf.DUMMYFUNCTION("""COMPUTED_VALUE"""),45.03)</f>
        <v>45.03</v>
      </c>
      <c r="AI474" s="320">
        <f>IFERROR(__xludf.DUMMYFUNCTION("""COMPUTED_VALUE"""),14.96)</f>
        <v>14.96</v>
      </c>
      <c r="AJ474" s="320">
        <f>IFERROR(__xludf.DUMMYFUNCTION("""COMPUTED_VALUE"""),3.76)</f>
        <v>3.76</v>
      </c>
      <c r="AK474" s="320">
        <f>IFERROR(__xludf.DUMMYFUNCTION("""COMPUTED_VALUE"""),0.1618)</f>
        <v>0.1618</v>
      </c>
      <c r="AL474" s="320">
        <f>IFERROR(__xludf.DUMMYFUNCTION("""COMPUTED_VALUE"""),21.02)</f>
        <v>21.02</v>
      </c>
      <c r="AM474" s="320">
        <f>IFERROR(__xludf.DUMMYFUNCTION("""COMPUTED_VALUE"""),547.32)</f>
        <v>547.32</v>
      </c>
      <c r="AN474" s="320">
        <f>IFERROR(__xludf.DUMMYFUNCTION("""COMPUTED_VALUE"""),78.33)</f>
        <v>78.33</v>
      </c>
      <c r="AO474" s="320">
        <f>IFERROR(__xludf.DUMMYFUNCTION("""COMPUTED_VALUE"""),16.46)</f>
        <v>16.46</v>
      </c>
    </row>
    <row r="475" ht="15.75" customHeight="1">
      <c r="A475" s="330">
        <f>IFERROR(__xludf.DUMMYFUNCTION("""COMPUTED_VALUE"""),46128.0)</f>
        <v>46128</v>
      </c>
      <c r="B475" s="319" t="str">
        <f>IFERROR(__xludf.DUMMYFUNCTION("""COMPUTED_VALUE"""),"F. 100+")</f>
        <v>F. 100+</v>
      </c>
      <c r="C475" s="320">
        <f>IFERROR(__xludf.DUMMYFUNCTION("""COMPUTED_VALUE"""),276.0)</f>
        <v>276</v>
      </c>
      <c r="D475" s="320">
        <f>IFERROR(__xludf.DUMMYFUNCTION("""COMPUTED_VALUE"""),0.38)</f>
        <v>0.38</v>
      </c>
      <c r="E475" s="320">
        <f>IFERROR(__xludf.DUMMYFUNCTION("""COMPUTED_VALUE"""),3567.52)</f>
        <v>3567.52</v>
      </c>
      <c r="F475" s="320">
        <f>IFERROR(__xludf.DUMMYFUNCTION("""COMPUTED_VALUE"""),12.9258)</f>
        <v>12.9258</v>
      </c>
      <c r="G475" s="320">
        <f>IFERROR(__xludf.DUMMYFUNCTION("""COMPUTED_VALUE"""),51.81)</f>
        <v>51.81</v>
      </c>
      <c r="H475" s="320">
        <f>IFERROR(__xludf.DUMMYFUNCTION("""COMPUTED_VALUE"""),24.9477)</f>
        <v>24.9477</v>
      </c>
      <c r="I475" s="320">
        <f>IFERROR(__xludf.DUMMYFUNCTION("""COMPUTED_VALUE"""),241.51)</f>
        <v>241.51</v>
      </c>
      <c r="J475" s="320">
        <f>IFERROR(__xludf.DUMMYFUNCTION("""COMPUTED_VALUE"""),155.52)</f>
        <v>155.52</v>
      </c>
      <c r="K475" s="320">
        <f>IFERROR(__xludf.DUMMYFUNCTION("""COMPUTED_VALUE"""),121.6)</f>
        <v>121.6</v>
      </c>
      <c r="L475" s="320">
        <f>IFERROR(__xludf.DUMMYFUNCTION("""COMPUTED_VALUE"""),0.7819)</f>
        <v>0.7819</v>
      </c>
      <c r="M475" s="320">
        <f>IFERROR(__xludf.DUMMYFUNCTION("""COMPUTED_VALUE"""),0.31)</f>
        <v>0.31</v>
      </c>
      <c r="N475" s="320">
        <f>IFERROR(__xludf.DUMMYFUNCTION("""COMPUTED_VALUE"""),0.1862)</f>
        <v>0.1862</v>
      </c>
      <c r="O475" s="320">
        <f>IFERROR(__xludf.DUMMYFUNCTION("""COMPUTED_VALUE"""),1.279)</f>
        <v>1.279</v>
      </c>
      <c r="P475" s="320">
        <f>IFERROR(__xludf.DUMMYFUNCTION("""COMPUTED_VALUE"""),1345.65)</f>
        <v>1345.65</v>
      </c>
      <c r="Q475" s="320">
        <f>IFERROR(__xludf.DUMMYFUNCTION("""COMPUTED_VALUE"""),1095.07)</f>
        <v>1095.07</v>
      </c>
      <c r="R475" s="320">
        <f>IFERROR(__xludf.DUMMYFUNCTION("""COMPUTED_VALUE"""),250.58)</f>
        <v>250.58</v>
      </c>
      <c r="S475" s="320">
        <f>IFERROR(__xludf.DUMMYFUNCTION("""COMPUTED_VALUE"""),752.17)</f>
        <v>752.17</v>
      </c>
      <c r="T475" s="320">
        <f>IFERROR(__xludf.DUMMYFUNCTION("""COMPUTED_VALUE"""),593.48)</f>
        <v>593.48</v>
      </c>
      <c r="U475" s="320">
        <f>IFERROR(__xludf.DUMMYFUNCTION("""COMPUTED_VALUE"""),1411.05)</f>
        <v>1411.05</v>
      </c>
      <c r="V475" s="320">
        <f>IFERROR(__xludf.DUMMYFUNCTION("""COMPUTED_VALUE"""),9.073)</f>
        <v>9.073</v>
      </c>
      <c r="W475" s="320">
        <f>IFERROR(__xludf.DUMMYFUNCTION("""COMPUTED_VALUE"""),55.9)</f>
        <v>55.9</v>
      </c>
      <c r="X475" s="320">
        <f>IFERROR(__xludf.DUMMYFUNCTION("""COMPUTED_VALUE"""),159.0)</f>
        <v>159</v>
      </c>
      <c r="Y475" s="320">
        <f>IFERROR(__xludf.DUMMYFUNCTION("""COMPUTED_VALUE"""),707.0)</f>
        <v>707</v>
      </c>
      <c r="Z475" s="320">
        <f>IFERROR(__xludf.DUMMYFUNCTION("""COMPUTED_VALUE"""),2711.0)</f>
        <v>2711</v>
      </c>
      <c r="AA475" s="320">
        <f>IFERROR(__xludf.DUMMYFUNCTION("""COMPUTED_VALUE"""),61.0027)</f>
        <v>61.0027</v>
      </c>
      <c r="AB475" s="320">
        <f>IFERROR(__xludf.DUMMYFUNCTION("""COMPUTED_VALUE"""),0.8262)</f>
        <v>0.8262</v>
      </c>
      <c r="AC475" s="320">
        <f>IFERROR(__xludf.DUMMYFUNCTION("""COMPUTED_VALUE"""),78.55)</f>
        <v>78.55</v>
      </c>
      <c r="AD475" s="320">
        <f>IFERROR(__xludf.DUMMYFUNCTION("""COMPUTED_VALUE"""),28.0)</f>
        <v>28</v>
      </c>
      <c r="AE475" s="320">
        <f>IFERROR(__xludf.DUMMYFUNCTION("""COMPUTED_VALUE"""),60.0)</f>
        <v>60</v>
      </c>
      <c r="AF475" s="320">
        <f>IFERROR(__xludf.DUMMYFUNCTION("""COMPUTED_VALUE"""),109.0)</f>
        <v>109</v>
      </c>
      <c r="AG475" s="320">
        <f>IFERROR(__xludf.DUMMYFUNCTION("""COMPUTED_VALUE"""),162.0)</f>
        <v>162</v>
      </c>
      <c r="AH475" s="320">
        <f>IFERROR(__xludf.DUMMYFUNCTION("""COMPUTED_VALUE"""),39.86)</f>
        <v>39.86</v>
      </c>
      <c r="AI475" s="320">
        <f>IFERROR(__xludf.DUMMYFUNCTION("""COMPUTED_VALUE"""),8.7)</f>
        <v>8.7</v>
      </c>
      <c r="AJ475" s="320">
        <f>IFERROR(__xludf.DUMMYFUNCTION("""COMPUTED_VALUE"""),1.81)</f>
        <v>1.81</v>
      </c>
      <c r="AK475" s="320">
        <f>IFERROR(__xludf.DUMMYFUNCTION("""COMPUTED_VALUE"""),0.1051)</f>
        <v>0.1051</v>
      </c>
      <c r="AL475" s="320">
        <f>IFERROR(__xludf.DUMMYFUNCTION("""COMPUTED_VALUE"""),26.01)</f>
        <v>26.01</v>
      </c>
      <c r="AM475" s="320">
        <f>IFERROR(__xludf.DUMMYFUNCTION("""COMPUTED_VALUE"""),1069.06)</f>
        <v>1069.06</v>
      </c>
      <c r="AN475" s="320">
        <f>IFERROR(__xludf.DUMMYFUNCTION("""COMPUTED_VALUE"""),78.83)</f>
        <v>78.83</v>
      </c>
      <c r="AO475" s="320">
        <f>IFERROR(__xludf.DUMMYFUNCTION("""COMPUTED_VALUE"""),20.5)</f>
        <v>20.5</v>
      </c>
    </row>
    <row r="476" ht="15.75" customHeight="1">
      <c r="A476" s="330">
        <f>IFERROR(__xludf.DUMMYFUNCTION("""COMPUTED_VALUE"""),46129.0)</f>
        <v>46129</v>
      </c>
      <c r="B476" s="319" t="str">
        <f>IFERROR(__xludf.DUMMYFUNCTION("""COMPUTED_VALUE"""),"A. 0")</f>
        <v>A. 0</v>
      </c>
      <c r="C476" s="320">
        <f>IFERROR(__xludf.DUMMYFUNCTION("""COMPUTED_VALUE"""),14187.0)</f>
        <v>14187</v>
      </c>
      <c r="D476" s="320">
        <f>IFERROR(__xludf.DUMMYFUNCTION("""COMPUTED_VALUE"""),19.75)</f>
        <v>19.75</v>
      </c>
      <c r="E476" s="320">
        <f>IFERROR(__xludf.DUMMYFUNCTION("""COMPUTED_VALUE"""),181.8)</f>
        <v>181.8</v>
      </c>
      <c r="F476" s="320">
        <f>IFERROR(__xludf.DUMMYFUNCTION("""COMPUTED_VALUE"""),0.0128)</f>
        <v>0.0128</v>
      </c>
      <c r="G476" s="320">
        <f>IFERROR(__xludf.DUMMYFUNCTION("""COMPUTED_VALUE"""),0.4)</f>
        <v>0.4</v>
      </c>
      <c r="H476" s="320">
        <f>IFERROR(__xludf.DUMMYFUNCTION("""COMPUTED_VALUE"""),3.1895)</f>
        <v>3.1895</v>
      </c>
      <c r="I476" s="320">
        <f>IFERROR(__xludf.DUMMYFUNCTION("""COMPUTED_VALUE"""),5.7)</f>
        <v>5.7</v>
      </c>
      <c r="J476" s="320">
        <f>IFERROR(__xludf.DUMMYFUNCTION("""COMPUTED_VALUE"""),2.45)</f>
        <v>2.45</v>
      </c>
      <c r="K476" s="320">
        <f>IFERROR(__xludf.DUMMYFUNCTION("""COMPUTED_VALUE"""),0.05)</f>
        <v>0.05</v>
      </c>
      <c r="L476" s="320">
        <f>IFERROR(__xludf.DUMMYFUNCTION("""COMPUTED_VALUE"""),0.0186)</f>
        <v>0.0186</v>
      </c>
      <c r="M476" s="320">
        <f>IFERROR(__xludf.DUMMYFUNCTION("""COMPUTED_VALUE"""),0.9836)</f>
        <v>0.9836</v>
      </c>
      <c r="N476" s="320">
        <f>IFERROR(__xludf.DUMMYFUNCTION("""COMPUTED_VALUE"""),0.7924)</f>
        <v>0.7924</v>
      </c>
      <c r="O476" s="320">
        <f>IFERROR(__xludf.DUMMYFUNCTION("""COMPUTED_VALUE"""),53.7059)</f>
        <v>53.7059</v>
      </c>
      <c r="P476" s="320">
        <f>IFERROR(__xludf.DUMMYFUNCTION("""COMPUTED_VALUE"""),30.51)</f>
        <v>30.51</v>
      </c>
      <c r="Q476" s="320">
        <f>IFERROR(__xludf.DUMMYFUNCTION("""COMPUTED_VALUE"""),30.43)</f>
        <v>30.43</v>
      </c>
      <c r="R476" s="320">
        <f>IFERROR(__xludf.DUMMYFUNCTION("""COMPUTED_VALUE"""),0.08)</f>
        <v>0.08</v>
      </c>
      <c r="S476" s="320">
        <f>IFERROR(__xludf.DUMMYFUNCTION("""COMPUTED_VALUE"""),1.09)</f>
        <v>1.09</v>
      </c>
      <c r="T476" s="320">
        <f>IFERROR(__xludf.DUMMYFUNCTION("""COMPUTED_VALUE"""),29.42)</f>
        <v>29.42</v>
      </c>
      <c r="U476" s="320">
        <f>IFERROR(__xludf.DUMMYFUNCTION("""COMPUTED_VALUE"""),2.04)</f>
        <v>2.04</v>
      </c>
      <c r="V476" s="320">
        <f>IFERROR(__xludf.DUMMYFUNCTION("""COMPUTED_VALUE"""),0.8359)</f>
        <v>0.8359</v>
      </c>
      <c r="W476" s="320">
        <f>IFERROR(__xludf.DUMMYFUNCTION("""COMPUTED_VALUE"""),3.57)</f>
        <v>3.57</v>
      </c>
      <c r="X476" s="320">
        <f>IFERROR(__xludf.DUMMYFUNCTION("""COMPUTED_VALUE"""),186.0)</f>
        <v>186</v>
      </c>
      <c r="Y476" s="320">
        <f>IFERROR(__xludf.DUMMYFUNCTION("""COMPUTED_VALUE"""),1459.0)</f>
        <v>1459</v>
      </c>
      <c r="Z476" s="320">
        <f>IFERROR(__xludf.DUMMYFUNCTION("""COMPUTED_VALUE"""),8308.0)</f>
        <v>8308</v>
      </c>
      <c r="AA476" s="320">
        <f>IFERROR(__xludf.DUMMYFUNCTION("""COMPUTED_VALUE"""),49.6995)</f>
        <v>49.6995</v>
      </c>
      <c r="AB476" s="320">
        <f>IFERROR(__xludf.DUMMYFUNCTION("""COMPUTED_VALUE"""),0.5177)</f>
        <v>0.5177</v>
      </c>
      <c r="AC476" s="106"/>
      <c r="AD476" s="106"/>
      <c r="AE476" s="106"/>
      <c r="AF476" s="106"/>
      <c r="AG476" s="106"/>
      <c r="AH476" s="320">
        <f>IFERROR(__xludf.DUMMYFUNCTION("""COMPUTED_VALUE"""),0.0)</f>
        <v>0</v>
      </c>
      <c r="AI476" s="320">
        <f>IFERROR(__xludf.DUMMYFUNCTION("""COMPUTED_VALUE"""),0.0)</f>
        <v>0</v>
      </c>
      <c r="AJ476" s="320">
        <f>IFERROR(__xludf.DUMMYFUNCTION("""COMPUTED_VALUE"""),0.0)</f>
        <v>0</v>
      </c>
      <c r="AK476" s="320">
        <f>IFERROR(__xludf.DUMMYFUNCTION("""COMPUTED_VALUE"""),0.2972)</f>
        <v>0.2972</v>
      </c>
      <c r="AL476" s="320">
        <f>IFERROR(__xludf.DUMMYFUNCTION("""COMPUTED_VALUE"""),17.06)</f>
        <v>17.06</v>
      </c>
      <c r="AM476" s="320">
        <f>IFERROR(__xludf.DUMMYFUNCTION("""COMPUTED_VALUE"""),13.37)</f>
        <v>13.37</v>
      </c>
      <c r="AN476" s="331"/>
      <c r="AO476" s="331"/>
    </row>
    <row r="477" ht="15.75" customHeight="1">
      <c r="A477" s="330">
        <f>IFERROR(__xludf.DUMMYFUNCTION("""COMPUTED_VALUE"""),46129.0)</f>
        <v>46129</v>
      </c>
      <c r="B477" s="319" t="str">
        <f>IFERROR(__xludf.DUMMYFUNCTION("""COMPUTED_VALUE"""),"B. 1-9")</f>
        <v>B. 1-9</v>
      </c>
      <c r="C477" s="320">
        <f>IFERROR(__xludf.DUMMYFUNCTION("""COMPUTED_VALUE"""),32182.0)</f>
        <v>32182</v>
      </c>
      <c r="D477" s="320">
        <f>IFERROR(__xludf.DUMMYFUNCTION("""COMPUTED_VALUE"""),44.79)</f>
        <v>44.79</v>
      </c>
      <c r="E477" s="320">
        <f>IFERROR(__xludf.DUMMYFUNCTION("""COMPUTED_VALUE"""),8065.07)</f>
        <v>8065.07</v>
      </c>
      <c r="F477" s="320">
        <f>IFERROR(__xludf.DUMMYFUNCTION("""COMPUTED_VALUE"""),0.2506)</f>
        <v>0.2506</v>
      </c>
      <c r="G477" s="320">
        <f>IFERROR(__xludf.DUMMYFUNCTION("""COMPUTED_VALUE"""),7.23)</f>
        <v>7.23</v>
      </c>
      <c r="H477" s="320">
        <f>IFERROR(__xludf.DUMMYFUNCTION("""COMPUTED_VALUE"""),3.4674)</f>
        <v>3.4674</v>
      </c>
      <c r="I477" s="320">
        <f>IFERROR(__xludf.DUMMYFUNCTION("""COMPUTED_VALUE"""),33.88)</f>
        <v>33.88</v>
      </c>
      <c r="J477" s="320">
        <f>IFERROR(__xludf.DUMMYFUNCTION("""COMPUTED_VALUE"""),18.11)</f>
        <v>18.11</v>
      </c>
      <c r="K477" s="320">
        <f>IFERROR(__xludf.DUMMYFUNCTION("""COMPUTED_VALUE"""),5.68)</f>
        <v>5.68</v>
      </c>
      <c r="L477" s="320">
        <f>IFERROR(__xludf.DUMMYFUNCTION("""COMPUTED_VALUE"""),0.3135)</f>
        <v>0.3135</v>
      </c>
      <c r="M477" s="320">
        <f>IFERROR(__xludf.DUMMYFUNCTION("""COMPUTED_VALUE"""),0.756)</f>
        <v>0.756</v>
      </c>
      <c r="N477" s="320">
        <f>IFERROR(__xludf.DUMMYFUNCTION("""COMPUTED_VALUE"""),0.5083)</f>
        <v>0.5083</v>
      </c>
      <c r="O477" s="320">
        <f>IFERROR(__xludf.DUMMYFUNCTION("""COMPUTED_VALUE"""),3.1896)</f>
        <v>3.1896</v>
      </c>
      <c r="P477" s="320">
        <f>IFERROR(__xludf.DUMMYFUNCTION("""COMPUTED_VALUE"""),86.83)</f>
        <v>86.83</v>
      </c>
      <c r="Q477" s="320">
        <f>IFERROR(__xludf.DUMMYFUNCTION("""COMPUTED_VALUE"""),75.31)</f>
        <v>75.31</v>
      </c>
      <c r="R477" s="320">
        <f>IFERROR(__xludf.DUMMYFUNCTION("""COMPUTED_VALUE"""),11.52)</f>
        <v>11.52</v>
      </c>
      <c r="S477" s="320">
        <f>IFERROR(__xludf.DUMMYFUNCTION("""COMPUTED_VALUE"""),18.15)</f>
        <v>18.15</v>
      </c>
      <c r="T477" s="320">
        <f>IFERROR(__xludf.DUMMYFUNCTION("""COMPUTED_VALUE"""),68.68)</f>
        <v>68.68</v>
      </c>
      <c r="U477" s="320">
        <f>IFERROR(__xludf.DUMMYFUNCTION("""COMPUTED_VALUE"""),81.82)</f>
        <v>81.82</v>
      </c>
      <c r="V477" s="320">
        <f>IFERROR(__xludf.DUMMYFUNCTION("""COMPUTED_VALUE"""),4.518)</f>
        <v>4.518</v>
      </c>
      <c r="W477" s="320">
        <f>IFERROR(__xludf.DUMMYFUNCTION("""COMPUTED_VALUE"""),20.9)</f>
        <v>20.9</v>
      </c>
      <c r="X477" s="320">
        <f>IFERROR(__xludf.DUMMYFUNCTION("""COMPUTED_VALUE"""),86.0)</f>
        <v>86</v>
      </c>
      <c r="Y477" s="320">
        <f>IFERROR(__xludf.DUMMYFUNCTION("""COMPUTED_VALUE"""),207.0)</f>
        <v>207</v>
      </c>
      <c r="Z477" s="320">
        <f>IFERROR(__xludf.DUMMYFUNCTION("""COMPUTED_VALUE"""),841.0)</f>
        <v>841</v>
      </c>
      <c r="AA477" s="320">
        <f>IFERROR(__xludf.DUMMYFUNCTION("""COMPUTED_VALUE"""),49.3134)</f>
        <v>49.3134</v>
      </c>
      <c r="AB477" s="320">
        <f>IFERROR(__xludf.DUMMYFUNCTION("""COMPUTED_VALUE"""),0.439)</f>
        <v>0.439</v>
      </c>
      <c r="AC477" s="320">
        <f>IFERROR(__xludf.DUMMYFUNCTION("""COMPUTED_VALUE"""),3.68)</f>
        <v>3.68</v>
      </c>
      <c r="AD477" s="320">
        <f>IFERROR(__xludf.DUMMYFUNCTION("""COMPUTED_VALUE"""),1.0)</f>
        <v>1</v>
      </c>
      <c r="AE477" s="320">
        <f>IFERROR(__xludf.DUMMYFUNCTION("""COMPUTED_VALUE"""),2.0)</f>
        <v>2</v>
      </c>
      <c r="AF477" s="320">
        <f>IFERROR(__xludf.DUMMYFUNCTION("""COMPUTED_VALUE"""),5.0)</f>
        <v>5</v>
      </c>
      <c r="AG477" s="320">
        <f>IFERROR(__xludf.DUMMYFUNCTION("""COMPUTED_VALUE"""),8.0)</f>
        <v>8</v>
      </c>
      <c r="AH477" s="320">
        <f>IFERROR(__xludf.DUMMYFUNCTION("""COMPUTED_VALUE"""),69.27)</f>
        <v>69.27</v>
      </c>
      <c r="AI477" s="320">
        <f>IFERROR(__xludf.DUMMYFUNCTION("""COMPUTED_VALUE"""),26.68)</f>
        <v>26.68</v>
      </c>
      <c r="AJ477" s="320">
        <f>IFERROR(__xludf.DUMMYFUNCTION("""COMPUTED_VALUE"""),7.33)</f>
        <v>7.33</v>
      </c>
      <c r="AK477" s="320">
        <f>IFERROR(__xludf.DUMMYFUNCTION("""COMPUTED_VALUE"""),0.235)</f>
        <v>0.235</v>
      </c>
      <c r="AL477" s="320">
        <f>IFERROR(__xludf.DUMMYFUNCTION("""COMPUTED_VALUE"""),20.7)</f>
        <v>20.7</v>
      </c>
      <c r="AM477" s="320">
        <f>IFERROR(__xludf.DUMMYFUNCTION("""COMPUTED_VALUE"""),54.61)</f>
        <v>54.61</v>
      </c>
      <c r="AN477" s="320">
        <f>IFERROR(__xludf.DUMMYFUNCTION("""COMPUTED_VALUE"""),68.52)</f>
        <v>68.52</v>
      </c>
      <c r="AO477" s="320">
        <f>IFERROR(__xludf.DUMMYFUNCTION("""COMPUTED_VALUE"""),14.18)</f>
        <v>14.18</v>
      </c>
    </row>
    <row r="478" ht="15.75" customHeight="1">
      <c r="A478" s="330">
        <f>IFERROR(__xludf.DUMMYFUNCTION("""COMPUTED_VALUE"""),46129.0)</f>
        <v>46129</v>
      </c>
      <c r="B478" s="319" t="str">
        <f>IFERROR(__xludf.DUMMYFUNCTION("""COMPUTED_VALUE"""),"C. 10-19")</f>
        <v>C. 10-19</v>
      </c>
      <c r="C478" s="320">
        <f>IFERROR(__xludf.DUMMYFUNCTION("""COMPUTED_VALUE"""),15065.0)</f>
        <v>15065</v>
      </c>
      <c r="D478" s="320">
        <f>IFERROR(__xludf.DUMMYFUNCTION("""COMPUTED_VALUE"""),20.97)</f>
        <v>20.97</v>
      </c>
      <c r="E478" s="320">
        <f>IFERROR(__xludf.DUMMYFUNCTION("""COMPUTED_VALUE"""),15792.93)</f>
        <v>15792.93</v>
      </c>
      <c r="F478" s="320">
        <f>IFERROR(__xludf.DUMMYFUNCTION("""COMPUTED_VALUE"""),1.0483)</f>
        <v>1.0483</v>
      </c>
      <c r="G478" s="320">
        <f>IFERROR(__xludf.DUMMYFUNCTION("""COMPUTED_VALUE"""),22.28)</f>
        <v>22.28</v>
      </c>
      <c r="H478" s="320">
        <f>IFERROR(__xludf.DUMMYFUNCTION("""COMPUTED_VALUE"""),4.7059)</f>
        <v>4.7059</v>
      </c>
      <c r="I478" s="320">
        <f>IFERROR(__xludf.DUMMYFUNCTION("""COMPUTED_VALUE"""),62.06)</f>
        <v>62.06</v>
      </c>
      <c r="J478" s="320">
        <f>IFERROR(__xludf.DUMMYFUNCTION("""COMPUTED_VALUE"""),35.64)</f>
        <v>35.64</v>
      </c>
      <c r="K478" s="320">
        <f>IFERROR(__xludf.DUMMYFUNCTION("""COMPUTED_VALUE"""),14.41)</f>
        <v>14.41</v>
      </c>
      <c r="L478" s="320">
        <f>IFERROR(__xludf.DUMMYFUNCTION("""COMPUTED_VALUE"""),0.4042)</f>
        <v>0.4042</v>
      </c>
      <c r="M478" s="320">
        <f>IFERROR(__xludf.DUMMYFUNCTION("""COMPUTED_VALUE"""),0.6583)</f>
        <v>0.6583</v>
      </c>
      <c r="N478" s="320">
        <f>IFERROR(__xludf.DUMMYFUNCTION("""COMPUTED_VALUE"""),0.3801)</f>
        <v>0.3801</v>
      </c>
      <c r="O478" s="320">
        <f>IFERROR(__xludf.DUMMYFUNCTION("""COMPUTED_VALUE"""),2.4738)</f>
        <v>2.4738</v>
      </c>
      <c r="P478" s="320">
        <f>IFERROR(__xludf.DUMMYFUNCTION("""COMPUTED_VALUE"""),187.49)</f>
        <v>187.49</v>
      </c>
      <c r="Q478" s="320">
        <f>IFERROR(__xludf.DUMMYFUNCTION("""COMPUTED_VALUE"""),158.33)</f>
        <v>158.33</v>
      </c>
      <c r="R478" s="320">
        <f>IFERROR(__xludf.DUMMYFUNCTION("""COMPUTED_VALUE"""),29.16)</f>
        <v>29.16</v>
      </c>
      <c r="S478" s="320">
        <f>IFERROR(__xludf.DUMMYFUNCTION("""COMPUTED_VALUE"""),71.83)</f>
        <v>71.83</v>
      </c>
      <c r="T478" s="320">
        <f>IFERROR(__xludf.DUMMYFUNCTION("""COMPUTED_VALUE"""),115.67)</f>
        <v>115.67</v>
      </c>
      <c r="U478" s="320">
        <f>IFERROR(__xludf.DUMMYFUNCTION("""COMPUTED_VALUE"""),186.82)</f>
        <v>186.82</v>
      </c>
      <c r="V478" s="320">
        <f>IFERROR(__xludf.DUMMYFUNCTION("""COMPUTED_VALUE"""),5.2417)</f>
        <v>5.2417</v>
      </c>
      <c r="W478" s="320">
        <f>IFERROR(__xludf.DUMMYFUNCTION("""COMPUTED_VALUE"""),38.31)</f>
        <v>38.31</v>
      </c>
      <c r="X478" s="320">
        <f>IFERROR(__xludf.DUMMYFUNCTION("""COMPUTED_VALUE"""),83.0)</f>
        <v>83</v>
      </c>
      <c r="Y478" s="320">
        <f>IFERROR(__xludf.DUMMYFUNCTION("""COMPUTED_VALUE"""),185.0)</f>
        <v>185</v>
      </c>
      <c r="Z478" s="320">
        <f>IFERROR(__xludf.DUMMYFUNCTION("""COMPUTED_VALUE"""),578.0)</f>
        <v>578</v>
      </c>
      <c r="AA478" s="320">
        <f>IFERROR(__xludf.DUMMYFUNCTION("""COMPUTED_VALUE"""),52.1555)</f>
        <v>52.1555</v>
      </c>
      <c r="AB478" s="320">
        <f>IFERROR(__xludf.DUMMYFUNCTION("""COMPUTED_VALUE"""),0.5331)</f>
        <v>0.5331</v>
      </c>
      <c r="AC478" s="320">
        <f>IFERROR(__xludf.DUMMYFUNCTION("""COMPUTED_VALUE"""),8.98)</f>
        <v>8.98</v>
      </c>
      <c r="AD478" s="320">
        <f>IFERROR(__xludf.DUMMYFUNCTION("""COMPUTED_VALUE"""),3.0)</f>
        <v>3</v>
      </c>
      <c r="AE478" s="320">
        <f>IFERROR(__xludf.DUMMYFUNCTION("""COMPUTED_VALUE"""),7.0)</f>
        <v>7</v>
      </c>
      <c r="AF478" s="320">
        <f>IFERROR(__xludf.DUMMYFUNCTION("""COMPUTED_VALUE"""),12.0)</f>
        <v>12</v>
      </c>
      <c r="AG478" s="320">
        <f>IFERROR(__xludf.DUMMYFUNCTION("""COMPUTED_VALUE"""),19.0)</f>
        <v>19</v>
      </c>
      <c r="AH478" s="320">
        <f>IFERROR(__xludf.DUMMYFUNCTION("""COMPUTED_VALUE"""),56.38)</f>
        <v>56.38</v>
      </c>
      <c r="AI478" s="320">
        <f>IFERROR(__xludf.DUMMYFUNCTION("""COMPUTED_VALUE"""),24.49)</f>
        <v>24.49</v>
      </c>
      <c r="AJ478" s="320">
        <f>IFERROR(__xludf.DUMMYFUNCTION("""COMPUTED_VALUE"""),4.53)</f>
        <v>4.53</v>
      </c>
      <c r="AK478" s="320">
        <f>IFERROR(__xludf.DUMMYFUNCTION("""COMPUTED_VALUE"""),0.2054)</f>
        <v>0.2054</v>
      </c>
      <c r="AL478" s="320">
        <f>IFERROR(__xludf.DUMMYFUNCTION("""COMPUTED_VALUE"""),21.62)</f>
        <v>21.62</v>
      </c>
      <c r="AM478" s="320">
        <f>IFERROR(__xludf.DUMMYFUNCTION("""COMPUTED_VALUE"""),136.71)</f>
        <v>136.71</v>
      </c>
      <c r="AN478" s="320">
        <f>IFERROR(__xludf.DUMMYFUNCTION("""COMPUTED_VALUE"""),74.35)</f>
        <v>74.35</v>
      </c>
      <c r="AO478" s="320">
        <f>IFERROR(__xludf.DUMMYFUNCTION("""COMPUTED_VALUE"""),16.07)</f>
        <v>16.07</v>
      </c>
    </row>
    <row r="479" ht="15.75" customHeight="1">
      <c r="A479" s="330">
        <f>IFERROR(__xludf.DUMMYFUNCTION("""COMPUTED_VALUE"""),46129.0)</f>
        <v>46129</v>
      </c>
      <c r="B479" s="319" t="str">
        <f>IFERROR(__xludf.DUMMYFUNCTION("""COMPUTED_VALUE"""),"D. 20-39")</f>
        <v>D. 20-39</v>
      </c>
      <c r="C479" s="320">
        <f>IFERROR(__xludf.DUMMYFUNCTION("""COMPUTED_VALUE"""),7498.0)</f>
        <v>7498</v>
      </c>
      <c r="D479" s="320">
        <f>IFERROR(__xludf.DUMMYFUNCTION("""COMPUTED_VALUE"""),10.44)</f>
        <v>10.44</v>
      </c>
      <c r="E479" s="320">
        <f>IFERROR(__xludf.DUMMYFUNCTION("""COMPUTED_VALUE"""),19565.84)</f>
        <v>19565.84</v>
      </c>
      <c r="F479" s="320">
        <f>IFERROR(__xludf.DUMMYFUNCTION("""COMPUTED_VALUE"""),2.6095)</f>
        <v>2.6095</v>
      </c>
      <c r="G479" s="320">
        <f>IFERROR(__xludf.DUMMYFUNCTION("""COMPUTED_VALUE"""),34.4)</f>
        <v>34.4</v>
      </c>
      <c r="H479" s="320">
        <f>IFERROR(__xludf.DUMMYFUNCTION("""COMPUTED_VALUE"""),7.5866)</f>
        <v>7.5866</v>
      </c>
      <c r="I479" s="320">
        <f>IFERROR(__xludf.DUMMYFUNCTION("""COMPUTED_VALUE"""),88.18)</f>
        <v>88.18</v>
      </c>
      <c r="J479" s="320">
        <f>IFERROR(__xludf.DUMMYFUNCTION("""COMPUTED_VALUE"""),52.48)</f>
        <v>52.48</v>
      </c>
      <c r="K479" s="320">
        <f>IFERROR(__xludf.DUMMYFUNCTION("""COMPUTED_VALUE"""),26.19)</f>
        <v>26.19</v>
      </c>
      <c r="L479" s="320">
        <f>IFERROR(__xludf.DUMMYFUNCTION("""COMPUTED_VALUE"""),0.4991)</f>
        <v>0.4991</v>
      </c>
      <c r="M479" s="320">
        <f>IFERROR(__xludf.DUMMYFUNCTION("""COMPUTED_VALUE"""),0.5696)</f>
        <v>0.5696</v>
      </c>
      <c r="N479" s="320">
        <f>IFERROR(__xludf.DUMMYFUNCTION("""COMPUTED_VALUE"""),0.3195)</f>
        <v>0.3195</v>
      </c>
      <c r="O479" s="320">
        <f>IFERROR(__xludf.DUMMYFUNCTION("""COMPUTED_VALUE"""),2.0036)</f>
        <v>2.0036</v>
      </c>
      <c r="P479" s="320">
        <f>IFERROR(__xludf.DUMMYFUNCTION("""COMPUTED_VALUE"""),336.12)</f>
        <v>336.12</v>
      </c>
      <c r="Q479" s="320">
        <f>IFERROR(__xludf.DUMMYFUNCTION("""COMPUTED_VALUE"""),282.06)</f>
        <v>282.06</v>
      </c>
      <c r="R479" s="320">
        <f>IFERROR(__xludf.DUMMYFUNCTION("""COMPUTED_VALUE"""),54.06)</f>
        <v>54.06</v>
      </c>
      <c r="S479" s="320">
        <f>IFERROR(__xludf.DUMMYFUNCTION("""COMPUTED_VALUE"""),168.43)</f>
        <v>168.43</v>
      </c>
      <c r="T479" s="320">
        <f>IFERROR(__xludf.DUMMYFUNCTION("""COMPUTED_VALUE"""),167.69)</f>
        <v>167.69</v>
      </c>
      <c r="U479" s="320">
        <f>IFERROR(__xludf.DUMMYFUNCTION("""COMPUTED_VALUE"""),344.57)</f>
        <v>344.57</v>
      </c>
      <c r="V479" s="320">
        <f>IFERROR(__xludf.DUMMYFUNCTION("""COMPUTED_VALUE"""),6.5653)</f>
        <v>6.5653</v>
      </c>
      <c r="W479" s="320">
        <f>IFERROR(__xludf.DUMMYFUNCTION("""COMPUTED_VALUE"""),50.11)</f>
        <v>50.11</v>
      </c>
      <c r="X479" s="320">
        <f>IFERROR(__xludf.DUMMYFUNCTION("""COMPUTED_VALUE"""),82.0)</f>
        <v>82</v>
      </c>
      <c r="Y479" s="320">
        <f>IFERROR(__xludf.DUMMYFUNCTION("""COMPUTED_VALUE"""),190.0)</f>
        <v>190</v>
      </c>
      <c r="Z479" s="320">
        <f>IFERROR(__xludf.DUMMYFUNCTION("""COMPUTED_VALUE"""),574.0)</f>
        <v>574</v>
      </c>
      <c r="AA479" s="320">
        <f>IFERROR(__xludf.DUMMYFUNCTION("""COMPUTED_VALUE"""),54.289)</f>
        <v>54.289</v>
      </c>
      <c r="AB479" s="320">
        <f>IFERROR(__xludf.DUMMYFUNCTION("""COMPUTED_VALUE"""),0.6346)</f>
        <v>0.6346</v>
      </c>
      <c r="AC479" s="320">
        <f>IFERROR(__xludf.DUMMYFUNCTION("""COMPUTED_VALUE"""),16.17)</f>
        <v>16.17</v>
      </c>
      <c r="AD479" s="320">
        <f>IFERROR(__xludf.DUMMYFUNCTION("""COMPUTED_VALUE"""),6.0)</f>
        <v>6</v>
      </c>
      <c r="AE479" s="320">
        <f>IFERROR(__xludf.DUMMYFUNCTION("""COMPUTED_VALUE"""),12.0)</f>
        <v>12</v>
      </c>
      <c r="AF479" s="320">
        <f>IFERROR(__xludf.DUMMYFUNCTION("""COMPUTED_VALUE"""),22.0)</f>
        <v>22</v>
      </c>
      <c r="AG479" s="320">
        <f>IFERROR(__xludf.DUMMYFUNCTION("""COMPUTED_VALUE"""),35.0)</f>
        <v>35</v>
      </c>
      <c r="AH479" s="320">
        <f>IFERROR(__xludf.DUMMYFUNCTION("""COMPUTED_VALUE"""),53.11)</f>
        <v>53.11</v>
      </c>
      <c r="AI479" s="320">
        <f>IFERROR(__xludf.DUMMYFUNCTION("""COMPUTED_VALUE"""),19.86)</f>
        <v>19.86</v>
      </c>
      <c r="AJ479" s="320">
        <f>IFERROR(__xludf.DUMMYFUNCTION("""COMPUTED_VALUE"""),6.08)</f>
        <v>6.08</v>
      </c>
      <c r="AK479" s="320">
        <f>IFERROR(__xludf.DUMMYFUNCTION("""COMPUTED_VALUE"""),0.1983)</f>
        <v>0.1983</v>
      </c>
      <c r="AL479" s="320">
        <f>IFERROR(__xludf.DUMMYFUNCTION("""COMPUTED_VALUE"""),20.98)</f>
        <v>20.98</v>
      </c>
      <c r="AM479" s="320">
        <f>IFERROR(__xludf.DUMMYFUNCTION("""COMPUTED_VALUE"""),261.08)</f>
        <v>261.08</v>
      </c>
      <c r="AN479" s="320">
        <f>IFERROR(__xludf.DUMMYFUNCTION("""COMPUTED_VALUE"""),76.37)</f>
        <v>76.37</v>
      </c>
      <c r="AO479" s="320">
        <f>IFERROR(__xludf.DUMMYFUNCTION("""COMPUTED_VALUE"""),16.02)</f>
        <v>16.02</v>
      </c>
    </row>
    <row r="480" ht="15.75" customHeight="1">
      <c r="A480" s="330">
        <f>IFERROR(__xludf.DUMMYFUNCTION("""COMPUTED_VALUE"""),46129.0)</f>
        <v>46129</v>
      </c>
      <c r="B480" s="319" t="str">
        <f>IFERROR(__xludf.DUMMYFUNCTION("""COMPUTED_VALUE"""),"E. 40-99")</f>
        <v>E. 40-99</v>
      </c>
      <c r="C480" s="320">
        <f>IFERROR(__xludf.DUMMYFUNCTION("""COMPUTED_VALUE"""),2652.0)</f>
        <v>2652</v>
      </c>
      <c r="D480" s="320">
        <f>IFERROR(__xludf.DUMMYFUNCTION("""COMPUTED_VALUE"""),3.69)</f>
        <v>3.69</v>
      </c>
      <c r="E480" s="320">
        <f>IFERROR(__xludf.DUMMYFUNCTION("""COMPUTED_VALUE"""),17005.81)</f>
        <v>17005.81</v>
      </c>
      <c r="F480" s="320">
        <f>IFERROR(__xludf.DUMMYFUNCTION("""COMPUTED_VALUE"""),6.4124)</f>
        <v>6.4124</v>
      </c>
      <c r="G480" s="320">
        <f>IFERROR(__xludf.DUMMYFUNCTION("""COMPUTED_VALUE"""),47.32)</f>
        <v>47.32</v>
      </c>
      <c r="H480" s="320">
        <f>IFERROR(__xludf.DUMMYFUNCTION("""COMPUTED_VALUE"""),13.5504)</f>
        <v>13.5504</v>
      </c>
      <c r="I480" s="320">
        <f>IFERROR(__xludf.DUMMYFUNCTION("""COMPUTED_VALUE"""),136.38)</f>
        <v>136.38</v>
      </c>
      <c r="J480" s="320">
        <f>IFERROR(__xludf.DUMMYFUNCTION("""COMPUTED_VALUE"""),83.76)</f>
        <v>83.76</v>
      </c>
      <c r="K480" s="320">
        <f>IFERROR(__xludf.DUMMYFUNCTION("""COMPUTED_VALUE"""),53.43)</f>
        <v>53.43</v>
      </c>
      <c r="L480" s="320">
        <f>IFERROR(__xludf.DUMMYFUNCTION("""COMPUTED_VALUE"""),0.6378)</f>
        <v>0.6378</v>
      </c>
      <c r="M480" s="320">
        <f>IFERROR(__xludf.DUMMYFUNCTION("""COMPUTED_VALUE"""),0.4472)</f>
        <v>0.4472</v>
      </c>
      <c r="N480" s="320">
        <f>IFERROR(__xludf.DUMMYFUNCTION("""COMPUTED_VALUE"""),0.2543)</f>
        <v>0.2543</v>
      </c>
      <c r="O480" s="320">
        <f>IFERROR(__xludf.DUMMYFUNCTION("""COMPUTED_VALUE"""),1.5678)</f>
        <v>1.5678</v>
      </c>
      <c r="P480" s="320">
        <f>IFERROR(__xludf.DUMMYFUNCTION("""COMPUTED_VALUE"""),669.23)</f>
        <v>669.23</v>
      </c>
      <c r="Q480" s="320">
        <f>IFERROR(__xludf.DUMMYFUNCTION("""COMPUTED_VALUE"""),560.35)</f>
        <v>560.35</v>
      </c>
      <c r="R480" s="320">
        <f>IFERROR(__xludf.DUMMYFUNCTION("""COMPUTED_VALUE"""),108.88)</f>
        <v>108.88</v>
      </c>
      <c r="S480" s="320">
        <f>IFERROR(__xludf.DUMMYFUNCTION("""COMPUTED_VALUE"""),398.18)</f>
        <v>398.18</v>
      </c>
      <c r="T480" s="320">
        <f>IFERROR(__xludf.DUMMYFUNCTION("""COMPUTED_VALUE"""),271.05)</f>
        <v>271.05</v>
      </c>
      <c r="U480" s="320">
        <f>IFERROR(__xludf.DUMMYFUNCTION("""COMPUTED_VALUE"""),702.58)</f>
        <v>702.58</v>
      </c>
      <c r="V480" s="320">
        <f>IFERROR(__xludf.DUMMYFUNCTION("""COMPUTED_VALUE"""),8.3877)</f>
        <v>8.3877</v>
      </c>
      <c r="W480" s="320">
        <f>IFERROR(__xludf.DUMMYFUNCTION("""COMPUTED_VALUE"""),59.5)</f>
        <v>59.5</v>
      </c>
      <c r="X480" s="320">
        <f>IFERROR(__xludf.DUMMYFUNCTION("""COMPUTED_VALUE"""),91.0)</f>
        <v>91</v>
      </c>
      <c r="Y480" s="320">
        <f>IFERROR(__xludf.DUMMYFUNCTION("""COMPUTED_VALUE"""),273.0)</f>
        <v>273</v>
      </c>
      <c r="Z480" s="320">
        <f>IFERROR(__xludf.DUMMYFUNCTION("""COMPUTED_VALUE"""),910.0)</f>
        <v>910</v>
      </c>
      <c r="AA480" s="320">
        <f>IFERROR(__xludf.DUMMYFUNCTION("""COMPUTED_VALUE"""),57.3424)</f>
        <v>57.3424</v>
      </c>
      <c r="AB480" s="320">
        <f>IFERROR(__xludf.DUMMYFUNCTION("""COMPUTED_VALUE"""),0.7362)</f>
        <v>0.7362</v>
      </c>
      <c r="AC480" s="320">
        <f>IFERROR(__xludf.DUMMYFUNCTION("""COMPUTED_VALUE"""),33.47)</f>
        <v>33.47</v>
      </c>
      <c r="AD480" s="320">
        <f>IFERROR(__xludf.DUMMYFUNCTION("""COMPUTED_VALUE"""),11.0)</f>
        <v>11</v>
      </c>
      <c r="AE480" s="320">
        <f>IFERROR(__xludf.DUMMYFUNCTION("""COMPUTED_VALUE"""),24.0)</f>
        <v>24</v>
      </c>
      <c r="AF480" s="320">
        <f>IFERROR(__xludf.DUMMYFUNCTION("""COMPUTED_VALUE"""),47.0)</f>
        <v>47</v>
      </c>
      <c r="AG480" s="320">
        <f>IFERROR(__xludf.DUMMYFUNCTION("""COMPUTED_VALUE"""),74.0)</f>
        <v>74</v>
      </c>
      <c r="AH480" s="320">
        <f>IFERROR(__xludf.DUMMYFUNCTION("""COMPUTED_VALUE"""),45.36)</f>
        <v>45.36</v>
      </c>
      <c r="AI480" s="320">
        <f>IFERROR(__xludf.DUMMYFUNCTION("""COMPUTED_VALUE"""),15.8)</f>
        <v>15.8</v>
      </c>
      <c r="AJ480" s="320">
        <f>IFERROR(__xludf.DUMMYFUNCTION("""COMPUTED_VALUE"""),4.11)</f>
        <v>4.11</v>
      </c>
      <c r="AK480" s="320">
        <f>IFERROR(__xludf.DUMMYFUNCTION("""COMPUTED_VALUE"""),0.1704)</f>
        <v>0.1704</v>
      </c>
      <c r="AL480" s="320">
        <f>IFERROR(__xludf.DUMMYFUNCTION("""COMPUTED_VALUE"""),22.12)</f>
        <v>22.12</v>
      </c>
      <c r="AM480" s="320">
        <f>IFERROR(__xludf.DUMMYFUNCTION("""COMPUTED_VALUE"""),538.22)</f>
        <v>538.22</v>
      </c>
      <c r="AN480" s="320">
        <f>IFERROR(__xludf.DUMMYFUNCTION("""COMPUTED_VALUE"""),77.61)</f>
        <v>77.61</v>
      </c>
      <c r="AO480" s="320">
        <f>IFERROR(__xludf.DUMMYFUNCTION("""COMPUTED_VALUE"""),17.17)</f>
        <v>17.17</v>
      </c>
    </row>
    <row r="481" ht="15.75" customHeight="1">
      <c r="A481" s="330">
        <f>IFERROR(__xludf.DUMMYFUNCTION("""COMPUTED_VALUE"""),46129.0)</f>
        <v>46129</v>
      </c>
      <c r="B481" s="319" t="str">
        <f>IFERROR(__xludf.DUMMYFUNCTION("""COMPUTED_VALUE"""),"F. 100+")</f>
        <v>F. 100+</v>
      </c>
      <c r="C481" s="320">
        <f>IFERROR(__xludf.DUMMYFUNCTION("""COMPUTED_VALUE"""),264.0)</f>
        <v>264</v>
      </c>
      <c r="D481" s="320">
        <f>IFERROR(__xludf.DUMMYFUNCTION("""COMPUTED_VALUE"""),0.37)</f>
        <v>0.37</v>
      </c>
      <c r="E481" s="320">
        <f>IFERROR(__xludf.DUMMYFUNCTION("""COMPUTED_VALUE"""),3257.74)</f>
        <v>3257.74</v>
      </c>
      <c r="F481" s="320">
        <f>IFERROR(__xludf.DUMMYFUNCTION("""COMPUTED_VALUE"""),12.3399)</f>
        <v>12.3399</v>
      </c>
      <c r="G481" s="320">
        <f>IFERROR(__xludf.DUMMYFUNCTION("""COMPUTED_VALUE"""),52.27)</f>
        <v>52.27</v>
      </c>
      <c r="H481" s="320">
        <f>IFERROR(__xludf.DUMMYFUNCTION("""COMPUTED_VALUE"""),23.6068)</f>
        <v>23.6068</v>
      </c>
      <c r="I481" s="320">
        <f>IFERROR(__xludf.DUMMYFUNCTION("""COMPUTED_VALUE"""),249.35)</f>
        <v>249.35</v>
      </c>
      <c r="J481" s="320">
        <f>IFERROR(__xludf.DUMMYFUNCTION("""COMPUTED_VALUE"""),154.39)</f>
        <v>154.39</v>
      </c>
      <c r="K481" s="320">
        <f>IFERROR(__xludf.DUMMYFUNCTION("""COMPUTED_VALUE"""),122.02)</f>
        <v>122.02</v>
      </c>
      <c r="L481" s="320">
        <f>IFERROR(__xludf.DUMMYFUNCTION("""COMPUTED_VALUE"""),0.7903)</f>
        <v>0.7903</v>
      </c>
      <c r="M481" s="320">
        <f>IFERROR(__xludf.DUMMYFUNCTION("""COMPUTED_VALUE"""),0.3039)</f>
        <v>0.3039</v>
      </c>
      <c r="N481" s="320">
        <f>IFERROR(__xludf.DUMMYFUNCTION("""COMPUTED_VALUE"""),0.1847)</f>
        <v>0.1847</v>
      </c>
      <c r="O481" s="320">
        <f>IFERROR(__xludf.DUMMYFUNCTION("""COMPUTED_VALUE"""),1.2653)</f>
        <v>1.2653</v>
      </c>
      <c r="P481" s="320">
        <f>IFERROR(__xludf.DUMMYFUNCTION("""COMPUTED_VALUE"""),1238.28)</f>
        <v>1238.28</v>
      </c>
      <c r="Q481" s="320">
        <f>IFERROR(__xludf.DUMMYFUNCTION("""COMPUTED_VALUE"""),987.13)</f>
        <v>987.13</v>
      </c>
      <c r="R481" s="320">
        <f>IFERROR(__xludf.DUMMYFUNCTION("""COMPUTED_VALUE"""),251.16)</f>
        <v>251.16</v>
      </c>
      <c r="S481" s="320">
        <f>IFERROR(__xludf.DUMMYFUNCTION("""COMPUTED_VALUE"""),721.69)</f>
        <v>721.69</v>
      </c>
      <c r="T481" s="320">
        <f>IFERROR(__xludf.DUMMYFUNCTION("""COMPUTED_VALUE"""),516.59)</f>
        <v>516.59</v>
      </c>
      <c r="U481" s="320">
        <f>IFERROR(__xludf.DUMMYFUNCTION("""COMPUTED_VALUE"""),1345.64)</f>
        <v>1345.64</v>
      </c>
      <c r="V481" s="320">
        <f>IFERROR(__xludf.DUMMYFUNCTION("""COMPUTED_VALUE"""),8.7157)</f>
        <v>8.7157</v>
      </c>
      <c r="W481" s="320">
        <f>IFERROR(__xludf.DUMMYFUNCTION("""COMPUTED_VALUE"""),58.28)</f>
        <v>58.28</v>
      </c>
      <c r="X481" s="320">
        <f>IFERROR(__xludf.DUMMYFUNCTION("""COMPUTED_VALUE"""),140.0)</f>
        <v>140</v>
      </c>
      <c r="Y481" s="320">
        <f>IFERROR(__xludf.DUMMYFUNCTION("""COMPUTED_VALUE"""),629.0)</f>
        <v>629</v>
      </c>
      <c r="Z481" s="320">
        <f>IFERROR(__xludf.DUMMYFUNCTION("""COMPUTED_VALUE"""),2741.0)</f>
        <v>2741</v>
      </c>
      <c r="AA481" s="320">
        <f>IFERROR(__xludf.DUMMYFUNCTION("""COMPUTED_VALUE"""),61.7499)</f>
        <v>61.7499</v>
      </c>
      <c r="AB481" s="320">
        <f>IFERROR(__xludf.DUMMYFUNCTION("""COMPUTED_VALUE"""),0.8365)</f>
        <v>0.8365</v>
      </c>
      <c r="AC481" s="320">
        <f>IFERROR(__xludf.DUMMYFUNCTION("""COMPUTED_VALUE"""),78.33)</f>
        <v>78.33</v>
      </c>
      <c r="AD481" s="320">
        <f>IFERROR(__xludf.DUMMYFUNCTION("""COMPUTED_VALUE"""),29.0)</f>
        <v>29</v>
      </c>
      <c r="AE481" s="320">
        <f>IFERROR(__xludf.DUMMYFUNCTION("""COMPUTED_VALUE"""),59.0)</f>
        <v>59</v>
      </c>
      <c r="AF481" s="320">
        <f>IFERROR(__xludf.DUMMYFUNCTION("""COMPUTED_VALUE"""),113.0)</f>
        <v>113</v>
      </c>
      <c r="AG481" s="320">
        <f>IFERROR(__xludf.DUMMYFUNCTION("""COMPUTED_VALUE"""),163.0)</f>
        <v>163</v>
      </c>
      <c r="AH481" s="320">
        <f>IFERROR(__xludf.DUMMYFUNCTION("""COMPUTED_VALUE"""),41.29)</f>
        <v>41.29</v>
      </c>
      <c r="AI481" s="320">
        <f>IFERROR(__xludf.DUMMYFUNCTION("""COMPUTED_VALUE"""),8.71)</f>
        <v>8.71</v>
      </c>
      <c r="AJ481" s="320">
        <f>IFERROR(__xludf.DUMMYFUNCTION("""COMPUTED_VALUE"""),1.52)</f>
        <v>1.52</v>
      </c>
      <c r="AK481" s="320">
        <f>IFERROR(__xludf.DUMMYFUNCTION("""COMPUTED_VALUE"""),0.0833)</f>
        <v>0.0833</v>
      </c>
      <c r="AL481" s="320">
        <f>IFERROR(__xludf.DUMMYFUNCTION("""COMPUTED_VALUE"""),20.38)</f>
        <v>20.38</v>
      </c>
      <c r="AM481" s="320">
        <f>IFERROR(__xludf.DUMMYFUNCTION("""COMPUTED_VALUE"""),966.75)</f>
        <v>966.75</v>
      </c>
      <c r="AN481" s="320">
        <f>IFERROR(__xludf.DUMMYFUNCTION("""COMPUTED_VALUE"""),80.84)</f>
        <v>80.84</v>
      </c>
      <c r="AO481" s="320">
        <f>IFERROR(__xludf.DUMMYFUNCTION("""COMPUTED_VALUE"""),16.48)</f>
        <v>16.48</v>
      </c>
    </row>
    <row r="482" ht="15.0" customHeight="1">
      <c r="A482" s="328">
        <f>IFERROR(__xludf.DUMMYFUNCTION("""COMPUTED_VALUE"""),46130.0)</f>
        <v>46130</v>
      </c>
      <c r="B482" s="319" t="str">
        <f>IFERROR(__xludf.DUMMYFUNCTION("""COMPUTED_VALUE"""),"A. 0")</f>
        <v>A. 0</v>
      </c>
      <c r="C482" s="320">
        <f>IFERROR(__xludf.DUMMYFUNCTION("""COMPUTED_VALUE"""),15098.0)</f>
        <v>15098</v>
      </c>
      <c r="D482" s="320">
        <f>IFERROR(__xludf.DUMMYFUNCTION("""COMPUTED_VALUE"""),21.27)</f>
        <v>21.27</v>
      </c>
      <c r="E482" s="320">
        <f>IFERROR(__xludf.DUMMYFUNCTION("""COMPUTED_VALUE"""),164.07)</f>
        <v>164.07</v>
      </c>
      <c r="F482" s="320">
        <f>IFERROR(__xludf.DUMMYFUNCTION("""COMPUTED_VALUE"""),0.0109)</f>
        <v>0.0109</v>
      </c>
      <c r="G482" s="320">
        <f>IFERROR(__xludf.DUMMYFUNCTION("""COMPUTED_VALUE"""),0.29)</f>
        <v>0.29</v>
      </c>
      <c r="H482" s="320">
        <f>IFERROR(__xludf.DUMMYFUNCTION("""COMPUTED_VALUE"""),3.7289)</f>
        <v>3.7289</v>
      </c>
      <c r="I482" s="320">
        <f>IFERROR(__xludf.DUMMYFUNCTION("""COMPUTED_VALUE"""),6.01)</f>
        <v>6.01</v>
      </c>
      <c r="J482" s="320">
        <f>IFERROR(__xludf.DUMMYFUNCTION("""COMPUTED_VALUE"""),2.67)</f>
        <v>2.67</v>
      </c>
      <c r="K482" s="320">
        <f>IFERROR(__xludf.DUMMYFUNCTION("""COMPUTED_VALUE"""),0.03)</f>
        <v>0.03</v>
      </c>
      <c r="L482" s="320">
        <f>IFERROR(__xludf.DUMMYFUNCTION("""COMPUTED_VALUE"""),0.0096)</f>
        <v>0.0096</v>
      </c>
      <c r="M482" s="320">
        <f>IFERROR(__xludf.DUMMYFUNCTION("""COMPUTED_VALUE"""),0.9914)</f>
        <v>0.9914</v>
      </c>
      <c r="N482" s="320">
        <f>IFERROR(__xludf.DUMMYFUNCTION("""COMPUTED_VALUE"""),0.874)</f>
        <v>0.874</v>
      </c>
      <c r="O482" s="320">
        <f>IFERROR(__xludf.DUMMYFUNCTION("""COMPUTED_VALUE"""),103.8814)</f>
        <v>103.8814</v>
      </c>
      <c r="P482" s="320">
        <f>IFERROR(__xludf.DUMMYFUNCTION("""COMPUTED_VALUE"""),26.71)</f>
        <v>26.71</v>
      </c>
      <c r="Q482" s="320">
        <f>IFERROR(__xludf.DUMMYFUNCTION("""COMPUTED_VALUE"""),26.67)</f>
        <v>26.67</v>
      </c>
      <c r="R482" s="320">
        <f>IFERROR(__xludf.DUMMYFUNCTION("""COMPUTED_VALUE"""),0.05)</f>
        <v>0.05</v>
      </c>
      <c r="S482" s="320">
        <f>IFERROR(__xludf.DUMMYFUNCTION("""COMPUTED_VALUE"""),0.93)</f>
        <v>0.93</v>
      </c>
      <c r="T482" s="320">
        <f>IFERROR(__xludf.DUMMYFUNCTION("""COMPUTED_VALUE"""),25.78)</f>
        <v>25.78</v>
      </c>
      <c r="U482" s="320">
        <f>IFERROR(__xludf.DUMMYFUNCTION("""COMPUTED_VALUE"""),2.34)</f>
        <v>2.34</v>
      </c>
      <c r="V482" s="320">
        <f>IFERROR(__xludf.DUMMYFUNCTION("""COMPUTED_VALUE"""),0.8758)</f>
        <v>0.8758</v>
      </c>
      <c r="W482" s="320">
        <f>IFERROR(__xludf.DUMMYFUNCTION("""COMPUTED_VALUE"""),3.48)</f>
        <v>3.48</v>
      </c>
      <c r="X482" s="320">
        <f>IFERROR(__xludf.DUMMYFUNCTION("""COMPUTED_VALUE"""),152.0)</f>
        <v>152</v>
      </c>
      <c r="Y482" s="320">
        <f>IFERROR(__xludf.DUMMYFUNCTION("""COMPUTED_VALUE"""),1135.0)</f>
        <v>1135</v>
      </c>
      <c r="Z482" s="320">
        <f>IFERROR(__xludf.DUMMYFUNCTION("""COMPUTED_VALUE"""),7362.0)</f>
        <v>7362</v>
      </c>
      <c r="AA482" s="320">
        <f>IFERROR(__xludf.DUMMYFUNCTION("""COMPUTED_VALUE"""),49.5995)</f>
        <v>49.5995</v>
      </c>
      <c r="AB482" s="320">
        <f>IFERROR(__xludf.DUMMYFUNCTION("""COMPUTED_VALUE"""),0.5062)</f>
        <v>0.5062</v>
      </c>
      <c r="AC482" s="106"/>
      <c r="AD482" s="106"/>
      <c r="AE482" s="106"/>
      <c r="AF482" s="106"/>
      <c r="AG482" s="106"/>
      <c r="AH482" s="320">
        <f>IFERROR(__xludf.DUMMYFUNCTION("""COMPUTED_VALUE"""),0.0)</f>
        <v>0</v>
      </c>
      <c r="AI482" s="320">
        <f>IFERROR(__xludf.DUMMYFUNCTION("""COMPUTED_VALUE"""),0.0)</f>
        <v>0</v>
      </c>
      <c r="AJ482" s="320">
        <f>IFERROR(__xludf.DUMMYFUNCTION("""COMPUTED_VALUE"""),0.0)</f>
        <v>0</v>
      </c>
      <c r="AK482" s="320">
        <f>IFERROR(__xludf.DUMMYFUNCTION("""COMPUTED_VALUE"""),0.2736)</f>
        <v>0.2736</v>
      </c>
      <c r="AL482" s="320">
        <f>IFERROR(__xludf.DUMMYFUNCTION("""COMPUTED_VALUE"""),17.19)</f>
        <v>17.19</v>
      </c>
      <c r="AM482" s="320">
        <f>IFERROR(__xludf.DUMMYFUNCTION("""COMPUTED_VALUE"""),9.47)</f>
        <v>9.47</v>
      </c>
      <c r="AN482" s="331"/>
      <c r="AO482" s="331"/>
    </row>
    <row r="483" ht="15.0" customHeight="1">
      <c r="A483" s="328">
        <f>IFERROR(__xludf.DUMMYFUNCTION("""COMPUTED_VALUE"""),46130.0)</f>
        <v>46130</v>
      </c>
      <c r="B483" s="319" t="str">
        <f>IFERROR(__xludf.DUMMYFUNCTION("""COMPUTED_VALUE"""),"B. 1-9")</f>
        <v>B. 1-9</v>
      </c>
      <c r="C483" s="320">
        <f>IFERROR(__xludf.DUMMYFUNCTION("""COMPUTED_VALUE"""),31051.0)</f>
        <v>31051</v>
      </c>
      <c r="D483" s="320">
        <f>IFERROR(__xludf.DUMMYFUNCTION("""COMPUTED_VALUE"""),43.74)</f>
        <v>43.74</v>
      </c>
      <c r="E483" s="320">
        <f>IFERROR(__xludf.DUMMYFUNCTION("""COMPUTED_VALUE"""),7254.4)</f>
        <v>7254.4</v>
      </c>
      <c r="F483" s="320">
        <f>IFERROR(__xludf.DUMMYFUNCTION("""COMPUTED_VALUE"""),0.2336)</f>
        <v>0.2336</v>
      </c>
      <c r="G483" s="320">
        <f>IFERROR(__xludf.DUMMYFUNCTION("""COMPUTED_VALUE"""),6.87)</f>
        <v>6.87</v>
      </c>
      <c r="H483" s="320">
        <f>IFERROR(__xludf.DUMMYFUNCTION("""COMPUTED_VALUE"""),3.401)</f>
        <v>3.401</v>
      </c>
      <c r="I483" s="320">
        <f>IFERROR(__xludf.DUMMYFUNCTION("""COMPUTED_VALUE"""),31.79)</f>
        <v>31.79</v>
      </c>
      <c r="J483" s="320">
        <f>IFERROR(__xludf.DUMMYFUNCTION("""COMPUTED_VALUE"""),16.98)</f>
        <v>16.98</v>
      </c>
      <c r="K483" s="320">
        <f>IFERROR(__xludf.DUMMYFUNCTION("""COMPUTED_VALUE"""),5.43)</f>
        <v>5.43</v>
      </c>
      <c r="L483" s="320">
        <f>IFERROR(__xludf.DUMMYFUNCTION("""COMPUTED_VALUE"""),0.3199)</f>
        <v>0.3199</v>
      </c>
      <c r="M483" s="320">
        <f>IFERROR(__xludf.DUMMYFUNCTION("""COMPUTED_VALUE"""),0.7517)</f>
        <v>0.7517</v>
      </c>
      <c r="N483" s="320">
        <f>IFERROR(__xludf.DUMMYFUNCTION("""COMPUTED_VALUE"""),0.5093)</f>
        <v>0.5093</v>
      </c>
      <c r="O483" s="320">
        <f>IFERROR(__xludf.DUMMYFUNCTION("""COMPUTED_VALUE"""),3.1261)</f>
        <v>3.1261</v>
      </c>
      <c r="P483" s="320">
        <f>IFERROR(__xludf.DUMMYFUNCTION("""COMPUTED_VALUE"""),72.63)</f>
        <v>72.63</v>
      </c>
      <c r="Q483" s="320">
        <f>IFERROR(__xludf.DUMMYFUNCTION("""COMPUTED_VALUE"""),61.55)</f>
        <v>61.55</v>
      </c>
      <c r="R483" s="320">
        <f>IFERROR(__xludf.DUMMYFUNCTION("""COMPUTED_VALUE"""),11.07)</f>
        <v>11.07</v>
      </c>
      <c r="S483" s="320">
        <f>IFERROR(__xludf.DUMMYFUNCTION("""COMPUTED_VALUE"""),16.8)</f>
        <v>16.8</v>
      </c>
      <c r="T483" s="320">
        <f>IFERROR(__xludf.DUMMYFUNCTION("""COMPUTED_VALUE"""),55.83)</f>
        <v>55.83</v>
      </c>
      <c r="U483" s="320">
        <f>IFERROR(__xludf.DUMMYFUNCTION("""COMPUTED_VALUE"""),78.1)</f>
        <v>78.1</v>
      </c>
      <c r="V483" s="320">
        <f>IFERROR(__xludf.DUMMYFUNCTION("""COMPUTED_VALUE"""),4.6001)</f>
        <v>4.6001</v>
      </c>
      <c r="W483" s="320">
        <f>IFERROR(__xludf.DUMMYFUNCTION("""COMPUTED_VALUE"""),23.13)</f>
        <v>23.13</v>
      </c>
      <c r="X483" s="320">
        <f>IFERROR(__xludf.DUMMYFUNCTION("""COMPUTED_VALUE"""),86.0)</f>
        <v>86</v>
      </c>
      <c r="Y483" s="320">
        <f>IFERROR(__xludf.DUMMYFUNCTION("""COMPUTED_VALUE"""),212.0)</f>
        <v>212</v>
      </c>
      <c r="Z483" s="320">
        <f>IFERROR(__xludf.DUMMYFUNCTION("""COMPUTED_VALUE"""),883.0)</f>
        <v>883</v>
      </c>
      <c r="AA483" s="320">
        <f>IFERROR(__xludf.DUMMYFUNCTION("""COMPUTED_VALUE"""),49.3983)</f>
        <v>49.3983</v>
      </c>
      <c r="AB483" s="320">
        <f>IFERROR(__xludf.DUMMYFUNCTION("""COMPUTED_VALUE"""),0.4451)</f>
        <v>0.4451</v>
      </c>
      <c r="AC483" s="320">
        <f>IFERROR(__xludf.DUMMYFUNCTION("""COMPUTED_VALUE"""),3.6)</f>
        <v>3.6</v>
      </c>
      <c r="AD483" s="320">
        <f>IFERROR(__xludf.DUMMYFUNCTION("""COMPUTED_VALUE"""),1.0)</f>
        <v>1</v>
      </c>
      <c r="AE483" s="320">
        <f>IFERROR(__xludf.DUMMYFUNCTION("""COMPUTED_VALUE"""),2.0)</f>
        <v>2</v>
      </c>
      <c r="AF483" s="320">
        <f>IFERROR(__xludf.DUMMYFUNCTION("""COMPUTED_VALUE"""),5.0)</f>
        <v>5</v>
      </c>
      <c r="AG483" s="320">
        <f>IFERROR(__xludf.DUMMYFUNCTION("""COMPUTED_VALUE"""),8.0)</f>
        <v>8</v>
      </c>
      <c r="AH483" s="320">
        <f>IFERROR(__xludf.DUMMYFUNCTION("""COMPUTED_VALUE"""),66.86)</f>
        <v>66.86</v>
      </c>
      <c r="AI483" s="320">
        <f>IFERROR(__xludf.DUMMYFUNCTION("""COMPUTED_VALUE"""),25.39)</f>
        <v>25.39</v>
      </c>
      <c r="AJ483" s="320">
        <f>IFERROR(__xludf.DUMMYFUNCTION("""COMPUTED_VALUE"""),7.4)</f>
        <v>7.4</v>
      </c>
      <c r="AK483" s="320">
        <f>IFERROR(__xludf.DUMMYFUNCTION("""COMPUTED_VALUE"""),0.217)</f>
        <v>0.217</v>
      </c>
      <c r="AL483" s="320">
        <f>IFERROR(__xludf.DUMMYFUNCTION("""COMPUTED_VALUE"""),22.91)</f>
        <v>22.91</v>
      </c>
      <c r="AM483" s="320">
        <f>IFERROR(__xludf.DUMMYFUNCTION("""COMPUTED_VALUE"""),38.64)</f>
        <v>38.64</v>
      </c>
      <c r="AN483" s="320">
        <f>IFERROR(__xludf.DUMMYFUNCTION("""COMPUTED_VALUE"""),68.14)</f>
        <v>68.14</v>
      </c>
      <c r="AO483" s="320">
        <f>IFERROR(__xludf.DUMMYFUNCTION("""COMPUTED_VALUE"""),15.61)</f>
        <v>15.61</v>
      </c>
    </row>
    <row r="484" ht="15.0" customHeight="1">
      <c r="A484" s="328">
        <f>IFERROR(__xludf.DUMMYFUNCTION("""COMPUTED_VALUE"""),46130.0)</f>
        <v>46130</v>
      </c>
      <c r="B484" s="319" t="str">
        <f>IFERROR(__xludf.DUMMYFUNCTION("""COMPUTED_VALUE"""),"C. 10-19")</f>
        <v>C. 10-19</v>
      </c>
      <c r="C484" s="320">
        <f>IFERROR(__xludf.DUMMYFUNCTION("""COMPUTED_VALUE"""),14513.0)</f>
        <v>14513</v>
      </c>
      <c r="D484" s="320">
        <f>IFERROR(__xludf.DUMMYFUNCTION("""COMPUTED_VALUE"""),20.45)</f>
        <v>20.45</v>
      </c>
      <c r="E484" s="320">
        <f>IFERROR(__xludf.DUMMYFUNCTION("""COMPUTED_VALUE"""),15253.33)</f>
        <v>15253.33</v>
      </c>
      <c r="F484" s="320">
        <f>IFERROR(__xludf.DUMMYFUNCTION("""COMPUTED_VALUE"""),1.051)</f>
        <v>1.051</v>
      </c>
      <c r="G484" s="320">
        <f>IFERROR(__xludf.DUMMYFUNCTION("""COMPUTED_VALUE"""),21.8)</f>
        <v>21.8</v>
      </c>
      <c r="H484" s="320">
        <f>IFERROR(__xludf.DUMMYFUNCTION("""COMPUTED_VALUE"""),4.8209)</f>
        <v>4.8209</v>
      </c>
      <c r="I484" s="320">
        <f>IFERROR(__xludf.DUMMYFUNCTION("""COMPUTED_VALUE"""),58.43)</f>
        <v>58.43</v>
      </c>
      <c r="J484" s="320">
        <f>IFERROR(__xludf.DUMMYFUNCTION("""COMPUTED_VALUE"""),33.53)</f>
        <v>33.53</v>
      </c>
      <c r="K484" s="320">
        <f>IFERROR(__xludf.DUMMYFUNCTION("""COMPUTED_VALUE"""),13.93)</f>
        <v>13.93</v>
      </c>
      <c r="L484" s="320">
        <f>IFERROR(__xludf.DUMMYFUNCTION("""COMPUTED_VALUE"""),0.4154)</f>
        <v>0.4154</v>
      </c>
      <c r="M484" s="320">
        <f>IFERROR(__xludf.DUMMYFUNCTION("""COMPUTED_VALUE"""),0.6493)</f>
        <v>0.6493</v>
      </c>
      <c r="N484" s="320">
        <f>IFERROR(__xludf.DUMMYFUNCTION("""COMPUTED_VALUE"""),0.3764)</f>
        <v>0.3764</v>
      </c>
      <c r="O484" s="320">
        <f>IFERROR(__xludf.DUMMYFUNCTION("""COMPUTED_VALUE"""),2.4074)</f>
        <v>2.4074</v>
      </c>
      <c r="P484" s="320">
        <f>IFERROR(__xludf.DUMMYFUNCTION("""COMPUTED_VALUE"""),175.93)</f>
        <v>175.93</v>
      </c>
      <c r="Q484" s="320">
        <f>IFERROR(__xludf.DUMMYFUNCTION("""COMPUTED_VALUE"""),147.65)</f>
        <v>147.65</v>
      </c>
      <c r="R484" s="320">
        <f>IFERROR(__xludf.DUMMYFUNCTION("""COMPUTED_VALUE"""),28.28)</f>
        <v>28.28</v>
      </c>
      <c r="S484" s="320">
        <f>IFERROR(__xludf.DUMMYFUNCTION("""COMPUTED_VALUE"""),71.93)</f>
        <v>71.93</v>
      </c>
      <c r="T484" s="320">
        <f>IFERROR(__xludf.DUMMYFUNCTION("""COMPUTED_VALUE"""),104.0)</f>
        <v>104</v>
      </c>
      <c r="U484" s="320">
        <f>IFERROR(__xludf.DUMMYFUNCTION("""COMPUTED_VALUE"""),185.54)</f>
        <v>185.54</v>
      </c>
      <c r="V484" s="320">
        <f>IFERROR(__xludf.DUMMYFUNCTION("""COMPUTED_VALUE"""),5.5342)</f>
        <v>5.5342</v>
      </c>
      <c r="W484" s="320">
        <f>IFERROR(__xludf.DUMMYFUNCTION("""COMPUTED_VALUE"""),40.89)</f>
        <v>40.89</v>
      </c>
      <c r="X484" s="320">
        <f>IFERROR(__xludf.DUMMYFUNCTION("""COMPUTED_VALUE"""),81.0)</f>
        <v>81</v>
      </c>
      <c r="Y484" s="320">
        <f>IFERROR(__xludf.DUMMYFUNCTION("""COMPUTED_VALUE"""),182.0)</f>
        <v>182</v>
      </c>
      <c r="Z484" s="320">
        <f>IFERROR(__xludf.DUMMYFUNCTION("""COMPUTED_VALUE"""),607.0)</f>
        <v>607</v>
      </c>
      <c r="AA484" s="320">
        <f>IFERROR(__xludf.DUMMYFUNCTION("""COMPUTED_VALUE"""),52.2557)</f>
        <v>52.2557</v>
      </c>
      <c r="AB484" s="320">
        <f>IFERROR(__xludf.DUMMYFUNCTION("""COMPUTED_VALUE"""),0.5413)</f>
        <v>0.5413</v>
      </c>
      <c r="AC484" s="320">
        <f>IFERROR(__xludf.DUMMYFUNCTION("""COMPUTED_VALUE"""),8.97)</f>
        <v>8.97</v>
      </c>
      <c r="AD484" s="320">
        <f>IFERROR(__xludf.DUMMYFUNCTION("""COMPUTED_VALUE"""),3.0)</f>
        <v>3</v>
      </c>
      <c r="AE484" s="320">
        <f>IFERROR(__xludf.DUMMYFUNCTION("""COMPUTED_VALUE"""),7.0)</f>
        <v>7</v>
      </c>
      <c r="AF484" s="320">
        <f>IFERROR(__xludf.DUMMYFUNCTION("""COMPUTED_VALUE"""),12.0)</f>
        <v>12</v>
      </c>
      <c r="AG484" s="320">
        <f>IFERROR(__xludf.DUMMYFUNCTION("""COMPUTED_VALUE"""),20.0)</f>
        <v>20</v>
      </c>
      <c r="AH484" s="320">
        <f>IFERROR(__xludf.DUMMYFUNCTION("""COMPUTED_VALUE"""),55.04)</f>
        <v>55.04</v>
      </c>
      <c r="AI484" s="320">
        <f>IFERROR(__xludf.DUMMYFUNCTION("""COMPUTED_VALUE"""),24.82)</f>
        <v>24.82</v>
      </c>
      <c r="AJ484" s="320">
        <f>IFERROR(__xludf.DUMMYFUNCTION("""COMPUTED_VALUE"""),4.8)</f>
        <v>4.8</v>
      </c>
      <c r="AK484" s="320">
        <f>IFERROR(__xludf.DUMMYFUNCTION("""COMPUTED_VALUE"""),0.1998)</f>
        <v>0.1998</v>
      </c>
      <c r="AL484" s="320">
        <f>IFERROR(__xludf.DUMMYFUNCTION("""COMPUTED_VALUE"""),23.37)</f>
        <v>23.37</v>
      </c>
      <c r="AM484" s="320">
        <f>IFERROR(__xludf.DUMMYFUNCTION("""COMPUTED_VALUE"""),124.28)</f>
        <v>124.28</v>
      </c>
      <c r="AN484" s="320">
        <f>IFERROR(__xludf.DUMMYFUNCTION("""COMPUTED_VALUE"""),73.74)</f>
        <v>73.74</v>
      </c>
      <c r="AO484" s="320">
        <f>IFERROR(__xludf.DUMMYFUNCTION("""COMPUTED_VALUE"""),17.23)</f>
        <v>17.23</v>
      </c>
    </row>
    <row r="485" ht="15.0" customHeight="1">
      <c r="A485" s="328">
        <f>IFERROR(__xludf.DUMMYFUNCTION("""COMPUTED_VALUE"""),46130.0)</f>
        <v>46130</v>
      </c>
      <c r="B485" s="319" t="str">
        <f>IFERROR(__xludf.DUMMYFUNCTION("""COMPUTED_VALUE"""),"D. 20-39")</f>
        <v>D. 20-39</v>
      </c>
      <c r="C485" s="320">
        <f>IFERROR(__xludf.DUMMYFUNCTION("""COMPUTED_VALUE"""),7368.0)</f>
        <v>7368</v>
      </c>
      <c r="D485" s="320">
        <f>IFERROR(__xludf.DUMMYFUNCTION("""COMPUTED_VALUE"""),10.38)</f>
        <v>10.38</v>
      </c>
      <c r="E485" s="320">
        <f>IFERROR(__xludf.DUMMYFUNCTION("""COMPUTED_VALUE"""),19316.33)</f>
        <v>19316.33</v>
      </c>
      <c r="F485" s="320">
        <f>IFERROR(__xludf.DUMMYFUNCTION("""COMPUTED_VALUE"""),2.6217)</f>
        <v>2.6217</v>
      </c>
      <c r="G485" s="320">
        <f>IFERROR(__xludf.DUMMYFUNCTION("""COMPUTED_VALUE"""),33.78)</f>
        <v>33.78</v>
      </c>
      <c r="H485" s="320">
        <f>IFERROR(__xludf.DUMMYFUNCTION("""COMPUTED_VALUE"""),7.7607)</f>
        <v>7.7607</v>
      </c>
      <c r="I485" s="320">
        <f>IFERROR(__xludf.DUMMYFUNCTION("""COMPUTED_VALUE"""),83.81)</f>
        <v>83.81</v>
      </c>
      <c r="J485" s="320">
        <f>IFERROR(__xludf.DUMMYFUNCTION("""COMPUTED_VALUE"""),49.77)</f>
        <v>49.77</v>
      </c>
      <c r="K485" s="320">
        <f>IFERROR(__xludf.DUMMYFUNCTION("""COMPUTED_VALUE"""),25.94)</f>
        <v>25.94</v>
      </c>
      <c r="L485" s="320">
        <f>IFERROR(__xludf.DUMMYFUNCTION("""COMPUTED_VALUE"""),0.5212)</f>
        <v>0.5212</v>
      </c>
      <c r="M485" s="320">
        <f>IFERROR(__xludf.DUMMYFUNCTION("""COMPUTED_VALUE"""),0.5516)</f>
        <v>0.5516</v>
      </c>
      <c r="N485" s="320">
        <f>IFERROR(__xludf.DUMMYFUNCTION("""COMPUTED_VALUE"""),0.309)</f>
        <v>0.309</v>
      </c>
      <c r="O485" s="320">
        <f>IFERROR(__xludf.DUMMYFUNCTION("""COMPUTED_VALUE"""),1.9188)</f>
        <v>1.9188</v>
      </c>
      <c r="P485" s="320">
        <f>IFERROR(__xludf.DUMMYFUNCTION("""COMPUTED_VALUE"""),336.83)</f>
        <v>336.83</v>
      </c>
      <c r="Q485" s="320">
        <f>IFERROR(__xludf.DUMMYFUNCTION("""COMPUTED_VALUE"""),283.72)</f>
        <v>283.72</v>
      </c>
      <c r="R485" s="320">
        <f>IFERROR(__xludf.DUMMYFUNCTION("""COMPUTED_VALUE"""),53.11)</f>
        <v>53.11</v>
      </c>
      <c r="S485" s="320">
        <f>IFERROR(__xludf.DUMMYFUNCTION("""COMPUTED_VALUE"""),168.09)</f>
        <v>168.09</v>
      </c>
      <c r="T485" s="320">
        <f>IFERROR(__xludf.DUMMYFUNCTION("""COMPUTED_VALUE"""),168.74)</f>
        <v>168.74</v>
      </c>
      <c r="U485" s="320">
        <f>IFERROR(__xludf.DUMMYFUNCTION("""COMPUTED_VALUE"""),348.86)</f>
        <v>348.86</v>
      </c>
      <c r="V485" s="320">
        <f>IFERROR(__xludf.DUMMYFUNCTION("""COMPUTED_VALUE"""),7.0097)</f>
        <v>7.0097</v>
      </c>
      <c r="W485" s="320">
        <f>IFERROR(__xludf.DUMMYFUNCTION("""COMPUTED_VALUE"""),49.9)</f>
        <v>49.9</v>
      </c>
      <c r="X485" s="320">
        <f>IFERROR(__xludf.DUMMYFUNCTION("""COMPUTED_VALUE"""),83.0)</f>
        <v>83</v>
      </c>
      <c r="Y485" s="320">
        <f>IFERROR(__xludf.DUMMYFUNCTION("""COMPUTED_VALUE"""),194.0)</f>
        <v>194</v>
      </c>
      <c r="Z485" s="320">
        <f>IFERROR(__xludf.DUMMYFUNCTION("""COMPUTED_VALUE"""),640.0)</f>
        <v>640</v>
      </c>
      <c r="AA485" s="320">
        <f>IFERROR(__xludf.DUMMYFUNCTION("""COMPUTED_VALUE"""),54.3293)</f>
        <v>54.3293</v>
      </c>
      <c r="AB485" s="320">
        <f>IFERROR(__xludf.DUMMYFUNCTION("""COMPUTED_VALUE"""),0.6363)</f>
        <v>0.6363</v>
      </c>
      <c r="AC485" s="320">
        <f>IFERROR(__xludf.DUMMYFUNCTION("""COMPUTED_VALUE"""),16.5)</f>
        <v>16.5</v>
      </c>
      <c r="AD485" s="320">
        <f>IFERROR(__xludf.DUMMYFUNCTION("""COMPUTED_VALUE"""),6.0)</f>
        <v>6</v>
      </c>
      <c r="AE485" s="320">
        <f>IFERROR(__xludf.DUMMYFUNCTION("""COMPUTED_VALUE"""),12.0)</f>
        <v>12</v>
      </c>
      <c r="AF485" s="320">
        <f>IFERROR(__xludf.DUMMYFUNCTION("""COMPUTED_VALUE"""),23.0)</f>
        <v>23</v>
      </c>
      <c r="AG485" s="320">
        <f>IFERROR(__xludf.DUMMYFUNCTION("""COMPUTED_VALUE"""),35.0)</f>
        <v>35</v>
      </c>
      <c r="AH485" s="320">
        <f>IFERROR(__xludf.DUMMYFUNCTION("""COMPUTED_VALUE"""),53.47)</f>
        <v>53.47</v>
      </c>
      <c r="AI485" s="320">
        <f>IFERROR(__xludf.DUMMYFUNCTION("""COMPUTED_VALUE"""),20.89)</f>
        <v>20.89</v>
      </c>
      <c r="AJ485" s="320">
        <f>IFERROR(__xludf.DUMMYFUNCTION("""COMPUTED_VALUE"""),6.3)</f>
        <v>6.3</v>
      </c>
      <c r="AK485" s="320">
        <f>IFERROR(__xludf.DUMMYFUNCTION("""COMPUTED_VALUE"""),0.1908)</f>
        <v>0.1908</v>
      </c>
      <c r="AL485" s="320">
        <f>IFERROR(__xludf.DUMMYFUNCTION("""COMPUTED_VALUE"""),22.74)</f>
        <v>22.74</v>
      </c>
      <c r="AM485" s="320">
        <f>IFERROR(__xludf.DUMMYFUNCTION("""COMPUTED_VALUE"""),260.98)</f>
        <v>260.98</v>
      </c>
      <c r="AN485" s="320">
        <f>IFERROR(__xludf.DUMMYFUNCTION("""COMPUTED_VALUE"""),75.63)</f>
        <v>75.63</v>
      </c>
      <c r="AO485" s="320">
        <f>IFERROR(__xludf.DUMMYFUNCTION("""COMPUTED_VALUE"""),17.2)</f>
        <v>17.2</v>
      </c>
    </row>
    <row r="486" ht="15.0" customHeight="1">
      <c r="A486" s="328">
        <f>IFERROR(__xludf.DUMMYFUNCTION("""COMPUTED_VALUE"""),46130.0)</f>
        <v>46130</v>
      </c>
      <c r="B486" s="319" t="str">
        <f>IFERROR(__xludf.DUMMYFUNCTION("""COMPUTED_VALUE"""),"E. 40-99")</f>
        <v>E. 40-99</v>
      </c>
      <c r="C486" s="320">
        <f>IFERROR(__xludf.DUMMYFUNCTION("""COMPUTED_VALUE"""),2678.0)</f>
        <v>2678</v>
      </c>
      <c r="D486" s="320">
        <f>IFERROR(__xludf.DUMMYFUNCTION("""COMPUTED_VALUE"""),3.77)</f>
        <v>3.77</v>
      </c>
      <c r="E486" s="320">
        <f>IFERROR(__xludf.DUMMYFUNCTION("""COMPUTED_VALUE"""),17325.27)</f>
        <v>17325.27</v>
      </c>
      <c r="F486" s="320">
        <f>IFERROR(__xludf.DUMMYFUNCTION("""COMPUTED_VALUE"""),6.4695)</f>
        <v>6.4695</v>
      </c>
      <c r="G486" s="320">
        <f>IFERROR(__xludf.DUMMYFUNCTION("""COMPUTED_VALUE"""),45.15)</f>
        <v>45.15</v>
      </c>
      <c r="H486" s="320">
        <f>IFERROR(__xludf.DUMMYFUNCTION("""COMPUTED_VALUE"""),14.3302)</f>
        <v>14.3302</v>
      </c>
      <c r="I486" s="320">
        <f>IFERROR(__xludf.DUMMYFUNCTION("""COMPUTED_VALUE"""),127.96)</f>
        <v>127.96</v>
      </c>
      <c r="J486" s="320">
        <f>IFERROR(__xludf.DUMMYFUNCTION("""COMPUTED_VALUE"""),79.22)</f>
        <v>79.22</v>
      </c>
      <c r="K486" s="320">
        <f>IFERROR(__xludf.DUMMYFUNCTION("""COMPUTED_VALUE"""),53.58)</f>
        <v>53.58</v>
      </c>
      <c r="L486" s="320">
        <f>IFERROR(__xludf.DUMMYFUNCTION("""COMPUTED_VALUE"""),0.6763)</f>
        <v>0.6763</v>
      </c>
      <c r="M486" s="320">
        <f>IFERROR(__xludf.DUMMYFUNCTION("""COMPUTED_VALUE"""),0.4143)</f>
        <v>0.4143</v>
      </c>
      <c r="N486" s="320">
        <f>IFERROR(__xludf.DUMMYFUNCTION("""COMPUTED_VALUE"""),0.2375)</f>
        <v>0.2375</v>
      </c>
      <c r="O486" s="320">
        <f>IFERROR(__xludf.DUMMYFUNCTION("""COMPUTED_VALUE"""),1.4787)</f>
        <v>1.4787</v>
      </c>
      <c r="P486" s="320">
        <f>IFERROR(__xludf.DUMMYFUNCTION("""COMPUTED_VALUE"""),698.9)</f>
        <v>698.9</v>
      </c>
      <c r="Q486" s="320">
        <f>IFERROR(__xludf.DUMMYFUNCTION("""COMPUTED_VALUE"""),589.39)</f>
        <v>589.39</v>
      </c>
      <c r="R486" s="320">
        <f>IFERROR(__xludf.DUMMYFUNCTION("""COMPUTED_VALUE"""),109.51)</f>
        <v>109.51</v>
      </c>
      <c r="S486" s="320">
        <f>IFERROR(__xludf.DUMMYFUNCTION("""COMPUTED_VALUE"""),394.09)</f>
        <v>394.09</v>
      </c>
      <c r="T486" s="320">
        <f>IFERROR(__xludf.DUMMYFUNCTION("""COMPUTED_VALUE"""),304.81)</f>
        <v>304.81</v>
      </c>
      <c r="U486" s="320">
        <f>IFERROR(__xludf.DUMMYFUNCTION("""COMPUTED_VALUE"""),718.28)</f>
        <v>718.28</v>
      </c>
      <c r="V486" s="320">
        <f>IFERROR(__xludf.DUMMYFUNCTION("""COMPUTED_VALUE"""),9.0663)</f>
        <v>9.0663</v>
      </c>
      <c r="W486" s="320">
        <f>IFERROR(__xludf.DUMMYFUNCTION("""COMPUTED_VALUE"""),56.39)</f>
        <v>56.39</v>
      </c>
      <c r="X486" s="320">
        <f>IFERROR(__xludf.DUMMYFUNCTION("""COMPUTED_VALUE"""),93.0)</f>
        <v>93</v>
      </c>
      <c r="Y486" s="320">
        <f>IFERROR(__xludf.DUMMYFUNCTION("""COMPUTED_VALUE"""),276.0)</f>
        <v>276</v>
      </c>
      <c r="Z486" s="320">
        <f>IFERROR(__xludf.DUMMYFUNCTION("""COMPUTED_VALUE"""),927.0)</f>
        <v>927</v>
      </c>
      <c r="AA486" s="320">
        <f>IFERROR(__xludf.DUMMYFUNCTION("""COMPUTED_VALUE"""),57.2141)</f>
        <v>57.2141</v>
      </c>
      <c r="AB486" s="320">
        <f>IFERROR(__xludf.DUMMYFUNCTION("""COMPUTED_VALUE"""),0.7402)</f>
        <v>0.7402</v>
      </c>
      <c r="AC486" s="320">
        <f>IFERROR(__xludf.DUMMYFUNCTION("""COMPUTED_VALUE"""),35.45)</f>
        <v>35.45</v>
      </c>
      <c r="AD486" s="320">
        <f>IFERROR(__xludf.DUMMYFUNCTION("""COMPUTED_VALUE"""),11.0)</f>
        <v>11</v>
      </c>
      <c r="AE486" s="320">
        <f>IFERROR(__xludf.DUMMYFUNCTION("""COMPUTED_VALUE"""),26.0)</f>
        <v>26</v>
      </c>
      <c r="AF486" s="320">
        <f>IFERROR(__xludf.DUMMYFUNCTION("""COMPUTED_VALUE"""),49.0)</f>
        <v>49</v>
      </c>
      <c r="AG486" s="320">
        <f>IFERROR(__xludf.DUMMYFUNCTION("""COMPUTED_VALUE"""),78.0)</f>
        <v>78</v>
      </c>
      <c r="AH486" s="320">
        <f>IFERROR(__xludf.DUMMYFUNCTION("""COMPUTED_VALUE"""),47.76)</f>
        <v>47.76</v>
      </c>
      <c r="AI486" s="320">
        <f>IFERROR(__xludf.DUMMYFUNCTION("""COMPUTED_VALUE"""),18.56)</f>
        <v>18.56</v>
      </c>
      <c r="AJ486" s="320">
        <f>IFERROR(__xludf.DUMMYFUNCTION("""COMPUTED_VALUE"""),5.3)</f>
        <v>5.3</v>
      </c>
      <c r="AK486" s="320">
        <f>IFERROR(__xludf.DUMMYFUNCTION("""COMPUTED_VALUE"""),0.1718)</f>
        <v>0.1718</v>
      </c>
      <c r="AL486" s="320">
        <f>IFERROR(__xludf.DUMMYFUNCTION("""COMPUTED_VALUE"""),23.32)</f>
        <v>23.32</v>
      </c>
      <c r="AM486" s="320">
        <f>IFERROR(__xludf.DUMMYFUNCTION("""COMPUTED_VALUE"""),566.07)</f>
        <v>566.07</v>
      </c>
      <c r="AN486" s="320">
        <f>IFERROR(__xludf.DUMMYFUNCTION("""COMPUTED_VALUE"""),75.31)</f>
        <v>75.31</v>
      </c>
      <c r="AO486" s="320">
        <f>IFERROR(__xludf.DUMMYFUNCTION("""COMPUTED_VALUE"""),17.56)</f>
        <v>17.56</v>
      </c>
    </row>
    <row r="487" ht="15.0" customHeight="1">
      <c r="A487" s="328">
        <f>IFERROR(__xludf.DUMMYFUNCTION("""COMPUTED_VALUE"""),46130.0)</f>
        <v>46130</v>
      </c>
      <c r="B487" s="319" t="str">
        <f>IFERROR(__xludf.DUMMYFUNCTION("""COMPUTED_VALUE"""),"F. 100+")</f>
        <v>F. 100+</v>
      </c>
      <c r="C487" s="320">
        <f>IFERROR(__xludf.DUMMYFUNCTION("""COMPUTED_VALUE"""),274.0)</f>
        <v>274</v>
      </c>
      <c r="D487" s="320">
        <f>IFERROR(__xludf.DUMMYFUNCTION("""COMPUTED_VALUE"""),0.39)</f>
        <v>0.39</v>
      </c>
      <c r="E487" s="320">
        <f>IFERROR(__xludf.DUMMYFUNCTION("""COMPUTED_VALUE"""),3292.08)</f>
        <v>3292.08</v>
      </c>
      <c r="F487" s="320">
        <f>IFERROR(__xludf.DUMMYFUNCTION("""COMPUTED_VALUE"""),12.0149)</f>
        <v>12.0149</v>
      </c>
      <c r="G487" s="320">
        <f>IFERROR(__xludf.DUMMYFUNCTION("""COMPUTED_VALUE"""),52.55)</f>
        <v>52.55</v>
      </c>
      <c r="H487" s="320">
        <f>IFERROR(__xludf.DUMMYFUNCTION("""COMPUTED_VALUE"""),22.8617)</f>
        <v>22.8617</v>
      </c>
      <c r="I487" s="320">
        <f>IFERROR(__xludf.DUMMYFUNCTION("""COMPUTED_VALUE"""),251.54)</f>
        <v>251.54</v>
      </c>
      <c r="J487" s="320">
        <f>IFERROR(__xludf.DUMMYFUNCTION("""COMPUTED_VALUE"""),159.97)</f>
        <v>159.97</v>
      </c>
      <c r="K487" s="320">
        <f>IFERROR(__xludf.DUMMYFUNCTION("""COMPUTED_VALUE"""),127.28)</f>
        <v>127.28</v>
      </c>
      <c r="L487" s="320">
        <f>IFERROR(__xludf.DUMMYFUNCTION("""COMPUTED_VALUE"""),0.7957)</f>
        <v>0.7957</v>
      </c>
      <c r="M487" s="320">
        <f>IFERROR(__xludf.DUMMYFUNCTION("""COMPUTED_VALUE"""),0.3002)</f>
        <v>0.3002</v>
      </c>
      <c r="N487" s="320">
        <f>IFERROR(__xludf.DUMMYFUNCTION("""COMPUTED_VALUE"""),0.1879)</f>
        <v>0.1879</v>
      </c>
      <c r="O487" s="320">
        <f>IFERROR(__xludf.DUMMYFUNCTION("""COMPUTED_VALUE"""),1.2568)</f>
        <v>1.2568</v>
      </c>
      <c r="P487" s="320">
        <f>IFERROR(__xludf.DUMMYFUNCTION("""COMPUTED_VALUE"""),1389.53)</f>
        <v>1389.53</v>
      </c>
      <c r="Q487" s="320">
        <f>IFERROR(__xludf.DUMMYFUNCTION("""COMPUTED_VALUE"""),1125.58)</f>
        <v>1125.58</v>
      </c>
      <c r="R487" s="320">
        <f>IFERROR(__xludf.DUMMYFUNCTION("""COMPUTED_VALUE"""),263.94)</f>
        <v>263.94</v>
      </c>
      <c r="S487" s="320">
        <f>IFERROR(__xludf.DUMMYFUNCTION("""COMPUTED_VALUE"""),787.06)</f>
        <v>787.06</v>
      </c>
      <c r="T487" s="320">
        <f>IFERROR(__xludf.DUMMYFUNCTION("""COMPUTED_VALUE"""),602.46)</f>
        <v>602.46</v>
      </c>
      <c r="U487" s="320">
        <f>IFERROR(__xludf.DUMMYFUNCTION("""COMPUTED_VALUE"""),1480.11)</f>
        <v>1480.11</v>
      </c>
      <c r="V487" s="320">
        <f>IFERROR(__xludf.DUMMYFUNCTION("""COMPUTED_VALUE"""),9.2526)</f>
        <v>9.2526</v>
      </c>
      <c r="W487" s="320">
        <f>IFERROR(__xludf.DUMMYFUNCTION("""COMPUTED_VALUE"""),56.64)</f>
        <v>56.64</v>
      </c>
      <c r="X487" s="320">
        <f>IFERROR(__xludf.DUMMYFUNCTION("""COMPUTED_VALUE"""),175.0)</f>
        <v>175</v>
      </c>
      <c r="Y487" s="320">
        <f>IFERROR(__xludf.DUMMYFUNCTION("""COMPUTED_VALUE"""),642.0)</f>
        <v>642</v>
      </c>
      <c r="Z487" s="320">
        <f>IFERROR(__xludf.DUMMYFUNCTION("""COMPUTED_VALUE"""),2470.0)</f>
        <v>2470</v>
      </c>
      <c r="AA487" s="320">
        <f>IFERROR(__xludf.DUMMYFUNCTION("""COMPUTED_VALUE"""),60.8263)</f>
        <v>60.8263</v>
      </c>
      <c r="AB487" s="320">
        <f>IFERROR(__xludf.DUMMYFUNCTION("""COMPUTED_VALUE"""),0.8269)</f>
        <v>0.8269</v>
      </c>
      <c r="AC487" s="320">
        <f>IFERROR(__xludf.DUMMYFUNCTION("""COMPUTED_VALUE"""),83.79)</f>
        <v>83.79</v>
      </c>
      <c r="AD487" s="320">
        <f>IFERROR(__xludf.DUMMYFUNCTION("""COMPUTED_VALUE"""),30.0)</f>
        <v>30</v>
      </c>
      <c r="AE487" s="320">
        <f>IFERROR(__xludf.DUMMYFUNCTION("""COMPUTED_VALUE"""),72.0)</f>
        <v>72</v>
      </c>
      <c r="AF487" s="320">
        <f>IFERROR(__xludf.DUMMYFUNCTION("""COMPUTED_VALUE"""),119.0)</f>
        <v>119</v>
      </c>
      <c r="AG487" s="320">
        <f>IFERROR(__xludf.DUMMYFUNCTION("""COMPUTED_VALUE"""),169.0)</f>
        <v>169</v>
      </c>
      <c r="AH487" s="320">
        <f>IFERROR(__xludf.DUMMYFUNCTION("""COMPUTED_VALUE"""),45.99)</f>
        <v>45.99</v>
      </c>
      <c r="AI487" s="320">
        <f>IFERROR(__xludf.DUMMYFUNCTION("""COMPUTED_VALUE"""),9.12)</f>
        <v>9.12</v>
      </c>
      <c r="AJ487" s="320">
        <f>IFERROR(__xludf.DUMMYFUNCTION("""COMPUTED_VALUE"""),0.36)</f>
        <v>0.36</v>
      </c>
      <c r="AK487" s="320">
        <f>IFERROR(__xludf.DUMMYFUNCTION("""COMPUTED_VALUE"""),0.1423)</f>
        <v>0.1423</v>
      </c>
      <c r="AL487" s="320">
        <f>IFERROR(__xludf.DUMMYFUNCTION("""COMPUTED_VALUE"""),23.45)</f>
        <v>23.45</v>
      </c>
      <c r="AM487" s="320">
        <f>IFERROR(__xludf.DUMMYFUNCTION("""COMPUTED_VALUE"""),1102.14)</f>
        <v>1102.14</v>
      </c>
      <c r="AN487" s="320">
        <f>IFERROR(__xludf.DUMMYFUNCTION("""COMPUTED_VALUE"""),72.32)</f>
        <v>72.32</v>
      </c>
      <c r="AO487" s="320">
        <f>IFERROR(__xludf.DUMMYFUNCTION("""COMPUTED_VALUE"""),16.96)</f>
        <v>16.96</v>
      </c>
    </row>
    <row r="488" ht="15.0" customHeight="1">
      <c r="A488" s="328">
        <f>IFERROR(__xludf.DUMMYFUNCTION("""COMPUTED_VALUE"""),46131.0)</f>
        <v>46131</v>
      </c>
      <c r="B488" s="319" t="str">
        <f>IFERROR(__xludf.DUMMYFUNCTION("""COMPUTED_VALUE"""),"A. 0")</f>
        <v>A. 0</v>
      </c>
      <c r="C488" s="320">
        <f>IFERROR(__xludf.DUMMYFUNCTION("""COMPUTED_VALUE"""),15226.0)</f>
        <v>15226</v>
      </c>
      <c r="D488" s="320">
        <f>IFERROR(__xludf.DUMMYFUNCTION("""COMPUTED_VALUE"""),21.05)</f>
        <v>21.05</v>
      </c>
      <c r="E488" s="320">
        <f>IFERROR(__xludf.DUMMYFUNCTION("""COMPUTED_VALUE"""),66.95)</f>
        <v>66.95</v>
      </c>
      <c r="F488" s="320">
        <f>IFERROR(__xludf.DUMMYFUNCTION("""COMPUTED_VALUE"""),0.0044)</f>
        <v>0.0044</v>
      </c>
      <c r="G488" s="320">
        <f>IFERROR(__xludf.DUMMYFUNCTION("""COMPUTED_VALUE"""),0.15)</f>
        <v>0.15</v>
      </c>
      <c r="H488" s="320">
        <f>IFERROR(__xludf.DUMMYFUNCTION("""COMPUTED_VALUE"""),2.9109)</f>
        <v>2.9109</v>
      </c>
      <c r="I488" s="320">
        <f>IFERROR(__xludf.DUMMYFUNCTION("""COMPUTED_VALUE"""),6.57)</f>
        <v>6.57</v>
      </c>
      <c r="J488" s="320">
        <f>IFERROR(__xludf.DUMMYFUNCTION("""COMPUTED_VALUE"""),2.97)</f>
        <v>2.97</v>
      </c>
      <c r="K488" s="320">
        <f>IFERROR(__xludf.DUMMYFUNCTION("""COMPUTED_VALUE"""),0.05)</f>
        <v>0.05</v>
      </c>
      <c r="L488" s="320">
        <f>IFERROR(__xludf.DUMMYFUNCTION("""COMPUTED_VALUE"""),0.0171)</f>
        <v>0.0171</v>
      </c>
      <c r="M488" s="320">
        <f>IFERROR(__xludf.DUMMYFUNCTION("""COMPUTED_VALUE"""),0.9836)</f>
        <v>0.9836</v>
      </c>
      <c r="N488" s="320">
        <f>IFERROR(__xludf.DUMMYFUNCTION("""COMPUTED_VALUE"""),0.7921)</f>
        <v>0.7921</v>
      </c>
      <c r="O488" s="320">
        <f>IFERROR(__xludf.DUMMYFUNCTION("""COMPUTED_VALUE"""),58.3915)</f>
        <v>58.3915</v>
      </c>
      <c r="P488" s="320">
        <f>IFERROR(__xludf.DUMMYFUNCTION("""COMPUTED_VALUE"""),23.23)</f>
        <v>23.23</v>
      </c>
      <c r="Q488" s="320">
        <f>IFERROR(__xludf.DUMMYFUNCTION("""COMPUTED_VALUE"""),23.18)</f>
        <v>23.18</v>
      </c>
      <c r="R488" s="320">
        <f>IFERROR(__xludf.DUMMYFUNCTION("""COMPUTED_VALUE"""),0.06)</f>
        <v>0.06</v>
      </c>
      <c r="S488" s="320">
        <f>IFERROR(__xludf.DUMMYFUNCTION("""COMPUTED_VALUE"""),0.31)</f>
        <v>0.31</v>
      </c>
      <c r="T488" s="320">
        <f>IFERROR(__xludf.DUMMYFUNCTION("""COMPUTED_VALUE"""),22.92)</f>
        <v>22.92</v>
      </c>
      <c r="U488" s="320">
        <f>IFERROR(__xludf.DUMMYFUNCTION("""COMPUTED_VALUE"""),1.91)</f>
        <v>1.91</v>
      </c>
      <c r="V488" s="320">
        <f>IFERROR(__xludf.DUMMYFUNCTION("""COMPUTED_VALUE"""),0.6439)</f>
        <v>0.6439</v>
      </c>
      <c r="W488" s="320">
        <f>IFERROR(__xludf.DUMMYFUNCTION("""COMPUTED_VALUE"""),1.34)</f>
        <v>1.34</v>
      </c>
      <c r="X488" s="320">
        <f>IFERROR(__xludf.DUMMYFUNCTION("""COMPUTED_VALUE"""),147.0)</f>
        <v>147</v>
      </c>
      <c r="Y488" s="320">
        <f>IFERROR(__xludf.DUMMYFUNCTION("""COMPUTED_VALUE"""),1161.0)</f>
        <v>1161</v>
      </c>
      <c r="Z488" s="320">
        <f>IFERROR(__xludf.DUMMYFUNCTION("""COMPUTED_VALUE"""),7529.0)</f>
        <v>7529</v>
      </c>
      <c r="AA488" s="320">
        <f>IFERROR(__xludf.DUMMYFUNCTION("""COMPUTED_VALUE"""),49.8896)</f>
        <v>49.8896</v>
      </c>
      <c r="AB488" s="320">
        <f>IFERROR(__xludf.DUMMYFUNCTION("""COMPUTED_VALUE"""),0.5176)</f>
        <v>0.5176</v>
      </c>
      <c r="AC488" s="106"/>
      <c r="AD488" s="106"/>
      <c r="AE488" s="106"/>
      <c r="AF488" s="106"/>
      <c r="AG488" s="106"/>
      <c r="AH488" s="320">
        <f>IFERROR(__xludf.DUMMYFUNCTION("""COMPUTED_VALUE"""),0.0)</f>
        <v>0</v>
      </c>
      <c r="AI488" s="320">
        <f>IFERROR(__xludf.DUMMYFUNCTION("""COMPUTED_VALUE"""),0.0)</f>
        <v>0</v>
      </c>
      <c r="AJ488" s="320">
        <f>IFERROR(__xludf.DUMMYFUNCTION("""COMPUTED_VALUE"""),0.0)</f>
        <v>0</v>
      </c>
      <c r="AK488" s="320">
        <f>IFERROR(__xludf.DUMMYFUNCTION("""COMPUTED_VALUE"""),0.2779)</f>
        <v>0.2779</v>
      </c>
      <c r="AL488" s="320">
        <f>IFERROR(__xludf.DUMMYFUNCTION("""COMPUTED_VALUE"""),17.24)</f>
        <v>17.24</v>
      </c>
      <c r="AM488" s="320">
        <f>IFERROR(__xludf.DUMMYFUNCTION("""COMPUTED_VALUE"""),5.94)</f>
        <v>5.94</v>
      </c>
      <c r="AN488" s="331"/>
      <c r="AO488" s="331"/>
    </row>
    <row r="489" ht="15.0" customHeight="1">
      <c r="A489" s="328">
        <f>IFERROR(__xludf.DUMMYFUNCTION("""COMPUTED_VALUE"""),46131.0)</f>
        <v>46131</v>
      </c>
      <c r="B489" s="319" t="str">
        <f>IFERROR(__xludf.DUMMYFUNCTION("""COMPUTED_VALUE"""),"B. 1-9")</f>
        <v>B. 1-9</v>
      </c>
      <c r="C489" s="320">
        <f>IFERROR(__xludf.DUMMYFUNCTION("""COMPUTED_VALUE"""),31516.0)</f>
        <v>31516</v>
      </c>
      <c r="D489" s="320">
        <f>IFERROR(__xludf.DUMMYFUNCTION("""COMPUTED_VALUE"""),43.58)</f>
        <v>43.58</v>
      </c>
      <c r="E489" s="320">
        <f>IFERROR(__xludf.DUMMYFUNCTION("""COMPUTED_VALUE"""),7394.31)</f>
        <v>7394.31</v>
      </c>
      <c r="F489" s="320">
        <f>IFERROR(__xludf.DUMMYFUNCTION("""COMPUTED_VALUE"""),0.2346)</f>
        <v>0.2346</v>
      </c>
      <c r="G489" s="320">
        <f>IFERROR(__xludf.DUMMYFUNCTION("""COMPUTED_VALUE"""),6.95)</f>
        <v>6.95</v>
      </c>
      <c r="H489" s="320">
        <f>IFERROR(__xludf.DUMMYFUNCTION("""COMPUTED_VALUE"""),3.3749)</f>
        <v>3.3749</v>
      </c>
      <c r="I489" s="320">
        <f>IFERROR(__xludf.DUMMYFUNCTION("""COMPUTED_VALUE"""),35.77)</f>
        <v>35.77</v>
      </c>
      <c r="J489" s="320">
        <f>IFERROR(__xludf.DUMMYFUNCTION("""COMPUTED_VALUE"""),19.6)</f>
        <v>19.6</v>
      </c>
      <c r="K489" s="320">
        <f>IFERROR(__xludf.DUMMYFUNCTION("""COMPUTED_VALUE"""),5.53)</f>
        <v>5.53</v>
      </c>
      <c r="L489" s="320">
        <f>IFERROR(__xludf.DUMMYFUNCTION("""COMPUTED_VALUE"""),0.282)</f>
        <v>0.282</v>
      </c>
      <c r="M489" s="320">
        <f>IFERROR(__xludf.DUMMYFUNCTION("""COMPUTED_VALUE"""),0.7789)</f>
        <v>0.7789</v>
      </c>
      <c r="N489" s="320">
        <f>IFERROR(__xludf.DUMMYFUNCTION("""COMPUTED_VALUE"""),0.5266)</f>
        <v>0.5266</v>
      </c>
      <c r="O489" s="320">
        <f>IFERROR(__xludf.DUMMYFUNCTION("""COMPUTED_VALUE"""),3.546)</f>
        <v>3.546</v>
      </c>
      <c r="P489" s="320">
        <f>IFERROR(__xludf.DUMMYFUNCTION("""COMPUTED_VALUE"""),65.71)</f>
        <v>65.71</v>
      </c>
      <c r="Q489" s="320">
        <f>IFERROR(__xludf.DUMMYFUNCTION("""COMPUTED_VALUE"""),54.5)</f>
        <v>54.5</v>
      </c>
      <c r="R489" s="320">
        <f>IFERROR(__xludf.DUMMYFUNCTION("""COMPUTED_VALUE"""),11.21)</f>
        <v>11.21</v>
      </c>
      <c r="S489" s="320">
        <f>IFERROR(__xludf.DUMMYFUNCTION("""COMPUTED_VALUE"""),17.12)</f>
        <v>17.12</v>
      </c>
      <c r="T489" s="320">
        <f>IFERROR(__xludf.DUMMYFUNCTION("""COMPUTED_VALUE"""),48.59)</f>
        <v>48.59</v>
      </c>
      <c r="U489" s="320">
        <f>IFERROR(__xludf.DUMMYFUNCTION("""COMPUTED_VALUE"""),74.19)</f>
        <v>74.19</v>
      </c>
      <c r="V489" s="320">
        <f>IFERROR(__xludf.DUMMYFUNCTION("""COMPUTED_VALUE"""),3.7855)</f>
        <v>3.7855</v>
      </c>
      <c r="W489" s="320">
        <f>IFERROR(__xludf.DUMMYFUNCTION("""COMPUTED_VALUE"""),26.06)</f>
        <v>26.06</v>
      </c>
      <c r="X489" s="320">
        <f>IFERROR(__xludf.DUMMYFUNCTION("""COMPUTED_VALUE"""),84.0)</f>
        <v>84</v>
      </c>
      <c r="Y489" s="320">
        <f>IFERROR(__xludf.DUMMYFUNCTION("""COMPUTED_VALUE"""),203.0)</f>
        <v>203</v>
      </c>
      <c r="Z489" s="320">
        <f>IFERROR(__xludf.DUMMYFUNCTION("""COMPUTED_VALUE"""),916.0)</f>
        <v>916</v>
      </c>
      <c r="AA489" s="320">
        <f>IFERROR(__xludf.DUMMYFUNCTION("""COMPUTED_VALUE"""),49.4523)</f>
        <v>49.4523</v>
      </c>
      <c r="AB489" s="320">
        <f>IFERROR(__xludf.DUMMYFUNCTION("""COMPUTED_VALUE"""),0.4475)</f>
        <v>0.4475</v>
      </c>
      <c r="AC489" s="320">
        <f>IFERROR(__xludf.DUMMYFUNCTION("""COMPUTED_VALUE"""),3.54)</f>
        <v>3.54</v>
      </c>
      <c r="AD489" s="320">
        <f>IFERROR(__xludf.DUMMYFUNCTION("""COMPUTED_VALUE"""),1.0)</f>
        <v>1</v>
      </c>
      <c r="AE489" s="320">
        <f>IFERROR(__xludf.DUMMYFUNCTION("""COMPUTED_VALUE"""),2.0)</f>
        <v>2</v>
      </c>
      <c r="AF489" s="320">
        <f>IFERROR(__xludf.DUMMYFUNCTION("""COMPUTED_VALUE"""),5.0)</f>
        <v>5</v>
      </c>
      <c r="AG489" s="320">
        <f>IFERROR(__xludf.DUMMYFUNCTION("""COMPUTED_VALUE"""),8.0)</f>
        <v>8</v>
      </c>
      <c r="AH489" s="320">
        <f>IFERROR(__xludf.DUMMYFUNCTION("""COMPUTED_VALUE"""),67.37)</f>
        <v>67.37</v>
      </c>
      <c r="AI489" s="320">
        <f>IFERROR(__xludf.DUMMYFUNCTION("""COMPUTED_VALUE"""),25.13)</f>
        <v>25.13</v>
      </c>
      <c r="AJ489" s="320">
        <f>IFERROR(__xludf.DUMMYFUNCTION("""COMPUTED_VALUE"""),6.61)</f>
        <v>6.61</v>
      </c>
      <c r="AK489" s="320">
        <f>IFERROR(__xludf.DUMMYFUNCTION("""COMPUTED_VALUE"""),0.2347)</f>
        <v>0.2347</v>
      </c>
      <c r="AL489" s="320">
        <f>IFERROR(__xludf.DUMMYFUNCTION("""COMPUTED_VALUE"""),21.73)</f>
        <v>21.73</v>
      </c>
      <c r="AM489" s="320">
        <f>IFERROR(__xludf.DUMMYFUNCTION("""COMPUTED_VALUE"""),32.77)</f>
        <v>32.77</v>
      </c>
      <c r="AN489" s="320">
        <f>IFERROR(__xludf.DUMMYFUNCTION("""COMPUTED_VALUE"""),67.82)</f>
        <v>67.82</v>
      </c>
      <c r="AO489" s="320">
        <f>IFERROR(__xludf.DUMMYFUNCTION("""COMPUTED_VALUE"""),14.74)</f>
        <v>14.74</v>
      </c>
    </row>
    <row r="490" ht="15.0" customHeight="1">
      <c r="A490" s="328">
        <f>IFERROR(__xludf.DUMMYFUNCTION("""COMPUTED_VALUE"""),46131.0)</f>
        <v>46131</v>
      </c>
      <c r="B490" s="319" t="str">
        <f>IFERROR(__xludf.DUMMYFUNCTION("""COMPUTED_VALUE"""),"C. 10-19")</f>
        <v>C. 10-19</v>
      </c>
      <c r="C490" s="320">
        <f>IFERROR(__xludf.DUMMYFUNCTION("""COMPUTED_VALUE"""),15041.0)</f>
        <v>15041</v>
      </c>
      <c r="D490" s="320">
        <f>IFERROR(__xludf.DUMMYFUNCTION("""COMPUTED_VALUE"""),20.8)</f>
        <v>20.8</v>
      </c>
      <c r="E490" s="320">
        <f>IFERROR(__xludf.DUMMYFUNCTION("""COMPUTED_VALUE"""),15900.56)</f>
        <v>15900.56</v>
      </c>
      <c r="F490" s="320">
        <f>IFERROR(__xludf.DUMMYFUNCTION("""COMPUTED_VALUE"""),1.0571)</f>
        <v>1.0571</v>
      </c>
      <c r="G490" s="320">
        <f>IFERROR(__xludf.DUMMYFUNCTION("""COMPUTED_VALUE"""),21.8)</f>
        <v>21.8</v>
      </c>
      <c r="H490" s="320">
        <f>IFERROR(__xludf.DUMMYFUNCTION("""COMPUTED_VALUE"""),4.8492)</f>
        <v>4.8492</v>
      </c>
      <c r="I490" s="320">
        <f>IFERROR(__xludf.DUMMYFUNCTION("""COMPUTED_VALUE"""),65.22)</f>
        <v>65.22</v>
      </c>
      <c r="J490" s="320">
        <f>IFERROR(__xludf.DUMMYFUNCTION("""COMPUTED_VALUE"""),37.7)</f>
        <v>37.7</v>
      </c>
      <c r="K490" s="320">
        <f>IFERROR(__xludf.DUMMYFUNCTION("""COMPUTED_VALUE"""),14.21)</f>
        <v>14.21</v>
      </c>
      <c r="L490" s="320">
        <f>IFERROR(__xludf.DUMMYFUNCTION("""COMPUTED_VALUE"""),0.3769)</f>
        <v>0.3769</v>
      </c>
      <c r="M490" s="320">
        <f>IFERROR(__xludf.DUMMYFUNCTION("""COMPUTED_VALUE"""),0.6788)</f>
        <v>0.6788</v>
      </c>
      <c r="N490" s="320">
        <f>IFERROR(__xludf.DUMMYFUNCTION("""COMPUTED_VALUE"""),0.3948)</f>
        <v>0.3948</v>
      </c>
      <c r="O490" s="320">
        <f>IFERROR(__xludf.DUMMYFUNCTION("""COMPUTED_VALUE"""),2.653)</f>
        <v>2.653</v>
      </c>
      <c r="P490" s="320">
        <f>IFERROR(__xludf.DUMMYFUNCTION("""COMPUTED_VALUE"""),155.83)</f>
        <v>155.83</v>
      </c>
      <c r="Q490" s="320">
        <f>IFERROR(__xludf.DUMMYFUNCTION("""COMPUTED_VALUE"""),126.77)</f>
        <v>126.77</v>
      </c>
      <c r="R490" s="320">
        <f>IFERROR(__xludf.DUMMYFUNCTION("""COMPUTED_VALUE"""),29.06)</f>
        <v>29.06</v>
      </c>
      <c r="S490" s="320">
        <f>IFERROR(__xludf.DUMMYFUNCTION("""COMPUTED_VALUE"""),71.28)</f>
        <v>71.28</v>
      </c>
      <c r="T490" s="320">
        <f>IFERROR(__xludf.DUMMYFUNCTION("""COMPUTED_VALUE"""),84.55)</f>
        <v>84.55</v>
      </c>
      <c r="U490" s="320">
        <f>IFERROR(__xludf.DUMMYFUNCTION("""COMPUTED_VALUE"""),174.92)</f>
        <v>174.92</v>
      </c>
      <c r="V490" s="320">
        <f>IFERROR(__xludf.DUMMYFUNCTION("""COMPUTED_VALUE"""),4.64)</f>
        <v>4.64</v>
      </c>
      <c r="W490" s="320">
        <f>IFERROR(__xludf.DUMMYFUNCTION("""COMPUTED_VALUE"""),45.74)</f>
        <v>45.74</v>
      </c>
      <c r="X490" s="320">
        <f>IFERROR(__xludf.DUMMYFUNCTION("""COMPUTED_VALUE"""),78.0)</f>
        <v>78</v>
      </c>
      <c r="Y490" s="320">
        <f>IFERROR(__xludf.DUMMYFUNCTION("""COMPUTED_VALUE"""),156.0)</f>
        <v>156</v>
      </c>
      <c r="Z490" s="320">
        <f>IFERROR(__xludf.DUMMYFUNCTION("""COMPUTED_VALUE"""),516.0)</f>
        <v>516</v>
      </c>
      <c r="AA490" s="320">
        <f>IFERROR(__xludf.DUMMYFUNCTION("""COMPUTED_VALUE"""),52.2675)</f>
        <v>52.2675</v>
      </c>
      <c r="AB490" s="320">
        <f>IFERROR(__xludf.DUMMYFUNCTION("""COMPUTED_VALUE"""),0.5398)</f>
        <v>0.5398</v>
      </c>
      <c r="AC490" s="320">
        <f>IFERROR(__xludf.DUMMYFUNCTION("""COMPUTED_VALUE"""),8.72)</f>
        <v>8.72</v>
      </c>
      <c r="AD490" s="320">
        <f>IFERROR(__xludf.DUMMYFUNCTION("""COMPUTED_VALUE"""),3.0)</f>
        <v>3</v>
      </c>
      <c r="AE490" s="320">
        <f>IFERROR(__xludf.DUMMYFUNCTION("""COMPUTED_VALUE"""),6.0)</f>
        <v>6</v>
      </c>
      <c r="AF490" s="320">
        <f>IFERROR(__xludf.DUMMYFUNCTION("""COMPUTED_VALUE"""),12.0)</f>
        <v>12</v>
      </c>
      <c r="AG490" s="320">
        <f>IFERROR(__xludf.DUMMYFUNCTION("""COMPUTED_VALUE"""),19.0)</f>
        <v>19</v>
      </c>
      <c r="AH490" s="320">
        <f>IFERROR(__xludf.DUMMYFUNCTION("""COMPUTED_VALUE"""),54.54)</f>
        <v>54.54</v>
      </c>
      <c r="AI490" s="320">
        <f>IFERROR(__xludf.DUMMYFUNCTION("""COMPUTED_VALUE"""),23.66)</f>
        <v>23.66</v>
      </c>
      <c r="AJ490" s="320">
        <f>IFERROR(__xludf.DUMMYFUNCTION("""COMPUTED_VALUE"""),4.47)</f>
        <v>4.47</v>
      </c>
      <c r="AK490" s="320">
        <f>IFERROR(__xludf.DUMMYFUNCTION("""COMPUTED_VALUE"""),0.2135)</f>
        <v>0.2135</v>
      </c>
      <c r="AL490" s="320">
        <f>IFERROR(__xludf.DUMMYFUNCTION("""COMPUTED_VALUE"""),22.31)</f>
        <v>22.31</v>
      </c>
      <c r="AM490" s="320">
        <f>IFERROR(__xludf.DUMMYFUNCTION("""COMPUTED_VALUE"""),104.46)</f>
        <v>104.46</v>
      </c>
      <c r="AN490" s="320">
        <f>IFERROR(__xludf.DUMMYFUNCTION("""COMPUTED_VALUE"""),73.2)</f>
        <v>73.2</v>
      </c>
      <c r="AO490" s="320">
        <f>IFERROR(__xludf.DUMMYFUNCTION("""COMPUTED_VALUE"""),16.33)</f>
        <v>16.33</v>
      </c>
    </row>
    <row r="491" ht="15.0" customHeight="1">
      <c r="A491" s="328">
        <f>IFERROR(__xludf.DUMMYFUNCTION("""COMPUTED_VALUE"""),46131.0)</f>
        <v>46131</v>
      </c>
      <c r="B491" s="319" t="str">
        <f>IFERROR(__xludf.DUMMYFUNCTION("""COMPUTED_VALUE"""),"D. 20-39")</f>
        <v>D. 20-39</v>
      </c>
      <c r="C491" s="320">
        <f>IFERROR(__xludf.DUMMYFUNCTION("""COMPUTED_VALUE"""),7475.0)</f>
        <v>7475</v>
      </c>
      <c r="D491" s="320">
        <f>IFERROR(__xludf.DUMMYFUNCTION("""COMPUTED_VALUE"""),10.34)</f>
        <v>10.34</v>
      </c>
      <c r="E491" s="320">
        <f>IFERROR(__xludf.DUMMYFUNCTION("""COMPUTED_VALUE"""),20275.13)</f>
        <v>20275.13</v>
      </c>
      <c r="F491" s="320">
        <f>IFERROR(__xludf.DUMMYFUNCTION("""COMPUTED_VALUE"""),2.7124)</f>
        <v>2.7124</v>
      </c>
      <c r="G491" s="320">
        <f>IFERROR(__xludf.DUMMYFUNCTION("""COMPUTED_VALUE"""),34.92)</f>
        <v>34.92</v>
      </c>
      <c r="H491" s="320">
        <f>IFERROR(__xludf.DUMMYFUNCTION("""COMPUTED_VALUE"""),7.7682)</f>
        <v>7.7682</v>
      </c>
      <c r="I491" s="320">
        <f>IFERROR(__xludf.DUMMYFUNCTION("""COMPUTED_VALUE"""),90.94)</f>
        <v>90.94</v>
      </c>
      <c r="J491" s="320">
        <f>IFERROR(__xludf.DUMMYFUNCTION("""COMPUTED_VALUE"""),54.88)</f>
        <v>54.88</v>
      </c>
      <c r="K491" s="320">
        <f>IFERROR(__xludf.DUMMYFUNCTION("""COMPUTED_VALUE"""),27.02)</f>
        <v>27.02</v>
      </c>
      <c r="L491" s="320">
        <f>IFERROR(__xludf.DUMMYFUNCTION("""COMPUTED_VALUE"""),0.4923)</f>
        <v>0.4923</v>
      </c>
      <c r="M491" s="320">
        <f>IFERROR(__xludf.DUMMYFUNCTION("""COMPUTED_VALUE"""),0.5724)</f>
        <v>0.5724</v>
      </c>
      <c r="N491" s="320">
        <f>IFERROR(__xludf.DUMMYFUNCTION("""COMPUTED_VALUE"""),0.3141)</f>
        <v>0.3141</v>
      </c>
      <c r="O491" s="320">
        <f>IFERROR(__xludf.DUMMYFUNCTION("""COMPUTED_VALUE"""),2.0312)</f>
        <v>2.0312</v>
      </c>
      <c r="P491" s="320">
        <f>IFERROR(__xludf.DUMMYFUNCTION("""COMPUTED_VALUE"""),304.15)</f>
        <v>304.15</v>
      </c>
      <c r="Q491" s="320">
        <f>IFERROR(__xludf.DUMMYFUNCTION("""COMPUTED_VALUE"""),248.83)</f>
        <v>248.83</v>
      </c>
      <c r="R491" s="320">
        <f>IFERROR(__xludf.DUMMYFUNCTION("""COMPUTED_VALUE"""),55.32)</f>
        <v>55.32</v>
      </c>
      <c r="S491" s="320">
        <f>IFERROR(__xludf.DUMMYFUNCTION("""COMPUTED_VALUE"""),173.69)</f>
        <v>173.69</v>
      </c>
      <c r="T491" s="320">
        <f>IFERROR(__xludf.DUMMYFUNCTION("""COMPUTED_VALUE"""),130.46)</f>
        <v>130.46</v>
      </c>
      <c r="U491" s="320">
        <f>IFERROR(__xludf.DUMMYFUNCTION("""COMPUTED_VALUE"""),339.09)</f>
        <v>339.09</v>
      </c>
      <c r="V491" s="320">
        <f>IFERROR(__xludf.DUMMYFUNCTION("""COMPUTED_VALUE"""),6.179)</f>
        <v>6.179</v>
      </c>
      <c r="W491" s="320">
        <f>IFERROR(__xludf.DUMMYFUNCTION("""COMPUTED_VALUE"""),57.11)</f>
        <v>57.11</v>
      </c>
      <c r="X491" s="320">
        <f>IFERROR(__xludf.DUMMYFUNCTION("""COMPUTED_VALUE"""),79.0)</f>
        <v>79</v>
      </c>
      <c r="Y491" s="320">
        <f>IFERROR(__xludf.DUMMYFUNCTION("""COMPUTED_VALUE"""),163.0)</f>
        <v>163</v>
      </c>
      <c r="Z491" s="320">
        <f>IFERROR(__xludf.DUMMYFUNCTION("""COMPUTED_VALUE"""),553.0)</f>
        <v>553</v>
      </c>
      <c r="AA491" s="320">
        <f>IFERROR(__xludf.DUMMYFUNCTION("""COMPUTED_VALUE"""),54.345)</f>
        <v>54.345</v>
      </c>
      <c r="AB491" s="320">
        <f>IFERROR(__xludf.DUMMYFUNCTION("""COMPUTED_VALUE"""),0.6376)</f>
        <v>0.6376</v>
      </c>
      <c r="AC491" s="320">
        <f>IFERROR(__xludf.DUMMYFUNCTION("""COMPUTED_VALUE"""),16.47)</f>
        <v>16.47</v>
      </c>
      <c r="AD491" s="320">
        <f>IFERROR(__xludf.DUMMYFUNCTION("""COMPUTED_VALUE"""),6.0)</f>
        <v>6</v>
      </c>
      <c r="AE491" s="320">
        <f>IFERROR(__xludf.DUMMYFUNCTION("""COMPUTED_VALUE"""),12.0)</f>
        <v>12</v>
      </c>
      <c r="AF491" s="320">
        <f>IFERROR(__xludf.DUMMYFUNCTION("""COMPUTED_VALUE"""),23.0)</f>
        <v>23</v>
      </c>
      <c r="AG491" s="320">
        <f>IFERROR(__xludf.DUMMYFUNCTION("""COMPUTED_VALUE"""),35.0)</f>
        <v>35</v>
      </c>
      <c r="AH491" s="320">
        <f>IFERROR(__xludf.DUMMYFUNCTION("""COMPUTED_VALUE"""),53.65)</f>
        <v>53.65</v>
      </c>
      <c r="AI491" s="320">
        <f>IFERROR(__xludf.DUMMYFUNCTION("""COMPUTED_VALUE"""),20.95)</f>
        <v>20.95</v>
      </c>
      <c r="AJ491" s="320">
        <f>IFERROR(__xludf.DUMMYFUNCTION("""COMPUTED_VALUE"""),6.37)</f>
        <v>6.37</v>
      </c>
      <c r="AK491" s="320">
        <f>IFERROR(__xludf.DUMMYFUNCTION("""COMPUTED_VALUE"""),0.21)</f>
        <v>0.21</v>
      </c>
      <c r="AL491" s="320">
        <f>IFERROR(__xludf.DUMMYFUNCTION("""COMPUTED_VALUE"""),21.5)</f>
        <v>21.5</v>
      </c>
      <c r="AM491" s="320">
        <f>IFERROR(__xludf.DUMMYFUNCTION("""COMPUTED_VALUE"""),227.33)</f>
        <v>227.33</v>
      </c>
      <c r="AN491" s="320">
        <f>IFERROR(__xludf.DUMMYFUNCTION("""COMPUTED_VALUE"""),73.75)</f>
        <v>73.75</v>
      </c>
      <c r="AO491" s="320">
        <f>IFERROR(__xludf.DUMMYFUNCTION("""COMPUTED_VALUE"""),15.86)</f>
        <v>15.86</v>
      </c>
    </row>
    <row r="492" ht="15.0" customHeight="1">
      <c r="A492" s="328">
        <f>IFERROR(__xludf.DUMMYFUNCTION("""COMPUTED_VALUE"""),46131.0)</f>
        <v>46131</v>
      </c>
      <c r="B492" s="319" t="str">
        <f>IFERROR(__xludf.DUMMYFUNCTION("""COMPUTED_VALUE"""),"E. 40-99")</f>
        <v>E. 40-99</v>
      </c>
      <c r="C492" s="320">
        <f>IFERROR(__xludf.DUMMYFUNCTION("""COMPUTED_VALUE"""),2786.0)</f>
        <v>2786</v>
      </c>
      <c r="D492" s="320">
        <f>IFERROR(__xludf.DUMMYFUNCTION("""COMPUTED_VALUE"""),3.85)</f>
        <v>3.85</v>
      </c>
      <c r="E492" s="320">
        <f>IFERROR(__xludf.DUMMYFUNCTION("""COMPUTED_VALUE"""),19573.32)</f>
        <v>19573.32</v>
      </c>
      <c r="F492" s="320">
        <f>IFERROR(__xludf.DUMMYFUNCTION("""COMPUTED_VALUE"""),7.0256)</f>
        <v>7.0256</v>
      </c>
      <c r="G492" s="320">
        <f>IFERROR(__xludf.DUMMYFUNCTION("""COMPUTED_VALUE"""),47.63)</f>
        <v>47.63</v>
      </c>
      <c r="H492" s="320">
        <f>IFERROR(__xludf.DUMMYFUNCTION("""COMPUTED_VALUE"""),14.7501)</f>
        <v>14.7501</v>
      </c>
      <c r="I492" s="320">
        <f>IFERROR(__xludf.DUMMYFUNCTION("""COMPUTED_VALUE"""),136.4)</f>
        <v>136.4</v>
      </c>
      <c r="J492" s="320">
        <f>IFERROR(__xludf.DUMMYFUNCTION("""COMPUTED_VALUE"""),85.89)</f>
        <v>85.89</v>
      </c>
      <c r="K492" s="320">
        <f>IFERROR(__xludf.DUMMYFUNCTION("""COMPUTED_VALUE"""),55.36)</f>
        <v>55.36</v>
      </c>
      <c r="L492" s="320">
        <f>IFERROR(__xludf.DUMMYFUNCTION("""COMPUTED_VALUE"""),0.6446)</f>
        <v>0.6446</v>
      </c>
      <c r="M492" s="320">
        <f>IFERROR(__xludf.DUMMYFUNCTION("""COMPUTED_VALUE"""),0.4393)</f>
        <v>0.4393</v>
      </c>
      <c r="N492" s="320">
        <f>IFERROR(__xludf.DUMMYFUNCTION("""COMPUTED_VALUE"""),0.2446)</f>
        <v>0.2446</v>
      </c>
      <c r="O492" s="320">
        <f>IFERROR(__xludf.DUMMYFUNCTION("""COMPUTED_VALUE"""),1.5514)</f>
        <v>1.5514</v>
      </c>
      <c r="P492" s="320">
        <f>IFERROR(__xludf.DUMMYFUNCTION("""COMPUTED_VALUE"""),659.06)</f>
        <v>659.06</v>
      </c>
      <c r="Q492" s="320">
        <f>IFERROR(__xludf.DUMMYFUNCTION("""COMPUTED_VALUE"""),546.07)</f>
        <v>546.07</v>
      </c>
      <c r="R492" s="320">
        <f>IFERROR(__xludf.DUMMYFUNCTION("""COMPUTED_VALUE"""),112.99)</f>
        <v>112.99</v>
      </c>
      <c r="S492" s="320">
        <f>IFERROR(__xludf.DUMMYFUNCTION("""COMPUTED_VALUE"""),431.87)</f>
        <v>431.87</v>
      </c>
      <c r="T492" s="320">
        <f>IFERROR(__xludf.DUMMYFUNCTION("""COMPUTED_VALUE"""),227.19)</f>
        <v>227.19</v>
      </c>
      <c r="U492" s="320">
        <f>IFERROR(__xludf.DUMMYFUNCTION("""COMPUTED_VALUE"""),718.58)</f>
        <v>718.58</v>
      </c>
      <c r="V492" s="320">
        <f>IFERROR(__xludf.DUMMYFUNCTION("""COMPUTED_VALUE"""),8.3659)</f>
        <v>8.3659</v>
      </c>
      <c r="W492" s="320">
        <f>IFERROR(__xludf.DUMMYFUNCTION("""COMPUTED_VALUE"""),65.53)</f>
        <v>65.53</v>
      </c>
      <c r="X492" s="320">
        <f>IFERROR(__xludf.DUMMYFUNCTION("""COMPUTED_VALUE"""),90.0)</f>
        <v>90</v>
      </c>
      <c r="Y492" s="320">
        <f>IFERROR(__xludf.DUMMYFUNCTION("""COMPUTED_VALUE"""),244.0)</f>
        <v>244</v>
      </c>
      <c r="Z492" s="320">
        <f>IFERROR(__xludf.DUMMYFUNCTION("""COMPUTED_VALUE"""),909.0)</f>
        <v>909</v>
      </c>
      <c r="AA492" s="320">
        <f>IFERROR(__xludf.DUMMYFUNCTION("""COMPUTED_VALUE"""),57.4657)</f>
        <v>57.4657</v>
      </c>
      <c r="AB492" s="320">
        <f>IFERROR(__xludf.DUMMYFUNCTION("""COMPUTED_VALUE"""),0.7489)</f>
        <v>0.7489</v>
      </c>
      <c r="AC492" s="320">
        <f>IFERROR(__xludf.DUMMYFUNCTION("""COMPUTED_VALUE"""),35.16)</f>
        <v>35.16</v>
      </c>
      <c r="AD492" s="320">
        <f>IFERROR(__xludf.DUMMYFUNCTION("""COMPUTED_VALUE"""),12.0)</f>
        <v>12</v>
      </c>
      <c r="AE492" s="320">
        <f>IFERROR(__xludf.DUMMYFUNCTION("""COMPUTED_VALUE"""),26.0)</f>
        <v>26</v>
      </c>
      <c r="AF492" s="320">
        <f>IFERROR(__xludf.DUMMYFUNCTION("""COMPUTED_VALUE"""),49.0)</f>
        <v>49</v>
      </c>
      <c r="AG492" s="320">
        <f>IFERROR(__xludf.DUMMYFUNCTION("""COMPUTED_VALUE"""),77.0)</f>
        <v>77</v>
      </c>
      <c r="AH492" s="320">
        <f>IFERROR(__xludf.DUMMYFUNCTION("""COMPUTED_VALUE"""),47.34)</f>
        <v>47.34</v>
      </c>
      <c r="AI492" s="320">
        <f>IFERROR(__xludf.DUMMYFUNCTION("""COMPUTED_VALUE"""),17.88)</f>
        <v>17.88</v>
      </c>
      <c r="AJ492" s="320">
        <f>IFERROR(__xludf.DUMMYFUNCTION("""COMPUTED_VALUE"""),4.81)</f>
        <v>4.81</v>
      </c>
      <c r="AK492" s="320">
        <f>IFERROR(__xludf.DUMMYFUNCTION("""COMPUTED_VALUE"""),0.1927)</f>
        <v>0.1927</v>
      </c>
      <c r="AL492" s="320">
        <f>IFERROR(__xludf.DUMMYFUNCTION("""COMPUTED_VALUE"""),22.3)</f>
        <v>22.3</v>
      </c>
      <c r="AM492" s="320">
        <f>IFERROR(__xludf.DUMMYFUNCTION("""COMPUTED_VALUE"""),523.77)</f>
        <v>523.77</v>
      </c>
      <c r="AN492" s="320">
        <f>IFERROR(__xludf.DUMMYFUNCTION("""COMPUTED_VALUE"""),73.43)</f>
        <v>73.43</v>
      </c>
      <c r="AO492" s="320">
        <f>IFERROR(__xludf.DUMMYFUNCTION("""COMPUTED_VALUE"""),16.37)</f>
        <v>16.37</v>
      </c>
    </row>
    <row r="493" ht="15.0" customHeight="1">
      <c r="A493" s="328">
        <f>IFERROR(__xludf.DUMMYFUNCTION("""COMPUTED_VALUE"""),46131.0)</f>
        <v>46131</v>
      </c>
      <c r="B493" s="319" t="str">
        <f>IFERROR(__xludf.DUMMYFUNCTION("""COMPUTED_VALUE"""),"F. 100+")</f>
        <v>F. 100+</v>
      </c>
      <c r="C493" s="320">
        <f>IFERROR(__xludf.DUMMYFUNCTION("""COMPUTED_VALUE"""),277.0)</f>
        <v>277</v>
      </c>
      <c r="D493" s="320">
        <f>IFERROR(__xludf.DUMMYFUNCTION("""COMPUTED_VALUE"""),0.38)</f>
        <v>0.38</v>
      </c>
      <c r="E493" s="320">
        <f>IFERROR(__xludf.DUMMYFUNCTION("""COMPUTED_VALUE"""),3525.02)</f>
        <v>3525.02</v>
      </c>
      <c r="F493" s="320">
        <f>IFERROR(__xludf.DUMMYFUNCTION("""COMPUTED_VALUE"""),12.7257)</f>
        <v>12.7257</v>
      </c>
      <c r="G493" s="320">
        <f>IFERROR(__xludf.DUMMYFUNCTION("""COMPUTED_VALUE"""),51.99)</f>
        <v>51.99</v>
      </c>
      <c r="H493" s="320">
        <f>IFERROR(__xludf.DUMMYFUNCTION("""COMPUTED_VALUE"""),24.4793)</f>
        <v>24.4793</v>
      </c>
      <c r="I493" s="320">
        <f>IFERROR(__xludf.DUMMYFUNCTION("""COMPUTED_VALUE"""),257.61)</f>
        <v>257.61</v>
      </c>
      <c r="J493" s="320">
        <f>IFERROR(__xludf.DUMMYFUNCTION("""COMPUTED_VALUE"""),165.44)</f>
        <v>165.44</v>
      </c>
      <c r="K493" s="320">
        <f>IFERROR(__xludf.DUMMYFUNCTION("""COMPUTED_VALUE"""),129.91)</f>
        <v>129.91</v>
      </c>
      <c r="L493" s="320">
        <f>IFERROR(__xludf.DUMMYFUNCTION("""COMPUTED_VALUE"""),0.7852)</f>
        <v>0.7852</v>
      </c>
      <c r="M493" s="320">
        <f>IFERROR(__xludf.DUMMYFUNCTION("""COMPUTED_VALUE"""),0.3016)</f>
        <v>0.3016</v>
      </c>
      <c r="N493" s="320">
        <f>IFERROR(__xludf.DUMMYFUNCTION("""COMPUTED_VALUE"""),0.1818)</f>
        <v>0.1818</v>
      </c>
      <c r="O493" s="320">
        <f>IFERROR(__xludf.DUMMYFUNCTION("""COMPUTED_VALUE"""),1.2735)</f>
        <v>1.2735</v>
      </c>
      <c r="P493" s="320">
        <f>IFERROR(__xludf.DUMMYFUNCTION("""COMPUTED_VALUE"""),1263.06)</f>
        <v>1263.06</v>
      </c>
      <c r="Q493" s="320">
        <f>IFERROR(__xludf.DUMMYFUNCTION("""COMPUTED_VALUE"""),994.73)</f>
        <v>994.73</v>
      </c>
      <c r="R493" s="320">
        <f>IFERROR(__xludf.DUMMYFUNCTION("""COMPUTED_VALUE"""),268.34)</f>
        <v>268.34</v>
      </c>
      <c r="S493" s="320">
        <f>IFERROR(__xludf.DUMMYFUNCTION("""COMPUTED_VALUE"""),811.03)</f>
        <v>811.03</v>
      </c>
      <c r="T493" s="320">
        <f>IFERROR(__xludf.DUMMYFUNCTION("""COMPUTED_VALUE"""),452.04)</f>
        <v>452.04</v>
      </c>
      <c r="U493" s="320">
        <f>IFERROR(__xludf.DUMMYFUNCTION("""COMPUTED_VALUE"""),1379.24)</f>
        <v>1379.24</v>
      </c>
      <c r="V493" s="320">
        <f>IFERROR(__xludf.DUMMYFUNCTION("""COMPUTED_VALUE"""),8.337)</f>
        <v>8.337</v>
      </c>
      <c r="W493" s="320">
        <f>IFERROR(__xludf.DUMMYFUNCTION("""COMPUTED_VALUE"""),64.21)</f>
        <v>64.21</v>
      </c>
      <c r="X493" s="320">
        <f>IFERROR(__xludf.DUMMYFUNCTION("""COMPUTED_VALUE"""),121.0)</f>
        <v>121</v>
      </c>
      <c r="Y493" s="320">
        <f>IFERROR(__xludf.DUMMYFUNCTION("""COMPUTED_VALUE"""),470.0)</f>
        <v>470</v>
      </c>
      <c r="Z493" s="320">
        <f>IFERROR(__xludf.DUMMYFUNCTION("""COMPUTED_VALUE"""),2390.0)</f>
        <v>2390</v>
      </c>
      <c r="AA493" s="320">
        <f>IFERROR(__xludf.DUMMYFUNCTION("""COMPUTED_VALUE"""),61.7122)</f>
        <v>61.7122</v>
      </c>
      <c r="AB493" s="320">
        <f>IFERROR(__xludf.DUMMYFUNCTION("""COMPUTED_VALUE"""),0.8371)</f>
        <v>0.8371</v>
      </c>
      <c r="AC493" s="320">
        <f>IFERROR(__xludf.DUMMYFUNCTION("""COMPUTED_VALUE"""),84.15)</f>
        <v>84.15</v>
      </c>
      <c r="AD493" s="320">
        <f>IFERROR(__xludf.DUMMYFUNCTION("""COMPUTED_VALUE"""),26.0)</f>
        <v>26</v>
      </c>
      <c r="AE493" s="320">
        <f>IFERROR(__xludf.DUMMYFUNCTION("""COMPUTED_VALUE"""),62.0)</f>
        <v>62</v>
      </c>
      <c r="AF493" s="320">
        <f>IFERROR(__xludf.DUMMYFUNCTION("""COMPUTED_VALUE"""),117.0)</f>
        <v>117</v>
      </c>
      <c r="AG493" s="320">
        <f>IFERROR(__xludf.DUMMYFUNCTION("""COMPUTED_VALUE"""),188.0)</f>
        <v>188</v>
      </c>
      <c r="AH493" s="320">
        <f>IFERROR(__xludf.DUMMYFUNCTION("""COMPUTED_VALUE"""),41.52)</f>
        <v>41.52</v>
      </c>
      <c r="AI493" s="320">
        <f>IFERROR(__xludf.DUMMYFUNCTION("""COMPUTED_VALUE"""),11.91)</f>
        <v>11.91</v>
      </c>
      <c r="AJ493" s="320">
        <f>IFERROR(__xludf.DUMMYFUNCTION("""COMPUTED_VALUE"""),2.89)</f>
        <v>2.89</v>
      </c>
      <c r="AK493" s="320">
        <f>IFERROR(__xludf.DUMMYFUNCTION("""COMPUTED_VALUE"""),0.2022)</f>
        <v>0.2022</v>
      </c>
      <c r="AL493" s="320">
        <f>IFERROR(__xludf.DUMMYFUNCTION("""COMPUTED_VALUE"""),21.23)</f>
        <v>21.23</v>
      </c>
      <c r="AM493" s="320">
        <f>IFERROR(__xludf.DUMMYFUNCTION("""COMPUTED_VALUE"""),973.5)</f>
        <v>973.5</v>
      </c>
      <c r="AN493" s="320">
        <f>IFERROR(__xludf.DUMMYFUNCTION("""COMPUTED_VALUE"""),68.7)</f>
        <v>68.7</v>
      </c>
      <c r="AO493" s="320">
        <f>IFERROR(__xludf.DUMMYFUNCTION("""COMPUTED_VALUE"""),14.59)</f>
        <v>14.59</v>
      </c>
    </row>
    <row r="494" ht="15.0" customHeight="1">
      <c r="A494" s="328">
        <f>IFERROR(__xludf.DUMMYFUNCTION("""COMPUTED_VALUE"""),46132.0)</f>
        <v>46132</v>
      </c>
      <c r="B494" s="319" t="str">
        <f>IFERROR(__xludf.DUMMYFUNCTION("""COMPUTED_VALUE"""),"A. 0")</f>
        <v>A. 0</v>
      </c>
      <c r="C494" s="320">
        <f>IFERROR(__xludf.DUMMYFUNCTION("""COMPUTED_VALUE"""),14545.0)</f>
        <v>14545</v>
      </c>
      <c r="D494" s="320">
        <f>IFERROR(__xludf.DUMMYFUNCTION("""COMPUTED_VALUE"""),19.46)</f>
        <v>19.46</v>
      </c>
      <c r="E494" s="320">
        <f>IFERROR(__xludf.DUMMYFUNCTION("""COMPUTED_VALUE"""),86.77)</f>
        <v>86.77</v>
      </c>
      <c r="F494" s="320">
        <f>IFERROR(__xludf.DUMMYFUNCTION("""COMPUTED_VALUE"""),0.006)</f>
        <v>0.006</v>
      </c>
      <c r="G494" s="320">
        <f>IFERROR(__xludf.DUMMYFUNCTION("""COMPUTED_VALUE"""),0.19)</f>
        <v>0.19</v>
      </c>
      <c r="H494" s="320">
        <f>IFERROR(__xludf.DUMMYFUNCTION("""COMPUTED_VALUE"""),3.2137)</f>
        <v>3.2137</v>
      </c>
      <c r="I494" s="320">
        <f>IFERROR(__xludf.DUMMYFUNCTION("""COMPUTED_VALUE"""),5.57)</f>
        <v>5.57</v>
      </c>
      <c r="J494" s="320">
        <f>IFERROR(__xludf.DUMMYFUNCTION("""COMPUTED_VALUE"""),2.38)</f>
        <v>2.38</v>
      </c>
      <c r="K494" s="320">
        <f>IFERROR(__xludf.DUMMYFUNCTION("""COMPUTED_VALUE"""),0.07)</f>
        <v>0.07</v>
      </c>
      <c r="L494" s="320">
        <f>IFERROR(__xludf.DUMMYFUNCTION("""COMPUTED_VALUE"""),0.0308)</f>
        <v>0.0308</v>
      </c>
      <c r="M494" s="320">
        <f>IFERROR(__xludf.DUMMYFUNCTION("""COMPUTED_VALUE"""),0.9717)</f>
        <v>0.9717</v>
      </c>
      <c r="N494" s="320">
        <f>IFERROR(__xludf.DUMMYFUNCTION("""COMPUTED_VALUE"""),0.7212)</f>
        <v>0.7212</v>
      </c>
      <c r="O494" s="320">
        <f>IFERROR(__xludf.DUMMYFUNCTION("""COMPUTED_VALUE"""),32.4705)</f>
        <v>32.4705</v>
      </c>
      <c r="P494" s="320">
        <f>IFERROR(__xludf.DUMMYFUNCTION("""COMPUTED_VALUE"""),36.08)</f>
        <v>36.08</v>
      </c>
      <c r="Q494" s="320">
        <f>IFERROR(__xludf.DUMMYFUNCTION("""COMPUTED_VALUE"""),35.99)</f>
        <v>35.99</v>
      </c>
      <c r="R494" s="320">
        <f>IFERROR(__xludf.DUMMYFUNCTION("""COMPUTED_VALUE"""),0.09)</f>
        <v>0.09</v>
      </c>
      <c r="S494" s="320">
        <f>IFERROR(__xludf.DUMMYFUNCTION("""COMPUTED_VALUE"""),0.43)</f>
        <v>0.43</v>
      </c>
      <c r="T494" s="320">
        <f>IFERROR(__xludf.DUMMYFUNCTION("""COMPUTED_VALUE"""),35.65)</f>
        <v>35.65</v>
      </c>
      <c r="U494" s="320">
        <f>IFERROR(__xludf.DUMMYFUNCTION("""COMPUTED_VALUE"""),2.2)</f>
        <v>2.2</v>
      </c>
      <c r="V494" s="320">
        <f>IFERROR(__xludf.DUMMYFUNCTION("""COMPUTED_VALUE"""),0.9222)</f>
        <v>0.9222</v>
      </c>
      <c r="W494" s="320">
        <f>IFERROR(__xludf.DUMMYFUNCTION("""COMPUTED_VALUE"""),1.18)</f>
        <v>1.18</v>
      </c>
      <c r="X494" s="320">
        <f>IFERROR(__xludf.DUMMYFUNCTION("""COMPUTED_VALUE"""),197.0)</f>
        <v>197</v>
      </c>
      <c r="Y494" s="320">
        <f>IFERROR(__xludf.DUMMYFUNCTION("""COMPUTED_VALUE"""),1440.0)</f>
        <v>1440</v>
      </c>
      <c r="Z494" s="320">
        <f>IFERROR(__xludf.DUMMYFUNCTION("""COMPUTED_VALUE"""),8414.0)</f>
        <v>8414</v>
      </c>
      <c r="AA494" s="320">
        <f>IFERROR(__xludf.DUMMYFUNCTION("""COMPUTED_VALUE"""),49.9833)</f>
        <v>49.9833</v>
      </c>
      <c r="AB494" s="320">
        <f>IFERROR(__xludf.DUMMYFUNCTION("""COMPUTED_VALUE"""),0.5288)</f>
        <v>0.5288</v>
      </c>
      <c r="AC494" s="106"/>
      <c r="AD494" s="106"/>
      <c r="AE494" s="106"/>
      <c r="AF494" s="106"/>
      <c r="AG494" s="106"/>
      <c r="AH494" s="320">
        <f>IFERROR(__xludf.DUMMYFUNCTION("""COMPUTED_VALUE"""),0.0)</f>
        <v>0</v>
      </c>
      <c r="AI494" s="320">
        <f>IFERROR(__xludf.DUMMYFUNCTION("""COMPUTED_VALUE"""),0.0)</f>
        <v>0</v>
      </c>
      <c r="AJ494" s="320">
        <f>IFERROR(__xludf.DUMMYFUNCTION("""COMPUTED_VALUE"""),0.0)</f>
        <v>0</v>
      </c>
      <c r="AK494" s="320">
        <f>IFERROR(__xludf.DUMMYFUNCTION("""COMPUTED_VALUE"""),0.2629)</f>
        <v>0.2629</v>
      </c>
      <c r="AL494" s="320">
        <f>IFERROR(__xludf.DUMMYFUNCTION("""COMPUTED_VALUE"""),16.36)</f>
        <v>16.36</v>
      </c>
      <c r="AM494" s="320">
        <f>IFERROR(__xludf.DUMMYFUNCTION("""COMPUTED_VALUE"""),19.62)</f>
        <v>19.62</v>
      </c>
      <c r="AN494" s="331"/>
      <c r="AO494" s="331"/>
    </row>
    <row r="495" ht="15.0" customHeight="1">
      <c r="A495" s="328">
        <f>IFERROR(__xludf.DUMMYFUNCTION("""COMPUTED_VALUE"""),46132.0)</f>
        <v>46132</v>
      </c>
      <c r="B495" s="319" t="str">
        <f>IFERROR(__xludf.DUMMYFUNCTION("""COMPUTED_VALUE"""),"B. 1-9")</f>
        <v>B. 1-9</v>
      </c>
      <c r="C495" s="320">
        <f>IFERROR(__xludf.DUMMYFUNCTION("""COMPUTED_VALUE"""),32576.0)</f>
        <v>32576</v>
      </c>
      <c r="D495" s="320">
        <f>IFERROR(__xludf.DUMMYFUNCTION("""COMPUTED_VALUE"""),43.59)</f>
        <v>43.59</v>
      </c>
      <c r="E495" s="320">
        <f>IFERROR(__xludf.DUMMYFUNCTION("""COMPUTED_VALUE"""),6287.36)</f>
        <v>6287.36</v>
      </c>
      <c r="F495" s="320">
        <f>IFERROR(__xludf.DUMMYFUNCTION("""COMPUTED_VALUE"""),0.193)</f>
        <v>0.193</v>
      </c>
      <c r="G495" s="320">
        <f>IFERROR(__xludf.DUMMYFUNCTION("""COMPUTED_VALUE"""),5.95)</f>
        <v>5.95</v>
      </c>
      <c r="H495" s="320">
        <f>IFERROR(__xludf.DUMMYFUNCTION("""COMPUTED_VALUE"""),3.2443)</f>
        <v>3.2443</v>
      </c>
      <c r="I495" s="320">
        <f>IFERROR(__xludf.DUMMYFUNCTION("""COMPUTED_VALUE"""),35.35)</f>
        <v>35.35</v>
      </c>
      <c r="J495" s="320">
        <f>IFERROR(__xludf.DUMMYFUNCTION("""COMPUTED_VALUE"""),19.14)</f>
        <v>19.14</v>
      </c>
      <c r="K495" s="320">
        <f>IFERROR(__xludf.DUMMYFUNCTION("""COMPUTED_VALUE"""),5.64)</f>
        <v>5.64</v>
      </c>
      <c r="L495" s="320">
        <f>IFERROR(__xludf.DUMMYFUNCTION("""COMPUTED_VALUE"""),0.2945)</f>
        <v>0.2945</v>
      </c>
      <c r="M495" s="320">
        <f>IFERROR(__xludf.DUMMYFUNCTION("""COMPUTED_VALUE"""),0.7733)</f>
        <v>0.7733</v>
      </c>
      <c r="N495" s="320">
        <f>IFERROR(__xludf.DUMMYFUNCTION("""COMPUTED_VALUE"""),0.5357)</f>
        <v>0.5357</v>
      </c>
      <c r="O495" s="320">
        <f>IFERROR(__xludf.DUMMYFUNCTION("""COMPUTED_VALUE"""),3.3954)</f>
        <v>3.3954</v>
      </c>
      <c r="P495" s="320">
        <f>IFERROR(__xludf.DUMMYFUNCTION("""COMPUTED_VALUE"""),93.85)</f>
        <v>93.85</v>
      </c>
      <c r="Q495" s="320">
        <f>IFERROR(__xludf.DUMMYFUNCTION("""COMPUTED_VALUE"""),82.76)</f>
        <v>82.76</v>
      </c>
      <c r="R495" s="320">
        <f>IFERROR(__xludf.DUMMYFUNCTION("""COMPUTED_VALUE"""),11.09)</f>
        <v>11.09</v>
      </c>
      <c r="S495" s="320">
        <f>IFERROR(__xludf.DUMMYFUNCTION("""COMPUTED_VALUE"""),13.96)</f>
        <v>13.96</v>
      </c>
      <c r="T495" s="320">
        <f>IFERROR(__xludf.DUMMYFUNCTION("""COMPUTED_VALUE"""),79.9)</f>
        <v>79.9</v>
      </c>
      <c r="U495" s="320">
        <f>IFERROR(__xludf.DUMMYFUNCTION("""COMPUTED_VALUE"""),86.23)</f>
        <v>86.23</v>
      </c>
      <c r="V495" s="320">
        <f>IFERROR(__xludf.DUMMYFUNCTION("""COMPUTED_VALUE"""),4.5045)</f>
        <v>4.5045</v>
      </c>
      <c r="W495" s="320">
        <f>IFERROR(__xludf.DUMMYFUNCTION("""COMPUTED_VALUE"""),14.87)</f>
        <v>14.87</v>
      </c>
      <c r="X495" s="320">
        <f>IFERROR(__xludf.DUMMYFUNCTION("""COMPUTED_VALUE"""),91.0)</f>
        <v>91</v>
      </c>
      <c r="Y495" s="320">
        <f>IFERROR(__xludf.DUMMYFUNCTION("""COMPUTED_VALUE"""),217.0)</f>
        <v>217</v>
      </c>
      <c r="Z495" s="320">
        <f>IFERROR(__xludf.DUMMYFUNCTION("""COMPUTED_VALUE"""),840.0)</f>
        <v>840</v>
      </c>
      <c r="AA495" s="320">
        <f>IFERROR(__xludf.DUMMYFUNCTION("""COMPUTED_VALUE"""),49.4563)</f>
        <v>49.4563</v>
      </c>
      <c r="AB495" s="320">
        <f>IFERROR(__xludf.DUMMYFUNCTION("""COMPUTED_VALUE"""),0.434)</f>
        <v>0.434</v>
      </c>
      <c r="AC495" s="320">
        <f>IFERROR(__xludf.DUMMYFUNCTION("""COMPUTED_VALUE"""),3.58)</f>
        <v>3.58</v>
      </c>
      <c r="AD495" s="320">
        <f>IFERROR(__xludf.DUMMYFUNCTION("""COMPUTED_VALUE"""),1.0)</f>
        <v>1</v>
      </c>
      <c r="AE495" s="320">
        <f>IFERROR(__xludf.DUMMYFUNCTION("""COMPUTED_VALUE"""),2.0)</f>
        <v>2</v>
      </c>
      <c r="AF495" s="320">
        <f>IFERROR(__xludf.DUMMYFUNCTION("""COMPUTED_VALUE"""),5.0)</f>
        <v>5</v>
      </c>
      <c r="AG495" s="320">
        <f>IFERROR(__xludf.DUMMYFUNCTION("""COMPUTED_VALUE"""),8.0)</f>
        <v>8</v>
      </c>
      <c r="AH495" s="320">
        <f>IFERROR(__xludf.DUMMYFUNCTION("""COMPUTED_VALUE"""),68.0)</f>
        <v>68</v>
      </c>
      <c r="AI495" s="320">
        <f>IFERROR(__xludf.DUMMYFUNCTION("""COMPUTED_VALUE"""),25.36)</f>
        <v>25.36</v>
      </c>
      <c r="AJ495" s="320">
        <f>IFERROR(__xludf.DUMMYFUNCTION("""COMPUTED_VALUE"""),6.81)</f>
        <v>6.81</v>
      </c>
      <c r="AK495" s="320">
        <f>IFERROR(__xludf.DUMMYFUNCTION("""COMPUTED_VALUE"""),0.2077)</f>
        <v>0.2077</v>
      </c>
      <c r="AL495" s="320">
        <f>IFERROR(__xludf.DUMMYFUNCTION("""COMPUTED_VALUE"""),18.79)</f>
        <v>18.79</v>
      </c>
      <c r="AM495" s="320">
        <f>IFERROR(__xludf.DUMMYFUNCTION("""COMPUTED_VALUE"""),63.97)</f>
        <v>63.97</v>
      </c>
      <c r="AN495" s="320">
        <f>IFERROR(__xludf.DUMMYFUNCTION("""COMPUTED_VALUE"""),68.21)</f>
        <v>68.21</v>
      </c>
      <c r="AO495" s="320">
        <f>IFERROR(__xludf.DUMMYFUNCTION("""COMPUTED_VALUE"""),12.82)</f>
        <v>12.82</v>
      </c>
    </row>
    <row r="496" ht="15.0" customHeight="1">
      <c r="A496" s="328">
        <f>IFERROR(__xludf.DUMMYFUNCTION("""COMPUTED_VALUE"""),46132.0)</f>
        <v>46132</v>
      </c>
      <c r="B496" s="319" t="str">
        <f>IFERROR(__xludf.DUMMYFUNCTION("""COMPUTED_VALUE"""),"C. 10-19")</f>
        <v>C. 10-19</v>
      </c>
      <c r="C496" s="320">
        <f>IFERROR(__xludf.DUMMYFUNCTION("""COMPUTED_VALUE"""),16184.0)</f>
        <v>16184</v>
      </c>
      <c r="D496" s="320">
        <f>IFERROR(__xludf.DUMMYFUNCTION("""COMPUTED_VALUE"""),21.65)</f>
        <v>21.65</v>
      </c>
      <c r="E496" s="320">
        <f>IFERROR(__xludf.DUMMYFUNCTION("""COMPUTED_VALUE"""),16560.78)</f>
        <v>16560.78</v>
      </c>
      <c r="F496" s="320">
        <f>IFERROR(__xludf.DUMMYFUNCTION("""COMPUTED_VALUE"""),1.0233)</f>
        <v>1.0233</v>
      </c>
      <c r="G496" s="320">
        <f>IFERROR(__xludf.DUMMYFUNCTION("""COMPUTED_VALUE"""),20.42)</f>
        <v>20.42</v>
      </c>
      <c r="H496" s="320">
        <f>IFERROR(__xludf.DUMMYFUNCTION("""COMPUTED_VALUE"""),5.0108)</f>
        <v>5.0108</v>
      </c>
      <c r="I496" s="320">
        <f>IFERROR(__xludf.DUMMYFUNCTION("""COMPUTED_VALUE"""),64.97)</f>
        <v>64.97</v>
      </c>
      <c r="J496" s="320">
        <f>IFERROR(__xludf.DUMMYFUNCTION("""COMPUTED_VALUE"""),37.3)</f>
        <v>37.3</v>
      </c>
      <c r="K496" s="320">
        <f>IFERROR(__xludf.DUMMYFUNCTION("""COMPUTED_VALUE"""),14.94)</f>
        <v>14.94</v>
      </c>
      <c r="L496" s="320">
        <f>IFERROR(__xludf.DUMMYFUNCTION("""COMPUTED_VALUE"""),0.4005)</f>
        <v>0.4005</v>
      </c>
      <c r="M496" s="320">
        <f>IFERROR(__xludf.DUMMYFUNCTION("""COMPUTED_VALUE"""),0.6629)</f>
        <v>0.6629</v>
      </c>
      <c r="N496" s="320">
        <f>IFERROR(__xludf.DUMMYFUNCTION("""COMPUTED_VALUE"""),0.3958)</f>
        <v>0.3958</v>
      </c>
      <c r="O496" s="320">
        <f>IFERROR(__xludf.DUMMYFUNCTION("""COMPUTED_VALUE"""),2.4967)</f>
        <v>2.4967</v>
      </c>
      <c r="P496" s="320">
        <f>IFERROR(__xludf.DUMMYFUNCTION("""COMPUTED_VALUE"""),204.19)</f>
        <v>204.19</v>
      </c>
      <c r="Q496" s="320">
        <f>IFERROR(__xludf.DUMMYFUNCTION("""COMPUTED_VALUE"""),176.06)</f>
        <v>176.06</v>
      </c>
      <c r="R496" s="320">
        <f>IFERROR(__xludf.DUMMYFUNCTION("""COMPUTED_VALUE"""),28.13)</f>
        <v>28.13</v>
      </c>
      <c r="S496" s="320">
        <f>IFERROR(__xludf.DUMMYFUNCTION("""COMPUTED_VALUE"""),68.1)</f>
        <v>68.1</v>
      </c>
      <c r="T496" s="320">
        <f>IFERROR(__xludf.DUMMYFUNCTION("""COMPUTED_VALUE"""),136.09)</f>
        <v>136.09</v>
      </c>
      <c r="U496" s="320">
        <f>IFERROR(__xludf.DUMMYFUNCTION("""COMPUTED_VALUE"""),202.34)</f>
        <v>202.34</v>
      </c>
      <c r="V496" s="320">
        <f>IFERROR(__xludf.DUMMYFUNCTION("""COMPUTED_VALUE"""),5.4253)</f>
        <v>5.4253</v>
      </c>
      <c r="W496" s="320">
        <f>IFERROR(__xludf.DUMMYFUNCTION("""COMPUTED_VALUE"""),33.35)</f>
        <v>33.35</v>
      </c>
      <c r="X496" s="320">
        <f>IFERROR(__xludf.DUMMYFUNCTION("""COMPUTED_VALUE"""),84.0)</f>
        <v>84</v>
      </c>
      <c r="Y496" s="320">
        <f>IFERROR(__xludf.DUMMYFUNCTION("""COMPUTED_VALUE"""),182.0)</f>
        <v>182</v>
      </c>
      <c r="Z496" s="320">
        <f>IFERROR(__xludf.DUMMYFUNCTION("""COMPUTED_VALUE"""),554.0)</f>
        <v>554</v>
      </c>
      <c r="AA496" s="320">
        <f>IFERROR(__xludf.DUMMYFUNCTION("""COMPUTED_VALUE"""),52.1952)</f>
        <v>52.1952</v>
      </c>
      <c r="AB496" s="320">
        <f>IFERROR(__xludf.DUMMYFUNCTION("""COMPUTED_VALUE"""),0.4956)</f>
        <v>0.4956</v>
      </c>
      <c r="AC496" s="320">
        <f>IFERROR(__xludf.DUMMYFUNCTION("""COMPUTED_VALUE"""),8.94)</f>
        <v>8.94</v>
      </c>
      <c r="AD496" s="320">
        <f>IFERROR(__xludf.DUMMYFUNCTION("""COMPUTED_VALUE"""),3.0)</f>
        <v>3</v>
      </c>
      <c r="AE496" s="320">
        <f>IFERROR(__xludf.DUMMYFUNCTION("""COMPUTED_VALUE"""),6.0)</f>
        <v>6</v>
      </c>
      <c r="AF496" s="320">
        <f>IFERROR(__xludf.DUMMYFUNCTION("""COMPUTED_VALUE"""),12.0)</f>
        <v>12</v>
      </c>
      <c r="AG496" s="320">
        <f>IFERROR(__xludf.DUMMYFUNCTION("""COMPUTED_VALUE"""),20.0)</f>
        <v>20</v>
      </c>
      <c r="AH496" s="320">
        <f>IFERROR(__xludf.DUMMYFUNCTION("""COMPUTED_VALUE"""),54.58)</f>
        <v>54.58</v>
      </c>
      <c r="AI496" s="320">
        <f>IFERROR(__xludf.DUMMYFUNCTION("""COMPUTED_VALUE"""),24.28)</f>
        <v>24.28</v>
      </c>
      <c r="AJ496" s="320">
        <f>IFERROR(__xludf.DUMMYFUNCTION("""COMPUTED_VALUE"""),5.24)</f>
        <v>5.24</v>
      </c>
      <c r="AK496" s="320">
        <f>IFERROR(__xludf.DUMMYFUNCTION("""COMPUTED_VALUE"""),0.1755)</f>
        <v>0.1755</v>
      </c>
      <c r="AL496" s="320">
        <f>IFERROR(__xludf.DUMMYFUNCTION("""COMPUTED_VALUE"""),19.04)</f>
        <v>19.04</v>
      </c>
      <c r="AM496" s="320">
        <f>IFERROR(__xludf.DUMMYFUNCTION("""COMPUTED_VALUE"""),157.02)</f>
        <v>157.02</v>
      </c>
      <c r="AN496" s="320">
        <f>IFERROR(__xludf.DUMMYFUNCTION("""COMPUTED_VALUE"""),72.16)</f>
        <v>72.16</v>
      </c>
      <c r="AO496" s="320">
        <f>IFERROR(__xludf.DUMMYFUNCTION("""COMPUTED_VALUE"""),13.74)</f>
        <v>13.74</v>
      </c>
    </row>
    <row r="497" ht="15.0" customHeight="1">
      <c r="A497" s="328">
        <f>IFERROR(__xludf.DUMMYFUNCTION("""COMPUTED_VALUE"""),46132.0)</f>
        <v>46132</v>
      </c>
      <c r="B497" s="319" t="str">
        <f>IFERROR(__xludf.DUMMYFUNCTION("""COMPUTED_VALUE"""),"D. 20-39")</f>
        <v>D. 20-39</v>
      </c>
      <c r="C497" s="320">
        <f>IFERROR(__xludf.DUMMYFUNCTION("""COMPUTED_VALUE"""),8191.0)</f>
        <v>8191</v>
      </c>
      <c r="D497" s="320">
        <f>IFERROR(__xludf.DUMMYFUNCTION("""COMPUTED_VALUE"""),10.96)</f>
        <v>10.96</v>
      </c>
      <c r="E497" s="320">
        <f>IFERROR(__xludf.DUMMYFUNCTION("""COMPUTED_VALUE"""),22626.11)</f>
        <v>22626.11</v>
      </c>
      <c r="F497" s="320">
        <f>IFERROR(__xludf.DUMMYFUNCTION("""COMPUTED_VALUE"""),2.7623)</f>
        <v>2.7623</v>
      </c>
      <c r="G497" s="320">
        <f>IFERROR(__xludf.DUMMYFUNCTION("""COMPUTED_VALUE"""),32.8)</f>
        <v>32.8</v>
      </c>
      <c r="H497" s="320">
        <f>IFERROR(__xludf.DUMMYFUNCTION("""COMPUTED_VALUE"""),8.4206)</f>
        <v>8.4206</v>
      </c>
      <c r="I497" s="320">
        <f>IFERROR(__xludf.DUMMYFUNCTION("""COMPUTED_VALUE"""),93.96)</f>
        <v>93.96</v>
      </c>
      <c r="J497" s="320">
        <f>IFERROR(__xludf.DUMMYFUNCTION("""COMPUTED_VALUE"""),55.91)</f>
        <v>55.91</v>
      </c>
      <c r="K497" s="320">
        <f>IFERROR(__xludf.DUMMYFUNCTION("""COMPUTED_VALUE"""),29.48)</f>
        <v>29.48</v>
      </c>
      <c r="L497" s="320">
        <f>IFERROR(__xludf.DUMMYFUNCTION("""COMPUTED_VALUE"""),0.5272)</f>
        <v>0.5272</v>
      </c>
      <c r="M497" s="320">
        <f>IFERROR(__xludf.DUMMYFUNCTION("""COMPUTED_VALUE"""),0.5468)</f>
        <v>0.5468</v>
      </c>
      <c r="N497" s="320">
        <f>IFERROR(__xludf.DUMMYFUNCTION("""COMPUTED_VALUE"""),0.3106)</f>
        <v>0.3106</v>
      </c>
      <c r="O497" s="320">
        <f>IFERROR(__xludf.DUMMYFUNCTION("""COMPUTED_VALUE"""),1.897)</f>
        <v>1.897</v>
      </c>
      <c r="P497" s="320">
        <f>IFERROR(__xludf.DUMMYFUNCTION("""COMPUTED_VALUE"""),394.85)</f>
        <v>394.85</v>
      </c>
      <c r="Q497" s="320">
        <f>IFERROR(__xludf.DUMMYFUNCTION("""COMPUTED_VALUE"""),338.99)</f>
        <v>338.99</v>
      </c>
      <c r="R497" s="320">
        <f>IFERROR(__xludf.DUMMYFUNCTION("""COMPUTED_VALUE"""),55.86)</f>
        <v>55.86</v>
      </c>
      <c r="S497" s="320">
        <f>IFERROR(__xludf.DUMMYFUNCTION("""COMPUTED_VALUE"""),178.27)</f>
        <v>178.27</v>
      </c>
      <c r="T497" s="320">
        <f>IFERROR(__xludf.DUMMYFUNCTION("""COMPUTED_VALUE"""),216.58)</f>
        <v>216.58</v>
      </c>
      <c r="U497" s="320">
        <f>IFERROR(__xludf.DUMMYFUNCTION("""COMPUTED_VALUE"""),401.68)</f>
        <v>401.68</v>
      </c>
      <c r="V497" s="320">
        <f>IFERROR(__xludf.DUMMYFUNCTION("""COMPUTED_VALUE"""),7.1839)</f>
        <v>7.1839</v>
      </c>
      <c r="W497" s="320">
        <f>IFERROR(__xludf.DUMMYFUNCTION("""COMPUTED_VALUE"""),45.15)</f>
        <v>45.15</v>
      </c>
      <c r="X497" s="320">
        <f>IFERROR(__xludf.DUMMYFUNCTION("""COMPUTED_VALUE"""),87.0)</f>
        <v>87</v>
      </c>
      <c r="Y497" s="320">
        <f>IFERROR(__xludf.DUMMYFUNCTION("""COMPUTED_VALUE"""),210.0)</f>
        <v>210</v>
      </c>
      <c r="Z497" s="320">
        <f>IFERROR(__xludf.DUMMYFUNCTION("""COMPUTED_VALUE"""),659.0)</f>
        <v>659</v>
      </c>
      <c r="AA497" s="320">
        <f>IFERROR(__xludf.DUMMYFUNCTION("""COMPUTED_VALUE"""),54.4354)</f>
        <v>54.4354</v>
      </c>
      <c r="AB497" s="320">
        <f>IFERROR(__xludf.DUMMYFUNCTION("""COMPUTED_VALUE"""),0.5814)</f>
        <v>0.5814</v>
      </c>
      <c r="AC497" s="320">
        <f>IFERROR(__xludf.DUMMYFUNCTION("""COMPUTED_VALUE"""),17.48)</f>
        <v>17.48</v>
      </c>
      <c r="AD497" s="320">
        <f>IFERROR(__xludf.DUMMYFUNCTION("""COMPUTED_VALUE"""),6.0)</f>
        <v>6</v>
      </c>
      <c r="AE497" s="320">
        <f>IFERROR(__xludf.DUMMYFUNCTION("""COMPUTED_VALUE"""),13.0)</f>
        <v>13</v>
      </c>
      <c r="AF497" s="320">
        <f>IFERROR(__xludf.DUMMYFUNCTION("""COMPUTED_VALUE"""),25.0)</f>
        <v>25</v>
      </c>
      <c r="AG497" s="320">
        <f>IFERROR(__xludf.DUMMYFUNCTION("""COMPUTED_VALUE"""),37.0)</f>
        <v>37</v>
      </c>
      <c r="AH497" s="320">
        <f>IFERROR(__xludf.DUMMYFUNCTION("""COMPUTED_VALUE"""),57.77)</f>
        <v>57.77</v>
      </c>
      <c r="AI497" s="320">
        <f>IFERROR(__xludf.DUMMYFUNCTION("""COMPUTED_VALUE"""),23.99)</f>
        <v>23.99</v>
      </c>
      <c r="AJ497" s="320">
        <f>IFERROR(__xludf.DUMMYFUNCTION("""COMPUTED_VALUE"""),5.9)</f>
        <v>5.9</v>
      </c>
      <c r="AK497" s="320">
        <f>IFERROR(__xludf.DUMMYFUNCTION("""COMPUTED_VALUE"""),0.1701)</f>
        <v>0.1701</v>
      </c>
      <c r="AL497" s="320">
        <f>IFERROR(__xludf.DUMMYFUNCTION("""COMPUTED_VALUE"""),19.23)</f>
        <v>19.23</v>
      </c>
      <c r="AM497" s="320">
        <f>IFERROR(__xludf.DUMMYFUNCTION("""COMPUTED_VALUE"""),319.77)</f>
        <v>319.77</v>
      </c>
      <c r="AN497" s="320">
        <f>IFERROR(__xludf.DUMMYFUNCTION("""COMPUTED_VALUE"""),71.33)</f>
        <v>71.33</v>
      </c>
      <c r="AO497" s="320">
        <f>IFERROR(__xludf.DUMMYFUNCTION("""COMPUTED_VALUE"""),13.72)</f>
        <v>13.72</v>
      </c>
    </row>
    <row r="498" ht="15.0" customHeight="1">
      <c r="A498" s="328">
        <f>IFERROR(__xludf.DUMMYFUNCTION("""COMPUTED_VALUE"""),46132.0)</f>
        <v>46132</v>
      </c>
      <c r="B498" s="319" t="str">
        <f>IFERROR(__xludf.DUMMYFUNCTION("""COMPUTED_VALUE"""),"E. 40-99")</f>
        <v>E. 40-99</v>
      </c>
      <c r="C498" s="320">
        <f>IFERROR(__xludf.DUMMYFUNCTION("""COMPUTED_VALUE"""),2996.0)</f>
        <v>2996</v>
      </c>
      <c r="D498" s="320">
        <f>IFERROR(__xludf.DUMMYFUNCTION("""COMPUTED_VALUE"""),4.01)</f>
        <v>4.01</v>
      </c>
      <c r="E498" s="320">
        <f>IFERROR(__xludf.DUMMYFUNCTION("""COMPUTED_VALUE"""),20477.56)</f>
        <v>20477.56</v>
      </c>
      <c r="F498" s="320">
        <f>IFERROR(__xludf.DUMMYFUNCTION("""COMPUTED_VALUE"""),6.835)</f>
        <v>6.835</v>
      </c>
      <c r="G498" s="320">
        <f>IFERROR(__xludf.DUMMYFUNCTION("""COMPUTED_VALUE"""),44.59)</f>
        <v>44.59</v>
      </c>
      <c r="H498" s="320">
        <f>IFERROR(__xludf.DUMMYFUNCTION("""COMPUTED_VALUE"""),15.3275)</f>
        <v>15.3275</v>
      </c>
      <c r="I498" s="320">
        <f>IFERROR(__xludf.DUMMYFUNCTION("""COMPUTED_VALUE"""),147.14)</f>
        <v>147.14</v>
      </c>
      <c r="J498" s="320">
        <f>IFERROR(__xludf.DUMMYFUNCTION("""COMPUTED_VALUE"""),90.22)</f>
        <v>90.22</v>
      </c>
      <c r="K498" s="320">
        <f>IFERROR(__xludf.DUMMYFUNCTION("""COMPUTED_VALUE"""),59.94)</f>
        <v>59.94</v>
      </c>
      <c r="L498" s="320">
        <f>IFERROR(__xludf.DUMMYFUNCTION("""COMPUTED_VALUE"""),0.6644)</f>
        <v>0.6644</v>
      </c>
      <c r="M498" s="320">
        <f>IFERROR(__xludf.DUMMYFUNCTION("""COMPUTED_VALUE"""),0.4274)</f>
        <v>0.4274</v>
      </c>
      <c r="N498" s="320">
        <f>IFERROR(__xludf.DUMMYFUNCTION("""COMPUTED_VALUE"""),0.2479)</f>
        <v>0.2479</v>
      </c>
      <c r="O498" s="320">
        <f>IFERROR(__xludf.DUMMYFUNCTION("""COMPUTED_VALUE"""),1.5051)</f>
        <v>1.5051</v>
      </c>
      <c r="P498" s="320">
        <f>IFERROR(__xludf.DUMMYFUNCTION("""COMPUTED_VALUE"""),809.45)</f>
        <v>809.45</v>
      </c>
      <c r="Q498" s="320">
        <f>IFERROR(__xludf.DUMMYFUNCTION("""COMPUTED_VALUE"""),698.68)</f>
        <v>698.68</v>
      </c>
      <c r="R498" s="320">
        <f>IFERROR(__xludf.DUMMYFUNCTION("""COMPUTED_VALUE"""),110.78)</f>
        <v>110.78</v>
      </c>
      <c r="S498" s="320">
        <f>IFERROR(__xludf.DUMMYFUNCTION("""COMPUTED_VALUE"""),437.32)</f>
        <v>437.32</v>
      </c>
      <c r="T498" s="320">
        <f>IFERROR(__xludf.DUMMYFUNCTION("""COMPUTED_VALUE"""),372.13)</f>
        <v>372.13</v>
      </c>
      <c r="U498" s="320">
        <f>IFERROR(__xludf.DUMMYFUNCTION("""COMPUTED_VALUE"""),837.02)</f>
        <v>837.02</v>
      </c>
      <c r="V498" s="320">
        <f>IFERROR(__xludf.DUMMYFUNCTION("""COMPUTED_VALUE"""),9.2775)</f>
        <v>9.2775</v>
      </c>
      <c r="W498" s="320">
        <f>IFERROR(__xludf.DUMMYFUNCTION("""COMPUTED_VALUE"""),54.03)</f>
        <v>54.03</v>
      </c>
      <c r="X498" s="320">
        <f>IFERROR(__xludf.DUMMYFUNCTION("""COMPUTED_VALUE"""),97.0)</f>
        <v>97</v>
      </c>
      <c r="Y498" s="320">
        <f>IFERROR(__xludf.DUMMYFUNCTION("""COMPUTED_VALUE"""),328.0)</f>
        <v>328</v>
      </c>
      <c r="Z498" s="320">
        <f>IFERROR(__xludf.DUMMYFUNCTION("""COMPUTED_VALUE"""),1101.0)</f>
        <v>1101</v>
      </c>
      <c r="AA498" s="320">
        <f>IFERROR(__xludf.DUMMYFUNCTION("""COMPUTED_VALUE"""),57.1383)</f>
        <v>57.1383</v>
      </c>
      <c r="AB498" s="320">
        <f>IFERROR(__xludf.DUMMYFUNCTION("""COMPUTED_VALUE"""),0.664)</f>
        <v>0.664</v>
      </c>
      <c r="AC498" s="320">
        <f>IFERROR(__xludf.DUMMYFUNCTION("""COMPUTED_VALUE"""),34.72)</f>
        <v>34.72</v>
      </c>
      <c r="AD498" s="320">
        <f>IFERROR(__xludf.DUMMYFUNCTION("""COMPUTED_VALUE"""),13.0)</f>
        <v>13</v>
      </c>
      <c r="AE498" s="320">
        <f>IFERROR(__xludf.DUMMYFUNCTION("""COMPUTED_VALUE"""),27.0)</f>
        <v>27</v>
      </c>
      <c r="AF498" s="320">
        <f>IFERROR(__xludf.DUMMYFUNCTION("""COMPUTED_VALUE"""),46.0)</f>
        <v>46</v>
      </c>
      <c r="AG498" s="320">
        <f>IFERROR(__xludf.DUMMYFUNCTION("""COMPUTED_VALUE"""),73.0)</f>
        <v>73</v>
      </c>
      <c r="AH498" s="320">
        <f>IFERROR(__xludf.DUMMYFUNCTION("""COMPUTED_VALUE"""),49.37)</f>
        <v>49.37</v>
      </c>
      <c r="AI498" s="320">
        <f>IFERROR(__xludf.DUMMYFUNCTION("""COMPUTED_VALUE"""),16.26)</f>
        <v>16.26</v>
      </c>
      <c r="AJ498" s="320">
        <f>IFERROR(__xludf.DUMMYFUNCTION("""COMPUTED_VALUE"""),3.97)</f>
        <v>3.97</v>
      </c>
      <c r="AK498" s="320">
        <f>IFERROR(__xludf.DUMMYFUNCTION("""COMPUTED_VALUE"""),0.1268)</f>
        <v>0.1268</v>
      </c>
      <c r="AL498" s="320">
        <f>IFERROR(__xludf.DUMMYFUNCTION("""COMPUTED_VALUE"""),20.26)</f>
        <v>20.26</v>
      </c>
      <c r="AM498" s="320">
        <f>IFERROR(__xludf.DUMMYFUNCTION("""COMPUTED_VALUE"""),678.42)</f>
        <v>678.42</v>
      </c>
      <c r="AN498" s="320">
        <f>IFERROR(__xludf.DUMMYFUNCTION("""COMPUTED_VALUE"""),70.54)</f>
        <v>70.54</v>
      </c>
      <c r="AO498" s="320">
        <f>IFERROR(__xludf.DUMMYFUNCTION("""COMPUTED_VALUE"""),14.29)</f>
        <v>14.29</v>
      </c>
    </row>
    <row r="499" ht="15.0" customHeight="1">
      <c r="A499" s="328">
        <f>IFERROR(__xludf.DUMMYFUNCTION("""COMPUTED_VALUE"""),46132.0)</f>
        <v>46132</v>
      </c>
      <c r="B499" s="319" t="str">
        <f>IFERROR(__xludf.DUMMYFUNCTION("""COMPUTED_VALUE"""),"F. 100+")</f>
        <v>F. 100+</v>
      </c>
      <c r="C499" s="320">
        <f>IFERROR(__xludf.DUMMYFUNCTION("""COMPUTED_VALUE"""),247.0)</f>
        <v>247</v>
      </c>
      <c r="D499" s="320">
        <f>IFERROR(__xludf.DUMMYFUNCTION("""COMPUTED_VALUE"""),0.33)</f>
        <v>0.33</v>
      </c>
      <c r="E499" s="320">
        <f>IFERROR(__xludf.DUMMYFUNCTION("""COMPUTED_VALUE"""),2764.92)</f>
        <v>2764.92</v>
      </c>
      <c r="F499" s="320">
        <f>IFERROR(__xludf.DUMMYFUNCTION("""COMPUTED_VALUE"""),11.194)</f>
        <v>11.194</v>
      </c>
      <c r="G499" s="320">
        <f>IFERROR(__xludf.DUMMYFUNCTION("""COMPUTED_VALUE"""),54.66)</f>
        <v>54.66</v>
      </c>
      <c r="H499" s="320">
        <f>IFERROR(__xludf.DUMMYFUNCTION("""COMPUTED_VALUE"""),20.4809)</f>
        <v>20.4809</v>
      </c>
      <c r="I499" s="320">
        <f>IFERROR(__xludf.DUMMYFUNCTION("""COMPUTED_VALUE"""),273.09)</f>
        <v>273.09</v>
      </c>
      <c r="J499" s="320">
        <f>IFERROR(__xludf.DUMMYFUNCTION("""COMPUTED_VALUE"""),177.56)</f>
        <v>177.56</v>
      </c>
      <c r="K499" s="320">
        <f>IFERROR(__xludf.DUMMYFUNCTION("""COMPUTED_VALUE"""),139.72)</f>
        <v>139.72</v>
      </c>
      <c r="L499" s="320">
        <f>IFERROR(__xludf.DUMMYFUNCTION("""COMPUTED_VALUE"""),0.7869)</f>
        <v>0.7869</v>
      </c>
      <c r="M499" s="320">
        <f>IFERROR(__xludf.DUMMYFUNCTION("""COMPUTED_VALUE"""),0.3033)</f>
        <v>0.3033</v>
      </c>
      <c r="N499" s="320">
        <f>IFERROR(__xludf.DUMMYFUNCTION("""COMPUTED_VALUE"""),0.1856)</f>
        <v>0.1856</v>
      </c>
      <c r="O499" s="320">
        <f>IFERROR(__xludf.DUMMYFUNCTION("""COMPUTED_VALUE"""),1.2709)</f>
        <v>1.2709</v>
      </c>
      <c r="P499" s="320">
        <f>IFERROR(__xludf.DUMMYFUNCTION("""COMPUTED_VALUE"""),1398.18)</f>
        <v>1398.18</v>
      </c>
      <c r="Q499" s="320">
        <f>IFERROR(__xludf.DUMMYFUNCTION("""COMPUTED_VALUE"""),1108.65)</f>
        <v>1108.65</v>
      </c>
      <c r="R499" s="320">
        <f>IFERROR(__xludf.DUMMYFUNCTION("""COMPUTED_VALUE"""),289.53)</f>
        <v>289.53</v>
      </c>
      <c r="S499" s="320">
        <f>IFERROR(__xludf.DUMMYFUNCTION("""COMPUTED_VALUE"""),705.97)</f>
        <v>705.97</v>
      </c>
      <c r="T499" s="320">
        <f>IFERROR(__xludf.DUMMYFUNCTION("""COMPUTED_VALUE"""),692.21)</f>
        <v>692.21</v>
      </c>
      <c r="U499" s="320">
        <f>IFERROR(__xludf.DUMMYFUNCTION("""COMPUTED_VALUE"""),1470.85)</f>
        <v>1470.85</v>
      </c>
      <c r="V499" s="320">
        <f>IFERROR(__xludf.DUMMYFUNCTION("""COMPUTED_VALUE"""),8.2836)</f>
        <v>8.2836</v>
      </c>
      <c r="W499" s="320">
        <f>IFERROR(__xludf.DUMMYFUNCTION("""COMPUTED_VALUE"""),50.49)</f>
        <v>50.49</v>
      </c>
      <c r="X499" s="320">
        <f>IFERROR(__xludf.DUMMYFUNCTION("""COMPUTED_VALUE"""),146.0)</f>
        <v>146</v>
      </c>
      <c r="Y499" s="320">
        <f>IFERROR(__xludf.DUMMYFUNCTION("""COMPUTED_VALUE"""),425.0)</f>
        <v>425</v>
      </c>
      <c r="Z499" s="320">
        <f>IFERROR(__xludf.DUMMYFUNCTION("""COMPUTED_VALUE"""),1858.0)</f>
        <v>1858</v>
      </c>
      <c r="AA499" s="320">
        <f>IFERROR(__xludf.DUMMYFUNCTION("""COMPUTED_VALUE"""),61.7225)</f>
        <v>61.7225</v>
      </c>
      <c r="AB499" s="320">
        <f>IFERROR(__xludf.DUMMYFUNCTION("""COMPUTED_VALUE"""),0.8306)</f>
        <v>0.8306</v>
      </c>
      <c r="AC499" s="320">
        <f>IFERROR(__xludf.DUMMYFUNCTION("""COMPUTED_VALUE"""),87.32)</f>
        <v>87.32</v>
      </c>
      <c r="AD499" s="320">
        <f>IFERROR(__xludf.DUMMYFUNCTION("""COMPUTED_VALUE"""),29.0)</f>
        <v>29</v>
      </c>
      <c r="AE499" s="320">
        <f>IFERROR(__xludf.DUMMYFUNCTION("""COMPUTED_VALUE"""),72.0)</f>
        <v>72</v>
      </c>
      <c r="AF499" s="320">
        <f>IFERROR(__xludf.DUMMYFUNCTION("""COMPUTED_VALUE"""),123.0)</f>
        <v>123</v>
      </c>
      <c r="AG499" s="320">
        <f>IFERROR(__xludf.DUMMYFUNCTION("""COMPUTED_VALUE"""),188.0)</f>
        <v>188</v>
      </c>
      <c r="AH499" s="320">
        <f>IFERROR(__xludf.DUMMYFUNCTION("""COMPUTED_VALUE"""),46.96)</f>
        <v>46.96</v>
      </c>
      <c r="AI499" s="320">
        <f>IFERROR(__xludf.DUMMYFUNCTION("""COMPUTED_VALUE"""),12.15)</f>
        <v>12.15</v>
      </c>
      <c r="AJ499" s="320">
        <f>IFERROR(__xludf.DUMMYFUNCTION("""COMPUTED_VALUE"""),1.21)</f>
        <v>1.21</v>
      </c>
      <c r="AK499" s="320">
        <f>IFERROR(__xludf.DUMMYFUNCTION("""COMPUTED_VALUE"""),0.1215)</f>
        <v>0.1215</v>
      </c>
      <c r="AL499" s="320">
        <f>IFERROR(__xludf.DUMMYFUNCTION("""COMPUTED_VALUE"""),22.13)</f>
        <v>22.13</v>
      </c>
      <c r="AM499" s="320">
        <f>IFERROR(__xludf.DUMMYFUNCTION("""COMPUTED_VALUE"""),1086.52)</f>
        <v>1086.52</v>
      </c>
      <c r="AN499" s="320">
        <f>IFERROR(__xludf.DUMMYFUNCTION("""COMPUTED_VALUE"""),73.57)</f>
        <v>73.57</v>
      </c>
      <c r="AO499" s="320">
        <f>IFERROR(__xludf.DUMMYFUNCTION("""COMPUTED_VALUE"""),16.28)</f>
        <v>16.28</v>
      </c>
    </row>
    <row r="500" ht="15.0" customHeight="1">
      <c r="A500" s="328">
        <f>IFERROR(__xludf.DUMMYFUNCTION("""COMPUTED_VALUE"""),46133.0)</f>
        <v>46133</v>
      </c>
      <c r="B500" s="319" t="str">
        <f>IFERROR(__xludf.DUMMYFUNCTION("""COMPUTED_VALUE"""),"A. 0")</f>
        <v>A. 0</v>
      </c>
      <c r="C500" s="320">
        <f>IFERROR(__xludf.DUMMYFUNCTION("""COMPUTED_VALUE"""),15534.0)</f>
        <v>15534</v>
      </c>
      <c r="D500" s="320">
        <f>IFERROR(__xludf.DUMMYFUNCTION("""COMPUTED_VALUE"""),20.68)</f>
        <v>20.68</v>
      </c>
      <c r="E500" s="320">
        <f>IFERROR(__xludf.DUMMYFUNCTION("""COMPUTED_VALUE"""),130.54)</f>
        <v>130.54</v>
      </c>
      <c r="F500" s="320">
        <f>IFERROR(__xludf.DUMMYFUNCTION("""COMPUTED_VALUE"""),0.0084)</f>
        <v>0.0084</v>
      </c>
      <c r="G500" s="320">
        <f>IFERROR(__xludf.DUMMYFUNCTION("""COMPUTED_VALUE"""),0.15)</f>
        <v>0.15</v>
      </c>
      <c r="H500" s="320">
        <f>IFERROR(__xludf.DUMMYFUNCTION("""COMPUTED_VALUE"""),5.6757)</f>
        <v>5.6757</v>
      </c>
      <c r="I500" s="320">
        <f>IFERROR(__xludf.DUMMYFUNCTION("""COMPUTED_VALUE"""),5.93)</f>
        <v>5.93</v>
      </c>
      <c r="J500" s="320">
        <f>IFERROR(__xludf.DUMMYFUNCTION("""COMPUTED_VALUE"""),2.72)</f>
        <v>2.72</v>
      </c>
      <c r="K500" s="320">
        <f>IFERROR(__xludf.DUMMYFUNCTION("""COMPUTED_VALUE"""),0.05)</f>
        <v>0.05</v>
      </c>
      <c r="L500" s="320">
        <f>IFERROR(__xludf.DUMMYFUNCTION("""COMPUTED_VALUE"""),0.0177)</f>
        <v>0.0177</v>
      </c>
      <c r="M500" s="320">
        <f>IFERROR(__xludf.DUMMYFUNCTION("""COMPUTED_VALUE"""),0.9849)</f>
        <v>0.9849</v>
      </c>
      <c r="N500" s="320">
        <f>IFERROR(__xludf.DUMMYFUNCTION("""COMPUTED_VALUE"""),0.8033)</f>
        <v>0.8033</v>
      </c>
      <c r="O500" s="320">
        <f>IFERROR(__xludf.DUMMYFUNCTION("""COMPUTED_VALUE"""),56.559)</f>
        <v>56.559</v>
      </c>
      <c r="P500" s="320">
        <f>IFERROR(__xludf.DUMMYFUNCTION("""COMPUTED_VALUE"""),26.02)</f>
        <v>26.02</v>
      </c>
      <c r="Q500" s="320">
        <f>IFERROR(__xludf.DUMMYFUNCTION("""COMPUTED_VALUE"""),25.95)</f>
        <v>25.95</v>
      </c>
      <c r="R500" s="320">
        <f>IFERROR(__xludf.DUMMYFUNCTION("""COMPUTED_VALUE"""),0.06)</f>
        <v>0.06</v>
      </c>
      <c r="S500" s="320">
        <f>IFERROR(__xludf.DUMMYFUNCTION("""COMPUTED_VALUE"""),0.73)</f>
        <v>0.73</v>
      </c>
      <c r="T500" s="320">
        <f>IFERROR(__xludf.DUMMYFUNCTION("""COMPUTED_VALUE"""),25.28)</f>
        <v>25.28</v>
      </c>
      <c r="U500" s="320">
        <f>IFERROR(__xludf.DUMMYFUNCTION("""COMPUTED_VALUE"""),2.43)</f>
        <v>2.43</v>
      </c>
      <c r="V500" s="320">
        <f>IFERROR(__xludf.DUMMYFUNCTION("""COMPUTED_VALUE"""),0.8935)</f>
        <v>0.8935</v>
      </c>
      <c r="W500" s="320">
        <f>IFERROR(__xludf.DUMMYFUNCTION("""COMPUTED_VALUE"""),2.81)</f>
        <v>2.81</v>
      </c>
      <c r="X500" s="320">
        <f>IFERROR(__xludf.DUMMYFUNCTION("""COMPUTED_VALUE"""),168.0)</f>
        <v>168</v>
      </c>
      <c r="Y500" s="320">
        <f>IFERROR(__xludf.DUMMYFUNCTION("""COMPUTED_VALUE"""),1238.0)</f>
        <v>1238</v>
      </c>
      <c r="Z500" s="320">
        <f>IFERROR(__xludf.DUMMYFUNCTION("""COMPUTED_VALUE"""),7926.0)</f>
        <v>7926</v>
      </c>
      <c r="AA500" s="320">
        <f>IFERROR(__xludf.DUMMYFUNCTION("""COMPUTED_VALUE"""),49.7258)</f>
        <v>49.7258</v>
      </c>
      <c r="AB500" s="320">
        <f>IFERROR(__xludf.DUMMYFUNCTION("""COMPUTED_VALUE"""),0.5111)</f>
        <v>0.5111</v>
      </c>
      <c r="AC500" s="106"/>
      <c r="AD500" s="106"/>
      <c r="AE500" s="106"/>
      <c r="AF500" s="106"/>
      <c r="AG500" s="106"/>
      <c r="AH500" s="320">
        <f>IFERROR(__xludf.DUMMYFUNCTION("""COMPUTED_VALUE"""),0.0)</f>
        <v>0</v>
      </c>
      <c r="AI500" s="320">
        <f>IFERROR(__xludf.DUMMYFUNCTION("""COMPUTED_VALUE"""),0.0)</f>
        <v>0</v>
      </c>
      <c r="AJ500" s="320">
        <f>IFERROR(__xludf.DUMMYFUNCTION("""COMPUTED_VALUE"""),0.0)</f>
        <v>0</v>
      </c>
      <c r="AK500" s="320">
        <f>IFERROR(__xludf.DUMMYFUNCTION("""COMPUTED_VALUE"""),0.2621)</f>
        <v>0.2621</v>
      </c>
      <c r="AL500" s="320">
        <f>IFERROR(__xludf.DUMMYFUNCTION("""COMPUTED_VALUE"""),14.89)</f>
        <v>14.89</v>
      </c>
      <c r="AM500" s="320">
        <f>IFERROR(__xludf.DUMMYFUNCTION("""COMPUTED_VALUE"""),11.06)</f>
        <v>11.06</v>
      </c>
      <c r="AN500" s="331"/>
      <c r="AO500" s="331"/>
    </row>
    <row r="501" ht="15.0" customHeight="1">
      <c r="A501" s="328">
        <f>IFERROR(__xludf.DUMMYFUNCTION("""COMPUTED_VALUE"""),46133.0)</f>
        <v>46133</v>
      </c>
      <c r="B501" s="319" t="str">
        <f>IFERROR(__xludf.DUMMYFUNCTION("""COMPUTED_VALUE"""),"B. 1-9")</f>
        <v>B. 1-9</v>
      </c>
      <c r="C501" s="320">
        <f>IFERROR(__xludf.DUMMYFUNCTION("""COMPUTED_VALUE"""),32399.0)</f>
        <v>32399</v>
      </c>
      <c r="D501" s="320">
        <f>IFERROR(__xludf.DUMMYFUNCTION("""COMPUTED_VALUE"""),43.13)</f>
        <v>43.13</v>
      </c>
      <c r="E501" s="320">
        <f>IFERROR(__xludf.DUMMYFUNCTION("""COMPUTED_VALUE"""),6475.06)</f>
        <v>6475.06</v>
      </c>
      <c r="F501" s="320">
        <f>IFERROR(__xludf.DUMMYFUNCTION("""COMPUTED_VALUE"""),0.1999)</f>
        <v>0.1999</v>
      </c>
      <c r="G501" s="320">
        <f>IFERROR(__xludf.DUMMYFUNCTION("""COMPUTED_VALUE"""),5.84)</f>
        <v>5.84</v>
      </c>
      <c r="H501" s="320">
        <f>IFERROR(__xludf.DUMMYFUNCTION("""COMPUTED_VALUE"""),3.4241)</f>
        <v>3.4241</v>
      </c>
      <c r="I501" s="320">
        <f>IFERROR(__xludf.DUMMYFUNCTION("""COMPUTED_VALUE"""),29.56)</f>
        <v>29.56</v>
      </c>
      <c r="J501" s="320">
        <f>IFERROR(__xludf.DUMMYFUNCTION("""COMPUTED_VALUE"""),15.7)</f>
        <v>15.7</v>
      </c>
      <c r="K501" s="320">
        <f>IFERROR(__xludf.DUMMYFUNCTION("""COMPUTED_VALUE"""),5.06)</f>
        <v>5.06</v>
      </c>
      <c r="L501" s="320">
        <f>IFERROR(__xludf.DUMMYFUNCTION("""COMPUTED_VALUE"""),0.3223)</f>
        <v>0.3223</v>
      </c>
      <c r="M501" s="320">
        <f>IFERROR(__xludf.DUMMYFUNCTION("""COMPUTED_VALUE"""),0.7526)</f>
        <v>0.7526</v>
      </c>
      <c r="N501" s="320">
        <f>IFERROR(__xludf.DUMMYFUNCTION("""COMPUTED_VALUE"""),0.5245)</f>
        <v>0.5245</v>
      </c>
      <c r="O501" s="320">
        <f>IFERROR(__xludf.DUMMYFUNCTION("""COMPUTED_VALUE"""),3.1027)</f>
        <v>3.1027</v>
      </c>
      <c r="P501" s="320">
        <f>IFERROR(__xludf.DUMMYFUNCTION("""COMPUTED_VALUE"""),68.07)</f>
        <v>68.07</v>
      </c>
      <c r="Q501" s="320">
        <f>IFERROR(__xludf.DUMMYFUNCTION("""COMPUTED_VALUE"""),57.88)</f>
        <v>57.88</v>
      </c>
      <c r="R501" s="320">
        <f>IFERROR(__xludf.DUMMYFUNCTION("""COMPUTED_VALUE"""),10.19)</f>
        <v>10.19</v>
      </c>
      <c r="S501" s="320">
        <f>IFERROR(__xludf.DUMMYFUNCTION("""COMPUTED_VALUE"""),14.82)</f>
        <v>14.82</v>
      </c>
      <c r="T501" s="320">
        <f>IFERROR(__xludf.DUMMYFUNCTION("""COMPUTED_VALUE"""),53.25)</f>
        <v>53.25</v>
      </c>
      <c r="U501" s="320">
        <f>IFERROR(__xludf.DUMMYFUNCTION("""COMPUTED_VALUE"""),73.89)</f>
        <v>73.89</v>
      </c>
      <c r="V501" s="320">
        <f>IFERROR(__xludf.DUMMYFUNCTION("""COMPUTED_VALUE"""),4.7069)</f>
        <v>4.7069</v>
      </c>
      <c r="W501" s="320">
        <f>IFERROR(__xludf.DUMMYFUNCTION("""COMPUTED_VALUE"""),21.77)</f>
        <v>21.77</v>
      </c>
      <c r="X501" s="320">
        <f>IFERROR(__xludf.DUMMYFUNCTION("""COMPUTED_VALUE"""),88.0)</f>
        <v>88</v>
      </c>
      <c r="Y501" s="320">
        <f>IFERROR(__xludf.DUMMYFUNCTION("""COMPUTED_VALUE"""),213.0)</f>
        <v>213</v>
      </c>
      <c r="Z501" s="320">
        <f>IFERROR(__xludf.DUMMYFUNCTION("""COMPUTED_VALUE"""),867.0)</f>
        <v>867</v>
      </c>
      <c r="AA501" s="320">
        <f>IFERROR(__xludf.DUMMYFUNCTION("""COMPUTED_VALUE"""),49.5662)</f>
        <v>49.5662</v>
      </c>
      <c r="AB501" s="320">
        <f>IFERROR(__xludf.DUMMYFUNCTION("""COMPUTED_VALUE"""),0.4381)</f>
        <v>0.4381</v>
      </c>
      <c r="AC501" s="320">
        <f>IFERROR(__xludf.DUMMYFUNCTION("""COMPUTED_VALUE"""),3.46)</f>
        <v>3.46</v>
      </c>
      <c r="AD501" s="320">
        <f>IFERROR(__xludf.DUMMYFUNCTION("""COMPUTED_VALUE"""),1.0)</f>
        <v>1</v>
      </c>
      <c r="AE501" s="320">
        <f>IFERROR(__xludf.DUMMYFUNCTION("""COMPUTED_VALUE"""),2.0)</f>
        <v>2</v>
      </c>
      <c r="AF501" s="320">
        <f>IFERROR(__xludf.DUMMYFUNCTION("""COMPUTED_VALUE"""),4.0)</f>
        <v>4</v>
      </c>
      <c r="AG501" s="320">
        <f>IFERROR(__xludf.DUMMYFUNCTION("""COMPUTED_VALUE"""),8.0)</f>
        <v>8</v>
      </c>
      <c r="AH501" s="320">
        <f>IFERROR(__xludf.DUMMYFUNCTION("""COMPUTED_VALUE"""),65.29)</f>
        <v>65.29</v>
      </c>
      <c r="AI501" s="320">
        <f>IFERROR(__xludf.DUMMYFUNCTION("""COMPUTED_VALUE"""),23.66)</f>
        <v>23.66</v>
      </c>
      <c r="AJ501" s="320">
        <f>IFERROR(__xludf.DUMMYFUNCTION("""COMPUTED_VALUE"""),6.88)</f>
        <v>6.88</v>
      </c>
      <c r="AK501" s="320">
        <f>IFERROR(__xludf.DUMMYFUNCTION("""COMPUTED_VALUE"""),0.2135)</f>
        <v>0.2135</v>
      </c>
      <c r="AL501" s="320">
        <f>IFERROR(__xludf.DUMMYFUNCTION("""COMPUTED_VALUE"""),18.21)</f>
        <v>18.21</v>
      </c>
      <c r="AM501" s="320">
        <f>IFERROR(__xludf.DUMMYFUNCTION("""COMPUTED_VALUE"""),39.67)</f>
        <v>39.67</v>
      </c>
      <c r="AN501" s="320">
        <f>IFERROR(__xludf.DUMMYFUNCTION("""COMPUTED_VALUE"""),67.83)</f>
        <v>67.83</v>
      </c>
      <c r="AO501" s="320">
        <f>IFERROR(__xludf.DUMMYFUNCTION("""COMPUTED_VALUE"""),12.35)</f>
        <v>12.35</v>
      </c>
    </row>
    <row r="502" ht="15.0" customHeight="1">
      <c r="A502" s="328">
        <f>IFERROR(__xludf.DUMMYFUNCTION("""COMPUTED_VALUE"""),46133.0)</f>
        <v>46133</v>
      </c>
      <c r="B502" s="319" t="str">
        <f>IFERROR(__xludf.DUMMYFUNCTION("""COMPUTED_VALUE"""),"C. 10-19")</f>
        <v>C. 10-19</v>
      </c>
      <c r="C502" s="320">
        <f>IFERROR(__xludf.DUMMYFUNCTION("""COMPUTED_VALUE"""),16217.0)</f>
        <v>16217</v>
      </c>
      <c r="D502" s="320">
        <f>IFERROR(__xludf.DUMMYFUNCTION("""COMPUTED_VALUE"""),21.59)</f>
        <v>21.59</v>
      </c>
      <c r="E502" s="320">
        <f>IFERROR(__xludf.DUMMYFUNCTION("""COMPUTED_VALUE"""),16813.57)</f>
        <v>16813.57</v>
      </c>
      <c r="F502" s="320">
        <f>IFERROR(__xludf.DUMMYFUNCTION("""COMPUTED_VALUE"""),1.0368)</f>
        <v>1.0368</v>
      </c>
      <c r="G502" s="320">
        <f>IFERROR(__xludf.DUMMYFUNCTION("""COMPUTED_VALUE"""),20.66)</f>
        <v>20.66</v>
      </c>
      <c r="H502" s="320">
        <f>IFERROR(__xludf.DUMMYFUNCTION("""COMPUTED_VALUE"""),5.0175)</f>
        <v>5.0175</v>
      </c>
      <c r="I502" s="320">
        <f>IFERROR(__xludf.DUMMYFUNCTION("""COMPUTED_VALUE"""),56.8)</f>
        <v>56.8</v>
      </c>
      <c r="J502" s="320">
        <f>IFERROR(__xludf.DUMMYFUNCTION("""COMPUTED_VALUE"""),32.11)</f>
        <v>32.11</v>
      </c>
      <c r="K502" s="320">
        <f>IFERROR(__xludf.DUMMYFUNCTION("""COMPUTED_VALUE"""),13.68)</f>
        <v>13.68</v>
      </c>
      <c r="L502" s="320">
        <f>IFERROR(__xludf.DUMMYFUNCTION("""COMPUTED_VALUE"""),0.4262)</f>
        <v>0.4262</v>
      </c>
      <c r="M502" s="320">
        <f>IFERROR(__xludf.DUMMYFUNCTION("""COMPUTED_VALUE"""),0.6404)</f>
        <v>0.6404</v>
      </c>
      <c r="N502" s="320">
        <f>IFERROR(__xludf.DUMMYFUNCTION("""COMPUTED_VALUE"""),0.3779)</f>
        <v>0.3779</v>
      </c>
      <c r="O502" s="320">
        <f>IFERROR(__xludf.DUMMYFUNCTION("""COMPUTED_VALUE"""),2.3462)</f>
        <v>2.3462</v>
      </c>
      <c r="P502" s="320">
        <f>IFERROR(__xludf.DUMMYFUNCTION("""COMPUTED_VALUE"""),170.59)</f>
        <v>170.59</v>
      </c>
      <c r="Q502" s="320">
        <f>IFERROR(__xludf.DUMMYFUNCTION("""COMPUTED_VALUE"""),143.82)</f>
        <v>143.82</v>
      </c>
      <c r="R502" s="320">
        <f>IFERROR(__xludf.DUMMYFUNCTION("""COMPUTED_VALUE"""),26.77)</f>
        <v>26.77</v>
      </c>
      <c r="S502" s="320">
        <f>IFERROR(__xludf.DUMMYFUNCTION("""COMPUTED_VALUE"""),69.65)</f>
        <v>69.65</v>
      </c>
      <c r="T502" s="320">
        <f>IFERROR(__xludf.DUMMYFUNCTION("""COMPUTED_VALUE"""),100.95)</f>
        <v>100.95</v>
      </c>
      <c r="U502" s="320">
        <f>IFERROR(__xludf.DUMMYFUNCTION("""COMPUTED_VALUE"""),182.38)</f>
        <v>182.38</v>
      </c>
      <c r="V502" s="320">
        <f>IFERROR(__xludf.DUMMYFUNCTION("""COMPUTED_VALUE"""),5.6804)</f>
        <v>5.6804</v>
      </c>
      <c r="W502" s="320">
        <f>IFERROR(__xludf.DUMMYFUNCTION("""COMPUTED_VALUE"""),40.83)</f>
        <v>40.83</v>
      </c>
      <c r="X502" s="320">
        <f>IFERROR(__xludf.DUMMYFUNCTION("""COMPUTED_VALUE"""),82.0)</f>
        <v>82</v>
      </c>
      <c r="Y502" s="320">
        <f>IFERROR(__xludf.DUMMYFUNCTION("""COMPUTED_VALUE"""),186.0)</f>
        <v>186</v>
      </c>
      <c r="Z502" s="320">
        <f>IFERROR(__xludf.DUMMYFUNCTION("""COMPUTED_VALUE"""),595.0)</f>
        <v>595</v>
      </c>
      <c r="AA502" s="320">
        <f>IFERROR(__xludf.DUMMYFUNCTION("""COMPUTED_VALUE"""),52.5124)</f>
        <v>52.5124</v>
      </c>
      <c r="AB502" s="320">
        <f>IFERROR(__xludf.DUMMYFUNCTION("""COMPUTED_VALUE"""),0.5015)</f>
        <v>0.5015</v>
      </c>
      <c r="AC502" s="320">
        <f>IFERROR(__xludf.DUMMYFUNCTION("""COMPUTED_VALUE"""),8.66)</f>
        <v>8.66</v>
      </c>
      <c r="AD502" s="320">
        <f>IFERROR(__xludf.DUMMYFUNCTION("""COMPUTED_VALUE"""),3.0)</f>
        <v>3</v>
      </c>
      <c r="AE502" s="320">
        <f>IFERROR(__xludf.DUMMYFUNCTION("""COMPUTED_VALUE"""),6.0)</f>
        <v>6</v>
      </c>
      <c r="AF502" s="320">
        <f>IFERROR(__xludf.DUMMYFUNCTION("""COMPUTED_VALUE"""),12.0)</f>
        <v>12</v>
      </c>
      <c r="AG502" s="320">
        <f>IFERROR(__xludf.DUMMYFUNCTION("""COMPUTED_VALUE"""),19.0)</f>
        <v>19</v>
      </c>
      <c r="AH502" s="320">
        <f>IFERROR(__xludf.DUMMYFUNCTION("""COMPUTED_VALUE"""),52.8)</f>
        <v>52.8</v>
      </c>
      <c r="AI502" s="320">
        <f>IFERROR(__xludf.DUMMYFUNCTION("""COMPUTED_VALUE"""),23.66)</f>
        <v>23.66</v>
      </c>
      <c r="AJ502" s="320">
        <f>IFERROR(__xludf.DUMMYFUNCTION("""COMPUTED_VALUE"""),4.66)</f>
        <v>4.66</v>
      </c>
      <c r="AK502" s="320">
        <f>IFERROR(__xludf.DUMMYFUNCTION("""COMPUTED_VALUE"""),0.174)</f>
        <v>0.174</v>
      </c>
      <c r="AL502" s="320">
        <f>IFERROR(__xludf.DUMMYFUNCTION("""COMPUTED_VALUE"""),18.94)</f>
        <v>18.94</v>
      </c>
      <c r="AM502" s="320">
        <f>IFERROR(__xludf.DUMMYFUNCTION("""COMPUTED_VALUE"""),124.88)</f>
        <v>124.88</v>
      </c>
      <c r="AN502" s="320">
        <f>IFERROR(__xludf.DUMMYFUNCTION("""COMPUTED_VALUE"""),72.45)</f>
        <v>72.45</v>
      </c>
      <c r="AO502" s="320">
        <f>IFERROR(__xludf.DUMMYFUNCTION("""COMPUTED_VALUE"""),13.72)</f>
        <v>13.72</v>
      </c>
    </row>
    <row r="503" ht="15.0" customHeight="1">
      <c r="A503" s="328">
        <f>IFERROR(__xludf.DUMMYFUNCTION("""COMPUTED_VALUE"""),46133.0)</f>
        <v>46133</v>
      </c>
      <c r="B503" s="319" t="str">
        <f>IFERROR(__xludf.DUMMYFUNCTION("""COMPUTED_VALUE"""),"D. 20-39")</f>
        <v>D. 20-39</v>
      </c>
      <c r="C503" s="320">
        <f>IFERROR(__xludf.DUMMYFUNCTION("""COMPUTED_VALUE"""),7974.0)</f>
        <v>7974</v>
      </c>
      <c r="D503" s="320">
        <f>IFERROR(__xludf.DUMMYFUNCTION("""COMPUTED_VALUE"""),10.62)</f>
        <v>10.62</v>
      </c>
      <c r="E503" s="320">
        <f>IFERROR(__xludf.DUMMYFUNCTION("""COMPUTED_VALUE"""),20952.0)</f>
        <v>20952</v>
      </c>
      <c r="F503" s="320">
        <f>IFERROR(__xludf.DUMMYFUNCTION("""COMPUTED_VALUE"""),2.6275)</f>
        <v>2.6275</v>
      </c>
      <c r="G503" s="320">
        <f>IFERROR(__xludf.DUMMYFUNCTION("""COMPUTED_VALUE"""),33.61)</f>
        <v>33.61</v>
      </c>
      <c r="H503" s="320">
        <f>IFERROR(__xludf.DUMMYFUNCTION("""COMPUTED_VALUE"""),7.8179)</f>
        <v>7.8179</v>
      </c>
      <c r="I503" s="320">
        <f>IFERROR(__xludf.DUMMYFUNCTION("""COMPUTED_VALUE"""),81.28)</f>
        <v>81.28</v>
      </c>
      <c r="J503" s="320">
        <f>IFERROR(__xludf.DUMMYFUNCTION("""COMPUTED_VALUE"""),48.05)</f>
        <v>48.05</v>
      </c>
      <c r="K503" s="320">
        <f>IFERROR(__xludf.DUMMYFUNCTION("""COMPUTED_VALUE"""),26.85)</f>
        <v>26.85</v>
      </c>
      <c r="L503" s="320">
        <f>IFERROR(__xludf.DUMMYFUNCTION("""COMPUTED_VALUE"""),0.5587)</f>
        <v>0.5587</v>
      </c>
      <c r="M503" s="320">
        <f>IFERROR(__xludf.DUMMYFUNCTION("""COMPUTED_VALUE"""),0.5196)</f>
        <v>0.5196</v>
      </c>
      <c r="N503" s="320">
        <f>IFERROR(__xludf.DUMMYFUNCTION("""COMPUTED_VALUE"""),0.2956)</f>
        <v>0.2956</v>
      </c>
      <c r="O503" s="320">
        <f>IFERROR(__xludf.DUMMYFUNCTION("""COMPUTED_VALUE"""),1.79)</f>
        <v>1.79</v>
      </c>
      <c r="P503" s="320">
        <f>IFERROR(__xludf.DUMMYFUNCTION("""COMPUTED_VALUE"""),351.41)</f>
        <v>351.41</v>
      </c>
      <c r="Q503" s="320">
        <f>IFERROR(__xludf.DUMMYFUNCTION("""COMPUTED_VALUE"""),299.96)</f>
        <v>299.96</v>
      </c>
      <c r="R503" s="320">
        <f>IFERROR(__xludf.DUMMYFUNCTION("""COMPUTED_VALUE"""),51.45)</f>
        <v>51.45</v>
      </c>
      <c r="S503" s="320">
        <f>IFERROR(__xludf.DUMMYFUNCTION("""COMPUTED_VALUE"""),172.08)</f>
        <v>172.08</v>
      </c>
      <c r="T503" s="320">
        <f>IFERROR(__xludf.DUMMYFUNCTION("""COMPUTED_VALUE"""),179.33)</f>
        <v>179.33</v>
      </c>
      <c r="U503" s="320">
        <f>IFERROR(__xludf.DUMMYFUNCTION("""COMPUTED_VALUE"""),366.24)</f>
        <v>366.24</v>
      </c>
      <c r="V503" s="320">
        <f>IFERROR(__xludf.DUMMYFUNCTION("""COMPUTED_VALUE"""),7.6215)</f>
        <v>7.6215</v>
      </c>
      <c r="W503" s="320">
        <f>IFERROR(__xludf.DUMMYFUNCTION("""COMPUTED_VALUE"""),48.97)</f>
        <v>48.97</v>
      </c>
      <c r="X503" s="320">
        <f>IFERROR(__xludf.DUMMYFUNCTION("""COMPUTED_VALUE"""),87.0)</f>
        <v>87</v>
      </c>
      <c r="Y503" s="320">
        <f>IFERROR(__xludf.DUMMYFUNCTION("""COMPUTED_VALUE"""),217.0)</f>
        <v>217</v>
      </c>
      <c r="Z503" s="320">
        <f>IFERROR(__xludf.DUMMYFUNCTION("""COMPUTED_VALUE"""),682.0)</f>
        <v>682</v>
      </c>
      <c r="AA503" s="320">
        <f>IFERROR(__xludf.DUMMYFUNCTION("""COMPUTED_VALUE"""),54.5919)</f>
        <v>54.5919</v>
      </c>
      <c r="AB503" s="320">
        <f>IFERROR(__xludf.DUMMYFUNCTION("""COMPUTED_VALUE"""),0.6058)</f>
        <v>0.6058</v>
      </c>
      <c r="AC503" s="320">
        <f>IFERROR(__xludf.DUMMYFUNCTION("""COMPUTED_VALUE"""),16.57)</f>
        <v>16.57</v>
      </c>
      <c r="AD503" s="320">
        <f>IFERROR(__xludf.DUMMYFUNCTION("""COMPUTED_VALUE"""),5.0)</f>
        <v>5</v>
      </c>
      <c r="AE503" s="320">
        <f>IFERROR(__xludf.DUMMYFUNCTION("""COMPUTED_VALUE"""),12.0)</f>
        <v>12</v>
      </c>
      <c r="AF503" s="320">
        <f>IFERROR(__xludf.DUMMYFUNCTION("""COMPUTED_VALUE"""),24.0)</f>
        <v>24</v>
      </c>
      <c r="AG503" s="320">
        <f>IFERROR(__xludf.DUMMYFUNCTION("""COMPUTED_VALUE"""),35.0)</f>
        <v>35</v>
      </c>
      <c r="AH503" s="320">
        <f>IFERROR(__xludf.DUMMYFUNCTION("""COMPUTED_VALUE"""),54.64)</f>
        <v>54.64</v>
      </c>
      <c r="AI503" s="320">
        <f>IFERROR(__xludf.DUMMYFUNCTION("""COMPUTED_VALUE"""),22.37)</f>
        <v>22.37</v>
      </c>
      <c r="AJ503" s="320">
        <f>IFERROR(__xludf.DUMMYFUNCTION("""COMPUTED_VALUE"""),6.21)</f>
        <v>6.21</v>
      </c>
      <c r="AK503" s="320">
        <f>IFERROR(__xludf.DUMMYFUNCTION("""COMPUTED_VALUE"""),0.1708)</f>
        <v>0.1708</v>
      </c>
      <c r="AL503" s="320">
        <f>IFERROR(__xludf.DUMMYFUNCTION("""COMPUTED_VALUE"""),19.92)</f>
        <v>19.92</v>
      </c>
      <c r="AM503" s="320">
        <f>IFERROR(__xludf.DUMMYFUNCTION("""COMPUTED_VALUE"""),280.04)</f>
        <v>280.04</v>
      </c>
      <c r="AN503" s="320">
        <f>IFERROR(__xludf.DUMMYFUNCTION("""COMPUTED_VALUE"""),72.52)</f>
        <v>72.52</v>
      </c>
      <c r="AO503" s="320">
        <f>IFERROR(__xludf.DUMMYFUNCTION("""COMPUTED_VALUE"""),14.45)</f>
        <v>14.45</v>
      </c>
    </row>
    <row r="504" ht="15.0" customHeight="1">
      <c r="A504" s="328">
        <f>IFERROR(__xludf.DUMMYFUNCTION("""COMPUTED_VALUE"""),46133.0)</f>
        <v>46133</v>
      </c>
      <c r="B504" s="319" t="str">
        <f>IFERROR(__xludf.DUMMYFUNCTION("""COMPUTED_VALUE"""),"E. 40-99")</f>
        <v>E. 40-99</v>
      </c>
      <c r="C504" s="320">
        <f>IFERROR(__xludf.DUMMYFUNCTION("""COMPUTED_VALUE"""),2734.0)</f>
        <v>2734</v>
      </c>
      <c r="D504" s="320">
        <f>IFERROR(__xludf.DUMMYFUNCTION("""COMPUTED_VALUE"""),3.64)</f>
        <v>3.64</v>
      </c>
      <c r="E504" s="320">
        <f>IFERROR(__xludf.DUMMYFUNCTION("""COMPUTED_VALUE"""),16031.3)</f>
        <v>16031.3</v>
      </c>
      <c r="F504" s="320">
        <f>IFERROR(__xludf.DUMMYFUNCTION("""COMPUTED_VALUE"""),5.8637)</f>
        <v>5.8637</v>
      </c>
      <c r="G504" s="320">
        <f>IFERROR(__xludf.DUMMYFUNCTION("""COMPUTED_VALUE"""),44.51)</f>
        <v>44.51</v>
      </c>
      <c r="H504" s="320">
        <f>IFERROR(__xludf.DUMMYFUNCTION("""COMPUTED_VALUE"""),13.1728)</f>
        <v>13.1728</v>
      </c>
      <c r="I504" s="320">
        <f>IFERROR(__xludf.DUMMYFUNCTION("""COMPUTED_VALUE"""),128.32)</f>
        <v>128.32</v>
      </c>
      <c r="J504" s="320">
        <f>IFERROR(__xludf.DUMMYFUNCTION("""COMPUTED_VALUE"""),79.63)</f>
        <v>79.63</v>
      </c>
      <c r="K504" s="320">
        <f>IFERROR(__xludf.DUMMYFUNCTION("""COMPUTED_VALUE"""),53.12)</f>
        <v>53.12</v>
      </c>
      <c r="L504" s="320">
        <f>IFERROR(__xludf.DUMMYFUNCTION("""COMPUTED_VALUE"""),0.6671)</f>
        <v>0.6671</v>
      </c>
      <c r="M504" s="320">
        <f>IFERROR(__xludf.DUMMYFUNCTION("""COMPUTED_VALUE"""),0.4206)</f>
        <v>0.4206</v>
      </c>
      <c r="N504" s="320">
        <f>IFERROR(__xludf.DUMMYFUNCTION("""COMPUTED_VALUE"""),0.2398)</f>
        <v>0.2398</v>
      </c>
      <c r="O504" s="320">
        <f>IFERROR(__xludf.DUMMYFUNCTION("""COMPUTED_VALUE"""),1.4991)</f>
        <v>1.4991</v>
      </c>
      <c r="P504" s="320">
        <f>IFERROR(__xludf.DUMMYFUNCTION("""COMPUTED_VALUE"""),678.42)</f>
        <v>678.42</v>
      </c>
      <c r="Q504" s="320">
        <f>IFERROR(__xludf.DUMMYFUNCTION("""COMPUTED_VALUE"""),570.88)</f>
        <v>570.88</v>
      </c>
      <c r="R504" s="320">
        <f>IFERROR(__xludf.DUMMYFUNCTION("""COMPUTED_VALUE"""),107.54)</f>
        <v>107.54</v>
      </c>
      <c r="S504" s="320">
        <f>IFERROR(__xludf.DUMMYFUNCTION("""COMPUTED_VALUE"""),363.34)</f>
        <v>363.34</v>
      </c>
      <c r="T504" s="320">
        <f>IFERROR(__xludf.DUMMYFUNCTION("""COMPUTED_VALUE"""),315.07)</f>
        <v>315.07</v>
      </c>
      <c r="U504" s="320">
        <f>IFERROR(__xludf.DUMMYFUNCTION("""COMPUTED_VALUE"""),700.07)</f>
        <v>700.07</v>
      </c>
      <c r="V504" s="320">
        <f>IFERROR(__xludf.DUMMYFUNCTION("""COMPUTED_VALUE"""),8.7911)</f>
        <v>8.7911</v>
      </c>
      <c r="W504" s="320">
        <f>IFERROR(__xludf.DUMMYFUNCTION("""COMPUTED_VALUE"""),53.56)</f>
        <v>53.56</v>
      </c>
      <c r="X504" s="320">
        <f>IFERROR(__xludf.DUMMYFUNCTION("""COMPUTED_VALUE"""),90.0)</f>
        <v>90</v>
      </c>
      <c r="Y504" s="320">
        <f>IFERROR(__xludf.DUMMYFUNCTION("""COMPUTED_VALUE"""),267.0)</f>
        <v>267</v>
      </c>
      <c r="Z504" s="320">
        <f>IFERROR(__xludf.DUMMYFUNCTION("""COMPUTED_VALUE"""),825.0)</f>
        <v>825</v>
      </c>
      <c r="AA504" s="320">
        <f>IFERROR(__xludf.DUMMYFUNCTION("""COMPUTED_VALUE"""),57.4275)</f>
        <v>57.4275</v>
      </c>
      <c r="AB504" s="320">
        <f>IFERROR(__xludf.DUMMYFUNCTION("""COMPUTED_VALUE"""),0.7317)</f>
        <v>0.7317</v>
      </c>
      <c r="AC504" s="320">
        <f>IFERROR(__xludf.DUMMYFUNCTION("""COMPUTED_VALUE"""),34.45)</f>
        <v>34.45</v>
      </c>
      <c r="AD504" s="320">
        <f>IFERROR(__xludf.DUMMYFUNCTION("""COMPUTED_VALUE"""),12.0)</f>
        <v>12</v>
      </c>
      <c r="AE504" s="320">
        <f>IFERROR(__xludf.DUMMYFUNCTION("""COMPUTED_VALUE"""),26.0)</f>
        <v>26</v>
      </c>
      <c r="AF504" s="320">
        <f>IFERROR(__xludf.DUMMYFUNCTION("""COMPUTED_VALUE"""),47.0)</f>
        <v>47</v>
      </c>
      <c r="AG504" s="320">
        <f>IFERROR(__xludf.DUMMYFUNCTION("""COMPUTED_VALUE"""),73.0)</f>
        <v>73</v>
      </c>
      <c r="AH504" s="320">
        <f>IFERROR(__xludf.DUMMYFUNCTION("""COMPUTED_VALUE"""),47.88)</f>
        <v>47.88</v>
      </c>
      <c r="AI504" s="320">
        <f>IFERROR(__xludf.DUMMYFUNCTION("""COMPUTED_VALUE"""),17.04)</f>
        <v>17.04</v>
      </c>
      <c r="AJ504" s="320">
        <f>IFERROR(__xludf.DUMMYFUNCTION("""COMPUTED_VALUE"""),3.95)</f>
        <v>3.95</v>
      </c>
      <c r="AK504" s="320">
        <f>IFERROR(__xludf.DUMMYFUNCTION("""COMPUTED_VALUE"""),0.1441)</f>
        <v>0.1441</v>
      </c>
      <c r="AL504" s="320">
        <f>IFERROR(__xludf.DUMMYFUNCTION("""COMPUTED_VALUE"""),19.1)</f>
        <v>19.1</v>
      </c>
      <c r="AM504" s="320">
        <f>IFERROR(__xludf.DUMMYFUNCTION("""COMPUTED_VALUE"""),551.78)</f>
        <v>551.78</v>
      </c>
      <c r="AN504" s="320">
        <f>IFERROR(__xludf.DUMMYFUNCTION("""COMPUTED_VALUE"""),76.26)</f>
        <v>76.26</v>
      </c>
      <c r="AO504" s="320">
        <f>IFERROR(__xludf.DUMMYFUNCTION("""COMPUTED_VALUE"""),14.57)</f>
        <v>14.57</v>
      </c>
    </row>
    <row r="505" ht="15.0" customHeight="1">
      <c r="A505" s="328">
        <f>IFERROR(__xludf.DUMMYFUNCTION("""COMPUTED_VALUE"""),46133.0)</f>
        <v>46133</v>
      </c>
      <c r="B505" s="319" t="str">
        <f>IFERROR(__xludf.DUMMYFUNCTION("""COMPUTED_VALUE"""),"F. 100+")</f>
        <v>F. 100+</v>
      </c>
      <c r="C505" s="320">
        <f>IFERROR(__xludf.DUMMYFUNCTION("""COMPUTED_VALUE"""),256.0)</f>
        <v>256</v>
      </c>
      <c r="D505" s="320">
        <f>IFERROR(__xludf.DUMMYFUNCTION("""COMPUTED_VALUE"""),0.34)</f>
        <v>0.34</v>
      </c>
      <c r="E505" s="320">
        <f>IFERROR(__xludf.DUMMYFUNCTION("""COMPUTED_VALUE"""),2645.3)</f>
        <v>2645.3</v>
      </c>
      <c r="F505" s="320">
        <f>IFERROR(__xludf.DUMMYFUNCTION("""COMPUTED_VALUE"""),10.3332)</f>
        <v>10.3332</v>
      </c>
      <c r="G505" s="320">
        <f>IFERROR(__xludf.DUMMYFUNCTION("""COMPUTED_VALUE"""),45.7)</f>
        <v>45.7</v>
      </c>
      <c r="H505" s="320">
        <f>IFERROR(__xludf.DUMMYFUNCTION("""COMPUTED_VALUE"""),22.6094)</f>
        <v>22.6094</v>
      </c>
      <c r="I505" s="320">
        <f>IFERROR(__xludf.DUMMYFUNCTION("""COMPUTED_VALUE"""),247.76)</f>
        <v>247.76</v>
      </c>
      <c r="J505" s="320">
        <f>IFERROR(__xludf.DUMMYFUNCTION("""COMPUTED_VALUE"""),161.54)</f>
        <v>161.54</v>
      </c>
      <c r="K505" s="320">
        <f>IFERROR(__xludf.DUMMYFUNCTION("""COMPUTED_VALUE"""),126.27)</f>
        <v>126.27</v>
      </c>
      <c r="L505" s="320">
        <f>IFERROR(__xludf.DUMMYFUNCTION("""COMPUTED_VALUE"""),0.7816)</f>
        <v>0.7816</v>
      </c>
      <c r="M505" s="320">
        <f>IFERROR(__xludf.DUMMYFUNCTION("""COMPUTED_VALUE"""),0.305)</f>
        <v>0.305</v>
      </c>
      <c r="N505" s="320">
        <f>IFERROR(__xludf.DUMMYFUNCTION("""COMPUTED_VALUE"""),0.1874)</f>
        <v>0.1874</v>
      </c>
      <c r="O505" s="320">
        <f>IFERROR(__xludf.DUMMYFUNCTION("""COMPUTED_VALUE"""),1.2794)</f>
        <v>1.2794</v>
      </c>
      <c r="P505" s="320">
        <f>IFERROR(__xludf.DUMMYFUNCTION("""COMPUTED_VALUE"""),1296.09)</f>
        <v>1296.09</v>
      </c>
      <c r="Q505" s="320">
        <f>IFERROR(__xludf.DUMMYFUNCTION("""COMPUTED_VALUE"""),1033.9)</f>
        <v>1033.9</v>
      </c>
      <c r="R505" s="320">
        <f>IFERROR(__xludf.DUMMYFUNCTION("""COMPUTED_VALUE"""),262.19)</f>
        <v>262.19</v>
      </c>
      <c r="S505" s="320">
        <f>IFERROR(__xludf.DUMMYFUNCTION("""COMPUTED_VALUE"""),669.0)</f>
        <v>669</v>
      </c>
      <c r="T505" s="320">
        <f>IFERROR(__xludf.DUMMYFUNCTION("""COMPUTED_VALUE"""),627.08)</f>
        <v>627.08</v>
      </c>
      <c r="U505" s="320">
        <f>IFERROR(__xludf.DUMMYFUNCTION("""COMPUTED_VALUE"""),1312.11)</f>
        <v>1312.11</v>
      </c>
      <c r="V505" s="320">
        <f>IFERROR(__xludf.DUMMYFUNCTION("""COMPUTED_VALUE"""),8.1224)</f>
        <v>8.1224</v>
      </c>
      <c r="W505" s="320">
        <f>IFERROR(__xludf.DUMMYFUNCTION("""COMPUTED_VALUE"""),51.62)</f>
        <v>51.62</v>
      </c>
      <c r="X505" s="320">
        <f>IFERROR(__xludf.DUMMYFUNCTION("""COMPUTED_VALUE"""),130.0)</f>
        <v>130</v>
      </c>
      <c r="Y505" s="320">
        <f>IFERROR(__xludf.DUMMYFUNCTION("""COMPUTED_VALUE"""),438.0)</f>
        <v>438</v>
      </c>
      <c r="Z505" s="320">
        <f>IFERROR(__xludf.DUMMYFUNCTION("""COMPUTED_VALUE"""),2340.0)</f>
        <v>2340</v>
      </c>
      <c r="AA505" s="320">
        <f>IFERROR(__xludf.DUMMYFUNCTION("""COMPUTED_VALUE"""),61.4964)</f>
        <v>61.4964</v>
      </c>
      <c r="AB505" s="320">
        <f>IFERROR(__xludf.DUMMYFUNCTION("""COMPUTED_VALUE"""),0.8126)</f>
        <v>0.8126</v>
      </c>
      <c r="AC505" s="320">
        <f>IFERROR(__xludf.DUMMYFUNCTION("""COMPUTED_VALUE"""),73.72)</f>
        <v>73.72</v>
      </c>
      <c r="AD505" s="320">
        <f>IFERROR(__xludf.DUMMYFUNCTION("""COMPUTED_VALUE"""),27.0)</f>
        <v>27</v>
      </c>
      <c r="AE505" s="320">
        <f>IFERROR(__xludf.DUMMYFUNCTION("""COMPUTED_VALUE"""),53.0)</f>
        <v>53</v>
      </c>
      <c r="AF505" s="320">
        <f>IFERROR(__xludf.DUMMYFUNCTION("""COMPUTED_VALUE"""),109.0)</f>
        <v>109</v>
      </c>
      <c r="AG505" s="320">
        <f>IFERROR(__xludf.DUMMYFUNCTION("""COMPUTED_VALUE"""),165.0)</f>
        <v>165</v>
      </c>
      <c r="AH505" s="320">
        <f>IFERROR(__xludf.DUMMYFUNCTION("""COMPUTED_VALUE"""),35.16)</f>
        <v>35.16</v>
      </c>
      <c r="AI505" s="320">
        <f>IFERROR(__xludf.DUMMYFUNCTION("""COMPUTED_VALUE"""),8.98)</f>
        <v>8.98</v>
      </c>
      <c r="AJ505" s="320">
        <f>IFERROR(__xludf.DUMMYFUNCTION("""COMPUTED_VALUE"""),1.95)</f>
        <v>1.95</v>
      </c>
      <c r="AK505" s="320">
        <f>IFERROR(__xludf.DUMMYFUNCTION("""COMPUTED_VALUE"""),0.1367)</f>
        <v>0.1367</v>
      </c>
      <c r="AL505" s="320">
        <f>IFERROR(__xludf.DUMMYFUNCTION("""COMPUTED_VALUE"""),20.33)</f>
        <v>20.33</v>
      </c>
      <c r="AM505" s="320">
        <f>IFERROR(__xludf.DUMMYFUNCTION("""COMPUTED_VALUE"""),1013.57)</f>
        <v>1013.57</v>
      </c>
      <c r="AN505" s="320">
        <f>IFERROR(__xludf.DUMMYFUNCTION("""COMPUTED_VALUE"""),73.1)</f>
        <v>73.1</v>
      </c>
      <c r="AO505" s="320">
        <f>IFERROR(__xludf.DUMMYFUNCTION("""COMPUTED_VALUE"""),14.86)</f>
        <v>14.86</v>
      </c>
    </row>
    <row r="506" ht="15.0" customHeight="1">
      <c r="A506" s="328">
        <f>IFERROR(__xludf.DUMMYFUNCTION("""COMPUTED_VALUE"""),46134.0)</f>
        <v>46134</v>
      </c>
      <c r="B506" s="319" t="str">
        <f>IFERROR(__xludf.DUMMYFUNCTION("""COMPUTED_VALUE"""),"A. 0")</f>
        <v>A. 0</v>
      </c>
      <c r="C506" s="320">
        <f>IFERROR(__xludf.DUMMYFUNCTION("""COMPUTED_VALUE"""),16074.0)</f>
        <v>16074</v>
      </c>
      <c r="D506" s="320">
        <f>IFERROR(__xludf.DUMMYFUNCTION("""COMPUTED_VALUE"""),21.63)</f>
        <v>21.63</v>
      </c>
      <c r="E506" s="320">
        <f>IFERROR(__xludf.DUMMYFUNCTION("""COMPUTED_VALUE"""),180.64)</f>
        <v>180.64</v>
      </c>
      <c r="F506" s="320">
        <f>IFERROR(__xludf.DUMMYFUNCTION("""COMPUTED_VALUE"""),0.0112)</f>
        <v>0.0112</v>
      </c>
      <c r="G506" s="320">
        <f>IFERROR(__xludf.DUMMYFUNCTION("""COMPUTED_VALUE"""),0.19)</f>
        <v>0.19</v>
      </c>
      <c r="H506" s="320">
        <f>IFERROR(__xludf.DUMMYFUNCTION("""COMPUTED_VALUE"""),6.0213)</f>
        <v>6.0213</v>
      </c>
      <c r="I506" s="320">
        <f>IFERROR(__xludf.DUMMYFUNCTION("""COMPUTED_VALUE"""),6.25)</f>
        <v>6.25</v>
      </c>
      <c r="J506" s="320">
        <f>IFERROR(__xludf.DUMMYFUNCTION("""COMPUTED_VALUE"""),2.86)</f>
        <v>2.86</v>
      </c>
      <c r="K506" s="320">
        <f>IFERROR(__xludf.DUMMYFUNCTION("""COMPUTED_VALUE"""),0.04)</f>
        <v>0.04</v>
      </c>
      <c r="L506" s="320">
        <f>IFERROR(__xludf.DUMMYFUNCTION("""COMPUTED_VALUE"""),0.0138)</f>
        <v>0.0138</v>
      </c>
      <c r="M506" s="320">
        <f>IFERROR(__xludf.DUMMYFUNCTION("""COMPUTED_VALUE"""),0.988)</f>
        <v>0.988</v>
      </c>
      <c r="N506" s="320">
        <f>IFERROR(__xludf.DUMMYFUNCTION("""COMPUTED_VALUE"""),0.8362)</f>
        <v>0.8362</v>
      </c>
      <c r="O506" s="320">
        <f>IFERROR(__xludf.DUMMYFUNCTION("""COMPUTED_VALUE"""),72.2496)</f>
        <v>72.2496</v>
      </c>
      <c r="P506" s="320">
        <f>IFERROR(__xludf.DUMMYFUNCTION("""COMPUTED_VALUE"""),21.9)</f>
        <v>21.9</v>
      </c>
      <c r="Q506" s="320">
        <f>IFERROR(__xludf.DUMMYFUNCTION("""COMPUTED_VALUE"""),21.86)</f>
        <v>21.86</v>
      </c>
      <c r="R506" s="320">
        <f>IFERROR(__xludf.DUMMYFUNCTION("""COMPUTED_VALUE"""),0.05)</f>
        <v>0.05</v>
      </c>
      <c r="S506" s="320">
        <f>IFERROR(__xludf.DUMMYFUNCTION("""COMPUTED_VALUE"""),0.82)</f>
        <v>0.82</v>
      </c>
      <c r="T506" s="320">
        <f>IFERROR(__xludf.DUMMYFUNCTION("""COMPUTED_VALUE"""),21.09)</f>
        <v>21.09</v>
      </c>
      <c r="U506" s="320">
        <f>IFERROR(__xludf.DUMMYFUNCTION("""COMPUTED_VALUE"""),2.26)</f>
        <v>2.26</v>
      </c>
      <c r="V506" s="320">
        <f>IFERROR(__xludf.DUMMYFUNCTION("""COMPUTED_VALUE"""),0.7909)</f>
        <v>0.7909</v>
      </c>
      <c r="W506" s="320">
        <f>IFERROR(__xludf.DUMMYFUNCTION("""COMPUTED_VALUE"""),3.73)</f>
        <v>3.73</v>
      </c>
      <c r="X506" s="320">
        <f>IFERROR(__xludf.DUMMYFUNCTION("""COMPUTED_VALUE"""),149.0)</f>
        <v>149</v>
      </c>
      <c r="Y506" s="320">
        <f>IFERROR(__xludf.DUMMYFUNCTION("""COMPUTED_VALUE"""),1104.0)</f>
        <v>1104</v>
      </c>
      <c r="Z506" s="320">
        <f>IFERROR(__xludf.DUMMYFUNCTION("""COMPUTED_VALUE"""),7738.0)</f>
        <v>7738</v>
      </c>
      <c r="AA506" s="320">
        <f>IFERROR(__xludf.DUMMYFUNCTION("""COMPUTED_VALUE"""),49.7748)</f>
        <v>49.7748</v>
      </c>
      <c r="AB506" s="320">
        <f>IFERROR(__xludf.DUMMYFUNCTION("""COMPUTED_VALUE"""),0.5153)</f>
        <v>0.5153</v>
      </c>
      <c r="AC506" s="106"/>
      <c r="AD506" s="106"/>
      <c r="AE506" s="106"/>
      <c r="AF506" s="106"/>
      <c r="AG506" s="106"/>
      <c r="AH506" s="320">
        <f>IFERROR(__xludf.DUMMYFUNCTION("""COMPUTED_VALUE"""),0.0)</f>
        <v>0</v>
      </c>
      <c r="AI506" s="320">
        <f>IFERROR(__xludf.DUMMYFUNCTION("""COMPUTED_VALUE"""),0.0)</f>
        <v>0</v>
      </c>
      <c r="AJ506" s="320">
        <f>IFERROR(__xludf.DUMMYFUNCTION("""COMPUTED_VALUE"""),0.0)</f>
        <v>0</v>
      </c>
      <c r="AK506" s="320">
        <f>IFERROR(__xludf.DUMMYFUNCTION("""COMPUTED_VALUE"""),0.265)</f>
        <v>0.265</v>
      </c>
      <c r="AL506" s="320">
        <f>IFERROR(__xludf.DUMMYFUNCTION("""COMPUTED_VALUE"""),15.0)</f>
        <v>15</v>
      </c>
      <c r="AM506" s="320">
        <f>IFERROR(__xludf.DUMMYFUNCTION("""COMPUTED_VALUE"""),6.85)</f>
        <v>6.85</v>
      </c>
      <c r="AN506" s="331"/>
      <c r="AO506" s="331"/>
    </row>
    <row r="507" ht="15.0" customHeight="1">
      <c r="A507" s="328">
        <f>IFERROR(__xludf.DUMMYFUNCTION("""COMPUTED_VALUE"""),46134.0)</f>
        <v>46134</v>
      </c>
      <c r="B507" s="319" t="str">
        <f>IFERROR(__xludf.DUMMYFUNCTION("""COMPUTED_VALUE"""),"B. 1-9")</f>
        <v>B. 1-9</v>
      </c>
      <c r="C507" s="320">
        <f>IFERROR(__xludf.DUMMYFUNCTION("""COMPUTED_VALUE"""),31896.0)</f>
        <v>31896</v>
      </c>
      <c r="D507" s="320">
        <f>IFERROR(__xludf.DUMMYFUNCTION("""COMPUTED_VALUE"""),42.93)</f>
        <v>42.93</v>
      </c>
      <c r="E507" s="320">
        <f>IFERROR(__xludf.DUMMYFUNCTION("""COMPUTED_VALUE"""),6672.23)</f>
        <v>6672.23</v>
      </c>
      <c r="F507" s="320">
        <f>IFERROR(__xludf.DUMMYFUNCTION("""COMPUTED_VALUE"""),0.2092)</f>
        <v>0.2092</v>
      </c>
      <c r="G507" s="320">
        <f>IFERROR(__xludf.DUMMYFUNCTION("""COMPUTED_VALUE"""),6.43)</f>
        <v>6.43</v>
      </c>
      <c r="H507" s="320">
        <f>IFERROR(__xludf.DUMMYFUNCTION("""COMPUTED_VALUE"""),3.2547)</f>
        <v>3.2547</v>
      </c>
      <c r="I507" s="320">
        <f>IFERROR(__xludf.DUMMYFUNCTION("""COMPUTED_VALUE"""),32.98)</f>
        <v>32.98</v>
      </c>
      <c r="J507" s="320">
        <f>IFERROR(__xludf.DUMMYFUNCTION("""COMPUTED_VALUE"""),17.82)</f>
        <v>17.82</v>
      </c>
      <c r="K507" s="320">
        <f>IFERROR(__xludf.DUMMYFUNCTION("""COMPUTED_VALUE"""),5.18)</f>
        <v>5.18</v>
      </c>
      <c r="L507" s="320">
        <f>IFERROR(__xludf.DUMMYFUNCTION("""COMPUTED_VALUE"""),0.2908)</f>
        <v>0.2908</v>
      </c>
      <c r="M507" s="320">
        <f>IFERROR(__xludf.DUMMYFUNCTION("""COMPUTED_VALUE"""),0.7736)</f>
        <v>0.7736</v>
      </c>
      <c r="N507" s="320">
        <f>IFERROR(__xludf.DUMMYFUNCTION("""COMPUTED_VALUE"""),0.5314)</f>
        <v>0.5314</v>
      </c>
      <c r="O507" s="320">
        <f>IFERROR(__xludf.DUMMYFUNCTION("""COMPUTED_VALUE"""),3.4386)</f>
        <v>3.4386</v>
      </c>
      <c r="P507" s="320">
        <f>IFERROR(__xludf.DUMMYFUNCTION("""COMPUTED_VALUE"""),60.91)</f>
        <v>60.91</v>
      </c>
      <c r="Q507" s="320">
        <f>IFERROR(__xludf.DUMMYFUNCTION("""COMPUTED_VALUE"""),50.45)</f>
        <v>50.45</v>
      </c>
      <c r="R507" s="320">
        <f>IFERROR(__xludf.DUMMYFUNCTION("""COMPUTED_VALUE"""),10.47)</f>
        <v>10.47</v>
      </c>
      <c r="S507" s="320">
        <f>IFERROR(__xludf.DUMMYFUNCTION("""COMPUTED_VALUE"""),15.36)</f>
        <v>15.36</v>
      </c>
      <c r="T507" s="320">
        <f>IFERROR(__xludf.DUMMYFUNCTION("""COMPUTED_VALUE"""),45.56)</f>
        <v>45.56</v>
      </c>
      <c r="U507" s="320">
        <f>IFERROR(__xludf.DUMMYFUNCTION("""COMPUTED_VALUE"""),68.95)</f>
        <v>68.95</v>
      </c>
      <c r="V507" s="320">
        <f>IFERROR(__xludf.DUMMYFUNCTION("""COMPUTED_VALUE"""),3.8696)</f>
        <v>3.8696</v>
      </c>
      <c r="W507" s="320">
        <f>IFERROR(__xludf.DUMMYFUNCTION("""COMPUTED_VALUE"""),25.21)</f>
        <v>25.21</v>
      </c>
      <c r="X507" s="320">
        <f>IFERROR(__xludf.DUMMYFUNCTION("""COMPUTED_VALUE"""),85.0)</f>
        <v>85</v>
      </c>
      <c r="Y507" s="320">
        <f>IFERROR(__xludf.DUMMYFUNCTION("""COMPUTED_VALUE"""),205.0)</f>
        <v>205</v>
      </c>
      <c r="Z507" s="320">
        <f>IFERROR(__xludf.DUMMYFUNCTION("""COMPUTED_VALUE"""),845.0)</f>
        <v>845</v>
      </c>
      <c r="AA507" s="320">
        <f>IFERROR(__xludf.DUMMYFUNCTION("""COMPUTED_VALUE"""),49.7312)</f>
        <v>49.7312</v>
      </c>
      <c r="AB507" s="320">
        <f>IFERROR(__xludf.DUMMYFUNCTION("""COMPUTED_VALUE"""),0.4388)</f>
        <v>0.4388</v>
      </c>
      <c r="AC507" s="320">
        <f>IFERROR(__xludf.DUMMYFUNCTION("""COMPUTED_VALUE"""),3.44)</f>
        <v>3.44</v>
      </c>
      <c r="AD507" s="320">
        <f>IFERROR(__xludf.DUMMYFUNCTION("""COMPUTED_VALUE"""),1.0)</f>
        <v>1</v>
      </c>
      <c r="AE507" s="320">
        <f>IFERROR(__xludf.DUMMYFUNCTION("""COMPUTED_VALUE"""),2.0)</f>
        <v>2</v>
      </c>
      <c r="AF507" s="320">
        <f>IFERROR(__xludf.DUMMYFUNCTION("""COMPUTED_VALUE"""),4.0)</f>
        <v>4</v>
      </c>
      <c r="AG507" s="320">
        <f>IFERROR(__xludf.DUMMYFUNCTION("""COMPUTED_VALUE"""),8.0)</f>
        <v>8</v>
      </c>
      <c r="AH507" s="320">
        <f>IFERROR(__xludf.DUMMYFUNCTION("""COMPUTED_VALUE"""),65.8)</f>
        <v>65.8</v>
      </c>
      <c r="AI507" s="320">
        <f>IFERROR(__xludf.DUMMYFUNCTION("""COMPUTED_VALUE"""),23.66)</f>
        <v>23.66</v>
      </c>
      <c r="AJ507" s="320">
        <f>IFERROR(__xludf.DUMMYFUNCTION("""COMPUTED_VALUE"""),6.44)</f>
        <v>6.44</v>
      </c>
      <c r="AK507" s="320">
        <f>IFERROR(__xludf.DUMMYFUNCTION("""COMPUTED_VALUE"""),0.2097)</f>
        <v>0.2097</v>
      </c>
      <c r="AL507" s="320">
        <f>IFERROR(__xludf.DUMMYFUNCTION("""COMPUTED_VALUE"""),19.08)</f>
        <v>19.08</v>
      </c>
      <c r="AM507" s="320">
        <f>IFERROR(__xludf.DUMMYFUNCTION("""COMPUTED_VALUE"""),31.37)</f>
        <v>31.37</v>
      </c>
      <c r="AN507" s="320">
        <f>IFERROR(__xludf.DUMMYFUNCTION("""COMPUTED_VALUE"""),68.37)</f>
        <v>68.37</v>
      </c>
      <c r="AO507" s="320">
        <f>IFERROR(__xludf.DUMMYFUNCTION("""COMPUTED_VALUE"""),13.04)</f>
        <v>13.04</v>
      </c>
    </row>
    <row r="508" ht="15.0" customHeight="1">
      <c r="A508" s="328">
        <f>IFERROR(__xludf.DUMMYFUNCTION("""COMPUTED_VALUE"""),46134.0)</f>
        <v>46134</v>
      </c>
      <c r="B508" s="319" t="str">
        <f>IFERROR(__xludf.DUMMYFUNCTION("""COMPUTED_VALUE"""),"C. 10-19")</f>
        <v>C. 10-19</v>
      </c>
      <c r="C508" s="320">
        <f>IFERROR(__xludf.DUMMYFUNCTION("""COMPUTED_VALUE"""),15884.0)</f>
        <v>15884</v>
      </c>
      <c r="D508" s="320">
        <f>IFERROR(__xludf.DUMMYFUNCTION("""COMPUTED_VALUE"""),21.38)</f>
        <v>21.38</v>
      </c>
      <c r="E508" s="320">
        <f>IFERROR(__xludf.DUMMYFUNCTION("""COMPUTED_VALUE"""),17972.61)</f>
        <v>17972.61</v>
      </c>
      <c r="F508" s="320">
        <f>IFERROR(__xludf.DUMMYFUNCTION("""COMPUTED_VALUE"""),1.1315)</f>
        <v>1.1315</v>
      </c>
      <c r="G508" s="320">
        <f>IFERROR(__xludf.DUMMYFUNCTION("""COMPUTED_VALUE"""),22.22)</f>
        <v>22.22</v>
      </c>
      <c r="H508" s="320">
        <f>IFERROR(__xludf.DUMMYFUNCTION("""COMPUTED_VALUE"""),5.0928)</f>
        <v>5.0928</v>
      </c>
      <c r="I508" s="320">
        <f>IFERROR(__xludf.DUMMYFUNCTION("""COMPUTED_VALUE"""),61.25)</f>
        <v>61.25</v>
      </c>
      <c r="J508" s="320">
        <f>IFERROR(__xludf.DUMMYFUNCTION("""COMPUTED_VALUE"""),35.39)</f>
        <v>35.39</v>
      </c>
      <c r="K508" s="320">
        <f>IFERROR(__xludf.DUMMYFUNCTION("""COMPUTED_VALUE"""),14.11)</f>
        <v>14.11</v>
      </c>
      <c r="L508" s="320">
        <f>IFERROR(__xludf.DUMMYFUNCTION("""COMPUTED_VALUE"""),0.3988)</f>
        <v>0.3988</v>
      </c>
      <c r="M508" s="320">
        <f>IFERROR(__xludf.DUMMYFUNCTION("""COMPUTED_VALUE"""),0.6595)</f>
        <v>0.6595</v>
      </c>
      <c r="N508" s="320">
        <f>IFERROR(__xludf.DUMMYFUNCTION("""COMPUTED_VALUE"""),0.3807)</f>
        <v>0.3807</v>
      </c>
      <c r="O508" s="320">
        <f>IFERROR(__xludf.DUMMYFUNCTION("""COMPUTED_VALUE"""),2.5074)</f>
        <v>2.5074</v>
      </c>
      <c r="P508" s="320">
        <f>IFERROR(__xludf.DUMMYFUNCTION("""COMPUTED_VALUE"""),156.37)</f>
        <v>156.37</v>
      </c>
      <c r="Q508" s="320">
        <f>IFERROR(__xludf.DUMMYFUNCTION("""COMPUTED_VALUE"""),129.25)</f>
        <v>129.25</v>
      </c>
      <c r="R508" s="320">
        <f>IFERROR(__xludf.DUMMYFUNCTION("""COMPUTED_VALUE"""),27.11)</f>
        <v>27.11</v>
      </c>
      <c r="S508" s="320">
        <f>IFERROR(__xludf.DUMMYFUNCTION("""COMPUTED_VALUE"""),76.56)</f>
        <v>76.56</v>
      </c>
      <c r="T508" s="320">
        <f>IFERROR(__xludf.DUMMYFUNCTION("""COMPUTED_VALUE"""),79.81)</f>
        <v>79.81</v>
      </c>
      <c r="U508" s="320">
        <f>IFERROR(__xludf.DUMMYFUNCTION("""COMPUTED_VALUE"""),171.74)</f>
        <v>171.74</v>
      </c>
      <c r="V508" s="320">
        <f>IFERROR(__xludf.DUMMYFUNCTION("""COMPUTED_VALUE"""),4.8532)</f>
        <v>4.8532</v>
      </c>
      <c r="W508" s="320">
        <f>IFERROR(__xludf.DUMMYFUNCTION("""COMPUTED_VALUE"""),48.96)</f>
        <v>48.96</v>
      </c>
      <c r="X508" s="320">
        <f>IFERROR(__xludf.DUMMYFUNCTION("""COMPUTED_VALUE"""),80.0)</f>
        <v>80</v>
      </c>
      <c r="Y508" s="320">
        <f>IFERROR(__xludf.DUMMYFUNCTION("""COMPUTED_VALUE"""),169.0)</f>
        <v>169</v>
      </c>
      <c r="Z508" s="320">
        <f>IFERROR(__xludf.DUMMYFUNCTION("""COMPUTED_VALUE"""),581.0)</f>
        <v>581</v>
      </c>
      <c r="AA508" s="320">
        <f>IFERROR(__xludf.DUMMYFUNCTION("""COMPUTED_VALUE"""),52.5507)</f>
        <v>52.5507</v>
      </c>
      <c r="AB508" s="320">
        <f>IFERROR(__xludf.DUMMYFUNCTION("""COMPUTED_VALUE"""),0.5153)</f>
        <v>0.5153</v>
      </c>
      <c r="AC508" s="320">
        <f>IFERROR(__xludf.DUMMYFUNCTION("""COMPUTED_VALUE"""),8.42)</f>
        <v>8.42</v>
      </c>
      <c r="AD508" s="320">
        <f>IFERROR(__xludf.DUMMYFUNCTION("""COMPUTED_VALUE"""),2.0)</f>
        <v>2</v>
      </c>
      <c r="AE508" s="320">
        <f>IFERROR(__xludf.DUMMYFUNCTION("""COMPUTED_VALUE"""),6.0)</f>
        <v>6</v>
      </c>
      <c r="AF508" s="320">
        <f>IFERROR(__xludf.DUMMYFUNCTION("""COMPUTED_VALUE"""),12.0)</f>
        <v>12</v>
      </c>
      <c r="AG508" s="320">
        <f>IFERROR(__xludf.DUMMYFUNCTION("""COMPUTED_VALUE"""),19.0)</f>
        <v>19</v>
      </c>
      <c r="AH508" s="320">
        <f>IFERROR(__xludf.DUMMYFUNCTION("""COMPUTED_VALUE"""),51.7)</f>
        <v>51.7</v>
      </c>
      <c r="AI508" s="320">
        <f>IFERROR(__xludf.DUMMYFUNCTION("""COMPUTED_VALUE"""),22.89)</f>
        <v>22.89</v>
      </c>
      <c r="AJ508" s="320">
        <f>IFERROR(__xludf.DUMMYFUNCTION("""COMPUTED_VALUE"""),4.29)</f>
        <v>4.29</v>
      </c>
      <c r="AK508" s="320">
        <f>IFERROR(__xludf.DUMMYFUNCTION("""COMPUTED_VALUE"""),0.1827)</f>
        <v>0.1827</v>
      </c>
      <c r="AL508" s="320">
        <f>IFERROR(__xludf.DUMMYFUNCTION("""COMPUTED_VALUE"""),19.78)</f>
        <v>19.78</v>
      </c>
      <c r="AM508" s="320">
        <f>IFERROR(__xludf.DUMMYFUNCTION("""COMPUTED_VALUE"""),109.47)</f>
        <v>109.47</v>
      </c>
      <c r="AN508" s="320">
        <f>IFERROR(__xludf.DUMMYFUNCTION("""COMPUTED_VALUE"""),73.18)</f>
        <v>73.18</v>
      </c>
      <c r="AO508" s="320">
        <f>IFERROR(__xludf.DUMMYFUNCTION("""COMPUTED_VALUE"""),14.48)</f>
        <v>14.48</v>
      </c>
    </row>
    <row r="509" ht="15.0" customHeight="1">
      <c r="A509" s="328">
        <f>IFERROR(__xludf.DUMMYFUNCTION("""COMPUTED_VALUE"""),46134.0)</f>
        <v>46134</v>
      </c>
      <c r="B509" s="319" t="str">
        <f>IFERROR(__xludf.DUMMYFUNCTION("""COMPUTED_VALUE"""),"D. 20-39")</f>
        <v>D. 20-39</v>
      </c>
      <c r="C509" s="320">
        <f>IFERROR(__xludf.DUMMYFUNCTION("""COMPUTED_VALUE"""),7495.0)</f>
        <v>7495</v>
      </c>
      <c r="D509" s="320">
        <f>IFERROR(__xludf.DUMMYFUNCTION("""COMPUTED_VALUE"""),10.09)</f>
        <v>10.09</v>
      </c>
      <c r="E509" s="320">
        <f>IFERROR(__xludf.DUMMYFUNCTION("""COMPUTED_VALUE"""),19420.97)</f>
        <v>19420.97</v>
      </c>
      <c r="F509" s="320">
        <f>IFERROR(__xludf.DUMMYFUNCTION("""COMPUTED_VALUE"""),2.5912)</f>
        <v>2.5912</v>
      </c>
      <c r="G509" s="320">
        <f>IFERROR(__xludf.DUMMYFUNCTION("""COMPUTED_VALUE"""),33.68)</f>
        <v>33.68</v>
      </c>
      <c r="H509" s="320">
        <f>IFERROR(__xludf.DUMMYFUNCTION("""COMPUTED_VALUE"""),7.6945)</f>
        <v>7.6945</v>
      </c>
      <c r="I509" s="320">
        <f>IFERROR(__xludf.DUMMYFUNCTION("""COMPUTED_VALUE"""),84.47)</f>
        <v>84.47</v>
      </c>
      <c r="J509" s="320">
        <f>IFERROR(__xludf.DUMMYFUNCTION("""COMPUTED_VALUE"""),50.17)</f>
        <v>50.17</v>
      </c>
      <c r="K509" s="320">
        <f>IFERROR(__xludf.DUMMYFUNCTION("""COMPUTED_VALUE"""),25.69)</f>
        <v>25.69</v>
      </c>
      <c r="L509" s="320">
        <f>IFERROR(__xludf.DUMMYFUNCTION("""COMPUTED_VALUE"""),0.512)</f>
        <v>0.512</v>
      </c>
      <c r="M509" s="320">
        <f>IFERROR(__xludf.DUMMYFUNCTION("""COMPUTED_VALUE"""),0.5544)</f>
        <v>0.5544</v>
      </c>
      <c r="N509" s="320">
        <f>IFERROR(__xludf.DUMMYFUNCTION("""COMPUTED_VALUE"""),0.3053)</f>
        <v>0.3053</v>
      </c>
      <c r="O509" s="320">
        <f>IFERROR(__xludf.DUMMYFUNCTION("""COMPUTED_VALUE"""),1.9531)</f>
        <v>1.9531</v>
      </c>
      <c r="P509" s="320">
        <f>IFERROR(__xludf.DUMMYFUNCTION("""COMPUTED_VALUE"""),292.17)</f>
        <v>292.17</v>
      </c>
      <c r="Q509" s="320">
        <f>IFERROR(__xludf.DUMMYFUNCTION("""COMPUTED_VALUE"""),240.54)</f>
        <v>240.54</v>
      </c>
      <c r="R509" s="320">
        <f>IFERROR(__xludf.DUMMYFUNCTION("""COMPUTED_VALUE"""),51.62)</f>
        <v>51.62</v>
      </c>
      <c r="S509" s="320">
        <f>IFERROR(__xludf.DUMMYFUNCTION("""COMPUTED_VALUE"""),167.03)</f>
        <v>167.03</v>
      </c>
      <c r="T509" s="320">
        <f>IFERROR(__xludf.DUMMYFUNCTION("""COMPUTED_VALUE"""),125.14)</f>
        <v>125.14</v>
      </c>
      <c r="U509" s="320">
        <f>IFERROR(__xludf.DUMMYFUNCTION("""COMPUTED_VALUE"""),314.91)</f>
        <v>314.91</v>
      </c>
      <c r="V509" s="320">
        <f>IFERROR(__xludf.DUMMYFUNCTION("""COMPUTED_VALUE"""),6.2766)</f>
        <v>6.2766</v>
      </c>
      <c r="W509" s="320">
        <f>IFERROR(__xludf.DUMMYFUNCTION("""COMPUTED_VALUE"""),57.17)</f>
        <v>57.17</v>
      </c>
      <c r="X509" s="320">
        <f>IFERROR(__xludf.DUMMYFUNCTION("""COMPUTED_VALUE"""),81.0)</f>
        <v>81</v>
      </c>
      <c r="Y509" s="320">
        <f>IFERROR(__xludf.DUMMYFUNCTION("""COMPUTED_VALUE"""),184.0)</f>
        <v>184</v>
      </c>
      <c r="Z509" s="320">
        <f>IFERROR(__xludf.DUMMYFUNCTION("""COMPUTED_VALUE"""),595.0)</f>
        <v>595</v>
      </c>
      <c r="AA509" s="320">
        <f>IFERROR(__xludf.DUMMYFUNCTION("""COMPUTED_VALUE"""),54.6413)</f>
        <v>54.6413</v>
      </c>
      <c r="AB509" s="320">
        <f>IFERROR(__xludf.DUMMYFUNCTION("""COMPUTED_VALUE"""),0.6409)</f>
        <v>0.6409</v>
      </c>
      <c r="AC509" s="320">
        <f>IFERROR(__xludf.DUMMYFUNCTION("""COMPUTED_VALUE"""),16.18)</f>
        <v>16.18</v>
      </c>
      <c r="AD509" s="320">
        <f>IFERROR(__xludf.DUMMYFUNCTION("""COMPUTED_VALUE"""),5.0)</f>
        <v>5</v>
      </c>
      <c r="AE509" s="320">
        <f>IFERROR(__xludf.DUMMYFUNCTION("""COMPUTED_VALUE"""),11.0)</f>
        <v>11</v>
      </c>
      <c r="AF509" s="320">
        <f>IFERROR(__xludf.DUMMYFUNCTION("""COMPUTED_VALUE"""),23.0)</f>
        <v>23</v>
      </c>
      <c r="AG509" s="320">
        <f>IFERROR(__xludf.DUMMYFUNCTION("""COMPUTED_VALUE"""),35.0)</f>
        <v>35</v>
      </c>
      <c r="AH509" s="320">
        <f>IFERROR(__xludf.DUMMYFUNCTION("""COMPUTED_VALUE"""),52.14)</f>
        <v>52.14</v>
      </c>
      <c r="AI509" s="320">
        <f>IFERROR(__xludf.DUMMYFUNCTION("""COMPUTED_VALUE"""),21.27)</f>
        <v>21.27</v>
      </c>
      <c r="AJ509" s="320">
        <f>IFERROR(__xludf.DUMMYFUNCTION("""COMPUTED_VALUE"""),6.12)</f>
        <v>6.12</v>
      </c>
      <c r="AK509" s="320">
        <f>IFERROR(__xludf.DUMMYFUNCTION("""COMPUTED_VALUE"""),0.1883)</f>
        <v>0.1883</v>
      </c>
      <c r="AL509" s="320">
        <f>IFERROR(__xludf.DUMMYFUNCTION("""COMPUTED_VALUE"""),20.0)</f>
        <v>20</v>
      </c>
      <c r="AM509" s="320">
        <f>IFERROR(__xludf.DUMMYFUNCTION("""COMPUTED_VALUE"""),220.54)</f>
        <v>220.54</v>
      </c>
      <c r="AN509" s="320">
        <f>IFERROR(__xludf.DUMMYFUNCTION("""COMPUTED_VALUE"""),74.73)</f>
        <v>74.73</v>
      </c>
      <c r="AO509" s="320">
        <f>IFERROR(__xludf.DUMMYFUNCTION("""COMPUTED_VALUE"""),14.95)</f>
        <v>14.95</v>
      </c>
    </row>
    <row r="510" ht="15.0" customHeight="1">
      <c r="A510" s="328">
        <f>IFERROR(__xludf.DUMMYFUNCTION("""COMPUTED_VALUE"""),46134.0)</f>
        <v>46134</v>
      </c>
      <c r="B510" s="319" t="str">
        <f>IFERROR(__xludf.DUMMYFUNCTION("""COMPUTED_VALUE"""),"E. 40-99")</f>
        <v>E. 40-99</v>
      </c>
      <c r="C510" s="320">
        <f>IFERROR(__xludf.DUMMYFUNCTION("""COMPUTED_VALUE"""),2706.0)</f>
        <v>2706</v>
      </c>
      <c r="D510" s="320">
        <f>IFERROR(__xludf.DUMMYFUNCTION("""COMPUTED_VALUE"""),3.64)</f>
        <v>3.64</v>
      </c>
      <c r="E510" s="320">
        <f>IFERROR(__xludf.DUMMYFUNCTION("""COMPUTED_VALUE"""),18894.27)</f>
        <v>18894.27</v>
      </c>
      <c r="F510" s="320">
        <f>IFERROR(__xludf.DUMMYFUNCTION("""COMPUTED_VALUE"""),6.9824)</f>
        <v>6.9824</v>
      </c>
      <c r="G510" s="320">
        <f>IFERROR(__xludf.DUMMYFUNCTION("""COMPUTED_VALUE"""),47.04)</f>
        <v>47.04</v>
      </c>
      <c r="H510" s="320">
        <f>IFERROR(__xludf.DUMMYFUNCTION("""COMPUTED_VALUE"""),14.8423)</f>
        <v>14.8423</v>
      </c>
      <c r="I510" s="320">
        <f>IFERROR(__xludf.DUMMYFUNCTION("""COMPUTED_VALUE"""),134.51)</f>
        <v>134.51</v>
      </c>
      <c r="J510" s="320">
        <f>IFERROR(__xludf.DUMMYFUNCTION("""COMPUTED_VALUE"""),83.98)</f>
        <v>83.98</v>
      </c>
      <c r="K510" s="320">
        <f>IFERROR(__xludf.DUMMYFUNCTION("""COMPUTED_VALUE"""),54.68)</f>
        <v>54.68</v>
      </c>
      <c r="L510" s="320">
        <f>IFERROR(__xludf.DUMMYFUNCTION("""COMPUTED_VALUE"""),0.6511)</f>
        <v>0.6511</v>
      </c>
      <c r="M510" s="320">
        <f>IFERROR(__xludf.DUMMYFUNCTION("""COMPUTED_VALUE"""),0.4318)</f>
        <v>0.4318</v>
      </c>
      <c r="N510" s="320">
        <f>IFERROR(__xludf.DUMMYFUNCTION("""COMPUTED_VALUE"""),0.24)</f>
        <v>0.24</v>
      </c>
      <c r="O510" s="320">
        <f>IFERROR(__xludf.DUMMYFUNCTION("""COMPUTED_VALUE"""),1.5359)</f>
        <v>1.5359</v>
      </c>
      <c r="P510" s="320">
        <f>IFERROR(__xludf.DUMMYFUNCTION("""COMPUTED_VALUE"""),658.1)</f>
        <v>658.1</v>
      </c>
      <c r="Q510" s="320">
        <f>IFERROR(__xludf.DUMMYFUNCTION("""COMPUTED_VALUE"""),547.17)</f>
        <v>547.17</v>
      </c>
      <c r="R510" s="320">
        <f>IFERROR(__xludf.DUMMYFUNCTION("""COMPUTED_VALUE"""),110.94)</f>
        <v>110.94</v>
      </c>
      <c r="S510" s="320">
        <f>IFERROR(__xludf.DUMMYFUNCTION("""COMPUTED_VALUE"""),439.47)</f>
        <v>439.47</v>
      </c>
      <c r="T510" s="320">
        <f>IFERROR(__xludf.DUMMYFUNCTION("""COMPUTED_VALUE"""),218.63)</f>
        <v>218.63</v>
      </c>
      <c r="U510" s="320">
        <f>IFERROR(__xludf.DUMMYFUNCTION("""COMPUTED_VALUE"""),696.32)</f>
        <v>696.32</v>
      </c>
      <c r="V510" s="320">
        <f>IFERROR(__xludf.DUMMYFUNCTION("""COMPUTED_VALUE"""),8.2913)</f>
        <v>8.2913</v>
      </c>
      <c r="W510" s="320">
        <f>IFERROR(__xludf.DUMMYFUNCTION("""COMPUTED_VALUE"""),66.78)</f>
        <v>66.78</v>
      </c>
      <c r="X510" s="320">
        <f>IFERROR(__xludf.DUMMYFUNCTION("""COMPUTED_VALUE"""),89.0)</f>
        <v>89</v>
      </c>
      <c r="Y510" s="320">
        <f>IFERROR(__xludf.DUMMYFUNCTION("""COMPUTED_VALUE"""),257.0)</f>
        <v>257</v>
      </c>
      <c r="Z510" s="320">
        <f>IFERROR(__xludf.DUMMYFUNCTION("""COMPUTED_VALUE"""),916.0)</f>
        <v>916</v>
      </c>
      <c r="AA510" s="320">
        <f>IFERROR(__xludf.DUMMYFUNCTION("""COMPUTED_VALUE"""),57.492)</f>
        <v>57.492</v>
      </c>
      <c r="AB510" s="320">
        <f>IFERROR(__xludf.DUMMYFUNCTION("""COMPUTED_VALUE"""),0.7409)</f>
        <v>0.7409</v>
      </c>
      <c r="AC510" s="320">
        <f>IFERROR(__xludf.DUMMYFUNCTION("""COMPUTED_VALUE"""),35.76)</f>
        <v>35.76</v>
      </c>
      <c r="AD510" s="320">
        <f>IFERROR(__xludf.DUMMYFUNCTION("""COMPUTED_VALUE"""),11.0)</f>
        <v>11</v>
      </c>
      <c r="AE510" s="320">
        <f>IFERROR(__xludf.DUMMYFUNCTION("""COMPUTED_VALUE"""),26.0)</f>
        <v>26</v>
      </c>
      <c r="AF510" s="320">
        <f>IFERROR(__xludf.DUMMYFUNCTION("""COMPUTED_VALUE"""),50.0)</f>
        <v>50</v>
      </c>
      <c r="AG510" s="320">
        <f>IFERROR(__xludf.DUMMYFUNCTION("""COMPUTED_VALUE"""),81.0)</f>
        <v>81</v>
      </c>
      <c r="AH510" s="320">
        <f>IFERROR(__xludf.DUMMYFUNCTION("""COMPUTED_VALUE"""),47.86)</f>
        <v>47.86</v>
      </c>
      <c r="AI510" s="320">
        <f>IFERROR(__xludf.DUMMYFUNCTION("""COMPUTED_VALUE"""),18.99)</f>
        <v>18.99</v>
      </c>
      <c r="AJ510" s="320">
        <f>IFERROR(__xludf.DUMMYFUNCTION("""COMPUTED_VALUE"""),4.99)</f>
        <v>4.99</v>
      </c>
      <c r="AK510" s="320">
        <f>IFERROR(__xludf.DUMMYFUNCTION("""COMPUTED_VALUE"""),0.1471)</f>
        <v>0.1471</v>
      </c>
      <c r="AL510" s="320">
        <f>IFERROR(__xludf.DUMMYFUNCTION("""COMPUTED_VALUE"""),20.6)</f>
        <v>20.6</v>
      </c>
      <c r="AM510" s="320">
        <f>IFERROR(__xludf.DUMMYFUNCTION("""COMPUTED_VALUE"""),526.57)</f>
        <v>526.57</v>
      </c>
      <c r="AN510" s="320">
        <f>IFERROR(__xludf.DUMMYFUNCTION("""COMPUTED_VALUE"""),76.34)</f>
        <v>76.34</v>
      </c>
      <c r="AO510" s="320">
        <f>IFERROR(__xludf.DUMMYFUNCTION("""COMPUTED_VALUE"""),15.73)</f>
        <v>15.73</v>
      </c>
    </row>
    <row r="511" ht="15.0" customHeight="1">
      <c r="A511" s="328">
        <f>IFERROR(__xludf.DUMMYFUNCTION("""COMPUTED_VALUE"""),46134.0)</f>
        <v>46134</v>
      </c>
      <c r="B511" s="319" t="str">
        <f>IFERROR(__xludf.DUMMYFUNCTION("""COMPUTED_VALUE"""),"F. 100+")</f>
        <v>F. 100+</v>
      </c>
      <c r="C511" s="320">
        <f>IFERROR(__xludf.DUMMYFUNCTION("""COMPUTED_VALUE"""),251.0)</f>
        <v>251</v>
      </c>
      <c r="D511" s="320">
        <f>IFERROR(__xludf.DUMMYFUNCTION("""COMPUTED_VALUE"""),0.34)</f>
        <v>0.34</v>
      </c>
      <c r="E511" s="320">
        <f>IFERROR(__xludf.DUMMYFUNCTION("""COMPUTED_VALUE"""),3425.33)</f>
        <v>3425.33</v>
      </c>
      <c r="F511" s="320">
        <f>IFERROR(__xludf.DUMMYFUNCTION("""COMPUTED_VALUE"""),13.6467)</f>
        <v>13.6467</v>
      </c>
      <c r="G511" s="320">
        <f>IFERROR(__xludf.DUMMYFUNCTION("""COMPUTED_VALUE"""),56.97)</f>
        <v>56.97</v>
      </c>
      <c r="H511" s="320">
        <f>IFERROR(__xludf.DUMMYFUNCTION("""COMPUTED_VALUE"""),23.9534)</f>
        <v>23.9534</v>
      </c>
      <c r="I511" s="320">
        <f>IFERROR(__xludf.DUMMYFUNCTION("""COMPUTED_VALUE"""),263.27)</f>
        <v>263.27</v>
      </c>
      <c r="J511" s="320">
        <f>IFERROR(__xludf.DUMMYFUNCTION("""COMPUTED_VALUE"""),168.23)</f>
        <v>168.23</v>
      </c>
      <c r="K511" s="320">
        <f>IFERROR(__xludf.DUMMYFUNCTION("""COMPUTED_VALUE"""),133.96)</f>
        <v>133.96</v>
      </c>
      <c r="L511" s="320">
        <f>IFERROR(__xludf.DUMMYFUNCTION("""COMPUTED_VALUE"""),0.7963)</f>
        <v>0.7963</v>
      </c>
      <c r="M511" s="320">
        <f>IFERROR(__xludf.DUMMYFUNCTION("""COMPUTED_VALUE"""),0.2951)</f>
        <v>0.2951</v>
      </c>
      <c r="N511" s="320">
        <f>IFERROR(__xludf.DUMMYFUNCTION("""COMPUTED_VALUE"""),0.1876)</f>
        <v>0.1876</v>
      </c>
      <c r="O511" s="320">
        <f>IFERROR(__xludf.DUMMYFUNCTION("""COMPUTED_VALUE"""),1.2559)</f>
        <v>1.2559</v>
      </c>
      <c r="P511" s="320">
        <f>IFERROR(__xludf.DUMMYFUNCTION("""COMPUTED_VALUE"""),1317.87)</f>
        <v>1317.87</v>
      </c>
      <c r="Q511" s="320">
        <f>IFERROR(__xludf.DUMMYFUNCTION("""COMPUTED_VALUE"""),1040.86)</f>
        <v>1040.86</v>
      </c>
      <c r="R511" s="320">
        <f>IFERROR(__xludf.DUMMYFUNCTION("""COMPUTED_VALUE"""),277.01)</f>
        <v>277.01</v>
      </c>
      <c r="S511" s="320">
        <f>IFERROR(__xludf.DUMMYFUNCTION("""COMPUTED_VALUE"""),857.75)</f>
        <v>857.75</v>
      </c>
      <c r="T511" s="320">
        <f>IFERROR(__xludf.DUMMYFUNCTION("""COMPUTED_VALUE"""),460.12)</f>
        <v>460.12</v>
      </c>
      <c r="U511" s="320">
        <f>IFERROR(__xludf.DUMMYFUNCTION("""COMPUTED_VALUE"""),1421.91)</f>
        <v>1421.91</v>
      </c>
      <c r="V511" s="320">
        <f>IFERROR(__xludf.DUMMYFUNCTION("""COMPUTED_VALUE"""),8.4521)</f>
        <v>8.4521</v>
      </c>
      <c r="W511" s="320">
        <f>IFERROR(__xludf.DUMMYFUNCTION("""COMPUTED_VALUE"""),65.09)</f>
        <v>65.09</v>
      </c>
      <c r="X511" s="320">
        <f>IFERROR(__xludf.DUMMYFUNCTION("""COMPUTED_VALUE"""),137.0)</f>
        <v>137</v>
      </c>
      <c r="Y511" s="320">
        <f>IFERROR(__xludf.DUMMYFUNCTION("""COMPUTED_VALUE"""),738.0)</f>
        <v>738</v>
      </c>
      <c r="Z511" s="320">
        <f>IFERROR(__xludf.DUMMYFUNCTION("""COMPUTED_VALUE"""),2424.0)</f>
        <v>2424</v>
      </c>
      <c r="AA511" s="320">
        <f>IFERROR(__xludf.DUMMYFUNCTION("""COMPUTED_VALUE"""),61.5496)</f>
        <v>61.5496</v>
      </c>
      <c r="AB511" s="320">
        <f>IFERROR(__xludf.DUMMYFUNCTION("""COMPUTED_VALUE"""),0.8362)</f>
        <v>0.8362</v>
      </c>
      <c r="AC511" s="320">
        <f>IFERROR(__xludf.DUMMYFUNCTION("""COMPUTED_VALUE"""),85.41)</f>
        <v>85.41</v>
      </c>
      <c r="AD511" s="320">
        <f>IFERROR(__xludf.DUMMYFUNCTION("""COMPUTED_VALUE"""),27.0)</f>
        <v>27</v>
      </c>
      <c r="AE511" s="320">
        <f>IFERROR(__xludf.DUMMYFUNCTION("""COMPUTED_VALUE"""),60.0)</f>
        <v>60</v>
      </c>
      <c r="AF511" s="320">
        <f>IFERROR(__xludf.DUMMYFUNCTION("""COMPUTED_VALUE"""),121.0)</f>
        <v>121</v>
      </c>
      <c r="AG511" s="320">
        <f>IFERROR(__xludf.DUMMYFUNCTION("""COMPUTED_VALUE"""),184.0)</f>
        <v>184</v>
      </c>
      <c r="AH511" s="320">
        <f>IFERROR(__xludf.DUMMYFUNCTION("""COMPUTED_VALUE"""),43.03)</f>
        <v>43.03</v>
      </c>
      <c r="AI511" s="320">
        <f>IFERROR(__xludf.DUMMYFUNCTION("""COMPUTED_VALUE"""),12.35)</f>
        <v>12.35</v>
      </c>
      <c r="AJ511" s="320">
        <f>IFERROR(__xludf.DUMMYFUNCTION("""COMPUTED_VALUE"""),3.98)</f>
        <v>3.98</v>
      </c>
      <c r="AK511" s="320">
        <f>IFERROR(__xludf.DUMMYFUNCTION("""COMPUTED_VALUE"""),0.0996)</f>
        <v>0.0996</v>
      </c>
      <c r="AL511" s="320">
        <f>IFERROR(__xludf.DUMMYFUNCTION("""COMPUTED_VALUE"""),18.35)</f>
        <v>18.35</v>
      </c>
      <c r="AM511" s="320">
        <f>IFERROR(__xludf.DUMMYFUNCTION("""COMPUTED_VALUE"""),1022.51)</f>
        <v>1022.51</v>
      </c>
      <c r="AN511" s="320">
        <f>IFERROR(__xludf.DUMMYFUNCTION("""COMPUTED_VALUE"""),71.14)</f>
        <v>71.14</v>
      </c>
      <c r="AO511" s="320">
        <f>IFERROR(__xludf.DUMMYFUNCTION("""COMPUTED_VALUE"""),13.05)</f>
        <v>13.05</v>
      </c>
    </row>
    <row r="512" ht="15.0" customHeight="1">
      <c r="A512" s="328">
        <f>IFERROR(__xludf.DUMMYFUNCTION("""COMPUTED_VALUE"""),46135.0)</f>
        <v>46135</v>
      </c>
      <c r="B512" s="319" t="str">
        <f>IFERROR(__xludf.DUMMYFUNCTION("""COMPUTED_VALUE"""),"A. 0")</f>
        <v>A. 0</v>
      </c>
      <c r="C512" s="320">
        <f>IFERROR(__xludf.DUMMYFUNCTION("""COMPUTED_VALUE"""),16513.0)</f>
        <v>16513</v>
      </c>
      <c r="D512" s="320">
        <f>IFERROR(__xludf.DUMMYFUNCTION("""COMPUTED_VALUE"""),22.62)</f>
        <v>22.62</v>
      </c>
      <c r="E512" s="320">
        <f>IFERROR(__xludf.DUMMYFUNCTION("""COMPUTED_VALUE"""),131.65)</f>
        <v>131.65</v>
      </c>
      <c r="F512" s="320">
        <f>IFERROR(__xludf.DUMMYFUNCTION("""COMPUTED_VALUE"""),0.008)</f>
        <v>0.008</v>
      </c>
      <c r="G512" s="320">
        <f>IFERROR(__xludf.DUMMYFUNCTION("""COMPUTED_VALUE"""),0.15)</f>
        <v>0.15</v>
      </c>
      <c r="H512" s="320">
        <f>IFERROR(__xludf.DUMMYFUNCTION("""COMPUTED_VALUE"""),5.4854)</f>
        <v>5.4854</v>
      </c>
      <c r="I512" s="320">
        <f>IFERROR(__xludf.DUMMYFUNCTION("""COMPUTED_VALUE"""),6.15)</f>
        <v>6.15</v>
      </c>
      <c r="J512" s="320">
        <f>IFERROR(__xludf.DUMMYFUNCTION("""COMPUTED_VALUE"""),2.82)</f>
        <v>2.82</v>
      </c>
      <c r="K512" s="320">
        <f>IFERROR(__xludf.DUMMYFUNCTION("""COMPUTED_VALUE"""),0.02)</f>
        <v>0.02</v>
      </c>
      <c r="L512" s="320">
        <f>IFERROR(__xludf.DUMMYFUNCTION("""COMPUTED_VALUE"""),0.006)</f>
        <v>0.006</v>
      </c>
      <c r="M512" s="320">
        <f>IFERROR(__xludf.DUMMYFUNCTION("""COMPUTED_VALUE"""),0.9947)</f>
        <v>0.9947</v>
      </c>
      <c r="N512" s="320">
        <f>IFERROR(__xludf.DUMMYFUNCTION("""COMPUTED_VALUE"""),0.9237)</f>
        <v>0.9237</v>
      </c>
      <c r="O512" s="320">
        <f>IFERROR(__xludf.DUMMYFUNCTION("""COMPUTED_VALUE"""),166.8029)</f>
        <v>166.8029</v>
      </c>
      <c r="P512" s="320">
        <f>IFERROR(__xludf.DUMMYFUNCTION("""COMPUTED_VALUE"""),22.54)</f>
        <v>22.54</v>
      </c>
      <c r="Q512" s="320">
        <f>IFERROR(__xludf.DUMMYFUNCTION("""COMPUTED_VALUE"""),22.48)</f>
        <v>22.48</v>
      </c>
      <c r="R512" s="320">
        <f>IFERROR(__xludf.DUMMYFUNCTION("""COMPUTED_VALUE"""),0.06)</f>
        <v>0.06</v>
      </c>
      <c r="S512" s="320">
        <f>IFERROR(__xludf.DUMMYFUNCTION("""COMPUTED_VALUE"""),0.58)</f>
        <v>0.58</v>
      </c>
      <c r="T512" s="320">
        <f>IFERROR(__xludf.DUMMYFUNCTION("""COMPUTED_VALUE"""),21.96)</f>
        <v>21.96</v>
      </c>
      <c r="U512" s="320">
        <f>IFERROR(__xludf.DUMMYFUNCTION("""COMPUTED_VALUE"""),1.97)</f>
        <v>1.97</v>
      </c>
      <c r="V512" s="320">
        <f>IFERROR(__xludf.DUMMYFUNCTION("""COMPUTED_VALUE"""),0.7005)</f>
        <v>0.7005</v>
      </c>
      <c r="W512" s="320">
        <f>IFERROR(__xludf.DUMMYFUNCTION("""COMPUTED_VALUE"""),2.56)</f>
        <v>2.56</v>
      </c>
      <c r="X512" s="320">
        <f>IFERROR(__xludf.DUMMYFUNCTION("""COMPUTED_VALUE"""),134.0)</f>
        <v>134</v>
      </c>
      <c r="Y512" s="320">
        <f>IFERROR(__xludf.DUMMYFUNCTION("""COMPUTED_VALUE"""),1030.0)</f>
        <v>1030</v>
      </c>
      <c r="Z512" s="320">
        <f>IFERROR(__xludf.DUMMYFUNCTION("""COMPUTED_VALUE"""),7377.0)</f>
        <v>7377</v>
      </c>
      <c r="AA512" s="320">
        <f>IFERROR(__xludf.DUMMYFUNCTION("""COMPUTED_VALUE"""),49.5402)</f>
        <v>49.5402</v>
      </c>
      <c r="AB512" s="320">
        <f>IFERROR(__xludf.DUMMYFUNCTION("""COMPUTED_VALUE"""),0.5006)</f>
        <v>0.5006</v>
      </c>
      <c r="AC512" s="106"/>
      <c r="AD512" s="106"/>
      <c r="AE512" s="106"/>
      <c r="AF512" s="106"/>
      <c r="AG512" s="106"/>
      <c r="AH512" s="320">
        <f>IFERROR(__xludf.DUMMYFUNCTION("""COMPUTED_VALUE"""),0.0)</f>
        <v>0</v>
      </c>
      <c r="AI512" s="320">
        <f>IFERROR(__xludf.DUMMYFUNCTION("""COMPUTED_VALUE"""),0.0)</f>
        <v>0</v>
      </c>
      <c r="AJ512" s="320">
        <f>IFERROR(__xludf.DUMMYFUNCTION("""COMPUTED_VALUE"""),0.0)</f>
        <v>0</v>
      </c>
      <c r="AK512" s="320">
        <f>IFERROR(__xludf.DUMMYFUNCTION("""COMPUTED_VALUE"""),0.2703)</f>
        <v>0.2703</v>
      </c>
      <c r="AL512" s="320">
        <f>IFERROR(__xludf.DUMMYFUNCTION("""COMPUTED_VALUE"""),15.7)</f>
        <v>15.7</v>
      </c>
      <c r="AM512" s="320">
        <f>IFERROR(__xludf.DUMMYFUNCTION("""COMPUTED_VALUE"""),6.77)</f>
        <v>6.77</v>
      </c>
      <c r="AN512" s="331"/>
      <c r="AO512" s="331"/>
    </row>
    <row r="513" ht="15.0" customHeight="1">
      <c r="A513" s="328">
        <f>IFERROR(__xludf.DUMMYFUNCTION("""COMPUTED_VALUE"""),46135.0)</f>
        <v>46135</v>
      </c>
      <c r="B513" s="319" t="str">
        <f>IFERROR(__xludf.DUMMYFUNCTION("""COMPUTED_VALUE"""),"B. 1-9")</f>
        <v>B. 1-9</v>
      </c>
      <c r="C513" s="320">
        <f>IFERROR(__xludf.DUMMYFUNCTION("""COMPUTED_VALUE"""),30989.0)</f>
        <v>30989</v>
      </c>
      <c r="D513" s="320">
        <f>IFERROR(__xludf.DUMMYFUNCTION("""COMPUTED_VALUE"""),42.46)</f>
        <v>42.46</v>
      </c>
      <c r="E513" s="320">
        <f>IFERROR(__xludf.DUMMYFUNCTION("""COMPUTED_VALUE"""),7095.02)</f>
        <v>7095.02</v>
      </c>
      <c r="F513" s="320">
        <f>IFERROR(__xludf.DUMMYFUNCTION("""COMPUTED_VALUE"""),0.229)</f>
        <v>0.229</v>
      </c>
      <c r="G513" s="320">
        <f>IFERROR(__xludf.DUMMYFUNCTION("""COMPUTED_VALUE"""),6.4)</f>
        <v>6.4</v>
      </c>
      <c r="H513" s="320">
        <f>IFERROR(__xludf.DUMMYFUNCTION("""COMPUTED_VALUE"""),3.5779)</f>
        <v>3.5779</v>
      </c>
      <c r="I513" s="320">
        <f>IFERROR(__xludf.DUMMYFUNCTION("""COMPUTED_VALUE"""),29.08)</f>
        <v>29.08</v>
      </c>
      <c r="J513" s="320">
        <f>IFERROR(__xludf.DUMMYFUNCTION("""COMPUTED_VALUE"""),15.39)</f>
        <v>15.39</v>
      </c>
      <c r="K513" s="320">
        <f>IFERROR(__xludf.DUMMYFUNCTION("""COMPUTED_VALUE"""),4.95)</f>
        <v>4.95</v>
      </c>
      <c r="L513" s="320">
        <f>IFERROR(__xludf.DUMMYFUNCTION("""COMPUTED_VALUE"""),0.3215)</f>
        <v>0.3215</v>
      </c>
      <c r="M513" s="320">
        <f>IFERROR(__xludf.DUMMYFUNCTION("""COMPUTED_VALUE"""),0.7517)</f>
        <v>0.7517</v>
      </c>
      <c r="N513" s="320">
        <f>IFERROR(__xludf.DUMMYFUNCTION("""COMPUTED_VALUE"""),0.5189)</f>
        <v>0.5189</v>
      </c>
      <c r="O513" s="320">
        <f>IFERROR(__xludf.DUMMYFUNCTION("""COMPUTED_VALUE"""),3.1104)</f>
        <v>3.1104</v>
      </c>
      <c r="P513" s="320">
        <f>IFERROR(__xludf.DUMMYFUNCTION("""COMPUTED_VALUE"""),62.61)</f>
        <v>62.61</v>
      </c>
      <c r="Q513" s="320">
        <f>IFERROR(__xludf.DUMMYFUNCTION("""COMPUTED_VALUE"""),52.66)</f>
        <v>52.66</v>
      </c>
      <c r="R513" s="320">
        <f>IFERROR(__xludf.DUMMYFUNCTION("""COMPUTED_VALUE"""),9.95)</f>
        <v>9.95</v>
      </c>
      <c r="S513" s="320">
        <f>IFERROR(__xludf.DUMMYFUNCTION("""COMPUTED_VALUE"""),16.23)</f>
        <v>16.23</v>
      </c>
      <c r="T513" s="320">
        <f>IFERROR(__xludf.DUMMYFUNCTION("""COMPUTED_VALUE"""),46.39)</f>
        <v>46.39</v>
      </c>
      <c r="U513" s="320">
        <f>IFERROR(__xludf.DUMMYFUNCTION("""COMPUTED_VALUE"""),67.99)</f>
        <v>67.99</v>
      </c>
      <c r="V513" s="320">
        <f>IFERROR(__xludf.DUMMYFUNCTION("""COMPUTED_VALUE"""),4.4183)</f>
        <v>4.4183</v>
      </c>
      <c r="W513" s="320">
        <f>IFERROR(__xludf.DUMMYFUNCTION("""COMPUTED_VALUE"""),25.91)</f>
        <v>25.91</v>
      </c>
      <c r="X513" s="320">
        <f>IFERROR(__xludf.DUMMYFUNCTION("""COMPUTED_VALUE"""),85.0)</f>
        <v>85</v>
      </c>
      <c r="Y513" s="320">
        <f>IFERROR(__xludf.DUMMYFUNCTION("""COMPUTED_VALUE"""),201.0)</f>
        <v>201</v>
      </c>
      <c r="Z513" s="320">
        <f>IFERROR(__xludf.DUMMYFUNCTION("""COMPUTED_VALUE"""),827.0)</f>
        <v>827</v>
      </c>
      <c r="AA513" s="320">
        <f>IFERROR(__xludf.DUMMYFUNCTION("""COMPUTED_VALUE"""),49.7292)</f>
        <v>49.7292</v>
      </c>
      <c r="AB513" s="320">
        <f>IFERROR(__xludf.DUMMYFUNCTION("""COMPUTED_VALUE"""),0.4398)</f>
        <v>0.4398</v>
      </c>
      <c r="AC513" s="320">
        <f>IFERROR(__xludf.DUMMYFUNCTION("""COMPUTED_VALUE"""),3.4)</f>
        <v>3.4</v>
      </c>
      <c r="AD513" s="320">
        <f>IFERROR(__xludf.DUMMYFUNCTION("""COMPUTED_VALUE"""),1.0)</f>
        <v>1</v>
      </c>
      <c r="AE513" s="320">
        <f>IFERROR(__xludf.DUMMYFUNCTION("""COMPUTED_VALUE"""),2.0)</f>
        <v>2</v>
      </c>
      <c r="AF513" s="320">
        <f>IFERROR(__xludf.DUMMYFUNCTION("""COMPUTED_VALUE"""),4.0)</f>
        <v>4</v>
      </c>
      <c r="AG513" s="320">
        <f>IFERROR(__xludf.DUMMYFUNCTION("""COMPUTED_VALUE"""),8.0)</f>
        <v>8</v>
      </c>
      <c r="AH513" s="320">
        <f>IFERROR(__xludf.DUMMYFUNCTION("""COMPUTED_VALUE"""),64.16)</f>
        <v>64.16</v>
      </c>
      <c r="AI513" s="320">
        <f>IFERROR(__xludf.DUMMYFUNCTION("""COMPUTED_VALUE"""),23.18)</f>
        <v>23.18</v>
      </c>
      <c r="AJ513" s="320">
        <f>IFERROR(__xludf.DUMMYFUNCTION("""COMPUTED_VALUE"""),6.77)</f>
        <v>6.77</v>
      </c>
      <c r="AK513" s="320">
        <f>IFERROR(__xludf.DUMMYFUNCTION("""COMPUTED_VALUE"""),0.221)</f>
        <v>0.221</v>
      </c>
      <c r="AL513" s="320">
        <f>IFERROR(__xludf.DUMMYFUNCTION("""COMPUTED_VALUE"""),19.87)</f>
        <v>19.87</v>
      </c>
      <c r="AM513" s="320">
        <f>IFERROR(__xludf.DUMMYFUNCTION("""COMPUTED_VALUE"""),32.79)</f>
        <v>32.79</v>
      </c>
      <c r="AN513" s="320">
        <f>IFERROR(__xludf.DUMMYFUNCTION("""COMPUTED_VALUE"""),68.99)</f>
        <v>68.99</v>
      </c>
      <c r="AO513" s="320">
        <f>IFERROR(__xludf.DUMMYFUNCTION("""COMPUTED_VALUE"""),13.71)</f>
        <v>13.71</v>
      </c>
    </row>
    <row r="514" ht="15.0" customHeight="1">
      <c r="A514" s="328">
        <f>IFERROR(__xludf.DUMMYFUNCTION("""COMPUTED_VALUE"""),46135.0)</f>
        <v>46135</v>
      </c>
      <c r="B514" s="319" t="str">
        <f>IFERROR(__xludf.DUMMYFUNCTION("""COMPUTED_VALUE"""),"C. 10-19")</f>
        <v>C. 10-19</v>
      </c>
      <c r="C514" s="320">
        <f>IFERROR(__xludf.DUMMYFUNCTION("""COMPUTED_VALUE"""),14961.0)</f>
        <v>14961</v>
      </c>
      <c r="D514" s="320">
        <f>IFERROR(__xludf.DUMMYFUNCTION("""COMPUTED_VALUE"""),20.5)</f>
        <v>20.5</v>
      </c>
      <c r="E514" s="320">
        <f>IFERROR(__xludf.DUMMYFUNCTION("""COMPUTED_VALUE"""),15747.48)</f>
        <v>15747.48</v>
      </c>
      <c r="F514" s="320">
        <f>IFERROR(__xludf.DUMMYFUNCTION("""COMPUTED_VALUE"""),1.0526)</f>
        <v>1.0526</v>
      </c>
      <c r="G514" s="320">
        <f>IFERROR(__xludf.DUMMYFUNCTION("""COMPUTED_VALUE"""),21.48)</f>
        <v>21.48</v>
      </c>
      <c r="H514" s="320">
        <f>IFERROR(__xludf.DUMMYFUNCTION("""COMPUTED_VALUE"""),4.9012)</f>
        <v>4.9012</v>
      </c>
      <c r="I514" s="320">
        <f>IFERROR(__xludf.DUMMYFUNCTION("""COMPUTED_VALUE"""),52.86)</f>
        <v>52.86</v>
      </c>
      <c r="J514" s="320">
        <f>IFERROR(__xludf.DUMMYFUNCTION("""COMPUTED_VALUE"""),30.15)</f>
        <v>30.15</v>
      </c>
      <c r="K514" s="320">
        <f>IFERROR(__xludf.DUMMYFUNCTION("""COMPUTED_VALUE"""),13.26)</f>
        <v>13.26</v>
      </c>
      <c r="L514" s="320">
        <f>IFERROR(__xludf.DUMMYFUNCTION("""COMPUTED_VALUE"""),0.4398)</f>
        <v>0.4398</v>
      </c>
      <c r="M514" s="320">
        <f>IFERROR(__xludf.DUMMYFUNCTION("""COMPUTED_VALUE"""),0.6275)</f>
        <v>0.6275</v>
      </c>
      <c r="N514" s="320">
        <f>IFERROR(__xludf.DUMMYFUNCTION("""COMPUTED_VALUE"""),0.3636)</f>
        <v>0.3636</v>
      </c>
      <c r="O514" s="320">
        <f>IFERROR(__xludf.DUMMYFUNCTION("""COMPUTED_VALUE"""),2.2738)</f>
        <v>2.2738</v>
      </c>
      <c r="P514" s="320">
        <f>IFERROR(__xludf.DUMMYFUNCTION("""COMPUTED_VALUE"""),169.03)</f>
        <v>169.03</v>
      </c>
      <c r="Q514" s="320">
        <f>IFERROR(__xludf.DUMMYFUNCTION("""COMPUTED_VALUE"""),143.08)</f>
        <v>143.08</v>
      </c>
      <c r="R514" s="320">
        <f>IFERROR(__xludf.DUMMYFUNCTION("""COMPUTED_VALUE"""),25.95)</f>
        <v>25.95</v>
      </c>
      <c r="S514" s="320">
        <f>IFERROR(__xludf.DUMMYFUNCTION("""COMPUTED_VALUE"""),71.37)</f>
        <v>71.37</v>
      </c>
      <c r="T514" s="320">
        <f>IFERROR(__xludf.DUMMYFUNCTION("""COMPUTED_VALUE"""),97.66)</f>
        <v>97.66</v>
      </c>
      <c r="U514" s="320">
        <f>IFERROR(__xludf.DUMMYFUNCTION("""COMPUTED_VALUE"""),170.87)</f>
        <v>170.87</v>
      </c>
      <c r="V514" s="320">
        <f>IFERROR(__xludf.DUMMYFUNCTION("""COMPUTED_VALUE"""),5.6671)</f>
        <v>5.6671</v>
      </c>
      <c r="W514" s="320">
        <f>IFERROR(__xludf.DUMMYFUNCTION("""COMPUTED_VALUE"""),42.22)</f>
        <v>42.22</v>
      </c>
      <c r="X514" s="320">
        <f>IFERROR(__xludf.DUMMYFUNCTION("""COMPUTED_VALUE"""),84.0)</f>
        <v>84</v>
      </c>
      <c r="Y514" s="320">
        <f>IFERROR(__xludf.DUMMYFUNCTION("""COMPUTED_VALUE"""),182.0)</f>
        <v>182</v>
      </c>
      <c r="Z514" s="320">
        <f>IFERROR(__xludf.DUMMYFUNCTION("""COMPUTED_VALUE"""),589.0)</f>
        <v>589</v>
      </c>
      <c r="AA514" s="320">
        <f>IFERROR(__xludf.DUMMYFUNCTION("""COMPUTED_VALUE"""),52.5814)</f>
        <v>52.5814</v>
      </c>
      <c r="AB514" s="320">
        <f>IFERROR(__xludf.DUMMYFUNCTION("""COMPUTED_VALUE"""),0.5286)</f>
        <v>0.5286</v>
      </c>
      <c r="AC514" s="320">
        <f>IFERROR(__xludf.DUMMYFUNCTION("""COMPUTED_VALUE"""),8.62)</f>
        <v>8.62</v>
      </c>
      <c r="AD514" s="320">
        <f>IFERROR(__xludf.DUMMYFUNCTION("""COMPUTED_VALUE"""),2.0)</f>
        <v>2</v>
      </c>
      <c r="AE514" s="320">
        <f>IFERROR(__xludf.DUMMYFUNCTION("""COMPUTED_VALUE"""),6.0)</f>
        <v>6</v>
      </c>
      <c r="AF514" s="320">
        <f>IFERROR(__xludf.DUMMYFUNCTION("""COMPUTED_VALUE"""),12.0)</f>
        <v>12</v>
      </c>
      <c r="AG514" s="320">
        <f>IFERROR(__xludf.DUMMYFUNCTION("""COMPUTED_VALUE"""),19.0)</f>
        <v>19</v>
      </c>
      <c r="AH514" s="320">
        <f>IFERROR(__xludf.DUMMYFUNCTION("""COMPUTED_VALUE"""),51.55)</f>
        <v>51.55</v>
      </c>
      <c r="AI514" s="320">
        <f>IFERROR(__xludf.DUMMYFUNCTION("""COMPUTED_VALUE"""),23.35)</f>
        <v>23.35</v>
      </c>
      <c r="AJ514" s="320">
        <f>IFERROR(__xludf.DUMMYFUNCTION("""COMPUTED_VALUE"""),4.99)</f>
        <v>4.99</v>
      </c>
      <c r="AK514" s="320">
        <f>IFERROR(__xludf.DUMMYFUNCTION("""COMPUTED_VALUE"""),0.198)</f>
        <v>0.198</v>
      </c>
      <c r="AL514" s="320">
        <f>IFERROR(__xludf.DUMMYFUNCTION("""COMPUTED_VALUE"""),20.25)</f>
        <v>20.25</v>
      </c>
      <c r="AM514" s="320">
        <f>IFERROR(__xludf.DUMMYFUNCTION("""COMPUTED_VALUE"""),122.82)</f>
        <v>122.82</v>
      </c>
      <c r="AN514" s="320">
        <f>IFERROR(__xludf.DUMMYFUNCTION("""COMPUTED_VALUE"""),74.66)</f>
        <v>74.66</v>
      </c>
      <c r="AO514" s="320">
        <f>IFERROR(__xludf.DUMMYFUNCTION("""COMPUTED_VALUE"""),15.12)</f>
        <v>15.12</v>
      </c>
    </row>
    <row r="515" ht="15.0" customHeight="1">
      <c r="A515" s="328">
        <f>IFERROR(__xludf.DUMMYFUNCTION("""COMPUTED_VALUE"""),46135.0)</f>
        <v>46135</v>
      </c>
      <c r="B515" s="319" t="str">
        <f>IFERROR(__xludf.DUMMYFUNCTION("""COMPUTED_VALUE"""),"D. 20-39")</f>
        <v>D. 20-39</v>
      </c>
      <c r="C515" s="320">
        <f>IFERROR(__xludf.DUMMYFUNCTION("""COMPUTED_VALUE"""),7357.0)</f>
        <v>7357</v>
      </c>
      <c r="D515" s="320">
        <f>IFERROR(__xludf.DUMMYFUNCTION("""COMPUTED_VALUE"""),10.08)</f>
        <v>10.08</v>
      </c>
      <c r="E515" s="320">
        <f>IFERROR(__xludf.DUMMYFUNCTION("""COMPUTED_VALUE"""),17421.05)</f>
        <v>17421.05</v>
      </c>
      <c r="F515" s="320">
        <f>IFERROR(__xludf.DUMMYFUNCTION("""COMPUTED_VALUE"""),2.368)</f>
        <v>2.368</v>
      </c>
      <c r="G515" s="320">
        <f>IFERROR(__xludf.DUMMYFUNCTION("""COMPUTED_VALUE"""),30.96)</f>
        <v>30.96</v>
      </c>
      <c r="H515" s="320">
        <f>IFERROR(__xludf.DUMMYFUNCTION("""COMPUTED_VALUE"""),7.6475)</f>
        <v>7.6475</v>
      </c>
      <c r="I515" s="320">
        <f>IFERROR(__xludf.DUMMYFUNCTION("""COMPUTED_VALUE"""),77.7)</f>
        <v>77.7</v>
      </c>
      <c r="J515" s="320">
        <f>IFERROR(__xludf.DUMMYFUNCTION("""COMPUTED_VALUE"""),45.82)</f>
        <v>45.82</v>
      </c>
      <c r="K515" s="320">
        <f>IFERROR(__xludf.DUMMYFUNCTION("""COMPUTED_VALUE"""),25.81)</f>
        <v>25.81</v>
      </c>
      <c r="L515" s="320">
        <f>IFERROR(__xludf.DUMMYFUNCTION("""COMPUTED_VALUE"""),0.5633)</f>
        <v>0.5633</v>
      </c>
      <c r="M515" s="320">
        <f>IFERROR(__xludf.DUMMYFUNCTION("""COMPUTED_VALUE"""),0.5115)</f>
        <v>0.5115</v>
      </c>
      <c r="N515" s="320">
        <f>IFERROR(__xludf.DUMMYFUNCTION("""COMPUTED_VALUE"""),0.2826)</f>
        <v>0.2826</v>
      </c>
      <c r="O515" s="320">
        <f>IFERROR(__xludf.DUMMYFUNCTION("""COMPUTED_VALUE"""),1.7752)</f>
        <v>1.7752</v>
      </c>
      <c r="P515" s="320">
        <f>IFERROR(__xludf.DUMMYFUNCTION("""COMPUTED_VALUE"""),336.01)</f>
        <v>336.01</v>
      </c>
      <c r="Q515" s="320">
        <f>IFERROR(__xludf.DUMMYFUNCTION("""COMPUTED_VALUE"""),283.79)</f>
        <v>283.79</v>
      </c>
      <c r="R515" s="320">
        <f>IFERROR(__xludf.DUMMYFUNCTION("""COMPUTED_VALUE"""),52.21)</f>
        <v>52.21</v>
      </c>
      <c r="S515" s="320">
        <f>IFERROR(__xludf.DUMMYFUNCTION("""COMPUTED_VALUE"""),151.56)</f>
        <v>151.56</v>
      </c>
      <c r="T515" s="320">
        <f>IFERROR(__xludf.DUMMYFUNCTION("""COMPUTED_VALUE"""),184.45)</f>
        <v>184.45</v>
      </c>
      <c r="U515" s="320">
        <f>IFERROR(__xludf.DUMMYFUNCTION("""COMPUTED_VALUE"""),327.63)</f>
        <v>327.63</v>
      </c>
      <c r="V515" s="320">
        <f>IFERROR(__xludf.DUMMYFUNCTION("""COMPUTED_VALUE"""),7.1507)</f>
        <v>7.1507</v>
      </c>
      <c r="W515" s="320">
        <f>IFERROR(__xludf.DUMMYFUNCTION("""COMPUTED_VALUE"""),45.11)</f>
        <v>45.11</v>
      </c>
      <c r="X515" s="320">
        <f>IFERROR(__xludf.DUMMYFUNCTION("""COMPUTED_VALUE"""),88.0)</f>
        <v>88</v>
      </c>
      <c r="Y515" s="320">
        <f>IFERROR(__xludf.DUMMYFUNCTION("""COMPUTED_VALUE"""),217.0)</f>
        <v>217</v>
      </c>
      <c r="Z515" s="320">
        <f>IFERROR(__xludf.DUMMYFUNCTION("""COMPUTED_VALUE"""),630.0)</f>
        <v>630</v>
      </c>
      <c r="AA515" s="320">
        <f>IFERROR(__xludf.DUMMYFUNCTION("""COMPUTED_VALUE"""),54.6216)</f>
        <v>54.6216</v>
      </c>
      <c r="AB515" s="320">
        <f>IFERROR(__xludf.DUMMYFUNCTION("""COMPUTED_VALUE"""),0.6423)</f>
        <v>0.6423</v>
      </c>
      <c r="AC515" s="320">
        <f>IFERROR(__xludf.DUMMYFUNCTION("""COMPUTED_VALUE"""),17.61)</f>
        <v>17.61</v>
      </c>
      <c r="AD515" s="320">
        <f>IFERROR(__xludf.DUMMYFUNCTION("""COMPUTED_VALUE"""),5.0)</f>
        <v>5</v>
      </c>
      <c r="AE515" s="320">
        <f>IFERROR(__xludf.DUMMYFUNCTION("""COMPUTED_VALUE"""),13.0)</f>
        <v>13</v>
      </c>
      <c r="AF515" s="320">
        <f>IFERROR(__xludf.DUMMYFUNCTION("""COMPUTED_VALUE"""),25.0)</f>
        <v>25</v>
      </c>
      <c r="AG515" s="320">
        <f>IFERROR(__xludf.DUMMYFUNCTION("""COMPUTED_VALUE"""),39.0)</f>
        <v>39</v>
      </c>
      <c r="AH515" s="320">
        <f>IFERROR(__xludf.DUMMYFUNCTION("""COMPUTED_VALUE"""),55.27)</f>
        <v>55.27</v>
      </c>
      <c r="AI515" s="320">
        <f>IFERROR(__xludf.DUMMYFUNCTION("""COMPUTED_VALUE"""),24.22)</f>
        <v>24.22</v>
      </c>
      <c r="AJ515" s="320">
        <f>IFERROR(__xludf.DUMMYFUNCTION("""COMPUTED_VALUE"""),8.4)</f>
        <v>8.4</v>
      </c>
      <c r="AK515" s="320">
        <f>IFERROR(__xludf.DUMMYFUNCTION("""COMPUTED_VALUE"""),0.1997)</f>
        <v>0.1997</v>
      </c>
      <c r="AL515" s="320">
        <f>IFERROR(__xludf.DUMMYFUNCTION("""COMPUTED_VALUE"""),19.65)</f>
        <v>19.65</v>
      </c>
      <c r="AM515" s="320">
        <f>IFERROR(__xludf.DUMMYFUNCTION("""COMPUTED_VALUE"""),264.15)</f>
        <v>264.15</v>
      </c>
      <c r="AN515" s="320">
        <f>IFERROR(__xludf.DUMMYFUNCTION("""COMPUTED_VALUE"""),74.8)</f>
        <v>74.8</v>
      </c>
      <c r="AO515" s="320">
        <f>IFERROR(__xludf.DUMMYFUNCTION("""COMPUTED_VALUE"""),14.7)</f>
        <v>14.7</v>
      </c>
    </row>
    <row r="516" ht="15.0" customHeight="1">
      <c r="A516" s="328">
        <f>IFERROR(__xludf.DUMMYFUNCTION("""COMPUTED_VALUE"""),46135.0)</f>
        <v>46135</v>
      </c>
      <c r="B516" s="319" t="str">
        <f>IFERROR(__xludf.DUMMYFUNCTION("""COMPUTED_VALUE"""),"E. 40-99")</f>
        <v>E. 40-99</v>
      </c>
      <c r="C516" s="320">
        <f>IFERROR(__xludf.DUMMYFUNCTION("""COMPUTED_VALUE"""),2864.0)</f>
        <v>2864</v>
      </c>
      <c r="D516" s="320">
        <f>IFERROR(__xludf.DUMMYFUNCTION("""COMPUTED_VALUE"""),3.92)</f>
        <v>3.92</v>
      </c>
      <c r="E516" s="320">
        <f>IFERROR(__xludf.DUMMYFUNCTION("""COMPUTED_VALUE"""),16171.64)</f>
        <v>16171.64</v>
      </c>
      <c r="F516" s="320">
        <f>IFERROR(__xludf.DUMMYFUNCTION("""COMPUTED_VALUE"""),5.6465)</f>
        <v>5.6465</v>
      </c>
      <c r="G516" s="320">
        <f>IFERROR(__xludf.DUMMYFUNCTION("""COMPUTED_VALUE"""),40.4)</f>
        <v>40.4</v>
      </c>
      <c r="H516" s="320">
        <f>IFERROR(__xludf.DUMMYFUNCTION("""COMPUTED_VALUE"""),13.9772)</f>
        <v>13.9772</v>
      </c>
      <c r="I516" s="320">
        <f>IFERROR(__xludf.DUMMYFUNCTION("""COMPUTED_VALUE"""),126.84)</f>
        <v>126.84</v>
      </c>
      <c r="J516" s="320">
        <f>IFERROR(__xludf.DUMMYFUNCTION("""COMPUTED_VALUE"""),79.18)</f>
        <v>79.18</v>
      </c>
      <c r="K516" s="320">
        <f>IFERROR(__xludf.DUMMYFUNCTION("""COMPUTED_VALUE"""),56.57)</f>
        <v>56.57</v>
      </c>
      <c r="L516" s="320">
        <f>IFERROR(__xludf.DUMMYFUNCTION("""COMPUTED_VALUE"""),0.7144)</f>
        <v>0.7144</v>
      </c>
      <c r="M516" s="320">
        <f>IFERROR(__xludf.DUMMYFUNCTION("""COMPUTED_VALUE"""),0.3778)</f>
        <v>0.3778</v>
      </c>
      <c r="N516" s="320">
        <f>IFERROR(__xludf.DUMMYFUNCTION("""COMPUTED_VALUE"""),0.2185)</f>
        <v>0.2185</v>
      </c>
      <c r="O516" s="320">
        <f>IFERROR(__xludf.DUMMYFUNCTION("""COMPUTED_VALUE"""),1.3997)</f>
        <v>1.3997</v>
      </c>
      <c r="P516" s="320">
        <f>IFERROR(__xludf.DUMMYFUNCTION("""COMPUTED_VALUE"""),758.17)</f>
        <v>758.17</v>
      </c>
      <c r="Q516" s="320">
        <f>IFERROR(__xludf.DUMMYFUNCTION("""COMPUTED_VALUE"""),643.48)</f>
        <v>643.48</v>
      </c>
      <c r="R516" s="320">
        <f>IFERROR(__xludf.DUMMYFUNCTION("""COMPUTED_VALUE"""),114.69)</f>
        <v>114.69</v>
      </c>
      <c r="S516" s="320">
        <f>IFERROR(__xludf.DUMMYFUNCTION("""COMPUTED_VALUE"""),353.22)</f>
        <v>353.22</v>
      </c>
      <c r="T516" s="320">
        <f>IFERROR(__xludf.DUMMYFUNCTION("""COMPUTED_VALUE"""),404.95)</f>
        <v>404.95</v>
      </c>
      <c r="U516" s="320">
        <f>IFERROR(__xludf.DUMMYFUNCTION("""COMPUTED_VALUE"""),741.57)</f>
        <v>741.57</v>
      </c>
      <c r="V516" s="320">
        <f>IFERROR(__xludf.DUMMYFUNCTION("""COMPUTED_VALUE"""),9.3653)</f>
        <v>9.3653</v>
      </c>
      <c r="W516" s="320">
        <f>IFERROR(__xludf.DUMMYFUNCTION("""COMPUTED_VALUE"""),46.59)</f>
        <v>46.59</v>
      </c>
      <c r="X516" s="320">
        <f>IFERROR(__xludf.DUMMYFUNCTION("""COMPUTED_VALUE"""),100.0)</f>
        <v>100</v>
      </c>
      <c r="Y516" s="320">
        <f>IFERROR(__xludf.DUMMYFUNCTION("""COMPUTED_VALUE"""),345.0)</f>
        <v>345</v>
      </c>
      <c r="Z516" s="320">
        <f>IFERROR(__xludf.DUMMYFUNCTION("""COMPUTED_VALUE"""),933.0)</f>
        <v>933</v>
      </c>
      <c r="AA516" s="320">
        <f>IFERROR(__xludf.DUMMYFUNCTION("""COMPUTED_VALUE"""),57.4906)</f>
        <v>57.4906</v>
      </c>
      <c r="AB516" s="320">
        <f>IFERROR(__xludf.DUMMYFUNCTION("""COMPUTED_VALUE"""),0.7423)</f>
        <v>0.7423</v>
      </c>
      <c r="AC516" s="320">
        <f>IFERROR(__xludf.DUMMYFUNCTION("""COMPUTED_VALUE"""),39.25)</f>
        <v>39.25</v>
      </c>
      <c r="AD516" s="320">
        <f>IFERROR(__xludf.DUMMYFUNCTION("""COMPUTED_VALUE"""),14.0)</f>
        <v>14</v>
      </c>
      <c r="AE516" s="320">
        <f>IFERROR(__xludf.DUMMYFUNCTION("""COMPUTED_VALUE"""),31.0)</f>
        <v>31</v>
      </c>
      <c r="AF516" s="320">
        <f>IFERROR(__xludf.DUMMYFUNCTION("""COMPUTED_VALUE"""),56.0)</f>
        <v>56</v>
      </c>
      <c r="AG516" s="320">
        <f>IFERROR(__xludf.DUMMYFUNCTION("""COMPUTED_VALUE"""),81.0)</f>
        <v>81</v>
      </c>
      <c r="AH516" s="320">
        <f>IFERROR(__xludf.DUMMYFUNCTION("""COMPUTED_VALUE"""),53.63)</f>
        <v>53.63</v>
      </c>
      <c r="AI516" s="320">
        <f>IFERROR(__xludf.DUMMYFUNCTION("""COMPUTED_VALUE"""),22.42)</f>
        <v>22.42</v>
      </c>
      <c r="AJ516" s="320">
        <f>IFERROR(__xludf.DUMMYFUNCTION("""COMPUTED_VALUE"""),5.76)</f>
        <v>5.76</v>
      </c>
      <c r="AK516" s="320">
        <f>IFERROR(__xludf.DUMMYFUNCTION("""COMPUTED_VALUE"""),0.1735)</f>
        <v>0.1735</v>
      </c>
      <c r="AL516" s="320">
        <f>IFERROR(__xludf.DUMMYFUNCTION("""COMPUTED_VALUE"""),19.06)</f>
        <v>19.06</v>
      </c>
      <c r="AM516" s="320">
        <f>IFERROR(__xludf.DUMMYFUNCTION("""COMPUTED_VALUE"""),624.42)</f>
        <v>624.42</v>
      </c>
      <c r="AN516" s="320">
        <f>IFERROR(__xludf.DUMMYFUNCTION("""COMPUTED_VALUE"""),75.5)</f>
        <v>75.5</v>
      </c>
      <c r="AO516" s="320">
        <f>IFERROR(__xludf.DUMMYFUNCTION("""COMPUTED_VALUE"""),14.39)</f>
        <v>14.39</v>
      </c>
    </row>
    <row r="517" ht="15.0" customHeight="1">
      <c r="A517" s="328">
        <f>IFERROR(__xludf.DUMMYFUNCTION("""COMPUTED_VALUE"""),46135.0)</f>
        <v>46135</v>
      </c>
      <c r="B517" s="319" t="str">
        <f>IFERROR(__xludf.DUMMYFUNCTION("""COMPUTED_VALUE"""),"F. 100+")</f>
        <v>F. 100+</v>
      </c>
      <c r="C517" s="320">
        <f>IFERROR(__xludf.DUMMYFUNCTION("""COMPUTED_VALUE"""),305.0)</f>
        <v>305</v>
      </c>
      <c r="D517" s="320">
        <f>IFERROR(__xludf.DUMMYFUNCTION("""COMPUTED_VALUE"""),0.42)</f>
        <v>0.42</v>
      </c>
      <c r="E517" s="320">
        <f>IFERROR(__xludf.DUMMYFUNCTION("""COMPUTED_VALUE"""),3289.8)</f>
        <v>3289.8</v>
      </c>
      <c r="F517" s="320">
        <f>IFERROR(__xludf.DUMMYFUNCTION("""COMPUTED_VALUE"""),10.7862)</f>
        <v>10.7862</v>
      </c>
      <c r="G517" s="320">
        <f>IFERROR(__xludf.DUMMYFUNCTION("""COMPUTED_VALUE"""),42.95)</f>
        <v>42.95</v>
      </c>
      <c r="H517" s="320">
        <f>IFERROR(__xludf.DUMMYFUNCTION("""COMPUTED_VALUE"""),25.113)</f>
        <v>25.113</v>
      </c>
      <c r="I517" s="320">
        <f>IFERROR(__xludf.DUMMYFUNCTION("""COMPUTED_VALUE"""),247.71)</f>
        <v>247.71</v>
      </c>
      <c r="J517" s="320">
        <f>IFERROR(__xludf.DUMMYFUNCTION("""COMPUTED_VALUE"""),161.03)</f>
        <v>161.03</v>
      </c>
      <c r="K517" s="320">
        <f>IFERROR(__xludf.DUMMYFUNCTION("""COMPUTED_VALUE"""),133.6)</f>
        <v>133.6</v>
      </c>
      <c r="L517" s="320">
        <f>IFERROR(__xludf.DUMMYFUNCTION("""COMPUTED_VALUE"""),0.8297)</f>
        <v>0.8297</v>
      </c>
      <c r="M517" s="320">
        <f>IFERROR(__xludf.DUMMYFUNCTION("""COMPUTED_VALUE"""),0.2611)</f>
        <v>0.2611</v>
      </c>
      <c r="N517" s="320">
        <f>IFERROR(__xludf.DUMMYFUNCTION("""COMPUTED_VALUE"""),0.1666)</f>
        <v>0.1666</v>
      </c>
      <c r="O517" s="320">
        <f>IFERROR(__xludf.DUMMYFUNCTION("""COMPUTED_VALUE"""),1.2053)</f>
        <v>1.2053</v>
      </c>
      <c r="P517" s="320">
        <f>IFERROR(__xludf.DUMMYFUNCTION("""COMPUTED_VALUE"""),1464.22)</f>
        <v>1464.22</v>
      </c>
      <c r="Q517" s="320">
        <f>IFERROR(__xludf.DUMMYFUNCTION("""COMPUTED_VALUE"""),1190.81)</f>
        <v>1190.81</v>
      </c>
      <c r="R517" s="320">
        <f>IFERROR(__xludf.DUMMYFUNCTION("""COMPUTED_VALUE"""),273.41)</f>
        <v>273.41</v>
      </c>
      <c r="S517" s="320">
        <f>IFERROR(__xludf.DUMMYFUNCTION("""COMPUTED_VALUE"""),666.25)</f>
        <v>666.25</v>
      </c>
      <c r="T517" s="320">
        <f>IFERROR(__xludf.DUMMYFUNCTION("""COMPUTED_VALUE"""),797.97)</f>
        <v>797.97</v>
      </c>
      <c r="U517" s="320">
        <f>IFERROR(__xludf.DUMMYFUNCTION("""COMPUTED_VALUE"""),1439.02)</f>
        <v>1439.02</v>
      </c>
      <c r="V517" s="320">
        <f>IFERROR(__xludf.DUMMYFUNCTION("""COMPUTED_VALUE"""),8.9365)</f>
        <v>8.9365</v>
      </c>
      <c r="W517" s="320">
        <f>IFERROR(__xludf.DUMMYFUNCTION("""COMPUTED_VALUE"""),45.5)</f>
        <v>45.5</v>
      </c>
      <c r="X517" s="320">
        <f>IFERROR(__xludf.DUMMYFUNCTION("""COMPUTED_VALUE"""),160.0)</f>
        <v>160</v>
      </c>
      <c r="Y517" s="320">
        <f>IFERROR(__xludf.DUMMYFUNCTION("""COMPUTED_VALUE"""),606.0)</f>
        <v>606</v>
      </c>
      <c r="Z517" s="320">
        <f>IFERROR(__xludf.DUMMYFUNCTION("""COMPUTED_VALUE"""),2067.0)</f>
        <v>2067</v>
      </c>
      <c r="AA517" s="320">
        <f>IFERROR(__xludf.DUMMYFUNCTION("""COMPUTED_VALUE"""),61.9279)</f>
        <v>61.9279</v>
      </c>
      <c r="AB517" s="320">
        <f>IFERROR(__xludf.DUMMYFUNCTION("""COMPUTED_VALUE"""),0.8261)</f>
        <v>0.8261</v>
      </c>
      <c r="AC517" s="320">
        <f>IFERROR(__xludf.DUMMYFUNCTION("""COMPUTED_VALUE"""),91.79)</f>
        <v>91.79</v>
      </c>
      <c r="AD517" s="320">
        <f>IFERROR(__xludf.DUMMYFUNCTION("""COMPUTED_VALUE"""),35.0)</f>
        <v>35</v>
      </c>
      <c r="AE517" s="320">
        <f>IFERROR(__xludf.DUMMYFUNCTION("""COMPUTED_VALUE"""),75.0)</f>
        <v>75</v>
      </c>
      <c r="AF517" s="320">
        <f>IFERROR(__xludf.DUMMYFUNCTION("""COMPUTED_VALUE"""),130.0)</f>
        <v>130</v>
      </c>
      <c r="AG517" s="320">
        <f>IFERROR(__xludf.DUMMYFUNCTION("""COMPUTED_VALUE"""),191.0)</f>
        <v>191</v>
      </c>
      <c r="AH517" s="320">
        <f>IFERROR(__xludf.DUMMYFUNCTION("""COMPUTED_VALUE"""),48.52)</f>
        <v>48.52</v>
      </c>
      <c r="AI517" s="320">
        <f>IFERROR(__xludf.DUMMYFUNCTION("""COMPUTED_VALUE"""),12.79)</f>
        <v>12.79</v>
      </c>
      <c r="AJ517" s="320">
        <f>IFERROR(__xludf.DUMMYFUNCTION("""COMPUTED_VALUE"""),2.95)</f>
        <v>2.95</v>
      </c>
      <c r="AK517" s="320">
        <f>IFERROR(__xludf.DUMMYFUNCTION("""COMPUTED_VALUE"""),0.1639)</f>
        <v>0.1639</v>
      </c>
      <c r="AL517" s="320">
        <f>IFERROR(__xludf.DUMMYFUNCTION("""COMPUTED_VALUE"""),21.28)</f>
        <v>21.28</v>
      </c>
      <c r="AM517" s="320">
        <f>IFERROR(__xludf.DUMMYFUNCTION("""COMPUTED_VALUE"""),1169.53)</f>
        <v>1169.53</v>
      </c>
      <c r="AN517" s="320">
        <f>IFERROR(__xludf.DUMMYFUNCTION("""COMPUTED_VALUE"""),68.2)</f>
        <v>68.2</v>
      </c>
      <c r="AO517" s="320">
        <f>IFERROR(__xludf.DUMMYFUNCTION("""COMPUTED_VALUE"""),14.51)</f>
        <v>14.51</v>
      </c>
    </row>
    <row r="518" ht="15.0" customHeight="1">
      <c r="A518" s="328">
        <f>IFERROR(__xludf.DUMMYFUNCTION("""COMPUTED_VALUE"""),46136.0)</f>
        <v>46136</v>
      </c>
      <c r="B518" s="319" t="str">
        <f>IFERROR(__xludf.DUMMYFUNCTION("""COMPUTED_VALUE"""),"A. 0")</f>
        <v>A. 0</v>
      </c>
      <c r="C518" s="320">
        <f>IFERROR(__xludf.DUMMYFUNCTION("""COMPUTED_VALUE"""),14444.0)</f>
        <v>14444</v>
      </c>
      <c r="D518" s="320">
        <f>IFERROR(__xludf.DUMMYFUNCTION("""COMPUTED_VALUE"""),20.26)</f>
        <v>20.26</v>
      </c>
      <c r="E518" s="320">
        <f>IFERROR(__xludf.DUMMYFUNCTION("""COMPUTED_VALUE"""),234.97)</f>
        <v>234.97</v>
      </c>
      <c r="F518" s="320">
        <f>IFERROR(__xludf.DUMMYFUNCTION("""COMPUTED_VALUE"""),0.0163)</f>
        <v>0.0163</v>
      </c>
      <c r="G518" s="320">
        <f>IFERROR(__xludf.DUMMYFUNCTION("""COMPUTED_VALUE"""),0.3)</f>
        <v>0.3</v>
      </c>
      <c r="H518" s="320">
        <f>IFERROR(__xludf.DUMMYFUNCTION("""COMPUTED_VALUE"""),5.4644)</f>
        <v>5.4644</v>
      </c>
      <c r="I518" s="320">
        <f>IFERROR(__xludf.DUMMYFUNCTION("""COMPUTED_VALUE"""),5.68)</f>
        <v>5.68</v>
      </c>
      <c r="J518" s="320">
        <f>IFERROR(__xludf.DUMMYFUNCTION("""COMPUTED_VALUE"""),2.42)</f>
        <v>2.42</v>
      </c>
      <c r="K518" s="320">
        <f>IFERROR(__xludf.DUMMYFUNCTION("""COMPUTED_VALUE"""),0.06)</f>
        <v>0.06</v>
      </c>
      <c r="L518" s="320">
        <f>IFERROR(__xludf.DUMMYFUNCTION("""COMPUTED_VALUE"""),0.0231)</f>
        <v>0.0231</v>
      </c>
      <c r="M518" s="320">
        <f>IFERROR(__xludf.DUMMYFUNCTION("""COMPUTED_VALUE"""),0.9797)</f>
        <v>0.9797</v>
      </c>
      <c r="N518" s="320">
        <f>IFERROR(__xludf.DUMMYFUNCTION("""COMPUTED_VALUE"""),0.7765)</f>
        <v>0.7765</v>
      </c>
      <c r="O518" s="320">
        <f>IFERROR(__xludf.DUMMYFUNCTION("""COMPUTED_VALUE"""),43.3643)</f>
        <v>43.3643</v>
      </c>
      <c r="P518" s="320">
        <f>IFERROR(__xludf.DUMMYFUNCTION("""COMPUTED_VALUE"""),31.39)</f>
        <v>31.39</v>
      </c>
      <c r="Q518" s="320">
        <f>IFERROR(__xludf.DUMMYFUNCTION("""COMPUTED_VALUE"""),31.32)</f>
        <v>31.32</v>
      </c>
      <c r="R518" s="320">
        <f>IFERROR(__xludf.DUMMYFUNCTION("""COMPUTED_VALUE"""),0.07)</f>
        <v>0.07</v>
      </c>
      <c r="S518" s="320">
        <f>IFERROR(__xludf.DUMMYFUNCTION("""COMPUTED_VALUE"""),1.15)</f>
        <v>1.15</v>
      </c>
      <c r="T518" s="320">
        <f>IFERROR(__xludf.DUMMYFUNCTION("""COMPUTED_VALUE"""),30.25)</f>
        <v>30.25</v>
      </c>
      <c r="U518" s="320">
        <f>IFERROR(__xludf.DUMMYFUNCTION("""COMPUTED_VALUE"""),1.88)</f>
        <v>1.88</v>
      </c>
      <c r="V518" s="320">
        <f>IFERROR(__xludf.DUMMYFUNCTION("""COMPUTED_VALUE"""),0.7773)</f>
        <v>0.7773</v>
      </c>
      <c r="W518" s="320">
        <f>IFERROR(__xludf.DUMMYFUNCTION("""COMPUTED_VALUE"""),3.65)</f>
        <v>3.65</v>
      </c>
      <c r="X518" s="320">
        <f>IFERROR(__xludf.DUMMYFUNCTION("""COMPUTED_VALUE"""),181.0)</f>
        <v>181</v>
      </c>
      <c r="Y518" s="320">
        <f>IFERROR(__xludf.DUMMYFUNCTION("""COMPUTED_VALUE"""),1389.0)</f>
        <v>1389</v>
      </c>
      <c r="Z518" s="320">
        <f>IFERROR(__xludf.DUMMYFUNCTION("""COMPUTED_VALUE"""),8279.0)</f>
        <v>8279</v>
      </c>
      <c r="AA518" s="320">
        <f>IFERROR(__xludf.DUMMYFUNCTION("""COMPUTED_VALUE"""),49.8482)</f>
        <v>49.8482</v>
      </c>
      <c r="AB518" s="320">
        <f>IFERROR(__xludf.DUMMYFUNCTION("""COMPUTED_VALUE"""),0.5188)</f>
        <v>0.5188</v>
      </c>
      <c r="AC518" s="106"/>
      <c r="AD518" s="106"/>
      <c r="AE518" s="106"/>
      <c r="AF518" s="106"/>
      <c r="AG518" s="106"/>
      <c r="AH518" s="320">
        <f>IFERROR(__xludf.DUMMYFUNCTION("""COMPUTED_VALUE"""),0.0)</f>
        <v>0</v>
      </c>
      <c r="AI518" s="320">
        <f>IFERROR(__xludf.DUMMYFUNCTION("""COMPUTED_VALUE"""),0.0)</f>
        <v>0</v>
      </c>
      <c r="AJ518" s="320">
        <f>IFERROR(__xludf.DUMMYFUNCTION("""COMPUTED_VALUE"""),0.0)</f>
        <v>0</v>
      </c>
      <c r="AK518" s="320">
        <f>IFERROR(__xludf.DUMMYFUNCTION("""COMPUTED_VALUE"""),0.2978)</f>
        <v>0.2978</v>
      </c>
      <c r="AL518" s="320">
        <f>IFERROR(__xludf.DUMMYFUNCTION("""COMPUTED_VALUE"""),17.54)</f>
        <v>17.54</v>
      </c>
      <c r="AM518" s="320">
        <f>IFERROR(__xludf.DUMMYFUNCTION("""COMPUTED_VALUE"""),13.78)</f>
        <v>13.78</v>
      </c>
      <c r="AN518" s="331"/>
      <c r="AO518" s="331"/>
    </row>
    <row r="519" ht="15.0" customHeight="1">
      <c r="A519" s="328">
        <f>IFERROR(__xludf.DUMMYFUNCTION("""COMPUTED_VALUE"""),46136.0)</f>
        <v>46136</v>
      </c>
      <c r="B519" s="319" t="str">
        <f>IFERROR(__xludf.DUMMYFUNCTION("""COMPUTED_VALUE"""),"B. 1-9")</f>
        <v>B. 1-9</v>
      </c>
      <c r="C519" s="320">
        <f>IFERROR(__xludf.DUMMYFUNCTION("""COMPUTED_VALUE"""),31579.0)</f>
        <v>31579</v>
      </c>
      <c r="D519" s="320">
        <f>IFERROR(__xludf.DUMMYFUNCTION("""COMPUTED_VALUE"""),44.29)</f>
        <v>44.29</v>
      </c>
      <c r="E519" s="320">
        <f>IFERROR(__xludf.DUMMYFUNCTION("""COMPUTED_VALUE"""),7663.04)</f>
        <v>7663.04</v>
      </c>
      <c r="F519" s="320">
        <f>IFERROR(__xludf.DUMMYFUNCTION("""COMPUTED_VALUE"""),0.2427)</f>
        <v>0.2427</v>
      </c>
      <c r="G519" s="320">
        <f>IFERROR(__xludf.DUMMYFUNCTION("""COMPUTED_VALUE"""),7.0)</f>
        <v>7</v>
      </c>
      <c r="H519" s="320">
        <f>IFERROR(__xludf.DUMMYFUNCTION("""COMPUTED_VALUE"""),3.4659)</f>
        <v>3.4659</v>
      </c>
      <c r="I519" s="320">
        <f>IFERROR(__xludf.DUMMYFUNCTION("""COMPUTED_VALUE"""),33.41)</f>
        <v>33.41</v>
      </c>
      <c r="J519" s="320">
        <f>IFERROR(__xludf.DUMMYFUNCTION("""COMPUTED_VALUE"""),17.84)</f>
        <v>17.84</v>
      </c>
      <c r="K519" s="320">
        <f>IFERROR(__xludf.DUMMYFUNCTION("""COMPUTED_VALUE"""),5.56)</f>
        <v>5.56</v>
      </c>
      <c r="L519" s="320">
        <f>IFERROR(__xludf.DUMMYFUNCTION("""COMPUTED_VALUE"""),0.3115)</f>
        <v>0.3115</v>
      </c>
      <c r="M519" s="320">
        <f>IFERROR(__xludf.DUMMYFUNCTION("""COMPUTED_VALUE"""),0.7584)</f>
        <v>0.7584</v>
      </c>
      <c r="N519" s="320">
        <f>IFERROR(__xludf.DUMMYFUNCTION("""COMPUTED_VALUE"""),0.5128)</f>
        <v>0.5128</v>
      </c>
      <c r="O519" s="320">
        <f>IFERROR(__xludf.DUMMYFUNCTION("""COMPUTED_VALUE"""),3.2107)</f>
        <v>3.2107</v>
      </c>
      <c r="P519" s="320">
        <f>IFERROR(__xludf.DUMMYFUNCTION("""COMPUTED_VALUE"""),87.07)</f>
        <v>87.07</v>
      </c>
      <c r="Q519" s="320">
        <f>IFERROR(__xludf.DUMMYFUNCTION("""COMPUTED_VALUE"""),76.05)</f>
        <v>76.05</v>
      </c>
      <c r="R519" s="320">
        <f>IFERROR(__xludf.DUMMYFUNCTION("""COMPUTED_VALUE"""),11.03)</f>
        <v>11.03</v>
      </c>
      <c r="S519" s="320">
        <f>IFERROR(__xludf.DUMMYFUNCTION("""COMPUTED_VALUE"""),17.61)</f>
        <v>17.61</v>
      </c>
      <c r="T519" s="320">
        <f>IFERROR(__xludf.DUMMYFUNCTION("""COMPUTED_VALUE"""),69.47)</f>
        <v>69.47</v>
      </c>
      <c r="U519" s="320">
        <f>IFERROR(__xludf.DUMMYFUNCTION("""COMPUTED_VALUE"""),80.57)</f>
        <v>80.57</v>
      </c>
      <c r="V519" s="320">
        <f>IFERROR(__xludf.DUMMYFUNCTION("""COMPUTED_VALUE"""),4.5163)</f>
        <v>4.5163</v>
      </c>
      <c r="W519" s="320">
        <f>IFERROR(__xludf.DUMMYFUNCTION("""COMPUTED_VALUE"""),20.22)</f>
        <v>20.22</v>
      </c>
      <c r="X519" s="320">
        <f>IFERROR(__xludf.DUMMYFUNCTION("""COMPUTED_VALUE"""),87.0)</f>
        <v>87</v>
      </c>
      <c r="Y519" s="320">
        <f>IFERROR(__xludf.DUMMYFUNCTION("""COMPUTED_VALUE"""),211.0)</f>
        <v>211</v>
      </c>
      <c r="Z519" s="320">
        <f>IFERROR(__xludf.DUMMYFUNCTION("""COMPUTED_VALUE"""),818.0)</f>
        <v>818</v>
      </c>
      <c r="AA519" s="320">
        <f>IFERROR(__xludf.DUMMYFUNCTION("""COMPUTED_VALUE"""),49.5528)</f>
        <v>49.5528</v>
      </c>
      <c r="AB519" s="320">
        <f>IFERROR(__xludf.DUMMYFUNCTION("""COMPUTED_VALUE"""),0.4341)</f>
        <v>0.4341</v>
      </c>
      <c r="AC519" s="320">
        <f>IFERROR(__xludf.DUMMYFUNCTION("""COMPUTED_VALUE"""),3.64)</f>
        <v>3.64</v>
      </c>
      <c r="AD519" s="320">
        <f>IFERROR(__xludf.DUMMYFUNCTION("""COMPUTED_VALUE"""),1.0)</f>
        <v>1</v>
      </c>
      <c r="AE519" s="320">
        <f>IFERROR(__xludf.DUMMYFUNCTION("""COMPUTED_VALUE"""),2.0)</f>
        <v>2</v>
      </c>
      <c r="AF519" s="320">
        <f>IFERROR(__xludf.DUMMYFUNCTION("""COMPUTED_VALUE"""),5.0)</f>
        <v>5</v>
      </c>
      <c r="AG519" s="320">
        <f>IFERROR(__xludf.DUMMYFUNCTION("""COMPUTED_VALUE"""),8.0)</f>
        <v>8</v>
      </c>
      <c r="AH519" s="320">
        <f>IFERROR(__xludf.DUMMYFUNCTION("""COMPUTED_VALUE"""),67.74)</f>
        <v>67.74</v>
      </c>
      <c r="AI519" s="320">
        <f>IFERROR(__xludf.DUMMYFUNCTION("""COMPUTED_VALUE"""),26.25)</f>
        <v>26.25</v>
      </c>
      <c r="AJ519" s="320">
        <f>IFERROR(__xludf.DUMMYFUNCTION("""COMPUTED_VALUE"""),7.55)</f>
        <v>7.55</v>
      </c>
      <c r="AK519" s="320">
        <f>IFERROR(__xludf.DUMMYFUNCTION("""COMPUTED_VALUE"""),0.231)</f>
        <v>0.231</v>
      </c>
      <c r="AL519" s="320">
        <f>IFERROR(__xludf.DUMMYFUNCTION("""COMPUTED_VALUE"""),21.16)</f>
        <v>21.16</v>
      </c>
      <c r="AM519" s="320">
        <f>IFERROR(__xludf.DUMMYFUNCTION("""COMPUTED_VALUE"""),54.89)</f>
        <v>54.89</v>
      </c>
      <c r="AN519" s="320">
        <f>IFERROR(__xludf.DUMMYFUNCTION("""COMPUTED_VALUE"""),69.01)</f>
        <v>69.01</v>
      </c>
      <c r="AO519" s="320">
        <f>IFERROR(__xludf.DUMMYFUNCTION("""COMPUTED_VALUE"""),14.6)</f>
        <v>14.6</v>
      </c>
    </row>
    <row r="520" ht="15.0" customHeight="1">
      <c r="A520" s="328">
        <f>IFERROR(__xludf.DUMMYFUNCTION("""COMPUTED_VALUE"""),46136.0)</f>
        <v>46136</v>
      </c>
      <c r="B520" s="319" t="str">
        <f>IFERROR(__xludf.DUMMYFUNCTION("""COMPUTED_VALUE"""),"C. 10-19")</f>
        <v>C. 10-19</v>
      </c>
      <c r="C520" s="320">
        <f>IFERROR(__xludf.DUMMYFUNCTION("""COMPUTED_VALUE"""),14746.0)</f>
        <v>14746</v>
      </c>
      <c r="D520" s="320">
        <f>IFERROR(__xludf.DUMMYFUNCTION("""COMPUTED_VALUE"""),20.68)</f>
        <v>20.68</v>
      </c>
      <c r="E520" s="320">
        <f>IFERROR(__xludf.DUMMYFUNCTION("""COMPUTED_VALUE"""),16288.99)</f>
        <v>16288.99</v>
      </c>
      <c r="F520" s="320">
        <f>IFERROR(__xludf.DUMMYFUNCTION("""COMPUTED_VALUE"""),1.1046)</f>
        <v>1.1046</v>
      </c>
      <c r="G520" s="320">
        <f>IFERROR(__xludf.DUMMYFUNCTION("""COMPUTED_VALUE"""),21.69)</f>
        <v>21.69</v>
      </c>
      <c r="H520" s="320">
        <f>IFERROR(__xludf.DUMMYFUNCTION("""COMPUTED_VALUE"""),5.0935)</f>
        <v>5.0935</v>
      </c>
      <c r="I520" s="320">
        <f>IFERROR(__xludf.DUMMYFUNCTION("""COMPUTED_VALUE"""),61.3)</f>
        <v>61.3</v>
      </c>
      <c r="J520" s="320">
        <f>IFERROR(__xludf.DUMMYFUNCTION("""COMPUTED_VALUE"""),35.06)</f>
        <v>35.06</v>
      </c>
      <c r="K520" s="320">
        <f>IFERROR(__xludf.DUMMYFUNCTION("""COMPUTED_VALUE"""),14.48)</f>
        <v>14.48</v>
      </c>
      <c r="L520" s="320">
        <f>IFERROR(__xludf.DUMMYFUNCTION("""COMPUTED_VALUE"""),0.4129)</f>
        <v>0.4129</v>
      </c>
      <c r="M520" s="320">
        <f>IFERROR(__xludf.DUMMYFUNCTION("""COMPUTED_VALUE"""),0.6503)</f>
        <v>0.6503</v>
      </c>
      <c r="N520" s="320">
        <f>IFERROR(__xludf.DUMMYFUNCTION("""COMPUTED_VALUE"""),0.3751)</f>
        <v>0.3751</v>
      </c>
      <c r="O520" s="320">
        <f>IFERROR(__xludf.DUMMYFUNCTION("""COMPUTED_VALUE"""),2.422)</f>
        <v>2.422</v>
      </c>
      <c r="P520" s="320">
        <f>IFERROR(__xludf.DUMMYFUNCTION("""COMPUTED_VALUE"""),192.13)</f>
        <v>192.13</v>
      </c>
      <c r="Q520" s="320">
        <f>IFERROR(__xludf.DUMMYFUNCTION("""COMPUTED_VALUE"""),163.3)</f>
        <v>163.3</v>
      </c>
      <c r="R520" s="320">
        <f>IFERROR(__xludf.DUMMYFUNCTION("""COMPUTED_VALUE"""),28.83)</f>
        <v>28.83</v>
      </c>
      <c r="S520" s="320">
        <f>IFERROR(__xludf.DUMMYFUNCTION("""COMPUTED_VALUE"""),75.25)</f>
        <v>75.25</v>
      </c>
      <c r="T520" s="320">
        <f>IFERROR(__xludf.DUMMYFUNCTION("""COMPUTED_VALUE"""),116.88)</f>
        <v>116.88</v>
      </c>
      <c r="U520" s="320">
        <f>IFERROR(__xludf.DUMMYFUNCTION("""COMPUTED_VALUE"""),189.31)</f>
        <v>189.31</v>
      </c>
      <c r="V520" s="320">
        <f>IFERROR(__xludf.DUMMYFUNCTION("""COMPUTED_VALUE"""),5.3998)</f>
        <v>5.3998</v>
      </c>
      <c r="W520" s="320">
        <f>IFERROR(__xludf.DUMMYFUNCTION("""COMPUTED_VALUE"""),39.17)</f>
        <v>39.17</v>
      </c>
      <c r="X520" s="320">
        <f>IFERROR(__xludf.DUMMYFUNCTION("""COMPUTED_VALUE"""),85.0)</f>
        <v>85</v>
      </c>
      <c r="Y520" s="320">
        <f>IFERROR(__xludf.DUMMYFUNCTION("""COMPUTED_VALUE"""),186.0)</f>
        <v>186</v>
      </c>
      <c r="Z520" s="320">
        <f>IFERROR(__xludf.DUMMYFUNCTION("""COMPUTED_VALUE"""),565.0)</f>
        <v>565</v>
      </c>
      <c r="AA520" s="320">
        <f>IFERROR(__xludf.DUMMYFUNCTION("""COMPUTED_VALUE"""),52.5041)</f>
        <v>52.5041</v>
      </c>
      <c r="AB520" s="320">
        <f>IFERROR(__xludf.DUMMYFUNCTION("""COMPUTED_VALUE"""),0.531)</f>
        <v>0.531</v>
      </c>
      <c r="AC520" s="320">
        <f>IFERROR(__xludf.DUMMYFUNCTION("""COMPUTED_VALUE"""),9.14)</f>
        <v>9.14</v>
      </c>
      <c r="AD520" s="320">
        <f>IFERROR(__xludf.DUMMYFUNCTION("""COMPUTED_VALUE"""),3.0)</f>
        <v>3</v>
      </c>
      <c r="AE520" s="320">
        <f>IFERROR(__xludf.DUMMYFUNCTION("""COMPUTED_VALUE"""),6.0)</f>
        <v>6</v>
      </c>
      <c r="AF520" s="320">
        <f>IFERROR(__xludf.DUMMYFUNCTION("""COMPUTED_VALUE"""),12.0)</f>
        <v>12</v>
      </c>
      <c r="AG520" s="320">
        <f>IFERROR(__xludf.DUMMYFUNCTION("""COMPUTED_VALUE"""),20.0)</f>
        <v>20</v>
      </c>
      <c r="AH520" s="320">
        <f>IFERROR(__xludf.DUMMYFUNCTION("""COMPUTED_VALUE"""),55.47)</f>
        <v>55.47</v>
      </c>
      <c r="AI520" s="320">
        <f>IFERROR(__xludf.DUMMYFUNCTION("""COMPUTED_VALUE"""),25.34)</f>
        <v>25.34</v>
      </c>
      <c r="AJ520" s="320">
        <f>IFERROR(__xludf.DUMMYFUNCTION("""COMPUTED_VALUE"""),5.34)</f>
        <v>5.34</v>
      </c>
      <c r="AK520" s="320">
        <f>IFERROR(__xludf.DUMMYFUNCTION("""COMPUTED_VALUE"""),0.2092)</f>
        <v>0.2092</v>
      </c>
      <c r="AL520" s="320">
        <f>IFERROR(__xludf.DUMMYFUNCTION("""COMPUTED_VALUE"""),21.7)</f>
        <v>21.7</v>
      </c>
      <c r="AM520" s="320">
        <f>IFERROR(__xludf.DUMMYFUNCTION("""COMPUTED_VALUE"""),141.6)</f>
        <v>141.6</v>
      </c>
      <c r="AN520" s="320">
        <f>IFERROR(__xludf.DUMMYFUNCTION("""COMPUTED_VALUE"""),74.93)</f>
        <v>74.93</v>
      </c>
      <c r="AO520" s="320">
        <f>IFERROR(__xludf.DUMMYFUNCTION("""COMPUTED_VALUE"""),16.26)</f>
        <v>16.26</v>
      </c>
    </row>
    <row r="521" ht="15.0" customHeight="1">
      <c r="A521" s="328">
        <f>IFERROR(__xludf.DUMMYFUNCTION("""COMPUTED_VALUE"""),46136.0)</f>
        <v>46136</v>
      </c>
      <c r="B521" s="319" t="str">
        <f>IFERROR(__xludf.DUMMYFUNCTION("""COMPUTED_VALUE"""),"D. 20-39")</f>
        <v>D. 20-39</v>
      </c>
      <c r="C521" s="320">
        <f>IFERROR(__xludf.DUMMYFUNCTION("""COMPUTED_VALUE"""),7406.0)</f>
        <v>7406</v>
      </c>
      <c r="D521" s="320">
        <f>IFERROR(__xludf.DUMMYFUNCTION("""COMPUTED_VALUE"""),10.39)</f>
        <v>10.39</v>
      </c>
      <c r="E521" s="320">
        <f>IFERROR(__xludf.DUMMYFUNCTION("""COMPUTED_VALUE"""),18108.14)</f>
        <v>18108.14</v>
      </c>
      <c r="F521" s="320">
        <f>IFERROR(__xludf.DUMMYFUNCTION("""COMPUTED_VALUE"""),2.4451)</f>
        <v>2.4451</v>
      </c>
      <c r="G521" s="320">
        <f>IFERROR(__xludf.DUMMYFUNCTION("""COMPUTED_VALUE"""),32.19)</f>
        <v>32.19</v>
      </c>
      <c r="H521" s="320">
        <f>IFERROR(__xludf.DUMMYFUNCTION("""COMPUTED_VALUE"""),7.5957)</f>
        <v>7.5957</v>
      </c>
      <c r="I521" s="320">
        <f>IFERROR(__xludf.DUMMYFUNCTION("""COMPUTED_VALUE"""),86.02)</f>
        <v>86.02</v>
      </c>
      <c r="J521" s="320">
        <f>IFERROR(__xludf.DUMMYFUNCTION("""COMPUTED_VALUE"""),50.91)</f>
        <v>50.91</v>
      </c>
      <c r="K521" s="320">
        <f>IFERROR(__xludf.DUMMYFUNCTION("""COMPUTED_VALUE"""),26.87)</f>
        <v>26.87</v>
      </c>
      <c r="L521" s="320">
        <f>IFERROR(__xludf.DUMMYFUNCTION("""COMPUTED_VALUE"""),0.5279)</f>
        <v>0.5279</v>
      </c>
      <c r="M521" s="320">
        <f>IFERROR(__xludf.DUMMYFUNCTION("""COMPUTED_VALUE"""),0.5416)</f>
        <v>0.5416</v>
      </c>
      <c r="N521" s="320">
        <f>IFERROR(__xludf.DUMMYFUNCTION("""COMPUTED_VALUE"""),0.2981)</f>
        <v>0.2981</v>
      </c>
      <c r="O521" s="320">
        <f>IFERROR(__xludf.DUMMYFUNCTION("""COMPUTED_VALUE"""),1.8944)</f>
        <v>1.8944</v>
      </c>
      <c r="P521" s="320">
        <f>IFERROR(__xludf.DUMMYFUNCTION("""COMPUTED_VALUE"""),330.39)</f>
        <v>330.39</v>
      </c>
      <c r="Q521" s="320">
        <f>IFERROR(__xludf.DUMMYFUNCTION("""COMPUTED_VALUE"""),275.64)</f>
        <v>275.64</v>
      </c>
      <c r="R521" s="320">
        <f>IFERROR(__xludf.DUMMYFUNCTION("""COMPUTED_VALUE"""),54.75)</f>
        <v>54.75</v>
      </c>
      <c r="S521" s="320">
        <f>IFERROR(__xludf.DUMMYFUNCTION("""COMPUTED_VALUE"""),156.15)</f>
        <v>156.15</v>
      </c>
      <c r="T521" s="320">
        <f>IFERROR(__xludf.DUMMYFUNCTION("""COMPUTED_VALUE"""),174.24)</f>
        <v>174.24</v>
      </c>
      <c r="U521" s="320">
        <f>IFERROR(__xludf.DUMMYFUNCTION("""COMPUTED_VALUE"""),337.5)</f>
        <v>337.5</v>
      </c>
      <c r="V521" s="320">
        <f>IFERROR(__xludf.DUMMYFUNCTION("""COMPUTED_VALUE"""),6.6299)</f>
        <v>6.6299</v>
      </c>
      <c r="W521" s="320">
        <f>IFERROR(__xludf.DUMMYFUNCTION("""COMPUTED_VALUE"""),47.26)</f>
        <v>47.26</v>
      </c>
      <c r="X521" s="320">
        <f>IFERROR(__xludf.DUMMYFUNCTION("""COMPUTED_VALUE"""),86.0)</f>
        <v>86</v>
      </c>
      <c r="Y521" s="320">
        <f>IFERROR(__xludf.DUMMYFUNCTION("""COMPUTED_VALUE"""),214.0)</f>
        <v>214</v>
      </c>
      <c r="Z521" s="320">
        <f>IFERROR(__xludf.DUMMYFUNCTION("""COMPUTED_VALUE"""),607.0)</f>
        <v>607</v>
      </c>
      <c r="AA521" s="320">
        <f>IFERROR(__xludf.DUMMYFUNCTION("""COMPUTED_VALUE"""),54.5809)</f>
        <v>54.5809</v>
      </c>
      <c r="AB521" s="320">
        <f>IFERROR(__xludf.DUMMYFUNCTION("""COMPUTED_VALUE"""),0.6517)</f>
        <v>0.6517</v>
      </c>
      <c r="AC521" s="320">
        <f>IFERROR(__xludf.DUMMYFUNCTION("""COMPUTED_VALUE"""),17.36)</f>
        <v>17.36</v>
      </c>
      <c r="AD521" s="320">
        <f>IFERROR(__xludf.DUMMYFUNCTION("""COMPUTED_VALUE"""),6.0)</f>
        <v>6</v>
      </c>
      <c r="AE521" s="320">
        <f>IFERROR(__xludf.DUMMYFUNCTION("""COMPUTED_VALUE"""),13.0)</f>
        <v>13</v>
      </c>
      <c r="AF521" s="320">
        <f>IFERROR(__xludf.DUMMYFUNCTION("""COMPUTED_VALUE"""),25.0)</f>
        <v>25</v>
      </c>
      <c r="AG521" s="320">
        <f>IFERROR(__xludf.DUMMYFUNCTION("""COMPUTED_VALUE"""),38.0)</f>
        <v>38</v>
      </c>
      <c r="AH521" s="320">
        <f>IFERROR(__xludf.DUMMYFUNCTION("""COMPUTED_VALUE"""),56.66)</f>
        <v>56.66</v>
      </c>
      <c r="AI521" s="320">
        <f>IFERROR(__xludf.DUMMYFUNCTION("""COMPUTED_VALUE"""),23.35)</f>
        <v>23.35</v>
      </c>
      <c r="AJ521" s="320">
        <f>IFERROR(__xludf.DUMMYFUNCTION("""COMPUTED_VALUE"""),7.2)</f>
        <v>7.2</v>
      </c>
      <c r="AK521" s="320">
        <f>IFERROR(__xludf.DUMMYFUNCTION("""COMPUTED_VALUE"""),0.2129)</f>
        <v>0.2129</v>
      </c>
      <c r="AL521" s="320">
        <f>IFERROR(__xludf.DUMMYFUNCTION("""COMPUTED_VALUE"""),20.92)</f>
        <v>20.92</v>
      </c>
      <c r="AM521" s="320">
        <f>IFERROR(__xludf.DUMMYFUNCTION("""COMPUTED_VALUE"""),254.72)</f>
        <v>254.72</v>
      </c>
      <c r="AN521" s="320">
        <f>IFERROR(__xludf.DUMMYFUNCTION("""COMPUTED_VALUE"""),75.0)</f>
        <v>75</v>
      </c>
      <c r="AO521" s="320">
        <f>IFERROR(__xludf.DUMMYFUNCTION("""COMPUTED_VALUE"""),15.69)</f>
        <v>15.69</v>
      </c>
    </row>
    <row r="522" ht="15.0" customHeight="1">
      <c r="A522" s="328">
        <f>IFERROR(__xludf.DUMMYFUNCTION("""COMPUTED_VALUE"""),46136.0)</f>
        <v>46136</v>
      </c>
      <c r="B522" s="319" t="str">
        <f>IFERROR(__xludf.DUMMYFUNCTION("""COMPUTED_VALUE"""),"E. 40-99")</f>
        <v>E. 40-99</v>
      </c>
      <c r="C522" s="320">
        <f>IFERROR(__xludf.DUMMYFUNCTION("""COMPUTED_VALUE"""),2817.0)</f>
        <v>2817</v>
      </c>
      <c r="D522" s="320">
        <f>IFERROR(__xludf.DUMMYFUNCTION("""COMPUTED_VALUE"""),3.95)</f>
        <v>3.95</v>
      </c>
      <c r="E522" s="320">
        <f>IFERROR(__xludf.DUMMYFUNCTION("""COMPUTED_VALUE"""),17719.47)</f>
        <v>17719.47</v>
      </c>
      <c r="F522" s="320">
        <f>IFERROR(__xludf.DUMMYFUNCTION("""COMPUTED_VALUE"""),6.2902)</f>
        <v>6.2902</v>
      </c>
      <c r="G522" s="320">
        <f>IFERROR(__xludf.DUMMYFUNCTION("""COMPUTED_VALUE"""),46.68)</f>
        <v>46.68</v>
      </c>
      <c r="H522" s="320">
        <f>IFERROR(__xludf.DUMMYFUNCTION("""COMPUTED_VALUE"""),13.4749)</f>
        <v>13.4749</v>
      </c>
      <c r="I522" s="320">
        <f>IFERROR(__xludf.DUMMYFUNCTION("""COMPUTED_VALUE"""),133.16)</f>
        <v>133.16</v>
      </c>
      <c r="J522" s="320">
        <f>IFERROR(__xludf.DUMMYFUNCTION("""COMPUTED_VALUE"""),81.56)</f>
        <v>81.56</v>
      </c>
      <c r="K522" s="320">
        <f>IFERROR(__xludf.DUMMYFUNCTION("""COMPUTED_VALUE"""),54.89)</f>
        <v>54.89</v>
      </c>
      <c r="L522" s="320">
        <f>IFERROR(__xludf.DUMMYFUNCTION("""COMPUTED_VALUE"""),0.6729)</f>
        <v>0.6729</v>
      </c>
      <c r="M522" s="320">
        <f>IFERROR(__xludf.DUMMYFUNCTION("""COMPUTED_VALUE"""),0.4136)</f>
        <v>0.4136</v>
      </c>
      <c r="N522" s="320">
        <f>IFERROR(__xludf.DUMMYFUNCTION("""COMPUTED_VALUE"""),0.235)</f>
        <v>0.235</v>
      </c>
      <c r="O522" s="320">
        <f>IFERROR(__xludf.DUMMYFUNCTION("""COMPUTED_VALUE"""),1.486)</f>
        <v>1.486</v>
      </c>
      <c r="P522" s="320">
        <f>IFERROR(__xludf.DUMMYFUNCTION("""COMPUTED_VALUE"""),680.75)</f>
        <v>680.75</v>
      </c>
      <c r="Q522" s="320">
        <f>IFERROR(__xludf.DUMMYFUNCTION("""COMPUTED_VALUE"""),569.84)</f>
        <v>569.84</v>
      </c>
      <c r="R522" s="320">
        <f>IFERROR(__xludf.DUMMYFUNCTION("""COMPUTED_VALUE"""),110.91)</f>
        <v>110.91</v>
      </c>
      <c r="S522" s="320">
        <f>IFERROR(__xludf.DUMMYFUNCTION("""COMPUTED_VALUE"""),389.31)</f>
        <v>389.31</v>
      </c>
      <c r="T522" s="320">
        <f>IFERROR(__xludf.DUMMYFUNCTION("""COMPUTED_VALUE"""),291.44)</f>
        <v>291.44</v>
      </c>
      <c r="U522" s="320">
        <f>IFERROR(__xludf.DUMMYFUNCTION("""COMPUTED_VALUE"""),705.2)</f>
        <v>705.2</v>
      </c>
      <c r="V522" s="320">
        <f>IFERROR(__xludf.DUMMYFUNCTION("""COMPUTED_VALUE"""),8.6462)</f>
        <v>8.6462</v>
      </c>
      <c r="W522" s="320">
        <f>IFERROR(__xludf.DUMMYFUNCTION("""COMPUTED_VALUE"""),57.19)</f>
        <v>57.19</v>
      </c>
      <c r="X522" s="320">
        <f>IFERROR(__xludf.DUMMYFUNCTION("""COMPUTED_VALUE"""),93.0)</f>
        <v>93</v>
      </c>
      <c r="Y522" s="320">
        <f>IFERROR(__xludf.DUMMYFUNCTION("""COMPUTED_VALUE"""),305.0)</f>
        <v>305</v>
      </c>
      <c r="Z522" s="320">
        <f>IFERROR(__xludf.DUMMYFUNCTION("""COMPUTED_VALUE"""),932.0)</f>
        <v>932</v>
      </c>
      <c r="AA522" s="320">
        <f>IFERROR(__xludf.DUMMYFUNCTION("""COMPUTED_VALUE"""),57.5069)</f>
        <v>57.5069</v>
      </c>
      <c r="AB522" s="320">
        <f>IFERROR(__xludf.DUMMYFUNCTION("""COMPUTED_VALUE"""),0.7623)</f>
        <v>0.7623</v>
      </c>
      <c r="AC522" s="320">
        <f>IFERROR(__xludf.DUMMYFUNCTION("""COMPUTED_VALUE"""),36.33)</f>
        <v>36.33</v>
      </c>
      <c r="AD522" s="320">
        <f>IFERROR(__xludf.DUMMYFUNCTION("""COMPUTED_VALUE"""),13.0)</f>
        <v>13</v>
      </c>
      <c r="AE522" s="320">
        <f>IFERROR(__xludf.DUMMYFUNCTION("""COMPUTED_VALUE"""),29.0)</f>
        <v>29</v>
      </c>
      <c r="AF522" s="320">
        <f>IFERROR(__xludf.DUMMYFUNCTION("""COMPUTED_VALUE"""),50.0)</f>
        <v>50</v>
      </c>
      <c r="AG522" s="320">
        <f>IFERROR(__xludf.DUMMYFUNCTION("""COMPUTED_VALUE"""),78.0)</f>
        <v>78</v>
      </c>
      <c r="AH522" s="320">
        <f>IFERROR(__xludf.DUMMYFUNCTION("""COMPUTED_VALUE"""),50.83)</f>
        <v>50.83</v>
      </c>
      <c r="AI522" s="320">
        <f>IFERROR(__xludf.DUMMYFUNCTION("""COMPUTED_VALUE"""),18.03)</f>
        <v>18.03</v>
      </c>
      <c r="AJ522" s="320">
        <f>IFERROR(__xludf.DUMMYFUNCTION("""COMPUTED_VALUE"""),4.83)</f>
        <v>4.83</v>
      </c>
      <c r="AK522" s="320">
        <f>IFERROR(__xludf.DUMMYFUNCTION("""COMPUTED_VALUE"""),0.1814)</f>
        <v>0.1814</v>
      </c>
      <c r="AL522" s="320">
        <f>IFERROR(__xludf.DUMMYFUNCTION("""COMPUTED_VALUE"""),21.26)</f>
        <v>21.26</v>
      </c>
      <c r="AM522" s="320">
        <f>IFERROR(__xludf.DUMMYFUNCTION("""COMPUTED_VALUE"""),548.58)</f>
        <v>548.58</v>
      </c>
      <c r="AN522" s="320">
        <f>IFERROR(__xludf.DUMMYFUNCTION("""COMPUTED_VALUE"""),76.36)</f>
        <v>76.36</v>
      </c>
      <c r="AO522" s="320">
        <f>IFERROR(__xludf.DUMMYFUNCTION("""COMPUTED_VALUE"""),16.23)</f>
        <v>16.23</v>
      </c>
    </row>
    <row r="523" ht="15.0" customHeight="1">
      <c r="A523" s="328">
        <f>IFERROR(__xludf.DUMMYFUNCTION("""COMPUTED_VALUE"""),46136.0)</f>
        <v>46136</v>
      </c>
      <c r="B523" s="319" t="str">
        <f>IFERROR(__xludf.DUMMYFUNCTION("""COMPUTED_VALUE"""),"F. 100+")</f>
        <v>F. 100+</v>
      </c>
      <c r="C523" s="320">
        <f>IFERROR(__xludf.DUMMYFUNCTION("""COMPUTED_VALUE"""),313.0)</f>
        <v>313</v>
      </c>
      <c r="D523" s="320">
        <f>IFERROR(__xludf.DUMMYFUNCTION("""COMPUTED_VALUE"""),0.44)</f>
        <v>0.44</v>
      </c>
      <c r="E523" s="320">
        <f>IFERROR(__xludf.DUMMYFUNCTION("""COMPUTED_VALUE"""),3110.05)</f>
        <v>3110.05</v>
      </c>
      <c r="F523" s="320">
        <f>IFERROR(__xludf.DUMMYFUNCTION("""COMPUTED_VALUE"""),9.9363)</f>
        <v>9.9363</v>
      </c>
      <c r="G523" s="320">
        <f>IFERROR(__xludf.DUMMYFUNCTION("""COMPUTED_VALUE"""),44.41)</f>
        <v>44.41</v>
      </c>
      <c r="H523" s="320">
        <f>IFERROR(__xludf.DUMMYFUNCTION("""COMPUTED_VALUE"""),22.3745)</f>
        <v>22.3745</v>
      </c>
      <c r="I523" s="320">
        <f>IFERROR(__xludf.DUMMYFUNCTION("""COMPUTED_VALUE"""),256.55)</f>
        <v>256.55</v>
      </c>
      <c r="J523" s="320">
        <f>IFERROR(__xludf.DUMMYFUNCTION("""COMPUTED_VALUE"""),163.61)</f>
        <v>163.61</v>
      </c>
      <c r="K523" s="320">
        <f>IFERROR(__xludf.DUMMYFUNCTION("""COMPUTED_VALUE"""),131.23)</f>
        <v>131.23</v>
      </c>
      <c r="L523" s="320">
        <f>IFERROR(__xludf.DUMMYFUNCTION("""COMPUTED_VALUE"""),0.8021)</f>
        <v>0.8021</v>
      </c>
      <c r="M523" s="320">
        <f>IFERROR(__xludf.DUMMYFUNCTION("""COMPUTED_VALUE"""),0.278)</f>
        <v>0.278</v>
      </c>
      <c r="N523" s="320">
        <f>IFERROR(__xludf.DUMMYFUNCTION("""COMPUTED_VALUE"""),0.1659)</f>
        <v>0.1659</v>
      </c>
      <c r="O523" s="320">
        <f>IFERROR(__xludf.DUMMYFUNCTION("""COMPUTED_VALUE"""),1.2468)</f>
        <v>1.2468</v>
      </c>
      <c r="P523" s="320">
        <f>IFERROR(__xludf.DUMMYFUNCTION("""COMPUTED_VALUE"""),1258.6)</f>
        <v>1258.6</v>
      </c>
      <c r="Q523" s="320">
        <f>IFERROR(__xludf.DUMMYFUNCTION("""COMPUTED_VALUE"""),988.92)</f>
        <v>988.92</v>
      </c>
      <c r="R523" s="320">
        <f>IFERROR(__xludf.DUMMYFUNCTION("""COMPUTED_VALUE"""),269.68)</f>
        <v>269.68</v>
      </c>
      <c r="S523" s="320">
        <f>IFERROR(__xludf.DUMMYFUNCTION("""COMPUTED_VALUE"""),629.78)</f>
        <v>629.78</v>
      </c>
      <c r="T523" s="320">
        <f>IFERROR(__xludf.DUMMYFUNCTION("""COMPUTED_VALUE"""),628.82)</f>
        <v>628.82</v>
      </c>
      <c r="U523" s="320">
        <f>IFERROR(__xludf.DUMMYFUNCTION("""COMPUTED_VALUE"""),1283.55)</f>
        <v>1283.55</v>
      </c>
      <c r="V523" s="320">
        <f>IFERROR(__xludf.DUMMYFUNCTION("""COMPUTED_VALUE"""),7.8451)</f>
        <v>7.8451</v>
      </c>
      <c r="W523" s="320">
        <f>IFERROR(__xludf.DUMMYFUNCTION("""COMPUTED_VALUE"""),50.04)</f>
        <v>50.04</v>
      </c>
      <c r="X523" s="320">
        <f>IFERROR(__xludf.DUMMYFUNCTION("""COMPUTED_VALUE"""),169.0)</f>
        <v>169</v>
      </c>
      <c r="Y523" s="320">
        <f>IFERROR(__xludf.DUMMYFUNCTION("""COMPUTED_VALUE"""),568.0)</f>
        <v>568</v>
      </c>
      <c r="Z523" s="320">
        <f>IFERROR(__xludf.DUMMYFUNCTION("""COMPUTED_VALUE"""),2094.0)</f>
        <v>2094</v>
      </c>
      <c r="AA523" s="320">
        <f>IFERROR(__xludf.DUMMYFUNCTION("""COMPUTED_VALUE"""),60.8238)</f>
        <v>60.8238</v>
      </c>
      <c r="AB523" s="320">
        <f>IFERROR(__xludf.DUMMYFUNCTION("""COMPUTED_VALUE"""),0.8298)</f>
        <v>0.8298</v>
      </c>
      <c r="AC523" s="320">
        <f>IFERROR(__xludf.DUMMYFUNCTION("""COMPUTED_VALUE"""),88.05)</f>
        <v>88.05</v>
      </c>
      <c r="AD523" s="320">
        <f>IFERROR(__xludf.DUMMYFUNCTION("""COMPUTED_VALUE"""),29.0)</f>
        <v>29</v>
      </c>
      <c r="AE523" s="320">
        <f>IFERROR(__xludf.DUMMYFUNCTION("""COMPUTED_VALUE"""),68.0)</f>
        <v>68</v>
      </c>
      <c r="AF523" s="320">
        <f>IFERROR(__xludf.DUMMYFUNCTION("""COMPUTED_VALUE"""),124.0)</f>
        <v>124</v>
      </c>
      <c r="AG523" s="320">
        <f>IFERROR(__xludf.DUMMYFUNCTION("""COMPUTED_VALUE"""),187.0)</f>
        <v>187</v>
      </c>
      <c r="AH523" s="320">
        <f>IFERROR(__xludf.DUMMYFUNCTION("""COMPUTED_VALUE"""),45.69)</f>
        <v>45.69</v>
      </c>
      <c r="AI523" s="320">
        <f>IFERROR(__xludf.DUMMYFUNCTION("""COMPUTED_VALUE"""),12.46)</f>
        <v>12.46</v>
      </c>
      <c r="AJ523" s="320">
        <f>IFERROR(__xludf.DUMMYFUNCTION("""COMPUTED_VALUE"""),3.51)</f>
        <v>3.51</v>
      </c>
      <c r="AK523" s="320">
        <f>IFERROR(__xludf.DUMMYFUNCTION("""COMPUTED_VALUE"""),0.1725)</f>
        <v>0.1725</v>
      </c>
      <c r="AL523" s="320">
        <f>IFERROR(__xludf.DUMMYFUNCTION("""COMPUTED_VALUE"""),21.5)</f>
        <v>21.5</v>
      </c>
      <c r="AM523" s="320">
        <f>IFERROR(__xludf.DUMMYFUNCTION("""COMPUTED_VALUE"""),967.42)</f>
        <v>967.42</v>
      </c>
      <c r="AN523" s="320">
        <f>IFERROR(__xludf.DUMMYFUNCTION("""COMPUTED_VALUE"""),68.05)</f>
        <v>68.05</v>
      </c>
      <c r="AO523" s="320">
        <f>IFERROR(__xludf.DUMMYFUNCTION("""COMPUTED_VALUE"""),14.63)</f>
        <v>14.63</v>
      </c>
    </row>
    <row r="524" ht="15.0" customHeight="1">
      <c r="A524" s="328">
        <f>IFERROR(__xludf.DUMMYFUNCTION("""COMPUTED_VALUE"""),46137.0)</f>
        <v>46137</v>
      </c>
      <c r="B524" s="319" t="str">
        <f>IFERROR(__xludf.DUMMYFUNCTION("""COMPUTED_VALUE"""),"A. 0")</f>
        <v>A. 0</v>
      </c>
      <c r="C524" s="320">
        <f>IFERROR(__xludf.DUMMYFUNCTION("""COMPUTED_VALUE"""),14974.0)</f>
        <v>14974</v>
      </c>
      <c r="D524" s="320">
        <f>IFERROR(__xludf.DUMMYFUNCTION("""COMPUTED_VALUE"""),21.29)</f>
        <v>21.29</v>
      </c>
      <c r="E524" s="320">
        <f>IFERROR(__xludf.DUMMYFUNCTION("""COMPUTED_VALUE"""),102.3)</f>
        <v>102.3</v>
      </c>
      <c r="F524" s="320">
        <f>IFERROR(__xludf.DUMMYFUNCTION("""COMPUTED_VALUE"""),0.0068)</f>
        <v>0.0068</v>
      </c>
      <c r="G524" s="320">
        <f>IFERROR(__xludf.DUMMYFUNCTION("""COMPUTED_VALUE"""),0.24)</f>
        <v>0.24</v>
      </c>
      <c r="H524" s="320">
        <f>IFERROR(__xludf.DUMMYFUNCTION("""COMPUTED_VALUE"""),2.8417)</f>
        <v>2.8417</v>
      </c>
      <c r="I524" s="320">
        <f>IFERROR(__xludf.DUMMYFUNCTION("""COMPUTED_VALUE"""),5.81)</f>
        <v>5.81</v>
      </c>
      <c r="J524" s="320">
        <f>IFERROR(__xludf.DUMMYFUNCTION("""COMPUTED_VALUE"""),2.61)</f>
        <v>2.61</v>
      </c>
      <c r="K524" s="320">
        <f>IFERROR(__xludf.DUMMYFUNCTION("""COMPUTED_VALUE"""),0.02)</f>
        <v>0.02</v>
      </c>
      <c r="L524" s="320">
        <f>IFERROR(__xludf.DUMMYFUNCTION("""COMPUTED_VALUE"""),0.0083)</f>
        <v>0.0083</v>
      </c>
      <c r="M524" s="320">
        <f>IFERROR(__xludf.DUMMYFUNCTION("""COMPUTED_VALUE"""),0.9925)</f>
        <v>0.9925</v>
      </c>
      <c r="N524" s="320">
        <f>IFERROR(__xludf.DUMMYFUNCTION("""COMPUTED_VALUE"""),0.9013)</f>
        <v>0.9013</v>
      </c>
      <c r="O524" s="320">
        <f>IFERROR(__xludf.DUMMYFUNCTION("""COMPUTED_VALUE"""),120.5123)</f>
        <v>120.5123</v>
      </c>
      <c r="P524" s="320">
        <f>IFERROR(__xludf.DUMMYFUNCTION("""COMPUTED_VALUE"""),26.71)</f>
        <v>26.71</v>
      </c>
      <c r="Q524" s="320">
        <f>IFERROR(__xludf.DUMMYFUNCTION("""COMPUTED_VALUE"""),26.64)</f>
        <v>26.64</v>
      </c>
      <c r="R524" s="320">
        <f>IFERROR(__xludf.DUMMYFUNCTION("""COMPUTED_VALUE"""),0.07)</f>
        <v>0.07</v>
      </c>
      <c r="S524" s="320">
        <f>IFERROR(__xludf.DUMMYFUNCTION("""COMPUTED_VALUE"""),0.52)</f>
        <v>0.52</v>
      </c>
      <c r="T524" s="320">
        <f>IFERROR(__xludf.DUMMYFUNCTION("""COMPUTED_VALUE"""),26.19)</f>
        <v>26.19</v>
      </c>
      <c r="U524" s="320">
        <f>IFERROR(__xludf.DUMMYFUNCTION("""COMPUTED_VALUE"""),2.24)</f>
        <v>2.24</v>
      </c>
      <c r="V524" s="320">
        <f>IFERROR(__xludf.DUMMYFUNCTION("""COMPUTED_VALUE"""),0.858)</f>
        <v>0.858</v>
      </c>
      <c r="W524" s="320">
        <f>IFERROR(__xludf.DUMMYFUNCTION("""COMPUTED_VALUE"""),1.96)</f>
        <v>1.96</v>
      </c>
      <c r="X524" s="320">
        <f>IFERROR(__xludf.DUMMYFUNCTION("""COMPUTED_VALUE"""),155.0)</f>
        <v>155</v>
      </c>
      <c r="Y524" s="320">
        <f>IFERROR(__xludf.DUMMYFUNCTION("""COMPUTED_VALUE"""),1153.0)</f>
        <v>1153</v>
      </c>
      <c r="Z524" s="320">
        <f>IFERROR(__xludf.DUMMYFUNCTION("""COMPUTED_VALUE"""),7712.0)</f>
        <v>7712</v>
      </c>
      <c r="AA524" s="320">
        <f>IFERROR(__xludf.DUMMYFUNCTION("""COMPUTED_VALUE"""),49.736)</f>
        <v>49.736</v>
      </c>
      <c r="AB524" s="320">
        <f>IFERROR(__xludf.DUMMYFUNCTION("""COMPUTED_VALUE"""),0.5081)</f>
        <v>0.5081</v>
      </c>
      <c r="AC524" s="106"/>
      <c r="AD524" s="106"/>
      <c r="AE524" s="106"/>
      <c r="AF524" s="106"/>
      <c r="AG524" s="106"/>
      <c r="AH524" s="320">
        <f>IFERROR(__xludf.DUMMYFUNCTION("""COMPUTED_VALUE"""),0.0)</f>
        <v>0</v>
      </c>
      <c r="AI524" s="320">
        <f>IFERROR(__xludf.DUMMYFUNCTION("""COMPUTED_VALUE"""),0.0)</f>
        <v>0</v>
      </c>
      <c r="AJ524" s="320">
        <f>IFERROR(__xludf.DUMMYFUNCTION("""COMPUTED_VALUE"""),0.0)</f>
        <v>0</v>
      </c>
      <c r="AK524" s="320">
        <f>IFERROR(__xludf.DUMMYFUNCTION("""COMPUTED_VALUE"""),0.277)</f>
        <v>0.277</v>
      </c>
      <c r="AL524" s="320">
        <f>IFERROR(__xludf.DUMMYFUNCTION("""COMPUTED_VALUE"""),17.87)</f>
        <v>17.87</v>
      </c>
      <c r="AM524" s="320">
        <f>IFERROR(__xludf.DUMMYFUNCTION("""COMPUTED_VALUE"""),8.76)</f>
        <v>8.76</v>
      </c>
      <c r="AN524" s="331"/>
      <c r="AO524" s="331"/>
    </row>
    <row r="525" ht="15.0" customHeight="1">
      <c r="A525" s="328">
        <f>IFERROR(__xludf.DUMMYFUNCTION("""COMPUTED_VALUE"""),46137.0)</f>
        <v>46137</v>
      </c>
      <c r="B525" s="319" t="str">
        <f>IFERROR(__xludf.DUMMYFUNCTION("""COMPUTED_VALUE"""),"B. 1-9")</f>
        <v>B. 1-9</v>
      </c>
      <c r="C525" s="320">
        <f>IFERROR(__xludf.DUMMYFUNCTION("""COMPUTED_VALUE"""),30523.0)</f>
        <v>30523</v>
      </c>
      <c r="D525" s="320">
        <f>IFERROR(__xludf.DUMMYFUNCTION("""COMPUTED_VALUE"""),43.4)</f>
        <v>43.4</v>
      </c>
      <c r="E525" s="320">
        <f>IFERROR(__xludf.DUMMYFUNCTION("""COMPUTED_VALUE"""),7807.76)</f>
        <v>7807.76</v>
      </c>
      <c r="F525" s="320">
        <f>IFERROR(__xludf.DUMMYFUNCTION("""COMPUTED_VALUE"""),0.2558)</f>
        <v>0.2558</v>
      </c>
      <c r="G525" s="320">
        <f>IFERROR(__xludf.DUMMYFUNCTION("""COMPUTED_VALUE"""),7.21)</f>
        <v>7.21</v>
      </c>
      <c r="H525" s="320">
        <f>IFERROR(__xludf.DUMMYFUNCTION("""COMPUTED_VALUE"""),3.549)</f>
        <v>3.549</v>
      </c>
      <c r="I525" s="320">
        <f>IFERROR(__xludf.DUMMYFUNCTION("""COMPUTED_VALUE"""),31.4)</f>
        <v>31.4</v>
      </c>
      <c r="J525" s="320">
        <f>IFERROR(__xludf.DUMMYFUNCTION("""COMPUTED_VALUE"""),16.84)</f>
        <v>16.84</v>
      </c>
      <c r="K525" s="320">
        <f>IFERROR(__xludf.DUMMYFUNCTION("""COMPUTED_VALUE"""),5.43)</f>
        <v>5.43</v>
      </c>
      <c r="L525" s="320">
        <f>IFERROR(__xludf.DUMMYFUNCTION("""COMPUTED_VALUE"""),0.3225)</f>
        <v>0.3225</v>
      </c>
      <c r="M525" s="320">
        <f>IFERROR(__xludf.DUMMYFUNCTION("""COMPUTED_VALUE"""),0.75)</f>
        <v>0.75</v>
      </c>
      <c r="N525" s="320">
        <f>IFERROR(__xludf.DUMMYFUNCTION("""COMPUTED_VALUE"""),0.5066)</f>
        <v>0.5066</v>
      </c>
      <c r="O525" s="320">
        <f>IFERROR(__xludf.DUMMYFUNCTION("""COMPUTED_VALUE"""),3.1011)</f>
        <v>3.1011</v>
      </c>
      <c r="P525" s="320">
        <f>IFERROR(__xludf.DUMMYFUNCTION("""COMPUTED_VALUE"""),75.24)</f>
        <v>75.24</v>
      </c>
      <c r="Q525" s="320">
        <f>IFERROR(__xludf.DUMMYFUNCTION("""COMPUTED_VALUE"""),64.36)</f>
        <v>64.36</v>
      </c>
      <c r="R525" s="320">
        <f>IFERROR(__xludf.DUMMYFUNCTION("""COMPUTED_VALUE"""),10.88)</f>
        <v>10.88</v>
      </c>
      <c r="S525" s="320">
        <f>IFERROR(__xludf.DUMMYFUNCTION("""COMPUTED_VALUE"""),18.56)</f>
        <v>18.56</v>
      </c>
      <c r="T525" s="320">
        <f>IFERROR(__xludf.DUMMYFUNCTION("""COMPUTED_VALUE"""),56.68)</f>
        <v>56.68</v>
      </c>
      <c r="U525" s="320">
        <f>IFERROR(__xludf.DUMMYFUNCTION("""COMPUTED_VALUE"""),79.15)</f>
        <v>79.15</v>
      </c>
      <c r="V525" s="320">
        <f>IFERROR(__xludf.DUMMYFUNCTION("""COMPUTED_VALUE"""),4.7004)</f>
        <v>4.7004</v>
      </c>
      <c r="W525" s="320">
        <f>IFERROR(__xludf.DUMMYFUNCTION("""COMPUTED_VALUE"""),24.67)</f>
        <v>24.67</v>
      </c>
      <c r="X525" s="320">
        <f>IFERROR(__xludf.DUMMYFUNCTION("""COMPUTED_VALUE"""),86.0)</f>
        <v>86</v>
      </c>
      <c r="Y525" s="320">
        <f>IFERROR(__xludf.DUMMYFUNCTION("""COMPUTED_VALUE"""),210.0)</f>
        <v>210</v>
      </c>
      <c r="Z525" s="320">
        <f>IFERROR(__xludf.DUMMYFUNCTION("""COMPUTED_VALUE"""),855.0)</f>
        <v>855</v>
      </c>
      <c r="AA525" s="320">
        <f>IFERROR(__xludf.DUMMYFUNCTION("""COMPUTED_VALUE"""),49.5616)</f>
        <v>49.5616</v>
      </c>
      <c r="AB525" s="320">
        <f>IFERROR(__xludf.DUMMYFUNCTION("""COMPUTED_VALUE"""),0.4407)</f>
        <v>0.4407</v>
      </c>
      <c r="AC525" s="320">
        <f>IFERROR(__xludf.DUMMYFUNCTION("""COMPUTED_VALUE"""),3.63)</f>
        <v>3.63</v>
      </c>
      <c r="AD525" s="320">
        <f>IFERROR(__xludf.DUMMYFUNCTION("""COMPUTED_VALUE"""),1.0)</f>
        <v>1</v>
      </c>
      <c r="AE525" s="320">
        <f>IFERROR(__xludf.DUMMYFUNCTION("""COMPUTED_VALUE"""),2.0)</f>
        <v>2</v>
      </c>
      <c r="AF525" s="320">
        <f>IFERROR(__xludf.DUMMYFUNCTION("""COMPUTED_VALUE"""),5.0)</f>
        <v>5</v>
      </c>
      <c r="AG525" s="320">
        <f>IFERROR(__xludf.DUMMYFUNCTION("""COMPUTED_VALUE"""),8.0)</f>
        <v>8</v>
      </c>
      <c r="AH525" s="320">
        <f>IFERROR(__xludf.DUMMYFUNCTION("""COMPUTED_VALUE"""),66.41)</f>
        <v>66.41</v>
      </c>
      <c r="AI525" s="320">
        <f>IFERROR(__xludf.DUMMYFUNCTION("""COMPUTED_VALUE"""),25.43)</f>
        <v>25.43</v>
      </c>
      <c r="AJ525" s="320">
        <f>IFERROR(__xludf.DUMMYFUNCTION("""COMPUTED_VALUE"""),7.55)</f>
        <v>7.55</v>
      </c>
      <c r="AK525" s="320">
        <f>IFERROR(__xludf.DUMMYFUNCTION("""COMPUTED_VALUE"""),0.2225)</f>
        <v>0.2225</v>
      </c>
      <c r="AL525" s="320">
        <f>IFERROR(__xludf.DUMMYFUNCTION("""COMPUTED_VALUE"""),23.24)</f>
        <v>23.24</v>
      </c>
      <c r="AM525" s="320">
        <f>IFERROR(__xludf.DUMMYFUNCTION("""COMPUTED_VALUE"""),41.12)</f>
        <v>41.12</v>
      </c>
      <c r="AN525" s="320">
        <f>IFERROR(__xludf.DUMMYFUNCTION("""COMPUTED_VALUE"""),68.41)</f>
        <v>68.41</v>
      </c>
      <c r="AO525" s="320">
        <f>IFERROR(__xludf.DUMMYFUNCTION("""COMPUTED_VALUE"""),15.9)</f>
        <v>15.9</v>
      </c>
    </row>
    <row r="526" ht="15.0" customHeight="1">
      <c r="A526" s="328">
        <f>IFERROR(__xludf.DUMMYFUNCTION("""COMPUTED_VALUE"""),46137.0)</f>
        <v>46137</v>
      </c>
      <c r="B526" s="319" t="str">
        <f>IFERROR(__xludf.DUMMYFUNCTION("""COMPUTED_VALUE"""),"C. 10-19")</f>
        <v>C. 10-19</v>
      </c>
      <c r="C526" s="320">
        <f>IFERROR(__xludf.DUMMYFUNCTION("""COMPUTED_VALUE"""),14367.0)</f>
        <v>14367</v>
      </c>
      <c r="D526" s="320">
        <f>IFERROR(__xludf.DUMMYFUNCTION("""COMPUTED_VALUE"""),20.43)</f>
        <v>20.43</v>
      </c>
      <c r="E526" s="320">
        <f>IFERROR(__xludf.DUMMYFUNCTION("""COMPUTED_VALUE"""),15479.68)</f>
        <v>15479.68</v>
      </c>
      <c r="F526" s="320">
        <f>IFERROR(__xludf.DUMMYFUNCTION("""COMPUTED_VALUE"""),1.0774)</f>
        <v>1.0774</v>
      </c>
      <c r="G526" s="320">
        <f>IFERROR(__xludf.DUMMYFUNCTION("""COMPUTED_VALUE"""),21.86)</f>
        <v>21.86</v>
      </c>
      <c r="H526" s="320">
        <f>IFERROR(__xludf.DUMMYFUNCTION("""COMPUTED_VALUE"""),4.9283)</f>
        <v>4.9283</v>
      </c>
      <c r="I526" s="320">
        <f>IFERROR(__xludf.DUMMYFUNCTION("""COMPUTED_VALUE"""),57.65)</f>
        <v>57.65</v>
      </c>
      <c r="J526" s="320">
        <f>IFERROR(__xludf.DUMMYFUNCTION("""COMPUTED_VALUE"""),32.89)</f>
        <v>32.89</v>
      </c>
      <c r="K526" s="320">
        <f>IFERROR(__xludf.DUMMYFUNCTION("""COMPUTED_VALUE"""),14.06)</f>
        <v>14.06</v>
      </c>
      <c r="L526" s="320">
        <f>IFERROR(__xludf.DUMMYFUNCTION("""COMPUTED_VALUE"""),0.4276)</f>
        <v>0.4276</v>
      </c>
      <c r="M526" s="320">
        <f>IFERROR(__xludf.DUMMYFUNCTION("""COMPUTED_VALUE"""),0.6383)</f>
        <v>0.6383</v>
      </c>
      <c r="N526" s="320">
        <f>IFERROR(__xludf.DUMMYFUNCTION("""COMPUTED_VALUE"""),0.3672)</f>
        <v>0.3672</v>
      </c>
      <c r="O526" s="320">
        <f>IFERROR(__xludf.DUMMYFUNCTION("""COMPUTED_VALUE"""),2.3388)</f>
        <v>2.3388</v>
      </c>
      <c r="P526" s="320">
        <f>IFERROR(__xludf.DUMMYFUNCTION("""COMPUTED_VALUE"""),179.1)</f>
        <v>179.1</v>
      </c>
      <c r="Q526" s="320">
        <f>IFERROR(__xludf.DUMMYFUNCTION("""COMPUTED_VALUE"""),150.65)</f>
        <v>150.65</v>
      </c>
      <c r="R526" s="320">
        <f>IFERROR(__xludf.DUMMYFUNCTION("""COMPUTED_VALUE"""),28.46)</f>
        <v>28.46</v>
      </c>
      <c r="S526" s="320">
        <f>IFERROR(__xludf.DUMMYFUNCTION("""COMPUTED_VALUE"""),72.37)</f>
        <v>72.37</v>
      </c>
      <c r="T526" s="320">
        <f>IFERROR(__xludf.DUMMYFUNCTION("""COMPUTED_VALUE"""),106.74)</f>
        <v>106.74</v>
      </c>
      <c r="U526" s="320">
        <f>IFERROR(__xludf.DUMMYFUNCTION("""COMPUTED_VALUE"""),184.85)</f>
        <v>184.85</v>
      </c>
      <c r="V526" s="320">
        <f>IFERROR(__xludf.DUMMYFUNCTION("""COMPUTED_VALUE"""),5.6203)</f>
        <v>5.6203</v>
      </c>
      <c r="W526" s="320">
        <f>IFERROR(__xludf.DUMMYFUNCTION("""COMPUTED_VALUE"""),40.41)</f>
        <v>40.41</v>
      </c>
      <c r="X526" s="320">
        <f>IFERROR(__xludf.DUMMYFUNCTION("""COMPUTED_VALUE"""),83.0)</f>
        <v>83</v>
      </c>
      <c r="Y526" s="320">
        <f>IFERROR(__xludf.DUMMYFUNCTION("""COMPUTED_VALUE"""),192.0)</f>
        <v>192</v>
      </c>
      <c r="Z526" s="320">
        <f>IFERROR(__xludf.DUMMYFUNCTION("""COMPUTED_VALUE"""),598.0)</f>
        <v>598</v>
      </c>
      <c r="AA526" s="320">
        <f>IFERROR(__xludf.DUMMYFUNCTION("""COMPUTED_VALUE"""),52.5587)</f>
        <v>52.5587</v>
      </c>
      <c r="AB526" s="320">
        <f>IFERROR(__xludf.DUMMYFUNCTION("""COMPUTED_VALUE"""),0.5437)</f>
        <v>0.5437</v>
      </c>
      <c r="AC526" s="320">
        <f>IFERROR(__xludf.DUMMYFUNCTION("""COMPUTED_VALUE"""),9.25)</f>
        <v>9.25</v>
      </c>
      <c r="AD526" s="320">
        <f>IFERROR(__xludf.DUMMYFUNCTION("""COMPUTED_VALUE"""),3.0)</f>
        <v>3</v>
      </c>
      <c r="AE526" s="320">
        <f>IFERROR(__xludf.DUMMYFUNCTION("""COMPUTED_VALUE"""),6.0)</f>
        <v>6</v>
      </c>
      <c r="AF526" s="320">
        <f>IFERROR(__xludf.DUMMYFUNCTION("""COMPUTED_VALUE"""),13.0)</f>
        <v>13</v>
      </c>
      <c r="AG526" s="320">
        <f>IFERROR(__xludf.DUMMYFUNCTION("""COMPUTED_VALUE"""),20.0)</f>
        <v>20</v>
      </c>
      <c r="AH526" s="320">
        <f>IFERROR(__xludf.DUMMYFUNCTION("""COMPUTED_VALUE"""),55.54)</f>
        <v>55.54</v>
      </c>
      <c r="AI526" s="320">
        <f>IFERROR(__xludf.DUMMYFUNCTION("""COMPUTED_VALUE"""),25.85)</f>
        <v>25.85</v>
      </c>
      <c r="AJ526" s="320">
        <f>IFERROR(__xludf.DUMMYFUNCTION("""COMPUTED_VALUE"""),5.56)</f>
        <v>5.56</v>
      </c>
      <c r="AK526" s="320">
        <f>IFERROR(__xludf.DUMMYFUNCTION("""COMPUTED_VALUE"""),0.1959)</f>
        <v>0.1959</v>
      </c>
      <c r="AL526" s="320">
        <f>IFERROR(__xludf.DUMMYFUNCTION("""COMPUTED_VALUE"""),23.77)</f>
        <v>23.77</v>
      </c>
      <c r="AM526" s="320">
        <f>IFERROR(__xludf.DUMMYFUNCTION("""COMPUTED_VALUE"""),126.87)</f>
        <v>126.87</v>
      </c>
      <c r="AN526" s="320">
        <f>IFERROR(__xludf.DUMMYFUNCTION("""COMPUTED_VALUE"""),74.62)</f>
        <v>74.62</v>
      </c>
      <c r="AO526" s="320">
        <f>IFERROR(__xludf.DUMMYFUNCTION("""COMPUTED_VALUE"""),17.74)</f>
        <v>17.74</v>
      </c>
    </row>
    <row r="527" ht="15.0" customHeight="1">
      <c r="A527" s="328">
        <f>IFERROR(__xludf.DUMMYFUNCTION("""COMPUTED_VALUE"""),46137.0)</f>
        <v>46137</v>
      </c>
      <c r="B527" s="319" t="str">
        <f>IFERROR(__xludf.DUMMYFUNCTION("""COMPUTED_VALUE"""),"D. 20-39")</f>
        <v>D. 20-39</v>
      </c>
      <c r="C527" s="320">
        <f>IFERROR(__xludf.DUMMYFUNCTION("""COMPUTED_VALUE"""),7260.0)</f>
        <v>7260</v>
      </c>
      <c r="D527" s="320">
        <f>IFERROR(__xludf.DUMMYFUNCTION("""COMPUTED_VALUE"""),10.32)</f>
        <v>10.32</v>
      </c>
      <c r="E527" s="320">
        <f>IFERROR(__xludf.DUMMYFUNCTION("""COMPUTED_VALUE"""),17646.27)</f>
        <v>17646.27</v>
      </c>
      <c r="F527" s="320">
        <f>IFERROR(__xludf.DUMMYFUNCTION("""COMPUTED_VALUE"""),2.4306)</f>
        <v>2.4306</v>
      </c>
      <c r="G527" s="320">
        <f>IFERROR(__xludf.DUMMYFUNCTION("""COMPUTED_VALUE"""),32.09)</f>
        <v>32.09</v>
      </c>
      <c r="H527" s="320">
        <f>IFERROR(__xludf.DUMMYFUNCTION("""COMPUTED_VALUE"""),7.5735)</f>
        <v>7.5735</v>
      </c>
      <c r="I527" s="320">
        <f>IFERROR(__xludf.DUMMYFUNCTION("""COMPUTED_VALUE"""),80.46)</f>
        <v>80.46</v>
      </c>
      <c r="J527" s="320">
        <f>IFERROR(__xludf.DUMMYFUNCTION("""COMPUTED_VALUE"""),47.04)</f>
        <v>47.04</v>
      </c>
      <c r="K527" s="320">
        <f>IFERROR(__xludf.DUMMYFUNCTION("""COMPUTED_VALUE"""),26.21)</f>
        <v>26.21</v>
      </c>
      <c r="L527" s="320">
        <f>IFERROR(__xludf.DUMMYFUNCTION("""COMPUTED_VALUE"""),0.5571)</f>
        <v>0.5571</v>
      </c>
      <c r="M527" s="320">
        <f>IFERROR(__xludf.DUMMYFUNCTION("""COMPUTED_VALUE"""),0.5168)</f>
        <v>0.5168</v>
      </c>
      <c r="N527" s="320">
        <f>IFERROR(__xludf.DUMMYFUNCTION("""COMPUTED_VALUE"""),0.286)</f>
        <v>0.286</v>
      </c>
      <c r="O527" s="320">
        <f>IFERROR(__xludf.DUMMYFUNCTION("""COMPUTED_VALUE"""),1.795)</f>
        <v>1.795</v>
      </c>
      <c r="P527" s="320">
        <f>IFERROR(__xludf.DUMMYFUNCTION("""COMPUTED_VALUE"""),329.16)</f>
        <v>329.16</v>
      </c>
      <c r="Q527" s="320">
        <f>IFERROR(__xludf.DUMMYFUNCTION("""COMPUTED_VALUE"""),276.06)</f>
        <v>276.06</v>
      </c>
      <c r="R527" s="320">
        <f>IFERROR(__xludf.DUMMYFUNCTION("""COMPUTED_VALUE"""),53.1)</f>
        <v>53.1</v>
      </c>
      <c r="S527" s="320">
        <f>IFERROR(__xludf.DUMMYFUNCTION("""COMPUTED_VALUE"""),154.12)</f>
        <v>154.12</v>
      </c>
      <c r="T527" s="320">
        <f>IFERROR(__xludf.DUMMYFUNCTION("""COMPUTED_VALUE"""),175.04)</f>
        <v>175.04</v>
      </c>
      <c r="U527" s="320">
        <f>IFERROR(__xludf.DUMMYFUNCTION("""COMPUTED_VALUE"""),332.8)</f>
        <v>332.8</v>
      </c>
      <c r="V527" s="320">
        <f>IFERROR(__xludf.DUMMYFUNCTION("""COMPUTED_VALUE"""),7.0751)</f>
        <v>7.0751</v>
      </c>
      <c r="W527" s="320">
        <f>IFERROR(__xludf.DUMMYFUNCTION("""COMPUTED_VALUE"""),46.82)</f>
        <v>46.82</v>
      </c>
      <c r="X527" s="320">
        <f>IFERROR(__xludf.DUMMYFUNCTION("""COMPUTED_VALUE"""),89.0)</f>
        <v>89</v>
      </c>
      <c r="Y527" s="320">
        <f>IFERROR(__xludf.DUMMYFUNCTION("""COMPUTED_VALUE"""),233.0)</f>
        <v>233</v>
      </c>
      <c r="Z527" s="320">
        <f>IFERROR(__xludf.DUMMYFUNCTION("""COMPUTED_VALUE"""),670.0)</f>
        <v>670</v>
      </c>
      <c r="AA527" s="320">
        <f>IFERROR(__xludf.DUMMYFUNCTION("""COMPUTED_VALUE"""),54.6033)</f>
        <v>54.6033</v>
      </c>
      <c r="AB527" s="320">
        <f>IFERROR(__xludf.DUMMYFUNCTION("""COMPUTED_VALUE"""),0.6589)</f>
        <v>0.6589</v>
      </c>
      <c r="AC527" s="320">
        <f>IFERROR(__xludf.DUMMYFUNCTION("""COMPUTED_VALUE"""),17.58)</f>
        <v>17.58</v>
      </c>
      <c r="AD527" s="320">
        <f>IFERROR(__xludf.DUMMYFUNCTION("""COMPUTED_VALUE"""),6.0)</f>
        <v>6</v>
      </c>
      <c r="AE527" s="320">
        <f>IFERROR(__xludf.DUMMYFUNCTION("""COMPUTED_VALUE"""),13.0)</f>
        <v>13</v>
      </c>
      <c r="AF527" s="320">
        <f>IFERROR(__xludf.DUMMYFUNCTION("""COMPUTED_VALUE"""),25.0)</f>
        <v>25</v>
      </c>
      <c r="AG527" s="320">
        <f>IFERROR(__xludf.DUMMYFUNCTION("""COMPUTED_VALUE"""),38.0)</f>
        <v>38</v>
      </c>
      <c r="AH527" s="320">
        <f>IFERROR(__xludf.DUMMYFUNCTION("""COMPUTED_VALUE"""),56.34)</f>
        <v>56.34</v>
      </c>
      <c r="AI527" s="320">
        <f>IFERROR(__xludf.DUMMYFUNCTION("""COMPUTED_VALUE"""),24.23)</f>
        <v>24.23</v>
      </c>
      <c r="AJ527" s="320">
        <f>IFERROR(__xludf.DUMMYFUNCTION("""COMPUTED_VALUE"""),7.26)</f>
        <v>7.26</v>
      </c>
      <c r="AK527" s="320">
        <f>IFERROR(__xludf.DUMMYFUNCTION("""COMPUTED_VALUE"""),0.2028)</f>
        <v>0.2028</v>
      </c>
      <c r="AL527" s="320">
        <f>IFERROR(__xludf.DUMMYFUNCTION("""COMPUTED_VALUE"""),22.35)</f>
        <v>22.35</v>
      </c>
      <c r="AM527" s="320">
        <f>IFERROR(__xludf.DUMMYFUNCTION("""COMPUTED_VALUE"""),253.71)</f>
        <v>253.71</v>
      </c>
      <c r="AN527" s="320">
        <f>IFERROR(__xludf.DUMMYFUNCTION("""COMPUTED_VALUE"""),73.93)</f>
        <v>73.93</v>
      </c>
      <c r="AO527" s="320">
        <f>IFERROR(__xludf.DUMMYFUNCTION("""COMPUTED_VALUE"""),16.52)</f>
        <v>16.52</v>
      </c>
    </row>
    <row r="528" ht="15.0" customHeight="1">
      <c r="A528" s="328">
        <f>IFERROR(__xludf.DUMMYFUNCTION("""COMPUTED_VALUE"""),46137.0)</f>
        <v>46137</v>
      </c>
      <c r="B528" s="319" t="str">
        <f>IFERROR(__xludf.DUMMYFUNCTION("""COMPUTED_VALUE"""),"E. 40-99")</f>
        <v>E. 40-99</v>
      </c>
      <c r="C528" s="320">
        <f>IFERROR(__xludf.DUMMYFUNCTION("""COMPUTED_VALUE"""),2872.0)</f>
        <v>2872</v>
      </c>
      <c r="D528" s="320">
        <f>IFERROR(__xludf.DUMMYFUNCTION("""COMPUTED_VALUE"""),4.08)</f>
        <v>4.08</v>
      </c>
      <c r="E528" s="320">
        <f>IFERROR(__xludf.DUMMYFUNCTION("""COMPUTED_VALUE"""),15998.71)</f>
        <v>15998.71</v>
      </c>
      <c r="F528" s="320">
        <f>IFERROR(__xludf.DUMMYFUNCTION("""COMPUTED_VALUE"""),5.5706)</f>
        <v>5.5706</v>
      </c>
      <c r="G528" s="320">
        <f>IFERROR(__xludf.DUMMYFUNCTION("""COMPUTED_VALUE"""),42.9)</f>
        <v>42.9</v>
      </c>
      <c r="H528" s="320">
        <f>IFERROR(__xludf.DUMMYFUNCTION("""COMPUTED_VALUE"""),12.986)</f>
        <v>12.986</v>
      </c>
      <c r="I528" s="320">
        <f>IFERROR(__xludf.DUMMYFUNCTION("""COMPUTED_VALUE"""),126.3)</f>
        <v>126.3</v>
      </c>
      <c r="J528" s="320">
        <f>IFERROR(__xludf.DUMMYFUNCTION("""COMPUTED_VALUE"""),77.79)</f>
        <v>77.79</v>
      </c>
      <c r="K528" s="320">
        <f>IFERROR(__xludf.DUMMYFUNCTION("""COMPUTED_VALUE"""),54.45)</f>
        <v>54.45</v>
      </c>
      <c r="L528" s="320">
        <f>IFERROR(__xludf.DUMMYFUNCTION("""COMPUTED_VALUE"""),0.7)</f>
        <v>0.7</v>
      </c>
      <c r="M528" s="320">
        <f>IFERROR(__xludf.DUMMYFUNCTION("""COMPUTED_VALUE"""),0.3887)</f>
        <v>0.3887</v>
      </c>
      <c r="N528" s="320">
        <f>IFERROR(__xludf.DUMMYFUNCTION("""COMPUTED_VALUE"""),0.2212)</f>
        <v>0.2212</v>
      </c>
      <c r="O528" s="320">
        <f>IFERROR(__xludf.DUMMYFUNCTION("""COMPUTED_VALUE"""),1.4286)</f>
        <v>1.4286</v>
      </c>
      <c r="P528" s="320">
        <f>IFERROR(__xludf.DUMMYFUNCTION("""COMPUTED_VALUE"""),682.08)</f>
        <v>682.08</v>
      </c>
      <c r="Q528" s="320">
        <f>IFERROR(__xludf.DUMMYFUNCTION("""COMPUTED_VALUE"""),572.56)</f>
        <v>572.56</v>
      </c>
      <c r="R528" s="320">
        <f>IFERROR(__xludf.DUMMYFUNCTION("""COMPUTED_VALUE"""),109.52)</f>
        <v>109.52</v>
      </c>
      <c r="S528" s="320">
        <f>IFERROR(__xludf.DUMMYFUNCTION("""COMPUTED_VALUE"""),346.99)</f>
        <v>346.99</v>
      </c>
      <c r="T528" s="320">
        <f>IFERROR(__xludf.DUMMYFUNCTION("""COMPUTED_VALUE"""),335.09)</f>
        <v>335.09</v>
      </c>
      <c r="U528" s="320">
        <f>IFERROR(__xludf.DUMMYFUNCTION("""COMPUTED_VALUE"""),688.7)</f>
        <v>688.7</v>
      </c>
      <c r="V528" s="320">
        <f>IFERROR(__xludf.DUMMYFUNCTION("""COMPUTED_VALUE"""),8.8537)</f>
        <v>8.8537</v>
      </c>
      <c r="W528" s="320">
        <f>IFERROR(__xludf.DUMMYFUNCTION("""COMPUTED_VALUE"""),50.87)</f>
        <v>50.87</v>
      </c>
      <c r="X528" s="320">
        <f>IFERROR(__xludf.DUMMYFUNCTION("""COMPUTED_VALUE"""),101.0)</f>
        <v>101</v>
      </c>
      <c r="Y528" s="320">
        <f>IFERROR(__xludf.DUMMYFUNCTION("""COMPUTED_VALUE"""),343.0)</f>
        <v>343</v>
      </c>
      <c r="Z528" s="320">
        <f>IFERROR(__xludf.DUMMYFUNCTION("""COMPUTED_VALUE"""),1035.0)</f>
        <v>1035</v>
      </c>
      <c r="AA528" s="320">
        <f>IFERROR(__xludf.DUMMYFUNCTION("""COMPUTED_VALUE"""),57.4001)</f>
        <v>57.4001</v>
      </c>
      <c r="AB528" s="320">
        <f>IFERROR(__xludf.DUMMYFUNCTION("""COMPUTED_VALUE"""),0.762)</f>
        <v>0.762</v>
      </c>
      <c r="AC528" s="320">
        <f>IFERROR(__xludf.DUMMYFUNCTION("""COMPUTED_VALUE"""),37.53)</f>
        <v>37.53</v>
      </c>
      <c r="AD528" s="320">
        <f>IFERROR(__xludf.DUMMYFUNCTION("""COMPUTED_VALUE"""),12.0)</f>
        <v>12</v>
      </c>
      <c r="AE528" s="320">
        <f>IFERROR(__xludf.DUMMYFUNCTION("""COMPUTED_VALUE"""),30.0)</f>
        <v>30</v>
      </c>
      <c r="AF528" s="320">
        <f>IFERROR(__xludf.DUMMYFUNCTION("""COMPUTED_VALUE"""),53.0)</f>
        <v>53</v>
      </c>
      <c r="AG528" s="320">
        <f>IFERROR(__xludf.DUMMYFUNCTION("""COMPUTED_VALUE"""),79.0)</f>
        <v>79</v>
      </c>
      <c r="AH528" s="320">
        <f>IFERROR(__xludf.DUMMYFUNCTION("""COMPUTED_VALUE"""),52.89)</f>
        <v>52.89</v>
      </c>
      <c r="AI528" s="320">
        <f>IFERROR(__xludf.DUMMYFUNCTION("""COMPUTED_VALUE"""),20.4)</f>
        <v>20.4</v>
      </c>
      <c r="AJ528" s="320">
        <f>IFERROR(__xludf.DUMMYFUNCTION("""COMPUTED_VALUE"""),4.98)</f>
        <v>4.98</v>
      </c>
      <c r="AK528" s="320">
        <f>IFERROR(__xludf.DUMMYFUNCTION("""COMPUTED_VALUE"""),0.1932)</f>
        <v>0.1932</v>
      </c>
      <c r="AL528" s="320">
        <f>IFERROR(__xludf.DUMMYFUNCTION("""COMPUTED_VALUE"""),22.32)</f>
        <v>22.32</v>
      </c>
      <c r="AM528" s="320">
        <f>IFERROR(__xludf.DUMMYFUNCTION("""COMPUTED_VALUE"""),550.24)</f>
        <v>550.24</v>
      </c>
      <c r="AN528" s="320">
        <f>IFERROR(__xludf.DUMMYFUNCTION("""COMPUTED_VALUE"""),73.47)</f>
        <v>73.47</v>
      </c>
      <c r="AO528" s="320">
        <f>IFERROR(__xludf.DUMMYFUNCTION("""COMPUTED_VALUE"""),16.4)</f>
        <v>16.4</v>
      </c>
    </row>
    <row r="529" ht="15.0" customHeight="1">
      <c r="A529" s="328">
        <f>IFERROR(__xludf.DUMMYFUNCTION("""COMPUTED_VALUE"""),46137.0)</f>
        <v>46137</v>
      </c>
      <c r="B529" s="319" t="str">
        <f>IFERROR(__xludf.DUMMYFUNCTION("""COMPUTED_VALUE"""),"F. 100+")</f>
        <v>F. 100+</v>
      </c>
      <c r="C529" s="320">
        <f>IFERROR(__xludf.DUMMYFUNCTION("""COMPUTED_VALUE"""),331.0)</f>
        <v>331</v>
      </c>
      <c r="D529" s="320">
        <f>IFERROR(__xludf.DUMMYFUNCTION("""COMPUTED_VALUE"""),0.47)</f>
        <v>0.47</v>
      </c>
      <c r="E529" s="320">
        <f>IFERROR(__xludf.DUMMYFUNCTION("""COMPUTED_VALUE"""),4150.55)</f>
        <v>4150.55</v>
      </c>
      <c r="F529" s="320">
        <f>IFERROR(__xludf.DUMMYFUNCTION("""COMPUTED_VALUE"""),12.5394)</f>
        <v>12.5394</v>
      </c>
      <c r="G529" s="320">
        <f>IFERROR(__xludf.DUMMYFUNCTION("""COMPUTED_VALUE"""),45.62)</f>
        <v>45.62</v>
      </c>
      <c r="H529" s="320">
        <f>IFERROR(__xludf.DUMMYFUNCTION("""COMPUTED_VALUE"""),27.4871)</f>
        <v>27.4871</v>
      </c>
      <c r="I529" s="320">
        <f>IFERROR(__xludf.DUMMYFUNCTION("""COMPUTED_VALUE"""),244.3)</f>
        <v>244.3</v>
      </c>
      <c r="J529" s="320">
        <f>IFERROR(__xludf.DUMMYFUNCTION("""COMPUTED_VALUE"""),157.15)</f>
        <v>157.15</v>
      </c>
      <c r="K529" s="320">
        <f>IFERROR(__xludf.DUMMYFUNCTION("""COMPUTED_VALUE"""),129.93)</f>
        <v>129.93</v>
      </c>
      <c r="L529" s="320">
        <f>IFERROR(__xludf.DUMMYFUNCTION("""COMPUTED_VALUE"""),0.8268)</f>
        <v>0.8268</v>
      </c>
      <c r="M529" s="320">
        <f>IFERROR(__xludf.DUMMYFUNCTION("""COMPUTED_VALUE"""),0.2649)</f>
        <v>0.2649</v>
      </c>
      <c r="N529" s="320">
        <f>IFERROR(__xludf.DUMMYFUNCTION("""COMPUTED_VALUE"""),0.1692)</f>
        <v>0.1692</v>
      </c>
      <c r="O529" s="320">
        <f>IFERROR(__xludf.DUMMYFUNCTION("""COMPUTED_VALUE"""),1.2095)</f>
        <v>1.2095</v>
      </c>
      <c r="P529" s="320">
        <f>IFERROR(__xludf.DUMMYFUNCTION("""COMPUTED_VALUE"""),1430.64)</f>
        <v>1430.64</v>
      </c>
      <c r="Q529" s="320">
        <f>IFERROR(__xludf.DUMMYFUNCTION("""COMPUTED_VALUE"""),1164.83)</f>
        <v>1164.83</v>
      </c>
      <c r="R529" s="320">
        <f>IFERROR(__xludf.DUMMYFUNCTION("""COMPUTED_VALUE"""),265.82)</f>
        <v>265.82</v>
      </c>
      <c r="S529" s="320">
        <f>IFERROR(__xludf.DUMMYFUNCTION("""COMPUTED_VALUE"""),746.84)</f>
        <v>746.84</v>
      </c>
      <c r="T529" s="320">
        <f>IFERROR(__xludf.DUMMYFUNCTION("""COMPUTED_VALUE"""),683.8)</f>
        <v>683.8</v>
      </c>
      <c r="U529" s="320">
        <f>IFERROR(__xludf.DUMMYFUNCTION("""COMPUTED_VALUE"""),1442.3)</f>
        <v>1442.3</v>
      </c>
      <c r="V529" s="320">
        <f>IFERROR(__xludf.DUMMYFUNCTION("""COMPUTED_VALUE"""),9.1781)</f>
        <v>9.1781</v>
      </c>
      <c r="W529" s="320">
        <f>IFERROR(__xludf.DUMMYFUNCTION("""COMPUTED_VALUE"""),52.2)</f>
        <v>52.2</v>
      </c>
      <c r="X529" s="320">
        <f>IFERROR(__xludf.DUMMYFUNCTION("""COMPUTED_VALUE"""),150.0)</f>
        <v>150</v>
      </c>
      <c r="Y529" s="320">
        <f>IFERROR(__xludf.DUMMYFUNCTION("""COMPUTED_VALUE"""),575.0)</f>
        <v>575</v>
      </c>
      <c r="Z529" s="320">
        <f>IFERROR(__xludf.DUMMYFUNCTION("""COMPUTED_VALUE"""),2013.0)</f>
        <v>2013</v>
      </c>
      <c r="AA529" s="320">
        <f>IFERROR(__xludf.DUMMYFUNCTION("""COMPUTED_VALUE"""),61.3779)</f>
        <v>61.3779</v>
      </c>
      <c r="AB529" s="320">
        <f>IFERROR(__xludf.DUMMYFUNCTION("""COMPUTED_VALUE"""),0.8391)</f>
        <v>0.8391</v>
      </c>
      <c r="AC529" s="320">
        <f>IFERROR(__xludf.DUMMYFUNCTION("""COMPUTED_VALUE"""),89.72)</f>
        <v>89.72</v>
      </c>
      <c r="AD529" s="320">
        <f>IFERROR(__xludf.DUMMYFUNCTION("""COMPUTED_VALUE"""),30.0)</f>
        <v>30</v>
      </c>
      <c r="AE529" s="320">
        <f>IFERROR(__xludf.DUMMYFUNCTION("""COMPUTED_VALUE"""),68.0)</f>
        <v>68</v>
      </c>
      <c r="AF529" s="320">
        <f>IFERROR(__xludf.DUMMYFUNCTION("""COMPUTED_VALUE"""),127.0)</f>
        <v>127</v>
      </c>
      <c r="AG529" s="320">
        <f>IFERROR(__xludf.DUMMYFUNCTION("""COMPUTED_VALUE"""),182.0)</f>
        <v>182</v>
      </c>
      <c r="AH529" s="320">
        <f>IFERROR(__xludf.DUMMYFUNCTION("""COMPUTED_VALUE"""),43.5)</f>
        <v>43.5</v>
      </c>
      <c r="AI529" s="320">
        <f>IFERROR(__xludf.DUMMYFUNCTION("""COMPUTED_VALUE"""),10.88)</f>
        <v>10.88</v>
      </c>
      <c r="AJ529" s="320">
        <f>IFERROR(__xludf.DUMMYFUNCTION("""COMPUTED_VALUE"""),3.02)</f>
        <v>3.02</v>
      </c>
      <c r="AK529" s="320">
        <f>IFERROR(__xludf.DUMMYFUNCTION("""COMPUTED_VALUE"""),0.1601)</f>
        <v>0.1601</v>
      </c>
      <c r="AL529" s="320">
        <f>IFERROR(__xludf.DUMMYFUNCTION("""COMPUTED_VALUE"""),18.25)</f>
        <v>18.25</v>
      </c>
      <c r="AM529" s="320">
        <f>IFERROR(__xludf.DUMMYFUNCTION("""COMPUTED_VALUE"""),1146.58)</f>
        <v>1146.58</v>
      </c>
      <c r="AN529" s="320">
        <f>IFERROR(__xludf.DUMMYFUNCTION("""COMPUTED_VALUE"""),70.05)</f>
        <v>70.05</v>
      </c>
      <c r="AO529" s="320">
        <f>IFERROR(__xludf.DUMMYFUNCTION("""COMPUTED_VALUE"""),12.78)</f>
        <v>12.78</v>
      </c>
    </row>
    <row r="530" ht="15.0" customHeight="1">
      <c r="A530" s="328">
        <f>IFERROR(__xludf.DUMMYFUNCTION("""COMPUTED_VALUE"""),46138.0)</f>
        <v>46138</v>
      </c>
      <c r="B530" s="319" t="str">
        <f>IFERROR(__xludf.DUMMYFUNCTION("""COMPUTED_VALUE"""),"A. 0")</f>
        <v>A. 0</v>
      </c>
      <c r="C530" s="320">
        <f>IFERROR(__xludf.DUMMYFUNCTION("""COMPUTED_VALUE"""),15008.0)</f>
        <v>15008</v>
      </c>
      <c r="D530" s="320">
        <f>IFERROR(__xludf.DUMMYFUNCTION("""COMPUTED_VALUE"""),21.0)</f>
        <v>21</v>
      </c>
      <c r="E530" s="320">
        <f>IFERROR(__xludf.DUMMYFUNCTION("""COMPUTED_VALUE"""),101.36)</f>
        <v>101.36</v>
      </c>
      <c r="F530" s="320">
        <f>IFERROR(__xludf.DUMMYFUNCTION("""COMPUTED_VALUE"""),0.0068)</f>
        <v>0.0068</v>
      </c>
      <c r="G530" s="320">
        <f>IFERROR(__xludf.DUMMYFUNCTION("""COMPUTED_VALUE"""),0.2)</f>
        <v>0.2</v>
      </c>
      <c r="H530" s="320">
        <f>IFERROR(__xludf.DUMMYFUNCTION("""COMPUTED_VALUE"""),3.3787)</f>
        <v>3.3787</v>
      </c>
      <c r="I530" s="320">
        <f>IFERROR(__xludf.DUMMYFUNCTION("""COMPUTED_VALUE"""),6.35)</f>
        <v>6.35</v>
      </c>
      <c r="J530" s="320">
        <f>IFERROR(__xludf.DUMMYFUNCTION("""COMPUTED_VALUE"""),2.86)</f>
        <v>2.86</v>
      </c>
      <c r="K530" s="320">
        <f>IFERROR(__xludf.DUMMYFUNCTION("""COMPUTED_VALUE"""),0.02)</f>
        <v>0.02</v>
      </c>
      <c r="L530" s="320">
        <f>IFERROR(__xludf.DUMMYFUNCTION("""COMPUTED_VALUE"""),0.0077)</f>
        <v>0.0077</v>
      </c>
      <c r="M530" s="320">
        <f>IFERROR(__xludf.DUMMYFUNCTION("""COMPUTED_VALUE"""),0.993)</f>
        <v>0.993</v>
      </c>
      <c r="N530" s="320">
        <f>IFERROR(__xludf.DUMMYFUNCTION("""COMPUTED_VALUE"""),0.8943)</f>
        <v>0.8943</v>
      </c>
      <c r="O530" s="320">
        <f>IFERROR(__xludf.DUMMYFUNCTION("""COMPUTED_VALUE"""),130.4954)</f>
        <v>130.4954</v>
      </c>
      <c r="P530" s="320">
        <f>IFERROR(__xludf.DUMMYFUNCTION("""COMPUTED_VALUE"""),24.21)</f>
        <v>24.21</v>
      </c>
      <c r="Q530" s="320">
        <f>IFERROR(__xludf.DUMMYFUNCTION("""COMPUTED_VALUE"""),24.17)</f>
        <v>24.17</v>
      </c>
      <c r="R530" s="320">
        <f>IFERROR(__xludf.DUMMYFUNCTION("""COMPUTED_VALUE"""),0.04)</f>
        <v>0.04</v>
      </c>
      <c r="S530" s="320">
        <f>IFERROR(__xludf.DUMMYFUNCTION("""COMPUTED_VALUE"""),0.54)</f>
        <v>0.54</v>
      </c>
      <c r="T530" s="320">
        <f>IFERROR(__xludf.DUMMYFUNCTION("""COMPUTED_VALUE"""),23.67)</f>
        <v>23.67</v>
      </c>
      <c r="U530" s="320">
        <f>IFERROR(__xludf.DUMMYFUNCTION("""COMPUTED_VALUE"""),1.91)</f>
        <v>1.91</v>
      </c>
      <c r="V530" s="320">
        <f>IFERROR(__xludf.DUMMYFUNCTION("""COMPUTED_VALUE"""),0.6685)</f>
        <v>0.6685</v>
      </c>
      <c r="W530" s="320">
        <f>IFERROR(__xludf.DUMMYFUNCTION("""COMPUTED_VALUE"""),2.23)</f>
        <v>2.23</v>
      </c>
      <c r="X530" s="320">
        <f>IFERROR(__xludf.DUMMYFUNCTION("""COMPUTED_VALUE"""),148.0)</f>
        <v>148</v>
      </c>
      <c r="Y530" s="320">
        <f>IFERROR(__xludf.DUMMYFUNCTION("""COMPUTED_VALUE"""),1214.0)</f>
        <v>1214</v>
      </c>
      <c r="Z530" s="320">
        <f>IFERROR(__xludf.DUMMYFUNCTION("""COMPUTED_VALUE"""),8002.0)</f>
        <v>8002</v>
      </c>
      <c r="AA530" s="320">
        <f>IFERROR(__xludf.DUMMYFUNCTION("""COMPUTED_VALUE"""),49.8908)</f>
        <v>49.8908</v>
      </c>
      <c r="AB530" s="320">
        <f>IFERROR(__xludf.DUMMYFUNCTION("""COMPUTED_VALUE"""),0.5172)</f>
        <v>0.5172</v>
      </c>
      <c r="AC530" s="106"/>
      <c r="AD530" s="106"/>
      <c r="AE530" s="106"/>
      <c r="AF530" s="106"/>
      <c r="AG530" s="106"/>
      <c r="AH530" s="320">
        <f>IFERROR(__xludf.DUMMYFUNCTION("""COMPUTED_VALUE"""),0.0)</f>
        <v>0</v>
      </c>
      <c r="AI530" s="320">
        <f>IFERROR(__xludf.DUMMYFUNCTION("""COMPUTED_VALUE"""),0.0)</f>
        <v>0</v>
      </c>
      <c r="AJ530" s="320">
        <f>IFERROR(__xludf.DUMMYFUNCTION("""COMPUTED_VALUE"""),0.0)</f>
        <v>0</v>
      </c>
      <c r="AK530" s="320">
        <f>IFERROR(__xludf.DUMMYFUNCTION("""COMPUTED_VALUE"""),0.2735)</f>
        <v>0.2735</v>
      </c>
      <c r="AL530" s="320">
        <f>IFERROR(__xludf.DUMMYFUNCTION("""COMPUTED_VALUE"""),18.29)</f>
        <v>18.29</v>
      </c>
      <c r="AM530" s="320">
        <f>IFERROR(__xludf.DUMMYFUNCTION("""COMPUTED_VALUE"""),5.88)</f>
        <v>5.88</v>
      </c>
      <c r="AN530" s="331"/>
      <c r="AO530" s="331"/>
    </row>
    <row r="531" ht="15.0" customHeight="1">
      <c r="A531" s="328">
        <f>IFERROR(__xludf.DUMMYFUNCTION("""COMPUTED_VALUE"""),46138.0)</f>
        <v>46138</v>
      </c>
      <c r="B531" s="319" t="str">
        <f>IFERROR(__xludf.DUMMYFUNCTION("""COMPUTED_VALUE"""),"B. 1-9")</f>
        <v>B. 1-9</v>
      </c>
      <c r="C531" s="320">
        <f>IFERROR(__xludf.DUMMYFUNCTION("""COMPUTED_VALUE"""),30856.0)</f>
        <v>30856</v>
      </c>
      <c r="D531" s="320">
        <f>IFERROR(__xludf.DUMMYFUNCTION("""COMPUTED_VALUE"""),43.17)</f>
        <v>43.17</v>
      </c>
      <c r="E531" s="320">
        <f>IFERROR(__xludf.DUMMYFUNCTION("""COMPUTED_VALUE"""),7216.15)</f>
        <v>7216.15</v>
      </c>
      <c r="F531" s="320">
        <f>IFERROR(__xludf.DUMMYFUNCTION("""COMPUTED_VALUE"""),0.2339)</f>
        <v>0.2339</v>
      </c>
      <c r="G531" s="320">
        <f>IFERROR(__xludf.DUMMYFUNCTION("""COMPUTED_VALUE"""),6.74)</f>
        <v>6.74</v>
      </c>
      <c r="H531" s="320">
        <f>IFERROR(__xludf.DUMMYFUNCTION("""COMPUTED_VALUE"""),3.4676)</f>
        <v>3.4676</v>
      </c>
      <c r="I531" s="320">
        <f>IFERROR(__xludf.DUMMYFUNCTION("""COMPUTED_VALUE"""),35.57)</f>
        <v>35.57</v>
      </c>
      <c r="J531" s="320">
        <f>IFERROR(__xludf.DUMMYFUNCTION("""COMPUTED_VALUE"""),19.45)</f>
        <v>19.45</v>
      </c>
      <c r="K531" s="320">
        <f>IFERROR(__xludf.DUMMYFUNCTION("""COMPUTED_VALUE"""),5.52)</f>
        <v>5.52</v>
      </c>
      <c r="L531" s="320">
        <f>IFERROR(__xludf.DUMMYFUNCTION("""COMPUTED_VALUE"""),0.284)</f>
        <v>0.284</v>
      </c>
      <c r="M531" s="320">
        <f>IFERROR(__xludf.DUMMYFUNCTION("""COMPUTED_VALUE"""),0.7777)</f>
        <v>0.7777</v>
      </c>
      <c r="N531" s="320">
        <f>IFERROR(__xludf.DUMMYFUNCTION("""COMPUTED_VALUE"""),0.5273)</f>
        <v>0.5273</v>
      </c>
      <c r="O531" s="320">
        <f>IFERROR(__xludf.DUMMYFUNCTION("""COMPUTED_VALUE"""),3.5216)</f>
        <v>3.5216</v>
      </c>
      <c r="P531" s="320">
        <f>IFERROR(__xludf.DUMMYFUNCTION("""COMPUTED_VALUE"""),65.76)</f>
        <v>65.76</v>
      </c>
      <c r="Q531" s="320">
        <f>IFERROR(__xludf.DUMMYFUNCTION("""COMPUTED_VALUE"""),54.71)</f>
        <v>54.71</v>
      </c>
      <c r="R531" s="320">
        <f>IFERROR(__xludf.DUMMYFUNCTION("""COMPUTED_VALUE"""),11.05)</f>
        <v>11.05</v>
      </c>
      <c r="S531" s="320">
        <f>IFERROR(__xludf.DUMMYFUNCTION("""COMPUTED_VALUE"""),16.95)</f>
        <v>16.95</v>
      </c>
      <c r="T531" s="320">
        <f>IFERROR(__xludf.DUMMYFUNCTION("""COMPUTED_VALUE"""),48.81)</f>
        <v>48.81</v>
      </c>
      <c r="U531" s="320">
        <f>IFERROR(__xludf.DUMMYFUNCTION("""COMPUTED_VALUE"""),75.2)</f>
        <v>75.2</v>
      </c>
      <c r="V531" s="320">
        <f>IFERROR(__xludf.DUMMYFUNCTION("""COMPUTED_VALUE"""),3.8665)</f>
        <v>3.8665</v>
      </c>
      <c r="W531" s="320">
        <f>IFERROR(__xludf.DUMMYFUNCTION("""COMPUTED_VALUE"""),25.77)</f>
        <v>25.77</v>
      </c>
      <c r="X531" s="320">
        <f>IFERROR(__xludf.DUMMYFUNCTION("""COMPUTED_VALUE"""),83.0)</f>
        <v>83</v>
      </c>
      <c r="Y531" s="320">
        <f>IFERROR(__xludf.DUMMYFUNCTION("""COMPUTED_VALUE"""),196.0)</f>
        <v>196</v>
      </c>
      <c r="Z531" s="320">
        <f>IFERROR(__xludf.DUMMYFUNCTION("""COMPUTED_VALUE"""),843.0)</f>
        <v>843</v>
      </c>
      <c r="AA531" s="320">
        <f>IFERROR(__xludf.DUMMYFUNCTION("""COMPUTED_VALUE"""),49.4818)</f>
        <v>49.4818</v>
      </c>
      <c r="AB531" s="320">
        <f>IFERROR(__xludf.DUMMYFUNCTION("""COMPUTED_VALUE"""),0.439)</f>
        <v>0.439</v>
      </c>
      <c r="AC531" s="320">
        <f>IFERROR(__xludf.DUMMYFUNCTION("""COMPUTED_VALUE"""),3.55)</f>
        <v>3.55</v>
      </c>
      <c r="AD531" s="320">
        <f>IFERROR(__xludf.DUMMYFUNCTION("""COMPUTED_VALUE"""),1.0)</f>
        <v>1</v>
      </c>
      <c r="AE531" s="320">
        <f>IFERROR(__xludf.DUMMYFUNCTION("""COMPUTED_VALUE"""),2.0)</f>
        <v>2</v>
      </c>
      <c r="AF531" s="320">
        <f>IFERROR(__xludf.DUMMYFUNCTION("""COMPUTED_VALUE"""),5.0)</f>
        <v>5</v>
      </c>
      <c r="AG531" s="320">
        <f>IFERROR(__xludf.DUMMYFUNCTION("""COMPUTED_VALUE"""),8.0)</f>
        <v>8</v>
      </c>
      <c r="AH531" s="320">
        <f>IFERROR(__xludf.DUMMYFUNCTION("""COMPUTED_VALUE"""),66.82)</f>
        <v>66.82</v>
      </c>
      <c r="AI531" s="320">
        <f>IFERROR(__xludf.DUMMYFUNCTION("""COMPUTED_VALUE"""),24.69)</f>
        <v>24.69</v>
      </c>
      <c r="AJ531" s="320">
        <f>IFERROR(__xludf.DUMMYFUNCTION("""COMPUTED_VALUE"""),7.0)</f>
        <v>7</v>
      </c>
      <c r="AK531" s="320">
        <f>IFERROR(__xludf.DUMMYFUNCTION("""COMPUTED_VALUE"""),0.2311)</f>
        <v>0.2311</v>
      </c>
      <c r="AL531" s="320">
        <f>IFERROR(__xludf.DUMMYFUNCTION("""COMPUTED_VALUE"""),21.68)</f>
        <v>21.68</v>
      </c>
      <c r="AM531" s="320">
        <f>IFERROR(__xludf.DUMMYFUNCTION("""COMPUTED_VALUE"""),33.04)</f>
        <v>33.04</v>
      </c>
      <c r="AN531" s="320">
        <f>IFERROR(__xludf.DUMMYFUNCTION("""COMPUTED_VALUE"""),68.16)</f>
        <v>68.16</v>
      </c>
      <c r="AO531" s="320">
        <f>IFERROR(__xludf.DUMMYFUNCTION("""COMPUTED_VALUE"""),14.78)</f>
        <v>14.78</v>
      </c>
    </row>
    <row r="532" ht="15.0" customHeight="1">
      <c r="A532" s="328">
        <f>IFERROR(__xludf.DUMMYFUNCTION("""COMPUTED_VALUE"""),46138.0)</f>
        <v>46138</v>
      </c>
      <c r="B532" s="319" t="str">
        <f>IFERROR(__xludf.DUMMYFUNCTION("""COMPUTED_VALUE"""),"C. 10-19")</f>
        <v>C. 10-19</v>
      </c>
      <c r="C532" s="320">
        <f>IFERROR(__xludf.DUMMYFUNCTION("""COMPUTED_VALUE"""),14724.0)</f>
        <v>14724</v>
      </c>
      <c r="D532" s="320">
        <f>IFERROR(__xludf.DUMMYFUNCTION("""COMPUTED_VALUE"""),20.6)</f>
        <v>20.6</v>
      </c>
      <c r="E532" s="320">
        <f>IFERROR(__xludf.DUMMYFUNCTION("""COMPUTED_VALUE"""),15031.43)</f>
        <v>15031.43</v>
      </c>
      <c r="F532" s="320">
        <f>IFERROR(__xludf.DUMMYFUNCTION("""COMPUTED_VALUE"""),1.0209)</f>
        <v>1.0209</v>
      </c>
      <c r="G532" s="320">
        <f>IFERROR(__xludf.DUMMYFUNCTION("""COMPUTED_VALUE"""),21.81)</f>
        <v>21.81</v>
      </c>
      <c r="H532" s="320">
        <f>IFERROR(__xludf.DUMMYFUNCTION("""COMPUTED_VALUE"""),4.6812)</f>
        <v>4.6812</v>
      </c>
      <c r="I532" s="320">
        <f>IFERROR(__xludf.DUMMYFUNCTION("""COMPUTED_VALUE"""),63.42)</f>
        <v>63.42</v>
      </c>
      <c r="J532" s="320">
        <f>IFERROR(__xludf.DUMMYFUNCTION("""COMPUTED_VALUE"""),37.09)</f>
        <v>37.09</v>
      </c>
      <c r="K532" s="320">
        <f>IFERROR(__xludf.DUMMYFUNCTION("""COMPUTED_VALUE"""),14.3)</f>
        <v>14.3</v>
      </c>
      <c r="L532" s="320">
        <f>IFERROR(__xludf.DUMMYFUNCTION("""COMPUTED_VALUE"""),0.3855)</f>
        <v>0.3855</v>
      </c>
      <c r="M532" s="320">
        <f>IFERROR(__xludf.DUMMYFUNCTION("""COMPUTED_VALUE"""),0.6703)</f>
        <v>0.6703</v>
      </c>
      <c r="N532" s="320">
        <f>IFERROR(__xludf.DUMMYFUNCTION("""COMPUTED_VALUE"""),0.3846)</f>
        <v>0.3846</v>
      </c>
      <c r="O532" s="320">
        <f>IFERROR(__xludf.DUMMYFUNCTION("""COMPUTED_VALUE"""),2.5938)</f>
        <v>2.5938</v>
      </c>
      <c r="P532" s="320">
        <f>IFERROR(__xludf.DUMMYFUNCTION("""COMPUTED_VALUE"""),154.47)</f>
        <v>154.47</v>
      </c>
      <c r="Q532" s="320">
        <f>IFERROR(__xludf.DUMMYFUNCTION("""COMPUTED_VALUE"""),125.67)</f>
        <v>125.67</v>
      </c>
      <c r="R532" s="320">
        <f>IFERROR(__xludf.DUMMYFUNCTION("""COMPUTED_VALUE"""),28.8)</f>
        <v>28.8</v>
      </c>
      <c r="S532" s="320">
        <f>IFERROR(__xludf.DUMMYFUNCTION("""COMPUTED_VALUE"""),69.03)</f>
        <v>69.03</v>
      </c>
      <c r="T532" s="320">
        <f>IFERROR(__xludf.DUMMYFUNCTION("""COMPUTED_VALUE"""),85.43)</f>
        <v>85.43</v>
      </c>
      <c r="U532" s="320">
        <f>IFERROR(__xludf.DUMMYFUNCTION("""COMPUTED_VALUE"""),171.9)</f>
        <v>171.9</v>
      </c>
      <c r="V532" s="320">
        <f>IFERROR(__xludf.DUMMYFUNCTION("""COMPUTED_VALUE"""),4.6344)</f>
        <v>4.6344</v>
      </c>
      <c r="W532" s="320">
        <f>IFERROR(__xludf.DUMMYFUNCTION("""COMPUTED_VALUE"""),44.69)</f>
        <v>44.69</v>
      </c>
      <c r="X532" s="320">
        <f>IFERROR(__xludf.DUMMYFUNCTION("""COMPUTED_VALUE"""),80.0)</f>
        <v>80</v>
      </c>
      <c r="Y532" s="320">
        <f>IFERROR(__xludf.DUMMYFUNCTION("""COMPUTED_VALUE"""),168.0)</f>
        <v>168</v>
      </c>
      <c r="Z532" s="320">
        <f>IFERROR(__xludf.DUMMYFUNCTION("""COMPUTED_VALUE"""),569.0)</f>
        <v>569</v>
      </c>
      <c r="AA532" s="320">
        <f>IFERROR(__xludf.DUMMYFUNCTION("""COMPUTED_VALUE"""),52.3711)</f>
        <v>52.3711</v>
      </c>
      <c r="AB532" s="320">
        <f>IFERROR(__xludf.DUMMYFUNCTION("""COMPUTED_VALUE"""),0.545)</f>
        <v>0.545</v>
      </c>
      <c r="AC532" s="320">
        <f>IFERROR(__xludf.DUMMYFUNCTION("""COMPUTED_VALUE"""),8.95)</f>
        <v>8.95</v>
      </c>
      <c r="AD532" s="320">
        <f>IFERROR(__xludf.DUMMYFUNCTION("""COMPUTED_VALUE"""),3.0)</f>
        <v>3</v>
      </c>
      <c r="AE532" s="320">
        <f>IFERROR(__xludf.DUMMYFUNCTION("""COMPUTED_VALUE"""),6.0)</f>
        <v>6</v>
      </c>
      <c r="AF532" s="320">
        <f>IFERROR(__xludf.DUMMYFUNCTION("""COMPUTED_VALUE"""),12.0)</f>
        <v>12</v>
      </c>
      <c r="AG532" s="320">
        <f>IFERROR(__xludf.DUMMYFUNCTION("""COMPUTED_VALUE"""),20.0)</f>
        <v>20</v>
      </c>
      <c r="AH532" s="320">
        <f>IFERROR(__xludf.DUMMYFUNCTION("""COMPUTED_VALUE"""),54.15)</f>
        <v>54.15</v>
      </c>
      <c r="AI532" s="320">
        <f>IFERROR(__xludf.DUMMYFUNCTION("""COMPUTED_VALUE"""),24.67)</f>
        <v>24.67</v>
      </c>
      <c r="AJ532" s="320">
        <f>IFERROR(__xludf.DUMMYFUNCTION("""COMPUTED_VALUE"""),5.09)</f>
        <v>5.09</v>
      </c>
      <c r="AK532" s="320">
        <f>IFERROR(__xludf.DUMMYFUNCTION("""COMPUTED_VALUE"""),0.2035)</f>
        <v>0.2035</v>
      </c>
      <c r="AL532" s="320">
        <f>IFERROR(__xludf.DUMMYFUNCTION("""COMPUTED_VALUE"""),21.86)</f>
        <v>21.86</v>
      </c>
      <c r="AM532" s="320">
        <f>IFERROR(__xludf.DUMMYFUNCTION("""COMPUTED_VALUE"""),103.81)</f>
        <v>103.81</v>
      </c>
      <c r="AN532" s="320">
        <f>IFERROR(__xludf.DUMMYFUNCTION("""COMPUTED_VALUE"""),74.21)</f>
        <v>74.21</v>
      </c>
      <c r="AO532" s="320">
        <f>IFERROR(__xludf.DUMMYFUNCTION("""COMPUTED_VALUE"""),16.22)</f>
        <v>16.22</v>
      </c>
    </row>
    <row r="533" ht="15.0" customHeight="1">
      <c r="A533" s="328">
        <f>IFERROR(__xludf.DUMMYFUNCTION("""COMPUTED_VALUE"""),46138.0)</f>
        <v>46138</v>
      </c>
      <c r="B533" s="319" t="str">
        <f>IFERROR(__xludf.DUMMYFUNCTION("""COMPUTED_VALUE"""),"D. 20-39")</f>
        <v>D. 20-39</v>
      </c>
      <c r="C533" s="320">
        <f>IFERROR(__xludf.DUMMYFUNCTION("""COMPUTED_VALUE"""),7542.0)</f>
        <v>7542</v>
      </c>
      <c r="D533" s="320">
        <f>IFERROR(__xludf.DUMMYFUNCTION("""COMPUTED_VALUE"""),10.55)</f>
        <v>10.55</v>
      </c>
      <c r="E533" s="320">
        <f>IFERROR(__xludf.DUMMYFUNCTION("""COMPUTED_VALUE"""),20623.76)</f>
        <v>20623.76</v>
      </c>
      <c r="F533" s="320">
        <f>IFERROR(__xludf.DUMMYFUNCTION("""COMPUTED_VALUE"""),2.7345)</f>
        <v>2.7345</v>
      </c>
      <c r="G533" s="320">
        <f>IFERROR(__xludf.DUMMYFUNCTION("""COMPUTED_VALUE"""),33.12)</f>
        <v>33.12</v>
      </c>
      <c r="H533" s="320">
        <f>IFERROR(__xludf.DUMMYFUNCTION("""COMPUTED_VALUE"""),8.2561)</f>
        <v>8.2561</v>
      </c>
      <c r="I533" s="320">
        <f>IFERROR(__xludf.DUMMYFUNCTION("""COMPUTED_VALUE"""),88.04)</f>
        <v>88.04</v>
      </c>
      <c r="J533" s="320">
        <f>IFERROR(__xludf.DUMMYFUNCTION("""COMPUTED_VALUE"""),52.46)</f>
        <v>52.46</v>
      </c>
      <c r="K533" s="320">
        <f>IFERROR(__xludf.DUMMYFUNCTION("""COMPUTED_VALUE"""),27.63)</f>
        <v>27.63</v>
      </c>
      <c r="L533" s="320">
        <f>IFERROR(__xludf.DUMMYFUNCTION("""COMPUTED_VALUE"""),0.5268)</f>
        <v>0.5268</v>
      </c>
      <c r="M533" s="320">
        <f>IFERROR(__xludf.DUMMYFUNCTION("""COMPUTED_VALUE"""),0.5404)</f>
        <v>0.5404</v>
      </c>
      <c r="N533" s="320">
        <f>IFERROR(__xludf.DUMMYFUNCTION("""COMPUTED_VALUE"""),0.2934)</f>
        <v>0.2934</v>
      </c>
      <c r="O533" s="320">
        <f>IFERROR(__xludf.DUMMYFUNCTION("""COMPUTED_VALUE"""),1.8982)</f>
        <v>1.8982</v>
      </c>
      <c r="P533" s="320">
        <f>IFERROR(__xludf.DUMMYFUNCTION("""COMPUTED_VALUE"""),316.62)</f>
        <v>316.62</v>
      </c>
      <c r="Q533" s="320">
        <f>IFERROR(__xludf.DUMMYFUNCTION("""COMPUTED_VALUE"""),260.57)</f>
        <v>260.57</v>
      </c>
      <c r="R533" s="320">
        <f>IFERROR(__xludf.DUMMYFUNCTION("""COMPUTED_VALUE"""),56.05)</f>
        <v>56.05</v>
      </c>
      <c r="S533" s="320">
        <f>IFERROR(__xludf.DUMMYFUNCTION("""COMPUTED_VALUE"""),174.48)</f>
        <v>174.48</v>
      </c>
      <c r="T533" s="320">
        <f>IFERROR(__xludf.DUMMYFUNCTION("""COMPUTED_VALUE"""),142.14)</f>
        <v>142.14</v>
      </c>
      <c r="U533" s="320">
        <f>IFERROR(__xludf.DUMMYFUNCTION("""COMPUTED_VALUE"""),337.24)</f>
        <v>337.24</v>
      </c>
      <c r="V533" s="320">
        <f>IFERROR(__xludf.DUMMYFUNCTION("""COMPUTED_VALUE"""),6.4291)</f>
        <v>6.4291</v>
      </c>
      <c r="W533" s="320">
        <f>IFERROR(__xludf.DUMMYFUNCTION("""COMPUTED_VALUE"""),55.11)</f>
        <v>55.11</v>
      </c>
      <c r="X533" s="320">
        <f>IFERROR(__xludf.DUMMYFUNCTION("""COMPUTED_VALUE"""),84.0)</f>
        <v>84</v>
      </c>
      <c r="Y533" s="320">
        <f>IFERROR(__xludf.DUMMYFUNCTION("""COMPUTED_VALUE"""),198.0)</f>
        <v>198</v>
      </c>
      <c r="Z533" s="320">
        <f>IFERROR(__xludf.DUMMYFUNCTION("""COMPUTED_VALUE"""),630.0)</f>
        <v>630</v>
      </c>
      <c r="AA533" s="320">
        <f>IFERROR(__xludf.DUMMYFUNCTION("""COMPUTED_VALUE"""),54.5172)</f>
        <v>54.5172</v>
      </c>
      <c r="AB533" s="320">
        <f>IFERROR(__xludf.DUMMYFUNCTION("""COMPUTED_VALUE"""),0.6646)</f>
        <v>0.6646</v>
      </c>
      <c r="AC533" s="320">
        <f>IFERROR(__xludf.DUMMYFUNCTION("""COMPUTED_VALUE"""),18.0)</f>
        <v>18</v>
      </c>
      <c r="AD533" s="320">
        <f>IFERROR(__xludf.DUMMYFUNCTION("""COMPUTED_VALUE"""),6.0)</f>
        <v>6</v>
      </c>
      <c r="AE533" s="320">
        <f>IFERROR(__xludf.DUMMYFUNCTION("""COMPUTED_VALUE"""),13.0)</f>
        <v>13</v>
      </c>
      <c r="AF533" s="320">
        <f>IFERROR(__xludf.DUMMYFUNCTION("""COMPUTED_VALUE"""),25.0)</f>
        <v>25</v>
      </c>
      <c r="AG533" s="320">
        <f>IFERROR(__xludf.DUMMYFUNCTION("""COMPUTED_VALUE"""),39.0)</f>
        <v>39</v>
      </c>
      <c r="AH533" s="320">
        <f>IFERROR(__xludf.DUMMYFUNCTION("""COMPUTED_VALUE"""),57.13)</f>
        <v>57.13</v>
      </c>
      <c r="AI533" s="320">
        <f>IFERROR(__xludf.DUMMYFUNCTION("""COMPUTED_VALUE"""),24.73)</f>
        <v>24.73</v>
      </c>
      <c r="AJ533" s="320">
        <f>IFERROR(__xludf.DUMMYFUNCTION("""COMPUTED_VALUE"""),8.64)</f>
        <v>8.64</v>
      </c>
      <c r="AK533" s="320">
        <f>IFERROR(__xludf.DUMMYFUNCTION("""COMPUTED_VALUE"""),0.2283)</f>
        <v>0.2283</v>
      </c>
      <c r="AL533" s="320">
        <f>IFERROR(__xludf.DUMMYFUNCTION("""COMPUTED_VALUE"""),21.66)</f>
        <v>21.66</v>
      </c>
      <c r="AM533" s="320">
        <f>IFERROR(__xludf.DUMMYFUNCTION("""COMPUTED_VALUE"""),238.91)</f>
        <v>238.91</v>
      </c>
      <c r="AN533" s="320">
        <f>IFERROR(__xludf.DUMMYFUNCTION("""COMPUTED_VALUE"""),71.84)</f>
        <v>71.84</v>
      </c>
      <c r="AO533" s="320">
        <f>IFERROR(__xludf.DUMMYFUNCTION("""COMPUTED_VALUE"""),15.56)</f>
        <v>15.56</v>
      </c>
    </row>
    <row r="534" ht="15.0" customHeight="1">
      <c r="A534" s="328">
        <f>IFERROR(__xludf.DUMMYFUNCTION("""COMPUTED_VALUE"""),46138.0)</f>
        <v>46138</v>
      </c>
      <c r="B534" s="319" t="str">
        <f>IFERROR(__xludf.DUMMYFUNCTION("""COMPUTED_VALUE"""),"E. 40-99")</f>
        <v>E. 40-99</v>
      </c>
      <c r="C534" s="320">
        <f>IFERROR(__xludf.DUMMYFUNCTION("""COMPUTED_VALUE"""),3001.0)</f>
        <v>3001</v>
      </c>
      <c r="D534" s="320">
        <f>IFERROR(__xludf.DUMMYFUNCTION("""COMPUTED_VALUE"""),4.2)</f>
        <v>4.2</v>
      </c>
      <c r="E534" s="320">
        <f>IFERROR(__xludf.DUMMYFUNCTION("""COMPUTED_VALUE"""),17696.63)</f>
        <v>17696.63</v>
      </c>
      <c r="F534" s="320">
        <f>IFERROR(__xludf.DUMMYFUNCTION("""COMPUTED_VALUE"""),5.8969)</f>
        <v>5.8969</v>
      </c>
      <c r="G534" s="320">
        <f>IFERROR(__xludf.DUMMYFUNCTION("""COMPUTED_VALUE"""),44.29)</f>
        <v>44.29</v>
      </c>
      <c r="H534" s="320">
        <f>IFERROR(__xludf.DUMMYFUNCTION("""COMPUTED_VALUE"""),13.3157)</f>
        <v>13.3157</v>
      </c>
      <c r="I534" s="320">
        <f>IFERROR(__xludf.DUMMYFUNCTION("""COMPUTED_VALUE"""),133.07)</f>
        <v>133.07</v>
      </c>
      <c r="J534" s="320">
        <f>IFERROR(__xludf.DUMMYFUNCTION("""COMPUTED_VALUE"""),84.09)</f>
        <v>84.09</v>
      </c>
      <c r="K534" s="320">
        <f>IFERROR(__xludf.DUMMYFUNCTION("""COMPUTED_VALUE"""),56.46)</f>
        <v>56.46</v>
      </c>
      <c r="L534" s="320">
        <f>IFERROR(__xludf.DUMMYFUNCTION("""COMPUTED_VALUE"""),0.6715)</f>
        <v>0.6715</v>
      </c>
      <c r="M534" s="320">
        <f>IFERROR(__xludf.DUMMYFUNCTION("""COMPUTED_VALUE"""),0.4083)</f>
        <v>0.4083</v>
      </c>
      <c r="N534" s="320">
        <f>IFERROR(__xludf.DUMMYFUNCTION("""COMPUTED_VALUE"""),0.225)</f>
        <v>0.225</v>
      </c>
      <c r="O534" s="320">
        <f>IFERROR(__xludf.DUMMYFUNCTION("""COMPUTED_VALUE"""),1.4892)</f>
        <v>1.4892</v>
      </c>
      <c r="P534" s="320">
        <f>IFERROR(__xludf.DUMMYFUNCTION("""COMPUTED_VALUE"""),622.05)</f>
        <v>622.05</v>
      </c>
      <c r="Q534" s="320">
        <f>IFERROR(__xludf.DUMMYFUNCTION("""COMPUTED_VALUE"""),508.01)</f>
        <v>508.01</v>
      </c>
      <c r="R534" s="320">
        <f>IFERROR(__xludf.DUMMYFUNCTION("""COMPUTED_VALUE"""),114.05)</f>
        <v>114.05</v>
      </c>
      <c r="S534" s="320">
        <f>IFERROR(__xludf.DUMMYFUNCTION("""COMPUTED_VALUE"""),368.02)</f>
        <v>368.02</v>
      </c>
      <c r="T534" s="320">
        <f>IFERROR(__xludf.DUMMYFUNCTION("""COMPUTED_VALUE"""),254.04)</f>
        <v>254.04</v>
      </c>
      <c r="U534" s="320">
        <f>IFERROR(__xludf.DUMMYFUNCTION("""COMPUTED_VALUE"""),667.59)</f>
        <v>667.59</v>
      </c>
      <c r="V534" s="320">
        <f>IFERROR(__xludf.DUMMYFUNCTION("""COMPUTED_VALUE"""),7.9393)</f>
        <v>7.9393</v>
      </c>
      <c r="W534" s="320">
        <f>IFERROR(__xludf.DUMMYFUNCTION("""COMPUTED_VALUE"""),59.16)</f>
        <v>59.16</v>
      </c>
      <c r="X534" s="320">
        <f>IFERROR(__xludf.DUMMYFUNCTION("""COMPUTED_VALUE"""),93.0)</f>
        <v>93</v>
      </c>
      <c r="Y534" s="320">
        <f>IFERROR(__xludf.DUMMYFUNCTION("""COMPUTED_VALUE"""),281.0)</f>
        <v>281</v>
      </c>
      <c r="Z534" s="320">
        <f>IFERROR(__xludf.DUMMYFUNCTION("""COMPUTED_VALUE"""),892.0)</f>
        <v>892</v>
      </c>
      <c r="AA534" s="320">
        <f>IFERROR(__xludf.DUMMYFUNCTION("""COMPUTED_VALUE"""),57.338)</f>
        <v>57.338</v>
      </c>
      <c r="AB534" s="320">
        <f>IFERROR(__xludf.DUMMYFUNCTION("""COMPUTED_VALUE"""),0.7612)</f>
        <v>0.7612</v>
      </c>
      <c r="AC534" s="320">
        <f>IFERROR(__xludf.DUMMYFUNCTION("""COMPUTED_VALUE"""),37.09)</f>
        <v>37.09</v>
      </c>
      <c r="AD534" s="320">
        <f>IFERROR(__xludf.DUMMYFUNCTION("""COMPUTED_VALUE"""),12.0)</f>
        <v>12</v>
      </c>
      <c r="AE534" s="320">
        <f>IFERROR(__xludf.DUMMYFUNCTION("""COMPUTED_VALUE"""),28.0)</f>
        <v>28</v>
      </c>
      <c r="AF534" s="320">
        <f>IFERROR(__xludf.DUMMYFUNCTION("""COMPUTED_VALUE"""),52.0)</f>
        <v>52</v>
      </c>
      <c r="AG534" s="320">
        <f>IFERROR(__xludf.DUMMYFUNCTION("""COMPUTED_VALUE"""),80.0)</f>
        <v>80</v>
      </c>
      <c r="AH534" s="320">
        <f>IFERROR(__xludf.DUMMYFUNCTION("""COMPUTED_VALUE"""),50.25)</f>
        <v>50.25</v>
      </c>
      <c r="AI534" s="320">
        <f>IFERROR(__xludf.DUMMYFUNCTION("""COMPUTED_VALUE"""),19.59)</f>
        <v>19.59</v>
      </c>
      <c r="AJ534" s="320">
        <f>IFERROR(__xludf.DUMMYFUNCTION("""COMPUTED_VALUE"""),5.3)</f>
        <v>5.3</v>
      </c>
      <c r="AK534" s="320">
        <f>IFERROR(__xludf.DUMMYFUNCTION("""COMPUTED_VALUE"""),0.2129)</f>
        <v>0.2129</v>
      </c>
      <c r="AL534" s="320">
        <f>IFERROR(__xludf.DUMMYFUNCTION("""COMPUTED_VALUE"""),20.4)</f>
        <v>20.4</v>
      </c>
      <c r="AM534" s="320">
        <f>IFERROR(__xludf.DUMMYFUNCTION("""COMPUTED_VALUE"""),487.6)</f>
        <v>487.6</v>
      </c>
      <c r="AN534" s="320">
        <f>IFERROR(__xludf.DUMMYFUNCTION("""COMPUTED_VALUE"""),71.77)</f>
        <v>71.77</v>
      </c>
      <c r="AO534" s="320">
        <f>IFERROR(__xludf.DUMMYFUNCTION("""COMPUTED_VALUE"""),14.64)</f>
        <v>14.64</v>
      </c>
    </row>
    <row r="535" ht="15.0" customHeight="1">
      <c r="A535" s="328">
        <f>IFERROR(__xludf.DUMMYFUNCTION("""COMPUTED_VALUE"""),46138.0)</f>
        <v>46138</v>
      </c>
      <c r="B535" s="319" t="str">
        <f>IFERROR(__xludf.DUMMYFUNCTION("""COMPUTED_VALUE"""),"F. 100+")</f>
        <v>F. 100+</v>
      </c>
      <c r="C535" s="320">
        <f>IFERROR(__xludf.DUMMYFUNCTION("""COMPUTED_VALUE"""),350.0)</f>
        <v>350</v>
      </c>
      <c r="D535" s="320">
        <f>IFERROR(__xludf.DUMMYFUNCTION("""COMPUTED_VALUE"""),0.49)</f>
        <v>0.49</v>
      </c>
      <c r="E535" s="320">
        <f>IFERROR(__xludf.DUMMYFUNCTION("""COMPUTED_VALUE"""),3975.88)</f>
        <v>3975.88</v>
      </c>
      <c r="F535" s="320">
        <f>IFERROR(__xludf.DUMMYFUNCTION("""COMPUTED_VALUE"""),11.3597)</f>
        <v>11.3597</v>
      </c>
      <c r="G535" s="320">
        <f>IFERROR(__xludf.DUMMYFUNCTION("""COMPUTED_VALUE"""),49.14)</f>
        <v>49.14</v>
      </c>
      <c r="H535" s="320">
        <f>IFERROR(__xludf.DUMMYFUNCTION("""COMPUTED_VALUE"""),23.1156)</f>
        <v>23.1156</v>
      </c>
      <c r="I535" s="320">
        <f>IFERROR(__xludf.DUMMYFUNCTION("""COMPUTED_VALUE"""),248.03)</f>
        <v>248.03</v>
      </c>
      <c r="J535" s="320">
        <f>IFERROR(__xludf.DUMMYFUNCTION("""COMPUTED_VALUE"""),162.45)</f>
        <v>162.45</v>
      </c>
      <c r="K535" s="320">
        <f>IFERROR(__xludf.DUMMYFUNCTION("""COMPUTED_VALUE"""),131.09)</f>
        <v>131.09</v>
      </c>
      <c r="L535" s="320">
        <f>IFERROR(__xludf.DUMMYFUNCTION("""COMPUTED_VALUE"""),0.8069)</f>
        <v>0.8069</v>
      </c>
      <c r="M535" s="320">
        <f>IFERROR(__xludf.DUMMYFUNCTION("""COMPUTED_VALUE"""),0.2802)</f>
        <v>0.2802</v>
      </c>
      <c r="N535" s="320">
        <f>IFERROR(__xludf.DUMMYFUNCTION("""COMPUTED_VALUE"""),0.172)</f>
        <v>0.172</v>
      </c>
      <c r="O535" s="320">
        <f>IFERROR(__xludf.DUMMYFUNCTION("""COMPUTED_VALUE"""),1.2393)</f>
        <v>1.2393</v>
      </c>
      <c r="P535" s="320">
        <f>IFERROR(__xludf.DUMMYFUNCTION("""COMPUTED_VALUE"""),1246.77)</f>
        <v>1246.77</v>
      </c>
      <c r="Q535" s="320">
        <f>IFERROR(__xludf.DUMMYFUNCTION("""COMPUTED_VALUE"""),979.76)</f>
        <v>979.76</v>
      </c>
      <c r="R535" s="320">
        <f>IFERROR(__xludf.DUMMYFUNCTION("""COMPUTED_VALUE"""),267.01)</f>
        <v>267.01</v>
      </c>
      <c r="S535" s="320">
        <f>IFERROR(__xludf.DUMMYFUNCTION("""COMPUTED_VALUE"""),714.73)</f>
        <v>714.73</v>
      </c>
      <c r="T535" s="320">
        <f>IFERROR(__xludf.DUMMYFUNCTION("""COMPUTED_VALUE"""),532.04)</f>
        <v>532.04</v>
      </c>
      <c r="U535" s="320">
        <f>IFERROR(__xludf.DUMMYFUNCTION("""COMPUTED_VALUE"""),1308.43)</f>
        <v>1308.43</v>
      </c>
      <c r="V535" s="320">
        <f>IFERROR(__xludf.DUMMYFUNCTION("""COMPUTED_VALUE"""),8.0541)</f>
        <v>8.0541</v>
      </c>
      <c r="W535" s="320">
        <f>IFERROR(__xludf.DUMMYFUNCTION("""COMPUTED_VALUE"""),57.33)</f>
        <v>57.33</v>
      </c>
      <c r="X535" s="320">
        <f>IFERROR(__xludf.DUMMYFUNCTION("""COMPUTED_VALUE"""),127.0)</f>
        <v>127</v>
      </c>
      <c r="Y535" s="320">
        <f>IFERROR(__xludf.DUMMYFUNCTION("""COMPUTED_VALUE"""),492.0)</f>
        <v>492</v>
      </c>
      <c r="Z535" s="320">
        <f>IFERROR(__xludf.DUMMYFUNCTION("""COMPUTED_VALUE"""),2030.0)</f>
        <v>2030</v>
      </c>
      <c r="AA535" s="320">
        <f>IFERROR(__xludf.DUMMYFUNCTION("""COMPUTED_VALUE"""),61.1132)</f>
        <v>61.1132</v>
      </c>
      <c r="AB535" s="320">
        <f>IFERROR(__xludf.DUMMYFUNCTION("""COMPUTED_VALUE"""),0.8463)</f>
        <v>0.8463</v>
      </c>
      <c r="AC535" s="320">
        <f>IFERROR(__xludf.DUMMYFUNCTION("""COMPUTED_VALUE"""),85.81)</f>
        <v>85.81</v>
      </c>
      <c r="AD535" s="320">
        <f>IFERROR(__xludf.DUMMYFUNCTION("""COMPUTED_VALUE"""),27.0)</f>
        <v>27</v>
      </c>
      <c r="AE535" s="320">
        <f>IFERROR(__xludf.DUMMYFUNCTION("""COMPUTED_VALUE"""),66.0)</f>
        <v>66</v>
      </c>
      <c r="AF535" s="320">
        <f>IFERROR(__xludf.DUMMYFUNCTION("""COMPUTED_VALUE"""),120.0)</f>
        <v>120</v>
      </c>
      <c r="AG535" s="320">
        <f>IFERROR(__xludf.DUMMYFUNCTION("""COMPUTED_VALUE"""),182.0)</f>
        <v>182</v>
      </c>
      <c r="AH535" s="320">
        <f>IFERROR(__xludf.DUMMYFUNCTION("""COMPUTED_VALUE"""),42.57)</f>
        <v>42.57</v>
      </c>
      <c r="AI535" s="320">
        <f>IFERROR(__xludf.DUMMYFUNCTION("""COMPUTED_VALUE"""),11.71)</f>
        <v>11.71</v>
      </c>
      <c r="AJ535" s="320">
        <f>IFERROR(__xludf.DUMMYFUNCTION("""COMPUTED_VALUE"""),3.14)</f>
        <v>3.14</v>
      </c>
      <c r="AK535" s="320">
        <f>IFERROR(__xludf.DUMMYFUNCTION("""COMPUTED_VALUE"""),0.1714)</f>
        <v>0.1714</v>
      </c>
      <c r="AL535" s="320">
        <f>IFERROR(__xludf.DUMMYFUNCTION("""COMPUTED_VALUE"""),20.79)</f>
        <v>20.79</v>
      </c>
      <c r="AM535" s="320">
        <f>IFERROR(__xludf.DUMMYFUNCTION("""COMPUTED_VALUE"""),958.97)</f>
        <v>958.97</v>
      </c>
      <c r="AN535" s="320">
        <f>IFERROR(__xludf.DUMMYFUNCTION("""COMPUTED_VALUE"""),68.49)</f>
        <v>68.49</v>
      </c>
      <c r="AO535" s="320">
        <f>IFERROR(__xludf.DUMMYFUNCTION("""COMPUTED_VALUE"""),14.24)</f>
        <v>14.24</v>
      </c>
    </row>
    <row r="536" ht="15.0" customHeight="1">
      <c r="A536" s="328">
        <f>IFERROR(__xludf.DUMMYFUNCTION("""COMPUTED_VALUE"""),46139.0)</f>
        <v>46139</v>
      </c>
      <c r="B536" s="319" t="str">
        <f>IFERROR(__xludf.DUMMYFUNCTION("""COMPUTED_VALUE"""),"A. 0")</f>
        <v>A. 0</v>
      </c>
      <c r="C536" s="320">
        <f>IFERROR(__xludf.DUMMYFUNCTION("""COMPUTED_VALUE"""),14867.0)</f>
        <v>14867</v>
      </c>
      <c r="D536" s="320">
        <f>IFERROR(__xludf.DUMMYFUNCTION("""COMPUTED_VALUE"""),19.92)</f>
        <v>19.92</v>
      </c>
      <c r="E536" s="320">
        <f>IFERROR(__xludf.DUMMYFUNCTION("""COMPUTED_VALUE"""),155.62)</f>
        <v>155.62</v>
      </c>
      <c r="F536" s="320">
        <f>IFERROR(__xludf.DUMMYFUNCTION("""COMPUTED_VALUE"""),0.0105)</f>
        <v>0.0105</v>
      </c>
      <c r="G536" s="320">
        <f>IFERROR(__xludf.DUMMYFUNCTION("""COMPUTED_VALUE"""),0.23)</f>
        <v>0.23</v>
      </c>
      <c r="H536" s="320">
        <f>IFERROR(__xludf.DUMMYFUNCTION("""COMPUTED_VALUE"""),4.5771)</f>
        <v>4.5771</v>
      </c>
      <c r="I536" s="320">
        <f>IFERROR(__xludf.DUMMYFUNCTION("""COMPUTED_VALUE"""),5.63)</f>
        <v>5.63</v>
      </c>
      <c r="J536" s="320">
        <f>IFERROR(__xludf.DUMMYFUNCTION("""COMPUTED_VALUE"""),2.43)</f>
        <v>2.43</v>
      </c>
      <c r="K536" s="320">
        <f>IFERROR(__xludf.DUMMYFUNCTION("""COMPUTED_VALUE"""),0.1)</f>
        <v>0.1</v>
      </c>
      <c r="L536" s="320">
        <f>IFERROR(__xludf.DUMMYFUNCTION("""COMPUTED_VALUE"""),0.0425)</f>
        <v>0.0425</v>
      </c>
      <c r="M536" s="320">
        <f>IFERROR(__xludf.DUMMYFUNCTION("""COMPUTED_VALUE"""),0.9625)</f>
        <v>0.9625</v>
      </c>
      <c r="N536" s="320">
        <f>IFERROR(__xludf.DUMMYFUNCTION("""COMPUTED_VALUE"""),0.6584)</f>
        <v>0.6584</v>
      </c>
      <c r="O536" s="320">
        <f>IFERROR(__xludf.DUMMYFUNCTION("""COMPUTED_VALUE"""),23.5196)</f>
        <v>23.5196</v>
      </c>
      <c r="P536" s="320">
        <f>IFERROR(__xludf.DUMMYFUNCTION("""COMPUTED_VALUE"""),36.58)</f>
        <v>36.58</v>
      </c>
      <c r="Q536" s="320">
        <f>IFERROR(__xludf.DUMMYFUNCTION("""COMPUTED_VALUE"""),36.5)</f>
        <v>36.5</v>
      </c>
      <c r="R536" s="320">
        <f>IFERROR(__xludf.DUMMYFUNCTION("""COMPUTED_VALUE"""),0.08)</f>
        <v>0.08</v>
      </c>
      <c r="S536" s="320">
        <f>IFERROR(__xludf.DUMMYFUNCTION("""COMPUTED_VALUE"""),0.99)</f>
        <v>0.99</v>
      </c>
      <c r="T536" s="320">
        <f>IFERROR(__xludf.DUMMYFUNCTION("""COMPUTED_VALUE"""),35.59)</f>
        <v>35.59</v>
      </c>
      <c r="U536" s="320">
        <f>IFERROR(__xludf.DUMMYFUNCTION("""COMPUTED_VALUE"""),2.77)</f>
        <v>2.77</v>
      </c>
      <c r="V536" s="320">
        <f>IFERROR(__xludf.DUMMYFUNCTION("""COMPUTED_VALUE"""),1.1419)</f>
        <v>1.1419</v>
      </c>
      <c r="W536" s="320">
        <f>IFERROR(__xludf.DUMMYFUNCTION("""COMPUTED_VALUE"""),2.72)</f>
        <v>2.72</v>
      </c>
      <c r="X536" s="320">
        <f>IFERROR(__xludf.DUMMYFUNCTION("""COMPUTED_VALUE"""),189.0)</f>
        <v>189</v>
      </c>
      <c r="Y536" s="320">
        <f>IFERROR(__xludf.DUMMYFUNCTION("""COMPUTED_VALUE"""),1448.0)</f>
        <v>1448</v>
      </c>
      <c r="Z536" s="320">
        <f>IFERROR(__xludf.DUMMYFUNCTION("""COMPUTED_VALUE"""),8479.0)</f>
        <v>8479</v>
      </c>
      <c r="AA536" s="320">
        <f>IFERROR(__xludf.DUMMYFUNCTION("""COMPUTED_VALUE"""),50.058)</f>
        <v>50.058</v>
      </c>
      <c r="AB536" s="320">
        <f>IFERROR(__xludf.DUMMYFUNCTION("""COMPUTED_VALUE"""),0.5251)</f>
        <v>0.5251</v>
      </c>
      <c r="AC536" s="106"/>
      <c r="AD536" s="106"/>
      <c r="AE536" s="106"/>
      <c r="AF536" s="106"/>
      <c r="AG536" s="106"/>
      <c r="AH536" s="320">
        <f>IFERROR(__xludf.DUMMYFUNCTION("""COMPUTED_VALUE"""),0.0)</f>
        <v>0</v>
      </c>
      <c r="AI536" s="320">
        <f>IFERROR(__xludf.DUMMYFUNCTION("""COMPUTED_VALUE"""),0.0)</f>
        <v>0</v>
      </c>
      <c r="AJ536" s="320">
        <f>IFERROR(__xludf.DUMMYFUNCTION("""COMPUTED_VALUE"""),0.0)</f>
        <v>0</v>
      </c>
      <c r="AK536" s="320">
        <f>IFERROR(__xludf.DUMMYFUNCTION("""COMPUTED_VALUE"""),0.2699)</f>
        <v>0.2699</v>
      </c>
      <c r="AL536" s="320">
        <f>IFERROR(__xludf.DUMMYFUNCTION("""COMPUTED_VALUE"""),16.13)</f>
        <v>16.13</v>
      </c>
      <c r="AM536" s="320">
        <f>IFERROR(__xludf.DUMMYFUNCTION("""COMPUTED_VALUE"""),20.38)</f>
        <v>20.38</v>
      </c>
      <c r="AN536" s="331"/>
      <c r="AO536" s="331"/>
    </row>
    <row r="537" ht="15.0" customHeight="1">
      <c r="A537" s="328">
        <f>IFERROR(__xludf.DUMMYFUNCTION("""COMPUTED_VALUE"""),46139.0)</f>
        <v>46139</v>
      </c>
      <c r="B537" s="319" t="str">
        <f>IFERROR(__xludf.DUMMYFUNCTION("""COMPUTED_VALUE"""),"B. 1-9")</f>
        <v>B. 1-9</v>
      </c>
      <c r="C537" s="320">
        <f>IFERROR(__xludf.DUMMYFUNCTION("""COMPUTED_VALUE"""),31793.0)</f>
        <v>31793</v>
      </c>
      <c r="D537" s="320">
        <f>IFERROR(__xludf.DUMMYFUNCTION("""COMPUTED_VALUE"""),42.59)</f>
        <v>42.59</v>
      </c>
      <c r="E537" s="320">
        <f>IFERROR(__xludf.DUMMYFUNCTION("""COMPUTED_VALUE"""),6211.98)</f>
        <v>6211.98</v>
      </c>
      <c r="F537" s="320">
        <f>IFERROR(__xludf.DUMMYFUNCTION("""COMPUTED_VALUE"""),0.1954)</f>
        <v>0.1954</v>
      </c>
      <c r="G537" s="320">
        <f>IFERROR(__xludf.DUMMYFUNCTION("""COMPUTED_VALUE"""),5.8)</f>
        <v>5.8</v>
      </c>
      <c r="H537" s="320">
        <f>IFERROR(__xludf.DUMMYFUNCTION("""COMPUTED_VALUE"""),3.3706)</f>
        <v>3.3706</v>
      </c>
      <c r="I537" s="320">
        <f>IFERROR(__xludf.DUMMYFUNCTION("""COMPUTED_VALUE"""),35.8)</f>
        <v>35.8</v>
      </c>
      <c r="J537" s="320">
        <f>IFERROR(__xludf.DUMMYFUNCTION("""COMPUTED_VALUE"""),19.23)</f>
        <v>19.23</v>
      </c>
      <c r="K537" s="320">
        <f>IFERROR(__xludf.DUMMYFUNCTION("""COMPUTED_VALUE"""),5.52)</f>
        <v>5.52</v>
      </c>
      <c r="L537" s="320">
        <f>IFERROR(__xludf.DUMMYFUNCTION("""COMPUTED_VALUE"""),0.287)</f>
        <v>0.287</v>
      </c>
      <c r="M537" s="320">
        <f>IFERROR(__xludf.DUMMYFUNCTION("""COMPUTED_VALUE"""),0.7801)</f>
        <v>0.7801</v>
      </c>
      <c r="N537" s="320">
        <f>IFERROR(__xludf.DUMMYFUNCTION("""COMPUTED_VALUE"""),0.5363)</f>
        <v>0.5363</v>
      </c>
      <c r="O537" s="320">
        <f>IFERROR(__xludf.DUMMYFUNCTION("""COMPUTED_VALUE"""),3.4841)</f>
        <v>3.4841</v>
      </c>
      <c r="P537" s="320">
        <f>IFERROR(__xludf.DUMMYFUNCTION("""COMPUTED_VALUE"""),94.33)</f>
        <v>94.33</v>
      </c>
      <c r="Q537" s="320">
        <f>IFERROR(__xludf.DUMMYFUNCTION("""COMPUTED_VALUE"""),84.18)</f>
        <v>84.18</v>
      </c>
      <c r="R537" s="320">
        <f>IFERROR(__xludf.DUMMYFUNCTION("""COMPUTED_VALUE"""),10.15)</f>
        <v>10.15</v>
      </c>
      <c r="S537" s="320">
        <f>IFERROR(__xludf.DUMMYFUNCTION("""COMPUTED_VALUE"""),14.55)</f>
        <v>14.55</v>
      </c>
      <c r="T537" s="320">
        <f>IFERROR(__xludf.DUMMYFUNCTION("""COMPUTED_VALUE"""),79.78)</f>
        <v>79.78</v>
      </c>
      <c r="U537" s="320">
        <f>IFERROR(__xludf.DUMMYFUNCTION("""COMPUTED_VALUE"""),86.53)</f>
        <v>86.53</v>
      </c>
      <c r="V537" s="320">
        <f>IFERROR(__xludf.DUMMYFUNCTION("""COMPUTED_VALUE"""),4.4992)</f>
        <v>4.4992</v>
      </c>
      <c r="W537" s="320">
        <f>IFERROR(__xludf.DUMMYFUNCTION("""COMPUTED_VALUE"""),15.42)</f>
        <v>15.42</v>
      </c>
      <c r="X537" s="320">
        <f>IFERROR(__xludf.DUMMYFUNCTION("""COMPUTED_VALUE"""),90.0)</f>
        <v>90</v>
      </c>
      <c r="Y537" s="320">
        <f>IFERROR(__xludf.DUMMYFUNCTION("""COMPUTED_VALUE"""),211.0)</f>
        <v>211</v>
      </c>
      <c r="Z537" s="320">
        <f>IFERROR(__xludf.DUMMYFUNCTION("""COMPUTED_VALUE"""),806.0)</f>
        <v>806</v>
      </c>
      <c r="AA537" s="320">
        <f>IFERROR(__xludf.DUMMYFUNCTION("""COMPUTED_VALUE"""),49.3878)</f>
        <v>49.3878</v>
      </c>
      <c r="AB537" s="320">
        <f>IFERROR(__xludf.DUMMYFUNCTION("""COMPUTED_VALUE"""),0.4282)</f>
        <v>0.4282</v>
      </c>
      <c r="AC537" s="320">
        <f>IFERROR(__xludf.DUMMYFUNCTION("""COMPUTED_VALUE"""),3.52)</f>
        <v>3.52</v>
      </c>
      <c r="AD537" s="320">
        <f>IFERROR(__xludf.DUMMYFUNCTION("""COMPUTED_VALUE"""),1.0)</f>
        <v>1</v>
      </c>
      <c r="AE537" s="320">
        <f>IFERROR(__xludf.DUMMYFUNCTION("""COMPUTED_VALUE"""),2.0)</f>
        <v>2</v>
      </c>
      <c r="AF537" s="320">
        <f>IFERROR(__xludf.DUMMYFUNCTION("""COMPUTED_VALUE"""),4.0)</f>
        <v>4</v>
      </c>
      <c r="AG537" s="320">
        <f>IFERROR(__xludf.DUMMYFUNCTION("""COMPUTED_VALUE"""),8.0)</f>
        <v>8</v>
      </c>
      <c r="AH537" s="320">
        <f>IFERROR(__xludf.DUMMYFUNCTION("""COMPUTED_VALUE"""),67.32)</f>
        <v>67.32</v>
      </c>
      <c r="AI537" s="320">
        <f>IFERROR(__xludf.DUMMYFUNCTION("""COMPUTED_VALUE"""),24.71)</f>
        <v>24.71</v>
      </c>
      <c r="AJ537" s="320">
        <f>IFERROR(__xludf.DUMMYFUNCTION("""COMPUTED_VALUE"""),6.61)</f>
        <v>6.61</v>
      </c>
      <c r="AK537" s="320">
        <f>IFERROR(__xludf.DUMMYFUNCTION("""COMPUTED_VALUE"""),0.2066)</f>
        <v>0.2066</v>
      </c>
      <c r="AL537" s="320">
        <f>IFERROR(__xludf.DUMMYFUNCTION("""COMPUTED_VALUE"""),18.91)</f>
        <v>18.91</v>
      </c>
      <c r="AM537" s="320">
        <f>IFERROR(__xludf.DUMMYFUNCTION("""COMPUTED_VALUE"""),65.27)</f>
        <v>65.27</v>
      </c>
      <c r="AN537" s="320">
        <f>IFERROR(__xludf.DUMMYFUNCTION("""COMPUTED_VALUE"""),68.65)</f>
        <v>68.65</v>
      </c>
      <c r="AO537" s="320">
        <f>IFERROR(__xludf.DUMMYFUNCTION("""COMPUTED_VALUE"""),12.98)</f>
        <v>12.98</v>
      </c>
    </row>
    <row r="538" ht="15.0" customHeight="1">
      <c r="A538" s="328">
        <f>IFERROR(__xludf.DUMMYFUNCTION("""COMPUTED_VALUE"""),46139.0)</f>
        <v>46139</v>
      </c>
      <c r="B538" s="319" t="str">
        <f>IFERROR(__xludf.DUMMYFUNCTION("""COMPUTED_VALUE"""),"C. 10-19")</f>
        <v>C. 10-19</v>
      </c>
      <c r="C538" s="320">
        <f>IFERROR(__xludf.DUMMYFUNCTION("""COMPUTED_VALUE"""),16065.0)</f>
        <v>16065</v>
      </c>
      <c r="D538" s="320">
        <f>IFERROR(__xludf.DUMMYFUNCTION("""COMPUTED_VALUE"""),21.52)</f>
        <v>21.52</v>
      </c>
      <c r="E538" s="320">
        <f>IFERROR(__xludf.DUMMYFUNCTION("""COMPUTED_VALUE"""),15626.55)</f>
        <v>15626.55</v>
      </c>
      <c r="F538" s="320">
        <f>IFERROR(__xludf.DUMMYFUNCTION("""COMPUTED_VALUE"""),0.9727)</f>
        <v>0.9727</v>
      </c>
      <c r="G538" s="320">
        <f>IFERROR(__xludf.DUMMYFUNCTION("""COMPUTED_VALUE"""),20.24)</f>
        <v>20.24</v>
      </c>
      <c r="H538" s="320">
        <f>IFERROR(__xludf.DUMMYFUNCTION("""COMPUTED_VALUE"""),4.8067)</f>
        <v>4.8067</v>
      </c>
      <c r="I538" s="320">
        <f>IFERROR(__xludf.DUMMYFUNCTION("""COMPUTED_VALUE"""),64.4)</f>
        <v>64.4</v>
      </c>
      <c r="J538" s="320">
        <f>IFERROR(__xludf.DUMMYFUNCTION("""COMPUTED_VALUE"""),36.51)</f>
        <v>36.51</v>
      </c>
      <c r="K538" s="320">
        <f>IFERROR(__xludf.DUMMYFUNCTION("""COMPUTED_VALUE"""),14.82)</f>
        <v>14.82</v>
      </c>
      <c r="L538" s="320">
        <f>IFERROR(__xludf.DUMMYFUNCTION("""COMPUTED_VALUE"""),0.406)</f>
        <v>0.406</v>
      </c>
      <c r="M538" s="320">
        <f>IFERROR(__xludf.DUMMYFUNCTION("""COMPUTED_VALUE"""),0.6567)</f>
        <v>0.6567</v>
      </c>
      <c r="N538" s="320">
        <f>IFERROR(__xludf.DUMMYFUNCTION("""COMPUTED_VALUE"""),0.3788)</f>
        <v>0.3788</v>
      </c>
      <c r="O538" s="320">
        <f>IFERROR(__xludf.DUMMYFUNCTION("""COMPUTED_VALUE"""),2.4629)</f>
        <v>2.4629</v>
      </c>
      <c r="P538" s="320">
        <f>IFERROR(__xludf.DUMMYFUNCTION("""COMPUTED_VALUE"""),202.27)</f>
        <v>202.27</v>
      </c>
      <c r="Q538" s="320">
        <f>IFERROR(__xludf.DUMMYFUNCTION("""COMPUTED_VALUE"""),176.04)</f>
        <v>176.04</v>
      </c>
      <c r="R538" s="320">
        <f>IFERROR(__xludf.DUMMYFUNCTION("""COMPUTED_VALUE"""),26.24)</f>
        <v>26.24</v>
      </c>
      <c r="S538" s="320">
        <f>IFERROR(__xludf.DUMMYFUNCTION("""COMPUTED_VALUE"""),64.93)</f>
        <v>64.93</v>
      </c>
      <c r="T538" s="320">
        <f>IFERROR(__xludf.DUMMYFUNCTION("""COMPUTED_VALUE"""),137.35)</f>
        <v>137.35</v>
      </c>
      <c r="U538" s="320">
        <f>IFERROR(__xludf.DUMMYFUNCTION("""COMPUTED_VALUE"""),198.46)</f>
        <v>198.46</v>
      </c>
      <c r="V538" s="320">
        <f>IFERROR(__xludf.DUMMYFUNCTION("""COMPUTED_VALUE"""),5.4358)</f>
        <v>5.4358</v>
      </c>
      <c r="W538" s="320">
        <f>IFERROR(__xludf.DUMMYFUNCTION("""COMPUTED_VALUE"""),32.1)</f>
        <v>32.1</v>
      </c>
      <c r="X538" s="320">
        <f>IFERROR(__xludf.DUMMYFUNCTION("""COMPUTED_VALUE"""),86.0)</f>
        <v>86</v>
      </c>
      <c r="Y538" s="320">
        <f>IFERROR(__xludf.DUMMYFUNCTION("""COMPUTED_VALUE"""),198.0)</f>
        <v>198</v>
      </c>
      <c r="Z538" s="320">
        <f>IFERROR(__xludf.DUMMYFUNCTION("""COMPUTED_VALUE"""),602.0)</f>
        <v>602</v>
      </c>
      <c r="AA538" s="320">
        <f>IFERROR(__xludf.DUMMYFUNCTION("""COMPUTED_VALUE"""),52.3274)</f>
        <v>52.3274</v>
      </c>
      <c r="AB538" s="320">
        <f>IFERROR(__xludf.DUMMYFUNCTION("""COMPUTED_VALUE"""),0.5079)</f>
        <v>0.5079</v>
      </c>
      <c r="AC538" s="320">
        <f>IFERROR(__xludf.DUMMYFUNCTION("""COMPUTED_VALUE"""),9.18)</f>
        <v>9.18</v>
      </c>
      <c r="AD538" s="320">
        <f>IFERROR(__xludf.DUMMYFUNCTION("""COMPUTED_VALUE"""),3.0)</f>
        <v>3</v>
      </c>
      <c r="AE538" s="320">
        <f>IFERROR(__xludf.DUMMYFUNCTION("""COMPUTED_VALUE"""),6.0)</f>
        <v>6</v>
      </c>
      <c r="AF538" s="320">
        <f>IFERROR(__xludf.DUMMYFUNCTION("""COMPUTED_VALUE"""),13.0)</f>
        <v>13</v>
      </c>
      <c r="AG538" s="320">
        <f>IFERROR(__xludf.DUMMYFUNCTION("""COMPUTED_VALUE"""),20.0)</f>
        <v>20</v>
      </c>
      <c r="AH538" s="320">
        <f>IFERROR(__xludf.DUMMYFUNCTION("""COMPUTED_VALUE"""),54.44)</f>
        <v>54.44</v>
      </c>
      <c r="AI538" s="320">
        <f>IFERROR(__xludf.DUMMYFUNCTION("""COMPUTED_VALUE"""),25.5)</f>
        <v>25.5</v>
      </c>
      <c r="AJ538" s="320">
        <f>IFERROR(__xludf.DUMMYFUNCTION("""COMPUTED_VALUE"""),5.76)</f>
        <v>5.76</v>
      </c>
      <c r="AK538" s="320">
        <f>IFERROR(__xludf.DUMMYFUNCTION("""COMPUTED_VALUE"""),0.1769)</f>
        <v>0.1769</v>
      </c>
      <c r="AL538" s="320">
        <f>IFERROR(__xludf.DUMMYFUNCTION("""COMPUTED_VALUE"""),19.64)</f>
        <v>19.64</v>
      </c>
      <c r="AM538" s="320">
        <f>IFERROR(__xludf.DUMMYFUNCTION("""COMPUTED_VALUE"""),156.39)</f>
        <v>156.39</v>
      </c>
      <c r="AN538" s="320">
        <f>IFERROR(__xludf.DUMMYFUNCTION("""COMPUTED_VALUE"""),72.7)</f>
        <v>72.7</v>
      </c>
      <c r="AO538" s="320">
        <f>IFERROR(__xludf.DUMMYFUNCTION("""COMPUTED_VALUE"""),14.28)</f>
        <v>14.28</v>
      </c>
    </row>
    <row r="539" ht="15.0" customHeight="1">
      <c r="A539" s="328">
        <f>IFERROR(__xludf.DUMMYFUNCTION("""COMPUTED_VALUE"""),46139.0)</f>
        <v>46139</v>
      </c>
      <c r="B539" s="319" t="str">
        <f>IFERROR(__xludf.DUMMYFUNCTION("""COMPUTED_VALUE"""),"D. 20-39")</f>
        <v>D. 20-39</v>
      </c>
      <c r="C539" s="320">
        <f>IFERROR(__xludf.DUMMYFUNCTION("""COMPUTED_VALUE"""),8251.0)</f>
        <v>8251</v>
      </c>
      <c r="D539" s="320">
        <f>IFERROR(__xludf.DUMMYFUNCTION("""COMPUTED_VALUE"""),11.05)</f>
        <v>11.05</v>
      </c>
      <c r="E539" s="320">
        <f>IFERROR(__xludf.DUMMYFUNCTION("""COMPUTED_VALUE"""),20967.17)</f>
        <v>20967.17</v>
      </c>
      <c r="F539" s="320">
        <f>IFERROR(__xludf.DUMMYFUNCTION("""COMPUTED_VALUE"""),2.5412)</f>
        <v>2.5412</v>
      </c>
      <c r="G539" s="320">
        <f>IFERROR(__xludf.DUMMYFUNCTION("""COMPUTED_VALUE"""),32.46)</f>
        <v>32.46</v>
      </c>
      <c r="H539" s="320">
        <f>IFERROR(__xludf.DUMMYFUNCTION("""COMPUTED_VALUE"""),7.8294)</f>
        <v>7.8294</v>
      </c>
      <c r="I539" s="320">
        <f>IFERROR(__xludf.DUMMYFUNCTION("""COMPUTED_VALUE"""),90.81)</f>
        <v>90.81</v>
      </c>
      <c r="J539" s="320">
        <f>IFERROR(__xludf.DUMMYFUNCTION("""COMPUTED_VALUE"""),53.9)</f>
        <v>53.9</v>
      </c>
      <c r="K539" s="320">
        <f>IFERROR(__xludf.DUMMYFUNCTION("""COMPUTED_VALUE"""),29.94)</f>
        <v>29.94</v>
      </c>
      <c r="L539" s="320">
        <f>IFERROR(__xludf.DUMMYFUNCTION("""COMPUTED_VALUE"""),0.5554)</f>
        <v>0.5554</v>
      </c>
      <c r="M539" s="320">
        <f>IFERROR(__xludf.DUMMYFUNCTION("""COMPUTED_VALUE"""),0.5193)</f>
        <v>0.5193</v>
      </c>
      <c r="N539" s="320">
        <f>IFERROR(__xludf.DUMMYFUNCTION("""COMPUTED_VALUE"""),0.2863)</f>
        <v>0.2863</v>
      </c>
      <c r="O539" s="320">
        <f>IFERROR(__xludf.DUMMYFUNCTION("""COMPUTED_VALUE"""),1.8004)</f>
        <v>1.8004</v>
      </c>
      <c r="P539" s="320">
        <f>IFERROR(__xludf.DUMMYFUNCTION("""COMPUTED_VALUE"""),387.78)</f>
        <v>387.78</v>
      </c>
      <c r="Q539" s="320">
        <f>IFERROR(__xludf.DUMMYFUNCTION("""COMPUTED_VALUE"""),335.44)</f>
        <v>335.44</v>
      </c>
      <c r="R539" s="320">
        <f>IFERROR(__xludf.DUMMYFUNCTION("""COMPUTED_VALUE"""),52.35)</f>
        <v>52.35</v>
      </c>
      <c r="S539" s="320">
        <f>IFERROR(__xludf.DUMMYFUNCTION("""COMPUTED_VALUE"""),162.69)</f>
        <v>162.69</v>
      </c>
      <c r="T539" s="320">
        <f>IFERROR(__xludf.DUMMYFUNCTION("""COMPUTED_VALUE"""),225.09)</f>
        <v>225.09</v>
      </c>
      <c r="U539" s="320">
        <f>IFERROR(__xludf.DUMMYFUNCTION("""COMPUTED_VALUE"""),390.23)</f>
        <v>390.23</v>
      </c>
      <c r="V539" s="320">
        <f>IFERROR(__xludf.DUMMYFUNCTION("""COMPUTED_VALUE"""),7.2404)</f>
        <v>7.2404</v>
      </c>
      <c r="W539" s="320">
        <f>IFERROR(__xludf.DUMMYFUNCTION("""COMPUTED_VALUE"""),41.95)</f>
        <v>41.95</v>
      </c>
      <c r="X539" s="320">
        <f>IFERROR(__xludf.DUMMYFUNCTION("""COMPUTED_VALUE"""),90.0)</f>
        <v>90</v>
      </c>
      <c r="Y539" s="320">
        <f>IFERROR(__xludf.DUMMYFUNCTION("""COMPUTED_VALUE"""),234.0)</f>
        <v>234</v>
      </c>
      <c r="Z539" s="320">
        <f>IFERROR(__xludf.DUMMYFUNCTION("""COMPUTED_VALUE"""),679.0)</f>
        <v>679</v>
      </c>
      <c r="AA539" s="320">
        <f>IFERROR(__xludf.DUMMYFUNCTION("""COMPUTED_VALUE"""),54.5105)</f>
        <v>54.5105</v>
      </c>
      <c r="AB539" s="320">
        <f>IFERROR(__xludf.DUMMYFUNCTION("""COMPUTED_VALUE"""),0.597)</f>
        <v>0.597</v>
      </c>
      <c r="AC539" s="320">
        <f>IFERROR(__xludf.DUMMYFUNCTION("""COMPUTED_VALUE"""),18.49)</f>
        <v>18.49</v>
      </c>
      <c r="AD539" s="320">
        <f>IFERROR(__xludf.DUMMYFUNCTION("""COMPUTED_VALUE"""),7.0)</f>
        <v>7</v>
      </c>
      <c r="AE539" s="320">
        <f>IFERROR(__xludf.DUMMYFUNCTION("""COMPUTED_VALUE"""),15.0)</f>
        <v>15</v>
      </c>
      <c r="AF539" s="320">
        <f>IFERROR(__xludf.DUMMYFUNCTION("""COMPUTED_VALUE"""),26.0)</f>
        <v>26</v>
      </c>
      <c r="AG539" s="320">
        <f>IFERROR(__xludf.DUMMYFUNCTION("""COMPUTED_VALUE"""),39.0)</f>
        <v>39</v>
      </c>
      <c r="AH539" s="320">
        <f>IFERROR(__xludf.DUMMYFUNCTION("""COMPUTED_VALUE"""),60.66)</f>
        <v>60.66</v>
      </c>
      <c r="AI539" s="320">
        <f>IFERROR(__xludf.DUMMYFUNCTION("""COMPUTED_VALUE"""),26.54)</f>
        <v>26.54</v>
      </c>
      <c r="AJ539" s="320">
        <f>IFERROR(__xludf.DUMMYFUNCTION("""COMPUTED_VALUE"""),7.13)</f>
        <v>7.13</v>
      </c>
      <c r="AK539" s="320">
        <f>IFERROR(__xludf.DUMMYFUNCTION("""COMPUTED_VALUE"""),0.1808)</f>
        <v>0.1808</v>
      </c>
      <c r="AL539" s="320">
        <f>IFERROR(__xludf.DUMMYFUNCTION("""COMPUTED_VALUE"""),19.33)</f>
        <v>19.33</v>
      </c>
      <c r="AM539" s="320">
        <f>IFERROR(__xludf.DUMMYFUNCTION("""COMPUTED_VALUE"""),316.11)</f>
        <v>316.11</v>
      </c>
      <c r="AN539" s="320">
        <f>IFERROR(__xludf.DUMMYFUNCTION("""COMPUTED_VALUE"""),69.31)</f>
        <v>69.31</v>
      </c>
      <c r="AO539" s="320">
        <f>IFERROR(__xludf.DUMMYFUNCTION("""COMPUTED_VALUE"""),13.4)</f>
        <v>13.4</v>
      </c>
    </row>
    <row r="540" ht="15.0" customHeight="1">
      <c r="A540" s="328">
        <f>IFERROR(__xludf.DUMMYFUNCTION("""COMPUTED_VALUE"""),46139.0)</f>
        <v>46139</v>
      </c>
      <c r="B540" s="319" t="str">
        <f>IFERROR(__xludf.DUMMYFUNCTION("""COMPUTED_VALUE"""),"E. 40-99")</f>
        <v>E. 40-99</v>
      </c>
      <c r="C540" s="320">
        <f>IFERROR(__xludf.DUMMYFUNCTION("""COMPUTED_VALUE"""),3320.0)</f>
        <v>3320</v>
      </c>
      <c r="D540" s="320">
        <f>IFERROR(__xludf.DUMMYFUNCTION("""COMPUTED_VALUE"""),4.45)</f>
        <v>4.45</v>
      </c>
      <c r="E540" s="320">
        <f>IFERROR(__xludf.DUMMYFUNCTION("""COMPUTED_VALUE"""),19474.26)</f>
        <v>19474.26</v>
      </c>
      <c r="F540" s="320">
        <f>IFERROR(__xludf.DUMMYFUNCTION("""COMPUTED_VALUE"""),5.8657)</f>
        <v>5.8657</v>
      </c>
      <c r="G540" s="320">
        <f>IFERROR(__xludf.DUMMYFUNCTION("""COMPUTED_VALUE"""),41.81)</f>
        <v>41.81</v>
      </c>
      <c r="H540" s="320">
        <f>IFERROR(__xludf.DUMMYFUNCTION("""COMPUTED_VALUE"""),14.0304)</f>
        <v>14.0304</v>
      </c>
      <c r="I540" s="320">
        <f>IFERROR(__xludf.DUMMYFUNCTION("""COMPUTED_VALUE"""),145.27)</f>
        <v>145.27</v>
      </c>
      <c r="J540" s="320">
        <f>IFERROR(__xludf.DUMMYFUNCTION("""COMPUTED_VALUE"""),89.49)</f>
        <v>89.49</v>
      </c>
      <c r="K540" s="320">
        <f>IFERROR(__xludf.DUMMYFUNCTION("""COMPUTED_VALUE"""),60.78)</f>
        <v>60.78</v>
      </c>
      <c r="L540" s="320">
        <f>IFERROR(__xludf.DUMMYFUNCTION("""COMPUTED_VALUE"""),0.6792)</f>
        <v>0.6792</v>
      </c>
      <c r="M540" s="320">
        <f>IFERROR(__xludf.DUMMYFUNCTION("""COMPUTED_VALUE"""),0.408)</f>
        <v>0.408</v>
      </c>
      <c r="N540" s="320">
        <f>IFERROR(__xludf.DUMMYFUNCTION("""COMPUTED_VALUE"""),0.2321)</f>
        <v>0.2321</v>
      </c>
      <c r="O540" s="320">
        <f>IFERROR(__xludf.DUMMYFUNCTION("""COMPUTED_VALUE"""),1.4723)</f>
        <v>1.4723</v>
      </c>
      <c r="P540" s="320">
        <f>IFERROR(__xludf.DUMMYFUNCTION("""COMPUTED_VALUE"""),776.4)</f>
        <v>776.4</v>
      </c>
      <c r="Q540" s="320">
        <f>IFERROR(__xludf.DUMMYFUNCTION("""COMPUTED_VALUE"""),673.27)</f>
        <v>673.27</v>
      </c>
      <c r="R540" s="320">
        <f>IFERROR(__xludf.DUMMYFUNCTION("""COMPUTED_VALUE"""),103.13)</f>
        <v>103.13</v>
      </c>
      <c r="S540" s="320">
        <f>IFERROR(__xludf.DUMMYFUNCTION("""COMPUTED_VALUE"""),376.25)</f>
        <v>376.25</v>
      </c>
      <c r="T540" s="320">
        <f>IFERROR(__xludf.DUMMYFUNCTION("""COMPUTED_VALUE"""),400.15)</f>
        <v>400.15</v>
      </c>
      <c r="U540" s="320">
        <f>IFERROR(__xludf.DUMMYFUNCTION("""COMPUTED_VALUE"""),771.9)</f>
        <v>771.9</v>
      </c>
      <c r="V540" s="320">
        <f>IFERROR(__xludf.DUMMYFUNCTION("""COMPUTED_VALUE"""),8.6259)</f>
        <v>8.6259</v>
      </c>
      <c r="W540" s="320">
        <f>IFERROR(__xludf.DUMMYFUNCTION("""COMPUTED_VALUE"""),48.46)</f>
        <v>48.46</v>
      </c>
      <c r="X540" s="320">
        <f>IFERROR(__xludf.DUMMYFUNCTION("""COMPUTED_VALUE"""),105.0)</f>
        <v>105</v>
      </c>
      <c r="Y540" s="320">
        <f>IFERROR(__xludf.DUMMYFUNCTION("""COMPUTED_VALUE"""),363.0)</f>
        <v>363</v>
      </c>
      <c r="Z540" s="320">
        <f>IFERROR(__xludf.DUMMYFUNCTION("""COMPUTED_VALUE"""),1078.0)</f>
        <v>1078</v>
      </c>
      <c r="AA540" s="320">
        <f>IFERROR(__xludf.DUMMYFUNCTION("""COMPUTED_VALUE"""),57.0752)</f>
        <v>57.0752</v>
      </c>
      <c r="AB540" s="320">
        <f>IFERROR(__xludf.DUMMYFUNCTION("""COMPUTED_VALUE"""),0.6714)</f>
        <v>0.6714</v>
      </c>
      <c r="AC540" s="320">
        <f>IFERROR(__xludf.DUMMYFUNCTION("""COMPUTED_VALUE"""),36.38)</f>
        <v>36.38</v>
      </c>
      <c r="AD540" s="320">
        <f>IFERROR(__xludf.DUMMYFUNCTION("""COMPUTED_VALUE"""),14.0)</f>
        <v>14</v>
      </c>
      <c r="AE540" s="320">
        <f>IFERROR(__xludf.DUMMYFUNCTION("""COMPUTED_VALUE"""),29.0)</f>
        <v>29</v>
      </c>
      <c r="AF540" s="320">
        <f>IFERROR(__xludf.DUMMYFUNCTION("""COMPUTED_VALUE"""),49.0)</f>
        <v>49</v>
      </c>
      <c r="AG540" s="320">
        <f>IFERROR(__xludf.DUMMYFUNCTION("""COMPUTED_VALUE"""),76.0)</f>
        <v>76</v>
      </c>
      <c r="AH540" s="320">
        <f>IFERROR(__xludf.DUMMYFUNCTION("""COMPUTED_VALUE"""),52.2)</f>
        <v>52.2</v>
      </c>
      <c r="AI540" s="320">
        <f>IFERROR(__xludf.DUMMYFUNCTION("""COMPUTED_VALUE"""),17.92)</f>
        <v>17.92</v>
      </c>
      <c r="AJ540" s="320">
        <f>IFERROR(__xludf.DUMMYFUNCTION("""COMPUTED_VALUE"""),4.28)</f>
        <v>4.28</v>
      </c>
      <c r="AK540" s="320">
        <f>IFERROR(__xludf.DUMMYFUNCTION("""COMPUTED_VALUE"""),0.1663)</f>
        <v>0.1663</v>
      </c>
      <c r="AL540" s="320">
        <f>IFERROR(__xludf.DUMMYFUNCTION("""COMPUTED_VALUE"""),19.56)</f>
        <v>19.56</v>
      </c>
      <c r="AM540" s="320">
        <f>IFERROR(__xludf.DUMMYFUNCTION("""COMPUTED_VALUE"""),653.71)</f>
        <v>653.71</v>
      </c>
      <c r="AN540" s="320">
        <f>IFERROR(__xludf.DUMMYFUNCTION("""COMPUTED_VALUE"""),68.2)</f>
        <v>68.2</v>
      </c>
      <c r="AO540" s="320">
        <f>IFERROR(__xludf.DUMMYFUNCTION("""COMPUTED_VALUE"""),13.34)</f>
        <v>13.34</v>
      </c>
    </row>
    <row r="541" ht="15.0" customHeight="1">
      <c r="A541" s="328">
        <f>IFERROR(__xludf.DUMMYFUNCTION("""COMPUTED_VALUE"""),46139.0)</f>
        <v>46139</v>
      </c>
      <c r="B541" s="319" t="str">
        <f>IFERROR(__xludf.DUMMYFUNCTION("""COMPUTED_VALUE"""),"F. 100+")</f>
        <v>F. 100+</v>
      </c>
      <c r="C541" s="320">
        <f>IFERROR(__xludf.DUMMYFUNCTION("""COMPUTED_VALUE"""),345.0)</f>
        <v>345</v>
      </c>
      <c r="D541" s="320">
        <f>IFERROR(__xludf.DUMMYFUNCTION("""COMPUTED_VALUE"""),0.46)</f>
        <v>0.46</v>
      </c>
      <c r="E541" s="320">
        <f>IFERROR(__xludf.DUMMYFUNCTION("""COMPUTED_VALUE"""),4383.77)</f>
        <v>4383.77</v>
      </c>
      <c r="F541" s="320">
        <f>IFERROR(__xludf.DUMMYFUNCTION("""COMPUTED_VALUE"""),12.7066)</f>
        <v>12.7066</v>
      </c>
      <c r="G541" s="320">
        <f>IFERROR(__xludf.DUMMYFUNCTION("""COMPUTED_VALUE"""),47.83)</f>
        <v>47.83</v>
      </c>
      <c r="H541" s="320">
        <f>IFERROR(__xludf.DUMMYFUNCTION("""COMPUTED_VALUE"""),26.5683)</f>
        <v>26.5683</v>
      </c>
      <c r="I541" s="320">
        <f>IFERROR(__xludf.DUMMYFUNCTION("""COMPUTED_VALUE"""),258.48)</f>
        <v>258.48</v>
      </c>
      <c r="J541" s="320">
        <f>IFERROR(__xludf.DUMMYFUNCTION("""COMPUTED_VALUE"""),166.52)</f>
        <v>166.52</v>
      </c>
      <c r="K541" s="320">
        <f>IFERROR(__xludf.DUMMYFUNCTION("""COMPUTED_VALUE"""),136.74)</f>
        <v>136.74</v>
      </c>
      <c r="L541" s="320">
        <f>IFERROR(__xludf.DUMMYFUNCTION("""COMPUTED_VALUE"""),0.8212)</f>
        <v>0.8212</v>
      </c>
      <c r="M541" s="320">
        <f>IFERROR(__xludf.DUMMYFUNCTION("""COMPUTED_VALUE"""),0.2782)</f>
        <v>0.2782</v>
      </c>
      <c r="N541" s="320">
        <f>IFERROR(__xludf.DUMMYFUNCTION("""COMPUTED_VALUE"""),0.1759)</f>
        <v>0.1759</v>
      </c>
      <c r="O541" s="320">
        <f>IFERROR(__xludf.DUMMYFUNCTION("""COMPUTED_VALUE"""),1.2178)</f>
        <v>1.2178</v>
      </c>
      <c r="P541" s="320">
        <f>IFERROR(__xludf.DUMMYFUNCTION("""COMPUTED_VALUE"""),1572.11)</f>
        <v>1572.11</v>
      </c>
      <c r="Q541" s="320">
        <f>IFERROR(__xludf.DUMMYFUNCTION("""COMPUTED_VALUE"""),1306.69)</f>
        <v>1306.69</v>
      </c>
      <c r="R541" s="320">
        <f>IFERROR(__xludf.DUMMYFUNCTION("""COMPUTED_VALUE"""),265.42)</f>
        <v>265.42</v>
      </c>
      <c r="S541" s="320">
        <f>IFERROR(__xludf.DUMMYFUNCTION("""COMPUTED_VALUE"""),798.84)</f>
        <v>798.84</v>
      </c>
      <c r="T541" s="320">
        <f>IFERROR(__xludf.DUMMYFUNCTION("""COMPUTED_VALUE"""),773.27)</f>
        <v>773.27</v>
      </c>
      <c r="U541" s="320">
        <f>IFERROR(__xludf.DUMMYFUNCTION("""COMPUTED_VALUE"""),1544.06)</f>
        <v>1544.06</v>
      </c>
      <c r="V541" s="320">
        <f>IFERROR(__xludf.DUMMYFUNCTION("""COMPUTED_VALUE"""),9.2724)</f>
        <v>9.2724</v>
      </c>
      <c r="W541" s="320">
        <f>IFERROR(__xludf.DUMMYFUNCTION("""COMPUTED_VALUE"""),50.81)</f>
        <v>50.81</v>
      </c>
      <c r="X541" s="320">
        <f>IFERROR(__xludf.DUMMYFUNCTION("""COMPUTED_VALUE"""),181.0)</f>
        <v>181</v>
      </c>
      <c r="Y541" s="320">
        <f>IFERROR(__xludf.DUMMYFUNCTION("""COMPUTED_VALUE"""),575.0)</f>
        <v>575</v>
      </c>
      <c r="Z541" s="320">
        <f>IFERROR(__xludf.DUMMYFUNCTION("""COMPUTED_VALUE"""),2312.0)</f>
        <v>2312</v>
      </c>
      <c r="AA541" s="320">
        <f>IFERROR(__xludf.DUMMYFUNCTION("""COMPUTED_VALUE"""),62.0136)</f>
        <v>62.0136</v>
      </c>
      <c r="AB541" s="320">
        <f>IFERROR(__xludf.DUMMYFUNCTION("""COMPUTED_VALUE"""),0.8424)</f>
        <v>0.8424</v>
      </c>
      <c r="AC541" s="320">
        <f>IFERROR(__xludf.DUMMYFUNCTION("""COMPUTED_VALUE"""),93.05)</f>
        <v>93.05</v>
      </c>
      <c r="AD541" s="320">
        <f>IFERROR(__xludf.DUMMYFUNCTION("""COMPUTED_VALUE"""),35.0)</f>
        <v>35</v>
      </c>
      <c r="AE541" s="320">
        <f>IFERROR(__xludf.DUMMYFUNCTION("""COMPUTED_VALUE"""),80.0)</f>
        <v>80</v>
      </c>
      <c r="AF541" s="320">
        <f>IFERROR(__xludf.DUMMYFUNCTION("""COMPUTED_VALUE"""),128.0)</f>
        <v>128</v>
      </c>
      <c r="AG541" s="320">
        <f>IFERROR(__xludf.DUMMYFUNCTION("""COMPUTED_VALUE"""),191.0)</f>
        <v>191</v>
      </c>
      <c r="AH541" s="320">
        <f>IFERROR(__xludf.DUMMYFUNCTION("""COMPUTED_VALUE"""),48.99)</f>
        <v>48.99</v>
      </c>
      <c r="AI541" s="320">
        <f>IFERROR(__xludf.DUMMYFUNCTION("""COMPUTED_VALUE"""),11.88)</f>
        <v>11.88</v>
      </c>
      <c r="AJ541" s="320">
        <f>IFERROR(__xludf.DUMMYFUNCTION("""COMPUTED_VALUE"""),2.32)</f>
        <v>2.32</v>
      </c>
      <c r="AK541" s="320">
        <f>IFERROR(__xludf.DUMMYFUNCTION("""COMPUTED_VALUE"""),0.1681)</f>
        <v>0.1681</v>
      </c>
      <c r="AL541" s="320">
        <f>IFERROR(__xludf.DUMMYFUNCTION("""COMPUTED_VALUE"""),18.78)</f>
        <v>18.78</v>
      </c>
      <c r="AM541" s="320">
        <f>IFERROR(__xludf.DUMMYFUNCTION("""COMPUTED_VALUE"""),1287.91)</f>
        <v>1287.91</v>
      </c>
      <c r="AN541" s="320">
        <f>IFERROR(__xludf.DUMMYFUNCTION("""COMPUTED_VALUE"""),70.72)</f>
        <v>70.72</v>
      </c>
      <c r="AO541" s="320">
        <f>IFERROR(__xludf.DUMMYFUNCTION("""COMPUTED_VALUE"""),13.28)</f>
        <v>13.28</v>
      </c>
    </row>
    <row r="542" ht="15.0" customHeight="1">
      <c r="A542" s="328">
        <f>IFERROR(__xludf.DUMMYFUNCTION("""COMPUTED_VALUE"""),46140.0)</f>
        <v>46140</v>
      </c>
      <c r="B542" s="319" t="str">
        <f>IFERROR(__xludf.DUMMYFUNCTION("""COMPUTED_VALUE"""),"A. 0")</f>
        <v>A. 0</v>
      </c>
      <c r="C542" s="320">
        <f>IFERROR(__xludf.DUMMYFUNCTION("""COMPUTED_VALUE"""),14425.0)</f>
        <v>14425</v>
      </c>
      <c r="D542" s="320">
        <f>IFERROR(__xludf.DUMMYFUNCTION("""COMPUTED_VALUE"""),19.32)</f>
        <v>19.32</v>
      </c>
      <c r="E542" s="320">
        <f>IFERROR(__xludf.DUMMYFUNCTION("""COMPUTED_VALUE"""),353.07)</f>
        <v>353.07</v>
      </c>
      <c r="F542" s="320">
        <f>IFERROR(__xludf.DUMMYFUNCTION("""COMPUTED_VALUE"""),0.0245)</f>
        <v>0.0245</v>
      </c>
      <c r="G542" s="320">
        <f>IFERROR(__xludf.DUMMYFUNCTION("""COMPUTED_VALUE"""),0.77)</f>
        <v>0.77</v>
      </c>
      <c r="H542" s="320">
        <f>IFERROR(__xludf.DUMMYFUNCTION("""COMPUTED_VALUE"""),3.1808)</f>
        <v>3.1808</v>
      </c>
      <c r="I542" s="320">
        <f>IFERROR(__xludf.DUMMYFUNCTION("""COMPUTED_VALUE"""),6.04)</f>
        <v>6.04</v>
      </c>
      <c r="J542" s="320">
        <f>IFERROR(__xludf.DUMMYFUNCTION("""COMPUTED_VALUE"""),2.6)</f>
        <v>2.6</v>
      </c>
      <c r="K542" s="320">
        <f>IFERROR(__xludf.DUMMYFUNCTION("""COMPUTED_VALUE"""),0.04)</f>
        <v>0.04</v>
      </c>
      <c r="L542" s="320">
        <f>IFERROR(__xludf.DUMMYFUNCTION("""COMPUTED_VALUE"""),0.0152)</f>
        <v>0.0152</v>
      </c>
      <c r="M542" s="320">
        <f>IFERROR(__xludf.DUMMYFUNCTION("""COMPUTED_VALUE"""),0.9854)</f>
        <v>0.9854</v>
      </c>
      <c r="N542" s="320">
        <f>IFERROR(__xludf.DUMMYFUNCTION("""COMPUTED_VALUE"""),0.8304)</f>
        <v>0.8304</v>
      </c>
      <c r="O542" s="320">
        <f>IFERROR(__xludf.DUMMYFUNCTION("""COMPUTED_VALUE"""),65.6988)</f>
        <v>65.6988</v>
      </c>
      <c r="P542" s="320">
        <f>IFERROR(__xludf.DUMMYFUNCTION("""COMPUTED_VALUE"""),32.89)</f>
        <v>32.89</v>
      </c>
      <c r="Q542" s="320">
        <f>IFERROR(__xludf.DUMMYFUNCTION("""COMPUTED_VALUE"""),32.84)</f>
        <v>32.84</v>
      </c>
      <c r="R542" s="320">
        <f>IFERROR(__xludf.DUMMYFUNCTION("""COMPUTED_VALUE"""),0.05)</f>
        <v>0.05</v>
      </c>
      <c r="S542" s="320">
        <f>IFERROR(__xludf.DUMMYFUNCTION("""COMPUTED_VALUE"""),1.33)</f>
        <v>1.33</v>
      </c>
      <c r="T542" s="320">
        <f>IFERROR(__xludf.DUMMYFUNCTION("""COMPUTED_VALUE"""),31.56)</f>
        <v>31.56</v>
      </c>
      <c r="U542" s="320">
        <f>IFERROR(__xludf.DUMMYFUNCTION("""COMPUTED_VALUE"""),2.22)</f>
        <v>2.22</v>
      </c>
      <c r="V542" s="320">
        <f>IFERROR(__xludf.DUMMYFUNCTION("""COMPUTED_VALUE"""),0.853)</f>
        <v>0.853</v>
      </c>
      <c r="W542" s="320">
        <f>IFERROR(__xludf.DUMMYFUNCTION("""COMPUTED_VALUE"""),4.05)</f>
        <v>4.05</v>
      </c>
      <c r="X542" s="320">
        <f>IFERROR(__xludf.DUMMYFUNCTION("""COMPUTED_VALUE"""),172.0)</f>
        <v>172</v>
      </c>
      <c r="Y542" s="320">
        <f>IFERROR(__xludf.DUMMYFUNCTION("""COMPUTED_VALUE"""),1258.0)</f>
        <v>1258</v>
      </c>
      <c r="Z542" s="320">
        <f>IFERROR(__xludf.DUMMYFUNCTION("""COMPUTED_VALUE"""),8240.0)</f>
        <v>8240</v>
      </c>
      <c r="AA542" s="320">
        <f>IFERROR(__xludf.DUMMYFUNCTION("""COMPUTED_VALUE"""),49.5276)</f>
        <v>49.5276</v>
      </c>
      <c r="AB542" s="320">
        <f>IFERROR(__xludf.DUMMYFUNCTION("""COMPUTED_VALUE"""),0.502)</f>
        <v>0.502</v>
      </c>
      <c r="AC542" s="106"/>
      <c r="AD542" s="106"/>
      <c r="AE542" s="106"/>
      <c r="AF542" s="106"/>
      <c r="AG542" s="106"/>
      <c r="AH542" s="320">
        <f>IFERROR(__xludf.DUMMYFUNCTION("""COMPUTED_VALUE"""),0.0)</f>
        <v>0</v>
      </c>
      <c r="AI542" s="320">
        <f>IFERROR(__xludf.DUMMYFUNCTION("""COMPUTED_VALUE"""),0.0)</f>
        <v>0</v>
      </c>
      <c r="AJ542" s="320">
        <f>IFERROR(__xludf.DUMMYFUNCTION("""COMPUTED_VALUE"""),0.0)</f>
        <v>0</v>
      </c>
      <c r="AK542" s="320">
        <f>IFERROR(__xludf.DUMMYFUNCTION("""COMPUTED_VALUE"""),0.2655)</f>
        <v>0.2655</v>
      </c>
      <c r="AL542" s="320">
        <f>IFERROR(__xludf.DUMMYFUNCTION("""COMPUTED_VALUE"""),16.5)</f>
        <v>16.5</v>
      </c>
      <c r="AM542" s="320">
        <f>IFERROR(__xludf.DUMMYFUNCTION("""COMPUTED_VALUE"""),16.33)</f>
        <v>16.33</v>
      </c>
      <c r="AN542" s="331"/>
      <c r="AO542" s="331"/>
    </row>
    <row r="543" ht="15.0" customHeight="1">
      <c r="A543" s="328">
        <f>IFERROR(__xludf.DUMMYFUNCTION("""COMPUTED_VALUE"""),46140.0)</f>
        <v>46140</v>
      </c>
      <c r="B543" s="319" t="str">
        <f>IFERROR(__xludf.DUMMYFUNCTION("""COMPUTED_VALUE"""),"B. 1-9")</f>
        <v>B. 1-9</v>
      </c>
      <c r="C543" s="320">
        <f>IFERROR(__xludf.DUMMYFUNCTION("""COMPUTED_VALUE"""),31269.0)</f>
        <v>31269</v>
      </c>
      <c r="D543" s="320">
        <f>IFERROR(__xludf.DUMMYFUNCTION("""COMPUTED_VALUE"""),41.88)</f>
        <v>41.88</v>
      </c>
      <c r="E543" s="320">
        <f>IFERROR(__xludf.DUMMYFUNCTION("""COMPUTED_VALUE"""),9799.06)</f>
        <v>9799.06</v>
      </c>
      <c r="F543" s="320">
        <f>IFERROR(__xludf.DUMMYFUNCTION("""COMPUTED_VALUE"""),0.3134)</f>
        <v>0.3134</v>
      </c>
      <c r="G543" s="320">
        <f>IFERROR(__xludf.DUMMYFUNCTION("""COMPUTED_VALUE"""),8.79)</f>
        <v>8.79</v>
      </c>
      <c r="H543" s="320">
        <f>IFERROR(__xludf.DUMMYFUNCTION("""COMPUTED_VALUE"""),3.5646)</f>
        <v>3.5646</v>
      </c>
      <c r="I543" s="320">
        <f>IFERROR(__xludf.DUMMYFUNCTION("""COMPUTED_VALUE"""),32.45)</f>
        <v>32.45</v>
      </c>
      <c r="J543" s="320">
        <f>IFERROR(__xludf.DUMMYFUNCTION("""COMPUTED_VALUE"""),17.2)</f>
        <v>17.2</v>
      </c>
      <c r="K543" s="320">
        <f>IFERROR(__xludf.DUMMYFUNCTION("""COMPUTED_VALUE"""),5.71)</f>
        <v>5.71</v>
      </c>
      <c r="L543" s="320">
        <f>IFERROR(__xludf.DUMMYFUNCTION("""COMPUTED_VALUE"""),0.3323)</f>
        <v>0.3323</v>
      </c>
      <c r="M543" s="320">
        <f>IFERROR(__xludf.DUMMYFUNCTION("""COMPUTED_VALUE"""),0.74)</f>
        <v>0.74</v>
      </c>
      <c r="N543" s="320">
        <f>IFERROR(__xludf.DUMMYFUNCTION("""COMPUTED_VALUE"""),0.4841)</f>
        <v>0.4841</v>
      </c>
      <c r="O543" s="320">
        <f>IFERROR(__xludf.DUMMYFUNCTION("""COMPUTED_VALUE"""),3.0097)</f>
        <v>3.0097</v>
      </c>
      <c r="P543" s="320">
        <f>IFERROR(__xludf.DUMMYFUNCTION("""COMPUTED_VALUE"""),86.42)</f>
        <v>86.42</v>
      </c>
      <c r="Q543" s="320">
        <f>IFERROR(__xludf.DUMMYFUNCTION("""COMPUTED_VALUE"""),76.57)</f>
        <v>76.57</v>
      </c>
      <c r="R543" s="320">
        <f>IFERROR(__xludf.DUMMYFUNCTION("""COMPUTED_VALUE"""),9.84)</f>
        <v>9.84</v>
      </c>
      <c r="S543" s="320">
        <f>IFERROR(__xludf.DUMMYFUNCTION("""COMPUTED_VALUE"""),17.72)</f>
        <v>17.72</v>
      </c>
      <c r="T543" s="320">
        <f>IFERROR(__xludf.DUMMYFUNCTION("""COMPUTED_VALUE"""),68.7)</f>
        <v>68.7</v>
      </c>
      <c r="U543" s="320">
        <f>IFERROR(__xludf.DUMMYFUNCTION("""COMPUTED_VALUE"""),79.94)</f>
        <v>79.94</v>
      </c>
      <c r="V543" s="320">
        <f>IFERROR(__xludf.DUMMYFUNCTION("""COMPUTED_VALUE"""),4.649)</f>
        <v>4.649</v>
      </c>
      <c r="W543" s="320">
        <f>IFERROR(__xludf.DUMMYFUNCTION("""COMPUTED_VALUE"""),20.5)</f>
        <v>20.5</v>
      </c>
      <c r="X543" s="320">
        <f>IFERROR(__xludf.DUMMYFUNCTION("""COMPUTED_VALUE"""),91.0)</f>
        <v>91</v>
      </c>
      <c r="Y543" s="320">
        <f>IFERROR(__xludf.DUMMYFUNCTION("""COMPUTED_VALUE"""),220.0)</f>
        <v>220</v>
      </c>
      <c r="Z543" s="320">
        <f>IFERROR(__xludf.DUMMYFUNCTION("""COMPUTED_VALUE"""),875.0)</f>
        <v>875</v>
      </c>
      <c r="AA543" s="320">
        <f>IFERROR(__xludf.DUMMYFUNCTION("""COMPUTED_VALUE"""),49.2956)</f>
        <v>49.2956</v>
      </c>
      <c r="AB543" s="320">
        <f>IFERROR(__xludf.DUMMYFUNCTION("""COMPUTED_VALUE"""),0.4355)</f>
        <v>0.4355</v>
      </c>
      <c r="AC543" s="320">
        <f>IFERROR(__xludf.DUMMYFUNCTION("""COMPUTED_VALUE"""),3.95)</f>
        <v>3.95</v>
      </c>
      <c r="AD543" s="320">
        <f>IFERROR(__xludf.DUMMYFUNCTION("""COMPUTED_VALUE"""),1.0)</f>
        <v>1</v>
      </c>
      <c r="AE543" s="320">
        <f>IFERROR(__xludf.DUMMYFUNCTION("""COMPUTED_VALUE"""),2.0)</f>
        <v>2</v>
      </c>
      <c r="AF543" s="320">
        <f>IFERROR(__xludf.DUMMYFUNCTION("""COMPUTED_VALUE"""),5.0)</f>
        <v>5</v>
      </c>
      <c r="AG543" s="320">
        <f>IFERROR(__xludf.DUMMYFUNCTION("""COMPUTED_VALUE"""),9.0)</f>
        <v>9</v>
      </c>
      <c r="AH543" s="320">
        <f>IFERROR(__xludf.DUMMYFUNCTION("""COMPUTED_VALUE"""),69.45)</f>
        <v>69.45</v>
      </c>
      <c r="AI543" s="320">
        <f>IFERROR(__xludf.DUMMYFUNCTION("""COMPUTED_VALUE"""),28.59)</f>
        <v>28.59</v>
      </c>
      <c r="AJ543" s="320">
        <f>IFERROR(__xludf.DUMMYFUNCTION("""COMPUTED_VALUE"""),9.19)</f>
        <v>9.19</v>
      </c>
      <c r="AK543" s="320">
        <f>IFERROR(__xludf.DUMMYFUNCTION("""COMPUTED_VALUE"""),0.2135)</f>
        <v>0.2135</v>
      </c>
      <c r="AL543" s="320">
        <f>IFERROR(__xludf.DUMMYFUNCTION("""COMPUTED_VALUE"""),19.66)</f>
        <v>19.66</v>
      </c>
      <c r="AM543" s="320">
        <f>IFERROR(__xludf.DUMMYFUNCTION("""COMPUTED_VALUE"""),56.91)</f>
        <v>56.91</v>
      </c>
      <c r="AN543" s="320">
        <f>IFERROR(__xludf.DUMMYFUNCTION("""COMPUTED_VALUE"""),67.91)</f>
        <v>67.91</v>
      </c>
      <c r="AO543" s="320">
        <f>IFERROR(__xludf.DUMMYFUNCTION("""COMPUTED_VALUE"""),13.35)</f>
        <v>13.35</v>
      </c>
    </row>
    <row r="544" ht="15.0" customHeight="1">
      <c r="A544" s="328">
        <f>IFERROR(__xludf.DUMMYFUNCTION("""COMPUTED_VALUE"""),46140.0)</f>
        <v>46140</v>
      </c>
      <c r="B544" s="319" t="str">
        <f>IFERROR(__xludf.DUMMYFUNCTION("""COMPUTED_VALUE"""),"C. 10-19")</f>
        <v>C. 10-19</v>
      </c>
      <c r="C544" s="320">
        <f>IFERROR(__xludf.DUMMYFUNCTION("""COMPUTED_VALUE"""),16680.0)</f>
        <v>16680</v>
      </c>
      <c r="D544" s="320">
        <f>IFERROR(__xludf.DUMMYFUNCTION("""COMPUTED_VALUE"""),22.34)</f>
        <v>22.34</v>
      </c>
      <c r="E544" s="320">
        <f>IFERROR(__xludf.DUMMYFUNCTION("""COMPUTED_VALUE"""),20969.74)</f>
        <v>20969.74</v>
      </c>
      <c r="F544" s="320">
        <f>IFERROR(__xludf.DUMMYFUNCTION("""COMPUTED_VALUE"""),1.2572)</f>
        <v>1.2572</v>
      </c>
      <c r="G544" s="320">
        <f>IFERROR(__xludf.DUMMYFUNCTION("""COMPUTED_VALUE"""),26.01)</f>
        <v>26.01</v>
      </c>
      <c r="H544" s="320">
        <f>IFERROR(__xludf.DUMMYFUNCTION("""COMPUTED_VALUE"""),4.8329)</f>
        <v>4.8329</v>
      </c>
      <c r="I544" s="320">
        <f>IFERROR(__xludf.DUMMYFUNCTION("""COMPUTED_VALUE"""),63.47)</f>
        <v>63.47</v>
      </c>
      <c r="J544" s="320">
        <f>IFERROR(__xludf.DUMMYFUNCTION("""COMPUTED_VALUE"""),36.02)</f>
        <v>36.02</v>
      </c>
      <c r="K544" s="320">
        <f>IFERROR(__xludf.DUMMYFUNCTION("""COMPUTED_VALUE"""),16.23)</f>
        <v>16.23</v>
      </c>
      <c r="L544" s="320">
        <f>IFERROR(__xludf.DUMMYFUNCTION("""COMPUTED_VALUE"""),0.4506)</f>
        <v>0.4506</v>
      </c>
      <c r="M544" s="320">
        <f>IFERROR(__xludf.DUMMYFUNCTION("""COMPUTED_VALUE"""),0.6146)</f>
        <v>0.6146</v>
      </c>
      <c r="N544" s="320">
        <f>IFERROR(__xludf.DUMMYFUNCTION("""COMPUTED_VALUE"""),0.3399)</f>
        <v>0.3399</v>
      </c>
      <c r="O544" s="320">
        <f>IFERROR(__xludf.DUMMYFUNCTION("""COMPUTED_VALUE"""),2.2194)</f>
        <v>2.2194</v>
      </c>
      <c r="P544" s="320">
        <f>IFERROR(__xludf.DUMMYFUNCTION("""COMPUTED_VALUE"""),215.31)</f>
        <v>215.31</v>
      </c>
      <c r="Q544" s="320">
        <f>IFERROR(__xludf.DUMMYFUNCTION("""COMPUTED_VALUE"""),187.8)</f>
        <v>187.8</v>
      </c>
      <c r="R544" s="320">
        <f>IFERROR(__xludf.DUMMYFUNCTION("""COMPUTED_VALUE"""),27.51)</f>
        <v>27.51</v>
      </c>
      <c r="S544" s="320">
        <f>IFERROR(__xludf.DUMMYFUNCTION("""COMPUTED_VALUE"""),74.24)</f>
        <v>74.24</v>
      </c>
      <c r="T544" s="320">
        <f>IFERROR(__xludf.DUMMYFUNCTION("""COMPUTED_VALUE"""),141.07)</f>
        <v>141.07</v>
      </c>
      <c r="U544" s="320">
        <f>IFERROR(__xludf.DUMMYFUNCTION("""COMPUTED_VALUE"""),198.73)</f>
        <v>198.73</v>
      </c>
      <c r="V544" s="320">
        <f>IFERROR(__xludf.DUMMYFUNCTION("""COMPUTED_VALUE"""),5.5176)</f>
        <v>5.5176</v>
      </c>
      <c r="W544" s="320">
        <f>IFERROR(__xludf.DUMMYFUNCTION("""COMPUTED_VALUE"""),34.48)</f>
        <v>34.48</v>
      </c>
      <c r="X544" s="320">
        <f>IFERROR(__xludf.DUMMYFUNCTION("""COMPUTED_VALUE"""),90.0)</f>
        <v>90</v>
      </c>
      <c r="Y544" s="320">
        <f>IFERROR(__xludf.DUMMYFUNCTION("""COMPUTED_VALUE"""),220.0)</f>
        <v>220</v>
      </c>
      <c r="Z544" s="320">
        <f>IFERROR(__xludf.DUMMYFUNCTION("""COMPUTED_VALUE"""),692.0)</f>
        <v>692</v>
      </c>
      <c r="AA544" s="320">
        <f>IFERROR(__xludf.DUMMYFUNCTION("""COMPUTED_VALUE"""),52.1333)</f>
        <v>52.1333</v>
      </c>
      <c r="AB544" s="320">
        <f>IFERROR(__xludf.DUMMYFUNCTION("""COMPUTED_VALUE"""),0.5094)</f>
        <v>0.5094</v>
      </c>
      <c r="AC544" s="320">
        <f>IFERROR(__xludf.DUMMYFUNCTION("""COMPUTED_VALUE"""),10.43)</f>
        <v>10.43</v>
      </c>
      <c r="AD544" s="320">
        <f>IFERROR(__xludf.DUMMYFUNCTION("""COMPUTED_VALUE"""),3.0)</f>
        <v>3</v>
      </c>
      <c r="AE544" s="320">
        <f>IFERROR(__xludf.DUMMYFUNCTION("""COMPUTED_VALUE"""),8.0)</f>
        <v>8</v>
      </c>
      <c r="AF544" s="320">
        <f>IFERROR(__xludf.DUMMYFUNCTION("""COMPUTED_VALUE"""),15.0)</f>
        <v>15</v>
      </c>
      <c r="AG544" s="320">
        <f>IFERROR(__xludf.DUMMYFUNCTION("""COMPUTED_VALUE"""),23.0)</f>
        <v>23</v>
      </c>
      <c r="AH544" s="320">
        <f>IFERROR(__xludf.DUMMYFUNCTION("""COMPUTED_VALUE"""),61.85)</f>
        <v>61.85</v>
      </c>
      <c r="AI544" s="320">
        <f>IFERROR(__xludf.DUMMYFUNCTION("""COMPUTED_VALUE"""),31.34)</f>
        <v>31.34</v>
      </c>
      <c r="AJ544" s="320">
        <f>IFERROR(__xludf.DUMMYFUNCTION("""COMPUTED_VALUE"""),7.39)</f>
        <v>7.39</v>
      </c>
      <c r="AK544" s="320">
        <f>IFERROR(__xludf.DUMMYFUNCTION("""COMPUTED_VALUE"""),0.1687)</f>
        <v>0.1687</v>
      </c>
      <c r="AL544" s="320">
        <f>IFERROR(__xludf.DUMMYFUNCTION("""COMPUTED_VALUE"""),23.22)</f>
        <v>23.22</v>
      </c>
      <c r="AM544" s="320">
        <f>IFERROR(__xludf.DUMMYFUNCTION("""COMPUTED_VALUE"""),164.57)</f>
        <v>164.57</v>
      </c>
      <c r="AN544" s="320">
        <f>IFERROR(__xludf.DUMMYFUNCTION("""COMPUTED_VALUE"""),72.19)</f>
        <v>72.19</v>
      </c>
      <c r="AO544" s="320">
        <f>IFERROR(__xludf.DUMMYFUNCTION("""COMPUTED_VALUE"""),16.76)</f>
        <v>16.76</v>
      </c>
    </row>
    <row r="545" ht="15.0" customHeight="1">
      <c r="A545" s="328">
        <f>IFERROR(__xludf.DUMMYFUNCTION("""COMPUTED_VALUE"""),46140.0)</f>
        <v>46140</v>
      </c>
      <c r="B545" s="319" t="str">
        <f>IFERROR(__xludf.DUMMYFUNCTION("""COMPUTED_VALUE"""),"D. 20-39")</f>
        <v>D. 20-39</v>
      </c>
      <c r="C545" s="320">
        <f>IFERROR(__xludf.DUMMYFUNCTION("""COMPUTED_VALUE"""),8648.0)</f>
        <v>8648</v>
      </c>
      <c r="D545" s="320">
        <f>IFERROR(__xludf.DUMMYFUNCTION("""COMPUTED_VALUE"""),11.58)</f>
        <v>11.58</v>
      </c>
      <c r="E545" s="320">
        <f>IFERROR(__xludf.DUMMYFUNCTION("""COMPUTED_VALUE"""),24126.12)</f>
        <v>24126.12</v>
      </c>
      <c r="F545" s="320">
        <f>IFERROR(__xludf.DUMMYFUNCTION("""COMPUTED_VALUE"""),2.7898)</f>
        <v>2.7898</v>
      </c>
      <c r="G545" s="320">
        <f>IFERROR(__xludf.DUMMYFUNCTION("""COMPUTED_VALUE"""),38.41)</f>
        <v>38.41</v>
      </c>
      <c r="H545" s="320">
        <f>IFERROR(__xludf.DUMMYFUNCTION("""COMPUTED_VALUE"""),7.2625)</f>
        <v>7.2625</v>
      </c>
      <c r="I545" s="320">
        <f>IFERROR(__xludf.DUMMYFUNCTION("""COMPUTED_VALUE"""),90.04)</f>
        <v>90.04</v>
      </c>
      <c r="J545" s="320">
        <f>IFERROR(__xludf.DUMMYFUNCTION("""COMPUTED_VALUE"""),53.51)</f>
        <v>53.51</v>
      </c>
      <c r="K545" s="320">
        <f>IFERROR(__xludf.DUMMYFUNCTION("""COMPUTED_VALUE"""),31.72)</f>
        <v>31.72</v>
      </c>
      <c r="L545" s="320">
        <f>IFERROR(__xludf.DUMMYFUNCTION("""COMPUTED_VALUE"""),0.5928)</f>
        <v>0.5928</v>
      </c>
      <c r="M545" s="320">
        <f>IFERROR(__xludf.DUMMYFUNCTION("""COMPUTED_VALUE"""),0.4837)</f>
        <v>0.4837</v>
      </c>
      <c r="N545" s="320">
        <f>IFERROR(__xludf.DUMMYFUNCTION("""COMPUTED_VALUE"""),0.2608)</f>
        <v>0.2608</v>
      </c>
      <c r="O545" s="320">
        <f>IFERROR(__xludf.DUMMYFUNCTION("""COMPUTED_VALUE"""),1.687)</f>
        <v>1.687</v>
      </c>
      <c r="P545" s="320">
        <f>IFERROR(__xludf.DUMMYFUNCTION("""COMPUTED_VALUE"""),425.72)</f>
        <v>425.72</v>
      </c>
      <c r="Q545" s="320">
        <f>IFERROR(__xludf.DUMMYFUNCTION("""COMPUTED_VALUE"""),374.26)</f>
        <v>374.26</v>
      </c>
      <c r="R545" s="320">
        <f>IFERROR(__xludf.DUMMYFUNCTION("""COMPUTED_VALUE"""),51.46)</f>
        <v>51.46</v>
      </c>
      <c r="S545" s="320">
        <f>IFERROR(__xludf.DUMMYFUNCTION("""COMPUTED_VALUE"""),165.98)</f>
        <v>165.98</v>
      </c>
      <c r="T545" s="320">
        <f>IFERROR(__xludf.DUMMYFUNCTION("""COMPUTED_VALUE"""),259.74)</f>
        <v>259.74</v>
      </c>
      <c r="U545" s="320">
        <f>IFERROR(__xludf.DUMMYFUNCTION("""COMPUTED_VALUE"""),399.02)</f>
        <v>399.02</v>
      </c>
      <c r="V545" s="320">
        <f>IFERROR(__xludf.DUMMYFUNCTION("""COMPUTED_VALUE"""),7.4567)</f>
        <v>7.4567</v>
      </c>
      <c r="W545" s="320">
        <f>IFERROR(__xludf.DUMMYFUNCTION("""COMPUTED_VALUE"""),38.99)</f>
        <v>38.99</v>
      </c>
      <c r="X545" s="320">
        <f>IFERROR(__xludf.DUMMYFUNCTION("""COMPUTED_VALUE"""),96.0)</f>
        <v>96</v>
      </c>
      <c r="Y545" s="320">
        <f>IFERROR(__xludf.DUMMYFUNCTION("""COMPUTED_VALUE"""),280.0)</f>
        <v>280</v>
      </c>
      <c r="Z545" s="320">
        <f>IFERROR(__xludf.DUMMYFUNCTION("""COMPUTED_VALUE"""),762.0)</f>
        <v>762</v>
      </c>
      <c r="AA545" s="320">
        <f>IFERROR(__xludf.DUMMYFUNCTION("""COMPUTED_VALUE"""),54.4531)</f>
        <v>54.4531</v>
      </c>
      <c r="AB545" s="320">
        <f>IFERROR(__xludf.DUMMYFUNCTION("""COMPUTED_VALUE"""),0.6163)</f>
        <v>0.6163</v>
      </c>
      <c r="AC545" s="320">
        <f>IFERROR(__xludf.DUMMYFUNCTION("""COMPUTED_VALUE"""),20.02)</f>
        <v>20.02</v>
      </c>
      <c r="AD545" s="320">
        <f>IFERROR(__xludf.DUMMYFUNCTION("""COMPUTED_VALUE"""),7.0)</f>
        <v>7</v>
      </c>
      <c r="AE545" s="320">
        <f>IFERROR(__xludf.DUMMYFUNCTION("""COMPUTED_VALUE"""),16.0)</f>
        <v>16</v>
      </c>
      <c r="AF545" s="320">
        <f>IFERROR(__xludf.DUMMYFUNCTION("""COMPUTED_VALUE"""),28.0)</f>
        <v>28</v>
      </c>
      <c r="AG545" s="320">
        <f>IFERROR(__xludf.DUMMYFUNCTION("""COMPUTED_VALUE"""),41.0)</f>
        <v>41</v>
      </c>
      <c r="AH545" s="320">
        <f>IFERROR(__xludf.DUMMYFUNCTION("""COMPUTED_VALUE"""),63.73)</f>
        <v>63.73</v>
      </c>
      <c r="AI545" s="320">
        <f>IFERROR(__xludf.DUMMYFUNCTION("""COMPUTED_VALUE"""),29.94)</f>
        <v>29.94</v>
      </c>
      <c r="AJ545" s="320">
        <f>IFERROR(__xludf.DUMMYFUNCTION("""COMPUTED_VALUE"""),9.82)</f>
        <v>9.82</v>
      </c>
      <c r="AK545" s="320">
        <f>IFERROR(__xludf.DUMMYFUNCTION("""COMPUTED_VALUE"""),0.1846)</f>
        <v>0.1846</v>
      </c>
      <c r="AL545" s="320">
        <f>IFERROR(__xludf.DUMMYFUNCTION("""COMPUTED_VALUE"""),25.69)</f>
        <v>25.69</v>
      </c>
      <c r="AM545" s="320">
        <f>IFERROR(__xludf.DUMMYFUNCTION("""COMPUTED_VALUE"""),348.57)</f>
        <v>348.57</v>
      </c>
      <c r="AN545" s="320">
        <f>IFERROR(__xludf.DUMMYFUNCTION("""COMPUTED_VALUE"""),69.79)</f>
        <v>69.79</v>
      </c>
      <c r="AO545" s="320">
        <f>IFERROR(__xludf.DUMMYFUNCTION("""COMPUTED_VALUE"""),17.93)</f>
        <v>17.93</v>
      </c>
    </row>
    <row r="546" ht="15.0" customHeight="1">
      <c r="A546" s="328">
        <f>IFERROR(__xludf.DUMMYFUNCTION("""COMPUTED_VALUE"""),46140.0)</f>
        <v>46140</v>
      </c>
      <c r="B546" s="319" t="str">
        <f>IFERROR(__xludf.DUMMYFUNCTION("""COMPUTED_VALUE"""),"E. 40-99")</f>
        <v>E. 40-99</v>
      </c>
      <c r="C546" s="320">
        <f>IFERROR(__xludf.DUMMYFUNCTION("""COMPUTED_VALUE"""),3268.0)</f>
        <v>3268</v>
      </c>
      <c r="D546" s="320">
        <f>IFERROR(__xludf.DUMMYFUNCTION("""COMPUTED_VALUE"""),4.38)</f>
        <v>4.38</v>
      </c>
      <c r="E546" s="320">
        <f>IFERROR(__xludf.DUMMYFUNCTION("""COMPUTED_VALUE"""),15592.72)</f>
        <v>15592.72</v>
      </c>
      <c r="F546" s="320">
        <f>IFERROR(__xludf.DUMMYFUNCTION("""COMPUTED_VALUE"""),4.7713)</f>
        <v>4.7713</v>
      </c>
      <c r="G546" s="320">
        <f>IFERROR(__xludf.DUMMYFUNCTION("""COMPUTED_VALUE"""),45.56)</f>
        <v>45.56</v>
      </c>
      <c r="H546" s="320">
        <f>IFERROR(__xludf.DUMMYFUNCTION("""COMPUTED_VALUE"""),10.4719)</f>
        <v>10.4719</v>
      </c>
      <c r="I546" s="320">
        <f>IFERROR(__xludf.DUMMYFUNCTION("""COMPUTED_VALUE"""),136.38)</f>
        <v>136.38</v>
      </c>
      <c r="J546" s="320">
        <f>IFERROR(__xludf.DUMMYFUNCTION("""COMPUTED_VALUE"""),85.76)</f>
        <v>85.76</v>
      </c>
      <c r="K546" s="320">
        <f>IFERROR(__xludf.DUMMYFUNCTION("""COMPUTED_VALUE"""),60.34)</f>
        <v>60.34</v>
      </c>
      <c r="L546" s="320">
        <f>IFERROR(__xludf.DUMMYFUNCTION("""COMPUTED_VALUE"""),0.7036)</f>
        <v>0.7036</v>
      </c>
      <c r="M546" s="320">
        <f>IFERROR(__xludf.DUMMYFUNCTION("""COMPUTED_VALUE"""),0.3832)</f>
        <v>0.3832</v>
      </c>
      <c r="N546" s="320">
        <f>IFERROR(__xludf.DUMMYFUNCTION("""COMPUTED_VALUE"""),0.2157)</f>
        <v>0.2157</v>
      </c>
      <c r="O546" s="320">
        <f>IFERROR(__xludf.DUMMYFUNCTION("""COMPUTED_VALUE"""),1.4212)</f>
        <v>1.4212</v>
      </c>
      <c r="P546" s="320">
        <f>IFERROR(__xludf.DUMMYFUNCTION("""COMPUTED_VALUE"""),796.08)</f>
        <v>796.08</v>
      </c>
      <c r="Q546" s="320">
        <f>IFERROR(__xludf.DUMMYFUNCTION("""COMPUTED_VALUE"""),690.78)</f>
        <v>690.78</v>
      </c>
      <c r="R546" s="320">
        <f>IFERROR(__xludf.DUMMYFUNCTION("""COMPUTED_VALUE"""),105.3)</f>
        <v>105.3</v>
      </c>
      <c r="S546" s="320">
        <f>IFERROR(__xludf.DUMMYFUNCTION("""COMPUTED_VALUE"""),284.37)</f>
        <v>284.37</v>
      </c>
      <c r="T546" s="320">
        <f>IFERROR(__xludf.DUMMYFUNCTION("""COMPUTED_VALUE"""),511.7)</f>
        <v>511.7</v>
      </c>
      <c r="U546" s="320">
        <f>IFERROR(__xludf.DUMMYFUNCTION("""COMPUTED_VALUE"""),735.71)</f>
        <v>735.71</v>
      </c>
      <c r="V546" s="320">
        <f>IFERROR(__xludf.DUMMYFUNCTION("""COMPUTED_VALUE"""),8.5791)</f>
        <v>8.5791</v>
      </c>
      <c r="W546" s="320">
        <f>IFERROR(__xludf.DUMMYFUNCTION("""COMPUTED_VALUE"""),35.72)</f>
        <v>35.72</v>
      </c>
      <c r="X546" s="320">
        <f>IFERROR(__xludf.DUMMYFUNCTION("""COMPUTED_VALUE"""),118.0)</f>
        <v>118</v>
      </c>
      <c r="Y546" s="320">
        <f>IFERROR(__xludf.DUMMYFUNCTION("""COMPUTED_VALUE"""),403.0)</f>
        <v>403</v>
      </c>
      <c r="Z546" s="320">
        <f>IFERROR(__xludf.DUMMYFUNCTION("""COMPUTED_VALUE"""),1052.0)</f>
        <v>1052</v>
      </c>
      <c r="AA546" s="320">
        <f>IFERROR(__xludf.DUMMYFUNCTION("""COMPUTED_VALUE"""),57.5267)</f>
        <v>57.5267</v>
      </c>
      <c r="AB546" s="320">
        <f>IFERROR(__xludf.DUMMYFUNCTION("""COMPUTED_VALUE"""),0.7435)</f>
        <v>0.7435</v>
      </c>
      <c r="AC546" s="320">
        <f>IFERROR(__xludf.DUMMYFUNCTION("""COMPUTED_VALUE"""),40.8)</f>
        <v>40.8</v>
      </c>
      <c r="AD546" s="320">
        <f>IFERROR(__xludf.DUMMYFUNCTION("""COMPUTED_VALUE"""),17.0)</f>
        <v>17</v>
      </c>
      <c r="AE546" s="320">
        <f>IFERROR(__xludf.DUMMYFUNCTION("""COMPUTED_VALUE"""),34.0)</f>
        <v>34</v>
      </c>
      <c r="AF546" s="320">
        <f>IFERROR(__xludf.DUMMYFUNCTION("""COMPUTED_VALUE"""),56.0)</f>
        <v>56</v>
      </c>
      <c r="AG546" s="320">
        <f>IFERROR(__xludf.DUMMYFUNCTION("""COMPUTED_VALUE"""),82.0)</f>
        <v>82</v>
      </c>
      <c r="AH546" s="320">
        <f>IFERROR(__xludf.DUMMYFUNCTION("""COMPUTED_VALUE"""),58.11)</f>
        <v>58.11</v>
      </c>
      <c r="AI546" s="320">
        <f>IFERROR(__xludf.DUMMYFUNCTION("""COMPUTED_VALUE"""),22.4)</f>
        <v>22.4</v>
      </c>
      <c r="AJ546" s="320">
        <f>IFERROR(__xludf.DUMMYFUNCTION("""COMPUTED_VALUE"""),5.35)</f>
        <v>5.35</v>
      </c>
      <c r="AK546" s="320">
        <f>IFERROR(__xludf.DUMMYFUNCTION("""COMPUTED_VALUE"""),0.1564)</f>
        <v>0.1564</v>
      </c>
      <c r="AL546" s="320">
        <f>IFERROR(__xludf.DUMMYFUNCTION("""COMPUTED_VALUE"""),25.8)</f>
        <v>25.8</v>
      </c>
      <c r="AM546" s="320">
        <f>IFERROR(__xludf.DUMMYFUNCTION("""COMPUTED_VALUE"""),664.97)</f>
        <v>664.97</v>
      </c>
      <c r="AN546" s="320">
        <f>IFERROR(__xludf.DUMMYFUNCTION("""COMPUTED_VALUE"""),73.72)</f>
        <v>73.72</v>
      </c>
      <c r="AO546" s="320">
        <f>IFERROR(__xludf.DUMMYFUNCTION("""COMPUTED_VALUE"""),19.02)</f>
        <v>19.02</v>
      </c>
    </row>
    <row r="547" ht="15.0" customHeight="1">
      <c r="A547" s="328">
        <f>IFERROR(__xludf.DUMMYFUNCTION("""COMPUTED_VALUE"""),46140.0)</f>
        <v>46140</v>
      </c>
      <c r="B547" s="319" t="str">
        <f>IFERROR(__xludf.DUMMYFUNCTION("""COMPUTED_VALUE"""),"F. 100+")</f>
        <v>F. 100+</v>
      </c>
      <c r="C547" s="320">
        <f>IFERROR(__xludf.DUMMYFUNCTION("""COMPUTED_VALUE"""),365.0)</f>
        <v>365</v>
      </c>
      <c r="D547" s="320">
        <f>IFERROR(__xludf.DUMMYFUNCTION("""COMPUTED_VALUE"""),0.49)</f>
        <v>0.49</v>
      </c>
      <c r="E547" s="320">
        <f>IFERROR(__xludf.DUMMYFUNCTION("""COMPUTED_VALUE"""),2449.84)</f>
        <v>2449.84</v>
      </c>
      <c r="F547" s="320">
        <f>IFERROR(__xludf.DUMMYFUNCTION("""COMPUTED_VALUE"""),6.7119)</f>
        <v>6.7119</v>
      </c>
      <c r="G547" s="320">
        <f>IFERROR(__xludf.DUMMYFUNCTION("""COMPUTED_VALUE"""),46.85)</f>
        <v>46.85</v>
      </c>
      <c r="H547" s="320">
        <f>IFERROR(__xludf.DUMMYFUNCTION("""COMPUTED_VALUE"""),14.3265)</f>
        <v>14.3265</v>
      </c>
      <c r="I547" s="320">
        <f>IFERROR(__xludf.DUMMYFUNCTION("""COMPUTED_VALUE"""),246.18)</f>
        <v>246.18</v>
      </c>
      <c r="J547" s="320">
        <f>IFERROR(__xludf.DUMMYFUNCTION("""COMPUTED_VALUE"""),162.61)</f>
        <v>162.61</v>
      </c>
      <c r="K547" s="320">
        <f>IFERROR(__xludf.DUMMYFUNCTION("""COMPUTED_VALUE"""),137.57)</f>
        <v>137.57</v>
      </c>
      <c r="L547" s="320">
        <f>IFERROR(__xludf.DUMMYFUNCTION("""COMPUTED_VALUE"""),0.8461)</f>
        <v>0.8461</v>
      </c>
      <c r="M547" s="320">
        <f>IFERROR(__xludf.DUMMYFUNCTION("""COMPUTED_VALUE"""),0.2418)</f>
        <v>0.2418</v>
      </c>
      <c r="N547" s="320">
        <f>IFERROR(__xludf.DUMMYFUNCTION("""COMPUTED_VALUE"""),0.1532)</f>
        <v>0.1532</v>
      </c>
      <c r="O547" s="320">
        <f>IFERROR(__xludf.DUMMYFUNCTION("""COMPUTED_VALUE"""),1.182)</f>
        <v>1.182</v>
      </c>
      <c r="P547" s="320">
        <f>IFERROR(__xludf.DUMMYFUNCTION("""COMPUTED_VALUE"""),1458.81)</f>
        <v>1458.81</v>
      </c>
      <c r="Q547" s="320">
        <f>IFERROR(__xludf.DUMMYFUNCTION("""COMPUTED_VALUE"""),1212.09)</f>
        <v>1212.09</v>
      </c>
      <c r="R547" s="320">
        <f>IFERROR(__xludf.DUMMYFUNCTION("""COMPUTED_VALUE"""),246.73)</f>
        <v>246.73</v>
      </c>
      <c r="S547" s="320">
        <f>IFERROR(__xludf.DUMMYFUNCTION("""COMPUTED_VALUE"""),419.36)</f>
        <v>419.36</v>
      </c>
      <c r="T547" s="320">
        <f>IFERROR(__xludf.DUMMYFUNCTION("""COMPUTED_VALUE"""),1039.46)</f>
        <v>1039.46</v>
      </c>
      <c r="U547" s="320">
        <f>IFERROR(__xludf.DUMMYFUNCTION("""COMPUTED_VALUE"""),1350.82)</f>
        <v>1350.82</v>
      </c>
      <c r="V547" s="320">
        <f>IFERROR(__xludf.DUMMYFUNCTION("""COMPUTED_VALUE"""),8.3074)</f>
        <v>8.3074</v>
      </c>
      <c r="W547" s="320">
        <f>IFERROR(__xludf.DUMMYFUNCTION("""COMPUTED_VALUE"""),28.75)</f>
        <v>28.75</v>
      </c>
      <c r="X547" s="320">
        <f>IFERROR(__xludf.DUMMYFUNCTION("""COMPUTED_VALUE"""),289.0)</f>
        <v>289</v>
      </c>
      <c r="Y547" s="320">
        <f>IFERROR(__xludf.DUMMYFUNCTION("""COMPUTED_VALUE"""),853.0)</f>
        <v>853</v>
      </c>
      <c r="Z547" s="320">
        <f>IFERROR(__xludf.DUMMYFUNCTION("""COMPUTED_VALUE"""),2442.0)</f>
        <v>2442</v>
      </c>
      <c r="AA547" s="320">
        <f>IFERROR(__xludf.DUMMYFUNCTION("""COMPUTED_VALUE"""),61.561)</f>
        <v>61.561</v>
      </c>
      <c r="AB547" s="320">
        <f>IFERROR(__xludf.DUMMYFUNCTION("""COMPUTED_VALUE"""),0.8486)</f>
        <v>0.8486</v>
      </c>
      <c r="AC547" s="320">
        <f>IFERROR(__xludf.DUMMYFUNCTION("""COMPUTED_VALUE"""),98.37)</f>
        <v>98.37</v>
      </c>
      <c r="AD547" s="320">
        <f>IFERROR(__xludf.DUMMYFUNCTION("""COMPUTED_VALUE"""),41.0)</f>
        <v>41</v>
      </c>
      <c r="AE547" s="320">
        <f>IFERROR(__xludf.DUMMYFUNCTION("""COMPUTED_VALUE"""),89.0)</f>
        <v>89</v>
      </c>
      <c r="AF547" s="320">
        <f>IFERROR(__xludf.DUMMYFUNCTION("""COMPUTED_VALUE"""),136.0)</f>
        <v>136</v>
      </c>
      <c r="AG547" s="320">
        <f>IFERROR(__xludf.DUMMYFUNCTION("""COMPUTED_VALUE"""),189.0)</f>
        <v>189</v>
      </c>
      <c r="AH547" s="320">
        <f>IFERROR(__xludf.DUMMYFUNCTION("""COMPUTED_VALUE"""),54.52)</f>
        <v>54.52</v>
      </c>
      <c r="AI547" s="320">
        <f>IFERROR(__xludf.DUMMYFUNCTION("""COMPUTED_VALUE"""),13.15)</f>
        <v>13.15</v>
      </c>
      <c r="AJ547" s="320">
        <f>IFERROR(__xludf.DUMMYFUNCTION("""COMPUTED_VALUE"""),2.74)</f>
        <v>2.74</v>
      </c>
      <c r="AK547" s="320">
        <f>IFERROR(__xludf.DUMMYFUNCTION("""COMPUTED_VALUE"""),0.1562)</f>
        <v>0.1562</v>
      </c>
      <c r="AL547" s="320">
        <f>IFERROR(__xludf.DUMMYFUNCTION("""COMPUTED_VALUE"""),26.63)</f>
        <v>26.63</v>
      </c>
      <c r="AM547" s="320">
        <f>IFERROR(__xludf.DUMMYFUNCTION("""COMPUTED_VALUE"""),1185.46)</f>
        <v>1185.46</v>
      </c>
      <c r="AN547" s="320">
        <f>IFERROR(__xludf.DUMMYFUNCTION("""COMPUTED_VALUE"""),68.38)</f>
        <v>68.38</v>
      </c>
      <c r="AO547" s="320">
        <f>IFERROR(__xludf.DUMMYFUNCTION("""COMPUTED_VALUE"""),18.21)</f>
        <v>18.21</v>
      </c>
    </row>
    <row r="548" ht="15.0" customHeight="1">
      <c r="A548" s="328">
        <f>IFERROR(__xludf.DUMMYFUNCTION("""COMPUTED_VALUE"""),46141.0)</f>
        <v>46141</v>
      </c>
      <c r="B548" s="319" t="str">
        <f>IFERROR(__xludf.DUMMYFUNCTION("""COMPUTED_VALUE"""),"A. 0")</f>
        <v>A. 0</v>
      </c>
      <c r="C548" s="320">
        <f>IFERROR(__xludf.DUMMYFUNCTION("""COMPUTED_VALUE"""),15042.0)</f>
        <v>15042</v>
      </c>
      <c r="D548" s="320">
        <f>IFERROR(__xludf.DUMMYFUNCTION("""COMPUTED_VALUE"""),20.5)</f>
        <v>20.5</v>
      </c>
      <c r="E548" s="320">
        <f>IFERROR(__xludf.DUMMYFUNCTION("""COMPUTED_VALUE"""),269.27)</f>
        <v>269.27</v>
      </c>
      <c r="F548" s="320">
        <f>IFERROR(__xludf.DUMMYFUNCTION("""COMPUTED_VALUE"""),0.0179)</f>
        <v>0.0179</v>
      </c>
      <c r="G548" s="320">
        <f>IFERROR(__xludf.DUMMYFUNCTION("""COMPUTED_VALUE"""),0.51)</f>
        <v>0.51</v>
      </c>
      <c r="H548" s="320">
        <f>IFERROR(__xludf.DUMMYFUNCTION("""COMPUTED_VALUE"""),3.543)</f>
        <v>3.543</v>
      </c>
      <c r="I548" s="320">
        <f>IFERROR(__xludf.DUMMYFUNCTION("""COMPUTED_VALUE"""),6.48)</f>
        <v>6.48</v>
      </c>
      <c r="J548" s="320">
        <f>IFERROR(__xludf.DUMMYFUNCTION("""COMPUTED_VALUE"""),2.93)</f>
        <v>2.93</v>
      </c>
      <c r="K548" s="320">
        <f>IFERROR(__xludf.DUMMYFUNCTION("""COMPUTED_VALUE"""),0.03)</f>
        <v>0.03</v>
      </c>
      <c r="L548" s="320">
        <f>IFERROR(__xludf.DUMMYFUNCTION("""COMPUTED_VALUE"""),0.0092)</f>
        <v>0.0092</v>
      </c>
      <c r="M548" s="320">
        <f>IFERROR(__xludf.DUMMYFUNCTION("""COMPUTED_VALUE"""),0.9913)</f>
        <v>0.9913</v>
      </c>
      <c r="N548" s="320">
        <f>IFERROR(__xludf.DUMMYFUNCTION("""COMPUTED_VALUE"""),0.8944)</f>
        <v>0.8944</v>
      </c>
      <c r="O548" s="320">
        <f>IFERROR(__xludf.DUMMYFUNCTION("""COMPUTED_VALUE"""),108.6404)</f>
        <v>108.6404</v>
      </c>
      <c r="P548" s="320">
        <f>IFERROR(__xludf.DUMMYFUNCTION("""COMPUTED_VALUE"""),24.2)</f>
        <v>24.2</v>
      </c>
      <c r="Q548" s="320">
        <f>IFERROR(__xludf.DUMMYFUNCTION("""COMPUTED_VALUE"""),24.13)</f>
        <v>24.13</v>
      </c>
      <c r="R548" s="320">
        <f>IFERROR(__xludf.DUMMYFUNCTION("""COMPUTED_VALUE"""),0.07)</f>
        <v>0.07</v>
      </c>
      <c r="S548" s="320">
        <f>IFERROR(__xludf.DUMMYFUNCTION("""COMPUTED_VALUE"""),0.9)</f>
        <v>0.9</v>
      </c>
      <c r="T548" s="320">
        <f>IFERROR(__xludf.DUMMYFUNCTION("""COMPUTED_VALUE"""),23.29)</f>
        <v>23.29</v>
      </c>
      <c r="U548" s="320">
        <f>IFERROR(__xludf.DUMMYFUNCTION("""COMPUTED_VALUE"""),1.83)</f>
        <v>1.83</v>
      </c>
      <c r="V548" s="320">
        <f>IFERROR(__xludf.DUMMYFUNCTION("""COMPUTED_VALUE"""),0.6257)</f>
        <v>0.6257</v>
      </c>
      <c r="W548" s="320">
        <f>IFERROR(__xludf.DUMMYFUNCTION("""COMPUTED_VALUE"""),3.73)</f>
        <v>3.73</v>
      </c>
      <c r="X548" s="320">
        <f>IFERROR(__xludf.DUMMYFUNCTION("""COMPUTED_VALUE"""),158.0)</f>
        <v>158</v>
      </c>
      <c r="Y548" s="320">
        <f>IFERROR(__xludf.DUMMYFUNCTION("""COMPUTED_VALUE"""),1239.0)</f>
        <v>1239</v>
      </c>
      <c r="Z548" s="320">
        <f>IFERROR(__xludf.DUMMYFUNCTION("""COMPUTED_VALUE"""),7962.0)</f>
        <v>7962</v>
      </c>
      <c r="AA548" s="320">
        <f>IFERROR(__xludf.DUMMYFUNCTION("""COMPUTED_VALUE"""),49.7945)</f>
        <v>49.7945</v>
      </c>
      <c r="AB548" s="320">
        <f>IFERROR(__xludf.DUMMYFUNCTION("""COMPUTED_VALUE"""),0.508)</f>
        <v>0.508</v>
      </c>
      <c r="AC548" s="106"/>
      <c r="AD548" s="106"/>
      <c r="AE548" s="106"/>
      <c r="AF548" s="106"/>
      <c r="AG548" s="106"/>
      <c r="AH548" s="320">
        <f>IFERROR(__xludf.DUMMYFUNCTION("""COMPUTED_VALUE"""),0.0)</f>
        <v>0</v>
      </c>
      <c r="AI548" s="320">
        <f>IFERROR(__xludf.DUMMYFUNCTION("""COMPUTED_VALUE"""),0.0)</f>
        <v>0</v>
      </c>
      <c r="AJ548" s="320">
        <f>IFERROR(__xludf.DUMMYFUNCTION("""COMPUTED_VALUE"""),0.0)</f>
        <v>0</v>
      </c>
      <c r="AK548" s="320">
        <f>IFERROR(__xludf.DUMMYFUNCTION("""COMPUTED_VALUE"""),0.2682)</f>
        <v>0.2682</v>
      </c>
      <c r="AL548" s="320">
        <f>IFERROR(__xludf.DUMMYFUNCTION("""COMPUTED_VALUE"""),15.05)</f>
        <v>15.05</v>
      </c>
      <c r="AM548" s="320">
        <f>IFERROR(__xludf.DUMMYFUNCTION("""COMPUTED_VALUE"""),9.08)</f>
        <v>9.08</v>
      </c>
      <c r="AN548" s="331"/>
      <c r="AO548" s="331"/>
    </row>
    <row r="549" ht="15.0" customHeight="1">
      <c r="A549" s="328">
        <f>IFERROR(__xludf.DUMMYFUNCTION("""COMPUTED_VALUE"""),46141.0)</f>
        <v>46141</v>
      </c>
      <c r="B549" s="319" t="str">
        <f>IFERROR(__xludf.DUMMYFUNCTION("""COMPUTED_VALUE"""),"B. 1-9")</f>
        <v>B. 1-9</v>
      </c>
      <c r="C549" s="320">
        <f>IFERROR(__xludf.DUMMYFUNCTION("""COMPUTED_VALUE"""),30191.0)</f>
        <v>30191</v>
      </c>
      <c r="D549" s="320">
        <f>IFERROR(__xludf.DUMMYFUNCTION("""COMPUTED_VALUE"""),41.14)</f>
        <v>41.14</v>
      </c>
      <c r="E549" s="320">
        <f>IFERROR(__xludf.DUMMYFUNCTION("""COMPUTED_VALUE"""),8174.06)</f>
        <v>8174.06</v>
      </c>
      <c r="F549" s="320">
        <f>IFERROR(__xludf.DUMMYFUNCTION("""COMPUTED_VALUE"""),0.2707)</f>
        <v>0.2707</v>
      </c>
      <c r="G549" s="320">
        <f>IFERROR(__xludf.DUMMYFUNCTION("""COMPUTED_VALUE"""),7.54)</f>
        <v>7.54</v>
      </c>
      <c r="H549" s="320">
        <f>IFERROR(__xludf.DUMMYFUNCTION("""COMPUTED_VALUE"""),3.5914)</f>
        <v>3.5914</v>
      </c>
      <c r="I549" s="320">
        <f>IFERROR(__xludf.DUMMYFUNCTION("""COMPUTED_VALUE"""),34.4)</f>
        <v>34.4</v>
      </c>
      <c r="J549" s="320">
        <f>IFERROR(__xludf.DUMMYFUNCTION("""COMPUTED_VALUE"""),18.59)</f>
        <v>18.59</v>
      </c>
      <c r="K549" s="320">
        <f>IFERROR(__xludf.DUMMYFUNCTION("""COMPUTED_VALUE"""),5.58)</f>
        <v>5.58</v>
      </c>
      <c r="L549" s="320">
        <f>IFERROR(__xludf.DUMMYFUNCTION("""COMPUTED_VALUE"""),0.3003)</f>
        <v>0.3003</v>
      </c>
      <c r="M549" s="320">
        <f>IFERROR(__xludf.DUMMYFUNCTION("""COMPUTED_VALUE"""),0.7641)</f>
        <v>0.7641</v>
      </c>
      <c r="N549" s="320">
        <f>IFERROR(__xludf.DUMMYFUNCTION("""COMPUTED_VALUE"""),0.5013)</f>
        <v>0.5013</v>
      </c>
      <c r="O549" s="320">
        <f>IFERROR(__xludf.DUMMYFUNCTION("""COMPUTED_VALUE"""),3.3305)</f>
        <v>3.3305</v>
      </c>
      <c r="P549" s="320">
        <f>IFERROR(__xludf.DUMMYFUNCTION("""COMPUTED_VALUE"""),69.87)</f>
        <v>69.87</v>
      </c>
      <c r="Q549" s="320">
        <f>IFERROR(__xludf.DUMMYFUNCTION("""COMPUTED_VALUE"""),60.23)</f>
        <v>60.23</v>
      </c>
      <c r="R549" s="320">
        <f>IFERROR(__xludf.DUMMYFUNCTION("""COMPUTED_VALUE"""),9.64)</f>
        <v>9.64</v>
      </c>
      <c r="S549" s="320">
        <f>IFERROR(__xludf.DUMMYFUNCTION("""COMPUTED_VALUE"""),15.72)</f>
        <v>15.72</v>
      </c>
      <c r="T549" s="320">
        <f>IFERROR(__xludf.DUMMYFUNCTION("""COMPUTED_VALUE"""),54.14)</f>
        <v>54.14</v>
      </c>
      <c r="U549" s="320">
        <f>IFERROR(__xludf.DUMMYFUNCTION("""COMPUTED_VALUE"""),74.37)</f>
        <v>74.37</v>
      </c>
      <c r="V549" s="320">
        <f>IFERROR(__xludf.DUMMYFUNCTION("""COMPUTED_VALUE"""),4.0005)</f>
        <v>4.0005</v>
      </c>
      <c r="W549" s="320">
        <f>IFERROR(__xludf.DUMMYFUNCTION("""COMPUTED_VALUE"""),22.5)</f>
        <v>22.5</v>
      </c>
      <c r="X549" s="320">
        <f>IFERROR(__xludf.DUMMYFUNCTION("""COMPUTED_VALUE"""),87.0)</f>
        <v>87</v>
      </c>
      <c r="Y549" s="320">
        <f>IFERROR(__xludf.DUMMYFUNCTION("""COMPUTED_VALUE"""),220.0)</f>
        <v>220</v>
      </c>
      <c r="Z549" s="320">
        <f>IFERROR(__xludf.DUMMYFUNCTION("""COMPUTED_VALUE"""),873.0)</f>
        <v>873</v>
      </c>
      <c r="AA549" s="320">
        <f>IFERROR(__xludf.DUMMYFUNCTION("""COMPUTED_VALUE"""),49.335)</f>
        <v>49.335</v>
      </c>
      <c r="AB549" s="320">
        <f>IFERROR(__xludf.DUMMYFUNCTION("""COMPUTED_VALUE"""),0.4379)</f>
        <v>0.4379</v>
      </c>
      <c r="AC549" s="320">
        <f>IFERROR(__xludf.DUMMYFUNCTION("""COMPUTED_VALUE"""),3.75)</f>
        <v>3.75</v>
      </c>
      <c r="AD549" s="320">
        <f>IFERROR(__xludf.DUMMYFUNCTION("""COMPUTED_VALUE"""),1.0)</f>
        <v>1</v>
      </c>
      <c r="AE549" s="320">
        <f>IFERROR(__xludf.DUMMYFUNCTION("""COMPUTED_VALUE"""),2.0)</f>
        <v>2</v>
      </c>
      <c r="AF549" s="320">
        <f>IFERROR(__xludf.DUMMYFUNCTION("""COMPUTED_VALUE"""),5.0)</f>
        <v>5</v>
      </c>
      <c r="AG549" s="320">
        <f>IFERROR(__xludf.DUMMYFUNCTION("""COMPUTED_VALUE"""),9.0)</f>
        <v>9</v>
      </c>
      <c r="AH549" s="320">
        <f>IFERROR(__xludf.DUMMYFUNCTION("""COMPUTED_VALUE"""),68.17)</f>
        <v>68.17</v>
      </c>
      <c r="AI549" s="320">
        <f>IFERROR(__xludf.DUMMYFUNCTION("""COMPUTED_VALUE"""),26.75)</f>
        <v>26.75</v>
      </c>
      <c r="AJ549" s="320">
        <f>IFERROR(__xludf.DUMMYFUNCTION("""COMPUTED_VALUE"""),8.07)</f>
        <v>8.07</v>
      </c>
      <c r="AK549" s="320">
        <f>IFERROR(__xludf.DUMMYFUNCTION("""COMPUTED_VALUE"""),0.2204)</f>
        <v>0.2204</v>
      </c>
      <c r="AL549" s="320">
        <f>IFERROR(__xludf.DUMMYFUNCTION("""COMPUTED_VALUE"""),19.62)</f>
        <v>19.62</v>
      </c>
      <c r="AM549" s="320">
        <f>IFERROR(__xludf.DUMMYFUNCTION("""COMPUTED_VALUE"""),40.61)</f>
        <v>40.61</v>
      </c>
      <c r="AN549" s="320">
        <f>IFERROR(__xludf.DUMMYFUNCTION("""COMPUTED_VALUE"""),68.36)</f>
        <v>68.36</v>
      </c>
      <c r="AO549" s="320">
        <f>IFERROR(__xludf.DUMMYFUNCTION("""COMPUTED_VALUE"""),13.41)</f>
        <v>13.41</v>
      </c>
    </row>
    <row r="550" ht="15.0" customHeight="1">
      <c r="A550" s="328">
        <f>IFERROR(__xludf.DUMMYFUNCTION("""COMPUTED_VALUE"""),46141.0)</f>
        <v>46141</v>
      </c>
      <c r="B550" s="319" t="str">
        <f>IFERROR(__xludf.DUMMYFUNCTION("""COMPUTED_VALUE"""),"C. 10-19")</f>
        <v>C. 10-19</v>
      </c>
      <c r="C550" s="320">
        <f>IFERROR(__xludf.DUMMYFUNCTION("""COMPUTED_VALUE"""),16302.0)</f>
        <v>16302</v>
      </c>
      <c r="D550" s="320">
        <f>IFERROR(__xludf.DUMMYFUNCTION("""COMPUTED_VALUE"""),22.21)</f>
        <v>22.21</v>
      </c>
      <c r="E550" s="320">
        <f>IFERROR(__xludf.DUMMYFUNCTION("""COMPUTED_VALUE"""),19047.35)</f>
        <v>19047.35</v>
      </c>
      <c r="F550" s="320">
        <f>IFERROR(__xludf.DUMMYFUNCTION("""COMPUTED_VALUE"""),1.1684)</f>
        <v>1.1684</v>
      </c>
      <c r="G550" s="320">
        <f>IFERROR(__xludf.DUMMYFUNCTION("""COMPUTED_VALUE"""),23.32)</f>
        <v>23.32</v>
      </c>
      <c r="H550" s="320">
        <f>IFERROR(__xludf.DUMMYFUNCTION("""COMPUTED_VALUE"""),5.0098)</f>
        <v>5.0098</v>
      </c>
      <c r="I550" s="320">
        <f>IFERROR(__xludf.DUMMYFUNCTION("""COMPUTED_VALUE"""),63.13)</f>
        <v>63.13</v>
      </c>
      <c r="J550" s="320">
        <f>IFERROR(__xludf.DUMMYFUNCTION("""COMPUTED_VALUE"""),36.11)</f>
        <v>36.11</v>
      </c>
      <c r="K550" s="320">
        <f>IFERROR(__xludf.DUMMYFUNCTION("""COMPUTED_VALUE"""),14.72)</f>
        <v>14.72</v>
      </c>
      <c r="L550" s="320">
        <f>IFERROR(__xludf.DUMMYFUNCTION("""COMPUTED_VALUE"""),0.4076)</f>
        <v>0.4076</v>
      </c>
      <c r="M550" s="320">
        <f>IFERROR(__xludf.DUMMYFUNCTION("""COMPUTED_VALUE"""),0.6512)</f>
        <v>0.6512</v>
      </c>
      <c r="N550" s="320">
        <f>IFERROR(__xludf.DUMMYFUNCTION("""COMPUTED_VALUE"""),0.3625)</f>
        <v>0.3625</v>
      </c>
      <c r="O550" s="320">
        <f>IFERROR(__xludf.DUMMYFUNCTION("""COMPUTED_VALUE"""),2.4535)</f>
        <v>2.4535</v>
      </c>
      <c r="P550" s="320">
        <f>IFERROR(__xludf.DUMMYFUNCTION("""COMPUTED_VALUE"""),165.78)</f>
        <v>165.78</v>
      </c>
      <c r="Q550" s="320">
        <f>IFERROR(__xludf.DUMMYFUNCTION("""COMPUTED_VALUE"""),141.16)</f>
        <v>141.16</v>
      </c>
      <c r="R550" s="320">
        <f>IFERROR(__xludf.DUMMYFUNCTION("""COMPUTED_VALUE"""),24.62)</f>
        <v>24.62</v>
      </c>
      <c r="S550" s="320">
        <f>IFERROR(__xludf.DUMMYFUNCTION("""COMPUTED_VALUE"""),68.45)</f>
        <v>68.45</v>
      </c>
      <c r="T550" s="320">
        <f>IFERROR(__xludf.DUMMYFUNCTION("""COMPUTED_VALUE"""),97.33)</f>
        <v>97.33</v>
      </c>
      <c r="U550" s="320">
        <f>IFERROR(__xludf.DUMMYFUNCTION("""COMPUTED_VALUE"""),175.08)</f>
        <v>175.08</v>
      </c>
      <c r="V550" s="320">
        <f>IFERROR(__xludf.DUMMYFUNCTION("""COMPUTED_VALUE"""),4.8482)</f>
        <v>4.8482</v>
      </c>
      <c r="W550" s="320">
        <f>IFERROR(__xludf.DUMMYFUNCTION("""COMPUTED_VALUE"""),41.29)</f>
        <v>41.29</v>
      </c>
      <c r="X550" s="320">
        <f>IFERROR(__xludf.DUMMYFUNCTION("""COMPUTED_VALUE"""),84.0)</f>
        <v>84</v>
      </c>
      <c r="Y550" s="320">
        <f>IFERROR(__xludf.DUMMYFUNCTION("""COMPUTED_VALUE"""),190.0)</f>
        <v>190</v>
      </c>
      <c r="Z550" s="320">
        <f>IFERROR(__xludf.DUMMYFUNCTION("""COMPUTED_VALUE"""),638.0)</f>
        <v>638</v>
      </c>
      <c r="AA550" s="320">
        <f>IFERROR(__xludf.DUMMYFUNCTION("""COMPUTED_VALUE"""),52.2558)</f>
        <v>52.2558</v>
      </c>
      <c r="AB550" s="320">
        <f>IFERROR(__xludf.DUMMYFUNCTION("""COMPUTED_VALUE"""),0.5286)</f>
        <v>0.5286</v>
      </c>
      <c r="AC550" s="320">
        <f>IFERROR(__xludf.DUMMYFUNCTION("""COMPUTED_VALUE"""),9.15)</f>
        <v>9.15</v>
      </c>
      <c r="AD550" s="320">
        <f>IFERROR(__xludf.DUMMYFUNCTION("""COMPUTED_VALUE"""),3.0)</f>
        <v>3</v>
      </c>
      <c r="AE550" s="320">
        <f>IFERROR(__xludf.DUMMYFUNCTION("""COMPUTED_VALUE"""),7.0)</f>
        <v>7</v>
      </c>
      <c r="AF550" s="320">
        <f>IFERROR(__xludf.DUMMYFUNCTION("""COMPUTED_VALUE"""),13.0)</f>
        <v>13</v>
      </c>
      <c r="AG550" s="320">
        <f>IFERROR(__xludf.DUMMYFUNCTION("""COMPUTED_VALUE"""),20.0)</f>
        <v>20</v>
      </c>
      <c r="AH550" s="320">
        <f>IFERROR(__xludf.DUMMYFUNCTION("""COMPUTED_VALUE"""),55.55)</f>
        <v>55.55</v>
      </c>
      <c r="AI550" s="320">
        <f>IFERROR(__xludf.DUMMYFUNCTION("""COMPUTED_VALUE"""),25.76)</f>
        <v>25.76</v>
      </c>
      <c r="AJ550" s="320">
        <f>IFERROR(__xludf.DUMMYFUNCTION("""COMPUTED_VALUE"""),5.32)</f>
        <v>5.32</v>
      </c>
      <c r="AK550" s="320">
        <f>IFERROR(__xludf.DUMMYFUNCTION("""COMPUTED_VALUE"""),0.1853)</f>
        <v>0.1853</v>
      </c>
      <c r="AL550" s="320">
        <f>IFERROR(__xludf.DUMMYFUNCTION("""COMPUTED_VALUE"""),20.75)</f>
        <v>20.75</v>
      </c>
      <c r="AM550" s="320">
        <f>IFERROR(__xludf.DUMMYFUNCTION("""COMPUTED_VALUE"""),120.41)</f>
        <v>120.41</v>
      </c>
      <c r="AN550" s="320">
        <f>IFERROR(__xludf.DUMMYFUNCTION("""COMPUTED_VALUE"""),73.01)</f>
        <v>73.01</v>
      </c>
      <c r="AO550" s="320">
        <f>IFERROR(__xludf.DUMMYFUNCTION("""COMPUTED_VALUE"""),15.15)</f>
        <v>15.15</v>
      </c>
    </row>
    <row r="551" ht="15.0" customHeight="1">
      <c r="A551" s="328">
        <f>IFERROR(__xludf.DUMMYFUNCTION("""COMPUTED_VALUE"""),46141.0)</f>
        <v>46141</v>
      </c>
      <c r="B551" s="319" t="str">
        <f>IFERROR(__xludf.DUMMYFUNCTION("""COMPUTED_VALUE"""),"D. 20-39")</f>
        <v>D. 20-39</v>
      </c>
      <c r="C551" s="320">
        <f>IFERROR(__xludf.DUMMYFUNCTION("""COMPUTED_VALUE"""),8250.0)</f>
        <v>8250</v>
      </c>
      <c r="D551" s="320">
        <f>IFERROR(__xludf.DUMMYFUNCTION("""COMPUTED_VALUE"""),11.24)</f>
        <v>11.24</v>
      </c>
      <c r="E551" s="320">
        <f>IFERROR(__xludf.DUMMYFUNCTION("""COMPUTED_VALUE"""),20650.09)</f>
        <v>20650.09</v>
      </c>
      <c r="F551" s="320">
        <f>IFERROR(__xludf.DUMMYFUNCTION("""COMPUTED_VALUE"""),2.503)</f>
        <v>2.503</v>
      </c>
      <c r="G551" s="320">
        <f>IFERROR(__xludf.DUMMYFUNCTION("""COMPUTED_VALUE"""),34.21)</f>
        <v>34.21</v>
      </c>
      <c r="H551" s="320">
        <f>IFERROR(__xludf.DUMMYFUNCTION("""COMPUTED_VALUE"""),7.3175)</f>
        <v>7.3175</v>
      </c>
      <c r="I551" s="320">
        <f>IFERROR(__xludf.DUMMYFUNCTION("""COMPUTED_VALUE"""),84.39)</f>
        <v>84.39</v>
      </c>
      <c r="J551" s="320">
        <f>IFERROR(__xludf.DUMMYFUNCTION("""COMPUTED_VALUE"""),50.54)</f>
        <v>50.54</v>
      </c>
      <c r="K551" s="320">
        <f>IFERROR(__xludf.DUMMYFUNCTION("""COMPUTED_VALUE"""),26.99)</f>
        <v>26.99</v>
      </c>
      <c r="L551" s="320">
        <f>IFERROR(__xludf.DUMMYFUNCTION("""COMPUTED_VALUE"""),0.5339)</f>
        <v>0.5339</v>
      </c>
      <c r="M551" s="320">
        <f>IFERROR(__xludf.DUMMYFUNCTION("""COMPUTED_VALUE"""),0.5334)</f>
        <v>0.5334</v>
      </c>
      <c r="N551" s="320">
        <f>IFERROR(__xludf.DUMMYFUNCTION("""COMPUTED_VALUE"""),0.2833)</f>
        <v>0.2833</v>
      </c>
      <c r="O551" s="320">
        <f>IFERROR(__xludf.DUMMYFUNCTION("""COMPUTED_VALUE"""),1.8729)</f>
        <v>1.8729</v>
      </c>
      <c r="P551" s="320">
        <f>IFERROR(__xludf.DUMMYFUNCTION("""COMPUTED_VALUE"""),303.32)</f>
        <v>303.32</v>
      </c>
      <c r="Q551" s="320">
        <f>IFERROR(__xludf.DUMMYFUNCTION("""COMPUTED_VALUE"""),256.97)</f>
        <v>256.97</v>
      </c>
      <c r="R551" s="320">
        <f>IFERROR(__xludf.DUMMYFUNCTION("""COMPUTED_VALUE"""),46.35)</f>
        <v>46.35</v>
      </c>
      <c r="S551" s="320">
        <f>IFERROR(__xludf.DUMMYFUNCTION("""COMPUTED_VALUE"""),149.89)</f>
        <v>149.89</v>
      </c>
      <c r="T551" s="320">
        <f>IFERROR(__xludf.DUMMYFUNCTION("""COMPUTED_VALUE"""),153.42)</f>
        <v>153.42</v>
      </c>
      <c r="U551" s="320">
        <f>IFERROR(__xludf.DUMMYFUNCTION("""COMPUTED_VALUE"""),319.73)</f>
        <v>319.73</v>
      </c>
      <c r="V551" s="320">
        <f>IFERROR(__xludf.DUMMYFUNCTION("""COMPUTED_VALUE"""),6.3258)</f>
        <v>6.3258</v>
      </c>
      <c r="W551" s="320">
        <f>IFERROR(__xludf.DUMMYFUNCTION("""COMPUTED_VALUE"""),49.42)</f>
        <v>49.42</v>
      </c>
      <c r="X551" s="320">
        <f>IFERROR(__xludf.DUMMYFUNCTION("""COMPUTED_VALUE"""),85.0)</f>
        <v>85</v>
      </c>
      <c r="Y551" s="320">
        <f>IFERROR(__xludf.DUMMYFUNCTION("""COMPUTED_VALUE"""),215.0)</f>
        <v>215</v>
      </c>
      <c r="Z551" s="320">
        <f>IFERROR(__xludf.DUMMYFUNCTION("""COMPUTED_VALUE"""),684.0)</f>
        <v>684</v>
      </c>
      <c r="AA551" s="320">
        <f>IFERROR(__xludf.DUMMYFUNCTION("""COMPUTED_VALUE"""),54.5848)</f>
        <v>54.5848</v>
      </c>
      <c r="AB551" s="320">
        <f>IFERROR(__xludf.DUMMYFUNCTION("""COMPUTED_VALUE"""),0.6693)</f>
        <v>0.6693</v>
      </c>
      <c r="AC551" s="320">
        <f>IFERROR(__xludf.DUMMYFUNCTION("""COMPUTED_VALUE"""),17.67)</f>
        <v>17.67</v>
      </c>
      <c r="AD551" s="320">
        <f>IFERROR(__xludf.DUMMYFUNCTION("""COMPUTED_VALUE"""),6.0)</f>
        <v>6</v>
      </c>
      <c r="AE551" s="320">
        <f>IFERROR(__xludf.DUMMYFUNCTION("""COMPUTED_VALUE"""),13.0)</f>
        <v>13</v>
      </c>
      <c r="AF551" s="320">
        <f>IFERROR(__xludf.DUMMYFUNCTION("""COMPUTED_VALUE"""),25.0)</f>
        <v>25</v>
      </c>
      <c r="AG551" s="320">
        <f>IFERROR(__xludf.DUMMYFUNCTION("""COMPUTED_VALUE"""),38.0)</f>
        <v>38</v>
      </c>
      <c r="AH551" s="320">
        <f>IFERROR(__xludf.DUMMYFUNCTION("""COMPUTED_VALUE"""),57.04)</f>
        <v>57.04</v>
      </c>
      <c r="AI551" s="320">
        <f>IFERROR(__xludf.DUMMYFUNCTION("""COMPUTED_VALUE"""),23.89)</f>
        <v>23.89</v>
      </c>
      <c r="AJ551" s="320">
        <f>IFERROR(__xludf.DUMMYFUNCTION("""COMPUTED_VALUE"""),7.83)</f>
        <v>7.83</v>
      </c>
      <c r="AK551" s="320">
        <f>IFERROR(__xludf.DUMMYFUNCTION("""COMPUTED_VALUE"""),0.1943)</f>
        <v>0.1943</v>
      </c>
      <c r="AL551" s="320">
        <f>IFERROR(__xludf.DUMMYFUNCTION("""COMPUTED_VALUE"""),20.15)</f>
        <v>20.15</v>
      </c>
      <c r="AM551" s="320">
        <f>IFERROR(__xludf.DUMMYFUNCTION("""COMPUTED_VALUE"""),236.82)</f>
        <v>236.82</v>
      </c>
      <c r="AN551" s="320">
        <f>IFERROR(__xludf.DUMMYFUNCTION("""COMPUTED_VALUE"""),73.6)</f>
        <v>73.6</v>
      </c>
      <c r="AO551" s="320">
        <f>IFERROR(__xludf.DUMMYFUNCTION("""COMPUTED_VALUE"""),14.83)</f>
        <v>14.83</v>
      </c>
    </row>
    <row r="552" ht="15.0" customHeight="1">
      <c r="A552" s="328">
        <f>IFERROR(__xludf.DUMMYFUNCTION("""COMPUTED_VALUE"""),46141.0)</f>
        <v>46141</v>
      </c>
      <c r="B552" s="319" t="str">
        <f>IFERROR(__xludf.DUMMYFUNCTION("""COMPUTED_VALUE"""),"E. 40-99")</f>
        <v>E. 40-99</v>
      </c>
      <c r="C552" s="320">
        <f>IFERROR(__xludf.DUMMYFUNCTION("""COMPUTED_VALUE"""),3244.0)</f>
        <v>3244</v>
      </c>
      <c r="D552" s="320">
        <f>IFERROR(__xludf.DUMMYFUNCTION("""COMPUTED_VALUE"""),4.42)</f>
        <v>4.42</v>
      </c>
      <c r="E552" s="320">
        <f>IFERROR(__xludf.DUMMYFUNCTION("""COMPUTED_VALUE"""),16734.57)</f>
        <v>16734.57</v>
      </c>
      <c r="F552" s="320">
        <f>IFERROR(__xludf.DUMMYFUNCTION("""COMPUTED_VALUE"""),5.1586)</f>
        <v>5.1586</v>
      </c>
      <c r="G552" s="320">
        <f>IFERROR(__xludf.DUMMYFUNCTION("""COMPUTED_VALUE"""),43.77)</f>
        <v>43.77</v>
      </c>
      <c r="H552" s="320">
        <f>IFERROR(__xludf.DUMMYFUNCTION("""COMPUTED_VALUE"""),11.7849)</f>
        <v>11.7849</v>
      </c>
      <c r="I552" s="320">
        <f>IFERROR(__xludf.DUMMYFUNCTION("""COMPUTED_VALUE"""),131.55)</f>
        <v>131.55</v>
      </c>
      <c r="J552" s="320">
        <f>IFERROR(__xludf.DUMMYFUNCTION("""COMPUTED_VALUE"""),82.32)</f>
        <v>82.32</v>
      </c>
      <c r="K552" s="320">
        <f>IFERROR(__xludf.DUMMYFUNCTION("""COMPUTED_VALUE"""),54.68)</f>
        <v>54.68</v>
      </c>
      <c r="L552" s="320">
        <f>IFERROR(__xludf.DUMMYFUNCTION("""COMPUTED_VALUE"""),0.6643)</f>
        <v>0.6643</v>
      </c>
      <c r="M552" s="320">
        <f>IFERROR(__xludf.DUMMYFUNCTION("""COMPUTED_VALUE"""),0.4151)</f>
        <v>0.4151</v>
      </c>
      <c r="N552" s="320">
        <f>IFERROR(__xludf.DUMMYFUNCTION("""COMPUTED_VALUE"""),0.2258)</f>
        <v>0.2258</v>
      </c>
      <c r="O552" s="320">
        <f>IFERROR(__xludf.DUMMYFUNCTION("""COMPUTED_VALUE"""),1.5054)</f>
        <v>1.5054</v>
      </c>
      <c r="P552" s="320">
        <f>IFERROR(__xludf.DUMMYFUNCTION("""COMPUTED_VALUE"""),594.95)</f>
        <v>594.95</v>
      </c>
      <c r="Q552" s="320">
        <f>IFERROR(__xludf.DUMMYFUNCTION("""COMPUTED_VALUE"""),498.88)</f>
        <v>498.88</v>
      </c>
      <c r="R552" s="320">
        <f>IFERROR(__xludf.DUMMYFUNCTION("""COMPUTED_VALUE"""),96.08)</f>
        <v>96.08</v>
      </c>
      <c r="S552" s="320">
        <f>IFERROR(__xludf.DUMMYFUNCTION("""COMPUTED_VALUE"""),317.88)</f>
        <v>317.88</v>
      </c>
      <c r="T552" s="320">
        <f>IFERROR(__xludf.DUMMYFUNCTION("""COMPUTED_VALUE"""),277.07)</f>
        <v>277.07</v>
      </c>
      <c r="U552" s="320">
        <f>IFERROR(__xludf.DUMMYFUNCTION("""COMPUTED_VALUE"""),642.56)</f>
        <v>642.56</v>
      </c>
      <c r="V552" s="320">
        <f>IFERROR(__xludf.DUMMYFUNCTION("""COMPUTED_VALUE"""),7.8059)</f>
        <v>7.8059</v>
      </c>
      <c r="W552" s="320">
        <f>IFERROR(__xludf.DUMMYFUNCTION("""COMPUTED_VALUE"""),53.43)</f>
        <v>53.43</v>
      </c>
      <c r="X552" s="320">
        <f>IFERROR(__xludf.DUMMYFUNCTION("""COMPUTED_VALUE"""),96.0)</f>
        <v>96</v>
      </c>
      <c r="Y552" s="320">
        <f>IFERROR(__xludf.DUMMYFUNCTION("""COMPUTED_VALUE"""),311.0)</f>
        <v>311</v>
      </c>
      <c r="Z552" s="320">
        <f>IFERROR(__xludf.DUMMYFUNCTION("""COMPUTED_VALUE"""),898.0)</f>
        <v>898</v>
      </c>
      <c r="AA552" s="320">
        <f>IFERROR(__xludf.DUMMYFUNCTION("""COMPUTED_VALUE"""),57.5849)</f>
        <v>57.5849</v>
      </c>
      <c r="AB552" s="320">
        <f>IFERROR(__xludf.DUMMYFUNCTION("""COMPUTED_VALUE"""),0.7737)</f>
        <v>0.7737</v>
      </c>
      <c r="AC552" s="320">
        <f>IFERROR(__xludf.DUMMYFUNCTION("""COMPUTED_VALUE"""),36.46)</f>
        <v>36.46</v>
      </c>
      <c r="AD552" s="320">
        <f>IFERROR(__xludf.DUMMYFUNCTION("""COMPUTED_VALUE"""),12.0)</f>
        <v>12</v>
      </c>
      <c r="AE552" s="320">
        <f>IFERROR(__xludf.DUMMYFUNCTION("""COMPUTED_VALUE"""),29.0)</f>
        <v>29</v>
      </c>
      <c r="AF552" s="320">
        <f>IFERROR(__xludf.DUMMYFUNCTION("""COMPUTED_VALUE"""),51.0)</f>
        <v>51</v>
      </c>
      <c r="AG552" s="320">
        <f>IFERROR(__xludf.DUMMYFUNCTION("""COMPUTED_VALUE"""),78.0)</f>
        <v>78</v>
      </c>
      <c r="AH552" s="320">
        <f>IFERROR(__xludf.DUMMYFUNCTION("""COMPUTED_VALUE"""),50.77)</f>
        <v>50.77</v>
      </c>
      <c r="AI552" s="320">
        <f>IFERROR(__xludf.DUMMYFUNCTION("""COMPUTED_VALUE"""),18.8)</f>
        <v>18.8</v>
      </c>
      <c r="AJ552" s="320">
        <f>IFERROR(__xludf.DUMMYFUNCTION("""COMPUTED_VALUE"""),4.72)</f>
        <v>4.72</v>
      </c>
      <c r="AK552" s="320">
        <f>IFERROR(__xludf.DUMMYFUNCTION("""COMPUTED_VALUE"""),0.193)</f>
        <v>0.193</v>
      </c>
      <c r="AL552" s="320">
        <f>IFERROR(__xludf.DUMMYFUNCTION("""COMPUTED_VALUE"""),20.32)</f>
        <v>20.32</v>
      </c>
      <c r="AM552" s="320">
        <f>IFERROR(__xludf.DUMMYFUNCTION("""COMPUTED_VALUE"""),478.55)</f>
        <v>478.55</v>
      </c>
      <c r="AN552" s="320">
        <f>IFERROR(__xludf.DUMMYFUNCTION("""COMPUTED_VALUE"""),74.28)</f>
        <v>74.28</v>
      </c>
      <c r="AO552" s="320">
        <f>IFERROR(__xludf.DUMMYFUNCTION("""COMPUTED_VALUE"""),15.09)</f>
        <v>15.09</v>
      </c>
    </row>
    <row r="553" ht="15.0" customHeight="1">
      <c r="A553" s="328">
        <f>IFERROR(__xludf.DUMMYFUNCTION("""COMPUTED_VALUE"""),46141.0)</f>
        <v>46141</v>
      </c>
      <c r="B553" s="319" t="str">
        <f>IFERROR(__xludf.DUMMYFUNCTION("""COMPUTED_VALUE"""),"F. 100+")</f>
        <v>F. 100+</v>
      </c>
      <c r="C553" s="320">
        <f>IFERROR(__xludf.DUMMYFUNCTION("""COMPUTED_VALUE"""),354.0)</f>
        <v>354</v>
      </c>
      <c r="D553" s="320">
        <f>IFERROR(__xludf.DUMMYFUNCTION("""COMPUTED_VALUE"""),0.48)</f>
        <v>0.48</v>
      </c>
      <c r="E553" s="320">
        <f>IFERROR(__xludf.DUMMYFUNCTION("""COMPUTED_VALUE"""),3017.34)</f>
        <v>3017.34</v>
      </c>
      <c r="F553" s="320">
        <f>IFERROR(__xludf.DUMMYFUNCTION("""COMPUTED_VALUE"""),8.5236)</f>
        <v>8.5236</v>
      </c>
      <c r="G553" s="320">
        <f>IFERROR(__xludf.DUMMYFUNCTION("""COMPUTED_VALUE"""),48.31)</f>
        <v>48.31</v>
      </c>
      <c r="H553" s="320">
        <f>IFERROR(__xludf.DUMMYFUNCTION("""COMPUTED_VALUE"""),17.6453)</f>
        <v>17.6453</v>
      </c>
      <c r="I553" s="320">
        <f>IFERROR(__xludf.DUMMYFUNCTION("""COMPUTED_VALUE"""),245.99)</f>
        <v>245.99</v>
      </c>
      <c r="J553" s="320">
        <f>IFERROR(__xludf.DUMMYFUNCTION("""COMPUTED_VALUE"""),159.38)</f>
        <v>159.38</v>
      </c>
      <c r="K553" s="320">
        <f>IFERROR(__xludf.DUMMYFUNCTION("""COMPUTED_VALUE"""),131.1)</f>
        <v>131.1</v>
      </c>
      <c r="L553" s="320">
        <f>IFERROR(__xludf.DUMMYFUNCTION("""COMPUTED_VALUE"""),0.8226)</f>
        <v>0.8226</v>
      </c>
      <c r="M553" s="320">
        <f>IFERROR(__xludf.DUMMYFUNCTION("""COMPUTED_VALUE"""),0.2633)</f>
        <v>0.2633</v>
      </c>
      <c r="N553" s="320">
        <f>IFERROR(__xludf.DUMMYFUNCTION("""COMPUTED_VALUE"""),0.1601)</f>
        <v>0.1601</v>
      </c>
      <c r="O553" s="320">
        <f>IFERROR(__xludf.DUMMYFUNCTION("""COMPUTED_VALUE"""),1.2157)</f>
        <v>1.2157</v>
      </c>
      <c r="P553" s="320">
        <f>IFERROR(__xludf.DUMMYFUNCTION("""COMPUTED_VALUE"""),1126.94)</f>
        <v>1126.94</v>
      </c>
      <c r="Q553" s="320">
        <f>IFERROR(__xludf.DUMMYFUNCTION("""COMPUTED_VALUE"""),897.41)</f>
        <v>897.41</v>
      </c>
      <c r="R553" s="320">
        <f>IFERROR(__xludf.DUMMYFUNCTION("""COMPUTED_VALUE"""),229.53)</f>
        <v>229.53</v>
      </c>
      <c r="S553" s="320">
        <f>IFERROR(__xludf.DUMMYFUNCTION("""COMPUTED_VALUE"""),539.07)</f>
        <v>539.07</v>
      </c>
      <c r="T553" s="320">
        <f>IFERROR(__xludf.DUMMYFUNCTION("""COMPUTED_VALUE"""),587.87)</f>
        <v>587.87</v>
      </c>
      <c r="U553" s="320">
        <f>IFERROR(__xludf.DUMMYFUNCTION("""COMPUTED_VALUE"""),1224.58)</f>
        <v>1224.58</v>
      </c>
      <c r="V553" s="320">
        <f>IFERROR(__xludf.DUMMYFUNCTION("""COMPUTED_VALUE"""),7.6836)</f>
        <v>7.6836</v>
      </c>
      <c r="W553" s="320">
        <f>IFERROR(__xludf.DUMMYFUNCTION("""COMPUTED_VALUE"""),47.83)</f>
        <v>47.83</v>
      </c>
      <c r="X553" s="320">
        <f>IFERROR(__xludf.DUMMYFUNCTION("""COMPUTED_VALUE"""),202.0)</f>
        <v>202</v>
      </c>
      <c r="Y553" s="320">
        <f>IFERROR(__xludf.DUMMYFUNCTION("""COMPUTED_VALUE"""),669.0)</f>
        <v>669</v>
      </c>
      <c r="Z553" s="320">
        <f>IFERROR(__xludf.DUMMYFUNCTION("""COMPUTED_VALUE"""),2541.0)</f>
        <v>2541</v>
      </c>
      <c r="AA553" s="320">
        <f>IFERROR(__xludf.DUMMYFUNCTION("""COMPUTED_VALUE"""),61.7458)</f>
        <v>61.7458</v>
      </c>
      <c r="AB553" s="320">
        <f>IFERROR(__xludf.DUMMYFUNCTION("""COMPUTED_VALUE"""),0.8655)</f>
        <v>0.8655</v>
      </c>
      <c r="AC553" s="320">
        <f>IFERROR(__xludf.DUMMYFUNCTION("""COMPUTED_VALUE"""),91.82)</f>
        <v>91.82</v>
      </c>
      <c r="AD553" s="320">
        <f>IFERROR(__xludf.DUMMYFUNCTION("""COMPUTED_VALUE"""),31.0)</f>
        <v>31</v>
      </c>
      <c r="AE553" s="320">
        <f>IFERROR(__xludf.DUMMYFUNCTION("""COMPUTED_VALUE"""),70.0)</f>
        <v>70</v>
      </c>
      <c r="AF553" s="320">
        <f>IFERROR(__xludf.DUMMYFUNCTION("""COMPUTED_VALUE"""),130.0)</f>
        <v>130</v>
      </c>
      <c r="AG553" s="320">
        <f>IFERROR(__xludf.DUMMYFUNCTION("""COMPUTED_VALUE"""),188.0)</f>
        <v>188</v>
      </c>
      <c r="AH553" s="320">
        <f>IFERROR(__xludf.DUMMYFUNCTION("""COMPUTED_VALUE"""),47.18)</f>
        <v>47.18</v>
      </c>
      <c r="AI553" s="320">
        <f>IFERROR(__xludf.DUMMYFUNCTION("""COMPUTED_VALUE"""),12.99)</f>
        <v>12.99</v>
      </c>
      <c r="AJ553" s="320">
        <f>IFERROR(__xludf.DUMMYFUNCTION("""COMPUTED_VALUE"""),3.39)</f>
        <v>3.39</v>
      </c>
      <c r="AK553" s="320">
        <f>IFERROR(__xludf.DUMMYFUNCTION("""COMPUTED_VALUE"""),0.0847)</f>
        <v>0.0847</v>
      </c>
      <c r="AL553" s="320">
        <f>IFERROR(__xludf.DUMMYFUNCTION("""COMPUTED_VALUE"""),21.12)</f>
        <v>21.12</v>
      </c>
      <c r="AM553" s="320">
        <f>IFERROR(__xludf.DUMMYFUNCTION("""COMPUTED_VALUE"""),876.29)</f>
        <v>876.29</v>
      </c>
      <c r="AN553" s="320">
        <f>IFERROR(__xludf.DUMMYFUNCTION("""COMPUTED_VALUE"""),72.56)</f>
        <v>72.56</v>
      </c>
      <c r="AO553" s="320">
        <f>IFERROR(__xludf.DUMMYFUNCTION("""COMPUTED_VALUE"""),15.32)</f>
        <v>15.32</v>
      </c>
    </row>
    <row r="554" ht="15.0" customHeight="1">
      <c r="A554" s="328">
        <f>IFERROR(__xludf.DUMMYFUNCTION("""COMPUTED_VALUE"""),46142.0)</f>
        <v>46142</v>
      </c>
      <c r="B554" s="319" t="str">
        <f>IFERROR(__xludf.DUMMYFUNCTION("""COMPUTED_VALUE"""),"A. 0")</f>
        <v>A. 0</v>
      </c>
      <c r="C554" s="320">
        <f>IFERROR(__xludf.DUMMYFUNCTION("""COMPUTED_VALUE"""),15910.0)</f>
        <v>15910</v>
      </c>
      <c r="D554" s="320">
        <f>IFERROR(__xludf.DUMMYFUNCTION("""COMPUTED_VALUE"""),22.17)</f>
        <v>22.17</v>
      </c>
      <c r="E554" s="320">
        <f>IFERROR(__xludf.DUMMYFUNCTION("""COMPUTED_VALUE"""),145.17)</f>
        <v>145.17</v>
      </c>
      <c r="F554" s="320">
        <f>IFERROR(__xludf.DUMMYFUNCTION("""COMPUTED_VALUE"""),0.0091)</f>
        <v>0.0091</v>
      </c>
      <c r="G554" s="320">
        <f>IFERROR(__xludf.DUMMYFUNCTION("""COMPUTED_VALUE"""),0.28)</f>
        <v>0.28</v>
      </c>
      <c r="H554" s="320">
        <f>IFERROR(__xludf.DUMMYFUNCTION("""COMPUTED_VALUE"""),3.226)</f>
        <v>3.226</v>
      </c>
      <c r="I554" s="320">
        <f>IFERROR(__xludf.DUMMYFUNCTION("""COMPUTED_VALUE"""),6.57)</f>
        <v>6.57</v>
      </c>
      <c r="J554" s="320">
        <f>IFERROR(__xludf.DUMMYFUNCTION("""COMPUTED_VALUE"""),2.96)</f>
        <v>2.96</v>
      </c>
      <c r="K554" s="320">
        <f>IFERROR(__xludf.DUMMYFUNCTION("""COMPUTED_VALUE"""),0.05)</f>
        <v>0.05</v>
      </c>
      <c r="L554" s="320">
        <f>IFERROR(__xludf.DUMMYFUNCTION("""COMPUTED_VALUE"""),0.0174)</f>
        <v>0.0174</v>
      </c>
      <c r="M554" s="320">
        <f>IFERROR(__xludf.DUMMYFUNCTION("""COMPUTED_VALUE"""),0.9846)</f>
        <v>0.9846</v>
      </c>
      <c r="N554" s="320">
        <f>IFERROR(__xludf.DUMMYFUNCTION("""COMPUTED_VALUE"""),0.802)</f>
        <v>0.802</v>
      </c>
      <c r="O554" s="320">
        <f>IFERROR(__xludf.DUMMYFUNCTION("""COMPUTED_VALUE"""),57.337)</f>
        <v>57.337</v>
      </c>
      <c r="P554" s="320">
        <f>IFERROR(__xludf.DUMMYFUNCTION("""COMPUTED_VALUE"""),22.26)</f>
        <v>22.26</v>
      </c>
      <c r="Q554" s="320">
        <f>IFERROR(__xludf.DUMMYFUNCTION("""COMPUTED_VALUE"""),22.19)</f>
        <v>22.19</v>
      </c>
      <c r="R554" s="320">
        <f>IFERROR(__xludf.DUMMYFUNCTION("""COMPUTED_VALUE"""),0.08)</f>
        <v>0.08</v>
      </c>
      <c r="S554" s="320">
        <f>IFERROR(__xludf.DUMMYFUNCTION("""COMPUTED_VALUE"""),0.69)</f>
        <v>0.69</v>
      </c>
      <c r="T554" s="320">
        <f>IFERROR(__xludf.DUMMYFUNCTION("""COMPUTED_VALUE"""),21.57)</f>
        <v>21.57</v>
      </c>
      <c r="U554" s="320">
        <f>IFERROR(__xludf.DUMMYFUNCTION("""COMPUTED_VALUE"""),2.37)</f>
        <v>2.37</v>
      </c>
      <c r="V554" s="320">
        <f>IFERROR(__xludf.DUMMYFUNCTION("""COMPUTED_VALUE"""),0.7988)</f>
        <v>0.7988</v>
      </c>
      <c r="W554" s="320">
        <f>IFERROR(__xludf.DUMMYFUNCTION("""COMPUTED_VALUE"""),3.1)</f>
        <v>3.1</v>
      </c>
      <c r="X554" s="320">
        <f>IFERROR(__xludf.DUMMYFUNCTION("""COMPUTED_VALUE"""),136.0)</f>
        <v>136</v>
      </c>
      <c r="Y554" s="320">
        <f>IFERROR(__xludf.DUMMYFUNCTION("""COMPUTED_VALUE"""),1066.0)</f>
        <v>1066</v>
      </c>
      <c r="Z554" s="320">
        <f>IFERROR(__xludf.DUMMYFUNCTION("""COMPUTED_VALUE"""),7272.0)</f>
        <v>7272</v>
      </c>
      <c r="AA554" s="320">
        <f>IFERROR(__xludf.DUMMYFUNCTION("""COMPUTED_VALUE"""),49.6841)</f>
        <v>49.6841</v>
      </c>
      <c r="AB554" s="320">
        <f>IFERROR(__xludf.DUMMYFUNCTION("""COMPUTED_VALUE"""),0.5031)</f>
        <v>0.5031</v>
      </c>
      <c r="AC554" s="106"/>
      <c r="AD554" s="106"/>
      <c r="AE554" s="106"/>
      <c r="AF554" s="106"/>
      <c r="AG554" s="106"/>
      <c r="AH554" s="320">
        <f>IFERROR(__xludf.DUMMYFUNCTION("""COMPUTED_VALUE"""),0.0)</f>
        <v>0</v>
      </c>
      <c r="AI554" s="320">
        <f>IFERROR(__xludf.DUMMYFUNCTION("""COMPUTED_VALUE"""),0.0)</f>
        <v>0</v>
      </c>
      <c r="AJ554" s="320">
        <f>IFERROR(__xludf.DUMMYFUNCTION("""COMPUTED_VALUE"""),0.0)</f>
        <v>0</v>
      </c>
      <c r="AK554" s="320">
        <f>IFERROR(__xludf.DUMMYFUNCTION("""COMPUTED_VALUE"""),0.275)</f>
        <v>0.275</v>
      </c>
      <c r="AL554" s="320">
        <f>IFERROR(__xludf.DUMMYFUNCTION("""COMPUTED_VALUE"""),15.14)</f>
        <v>15.14</v>
      </c>
      <c r="AM554" s="320">
        <f>IFERROR(__xludf.DUMMYFUNCTION("""COMPUTED_VALUE"""),7.05)</f>
        <v>7.05</v>
      </c>
      <c r="AN554" s="331"/>
      <c r="AO554" s="331"/>
    </row>
    <row r="555" ht="15.0" customHeight="1">
      <c r="A555" s="328">
        <f>IFERROR(__xludf.DUMMYFUNCTION("""COMPUTED_VALUE"""),46142.0)</f>
        <v>46142</v>
      </c>
      <c r="B555" s="319" t="str">
        <f>IFERROR(__xludf.DUMMYFUNCTION("""COMPUTED_VALUE"""),"B. 1-9")</f>
        <v>B. 1-9</v>
      </c>
      <c r="C555" s="320">
        <f>IFERROR(__xludf.DUMMYFUNCTION("""COMPUTED_VALUE"""),29068.0)</f>
        <v>29068</v>
      </c>
      <c r="D555" s="320">
        <f>IFERROR(__xludf.DUMMYFUNCTION("""COMPUTED_VALUE"""),40.51)</f>
        <v>40.51</v>
      </c>
      <c r="E555" s="320">
        <f>IFERROR(__xludf.DUMMYFUNCTION("""COMPUTED_VALUE"""),8019.03)</f>
        <v>8019.03</v>
      </c>
      <c r="F555" s="320">
        <f>IFERROR(__xludf.DUMMYFUNCTION("""COMPUTED_VALUE"""),0.2759)</f>
        <v>0.2759</v>
      </c>
      <c r="G555" s="320">
        <f>IFERROR(__xludf.DUMMYFUNCTION("""COMPUTED_VALUE"""),7.5)</f>
        <v>7.5</v>
      </c>
      <c r="H555" s="320">
        <f>IFERROR(__xludf.DUMMYFUNCTION("""COMPUTED_VALUE"""),3.6801)</f>
        <v>3.6801</v>
      </c>
      <c r="I555" s="320">
        <f>IFERROR(__xludf.DUMMYFUNCTION("""COMPUTED_VALUE"""),30.33)</f>
        <v>30.33</v>
      </c>
      <c r="J555" s="320">
        <f>IFERROR(__xludf.DUMMYFUNCTION("""COMPUTED_VALUE"""),15.97)</f>
        <v>15.97</v>
      </c>
      <c r="K555" s="320">
        <f>IFERROR(__xludf.DUMMYFUNCTION("""COMPUTED_VALUE"""),5.19)</f>
        <v>5.19</v>
      </c>
      <c r="L555" s="320">
        <f>IFERROR(__xludf.DUMMYFUNCTION("""COMPUTED_VALUE"""),0.3251)</f>
        <v>0.3251</v>
      </c>
      <c r="M555" s="320">
        <f>IFERROR(__xludf.DUMMYFUNCTION("""COMPUTED_VALUE"""),0.7469)</f>
        <v>0.7469</v>
      </c>
      <c r="N555" s="320">
        <f>IFERROR(__xludf.DUMMYFUNCTION("""COMPUTED_VALUE"""),0.4953)</f>
        <v>0.4953</v>
      </c>
      <c r="O555" s="320">
        <f>IFERROR(__xludf.DUMMYFUNCTION("""COMPUTED_VALUE"""),3.0759)</f>
        <v>3.0759</v>
      </c>
      <c r="P555" s="320">
        <f>IFERROR(__xludf.DUMMYFUNCTION("""COMPUTED_VALUE"""),66.22)</f>
        <v>66.22</v>
      </c>
      <c r="Q555" s="320">
        <f>IFERROR(__xludf.DUMMYFUNCTION("""COMPUTED_VALUE"""),57.08)</f>
        <v>57.08</v>
      </c>
      <c r="R555" s="320">
        <f>IFERROR(__xludf.DUMMYFUNCTION("""COMPUTED_VALUE"""),9.14)</f>
        <v>9.14</v>
      </c>
      <c r="S555" s="320">
        <f>IFERROR(__xludf.DUMMYFUNCTION("""COMPUTED_VALUE"""),16.64)</f>
        <v>16.64</v>
      </c>
      <c r="T555" s="320">
        <f>IFERROR(__xludf.DUMMYFUNCTION("""COMPUTED_VALUE"""),49.59)</f>
        <v>49.59</v>
      </c>
      <c r="U555" s="320">
        <f>IFERROR(__xludf.DUMMYFUNCTION("""COMPUTED_VALUE"""),70.8)</f>
        <v>70.8</v>
      </c>
      <c r="V555" s="320">
        <f>IFERROR(__xludf.DUMMYFUNCTION("""COMPUTED_VALUE"""),4.4335)</f>
        <v>4.4335</v>
      </c>
      <c r="W555" s="320">
        <f>IFERROR(__xludf.DUMMYFUNCTION("""COMPUTED_VALUE"""),25.12)</f>
        <v>25.12</v>
      </c>
      <c r="X555" s="320">
        <f>IFERROR(__xludf.DUMMYFUNCTION("""COMPUTED_VALUE"""),87.0)</f>
        <v>87</v>
      </c>
      <c r="Y555" s="320">
        <f>IFERROR(__xludf.DUMMYFUNCTION("""COMPUTED_VALUE"""),214.0)</f>
        <v>214</v>
      </c>
      <c r="Z555" s="320">
        <f>IFERROR(__xludf.DUMMYFUNCTION("""COMPUTED_VALUE"""),886.0)</f>
        <v>886</v>
      </c>
      <c r="AA555" s="320">
        <f>IFERROR(__xludf.DUMMYFUNCTION("""COMPUTED_VALUE"""),49.5117)</f>
        <v>49.5117</v>
      </c>
      <c r="AB555" s="320">
        <f>IFERROR(__xludf.DUMMYFUNCTION("""COMPUTED_VALUE"""),0.4441)</f>
        <v>0.4441</v>
      </c>
      <c r="AC555" s="320">
        <f>IFERROR(__xludf.DUMMYFUNCTION("""COMPUTED_VALUE"""),3.61)</f>
        <v>3.61</v>
      </c>
      <c r="AD555" s="320">
        <f>IFERROR(__xludf.DUMMYFUNCTION("""COMPUTED_VALUE"""),1.0)</f>
        <v>1</v>
      </c>
      <c r="AE555" s="320">
        <f>IFERROR(__xludf.DUMMYFUNCTION("""COMPUTED_VALUE"""),2.0)</f>
        <v>2</v>
      </c>
      <c r="AF555" s="320">
        <f>IFERROR(__xludf.DUMMYFUNCTION("""COMPUTED_VALUE"""),5.0)</f>
        <v>5</v>
      </c>
      <c r="AG555" s="320">
        <f>IFERROR(__xludf.DUMMYFUNCTION("""COMPUTED_VALUE"""),8.0)</f>
        <v>8</v>
      </c>
      <c r="AH555" s="320">
        <f>IFERROR(__xludf.DUMMYFUNCTION("""COMPUTED_VALUE"""),65.6)</f>
        <v>65.6</v>
      </c>
      <c r="AI555" s="320">
        <f>IFERROR(__xludf.DUMMYFUNCTION("""COMPUTED_VALUE"""),25.74)</f>
        <v>25.74</v>
      </c>
      <c r="AJ555" s="320">
        <f>IFERROR(__xludf.DUMMYFUNCTION("""COMPUTED_VALUE"""),7.59)</f>
        <v>7.59</v>
      </c>
      <c r="AK555" s="320">
        <f>IFERROR(__xludf.DUMMYFUNCTION("""COMPUTED_VALUE"""),0.2388)</f>
        <v>0.2388</v>
      </c>
      <c r="AL555" s="320">
        <f>IFERROR(__xludf.DUMMYFUNCTION("""COMPUTED_VALUE"""),19.89)</f>
        <v>19.89</v>
      </c>
      <c r="AM555" s="320">
        <f>IFERROR(__xludf.DUMMYFUNCTION("""COMPUTED_VALUE"""),37.19)</f>
        <v>37.19</v>
      </c>
      <c r="AN555" s="320">
        <f>IFERROR(__xludf.DUMMYFUNCTION("""COMPUTED_VALUE"""),68.56)</f>
        <v>68.56</v>
      </c>
      <c r="AO555" s="320">
        <f>IFERROR(__xludf.DUMMYFUNCTION("""COMPUTED_VALUE"""),13.64)</f>
        <v>13.64</v>
      </c>
    </row>
    <row r="556" ht="15.0" customHeight="1">
      <c r="A556" s="328">
        <f>IFERROR(__xludf.DUMMYFUNCTION("""COMPUTED_VALUE"""),46142.0)</f>
        <v>46142</v>
      </c>
      <c r="B556" s="319" t="str">
        <f>IFERROR(__xludf.DUMMYFUNCTION("""COMPUTED_VALUE"""),"C. 10-19")</f>
        <v>C. 10-19</v>
      </c>
      <c r="C556" s="320">
        <f>IFERROR(__xludf.DUMMYFUNCTION("""COMPUTED_VALUE"""),15380.0)</f>
        <v>15380</v>
      </c>
      <c r="D556" s="320">
        <f>IFERROR(__xludf.DUMMYFUNCTION("""COMPUTED_VALUE"""),21.43)</f>
        <v>21.43</v>
      </c>
      <c r="E556" s="320">
        <f>IFERROR(__xludf.DUMMYFUNCTION("""COMPUTED_VALUE"""),17697.22)</f>
        <v>17697.22</v>
      </c>
      <c r="F556" s="320">
        <f>IFERROR(__xludf.DUMMYFUNCTION("""COMPUTED_VALUE"""),1.1507)</f>
        <v>1.1507</v>
      </c>
      <c r="G556" s="320">
        <f>IFERROR(__xludf.DUMMYFUNCTION("""COMPUTED_VALUE"""),22.0)</f>
        <v>22</v>
      </c>
      <c r="H556" s="320">
        <f>IFERROR(__xludf.DUMMYFUNCTION("""COMPUTED_VALUE"""),5.2297)</f>
        <v>5.2297</v>
      </c>
      <c r="I556" s="320">
        <f>IFERROR(__xludf.DUMMYFUNCTION("""COMPUTED_VALUE"""),54.36)</f>
        <v>54.36</v>
      </c>
      <c r="J556" s="320">
        <f>IFERROR(__xludf.DUMMYFUNCTION("""COMPUTED_VALUE"""),30.93)</f>
        <v>30.93</v>
      </c>
      <c r="K556" s="320">
        <f>IFERROR(__xludf.DUMMYFUNCTION("""COMPUTED_VALUE"""),13.24)</f>
        <v>13.24</v>
      </c>
      <c r="L556" s="320">
        <f>IFERROR(__xludf.DUMMYFUNCTION("""COMPUTED_VALUE"""),0.428)</f>
        <v>0.428</v>
      </c>
      <c r="M556" s="320">
        <f>IFERROR(__xludf.DUMMYFUNCTION("""COMPUTED_VALUE"""),0.6374)</f>
        <v>0.6374</v>
      </c>
      <c r="N556" s="320">
        <f>IFERROR(__xludf.DUMMYFUNCTION("""COMPUTED_VALUE"""),0.3622)</f>
        <v>0.3622</v>
      </c>
      <c r="O556" s="320">
        <f>IFERROR(__xludf.DUMMYFUNCTION("""COMPUTED_VALUE"""),2.3364)</f>
        <v>2.3364</v>
      </c>
      <c r="P556" s="320">
        <f>IFERROR(__xludf.DUMMYFUNCTION("""COMPUTED_VALUE"""),164.64)</f>
        <v>164.64</v>
      </c>
      <c r="Q556" s="320">
        <f>IFERROR(__xludf.DUMMYFUNCTION("""COMPUTED_VALUE"""),142.16)</f>
        <v>142.16</v>
      </c>
      <c r="R556" s="320">
        <f>IFERROR(__xludf.DUMMYFUNCTION("""COMPUTED_VALUE"""),22.48)</f>
        <v>22.48</v>
      </c>
      <c r="S556" s="320">
        <f>IFERROR(__xludf.DUMMYFUNCTION("""COMPUTED_VALUE"""),69.22)</f>
        <v>69.22</v>
      </c>
      <c r="T556" s="320">
        <f>IFERROR(__xludf.DUMMYFUNCTION("""COMPUTED_VALUE"""),95.42)</f>
        <v>95.42</v>
      </c>
      <c r="U556" s="320">
        <f>IFERROR(__xludf.DUMMYFUNCTION("""COMPUTED_VALUE"""),168.88)</f>
        <v>168.88</v>
      </c>
      <c r="V556" s="320">
        <f>IFERROR(__xludf.DUMMYFUNCTION("""COMPUTED_VALUE"""),5.4602)</f>
        <v>5.4602</v>
      </c>
      <c r="W556" s="320">
        <f>IFERROR(__xludf.DUMMYFUNCTION("""COMPUTED_VALUE"""),42.04)</f>
        <v>42.04</v>
      </c>
      <c r="X556" s="320">
        <f>IFERROR(__xludf.DUMMYFUNCTION("""COMPUTED_VALUE"""),84.0)</f>
        <v>84</v>
      </c>
      <c r="Y556" s="320">
        <f>IFERROR(__xludf.DUMMYFUNCTION("""COMPUTED_VALUE"""),184.0)</f>
        <v>184</v>
      </c>
      <c r="Z556" s="320">
        <f>IFERROR(__xludf.DUMMYFUNCTION("""COMPUTED_VALUE"""),636.0)</f>
        <v>636</v>
      </c>
      <c r="AA556" s="320">
        <f>IFERROR(__xludf.DUMMYFUNCTION("""COMPUTED_VALUE"""),52.3986)</f>
        <v>52.3986</v>
      </c>
      <c r="AB556" s="320">
        <f>IFERROR(__xludf.DUMMYFUNCTION("""COMPUTED_VALUE"""),0.5424)</f>
        <v>0.5424</v>
      </c>
      <c r="AC556" s="320">
        <f>IFERROR(__xludf.DUMMYFUNCTION("""COMPUTED_VALUE"""),8.65)</f>
        <v>8.65</v>
      </c>
      <c r="AD556" s="320">
        <f>IFERROR(__xludf.DUMMYFUNCTION("""COMPUTED_VALUE"""),2.0)</f>
        <v>2</v>
      </c>
      <c r="AE556" s="320">
        <f>IFERROR(__xludf.DUMMYFUNCTION("""COMPUTED_VALUE"""),6.0)</f>
        <v>6</v>
      </c>
      <c r="AF556" s="320">
        <f>IFERROR(__xludf.DUMMYFUNCTION("""COMPUTED_VALUE"""),12.0)</f>
        <v>12</v>
      </c>
      <c r="AG556" s="320">
        <f>IFERROR(__xludf.DUMMYFUNCTION("""COMPUTED_VALUE"""),20.0)</f>
        <v>20</v>
      </c>
      <c r="AH556" s="320">
        <f>IFERROR(__xludf.DUMMYFUNCTION("""COMPUTED_VALUE"""),51.82)</f>
        <v>51.82</v>
      </c>
      <c r="AI556" s="320">
        <f>IFERROR(__xludf.DUMMYFUNCTION("""COMPUTED_VALUE"""),23.88)</f>
        <v>23.88</v>
      </c>
      <c r="AJ556" s="320">
        <f>IFERROR(__xludf.DUMMYFUNCTION("""COMPUTED_VALUE"""),4.94)</f>
        <v>4.94</v>
      </c>
      <c r="AK556" s="320">
        <f>IFERROR(__xludf.DUMMYFUNCTION("""COMPUTED_VALUE"""),0.2028)</f>
        <v>0.2028</v>
      </c>
      <c r="AL556" s="320">
        <f>IFERROR(__xludf.DUMMYFUNCTION("""COMPUTED_VALUE"""),20.41)</f>
        <v>20.41</v>
      </c>
      <c r="AM556" s="320">
        <f>IFERROR(__xludf.DUMMYFUNCTION("""COMPUTED_VALUE"""),121.75)</f>
        <v>121.75</v>
      </c>
      <c r="AN556" s="320">
        <f>IFERROR(__xludf.DUMMYFUNCTION("""COMPUTED_VALUE"""),74.0)</f>
        <v>74</v>
      </c>
      <c r="AO556" s="320">
        <f>IFERROR(__xludf.DUMMYFUNCTION("""COMPUTED_VALUE"""),15.1)</f>
        <v>15.1</v>
      </c>
    </row>
    <row r="557" ht="15.0" customHeight="1">
      <c r="A557" s="328">
        <f>IFERROR(__xludf.DUMMYFUNCTION("""COMPUTED_VALUE"""),46142.0)</f>
        <v>46142</v>
      </c>
      <c r="B557" s="319" t="str">
        <f>IFERROR(__xludf.DUMMYFUNCTION("""COMPUTED_VALUE"""),"D. 20-39")</f>
        <v>D. 20-39</v>
      </c>
      <c r="C557" s="320">
        <f>IFERROR(__xludf.DUMMYFUNCTION("""COMPUTED_VALUE"""),7909.0)</f>
        <v>7909</v>
      </c>
      <c r="D557" s="320">
        <f>IFERROR(__xludf.DUMMYFUNCTION("""COMPUTED_VALUE"""),11.02)</f>
        <v>11.02</v>
      </c>
      <c r="E557" s="320">
        <f>IFERROR(__xludf.DUMMYFUNCTION("""COMPUTED_VALUE"""),18963.76)</f>
        <v>18963.76</v>
      </c>
      <c r="F557" s="320">
        <f>IFERROR(__xludf.DUMMYFUNCTION("""COMPUTED_VALUE"""),2.3977)</f>
        <v>2.3977</v>
      </c>
      <c r="G557" s="320">
        <f>IFERROR(__xludf.DUMMYFUNCTION("""COMPUTED_VALUE"""),32.56)</f>
        <v>32.56</v>
      </c>
      <c r="H557" s="320">
        <f>IFERROR(__xludf.DUMMYFUNCTION("""COMPUTED_VALUE"""),7.3646)</f>
        <v>7.3646</v>
      </c>
      <c r="I557" s="320">
        <f>IFERROR(__xludf.DUMMYFUNCTION("""COMPUTED_VALUE"""),78.36)</f>
        <v>78.36</v>
      </c>
      <c r="J557" s="320">
        <f>IFERROR(__xludf.DUMMYFUNCTION("""COMPUTED_VALUE"""),46.42)</f>
        <v>46.42</v>
      </c>
      <c r="K557" s="320">
        <f>IFERROR(__xludf.DUMMYFUNCTION("""COMPUTED_VALUE"""),25.17)</f>
        <v>25.17</v>
      </c>
      <c r="L557" s="320">
        <f>IFERROR(__xludf.DUMMYFUNCTION("""COMPUTED_VALUE"""),0.5421)</f>
        <v>0.5421</v>
      </c>
      <c r="M557" s="320">
        <f>IFERROR(__xludf.DUMMYFUNCTION("""COMPUTED_VALUE"""),0.5293)</f>
        <v>0.5293</v>
      </c>
      <c r="N557" s="320">
        <f>IFERROR(__xludf.DUMMYFUNCTION("""COMPUTED_VALUE"""),0.289)</f>
        <v>0.289</v>
      </c>
      <c r="O557" s="320">
        <f>IFERROR(__xludf.DUMMYFUNCTION("""COMPUTED_VALUE"""),1.8446)</f>
        <v>1.8446</v>
      </c>
      <c r="P557" s="320">
        <f>IFERROR(__xludf.DUMMYFUNCTION("""COMPUTED_VALUE"""),313.79)</f>
        <v>313.79</v>
      </c>
      <c r="Q557" s="320">
        <f>IFERROR(__xludf.DUMMYFUNCTION("""COMPUTED_VALUE"""),269.9)</f>
        <v>269.9</v>
      </c>
      <c r="R557" s="320">
        <f>IFERROR(__xludf.DUMMYFUNCTION("""COMPUTED_VALUE"""),43.89)</f>
        <v>43.89</v>
      </c>
      <c r="S557" s="320">
        <f>IFERROR(__xludf.DUMMYFUNCTION("""COMPUTED_VALUE"""),146.64)</f>
        <v>146.64</v>
      </c>
      <c r="T557" s="320">
        <f>IFERROR(__xludf.DUMMYFUNCTION("""COMPUTED_VALUE"""),167.14)</f>
        <v>167.14</v>
      </c>
      <c r="U557" s="320">
        <f>IFERROR(__xludf.DUMMYFUNCTION("""COMPUTED_VALUE"""),316.94)</f>
        <v>316.94</v>
      </c>
      <c r="V557" s="320">
        <f>IFERROR(__xludf.DUMMYFUNCTION("""COMPUTED_VALUE"""),6.8276)</f>
        <v>6.8276</v>
      </c>
      <c r="W557" s="320">
        <f>IFERROR(__xludf.DUMMYFUNCTION("""COMPUTED_VALUE"""),46.73)</f>
        <v>46.73</v>
      </c>
      <c r="X557" s="320">
        <f>IFERROR(__xludf.DUMMYFUNCTION("""COMPUTED_VALUE"""),88.0)</f>
        <v>88</v>
      </c>
      <c r="Y557" s="320">
        <f>IFERROR(__xludf.DUMMYFUNCTION("""COMPUTED_VALUE"""),230.0)</f>
        <v>230</v>
      </c>
      <c r="Z557" s="320">
        <f>IFERROR(__xludf.DUMMYFUNCTION("""COMPUTED_VALUE"""),716.0)</f>
        <v>716</v>
      </c>
      <c r="AA557" s="320">
        <f>IFERROR(__xludf.DUMMYFUNCTION("""COMPUTED_VALUE"""),54.6026)</f>
        <v>54.6026</v>
      </c>
      <c r="AB557" s="320">
        <f>IFERROR(__xludf.DUMMYFUNCTION("""COMPUTED_VALUE"""),0.6692)</f>
        <v>0.6692</v>
      </c>
      <c r="AC557" s="320">
        <f>IFERROR(__xludf.DUMMYFUNCTION("""COMPUTED_VALUE"""),16.77)</f>
        <v>16.77</v>
      </c>
      <c r="AD557" s="320">
        <f>IFERROR(__xludf.DUMMYFUNCTION("""COMPUTED_VALUE"""),6.0)</f>
        <v>6</v>
      </c>
      <c r="AE557" s="320">
        <f>IFERROR(__xludf.DUMMYFUNCTION("""COMPUTED_VALUE"""),12.0)</f>
        <v>12</v>
      </c>
      <c r="AF557" s="320">
        <f>IFERROR(__xludf.DUMMYFUNCTION("""COMPUTED_VALUE"""),24.0)</f>
        <v>24</v>
      </c>
      <c r="AG557" s="320">
        <f>IFERROR(__xludf.DUMMYFUNCTION("""COMPUTED_VALUE"""),36.0)</f>
        <v>36</v>
      </c>
      <c r="AH557" s="320">
        <f>IFERROR(__xludf.DUMMYFUNCTION("""COMPUTED_VALUE"""),55.39)</f>
        <v>55.39</v>
      </c>
      <c r="AI557" s="320">
        <f>IFERROR(__xludf.DUMMYFUNCTION("""COMPUTED_VALUE"""),22.35)</f>
        <v>22.35</v>
      </c>
      <c r="AJ557" s="320">
        <f>IFERROR(__xludf.DUMMYFUNCTION("""COMPUTED_VALUE"""),6.5)</f>
        <v>6.5</v>
      </c>
      <c r="AK557" s="320">
        <f>IFERROR(__xludf.DUMMYFUNCTION("""COMPUTED_VALUE"""),0.2128)</f>
        <v>0.2128</v>
      </c>
      <c r="AL557" s="320">
        <f>IFERROR(__xludf.DUMMYFUNCTION("""COMPUTED_VALUE"""),20.24)</f>
        <v>20.24</v>
      </c>
      <c r="AM557" s="320">
        <f>IFERROR(__xludf.DUMMYFUNCTION("""COMPUTED_VALUE"""),249.66)</f>
        <v>249.66</v>
      </c>
      <c r="AN557" s="320">
        <f>IFERROR(__xludf.DUMMYFUNCTION("""COMPUTED_VALUE"""),74.42)</f>
        <v>74.42</v>
      </c>
      <c r="AO557" s="320">
        <f>IFERROR(__xludf.DUMMYFUNCTION("""COMPUTED_VALUE"""),15.06)</f>
        <v>15.06</v>
      </c>
    </row>
    <row r="558" ht="15.0" customHeight="1">
      <c r="A558" s="328">
        <f>IFERROR(__xludf.DUMMYFUNCTION("""COMPUTED_VALUE"""),46142.0)</f>
        <v>46142</v>
      </c>
      <c r="B558" s="319" t="str">
        <f>IFERROR(__xludf.DUMMYFUNCTION("""COMPUTED_VALUE"""),"E. 40-99")</f>
        <v>E. 40-99</v>
      </c>
      <c r="C558" s="320">
        <f>IFERROR(__xludf.DUMMYFUNCTION("""COMPUTED_VALUE"""),3137.0)</f>
        <v>3137</v>
      </c>
      <c r="D558" s="320">
        <f>IFERROR(__xludf.DUMMYFUNCTION("""COMPUTED_VALUE"""),4.37)</f>
        <v>4.37</v>
      </c>
      <c r="E558" s="320">
        <f>IFERROR(__xludf.DUMMYFUNCTION("""COMPUTED_VALUE"""),17142.46)</f>
        <v>17142.46</v>
      </c>
      <c r="F558" s="320">
        <f>IFERROR(__xludf.DUMMYFUNCTION("""COMPUTED_VALUE"""),5.4646)</f>
        <v>5.4646</v>
      </c>
      <c r="G558" s="320">
        <f>IFERROR(__xludf.DUMMYFUNCTION("""COMPUTED_VALUE"""),43.42)</f>
        <v>43.42</v>
      </c>
      <c r="H558" s="320">
        <f>IFERROR(__xludf.DUMMYFUNCTION("""COMPUTED_VALUE"""),12.5862)</f>
        <v>12.5862</v>
      </c>
      <c r="I558" s="320">
        <f>IFERROR(__xludf.DUMMYFUNCTION("""COMPUTED_VALUE"""),129.86)</f>
        <v>129.86</v>
      </c>
      <c r="J558" s="320">
        <f>IFERROR(__xludf.DUMMYFUNCTION("""COMPUTED_VALUE"""),80.16)</f>
        <v>80.16</v>
      </c>
      <c r="K558" s="320">
        <f>IFERROR(__xludf.DUMMYFUNCTION("""COMPUTED_VALUE"""),54.73)</f>
        <v>54.73</v>
      </c>
      <c r="L558" s="320">
        <f>IFERROR(__xludf.DUMMYFUNCTION("""COMPUTED_VALUE"""),0.6827)</f>
        <v>0.6827</v>
      </c>
      <c r="M558" s="320">
        <f>IFERROR(__xludf.DUMMYFUNCTION("""COMPUTED_VALUE"""),0.4022)</f>
        <v>0.4022</v>
      </c>
      <c r="N558" s="320">
        <f>IFERROR(__xludf.DUMMYFUNCTION("""COMPUTED_VALUE"""),0.2258)</f>
        <v>0.2258</v>
      </c>
      <c r="O558" s="320">
        <f>IFERROR(__xludf.DUMMYFUNCTION("""COMPUTED_VALUE"""),1.4647)</f>
        <v>1.4647</v>
      </c>
      <c r="P558" s="320">
        <f>IFERROR(__xludf.DUMMYFUNCTION("""COMPUTED_VALUE"""),669.92)</f>
        <v>669.92</v>
      </c>
      <c r="Q558" s="320">
        <f>IFERROR(__xludf.DUMMYFUNCTION("""COMPUTED_VALUE"""),574.44)</f>
        <v>574.44</v>
      </c>
      <c r="R558" s="320">
        <f>IFERROR(__xludf.DUMMYFUNCTION("""COMPUTED_VALUE"""),95.48)</f>
        <v>95.48</v>
      </c>
      <c r="S558" s="320">
        <f>IFERROR(__xludf.DUMMYFUNCTION("""COMPUTED_VALUE"""),341.1)</f>
        <v>341.1</v>
      </c>
      <c r="T558" s="320">
        <f>IFERROR(__xludf.DUMMYFUNCTION("""COMPUTED_VALUE"""),328.82)</f>
        <v>328.82</v>
      </c>
      <c r="U558" s="320">
        <f>IFERROR(__xludf.DUMMYFUNCTION("""COMPUTED_VALUE"""),678.88)</f>
        <v>678.88</v>
      </c>
      <c r="V558" s="320">
        <f>IFERROR(__xludf.DUMMYFUNCTION("""COMPUTED_VALUE"""),8.469)</f>
        <v>8.469</v>
      </c>
      <c r="W558" s="320">
        <f>IFERROR(__xludf.DUMMYFUNCTION("""COMPUTED_VALUE"""),50.92)</f>
        <v>50.92</v>
      </c>
      <c r="X558" s="320">
        <f>IFERROR(__xludf.DUMMYFUNCTION("""COMPUTED_VALUE"""),98.0)</f>
        <v>98</v>
      </c>
      <c r="Y558" s="320">
        <f>IFERROR(__xludf.DUMMYFUNCTION("""COMPUTED_VALUE"""),315.0)</f>
        <v>315</v>
      </c>
      <c r="Z558" s="320">
        <f>IFERROR(__xludf.DUMMYFUNCTION("""COMPUTED_VALUE"""),896.0)</f>
        <v>896</v>
      </c>
      <c r="AA558" s="320">
        <f>IFERROR(__xludf.DUMMYFUNCTION("""COMPUTED_VALUE"""),57.6994)</f>
        <v>57.6994</v>
      </c>
      <c r="AB558" s="320">
        <f>IFERROR(__xludf.DUMMYFUNCTION("""COMPUTED_VALUE"""),0.7576)</f>
        <v>0.7576</v>
      </c>
      <c r="AC558" s="320">
        <f>IFERROR(__xludf.DUMMYFUNCTION("""COMPUTED_VALUE"""),36.51)</f>
        <v>36.51</v>
      </c>
      <c r="AD558" s="320">
        <f>IFERROR(__xludf.DUMMYFUNCTION("""COMPUTED_VALUE"""),12.0)</f>
        <v>12</v>
      </c>
      <c r="AE558" s="320">
        <f>IFERROR(__xludf.DUMMYFUNCTION("""COMPUTED_VALUE"""),28.0)</f>
        <v>28</v>
      </c>
      <c r="AF558" s="320">
        <f>IFERROR(__xludf.DUMMYFUNCTION("""COMPUTED_VALUE"""),52.0)</f>
        <v>52</v>
      </c>
      <c r="AG558" s="320">
        <f>IFERROR(__xludf.DUMMYFUNCTION("""COMPUTED_VALUE"""),78.0)</f>
        <v>78</v>
      </c>
      <c r="AH558" s="320">
        <f>IFERROR(__xludf.DUMMYFUNCTION("""COMPUTED_VALUE"""),50.78)</f>
        <v>50.78</v>
      </c>
      <c r="AI558" s="320">
        <f>IFERROR(__xludf.DUMMYFUNCTION("""COMPUTED_VALUE"""),19.29)</f>
        <v>19.29</v>
      </c>
      <c r="AJ558" s="320">
        <f>IFERROR(__xludf.DUMMYFUNCTION("""COMPUTED_VALUE"""),4.3)</f>
        <v>4.3</v>
      </c>
      <c r="AK558" s="320">
        <f>IFERROR(__xludf.DUMMYFUNCTION("""COMPUTED_VALUE"""),0.1792)</f>
        <v>0.1792</v>
      </c>
      <c r="AL558" s="320">
        <f>IFERROR(__xludf.DUMMYFUNCTION("""COMPUTED_VALUE"""),20.72)</f>
        <v>20.72</v>
      </c>
      <c r="AM558" s="320">
        <f>IFERROR(__xludf.DUMMYFUNCTION("""COMPUTED_VALUE"""),553.72)</f>
        <v>553.72</v>
      </c>
      <c r="AN558" s="320">
        <f>IFERROR(__xludf.DUMMYFUNCTION("""COMPUTED_VALUE"""),76.26)</f>
        <v>76.26</v>
      </c>
      <c r="AO558" s="320">
        <f>IFERROR(__xludf.DUMMYFUNCTION("""COMPUTED_VALUE"""),15.8)</f>
        <v>15.8</v>
      </c>
    </row>
    <row r="559" ht="15.0" customHeight="1">
      <c r="A559" s="328">
        <f>IFERROR(__xludf.DUMMYFUNCTION("""COMPUTED_VALUE"""),46142.0)</f>
        <v>46142</v>
      </c>
      <c r="B559" s="319" t="str">
        <f>IFERROR(__xludf.DUMMYFUNCTION("""COMPUTED_VALUE"""),"F. 100+")</f>
        <v>F. 100+</v>
      </c>
      <c r="C559" s="320">
        <f>IFERROR(__xludf.DUMMYFUNCTION("""COMPUTED_VALUE"""),357.0)</f>
        <v>357</v>
      </c>
      <c r="D559" s="320">
        <f>IFERROR(__xludf.DUMMYFUNCTION("""COMPUTED_VALUE"""),0.5)</f>
        <v>0.5</v>
      </c>
      <c r="E559" s="320">
        <f>IFERROR(__xludf.DUMMYFUNCTION("""COMPUTED_VALUE"""),3619.56)</f>
        <v>3619.56</v>
      </c>
      <c r="F559" s="320">
        <f>IFERROR(__xludf.DUMMYFUNCTION("""COMPUTED_VALUE"""),10.1388)</f>
        <v>10.1388</v>
      </c>
      <c r="G559" s="320">
        <f>IFERROR(__xludf.DUMMYFUNCTION("""COMPUTED_VALUE"""),49.3)</f>
        <v>49.3</v>
      </c>
      <c r="H559" s="320">
        <f>IFERROR(__xludf.DUMMYFUNCTION("""COMPUTED_VALUE"""),20.5657)</f>
        <v>20.5657</v>
      </c>
      <c r="I559" s="320">
        <f>IFERROR(__xludf.DUMMYFUNCTION("""COMPUTED_VALUE"""),232.68)</f>
        <v>232.68</v>
      </c>
      <c r="J559" s="320">
        <f>IFERROR(__xludf.DUMMYFUNCTION("""COMPUTED_VALUE"""),154.75)</f>
        <v>154.75</v>
      </c>
      <c r="K559" s="320">
        <f>IFERROR(__xludf.DUMMYFUNCTION("""COMPUTED_VALUE"""),125.15)</f>
        <v>125.15</v>
      </c>
      <c r="L559" s="320">
        <f>IFERROR(__xludf.DUMMYFUNCTION("""COMPUTED_VALUE"""),0.8088)</f>
        <v>0.8088</v>
      </c>
      <c r="M559" s="320">
        <f>IFERROR(__xludf.DUMMYFUNCTION("""COMPUTED_VALUE"""),0.2785)</f>
        <v>0.2785</v>
      </c>
      <c r="N559" s="320">
        <f>IFERROR(__xludf.DUMMYFUNCTION("""COMPUTED_VALUE"""),0.1666)</f>
        <v>0.1666</v>
      </c>
      <c r="O559" s="320">
        <f>IFERROR(__xludf.DUMMYFUNCTION("""COMPUTED_VALUE"""),1.2365)</f>
        <v>1.2365</v>
      </c>
      <c r="P559" s="320">
        <f>IFERROR(__xludf.DUMMYFUNCTION("""COMPUTED_VALUE"""),1238.04)</f>
        <v>1238.04</v>
      </c>
      <c r="Q559" s="320">
        <f>IFERROR(__xludf.DUMMYFUNCTION("""COMPUTED_VALUE"""),1018.59)</f>
        <v>1018.59</v>
      </c>
      <c r="R559" s="320">
        <f>IFERROR(__xludf.DUMMYFUNCTION("""COMPUTED_VALUE"""),219.45)</f>
        <v>219.45</v>
      </c>
      <c r="S559" s="320">
        <f>IFERROR(__xludf.DUMMYFUNCTION("""COMPUTED_VALUE"""),636.82)</f>
        <v>636.82</v>
      </c>
      <c r="T559" s="320">
        <f>IFERROR(__xludf.DUMMYFUNCTION("""COMPUTED_VALUE"""),601.22)</f>
        <v>601.22</v>
      </c>
      <c r="U559" s="320">
        <f>IFERROR(__xludf.DUMMYFUNCTION("""COMPUTED_VALUE"""),1256.72)</f>
        <v>1256.72</v>
      </c>
      <c r="V559" s="320">
        <f>IFERROR(__xludf.DUMMYFUNCTION("""COMPUTED_VALUE"""),8.1211)</f>
        <v>8.1211</v>
      </c>
      <c r="W559" s="320">
        <f>IFERROR(__xludf.DUMMYFUNCTION("""COMPUTED_VALUE"""),51.44)</f>
        <v>51.44</v>
      </c>
      <c r="X559" s="320">
        <f>IFERROR(__xludf.DUMMYFUNCTION("""COMPUTED_VALUE"""),143.0)</f>
        <v>143</v>
      </c>
      <c r="Y559" s="320">
        <f>IFERROR(__xludf.DUMMYFUNCTION("""COMPUTED_VALUE"""),529.0)</f>
        <v>529</v>
      </c>
      <c r="Z559" s="320">
        <f>IFERROR(__xludf.DUMMYFUNCTION("""COMPUTED_VALUE"""),2226.0)</f>
        <v>2226</v>
      </c>
      <c r="AA559" s="320">
        <f>IFERROR(__xludf.DUMMYFUNCTION("""COMPUTED_VALUE"""),61.7314)</f>
        <v>61.7314</v>
      </c>
      <c r="AB559" s="320">
        <f>IFERROR(__xludf.DUMMYFUNCTION("""COMPUTED_VALUE"""),0.8574)</f>
        <v>0.8574</v>
      </c>
      <c r="AC559" s="320">
        <f>IFERROR(__xludf.DUMMYFUNCTION("""COMPUTED_VALUE"""),85.13)</f>
        <v>85.13</v>
      </c>
      <c r="AD559" s="320">
        <f>IFERROR(__xludf.DUMMYFUNCTION("""COMPUTED_VALUE"""),30.0)</f>
        <v>30</v>
      </c>
      <c r="AE559" s="320">
        <f>IFERROR(__xludf.DUMMYFUNCTION("""COMPUTED_VALUE"""),69.0)</f>
        <v>69</v>
      </c>
      <c r="AF559" s="320">
        <f>IFERROR(__xludf.DUMMYFUNCTION("""COMPUTED_VALUE"""),115.0)</f>
        <v>115</v>
      </c>
      <c r="AG559" s="320">
        <f>IFERROR(__xludf.DUMMYFUNCTION("""COMPUTED_VALUE"""),181.0)</f>
        <v>181</v>
      </c>
      <c r="AH559" s="320">
        <f>IFERROR(__xludf.DUMMYFUNCTION("""COMPUTED_VALUE"""),43.98)</f>
        <v>43.98</v>
      </c>
      <c r="AI559" s="320">
        <f>IFERROR(__xludf.DUMMYFUNCTION("""COMPUTED_VALUE"""),10.64)</f>
        <v>10.64</v>
      </c>
      <c r="AJ559" s="320">
        <f>IFERROR(__xludf.DUMMYFUNCTION("""COMPUTED_VALUE"""),3.08)</f>
        <v>3.08</v>
      </c>
      <c r="AK559" s="320">
        <f>IFERROR(__xludf.DUMMYFUNCTION("""COMPUTED_VALUE"""),0.1485)</f>
        <v>0.1485</v>
      </c>
      <c r="AL559" s="320">
        <f>IFERROR(__xludf.DUMMYFUNCTION("""COMPUTED_VALUE"""),24.89)</f>
        <v>24.89</v>
      </c>
      <c r="AM559" s="320">
        <f>IFERROR(__xludf.DUMMYFUNCTION("""COMPUTED_VALUE"""),993.7)</f>
        <v>993.7</v>
      </c>
      <c r="AN559" s="320">
        <f>IFERROR(__xludf.DUMMYFUNCTION("""COMPUTED_VALUE"""),71.35)</f>
        <v>71.35</v>
      </c>
      <c r="AO559" s="320">
        <f>IFERROR(__xludf.DUMMYFUNCTION("""COMPUTED_VALUE"""),17.76)</f>
        <v>17.76</v>
      </c>
    </row>
    <row r="560" ht="15.0" customHeight="1">
      <c r="A560" s="328">
        <f>IFERROR(__xludf.DUMMYFUNCTION("""COMPUTED_VALUE"""),46143.0)</f>
        <v>46143</v>
      </c>
      <c r="B560" s="319" t="str">
        <f>IFERROR(__xludf.DUMMYFUNCTION("""COMPUTED_VALUE"""),"A. 0")</f>
        <v>A. 0</v>
      </c>
      <c r="C560" s="320">
        <f>IFERROR(__xludf.DUMMYFUNCTION("""COMPUTED_VALUE"""),13664.0)</f>
        <v>13664</v>
      </c>
      <c r="D560" s="320">
        <f>IFERROR(__xludf.DUMMYFUNCTION("""COMPUTED_VALUE"""),19.55)</f>
        <v>19.55</v>
      </c>
      <c r="E560" s="320">
        <f>IFERROR(__xludf.DUMMYFUNCTION("""COMPUTED_VALUE"""),240.59)</f>
        <v>240.59</v>
      </c>
      <c r="F560" s="320">
        <f>IFERROR(__xludf.DUMMYFUNCTION("""COMPUTED_VALUE"""),0.0176)</f>
        <v>0.0176</v>
      </c>
      <c r="G560" s="320">
        <f>IFERROR(__xludf.DUMMYFUNCTION("""COMPUTED_VALUE"""),0.48)</f>
        <v>0.48</v>
      </c>
      <c r="H560" s="320">
        <f>IFERROR(__xludf.DUMMYFUNCTION("""COMPUTED_VALUE"""),3.6453)</f>
        <v>3.6453</v>
      </c>
      <c r="I560" s="320">
        <f>IFERROR(__xludf.DUMMYFUNCTION("""COMPUTED_VALUE"""),5.58)</f>
        <v>5.58</v>
      </c>
      <c r="J560" s="320">
        <f>IFERROR(__xludf.DUMMYFUNCTION("""COMPUTED_VALUE"""),2.32)</f>
        <v>2.32</v>
      </c>
      <c r="K560" s="320">
        <f>IFERROR(__xludf.DUMMYFUNCTION("""COMPUTED_VALUE"""),0.04)</f>
        <v>0.04</v>
      </c>
      <c r="L560" s="320">
        <f>IFERROR(__xludf.DUMMYFUNCTION("""COMPUTED_VALUE"""),0.0175)</f>
        <v>0.0175</v>
      </c>
      <c r="M560" s="320">
        <f>IFERROR(__xludf.DUMMYFUNCTION("""COMPUTED_VALUE"""),0.9839)</f>
        <v>0.9839</v>
      </c>
      <c r="N560" s="320">
        <f>IFERROR(__xludf.DUMMYFUNCTION("""COMPUTED_VALUE"""),0.8182)</f>
        <v>0.8182</v>
      </c>
      <c r="O560" s="320">
        <f>IFERROR(__xludf.DUMMYFUNCTION("""COMPUTED_VALUE"""),57.13)</f>
        <v>57.13</v>
      </c>
      <c r="P560" s="320">
        <f>IFERROR(__xludf.DUMMYFUNCTION("""COMPUTED_VALUE"""),31.18)</f>
        <v>31.18</v>
      </c>
      <c r="Q560" s="320">
        <f>IFERROR(__xludf.DUMMYFUNCTION("""COMPUTED_VALUE"""),31.11)</f>
        <v>31.11</v>
      </c>
      <c r="R560" s="320">
        <f>IFERROR(__xludf.DUMMYFUNCTION("""COMPUTED_VALUE"""),0.07)</f>
        <v>0.07</v>
      </c>
      <c r="S560" s="320">
        <f>IFERROR(__xludf.DUMMYFUNCTION("""COMPUTED_VALUE"""),1.21)</f>
        <v>1.21</v>
      </c>
      <c r="T560" s="320">
        <f>IFERROR(__xludf.DUMMYFUNCTION("""COMPUTED_VALUE"""),29.97)</f>
        <v>29.97</v>
      </c>
      <c r="U560" s="320">
        <f>IFERROR(__xludf.DUMMYFUNCTION("""COMPUTED_VALUE"""),2.02)</f>
        <v>2.02</v>
      </c>
      <c r="V560" s="320">
        <f>IFERROR(__xludf.DUMMYFUNCTION("""COMPUTED_VALUE"""),0.872)</f>
        <v>0.872</v>
      </c>
      <c r="W560" s="320">
        <f>IFERROR(__xludf.DUMMYFUNCTION("""COMPUTED_VALUE"""),3.87)</f>
        <v>3.87</v>
      </c>
      <c r="X560" s="320">
        <f>IFERROR(__xludf.DUMMYFUNCTION("""COMPUTED_VALUE"""),185.0)</f>
        <v>185</v>
      </c>
      <c r="Y560" s="320">
        <f>IFERROR(__xludf.DUMMYFUNCTION("""COMPUTED_VALUE"""),1496.0)</f>
        <v>1496</v>
      </c>
      <c r="Z560" s="320">
        <f>IFERROR(__xludf.DUMMYFUNCTION("""COMPUTED_VALUE"""),8510.0)</f>
        <v>8510</v>
      </c>
      <c r="AA560" s="320">
        <f>IFERROR(__xludf.DUMMYFUNCTION("""COMPUTED_VALUE"""),49.817)</f>
        <v>49.817</v>
      </c>
      <c r="AB560" s="320">
        <f>IFERROR(__xludf.DUMMYFUNCTION("""COMPUTED_VALUE"""),0.5157)</f>
        <v>0.5157</v>
      </c>
      <c r="AC560" s="106"/>
      <c r="AD560" s="106"/>
      <c r="AE560" s="106"/>
      <c r="AF560" s="106"/>
      <c r="AG560" s="106"/>
      <c r="AH560" s="320">
        <f>IFERROR(__xludf.DUMMYFUNCTION("""COMPUTED_VALUE"""),0.0)</f>
        <v>0</v>
      </c>
      <c r="AI560" s="320">
        <f>IFERROR(__xludf.DUMMYFUNCTION("""COMPUTED_VALUE"""),0.0)</f>
        <v>0</v>
      </c>
      <c r="AJ560" s="320">
        <f>IFERROR(__xludf.DUMMYFUNCTION("""COMPUTED_VALUE"""),0.0)</f>
        <v>0</v>
      </c>
      <c r="AK560" s="320">
        <f>IFERROR(__xludf.DUMMYFUNCTION("""COMPUTED_VALUE"""),0.2993)</f>
        <v>0.2993</v>
      </c>
      <c r="AL560" s="320">
        <f>IFERROR(__xludf.DUMMYFUNCTION("""COMPUTED_VALUE"""),16.63)</f>
        <v>16.63</v>
      </c>
      <c r="AM560" s="320">
        <f>IFERROR(__xludf.DUMMYFUNCTION("""COMPUTED_VALUE"""),14.48)</f>
        <v>14.48</v>
      </c>
      <c r="AN560" s="331"/>
      <c r="AO560" s="331"/>
    </row>
    <row r="561" ht="15.0" customHeight="1">
      <c r="A561" s="328">
        <f>IFERROR(__xludf.DUMMYFUNCTION("""COMPUTED_VALUE"""),46143.0)</f>
        <v>46143</v>
      </c>
      <c r="B561" s="319" t="str">
        <f>IFERROR(__xludf.DUMMYFUNCTION("""COMPUTED_VALUE"""),"B. 1-9")</f>
        <v>B. 1-9</v>
      </c>
      <c r="C561" s="320">
        <f>IFERROR(__xludf.DUMMYFUNCTION("""COMPUTED_VALUE"""),29279.0)</f>
        <v>29279</v>
      </c>
      <c r="D561" s="320">
        <f>IFERROR(__xludf.DUMMYFUNCTION("""COMPUTED_VALUE"""),41.89)</f>
        <v>41.89</v>
      </c>
      <c r="E561" s="320">
        <f>IFERROR(__xludf.DUMMYFUNCTION("""COMPUTED_VALUE"""),8523.33)</f>
        <v>8523.33</v>
      </c>
      <c r="F561" s="320">
        <f>IFERROR(__xludf.DUMMYFUNCTION("""COMPUTED_VALUE"""),0.2911)</f>
        <v>0.2911</v>
      </c>
      <c r="G561" s="320">
        <f>IFERROR(__xludf.DUMMYFUNCTION("""COMPUTED_VALUE"""),7.73)</f>
        <v>7.73</v>
      </c>
      <c r="H561" s="320">
        <f>IFERROR(__xludf.DUMMYFUNCTION("""COMPUTED_VALUE"""),3.7647)</f>
        <v>3.7647</v>
      </c>
      <c r="I561" s="320">
        <f>IFERROR(__xludf.DUMMYFUNCTION("""COMPUTED_VALUE"""),33.76)</f>
        <v>33.76</v>
      </c>
      <c r="J561" s="320">
        <f>IFERROR(__xludf.DUMMYFUNCTION("""COMPUTED_VALUE"""),18.04)</f>
        <v>18.04</v>
      </c>
      <c r="K561" s="320">
        <f>IFERROR(__xludf.DUMMYFUNCTION("""COMPUTED_VALUE"""),5.79)</f>
        <v>5.79</v>
      </c>
      <c r="L561" s="320">
        <f>IFERROR(__xludf.DUMMYFUNCTION("""COMPUTED_VALUE"""),0.321)</f>
        <v>0.321</v>
      </c>
      <c r="M561" s="320">
        <f>IFERROR(__xludf.DUMMYFUNCTION("""COMPUTED_VALUE"""),0.7495)</f>
        <v>0.7495</v>
      </c>
      <c r="N561" s="320">
        <f>IFERROR(__xludf.DUMMYFUNCTION("""COMPUTED_VALUE"""),0.495)</f>
        <v>0.495</v>
      </c>
      <c r="O561" s="320">
        <f>IFERROR(__xludf.DUMMYFUNCTION("""COMPUTED_VALUE"""),3.1153)</f>
        <v>3.1153</v>
      </c>
      <c r="P561" s="320">
        <f>IFERROR(__xludf.DUMMYFUNCTION("""COMPUTED_VALUE"""),90.38)</f>
        <v>90.38</v>
      </c>
      <c r="Q561" s="320">
        <f>IFERROR(__xludf.DUMMYFUNCTION("""COMPUTED_VALUE"""),80.42)</f>
        <v>80.42</v>
      </c>
      <c r="R561" s="320">
        <f>IFERROR(__xludf.DUMMYFUNCTION("""COMPUTED_VALUE"""),9.96)</f>
        <v>9.96</v>
      </c>
      <c r="S561" s="320">
        <f>IFERROR(__xludf.DUMMYFUNCTION("""COMPUTED_VALUE"""),18.19)</f>
        <v>18.19</v>
      </c>
      <c r="T561" s="320">
        <f>IFERROR(__xludf.DUMMYFUNCTION("""COMPUTED_VALUE"""),72.19)</f>
        <v>72.19</v>
      </c>
      <c r="U561" s="320">
        <f>IFERROR(__xludf.DUMMYFUNCTION("""COMPUTED_VALUE"""),83.19)</f>
        <v>83.19</v>
      </c>
      <c r="V561" s="320">
        <f>IFERROR(__xludf.DUMMYFUNCTION("""COMPUTED_VALUE"""),4.6124)</f>
        <v>4.6124</v>
      </c>
      <c r="W561" s="320">
        <f>IFERROR(__xludf.DUMMYFUNCTION("""COMPUTED_VALUE"""),20.13)</f>
        <v>20.13</v>
      </c>
      <c r="X561" s="320">
        <f>IFERROR(__xludf.DUMMYFUNCTION("""COMPUTED_VALUE"""),90.0)</f>
        <v>90</v>
      </c>
      <c r="Y561" s="320">
        <f>IFERROR(__xludf.DUMMYFUNCTION("""COMPUTED_VALUE"""),222.0)</f>
        <v>222</v>
      </c>
      <c r="Z561" s="320">
        <f>IFERROR(__xludf.DUMMYFUNCTION("""COMPUTED_VALUE"""),897.0)</f>
        <v>897</v>
      </c>
      <c r="AA561" s="320">
        <f>IFERROR(__xludf.DUMMYFUNCTION("""COMPUTED_VALUE"""),49.4752)</f>
        <v>49.4752</v>
      </c>
      <c r="AB561" s="320">
        <f>IFERROR(__xludf.DUMMYFUNCTION("""COMPUTED_VALUE"""),0.4429)</f>
        <v>0.4429</v>
      </c>
      <c r="AC561" s="320">
        <f>IFERROR(__xludf.DUMMYFUNCTION("""COMPUTED_VALUE"""),3.88)</f>
        <v>3.88</v>
      </c>
      <c r="AD561" s="320">
        <f>IFERROR(__xludf.DUMMYFUNCTION("""COMPUTED_VALUE"""),1.0)</f>
        <v>1</v>
      </c>
      <c r="AE561" s="320">
        <f>IFERROR(__xludf.DUMMYFUNCTION("""COMPUTED_VALUE"""),2.0)</f>
        <v>2</v>
      </c>
      <c r="AF561" s="320">
        <f>IFERROR(__xludf.DUMMYFUNCTION("""COMPUTED_VALUE"""),5.0)</f>
        <v>5</v>
      </c>
      <c r="AG561" s="320">
        <f>IFERROR(__xludf.DUMMYFUNCTION("""COMPUTED_VALUE"""),9.0)</f>
        <v>9</v>
      </c>
      <c r="AH561" s="320">
        <f>IFERROR(__xludf.DUMMYFUNCTION("""COMPUTED_VALUE"""),70.54)</f>
        <v>70.54</v>
      </c>
      <c r="AI561" s="320">
        <f>IFERROR(__xludf.DUMMYFUNCTION("""COMPUTED_VALUE"""),28.83)</f>
        <v>28.83</v>
      </c>
      <c r="AJ561" s="320">
        <f>IFERROR(__xludf.DUMMYFUNCTION("""COMPUTED_VALUE"""),8.59)</f>
        <v>8.59</v>
      </c>
      <c r="AK561" s="320">
        <f>IFERROR(__xludf.DUMMYFUNCTION("""COMPUTED_VALUE"""),0.2321)</f>
        <v>0.2321</v>
      </c>
      <c r="AL561" s="320">
        <f>IFERROR(__xludf.DUMMYFUNCTION("""COMPUTED_VALUE"""),21.15)</f>
        <v>21.15</v>
      </c>
      <c r="AM561" s="320">
        <f>IFERROR(__xludf.DUMMYFUNCTION("""COMPUTED_VALUE"""),59.27)</f>
        <v>59.27</v>
      </c>
      <c r="AN561" s="320">
        <f>IFERROR(__xludf.DUMMYFUNCTION("""COMPUTED_VALUE"""),68.75)</f>
        <v>68.75</v>
      </c>
      <c r="AO561" s="320">
        <f>IFERROR(__xludf.DUMMYFUNCTION("""COMPUTED_VALUE"""),14.54)</f>
        <v>14.54</v>
      </c>
    </row>
    <row r="562" ht="15.0" customHeight="1">
      <c r="A562" s="328">
        <f>IFERROR(__xludf.DUMMYFUNCTION("""COMPUTED_VALUE"""),46143.0)</f>
        <v>46143</v>
      </c>
      <c r="B562" s="319" t="str">
        <f>IFERROR(__xludf.DUMMYFUNCTION("""COMPUTED_VALUE"""),"C. 10-19")</f>
        <v>C. 10-19</v>
      </c>
      <c r="C562" s="320">
        <f>IFERROR(__xludf.DUMMYFUNCTION("""COMPUTED_VALUE"""),15312.0)</f>
        <v>15312</v>
      </c>
      <c r="D562" s="320">
        <f>IFERROR(__xludf.DUMMYFUNCTION("""COMPUTED_VALUE"""),21.91)</f>
        <v>21.91</v>
      </c>
      <c r="E562" s="320">
        <f>IFERROR(__xludf.DUMMYFUNCTION("""COMPUTED_VALUE"""),17089.81)</f>
        <v>17089.81</v>
      </c>
      <c r="F562" s="320">
        <f>IFERROR(__xludf.DUMMYFUNCTION("""COMPUTED_VALUE"""),1.1161)</f>
        <v>1.1161</v>
      </c>
      <c r="G562" s="320">
        <f>IFERROR(__xludf.DUMMYFUNCTION("""COMPUTED_VALUE"""),21.99)</f>
        <v>21.99</v>
      </c>
      <c r="H562" s="320">
        <f>IFERROR(__xludf.DUMMYFUNCTION("""COMPUTED_VALUE"""),5.0757)</f>
        <v>5.0757</v>
      </c>
      <c r="I562" s="320">
        <f>IFERROR(__xludf.DUMMYFUNCTION("""COMPUTED_VALUE"""),61.49)</f>
        <v>61.49</v>
      </c>
      <c r="J562" s="320">
        <f>IFERROR(__xludf.DUMMYFUNCTION("""COMPUTED_VALUE"""),34.98)</f>
        <v>34.98</v>
      </c>
      <c r="K562" s="320">
        <f>IFERROR(__xludf.DUMMYFUNCTION("""COMPUTED_VALUE"""),14.38)</f>
        <v>14.38</v>
      </c>
      <c r="L562" s="320">
        <f>IFERROR(__xludf.DUMMYFUNCTION("""COMPUTED_VALUE"""),0.411)</f>
        <v>0.411</v>
      </c>
      <c r="M562" s="320">
        <f>IFERROR(__xludf.DUMMYFUNCTION("""COMPUTED_VALUE"""),0.6523)</f>
        <v>0.6523</v>
      </c>
      <c r="N562" s="320">
        <f>IFERROR(__xludf.DUMMYFUNCTION("""COMPUTED_VALUE"""),0.3751)</f>
        <v>0.3751</v>
      </c>
      <c r="O562" s="320">
        <f>IFERROR(__xludf.DUMMYFUNCTION("""COMPUTED_VALUE"""),2.4333)</f>
        <v>2.4333</v>
      </c>
      <c r="P562" s="320">
        <f>IFERROR(__xludf.DUMMYFUNCTION("""COMPUTED_VALUE"""),188.01)</f>
        <v>188.01</v>
      </c>
      <c r="Q562" s="320">
        <f>IFERROR(__xludf.DUMMYFUNCTION("""COMPUTED_VALUE"""),163.1)</f>
        <v>163.1</v>
      </c>
      <c r="R562" s="320">
        <f>IFERROR(__xludf.DUMMYFUNCTION("""COMPUTED_VALUE"""),24.91)</f>
        <v>24.91</v>
      </c>
      <c r="S562" s="320">
        <f>IFERROR(__xludf.DUMMYFUNCTION("""COMPUTED_VALUE"""),69.82)</f>
        <v>69.82</v>
      </c>
      <c r="T562" s="320">
        <f>IFERROR(__xludf.DUMMYFUNCTION("""COMPUTED_VALUE"""),118.19)</f>
        <v>118.19</v>
      </c>
      <c r="U562" s="320">
        <f>IFERROR(__xludf.DUMMYFUNCTION("""COMPUTED_VALUE"""),186.23)</f>
        <v>186.23</v>
      </c>
      <c r="V562" s="320">
        <f>IFERROR(__xludf.DUMMYFUNCTION("""COMPUTED_VALUE"""),5.3232)</f>
        <v>5.3232</v>
      </c>
      <c r="W562" s="320">
        <f>IFERROR(__xludf.DUMMYFUNCTION("""COMPUTED_VALUE"""),37.14)</f>
        <v>37.14</v>
      </c>
      <c r="X562" s="320">
        <f>IFERROR(__xludf.DUMMYFUNCTION("""COMPUTED_VALUE"""),85.0)</f>
        <v>85</v>
      </c>
      <c r="Y562" s="320">
        <f>IFERROR(__xludf.DUMMYFUNCTION("""COMPUTED_VALUE"""),194.0)</f>
        <v>194</v>
      </c>
      <c r="Z562" s="320">
        <f>IFERROR(__xludf.DUMMYFUNCTION("""COMPUTED_VALUE"""),609.0)</f>
        <v>609</v>
      </c>
      <c r="AA562" s="320">
        <f>IFERROR(__xludf.DUMMYFUNCTION("""COMPUTED_VALUE"""),52.2607)</f>
        <v>52.2607</v>
      </c>
      <c r="AB562" s="320">
        <f>IFERROR(__xludf.DUMMYFUNCTION("""COMPUTED_VALUE"""),0.5455)</f>
        <v>0.5455</v>
      </c>
      <c r="AC562" s="320">
        <f>IFERROR(__xludf.DUMMYFUNCTION("""COMPUTED_VALUE"""),9.21)</f>
        <v>9.21</v>
      </c>
      <c r="AD562" s="320">
        <f>IFERROR(__xludf.DUMMYFUNCTION("""COMPUTED_VALUE"""),3.0)</f>
        <v>3</v>
      </c>
      <c r="AE562" s="320">
        <f>IFERROR(__xludf.DUMMYFUNCTION("""COMPUTED_VALUE"""),7.0)</f>
        <v>7</v>
      </c>
      <c r="AF562" s="320">
        <f>IFERROR(__xludf.DUMMYFUNCTION("""COMPUTED_VALUE"""),13.0)</f>
        <v>13</v>
      </c>
      <c r="AG562" s="320">
        <f>IFERROR(__xludf.DUMMYFUNCTION("""COMPUTED_VALUE"""),20.0)</f>
        <v>20</v>
      </c>
      <c r="AH562" s="320">
        <f>IFERROR(__xludf.DUMMYFUNCTION("""COMPUTED_VALUE"""),56.91)</f>
        <v>56.91</v>
      </c>
      <c r="AI562" s="320">
        <f>IFERROR(__xludf.DUMMYFUNCTION("""COMPUTED_VALUE"""),25.35)</f>
        <v>25.35</v>
      </c>
      <c r="AJ562" s="320">
        <f>IFERROR(__xludf.DUMMYFUNCTION("""COMPUTED_VALUE"""),5.05)</f>
        <v>5.05</v>
      </c>
      <c r="AK562" s="320">
        <f>IFERROR(__xludf.DUMMYFUNCTION("""COMPUTED_VALUE"""),0.2013)</f>
        <v>0.2013</v>
      </c>
      <c r="AL562" s="320">
        <f>IFERROR(__xludf.DUMMYFUNCTION("""COMPUTED_VALUE"""),21.75)</f>
        <v>21.75</v>
      </c>
      <c r="AM562" s="320">
        <f>IFERROR(__xludf.DUMMYFUNCTION("""COMPUTED_VALUE"""),141.35)</f>
        <v>141.35</v>
      </c>
      <c r="AN562" s="320">
        <f>IFERROR(__xludf.DUMMYFUNCTION("""COMPUTED_VALUE"""),74.48)</f>
        <v>74.48</v>
      </c>
      <c r="AO562" s="320">
        <f>IFERROR(__xludf.DUMMYFUNCTION("""COMPUTED_VALUE"""),16.2)</f>
        <v>16.2</v>
      </c>
    </row>
    <row r="563" ht="15.0" customHeight="1">
      <c r="A563" s="328">
        <f>IFERROR(__xludf.DUMMYFUNCTION("""COMPUTED_VALUE"""),46143.0)</f>
        <v>46143</v>
      </c>
      <c r="B563" s="319" t="str">
        <f>IFERROR(__xludf.DUMMYFUNCTION("""COMPUTED_VALUE"""),"D. 20-39")</f>
        <v>D. 20-39</v>
      </c>
      <c r="C563" s="320">
        <f>IFERROR(__xludf.DUMMYFUNCTION("""COMPUTED_VALUE"""),8105.0)</f>
        <v>8105</v>
      </c>
      <c r="D563" s="320">
        <f>IFERROR(__xludf.DUMMYFUNCTION("""COMPUTED_VALUE"""),11.6)</f>
        <v>11.6</v>
      </c>
      <c r="E563" s="320">
        <f>IFERROR(__xludf.DUMMYFUNCTION("""COMPUTED_VALUE"""),21238.47)</f>
        <v>21238.47</v>
      </c>
      <c r="F563" s="320">
        <f>IFERROR(__xludf.DUMMYFUNCTION("""COMPUTED_VALUE"""),2.6204)</f>
        <v>2.6204</v>
      </c>
      <c r="G563" s="320">
        <f>IFERROR(__xludf.DUMMYFUNCTION("""COMPUTED_VALUE"""),34.04)</f>
        <v>34.04</v>
      </c>
      <c r="H563" s="320">
        <f>IFERROR(__xludf.DUMMYFUNCTION("""COMPUTED_VALUE"""),7.6979)</f>
        <v>7.6979</v>
      </c>
      <c r="I563" s="320">
        <f>IFERROR(__xludf.DUMMYFUNCTION("""COMPUTED_VALUE"""),87.26)</f>
        <v>87.26</v>
      </c>
      <c r="J563" s="320">
        <f>IFERROR(__xludf.DUMMYFUNCTION("""COMPUTED_VALUE"""),51.56)</f>
        <v>51.56</v>
      </c>
      <c r="K563" s="320">
        <f>IFERROR(__xludf.DUMMYFUNCTION("""COMPUTED_VALUE"""),26.98)</f>
        <v>26.98</v>
      </c>
      <c r="L563" s="320">
        <f>IFERROR(__xludf.DUMMYFUNCTION("""COMPUTED_VALUE"""),0.5234)</f>
        <v>0.5234</v>
      </c>
      <c r="M563" s="320">
        <f>IFERROR(__xludf.DUMMYFUNCTION("""COMPUTED_VALUE"""),0.5466)</f>
        <v>0.5466</v>
      </c>
      <c r="N563" s="320">
        <f>IFERROR(__xludf.DUMMYFUNCTION("""COMPUTED_VALUE"""),0.3002)</f>
        <v>0.3002</v>
      </c>
      <c r="O563" s="320">
        <f>IFERROR(__xludf.DUMMYFUNCTION("""COMPUTED_VALUE"""),1.9108)</f>
        <v>1.9108</v>
      </c>
      <c r="P563" s="320">
        <f>IFERROR(__xludf.DUMMYFUNCTION("""COMPUTED_VALUE"""),336.41)</f>
        <v>336.41</v>
      </c>
      <c r="Q563" s="320">
        <f>IFERROR(__xludf.DUMMYFUNCTION("""COMPUTED_VALUE"""),289.49)</f>
        <v>289.49</v>
      </c>
      <c r="R563" s="320">
        <f>IFERROR(__xludf.DUMMYFUNCTION("""COMPUTED_VALUE"""),46.92)</f>
        <v>46.92</v>
      </c>
      <c r="S563" s="320">
        <f>IFERROR(__xludf.DUMMYFUNCTION("""COMPUTED_VALUE"""),161.33)</f>
        <v>161.33</v>
      </c>
      <c r="T563" s="320">
        <f>IFERROR(__xludf.DUMMYFUNCTION("""COMPUTED_VALUE"""),175.08)</f>
        <v>175.08</v>
      </c>
      <c r="U563" s="320">
        <f>IFERROR(__xludf.DUMMYFUNCTION("""COMPUTED_VALUE"""),346.47)</f>
        <v>346.47</v>
      </c>
      <c r="V563" s="320">
        <f>IFERROR(__xludf.DUMMYFUNCTION("""COMPUTED_VALUE"""),6.7198)</f>
        <v>6.7198</v>
      </c>
      <c r="W563" s="320">
        <f>IFERROR(__xludf.DUMMYFUNCTION("""COMPUTED_VALUE"""),47.96)</f>
        <v>47.96</v>
      </c>
      <c r="X563" s="320">
        <f>IFERROR(__xludf.DUMMYFUNCTION("""COMPUTED_VALUE"""),86.0)</f>
        <v>86</v>
      </c>
      <c r="Y563" s="320">
        <f>IFERROR(__xludf.DUMMYFUNCTION("""COMPUTED_VALUE"""),211.0)</f>
        <v>211</v>
      </c>
      <c r="Z563" s="320">
        <f>IFERROR(__xludf.DUMMYFUNCTION("""COMPUTED_VALUE"""),643.0)</f>
        <v>643</v>
      </c>
      <c r="AA563" s="320">
        <f>IFERROR(__xludf.DUMMYFUNCTION("""COMPUTED_VALUE"""),54.452)</f>
        <v>54.452</v>
      </c>
      <c r="AB563" s="320">
        <f>IFERROR(__xludf.DUMMYFUNCTION("""COMPUTED_VALUE"""),0.6594)</f>
        <v>0.6594</v>
      </c>
      <c r="AC563" s="320">
        <f>IFERROR(__xludf.DUMMYFUNCTION("""COMPUTED_VALUE"""),17.41)</f>
        <v>17.41</v>
      </c>
      <c r="AD563" s="320">
        <f>IFERROR(__xludf.DUMMYFUNCTION("""COMPUTED_VALUE"""),6.0)</f>
        <v>6</v>
      </c>
      <c r="AE563" s="320">
        <f>IFERROR(__xludf.DUMMYFUNCTION("""COMPUTED_VALUE"""),13.0)</f>
        <v>13</v>
      </c>
      <c r="AF563" s="320">
        <f>IFERROR(__xludf.DUMMYFUNCTION("""COMPUTED_VALUE"""),24.0)</f>
        <v>24</v>
      </c>
      <c r="AG563" s="320">
        <f>IFERROR(__xludf.DUMMYFUNCTION("""COMPUTED_VALUE"""),37.0)</f>
        <v>37</v>
      </c>
      <c r="AH563" s="320">
        <f>IFERROR(__xludf.DUMMYFUNCTION("""COMPUTED_VALUE"""),57.09)</f>
        <v>57.09</v>
      </c>
      <c r="AI563" s="320">
        <f>IFERROR(__xludf.DUMMYFUNCTION("""COMPUTED_VALUE"""),22.96)</f>
        <v>22.96</v>
      </c>
      <c r="AJ563" s="320">
        <f>IFERROR(__xludf.DUMMYFUNCTION("""COMPUTED_VALUE"""),7.0)</f>
        <v>7</v>
      </c>
      <c r="AK563" s="320">
        <f>IFERROR(__xludf.DUMMYFUNCTION("""COMPUTED_VALUE"""),0.2149)</f>
        <v>0.2149</v>
      </c>
      <c r="AL563" s="320">
        <f>IFERROR(__xludf.DUMMYFUNCTION("""COMPUTED_VALUE"""),21.3)</f>
        <v>21.3</v>
      </c>
      <c r="AM563" s="320">
        <f>IFERROR(__xludf.DUMMYFUNCTION("""COMPUTED_VALUE"""),268.2)</f>
        <v>268.2</v>
      </c>
      <c r="AN563" s="320">
        <f>IFERROR(__xludf.DUMMYFUNCTION("""COMPUTED_VALUE"""),74.49)</f>
        <v>74.49</v>
      </c>
      <c r="AO563" s="320">
        <f>IFERROR(__xludf.DUMMYFUNCTION("""COMPUTED_VALUE"""),15.87)</f>
        <v>15.87</v>
      </c>
    </row>
    <row r="564" ht="15.0" customHeight="1">
      <c r="A564" s="328">
        <f>IFERROR(__xludf.DUMMYFUNCTION("""COMPUTED_VALUE"""),46143.0)</f>
        <v>46143</v>
      </c>
      <c r="B564" s="319" t="str">
        <f>IFERROR(__xludf.DUMMYFUNCTION("""COMPUTED_VALUE"""),"E. 40-99")</f>
        <v>E. 40-99</v>
      </c>
      <c r="C564" s="320">
        <f>IFERROR(__xludf.DUMMYFUNCTION("""COMPUTED_VALUE"""),3177.0)</f>
        <v>3177</v>
      </c>
      <c r="D564" s="320">
        <f>IFERROR(__xludf.DUMMYFUNCTION("""COMPUTED_VALUE"""),4.55)</f>
        <v>4.55</v>
      </c>
      <c r="E564" s="320">
        <f>IFERROR(__xludf.DUMMYFUNCTION("""COMPUTED_VALUE"""),18897.99)</f>
        <v>18897.99</v>
      </c>
      <c r="F564" s="320">
        <f>IFERROR(__xludf.DUMMYFUNCTION("""COMPUTED_VALUE"""),5.9484)</f>
        <v>5.9484</v>
      </c>
      <c r="G564" s="320">
        <f>IFERROR(__xludf.DUMMYFUNCTION("""COMPUTED_VALUE"""),44.82)</f>
        <v>44.82</v>
      </c>
      <c r="H564" s="320">
        <f>IFERROR(__xludf.DUMMYFUNCTION("""COMPUTED_VALUE"""),13.2711)</f>
        <v>13.2711</v>
      </c>
      <c r="I564" s="320">
        <f>IFERROR(__xludf.DUMMYFUNCTION("""COMPUTED_VALUE"""),135.4)</f>
        <v>135.4</v>
      </c>
      <c r="J564" s="320">
        <f>IFERROR(__xludf.DUMMYFUNCTION("""COMPUTED_VALUE"""),82.02)</f>
        <v>82.02</v>
      </c>
      <c r="K564" s="320">
        <f>IFERROR(__xludf.DUMMYFUNCTION("""COMPUTED_VALUE"""),54.06)</f>
        <v>54.06</v>
      </c>
      <c r="L564" s="320">
        <f>IFERROR(__xludf.DUMMYFUNCTION("""COMPUTED_VALUE"""),0.6591)</f>
        <v>0.6591</v>
      </c>
      <c r="M564" s="320">
        <f>IFERROR(__xludf.DUMMYFUNCTION("""COMPUTED_VALUE"""),0.4229)</f>
        <v>0.4229</v>
      </c>
      <c r="N564" s="320">
        <f>IFERROR(__xludf.DUMMYFUNCTION("""COMPUTED_VALUE"""),0.2351)</f>
        <v>0.2351</v>
      </c>
      <c r="O564" s="320">
        <f>IFERROR(__xludf.DUMMYFUNCTION("""COMPUTED_VALUE"""),1.5171)</f>
        <v>1.5171</v>
      </c>
      <c r="P564" s="320">
        <f>IFERROR(__xludf.DUMMYFUNCTION("""COMPUTED_VALUE"""),657.51)</f>
        <v>657.51</v>
      </c>
      <c r="Q564" s="320">
        <f>IFERROR(__xludf.DUMMYFUNCTION("""COMPUTED_VALUE"""),562.41)</f>
        <v>562.41</v>
      </c>
      <c r="R564" s="320">
        <f>IFERROR(__xludf.DUMMYFUNCTION("""COMPUTED_VALUE"""),95.1)</f>
        <v>95.1</v>
      </c>
      <c r="S564" s="320">
        <f>IFERROR(__xludf.DUMMYFUNCTION("""COMPUTED_VALUE"""),375.68)</f>
        <v>375.68</v>
      </c>
      <c r="T564" s="320">
        <f>IFERROR(__xludf.DUMMYFUNCTION("""COMPUTED_VALUE"""),281.83)</f>
        <v>281.83</v>
      </c>
      <c r="U564" s="320">
        <f>IFERROR(__xludf.DUMMYFUNCTION("""COMPUTED_VALUE"""),669.88)</f>
        <v>669.88</v>
      </c>
      <c r="V564" s="320">
        <f>IFERROR(__xludf.DUMMYFUNCTION("""COMPUTED_VALUE"""),8.1677)</f>
        <v>8.1677</v>
      </c>
      <c r="W564" s="320">
        <f>IFERROR(__xludf.DUMMYFUNCTION("""COMPUTED_VALUE"""),57.14)</f>
        <v>57.14</v>
      </c>
      <c r="X564" s="320">
        <f>IFERROR(__xludf.DUMMYFUNCTION("""COMPUTED_VALUE"""),94.0)</f>
        <v>94</v>
      </c>
      <c r="Y564" s="320">
        <f>IFERROR(__xludf.DUMMYFUNCTION("""COMPUTED_VALUE"""),292.0)</f>
        <v>292</v>
      </c>
      <c r="Z564" s="320">
        <f>IFERROR(__xludf.DUMMYFUNCTION("""COMPUTED_VALUE"""),900.0)</f>
        <v>900</v>
      </c>
      <c r="AA564" s="320">
        <f>IFERROR(__xludf.DUMMYFUNCTION("""COMPUTED_VALUE"""),57.4817)</f>
        <v>57.4817</v>
      </c>
      <c r="AB564" s="320">
        <f>IFERROR(__xludf.DUMMYFUNCTION("""COMPUTED_VALUE"""),0.7551)</f>
        <v>0.7551</v>
      </c>
      <c r="AC564" s="320">
        <f>IFERROR(__xludf.DUMMYFUNCTION("""COMPUTED_VALUE"""),35.47)</f>
        <v>35.47</v>
      </c>
      <c r="AD564" s="320">
        <f>IFERROR(__xludf.DUMMYFUNCTION("""COMPUTED_VALUE"""),11.0)</f>
        <v>11</v>
      </c>
      <c r="AE564" s="320">
        <f>IFERROR(__xludf.DUMMYFUNCTION("""COMPUTED_VALUE"""),26.0)</f>
        <v>26</v>
      </c>
      <c r="AF564" s="320">
        <f>IFERROR(__xludf.DUMMYFUNCTION("""COMPUTED_VALUE"""),50.0)</f>
        <v>50</v>
      </c>
      <c r="AG564" s="320">
        <f>IFERROR(__xludf.DUMMYFUNCTION("""COMPUTED_VALUE"""),79.0)</f>
        <v>79</v>
      </c>
      <c r="AH564" s="320">
        <f>IFERROR(__xludf.DUMMYFUNCTION("""COMPUTED_VALUE"""),47.53)</f>
        <v>47.53</v>
      </c>
      <c r="AI564" s="320">
        <f>IFERROR(__xludf.DUMMYFUNCTION("""COMPUTED_VALUE"""),19.01)</f>
        <v>19.01</v>
      </c>
      <c r="AJ564" s="320">
        <f>IFERROR(__xludf.DUMMYFUNCTION("""COMPUTED_VALUE"""),4.91)</f>
        <v>4.91</v>
      </c>
      <c r="AK564" s="320">
        <f>IFERROR(__xludf.DUMMYFUNCTION("""COMPUTED_VALUE"""),0.1722)</f>
        <v>0.1722</v>
      </c>
      <c r="AL564" s="320">
        <f>IFERROR(__xludf.DUMMYFUNCTION("""COMPUTED_VALUE"""),20.79)</f>
        <v>20.79</v>
      </c>
      <c r="AM564" s="320">
        <f>IFERROR(__xludf.DUMMYFUNCTION("""COMPUTED_VALUE"""),541.62)</f>
        <v>541.62</v>
      </c>
      <c r="AN564" s="320">
        <f>IFERROR(__xludf.DUMMYFUNCTION("""COMPUTED_VALUE"""),76.72)</f>
        <v>76.72</v>
      </c>
      <c r="AO564" s="320">
        <f>IFERROR(__xludf.DUMMYFUNCTION("""COMPUTED_VALUE"""),15.95)</f>
        <v>15.95</v>
      </c>
    </row>
    <row r="565" ht="15.0" customHeight="1">
      <c r="A565" s="328">
        <f>IFERROR(__xludf.DUMMYFUNCTION("""COMPUTED_VALUE"""),46143.0)</f>
        <v>46143</v>
      </c>
      <c r="B565" s="319" t="str">
        <f>IFERROR(__xludf.DUMMYFUNCTION("""COMPUTED_VALUE"""),"F. 100+")</f>
        <v>F. 100+</v>
      </c>
      <c r="C565" s="320">
        <f>IFERROR(__xludf.DUMMYFUNCTION("""COMPUTED_VALUE"""),358.0)</f>
        <v>358</v>
      </c>
      <c r="D565" s="320">
        <f>IFERROR(__xludf.DUMMYFUNCTION("""COMPUTED_VALUE"""),0.51)</f>
        <v>0.51</v>
      </c>
      <c r="E565" s="320">
        <f>IFERROR(__xludf.DUMMYFUNCTION("""COMPUTED_VALUE"""),4105.04)</f>
        <v>4105.04</v>
      </c>
      <c r="F565" s="320">
        <f>IFERROR(__xludf.DUMMYFUNCTION("""COMPUTED_VALUE"""),11.4666)</f>
        <v>11.4666</v>
      </c>
      <c r="G565" s="320">
        <f>IFERROR(__xludf.DUMMYFUNCTION("""COMPUTED_VALUE"""),52.51)</f>
        <v>52.51</v>
      </c>
      <c r="H565" s="320">
        <f>IFERROR(__xludf.DUMMYFUNCTION("""COMPUTED_VALUE"""),21.8353)</f>
        <v>21.8353</v>
      </c>
      <c r="I565" s="320">
        <f>IFERROR(__xludf.DUMMYFUNCTION("""COMPUTED_VALUE"""),243.26)</f>
        <v>243.26</v>
      </c>
      <c r="J565" s="320">
        <f>IFERROR(__xludf.DUMMYFUNCTION("""COMPUTED_VALUE"""),157.03)</f>
        <v>157.03</v>
      </c>
      <c r="K565" s="320">
        <f>IFERROR(__xludf.DUMMYFUNCTION("""COMPUTED_VALUE"""),123.7)</f>
        <v>123.7</v>
      </c>
      <c r="L565" s="320">
        <f>IFERROR(__xludf.DUMMYFUNCTION("""COMPUTED_VALUE"""),0.7877)</f>
        <v>0.7877</v>
      </c>
      <c r="M565" s="320">
        <f>IFERROR(__xludf.DUMMYFUNCTION("""COMPUTED_VALUE"""),0.2977)</f>
        <v>0.2977</v>
      </c>
      <c r="N565" s="320">
        <f>IFERROR(__xludf.DUMMYFUNCTION("""COMPUTED_VALUE"""),0.1794)</f>
        <v>0.1794</v>
      </c>
      <c r="O565" s="320">
        <f>IFERROR(__xludf.DUMMYFUNCTION("""COMPUTED_VALUE"""),1.2694)</f>
        <v>1.2694</v>
      </c>
      <c r="P565" s="320">
        <f>IFERROR(__xludf.DUMMYFUNCTION("""COMPUTED_VALUE"""),1254.4)</f>
        <v>1254.4</v>
      </c>
      <c r="Q565" s="320">
        <f>IFERROR(__xludf.DUMMYFUNCTION("""COMPUTED_VALUE"""),1038.29)</f>
        <v>1038.29</v>
      </c>
      <c r="R565" s="320">
        <f>IFERROR(__xludf.DUMMYFUNCTION("""COMPUTED_VALUE"""),216.1)</f>
        <v>216.1</v>
      </c>
      <c r="S565" s="320">
        <f>IFERROR(__xludf.DUMMYFUNCTION("""COMPUTED_VALUE"""),746.1)</f>
        <v>746.1</v>
      </c>
      <c r="T565" s="320">
        <f>IFERROR(__xludf.DUMMYFUNCTION("""COMPUTED_VALUE"""),508.29)</f>
        <v>508.29</v>
      </c>
      <c r="U565" s="320">
        <f>IFERROR(__xludf.DUMMYFUNCTION("""COMPUTED_VALUE"""),1329.19)</f>
        <v>1329.19</v>
      </c>
      <c r="V565" s="320">
        <f>IFERROR(__xludf.DUMMYFUNCTION("""COMPUTED_VALUE"""),8.4648)</f>
        <v>8.4648</v>
      </c>
      <c r="W565" s="320">
        <f>IFERROR(__xludf.DUMMYFUNCTION("""COMPUTED_VALUE"""),59.48)</f>
        <v>59.48</v>
      </c>
      <c r="X565" s="320">
        <f>IFERROR(__xludf.DUMMYFUNCTION("""COMPUTED_VALUE"""),136.0)</f>
        <v>136</v>
      </c>
      <c r="Y565" s="320">
        <f>IFERROR(__xludf.DUMMYFUNCTION("""COMPUTED_VALUE"""),483.0)</f>
        <v>483</v>
      </c>
      <c r="Z565" s="320">
        <f>IFERROR(__xludf.DUMMYFUNCTION("""COMPUTED_VALUE"""),2199.0)</f>
        <v>2199</v>
      </c>
      <c r="AA565" s="320">
        <f>IFERROR(__xludf.DUMMYFUNCTION("""COMPUTED_VALUE"""),62.0867)</f>
        <v>62.0867</v>
      </c>
      <c r="AB565" s="320">
        <f>IFERROR(__xludf.DUMMYFUNCTION("""COMPUTED_VALUE"""),0.8518)</f>
        <v>0.8518</v>
      </c>
      <c r="AC565" s="320">
        <f>IFERROR(__xludf.DUMMYFUNCTION("""COMPUTED_VALUE"""),80.99)</f>
        <v>80.99</v>
      </c>
      <c r="AD565" s="320">
        <f>IFERROR(__xludf.DUMMYFUNCTION("""COMPUTED_VALUE"""),26.0)</f>
        <v>26</v>
      </c>
      <c r="AE565" s="320">
        <f>IFERROR(__xludf.DUMMYFUNCTION("""COMPUTED_VALUE"""),61.0)</f>
        <v>61</v>
      </c>
      <c r="AF565" s="320">
        <f>IFERROR(__xludf.DUMMYFUNCTION("""COMPUTED_VALUE"""),116.0)</f>
        <v>116</v>
      </c>
      <c r="AG565" s="320">
        <f>IFERROR(__xludf.DUMMYFUNCTION("""COMPUTED_VALUE"""),173.0)</f>
        <v>173</v>
      </c>
      <c r="AH565" s="320">
        <f>IFERROR(__xludf.DUMMYFUNCTION("""COMPUTED_VALUE"""),39.94)</f>
        <v>39.94</v>
      </c>
      <c r="AI565" s="320">
        <f>IFERROR(__xludf.DUMMYFUNCTION("""COMPUTED_VALUE"""),10.06)</f>
        <v>10.06</v>
      </c>
      <c r="AJ565" s="320">
        <f>IFERROR(__xludf.DUMMYFUNCTION("""COMPUTED_VALUE"""),1.12)</f>
        <v>1.12</v>
      </c>
      <c r="AK565" s="320">
        <f>IFERROR(__xludf.DUMMYFUNCTION("""COMPUTED_VALUE"""),0.1369)</f>
        <v>0.1369</v>
      </c>
      <c r="AL565" s="320">
        <f>IFERROR(__xludf.DUMMYFUNCTION("""COMPUTED_VALUE"""),21.1)</f>
        <v>21.1</v>
      </c>
      <c r="AM565" s="320">
        <f>IFERROR(__xludf.DUMMYFUNCTION("""COMPUTED_VALUE"""),1017.19)</f>
        <v>1017.19</v>
      </c>
      <c r="AN565" s="320">
        <f>IFERROR(__xludf.DUMMYFUNCTION("""COMPUTED_VALUE"""),72.27)</f>
        <v>72.27</v>
      </c>
      <c r="AO565" s="320">
        <f>IFERROR(__xludf.DUMMYFUNCTION("""COMPUTED_VALUE"""),15.25)</f>
        <v>15.25</v>
      </c>
    </row>
    <row r="566" ht="15.0" customHeight="1">
      <c r="A566" s="328">
        <f>IFERROR(__xludf.DUMMYFUNCTION("""COMPUTED_VALUE"""),46144.0)</f>
        <v>46144</v>
      </c>
      <c r="B566" s="319" t="str">
        <f>IFERROR(__xludf.DUMMYFUNCTION("""COMPUTED_VALUE"""),"A. 0")</f>
        <v>A. 0</v>
      </c>
      <c r="C566" s="320">
        <f>IFERROR(__xludf.DUMMYFUNCTION("""COMPUTED_VALUE"""),14493.0)</f>
        <v>14493</v>
      </c>
      <c r="D566" s="320">
        <f>IFERROR(__xludf.DUMMYFUNCTION("""COMPUTED_VALUE"""),20.94)</f>
        <v>20.94</v>
      </c>
      <c r="E566" s="320">
        <f>IFERROR(__xludf.DUMMYFUNCTION("""COMPUTED_VALUE"""),144.65)</f>
        <v>144.65</v>
      </c>
      <c r="F566" s="320">
        <f>IFERROR(__xludf.DUMMYFUNCTION("""COMPUTED_VALUE"""),0.01)</f>
        <v>0.01</v>
      </c>
      <c r="G566" s="320">
        <f>IFERROR(__xludf.DUMMYFUNCTION("""COMPUTED_VALUE"""),0.28)</f>
        <v>0.28</v>
      </c>
      <c r="H566" s="320">
        <f>IFERROR(__xludf.DUMMYFUNCTION("""COMPUTED_VALUE"""),3.6162)</f>
        <v>3.6162</v>
      </c>
      <c r="I566" s="320">
        <f>IFERROR(__xludf.DUMMYFUNCTION("""COMPUTED_VALUE"""),5.77)</f>
        <v>5.77</v>
      </c>
      <c r="J566" s="320">
        <f>IFERROR(__xludf.DUMMYFUNCTION("""COMPUTED_VALUE"""),2.59)</f>
        <v>2.59</v>
      </c>
      <c r="K566" s="320">
        <f>IFERROR(__xludf.DUMMYFUNCTION("""COMPUTED_VALUE"""),0.03)</f>
        <v>0.03</v>
      </c>
      <c r="L566" s="320">
        <f>IFERROR(__xludf.DUMMYFUNCTION("""COMPUTED_VALUE"""),0.012)</f>
        <v>0.012</v>
      </c>
      <c r="M566" s="320">
        <f>IFERROR(__xludf.DUMMYFUNCTION("""COMPUTED_VALUE"""),0.9888)</f>
        <v>0.9888</v>
      </c>
      <c r="N566" s="320">
        <f>IFERROR(__xludf.DUMMYFUNCTION("""COMPUTED_VALUE"""),0.8626)</f>
        <v>0.8626</v>
      </c>
      <c r="O566" s="320">
        <f>IFERROR(__xludf.DUMMYFUNCTION("""COMPUTED_VALUE"""),83.3689)</f>
        <v>83.3689</v>
      </c>
      <c r="P566" s="320">
        <f>IFERROR(__xludf.DUMMYFUNCTION("""COMPUTED_VALUE"""),27.28)</f>
        <v>27.28</v>
      </c>
      <c r="Q566" s="320">
        <f>IFERROR(__xludf.DUMMYFUNCTION("""COMPUTED_VALUE"""),27.22)</f>
        <v>27.22</v>
      </c>
      <c r="R566" s="320">
        <f>IFERROR(__xludf.DUMMYFUNCTION("""COMPUTED_VALUE"""),0.05)</f>
        <v>0.05</v>
      </c>
      <c r="S566" s="320">
        <f>IFERROR(__xludf.DUMMYFUNCTION("""COMPUTED_VALUE"""),0.73)</f>
        <v>0.73</v>
      </c>
      <c r="T566" s="320">
        <f>IFERROR(__xludf.DUMMYFUNCTION("""COMPUTED_VALUE"""),26.55)</f>
        <v>26.55</v>
      </c>
      <c r="U566" s="320">
        <f>IFERROR(__xludf.DUMMYFUNCTION("""COMPUTED_VALUE"""),2.57)</f>
        <v>2.57</v>
      </c>
      <c r="V566" s="320">
        <f>IFERROR(__xludf.DUMMYFUNCTION("""COMPUTED_VALUE"""),0.9929)</f>
        <v>0.9929</v>
      </c>
      <c r="W566" s="320">
        <f>IFERROR(__xludf.DUMMYFUNCTION("""COMPUTED_VALUE"""),2.69)</f>
        <v>2.69</v>
      </c>
      <c r="X566" s="320">
        <f>IFERROR(__xludf.DUMMYFUNCTION("""COMPUTED_VALUE"""),156.0)</f>
        <v>156</v>
      </c>
      <c r="Y566" s="320">
        <f>IFERROR(__xludf.DUMMYFUNCTION("""COMPUTED_VALUE"""),1227.0)</f>
        <v>1227</v>
      </c>
      <c r="Z566" s="320">
        <f>IFERROR(__xludf.DUMMYFUNCTION("""COMPUTED_VALUE"""),7940.0)</f>
        <v>7940</v>
      </c>
      <c r="AA566" s="320">
        <f>IFERROR(__xludf.DUMMYFUNCTION("""COMPUTED_VALUE"""),49.7905)</f>
        <v>49.7905</v>
      </c>
      <c r="AB566" s="320">
        <f>IFERROR(__xludf.DUMMYFUNCTION("""COMPUTED_VALUE"""),0.5068)</f>
        <v>0.5068</v>
      </c>
      <c r="AC566" s="106"/>
      <c r="AD566" s="106"/>
      <c r="AE566" s="106"/>
      <c r="AF566" s="106"/>
      <c r="AG566" s="106"/>
      <c r="AH566" s="320">
        <f>IFERROR(__xludf.DUMMYFUNCTION("""COMPUTED_VALUE"""),0.0)</f>
        <v>0</v>
      </c>
      <c r="AI566" s="320">
        <f>IFERROR(__xludf.DUMMYFUNCTION("""COMPUTED_VALUE"""),0.0)</f>
        <v>0</v>
      </c>
      <c r="AJ566" s="320">
        <f>IFERROR(__xludf.DUMMYFUNCTION("""COMPUTED_VALUE"""),0.0)</f>
        <v>0</v>
      </c>
      <c r="AK566" s="320">
        <f>IFERROR(__xludf.DUMMYFUNCTION("""COMPUTED_VALUE"""),0.2713)</f>
        <v>0.2713</v>
      </c>
      <c r="AL566" s="320">
        <f>IFERROR(__xludf.DUMMYFUNCTION("""COMPUTED_VALUE"""),17.48)</f>
        <v>17.48</v>
      </c>
      <c r="AM566" s="320">
        <f>IFERROR(__xludf.DUMMYFUNCTION("""COMPUTED_VALUE"""),9.75)</f>
        <v>9.75</v>
      </c>
      <c r="AN566" s="331"/>
      <c r="AO566" s="331"/>
    </row>
    <row r="567" ht="15.0" customHeight="1">
      <c r="A567" s="328">
        <f>IFERROR(__xludf.DUMMYFUNCTION("""COMPUTED_VALUE"""),46144.0)</f>
        <v>46144</v>
      </c>
      <c r="B567" s="319" t="str">
        <f>IFERROR(__xludf.DUMMYFUNCTION("""COMPUTED_VALUE"""),"B. 1-9")</f>
        <v>B. 1-9</v>
      </c>
      <c r="C567" s="320">
        <f>IFERROR(__xludf.DUMMYFUNCTION("""COMPUTED_VALUE"""),28225.0)</f>
        <v>28225</v>
      </c>
      <c r="D567" s="320">
        <f>IFERROR(__xludf.DUMMYFUNCTION("""COMPUTED_VALUE"""),40.78)</f>
        <v>40.78</v>
      </c>
      <c r="E567" s="320">
        <f>IFERROR(__xludf.DUMMYFUNCTION("""COMPUTED_VALUE"""),7036.11)</f>
        <v>7036.11</v>
      </c>
      <c r="F567" s="320">
        <f>IFERROR(__xludf.DUMMYFUNCTION("""COMPUTED_VALUE"""),0.2493)</f>
        <v>0.2493</v>
      </c>
      <c r="G567" s="320">
        <f>IFERROR(__xludf.DUMMYFUNCTION("""COMPUTED_VALUE"""),7.19)</f>
        <v>7.19</v>
      </c>
      <c r="H567" s="320">
        <f>IFERROR(__xludf.DUMMYFUNCTION("""COMPUTED_VALUE"""),3.4678)</f>
        <v>3.4678</v>
      </c>
      <c r="I567" s="320">
        <f>IFERROR(__xludf.DUMMYFUNCTION("""COMPUTED_VALUE"""),31.45)</f>
        <v>31.45</v>
      </c>
      <c r="J567" s="320">
        <f>IFERROR(__xludf.DUMMYFUNCTION("""COMPUTED_VALUE"""),16.65)</f>
        <v>16.65</v>
      </c>
      <c r="K567" s="320">
        <f>IFERROR(__xludf.DUMMYFUNCTION("""COMPUTED_VALUE"""),5.41)</f>
        <v>5.41</v>
      </c>
      <c r="L567" s="320">
        <f>IFERROR(__xludf.DUMMYFUNCTION("""COMPUTED_VALUE"""),0.3248)</f>
        <v>0.3248</v>
      </c>
      <c r="M567" s="320">
        <f>IFERROR(__xludf.DUMMYFUNCTION("""COMPUTED_VALUE"""),0.7481)</f>
        <v>0.7481</v>
      </c>
      <c r="N567" s="320">
        <f>IFERROR(__xludf.DUMMYFUNCTION("""COMPUTED_VALUE"""),0.5027)</f>
        <v>0.5027</v>
      </c>
      <c r="O567" s="320">
        <f>IFERROR(__xludf.DUMMYFUNCTION("""COMPUTED_VALUE"""),3.0785)</f>
        <v>3.0785</v>
      </c>
      <c r="P567" s="320">
        <f>IFERROR(__xludf.DUMMYFUNCTION("""COMPUTED_VALUE"""),73.78)</f>
        <v>73.78</v>
      </c>
      <c r="Q567" s="320">
        <f>IFERROR(__xludf.DUMMYFUNCTION("""COMPUTED_VALUE"""),64.41)</f>
        <v>64.41</v>
      </c>
      <c r="R567" s="320">
        <f>IFERROR(__xludf.DUMMYFUNCTION("""COMPUTED_VALUE"""),9.37)</f>
        <v>9.37</v>
      </c>
      <c r="S567" s="320">
        <f>IFERROR(__xludf.DUMMYFUNCTION("""COMPUTED_VALUE"""),16.02)</f>
        <v>16.02</v>
      </c>
      <c r="T567" s="320">
        <f>IFERROR(__xludf.DUMMYFUNCTION("""COMPUTED_VALUE"""),57.77)</f>
        <v>57.77</v>
      </c>
      <c r="U567" s="320">
        <f>IFERROR(__xludf.DUMMYFUNCTION("""COMPUTED_VALUE"""),77.87)</f>
        <v>77.87</v>
      </c>
      <c r="V567" s="320">
        <f>IFERROR(__xludf.DUMMYFUNCTION("""COMPUTED_VALUE"""),4.6755)</f>
        <v>4.6755</v>
      </c>
      <c r="W567" s="320">
        <f>IFERROR(__xludf.DUMMYFUNCTION("""COMPUTED_VALUE"""),21.71)</f>
        <v>21.71</v>
      </c>
      <c r="X567" s="320">
        <f>IFERROR(__xludf.DUMMYFUNCTION("""COMPUTED_VALUE"""),90.0)</f>
        <v>90</v>
      </c>
      <c r="Y567" s="320">
        <f>IFERROR(__xludf.DUMMYFUNCTION("""COMPUTED_VALUE"""),224.0)</f>
        <v>224</v>
      </c>
      <c r="Z567" s="320">
        <f>IFERROR(__xludf.DUMMYFUNCTION("""COMPUTED_VALUE"""),951.0)</f>
        <v>951</v>
      </c>
      <c r="AA567" s="320">
        <f>IFERROR(__xludf.DUMMYFUNCTION("""COMPUTED_VALUE"""),49.5046)</f>
        <v>49.5046</v>
      </c>
      <c r="AB567" s="320">
        <f>IFERROR(__xludf.DUMMYFUNCTION("""COMPUTED_VALUE"""),0.4478)</f>
        <v>0.4478</v>
      </c>
      <c r="AC567" s="320">
        <f>IFERROR(__xludf.DUMMYFUNCTION("""COMPUTED_VALUE"""),3.68)</f>
        <v>3.68</v>
      </c>
      <c r="AD567" s="320">
        <f>IFERROR(__xludf.DUMMYFUNCTION("""COMPUTED_VALUE"""),1.0)</f>
        <v>1</v>
      </c>
      <c r="AE567" s="320">
        <f>IFERROR(__xludf.DUMMYFUNCTION("""COMPUTED_VALUE"""),2.0)</f>
        <v>2</v>
      </c>
      <c r="AF567" s="320">
        <f>IFERROR(__xludf.DUMMYFUNCTION("""COMPUTED_VALUE"""),5.0)</f>
        <v>5</v>
      </c>
      <c r="AG567" s="320">
        <f>IFERROR(__xludf.DUMMYFUNCTION("""COMPUTED_VALUE"""),8.0)</f>
        <v>8</v>
      </c>
      <c r="AH567" s="320">
        <f>IFERROR(__xludf.DUMMYFUNCTION("""COMPUTED_VALUE"""),67.55)</f>
        <v>67.55</v>
      </c>
      <c r="AI567" s="320">
        <f>IFERROR(__xludf.DUMMYFUNCTION("""COMPUTED_VALUE"""),26.11)</f>
        <v>26.11</v>
      </c>
      <c r="AJ567" s="320">
        <f>IFERROR(__xludf.DUMMYFUNCTION("""COMPUTED_VALUE"""),7.71)</f>
        <v>7.71</v>
      </c>
      <c r="AK567" s="320">
        <f>IFERROR(__xludf.DUMMYFUNCTION("""COMPUTED_VALUE"""),0.22)</f>
        <v>0.22</v>
      </c>
      <c r="AL567" s="320">
        <f>IFERROR(__xludf.DUMMYFUNCTION("""COMPUTED_VALUE"""),23.02)</f>
        <v>23.02</v>
      </c>
      <c r="AM567" s="320">
        <f>IFERROR(__xludf.DUMMYFUNCTION("""COMPUTED_VALUE"""),41.39)</f>
        <v>41.39</v>
      </c>
      <c r="AN567" s="320">
        <f>IFERROR(__xludf.DUMMYFUNCTION("""COMPUTED_VALUE"""),68.61)</f>
        <v>68.61</v>
      </c>
      <c r="AO567" s="320">
        <f>IFERROR(__xludf.DUMMYFUNCTION("""COMPUTED_VALUE"""),15.79)</f>
        <v>15.79</v>
      </c>
    </row>
    <row r="568" ht="15.0" customHeight="1">
      <c r="A568" s="328">
        <f>IFERROR(__xludf.DUMMYFUNCTION("""COMPUTED_VALUE"""),46144.0)</f>
        <v>46144</v>
      </c>
      <c r="B568" s="319" t="str">
        <f>IFERROR(__xludf.DUMMYFUNCTION("""COMPUTED_VALUE"""),"C. 10-19")</f>
        <v>C. 10-19</v>
      </c>
      <c r="C568" s="320">
        <f>IFERROR(__xludf.DUMMYFUNCTION("""COMPUTED_VALUE"""),15013.0)</f>
        <v>15013</v>
      </c>
      <c r="D568" s="320">
        <f>IFERROR(__xludf.DUMMYFUNCTION("""COMPUTED_VALUE"""),21.69)</f>
        <v>21.69</v>
      </c>
      <c r="E568" s="320">
        <f>IFERROR(__xludf.DUMMYFUNCTION("""COMPUTED_VALUE"""),16133.92)</f>
        <v>16133.92</v>
      </c>
      <c r="F568" s="320">
        <f>IFERROR(__xludf.DUMMYFUNCTION("""COMPUTED_VALUE"""),1.0747)</f>
        <v>1.0747</v>
      </c>
      <c r="G568" s="320">
        <f>IFERROR(__xludf.DUMMYFUNCTION("""COMPUTED_VALUE"""),21.67)</f>
        <v>21.67</v>
      </c>
      <c r="H568" s="320">
        <f>IFERROR(__xludf.DUMMYFUNCTION("""COMPUTED_VALUE"""),4.9597)</f>
        <v>4.9597</v>
      </c>
      <c r="I568" s="320">
        <f>IFERROR(__xludf.DUMMYFUNCTION("""COMPUTED_VALUE"""),56.83)</f>
        <v>56.83</v>
      </c>
      <c r="J568" s="320">
        <f>IFERROR(__xludf.DUMMYFUNCTION("""COMPUTED_VALUE"""),32.11)</f>
        <v>32.11</v>
      </c>
      <c r="K568" s="320">
        <f>IFERROR(__xludf.DUMMYFUNCTION("""COMPUTED_VALUE"""),13.33)</f>
        <v>13.33</v>
      </c>
      <c r="L568" s="320">
        <f>IFERROR(__xludf.DUMMYFUNCTION("""COMPUTED_VALUE"""),0.4151)</f>
        <v>0.4151</v>
      </c>
      <c r="M568" s="320">
        <f>IFERROR(__xludf.DUMMYFUNCTION("""COMPUTED_VALUE"""),0.6495)</f>
        <v>0.6495</v>
      </c>
      <c r="N568" s="320">
        <f>IFERROR(__xludf.DUMMYFUNCTION("""COMPUTED_VALUE"""),0.375)</f>
        <v>0.375</v>
      </c>
      <c r="O568" s="320">
        <f>IFERROR(__xludf.DUMMYFUNCTION("""COMPUTED_VALUE"""),2.4093)</f>
        <v>2.4093</v>
      </c>
      <c r="P568" s="320">
        <f>IFERROR(__xludf.DUMMYFUNCTION("""COMPUTED_VALUE"""),169.35)</f>
        <v>169.35</v>
      </c>
      <c r="Q568" s="320">
        <f>IFERROR(__xludf.DUMMYFUNCTION("""COMPUTED_VALUE"""),146.31)</f>
        <v>146.31</v>
      </c>
      <c r="R568" s="320">
        <f>IFERROR(__xludf.DUMMYFUNCTION("""COMPUTED_VALUE"""),23.05)</f>
        <v>23.05</v>
      </c>
      <c r="S568" s="320">
        <f>IFERROR(__xludf.DUMMYFUNCTION("""COMPUTED_VALUE"""),67.93)</f>
        <v>67.93</v>
      </c>
      <c r="T568" s="320">
        <f>IFERROR(__xludf.DUMMYFUNCTION("""COMPUTED_VALUE"""),101.42)</f>
        <v>101.42</v>
      </c>
      <c r="U568" s="320">
        <f>IFERROR(__xludf.DUMMYFUNCTION("""COMPUTED_VALUE"""),174.07)</f>
        <v>174.07</v>
      </c>
      <c r="V568" s="320">
        <f>IFERROR(__xludf.DUMMYFUNCTION("""COMPUTED_VALUE"""),5.4212)</f>
        <v>5.4212</v>
      </c>
      <c r="W568" s="320">
        <f>IFERROR(__xludf.DUMMYFUNCTION("""COMPUTED_VALUE"""),40.11)</f>
        <v>40.11</v>
      </c>
      <c r="X568" s="320">
        <f>IFERROR(__xludf.DUMMYFUNCTION("""COMPUTED_VALUE"""),83.0)</f>
        <v>83</v>
      </c>
      <c r="Y568" s="320">
        <f>IFERROR(__xludf.DUMMYFUNCTION("""COMPUTED_VALUE"""),188.0)</f>
        <v>188</v>
      </c>
      <c r="Z568" s="320">
        <f>IFERROR(__xludf.DUMMYFUNCTION("""COMPUTED_VALUE"""),626.0)</f>
        <v>626</v>
      </c>
      <c r="AA568" s="320">
        <f>IFERROR(__xludf.DUMMYFUNCTION("""COMPUTED_VALUE"""),52.4035)</f>
        <v>52.4035</v>
      </c>
      <c r="AB568" s="320">
        <f>IFERROR(__xludf.DUMMYFUNCTION("""COMPUTED_VALUE"""),0.5506)</f>
        <v>0.5506</v>
      </c>
      <c r="AC568" s="320">
        <f>IFERROR(__xludf.DUMMYFUNCTION("""COMPUTED_VALUE"""),8.77)</f>
        <v>8.77</v>
      </c>
      <c r="AD568" s="320">
        <f>IFERROR(__xludf.DUMMYFUNCTION("""COMPUTED_VALUE"""),3.0)</f>
        <v>3</v>
      </c>
      <c r="AE568" s="320">
        <f>IFERROR(__xludf.DUMMYFUNCTION("""COMPUTED_VALUE"""),6.0)</f>
        <v>6</v>
      </c>
      <c r="AF568" s="320">
        <f>IFERROR(__xludf.DUMMYFUNCTION("""COMPUTED_VALUE"""),13.0)</f>
        <v>13</v>
      </c>
      <c r="AG568" s="320">
        <f>IFERROR(__xludf.DUMMYFUNCTION("""COMPUTED_VALUE"""),19.0)</f>
        <v>19</v>
      </c>
      <c r="AH568" s="320">
        <f>IFERROR(__xludf.DUMMYFUNCTION("""COMPUTED_VALUE"""),53.73)</f>
        <v>53.73</v>
      </c>
      <c r="AI568" s="320">
        <f>IFERROR(__xludf.DUMMYFUNCTION("""COMPUTED_VALUE"""),24.5)</f>
        <v>24.5</v>
      </c>
      <c r="AJ568" s="320">
        <f>IFERROR(__xludf.DUMMYFUNCTION("""COMPUTED_VALUE"""),4.66)</f>
        <v>4.66</v>
      </c>
      <c r="AK568" s="320">
        <f>IFERROR(__xludf.DUMMYFUNCTION("""COMPUTED_VALUE"""),0.1943)</f>
        <v>0.1943</v>
      </c>
      <c r="AL568" s="320">
        <f>IFERROR(__xludf.DUMMYFUNCTION("""COMPUTED_VALUE"""),23.23)</f>
        <v>23.23</v>
      </c>
      <c r="AM568" s="320">
        <f>IFERROR(__xludf.DUMMYFUNCTION("""COMPUTED_VALUE"""),123.07)</f>
        <v>123.07</v>
      </c>
      <c r="AN568" s="320">
        <f>IFERROR(__xludf.DUMMYFUNCTION("""COMPUTED_VALUE"""),73.92)</f>
        <v>73.92</v>
      </c>
      <c r="AO568" s="320">
        <f>IFERROR(__xludf.DUMMYFUNCTION("""COMPUTED_VALUE"""),17.17)</f>
        <v>17.17</v>
      </c>
    </row>
    <row r="569" ht="15.0" customHeight="1">
      <c r="A569" s="328">
        <f>IFERROR(__xludf.DUMMYFUNCTION("""COMPUTED_VALUE"""),46144.0)</f>
        <v>46144</v>
      </c>
      <c r="B569" s="319" t="str">
        <f>IFERROR(__xludf.DUMMYFUNCTION("""COMPUTED_VALUE"""),"D. 20-39")</f>
        <v>D. 20-39</v>
      </c>
      <c r="C569" s="320">
        <f>IFERROR(__xludf.DUMMYFUNCTION("""COMPUTED_VALUE"""),7867.0)</f>
        <v>7867</v>
      </c>
      <c r="D569" s="320">
        <f>IFERROR(__xludf.DUMMYFUNCTION("""COMPUTED_VALUE"""),11.37)</f>
        <v>11.37</v>
      </c>
      <c r="E569" s="320">
        <f>IFERROR(__xludf.DUMMYFUNCTION("""COMPUTED_VALUE"""),19327.17)</f>
        <v>19327.17</v>
      </c>
      <c r="F569" s="320">
        <f>IFERROR(__xludf.DUMMYFUNCTION("""COMPUTED_VALUE"""),2.4567)</f>
        <v>2.4567</v>
      </c>
      <c r="G569" s="320">
        <f>IFERROR(__xludf.DUMMYFUNCTION("""COMPUTED_VALUE"""),32.88)</f>
        <v>32.88</v>
      </c>
      <c r="H569" s="320">
        <f>IFERROR(__xludf.DUMMYFUNCTION("""COMPUTED_VALUE"""),7.4709)</f>
        <v>7.4709</v>
      </c>
      <c r="I569" s="320">
        <f>IFERROR(__xludf.DUMMYFUNCTION("""COMPUTED_VALUE"""),82.59)</f>
        <v>82.59</v>
      </c>
      <c r="J569" s="320">
        <f>IFERROR(__xludf.DUMMYFUNCTION("""COMPUTED_VALUE"""),48.56)</f>
        <v>48.56</v>
      </c>
      <c r="K569" s="320">
        <f>IFERROR(__xludf.DUMMYFUNCTION("""COMPUTED_VALUE"""),26.24)</f>
        <v>26.24</v>
      </c>
      <c r="L569" s="320">
        <f>IFERROR(__xludf.DUMMYFUNCTION("""COMPUTED_VALUE"""),0.5404)</f>
        <v>0.5404</v>
      </c>
      <c r="M569" s="320">
        <f>IFERROR(__xludf.DUMMYFUNCTION("""COMPUTED_VALUE"""),0.5312)</f>
        <v>0.5312</v>
      </c>
      <c r="N569" s="320">
        <f>IFERROR(__xludf.DUMMYFUNCTION("""COMPUTED_VALUE"""),0.2929)</f>
        <v>0.2929</v>
      </c>
      <c r="O569" s="320">
        <f>IFERROR(__xludf.DUMMYFUNCTION("""COMPUTED_VALUE"""),1.8505)</f>
        <v>1.8505</v>
      </c>
      <c r="P569" s="320">
        <f>IFERROR(__xludf.DUMMYFUNCTION("""COMPUTED_VALUE"""),326.32)</f>
        <v>326.32</v>
      </c>
      <c r="Q569" s="320">
        <f>IFERROR(__xludf.DUMMYFUNCTION("""COMPUTED_VALUE"""),280.45)</f>
        <v>280.45</v>
      </c>
      <c r="R569" s="320">
        <f>IFERROR(__xludf.DUMMYFUNCTION("""COMPUTED_VALUE"""),45.88)</f>
        <v>45.88</v>
      </c>
      <c r="S569" s="320">
        <f>IFERROR(__xludf.DUMMYFUNCTION("""COMPUTED_VALUE"""),153.42)</f>
        <v>153.42</v>
      </c>
      <c r="T569" s="320">
        <f>IFERROR(__xludf.DUMMYFUNCTION("""COMPUTED_VALUE"""),172.9)</f>
        <v>172.9</v>
      </c>
      <c r="U569" s="320">
        <f>IFERROR(__xludf.DUMMYFUNCTION("""COMPUTED_VALUE"""),332.32)</f>
        <v>332.32</v>
      </c>
      <c r="V569" s="320">
        <f>IFERROR(__xludf.DUMMYFUNCTION("""COMPUTED_VALUE"""),6.8437)</f>
        <v>6.8437</v>
      </c>
      <c r="W569" s="320">
        <f>IFERROR(__xludf.DUMMYFUNCTION("""COMPUTED_VALUE"""),47.02)</f>
        <v>47.02</v>
      </c>
      <c r="X569" s="320">
        <f>IFERROR(__xludf.DUMMYFUNCTION("""COMPUTED_VALUE"""),88.0)</f>
        <v>88</v>
      </c>
      <c r="Y569" s="320">
        <f>IFERROR(__xludf.DUMMYFUNCTION("""COMPUTED_VALUE"""),223.0)</f>
        <v>223</v>
      </c>
      <c r="Z569" s="320">
        <f>IFERROR(__xludf.DUMMYFUNCTION("""COMPUTED_VALUE"""),634.0)</f>
        <v>634</v>
      </c>
      <c r="AA569" s="320">
        <f>IFERROR(__xludf.DUMMYFUNCTION("""COMPUTED_VALUE"""),54.4965)</f>
        <v>54.4965</v>
      </c>
      <c r="AB569" s="320">
        <f>IFERROR(__xludf.DUMMYFUNCTION("""COMPUTED_VALUE"""),0.6577)</f>
        <v>0.6577</v>
      </c>
      <c r="AC569" s="320">
        <f>IFERROR(__xludf.DUMMYFUNCTION("""COMPUTED_VALUE"""),17.38)</f>
        <v>17.38</v>
      </c>
      <c r="AD569" s="320">
        <f>IFERROR(__xludf.DUMMYFUNCTION("""COMPUTED_VALUE"""),6.0)</f>
        <v>6</v>
      </c>
      <c r="AE569" s="320">
        <f>IFERROR(__xludf.DUMMYFUNCTION("""COMPUTED_VALUE"""),13.0)</f>
        <v>13</v>
      </c>
      <c r="AF569" s="320">
        <f>IFERROR(__xludf.DUMMYFUNCTION("""COMPUTED_VALUE"""),24.0)</f>
        <v>24</v>
      </c>
      <c r="AG569" s="320">
        <f>IFERROR(__xludf.DUMMYFUNCTION("""COMPUTED_VALUE"""),37.0)</f>
        <v>37</v>
      </c>
      <c r="AH569" s="320">
        <f>IFERROR(__xludf.DUMMYFUNCTION("""COMPUTED_VALUE"""),55.85)</f>
        <v>55.85</v>
      </c>
      <c r="AI569" s="320">
        <f>IFERROR(__xludf.DUMMYFUNCTION("""COMPUTED_VALUE"""),23.3)</f>
        <v>23.3</v>
      </c>
      <c r="AJ569" s="320">
        <f>IFERROR(__xludf.DUMMYFUNCTION("""COMPUTED_VALUE"""),7.21)</f>
        <v>7.21</v>
      </c>
      <c r="AK569" s="320">
        <f>IFERROR(__xludf.DUMMYFUNCTION("""COMPUTED_VALUE"""),0.2003)</f>
        <v>0.2003</v>
      </c>
      <c r="AL569" s="320">
        <f>IFERROR(__xludf.DUMMYFUNCTION("""COMPUTED_VALUE"""),22.48)</f>
        <v>22.48</v>
      </c>
      <c r="AM569" s="320">
        <f>IFERROR(__xludf.DUMMYFUNCTION("""COMPUTED_VALUE"""),257.97)</f>
        <v>257.97</v>
      </c>
      <c r="AN569" s="320">
        <f>IFERROR(__xludf.DUMMYFUNCTION("""COMPUTED_VALUE"""),74.07)</f>
        <v>74.07</v>
      </c>
      <c r="AO569" s="320">
        <f>IFERROR(__xludf.DUMMYFUNCTION("""COMPUTED_VALUE"""),16.65)</f>
        <v>16.65</v>
      </c>
    </row>
    <row r="570" ht="15.0" customHeight="1">
      <c r="A570" s="328">
        <f>IFERROR(__xludf.DUMMYFUNCTION("""COMPUTED_VALUE"""),46144.0)</f>
        <v>46144</v>
      </c>
      <c r="B570" s="319" t="str">
        <f>IFERROR(__xludf.DUMMYFUNCTION("""COMPUTED_VALUE"""),"E. 40-99")</f>
        <v>E. 40-99</v>
      </c>
      <c r="C570" s="320">
        <f>IFERROR(__xludf.DUMMYFUNCTION("""COMPUTED_VALUE"""),3270.0)</f>
        <v>3270</v>
      </c>
      <c r="D570" s="320">
        <f>IFERROR(__xludf.DUMMYFUNCTION("""COMPUTED_VALUE"""),4.72)</f>
        <v>4.72</v>
      </c>
      <c r="E570" s="320">
        <f>IFERROR(__xludf.DUMMYFUNCTION("""COMPUTED_VALUE"""),18148.68)</f>
        <v>18148.68</v>
      </c>
      <c r="F570" s="320">
        <f>IFERROR(__xludf.DUMMYFUNCTION("""COMPUTED_VALUE"""),5.5501)</f>
        <v>5.5501</v>
      </c>
      <c r="G570" s="320">
        <f>IFERROR(__xludf.DUMMYFUNCTION("""COMPUTED_VALUE"""),44.34)</f>
        <v>44.34</v>
      </c>
      <c r="H570" s="320">
        <f>IFERROR(__xludf.DUMMYFUNCTION("""COMPUTED_VALUE"""),12.5163)</f>
        <v>12.5163</v>
      </c>
      <c r="I570" s="320">
        <f>IFERROR(__xludf.DUMMYFUNCTION("""COMPUTED_VALUE"""),130.33)</f>
        <v>130.33</v>
      </c>
      <c r="J570" s="320">
        <f>IFERROR(__xludf.DUMMYFUNCTION("""COMPUTED_VALUE"""),79.92)</f>
        <v>79.92</v>
      </c>
      <c r="K570" s="320">
        <f>IFERROR(__xludf.DUMMYFUNCTION("""COMPUTED_VALUE"""),54.16)</f>
        <v>54.16</v>
      </c>
      <c r="L570" s="320">
        <f>IFERROR(__xludf.DUMMYFUNCTION("""COMPUTED_VALUE"""),0.6777)</f>
        <v>0.6777</v>
      </c>
      <c r="M570" s="320">
        <f>IFERROR(__xludf.DUMMYFUNCTION("""COMPUTED_VALUE"""),0.408)</f>
        <v>0.408</v>
      </c>
      <c r="N570" s="320">
        <f>IFERROR(__xludf.DUMMYFUNCTION("""COMPUTED_VALUE"""),0.2299)</f>
        <v>0.2299</v>
      </c>
      <c r="O570" s="320">
        <f>IFERROR(__xludf.DUMMYFUNCTION("""COMPUTED_VALUE"""),1.4756)</f>
        <v>1.4756</v>
      </c>
      <c r="P570" s="320">
        <f>IFERROR(__xludf.DUMMYFUNCTION("""COMPUTED_VALUE"""),670.63)</f>
        <v>670.63</v>
      </c>
      <c r="Q570" s="320">
        <f>IFERROR(__xludf.DUMMYFUNCTION("""COMPUTED_VALUE"""),577.11)</f>
        <v>577.11</v>
      </c>
      <c r="R570" s="320">
        <f>IFERROR(__xludf.DUMMYFUNCTION("""COMPUTED_VALUE"""),93.52)</f>
        <v>93.52</v>
      </c>
      <c r="S570" s="320">
        <f>IFERROR(__xludf.DUMMYFUNCTION("""COMPUTED_VALUE"""),356.14)</f>
        <v>356.14</v>
      </c>
      <c r="T570" s="320">
        <f>IFERROR(__xludf.DUMMYFUNCTION("""COMPUTED_VALUE"""),314.5)</f>
        <v>314.5</v>
      </c>
      <c r="U570" s="320">
        <f>IFERROR(__xludf.DUMMYFUNCTION("""COMPUTED_VALUE"""),691.87)</f>
        <v>691.87</v>
      </c>
      <c r="V570" s="320">
        <f>IFERROR(__xludf.DUMMYFUNCTION("""COMPUTED_VALUE"""),8.6569)</f>
        <v>8.6569</v>
      </c>
      <c r="W570" s="320">
        <f>IFERROR(__xludf.DUMMYFUNCTION("""COMPUTED_VALUE"""),53.1)</f>
        <v>53.1</v>
      </c>
      <c r="X570" s="320">
        <f>IFERROR(__xludf.DUMMYFUNCTION("""COMPUTED_VALUE"""),96.0)</f>
        <v>96</v>
      </c>
      <c r="Y570" s="320">
        <f>IFERROR(__xludf.DUMMYFUNCTION("""COMPUTED_VALUE"""),288.0)</f>
        <v>288</v>
      </c>
      <c r="Z570" s="320">
        <f>IFERROR(__xludf.DUMMYFUNCTION("""COMPUTED_VALUE"""),938.0)</f>
        <v>938</v>
      </c>
      <c r="AA570" s="320">
        <f>IFERROR(__xludf.DUMMYFUNCTION("""COMPUTED_VALUE"""),57.5973)</f>
        <v>57.5973</v>
      </c>
      <c r="AB570" s="320">
        <f>IFERROR(__xludf.DUMMYFUNCTION("""COMPUTED_VALUE"""),0.7591)</f>
        <v>0.7591</v>
      </c>
      <c r="AC570" s="320">
        <f>IFERROR(__xludf.DUMMYFUNCTION("""COMPUTED_VALUE"""),36.09)</f>
        <v>36.09</v>
      </c>
      <c r="AD570" s="320">
        <f>IFERROR(__xludf.DUMMYFUNCTION("""COMPUTED_VALUE"""),13.0)</f>
        <v>13</v>
      </c>
      <c r="AE570" s="320">
        <f>IFERROR(__xludf.DUMMYFUNCTION("""COMPUTED_VALUE"""),27.0)</f>
        <v>27</v>
      </c>
      <c r="AF570" s="320">
        <f>IFERROR(__xludf.DUMMYFUNCTION("""COMPUTED_VALUE"""),51.0)</f>
        <v>51</v>
      </c>
      <c r="AG570" s="320">
        <f>IFERROR(__xludf.DUMMYFUNCTION("""COMPUTED_VALUE"""),77.0)</f>
        <v>77</v>
      </c>
      <c r="AH570" s="320">
        <f>IFERROR(__xludf.DUMMYFUNCTION("""COMPUTED_VALUE"""),49.69)</f>
        <v>49.69</v>
      </c>
      <c r="AI570" s="320">
        <f>IFERROR(__xludf.DUMMYFUNCTION("""COMPUTED_VALUE"""),18.44)</f>
        <v>18.44</v>
      </c>
      <c r="AJ570" s="320">
        <f>IFERROR(__xludf.DUMMYFUNCTION("""COMPUTED_VALUE"""),4.74)</f>
        <v>4.74</v>
      </c>
      <c r="AK570" s="320">
        <f>IFERROR(__xludf.DUMMYFUNCTION("""COMPUTED_VALUE"""),0.1587)</f>
        <v>0.1587</v>
      </c>
      <c r="AL570" s="320">
        <f>IFERROR(__xludf.DUMMYFUNCTION("""COMPUTED_VALUE"""),22.41)</f>
        <v>22.41</v>
      </c>
      <c r="AM570" s="320">
        <f>IFERROR(__xludf.DUMMYFUNCTION("""COMPUTED_VALUE"""),554.7)</f>
        <v>554.7</v>
      </c>
      <c r="AN570" s="320">
        <f>IFERROR(__xludf.DUMMYFUNCTION("""COMPUTED_VALUE"""),76.12)</f>
        <v>76.12</v>
      </c>
      <c r="AO570" s="320">
        <f>IFERROR(__xludf.DUMMYFUNCTION("""COMPUTED_VALUE"""),17.06)</f>
        <v>17.06</v>
      </c>
    </row>
    <row r="571" ht="15.0" customHeight="1">
      <c r="A571" s="328">
        <f>IFERROR(__xludf.DUMMYFUNCTION("""COMPUTED_VALUE"""),46144.0)</f>
        <v>46144</v>
      </c>
      <c r="B571" s="319" t="str">
        <f>IFERROR(__xludf.DUMMYFUNCTION("""COMPUTED_VALUE"""),"F. 100+")</f>
        <v>F. 100+</v>
      </c>
      <c r="C571" s="320">
        <f>IFERROR(__xludf.DUMMYFUNCTION("""COMPUTED_VALUE"""),352.0)</f>
        <v>352</v>
      </c>
      <c r="D571" s="320">
        <f>IFERROR(__xludf.DUMMYFUNCTION("""COMPUTED_VALUE"""),0.51)</f>
        <v>0.51</v>
      </c>
      <c r="E571" s="320">
        <f>IFERROR(__xludf.DUMMYFUNCTION("""COMPUTED_VALUE"""),3576.88)</f>
        <v>3576.88</v>
      </c>
      <c r="F571" s="320">
        <f>IFERROR(__xludf.DUMMYFUNCTION("""COMPUTED_VALUE"""),10.1616)</f>
        <v>10.1616</v>
      </c>
      <c r="G571" s="320">
        <f>IFERROR(__xludf.DUMMYFUNCTION("""COMPUTED_VALUE"""),49.15)</f>
        <v>49.15</v>
      </c>
      <c r="H571" s="320">
        <f>IFERROR(__xludf.DUMMYFUNCTION("""COMPUTED_VALUE"""),20.6756)</f>
        <v>20.6756</v>
      </c>
      <c r="I571" s="320">
        <f>IFERROR(__xludf.DUMMYFUNCTION("""COMPUTED_VALUE"""),240.62)</f>
        <v>240.62</v>
      </c>
      <c r="J571" s="320">
        <f>IFERROR(__xludf.DUMMYFUNCTION("""COMPUTED_VALUE"""),156.23)</f>
        <v>156.23</v>
      </c>
      <c r="K571" s="320">
        <f>IFERROR(__xludf.DUMMYFUNCTION("""COMPUTED_VALUE"""),122.37)</f>
        <v>122.37</v>
      </c>
      <c r="L571" s="320">
        <f>IFERROR(__xludf.DUMMYFUNCTION("""COMPUTED_VALUE"""),0.7833)</f>
        <v>0.7833</v>
      </c>
      <c r="M571" s="320">
        <f>IFERROR(__xludf.DUMMYFUNCTION("""COMPUTED_VALUE"""),0.2987)</f>
        <v>0.2987</v>
      </c>
      <c r="N571" s="320">
        <f>IFERROR(__xludf.DUMMYFUNCTION("""COMPUTED_VALUE"""),0.179)</f>
        <v>0.179</v>
      </c>
      <c r="O571" s="320">
        <f>IFERROR(__xludf.DUMMYFUNCTION("""COMPUTED_VALUE"""),1.2767)</f>
        <v>1.2767</v>
      </c>
      <c r="P571" s="320">
        <f>IFERROR(__xludf.DUMMYFUNCTION("""COMPUTED_VALUE"""),1245.41)</f>
        <v>1245.41</v>
      </c>
      <c r="Q571" s="320">
        <f>IFERROR(__xludf.DUMMYFUNCTION("""COMPUTED_VALUE"""),1026.3)</f>
        <v>1026.3</v>
      </c>
      <c r="R571" s="320">
        <f>IFERROR(__xludf.DUMMYFUNCTION("""COMPUTED_VALUE"""),219.12)</f>
        <v>219.12</v>
      </c>
      <c r="S571" s="320">
        <f>IFERROR(__xludf.DUMMYFUNCTION("""COMPUTED_VALUE"""),675.26)</f>
        <v>675.26</v>
      </c>
      <c r="T571" s="320">
        <f>IFERROR(__xludf.DUMMYFUNCTION("""COMPUTED_VALUE"""),570.16)</f>
        <v>570.16</v>
      </c>
      <c r="U571" s="320">
        <f>IFERROR(__xludf.DUMMYFUNCTION("""COMPUTED_VALUE"""),1226.99)</f>
        <v>1226.99</v>
      </c>
      <c r="V571" s="320">
        <f>IFERROR(__xludf.DUMMYFUNCTION("""COMPUTED_VALUE"""),7.8537)</f>
        <v>7.8537</v>
      </c>
      <c r="W571" s="320">
        <f>IFERROR(__xludf.DUMMYFUNCTION("""COMPUTED_VALUE"""),54.22)</f>
        <v>54.22</v>
      </c>
      <c r="X571" s="320">
        <f>IFERROR(__xludf.DUMMYFUNCTION("""COMPUTED_VALUE"""),110.0)</f>
        <v>110</v>
      </c>
      <c r="Y571" s="320">
        <f>IFERROR(__xludf.DUMMYFUNCTION("""COMPUTED_VALUE"""),517.0)</f>
        <v>517</v>
      </c>
      <c r="Z571" s="320">
        <f>IFERROR(__xludf.DUMMYFUNCTION("""COMPUTED_VALUE"""),1762.0)</f>
        <v>1762</v>
      </c>
      <c r="AA571" s="320">
        <f>IFERROR(__xludf.DUMMYFUNCTION("""COMPUTED_VALUE"""),60.9802)</f>
        <v>60.9802</v>
      </c>
      <c r="AB571" s="320">
        <f>IFERROR(__xludf.DUMMYFUNCTION("""COMPUTED_VALUE"""),0.8386)</f>
        <v>0.8386</v>
      </c>
      <c r="AC571" s="320">
        <f>IFERROR(__xludf.DUMMYFUNCTION("""COMPUTED_VALUE"""),76.42)</f>
        <v>76.42</v>
      </c>
      <c r="AD571" s="320">
        <f>IFERROR(__xludf.DUMMYFUNCTION("""COMPUTED_VALUE"""),27.0)</f>
        <v>27</v>
      </c>
      <c r="AE571" s="320">
        <f>IFERROR(__xludf.DUMMYFUNCTION("""COMPUTED_VALUE"""),58.0)</f>
        <v>58</v>
      </c>
      <c r="AF571" s="320">
        <f>IFERROR(__xludf.DUMMYFUNCTION("""COMPUTED_VALUE"""),110.0)</f>
        <v>110</v>
      </c>
      <c r="AG571" s="320">
        <f>IFERROR(__xludf.DUMMYFUNCTION("""COMPUTED_VALUE"""),161.0)</f>
        <v>161</v>
      </c>
      <c r="AH571" s="320">
        <f>IFERROR(__xludf.DUMMYFUNCTION("""COMPUTED_VALUE"""),39.49)</f>
        <v>39.49</v>
      </c>
      <c r="AI571" s="320">
        <f>IFERROR(__xludf.DUMMYFUNCTION("""COMPUTED_VALUE"""),7.39)</f>
        <v>7.39</v>
      </c>
      <c r="AJ571" s="320">
        <f>IFERROR(__xludf.DUMMYFUNCTION("""COMPUTED_VALUE"""),1.7)</f>
        <v>1.7</v>
      </c>
      <c r="AK571" s="320">
        <f>IFERROR(__xludf.DUMMYFUNCTION("""COMPUTED_VALUE"""),0.1591)</f>
        <v>0.1591</v>
      </c>
      <c r="AL571" s="320">
        <f>IFERROR(__xludf.DUMMYFUNCTION("""COMPUTED_VALUE"""),23.82)</f>
        <v>23.82</v>
      </c>
      <c r="AM571" s="320">
        <f>IFERROR(__xludf.DUMMYFUNCTION("""COMPUTED_VALUE"""),1002.47)</f>
        <v>1002.47</v>
      </c>
      <c r="AN571" s="320">
        <f>IFERROR(__xludf.DUMMYFUNCTION("""COMPUTED_VALUE"""),71.83)</f>
        <v>71.83</v>
      </c>
      <c r="AO571" s="320">
        <f>IFERROR(__xludf.DUMMYFUNCTION("""COMPUTED_VALUE"""),17.11)</f>
        <v>17.11</v>
      </c>
    </row>
    <row r="572" ht="15.0" customHeight="1">
      <c r="A572" s="328">
        <f>IFERROR(__xludf.DUMMYFUNCTION("""COMPUTED_VALUE"""),46145.0)</f>
        <v>46145</v>
      </c>
      <c r="B572" s="319" t="str">
        <f>IFERROR(__xludf.DUMMYFUNCTION("""COMPUTED_VALUE"""),"A. 0")</f>
        <v>A. 0</v>
      </c>
      <c r="C572" s="320">
        <f>IFERROR(__xludf.DUMMYFUNCTION("""COMPUTED_VALUE"""),14701.0)</f>
        <v>14701</v>
      </c>
      <c r="D572" s="320">
        <f>IFERROR(__xludf.DUMMYFUNCTION("""COMPUTED_VALUE"""),20.68)</f>
        <v>20.68</v>
      </c>
      <c r="E572" s="320">
        <f>IFERROR(__xludf.DUMMYFUNCTION("""COMPUTED_VALUE"""),66.49)</f>
        <v>66.49</v>
      </c>
      <c r="F572" s="320">
        <f>IFERROR(__xludf.DUMMYFUNCTION("""COMPUTED_VALUE"""),0.0045)</f>
        <v>0.0045</v>
      </c>
      <c r="G572" s="320">
        <f>IFERROR(__xludf.DUMMYFUNCTION("""COMPUTED_VALUE"""),0.13)</f>
        <v>0.13</v>
      </c>
      <c r="H572" s="320">
        <f>IFERROR(__xludf.DUMMYFUNCTION("""COMPUTED_VALUE"""),3.4995)</f>
        <v>3.4995</v>
      </c>
      <c r="I572" s="320">
        <f>IFERROR(__xludf.DUMMYFUNCTION("""COMPUTED_VALUE"""),6.58)</f>
        <v>6.58</v>
      </c>
      <c r="J572" s="320">
        <f>IFERROR(__xludf.DUMMYFUNCTION("""COMPUTED_VALUE"""),2.87)</f>
        <v>2.87</v>
      </c>
      <c r="K572" s="320">
        <f>IFERROR(__xludf.DUMMYFUNCTION("""COMPUTED_VALUE"""),0.02)</f>
        <v>0.02</v>
      </c>
      <c r="L572" s="320">
        <f>IFERROR(__xludf.DUMMYFUNCTION("""COMPUTED_VALUE"""),0.0085)</f>
        <v>0.0085</v>
      </c>
      <c r="M572" s="320">
        <f>IFERROR(__xludf.DUMMYFUNCTION("""COMPUTED_VALUE"""),0.9921)</f>
        <v>0.9921</v>
      </c>
      <c r="N572" s="320">
        <f>IFERROR(__xludf.DUMMYFUNCTION("""COMPUTED_VALUE"""),0.8951)</f>
        <v>0.8951</v>
      </c>
      <c r="O572" s="320">
        <f>IFERROR(__xludf.DUMMYFUNCTION("""COMPUTED_VALUE"""),118.2997)</f>
        <v>118.2997</v>
      </c>
      <c r="P572" s="320">
        <f>IFERROR(__xludf.DUMMYFUNCTION("""COMPUTED_VALUE"""),23.83)</f>
        <v>23.83</v>
      </c>
      <c r="Q572" s="320">
        <f>IFERROR(__xludf.DUMMYFUNCTION("""COMPUTED_VALUE"""),23.76)</f>
        <v>23.76</v>
      </c>
      <c r="R572" s="320">
        <f>IFERROR(__xludf.DUMMYFUNCTION("""COMPUTED_VALUE"""),0.07)</f>
        <v>0.07</v>
      </c>
      <c r="S572" s="320">
        <f>IFERROR(__xludf.DUMMYFUNCTION("""COMPUTED_VALUE"""),0.47)</f>
        <v>0.47</v>
      </c>
      <c r="T572" s="320">
        <f>IFERROR(__xludf.DUMMYFUNCTION("""COMPUTED_VALUE"""),23.36)</f>
        <v>23.36</v>
      </c>
      <c r="U572" s="320">
        <f>IFERROR(__xludf.DUMMYFUNCTION("""COMPUTED_VALUE"""),1.92)</f>
        <v>1.92</v>
      </c>
      <c r="V572" s="320">
        <f>IFERROR(__xludf.DUMMYFUNCTION("""COMPUTED_VALUE"""),0.6677)</f>
        <v>0.6677</v>
      </c>
      <c r="W572" s="320">
        <f>IFERROR(__xludf.DUMMYFUNCTION("""COMPUTED_VALUE"""),1.96)</f>
        <v>1.96</v>
      </c>
      <c r="X572" s="320">
        <f>IFERROR(__xludf.DUMMYFUNCTION("""COMPUTED_VALUE"""),152.0)</f>
        <v>152</v>
      </c>
      <c r="Y572" s="320">
        <f>IFERROR(__xludf.DUMMYFUNCTION("""COMPUTED_VALUE"""),1326.0)</f>
        <v>1326</v>
      </c>
      <c r="Z572" s="320">
        <f>IFERROR(__xludf.DUMMYFUNCTION("""COMPUTED_VALUE"""),8072.0)</f>
        <v>8072</v>
      </c>
      <c r="AA572" s="320">
        <f>IFERROR(__xludf.DUMMYFUNCTION("""COMPUTED_VALUE"""),50.0124)</f>
        <v>50.0124</v>
      </c>
      <c r="AB572" s="320">
        <f>IFERROR(__xludf.DUMMYFUNCTION("""COMPUTED_VALUE"""),0.5226)</f>
        <v>0.5226</v>
      </c>
      <c r="AC572" s="106"/>
      <c r="AD572" s="106"/>
      <c r="AE572" s="106"/>
      <c r="AF572" s="106"/>
      <c r="AG572" s="106"/>
      <c r="AH572" s="320">
        <f>IFERROR(__xludf.DUMMYFUNCTION("""COMPUTED_VALUE"""),0.0)</f>
        <v>0</v>
      </c>
      <c r="AI572" s="320">
        <f>IFERROR(__xludf.DUMMYFUNCTION("""COMPUTED_VALUE"""),0.0)</f>
        <v>0</v>
      </c>
      <c r="AJ572" s="320">
        <f>IFERROR(__xludf.DUMMYFUNCTION("""COMPUTED_VALUE"""),0.0)</f>
        <v>0</v>
      </c>
      <c r="AK572" s="320">
        <f>IFERROR(__xludf.DUMMYFUNCTION("""COMPUTED_VALUE"""),0.274)</f>
        <v>0.274</v>
      </c>
      <c r="AL572" s="320">
        <f>IFERROR(__xludf.DUMMYFUNCTION("""COMPUTED_VALUE"""),17.54)</f>
        <v>17.54</v>
      </c>
      <c r="AM572" s="320">
        <f>IFERROR(__xludf.DUMMYFUNCTION("""COMPUTED_VALUE"""),6.21)</f>
        <v>6.21</v>
      </c>
      <c r="AN572" s="331"/>
      <c r="AO572" s="331"/>
    </row>
    <row r="573" ht="15.0" customHeight="1">
      <c r="A573" s="328">
        <f>IFERROR(__xludf.DUMMYFUNCTION("""COMPUTED_VALUE"""),46145.0)</f>
        <v>46145</v>
      </c>
      <c r="B573" s="319" t="str">
        <f>IFERROR(__xludf.DUMMYFUNCTION("""COMPUTED_VALUE"""),"B. 1-9")</f>
        <v>B. 1-9</v>
      </c>
      <c r="C573" s="320">
        <f>IFERROR(__xludf.DUMMYFUNCTION("""COMPUTED_VALUE"""),29002.0)</f>
        <v>29002</v>
      </c>
      <c r="D573" s="320">
        <f>IFERROR(__xludf.DUMMYFUNCTION("""COMPUTED_VALUE"""),40.8)</f>
        <v>40.8</v>
      </c>
      <c r="E573" s="320">
        <f>IFERROR(__xludf.DUMMYFUNCTION("""COMPUTED_VALUE"""),6704.38)</f>
        <v>6704.38</v>
      </c>
      <c r="F573" s="320">
        <f>IFERROR(__xludf.DUMMYFUNCTION("""COMPUTED_VALUE"""),0.2312)</f>
        <v>0.2312</v>
      </c>
      <c r="G573" s="320">
        <f>IFERROR(__xludf.DUMMYFUNCTION("""COMPUTED_VALUE"""),6.75)</f>
        <v>6.75</v>
      </c>
      <c r="H573" s="320">
        <f>IFERROR(__xludf.DUMMYFUNCTION("""COMPUTED_VALUE"""),3.4241)</f>
        <v>3.4241</v>
      </c>
      <c r="I573" s="320">
        <f>IFERROR(__xludf.DUMMYFUNCTION("""COMPUTED_VALUE"""),35.11)</f>
        <v>35.11</v>
      </c>
      <c r="J573" s="320">
        <f>IFERROR(__xludf.DUMMYFUNCTION("""COMPUTED_VALUE"""),19.07)</f>
        <v>19.07</v>
      </c>
      <c r="K573" s="320">
        <f>IFERROR(__xludf.DUMMYFUNCTION("""COMPUTED_VALUE"""),5.42)</f>
        <v>5.42</v>
      </c>
      <c r="L573" s="320">
        <f>IFERROR(__xludf.DUMMYFUNCTION("""COMPUTED_VALUE"""),0.2842)</f>
        <v>0.2842</v>
      </c>
      <c r="M573" s="320">
        <f>IFERROR(__xludf.DUMMYFUNCTION("""COMPUTED_VALUE"""),0.7779)</f>
        <v>0.7779</v>
      </c>
      <c r="N573" s="320">
        <f>IFERROR(__xludf.DUMMYFUNCTION("""COMPUTED_VALUE"""),0.528)</f>
        <v>0.528</v>
      </c>
      <c r="O573" s="320">
        <f>IFERROR(__xludf.DUMMYFUNCTION("""COMPUTED_VALUE"""),3.5184)</f>
        <v>3.5184</v>
      </c>
      <c r="P573" s="320">
        <f>IFERROR(__xludf.DUMMYFUNCTION("""COMPUTED_VALUE"""),64.64)</f>
        <v>64.64</v>
      </c>
      <c r="Q573" s="320">
        <f>IFERROR(__xludf.DUMMYFUNCTION("""COMPUTED_VALUE"""),55.27)</f>
        <v>55.27</v>
      </c>
      <c r="R573" s="320">
        <f>IFERROR(__xludf.DUMMYFUNCTION("""COMPUTED_VALUE"""),9.38)</f>
        <v>9.38</v>
      </c>
      <c r="S573" s="320">
        <f>IFERROR(__xludf.DUMMYFUNCTION("""COMPUTED_VALUE"""),15.36)</f>
        <v>15.36</v>
      </c>
      <c r="T573" s="320">
        <f>IFERROR(__xludf.DUMMYFUNCTION("""COMPUTED_VALUE"""),49.28)</f>
        <v>49.28</v>
      </c>
      <c r="U573" s="320">
        <f>IFERROR(__xludf.DUMMYFUNCTION("""COMPUTED_VALUE"""),72.72)</f>
        <v>72.72</v>
      </c>
      <c r="V573" s="320">
        <f>IFERROR(__xludf.DUMMYFUNCTION("""COMPUTED_VALUE"""),3.8126)</f>
        <v>3.8126</v>
      </c>
      <c r="W573" s="320">
        <f>IFERROR(__xludf.DUMMYFUNCTION("""COMPUTED_VALUE"""),23.77)</f>
        <v>23.77</v>
      </c>
      <c r="X573" s="320">
        <f>IFERROR(__xludf.DUMMYFUNCTION("""COMPUTED_VALUE"""),85.0)</f>
        <v>85</v>
      </c>
      <c r="Y573" s="320">
        <f>IFERROR(__xludf.DUMMYFUNCTION("""COMPUTED_VALUE"""),207.0)</f>
        <v>207</v>
      </c>
      <c r="Z573" s="320">
        <f>IFERROR(__xludf.DUMMYFUNCTION("""COMPUTED_VALUE"""),890.0)</f>
        <v>890</v>
      </c>
      <c r="AA573" s="320">
        <f>IFERROR(__xludf.DUMMYFUNCTION("""COMPUTED_VALUE"""),49.5213)</f>
        <v>49.5213</v>
      </c>
      <c r="AB573" s="320">
        <f>IFERROR(__xludf.DUMMYFUNCTION("""COMPUTED_VALUE"""),0.4456)</f>
        <v>0.4456</v>
      </c>
      <c r="AC573" s="320">
        <f>IFERROR(__xludf.DUMMYFUNCTION("""COMPUTED_VALUE"""),3.53)</f>
        <v>3.53</v>
      </c>
      <c r="AD573" s="320">
        <f>IFERROR(__xludf.DUMMYFUNCTION("""COMPUTED_VALUE"""),1.0)</f>
        <v>1</v>
      </c>
      <c r="AE573" s="320">
        <f>IFERROR(__xludf.DUMMYFUNCTION("""COMPUTED_VALUE"""),2.0)</f>
        <v>2</v>
      </c>
      <c r="AF573" s="320">
        <f>IFERROR(__xludf.DUMMYFUNCTION("""COMPUTED_VALUE"""),5.0)</f>
        <v>5</v>
      </c>
      <c r="AG573" s="320">
        <f>IFERROR(__xludf.DUMMYFUNCTION("""COMPUTED_VALUE"""),8.0)</f>
        <v>8</v>
      </c>
      <c r="AH573" s="320">
        <f>IFERROR(__xludf.DUMMYFUNCTION("""COMPUTED_VALUE"""),67.55)</f>
        <v>67.55</v>
      </c>
      <c r="AI573" s="320">
        <f>IFERROR(__xludf.DUMMYFUNCTION("""COMPUTED_VALUE"""),25.12)</f>
        <v>25.12</v>
      </c>
      <c r="AJ573" s="320">
        <f>IFERROR(__xludf.DUMMYFUNCTION("""COMPUTED_VALUE"""),6.6)</f>
        <v>6.6</v>
      </c>
      <c r="AK573" s="320">
        <f>IFERROR(__xludf.DUMMYFUNCTION("""COMPUTED_VALUE"""),0.2359)</f>
        <v>0.2359</v>
      </c>
      <c r="AL573" s="320">
        <f>IFERROR(__xludf.DUMMYFUNCTION("""COMPUTED_VALUE"""),21.69)</f>
        <v>21.69</v>
      </c>
      <c r="AM573" s="320">
        <f>IFERROR(__xludf.DUMMYFUNCTION("""COMPUTED_VALUE"""),33.58)</f>
        <v>33.58</v>
      </c>
      <c r="AN573" s="320">
        <f>IFERROR(__xludf.DUMMYFUNCTION("""COMPUTED_VALUE"""),67.93)</f>
        <v>67.93</v>
      </c>
      <c r="AO573" s="320">
        <f>IFERROR(__xludf.DUMMYFUNCTION("""COMPUTED_VALUE"""),14.73)</f>
        <v>14.73</v>
      </c>
    </row>
    <row r="574" ht="15.0" customHeight="1">
      <c r="A574" s="328">
        <f>IFERROR(__xludf.DUMMYFUNCTION("""COMPUTED_VALUE"""),46145.0)</f>
        <v>46145</v>
      </c>
      <c r="B574" s="319" t="str">
        <f>IFERROR(__xludf.DUMMYFUNCTION("""COMPUTED_VALUE"""),"C. 10-19")</f>
        <v>C. 10-19</v>
      </c>
      <c r="C574" s="320">
        <f>IFERROR(__xludf.DUMMYFUNCTION("""COMPUTED_VALUE"""),15309.0)</f>
        <v>15309</v>
      </c>
      <c r="D574" s="320">
        <f>IFERROR(__xludf.DUMMYFUNCTION("""COMPUTED_VALUE"""),21.54)</f>
        <v>21.54</v>
      </c>
      <c r="E574" s="320">
        <f>IFERROR(__xludf.DUMMYFUNCTION("""COMPUTED_VALUE"""),15765.33)</f>
        <v>15765.33</v>
      </c>
      <c r="F574" s="320">
        <f>IFERROR(__xludf.DUMMYFUNCTION("""COMPUTED_VALUE"""),1.0298)</f>
        <v>1.0298</v>
      </c>
      <c r="G574" s="320">
        <f>IFERROR(__xludf.DUMMYFUNCTION("""COMPUTED_VALUE"""),21.12)</f>
        <v>21.12</v>
      </c>
      <c r="H574" s="320">
        <f>IFERROR(__xludf.DUMMYFUNCTION("""COMPUTED_VALUE"""),4.8764)</f>
        <v>4.8764</v>
      </c>
      <c r="I574" s="320">
        <f>IFERROR(__xludf.DUMMYFUNCTION("""COMPUTED_VALUE"""),62.37)</f>
        <v>62.37</v>
      </c>
      <c r="J574" s="320">
        <f>IFERROR(__xludf.DUMMYFUNCTION("""COMPUTED_VALUE"""),35.9)</f>
        <v>35.9</v>
      </c>
      <c r="K574" s="320">
        <f>IFERROR(__xludf.DUMMYFUNCTION("""COMPUTED_VALUE"""),13.65)</f>
        <v>13.65</v>
      </c>
      <c r="L574" s="320">
        <f>IFERROR(__xludf.DUMMYFUNCTION("""COMPUTED_VALUE"""),0.3802)</f>
        <v>0.3802</v>
      </c>
      <c r="M574" s="320">
        <f>IFERROR(__xludf.DUMMYFUNCTION("""COMPUTED_VALUE"""),0.6755)</f>
        <v>0.6755</v>
      </c>
      <c r="N574" s="320">
        <f>IFERROR(__xludf.DUMMYFUNCTION("""COMPUTED_VALUE"""),0.3891)</f>
        <v>0.3891</v>
      </c>
      <c r="O574" s="320">
        <f>IFERROR(__xludf.DUMMYFUNCTION("""COMPUTED_VALUE"""),2.6299)</f>
        <v>2.6299</v>
      </c>
      <c r="P574" s="320">
        <f>IFERROR(__xludf.DUMMYFUNCTION("""COMPUTED_VALUE"""),146.48)</f>
        <v>146.48</v>
      </c>
      <c r="Q574" s="320">
        <f>IFERROR(__xludf.DUMMYFUNCTION("""COMPUTED_VALUE"""),122.89)</f>
        <v>122.89</v>
      </c>
      <c r="R574" s="320">
        <f>IFERROR(__xludf.DUMMYFUNCTION("""COMPUTED_VALUE"""),23.59)</f>
        <v>23.59</v>
      </c>
      <c r="S574" s="320">
        <f>IFERROR(__xludf.DUMMYFUNCTION("""COMPUTED_VALUE"""),63.91)</f>
        <v>63.91</v>
      </c>
      <c r="T574" s="320">
        <f>IFERROR(__xludf.DUMMYFUNCTION("""COMPUTED_VALUE"""),82.57)</f>
        <v>82.57</v>
      </c>
      <c r="U574" s="320">
        <f>IFERROR(__xludf.DUMMYFUNCTION("""COMPUTED_VALUE"""),163.15)</f>
        <v>163.15</v>
      </c>
      <c r="V574" s="320">
        <f>IFERROR(__xludf.DUMMYFUNCTION("""COMPUTED_VALUE"""),4.5447)</f>
        <v>4.5447</v>
      </c>
      <c r="W574" s="320">
        <f>IFERROR(__xludf.DUMMYFUNCTION("""COMPUTED_VALUE"""),43.63)</f>
        <v>43.63</v>
      </c>
      <c r="X574" s="320">
        <f>IFERROR(__xludf.DUMMYFUNCTION("""COMPUTED_VALUE"""),80.0)</f>
        <v>80</v>
      </c>
      <c r="Y574" s="320">
        <f>IFERROR(__xludf.DUMMYFUNCTION("""COMPUTED_VALUE"""),169.0)</f>
        <v>169</v>
      </c>
      <c r="Z574" s="320">
        <f>IFERROR(__xludf.DUMMYFUNCTION("""COMPUTED_VALUE"""),598.0)</f>
        <v>598</v>
      </c>
      <c r="AA574" s="320">
        <f>IFERROR(__xludf.DUMMYFUNCTION("""COMPUTED_VALUE"""),52.3049)</f>
        <v>52.3049</v>
      </c>
      <c r="AB574" s="320">
        <f>IFERROR(__xludf.DUMMYFUNCTION("""COMPUTED_VALUE"""),0.5528)</f>
        <v>0.5528</v>
      </c>
      <c r="AC574" s="320">
        <f>IFERROR(__xludf.DUMMYFUNCTION("""COMPUTED_VALUE"""),8.6)</f>
        <v>8.6</v>
      </c>
      <c r="AD574" s="320">
        <f>IFERROR(__xludf.DUMMYFUNCTION("""COMPUTED_VALUE"""),3.0)</f>
        <v>3</v>
      </c>
      <c r="AE574" s="320">
        <f>IFERROR(__xludf.DUMMYFUNCTION("""COMPUTED_VALUE"""),6.0)</f>
        <v>6</v>
      </c>
      <c r="AF574" s="320">
        <f>IFERROR(__xludf.DUMMYFUNCTION("""COMPUTED_VALUE"""),12.0)</f>
        <v>12</v>
      </c>
      <c r="AG574" s="320">
        <f>IFERROR(__xludf.DUMMYFUNCTION("""COMPUTED_VALUE"""),19.0)</f>
        <v>19</v>
      </c>
      <c r="AH574" s="320">
        <f>IFERROR(__xludf.DUMMYFUNCTION("""COMPUTED_VALUE"""),52.84)</f>
        <v>52.84</v>
      </c>
      <c r="AI574" s="320">
        <f>IFERROR(__xludf.DUMMYFUNCTION("""COMPUTED_VALUE"""),23.91)</f>
        <v>23.91</v>
      </c>
      <c r="AJ574" s="320">
        <f>IFERROR(__xludf.DUMMYFUNCTION("""COMPUTED_VALUE"""),4.2)</f>
        <v>4.2</v>
      </c>
      <c r="AK574" s="320">
        <f>IFERROR(__xludf.DUMMYFUNCTION("""COMPUTED_VALUE"""),0.2148)</f>
        <v>0.2148</v>
      </c>
      <c r="AL574" s="320">
        <f>IFERROR(__xludf.DUMMYFUNCTION("""COMPUTED_VALUE"""),21.56)</f>
        <v>21.56</v>
      </c>
      <c r="AM574" s="320">
        <f>IFERROR(__xludf.DUMMYFUNCTION("""COMPUTED_VALUE"""),101.32)</f>
        <v>101.32</v>
      </c>
      <c r="AN574" s="320">
        <f>IFERROR(__xludf.DUMMYFUNCTION("""COMPUTED_VALUE"""),72.85)</f>
        <v>72.85</v>
      </c>
      <c r="AO574" s="320">
        <f>IFERROR(__xludf.DUMMYFUNCTION("""COMPUTED_VALUE"""),15.71)</f>
        <v>15.71</v>
      </c>
    </row>
    <row r="575" ht="15.0" customHeight="1">
      <c r="A575" s="328">
        <f>IFERROR(__xludf.DUMMYFUNCTION("""COMPUTED_VALUE"""),46145.0)</f>
        <v>46145</v>
      </c>
      <c r="B575" s="319" t="str">
        <f>IFERROR(__xludf.DUMMYFUNCTION("""COMPUTED_VALUE"""),"D. 20-39")</f>
        <v>D. 20-39</v>
      </c>
      <c r="C575" s="320">
        <f>IFERROR(__xludf.DUMMYFUNCTION("""COMPUTED_VALUE"""),8226.0)</f>
        <v>8226</v>
      </c>
      <c r="D575" s="320">
        <f>IFERROR(__xludf.DUMMYFUNCTION("""COMPUTED_VALUE"""),11.57)</f>
        <v>11.57</v>
      </c>
      <c r="E575" s="320">
        <f>IFERROR(__xludf.DUMMYFUNCTION("""COMPUTED_VALUE"""),21743.26)</f>
        <v>21743.26</v>
      </c>
      <c r="F575" s="320">
        <f>IFERROR(__xludf.DUMMYFUNCTION("""COMPUTED_VALUE"""),2.6432)</f>
        <v>2.6432</v>
      </c>
      <c r="G575" s="320">
        <f>IFERROR(__xludf.DUMMYFUNCTION("""COMPUTED_VALUE"""),34.39)</f>
        <v>34.39</v>
      </c>
      <c r="H575" s="320">
        <f>IFERROR(__xludf.DUMMYFUNCTION("""COMPUTED_VALUE"""),7.6858)</f>
        <v>7.6858</v>
      </c>
      <c r="I575" s="320">
        <f>IFERROR(__xludf.DUMMYFUNCTION("""COMPUTED_VALUE"""),88.48)</f>
        <v>88.48</v>
      </c>
      <c r="J575" s="320">
        <f>IFERROR(__xludf.DUMMYFUNCTION("""COMPUTED_VALUE"""),53.03)</f>
        <v>53.03</v>
      </c>
      <c r="K575" s="320">
        <f>IFERROR(__xludf.DUMMYFUNCTION("""COMPUTED_VALUE"""),27.05)</f>
        <v>27.05</v>
      </c>
      <c r="L575" s="320">
        <f>IFERROR(__xludf.DUMMYFUNCTION("""COMPUTED_VALUE"""),0.51)</f>
        <v>0.51</v>
      </c>
      <c r="M575" s="320">
        <f>IFERROR(__xludf.DUMMYFUNCTION("""COMPUTED_VALUE"""),0.5552)</f>
        <v>0.5552</v>
      </c>
      <c r="N575" s="320">
        <f>IFERROR(__xludf.DUMMYFUNCTION("""COMPUTED_VALUE"""),0.3009)</f>
        <v>0.3009</v>
      </c>
      <c r="O575" s="320">
        <f>IFERROR(__xludf.DUMMYFUNCTION("""COMPUTED_VALUE"""),1.9609)</f>
        <v>1.9609</v>
      </c>
      <c r="P575" s="320">
        <f>IFERROR(__xludf.DUMMYFUNCTION("""COMPUTED_VALUE"""),303.92)</f>
        <v>303.92</v>
      </c>
      <c r="Q575" s="320">
        <f>IFERROR(__xludf.DUMMYFUNCTION("""COMPUTED_VALUE"""),257.03)</f>
        <v>257.03</v>
      </c>
      <c r="R575" s="320">
        <f>IFERROR(__xludf.DUMMYFUNCTION("""COMPUTED_VALUE"""),46.88)</f>
        <v>46.88</v>
      </c>
      <c r="S575" s="320">
        <f>IFERROR(__xludf.DUMMYFUNCTION("""COMPUTED_VALUE"""),167.68)</f>
        <v>167.68</v>
      </c>
      <c r="T575" s="320">
        <f>IFERROR(__xludf.DUMMYFUNCTION("""COMPUTED_VALUE"""),136.24)</f>
        <v>136.24</v>
      </c>
      <c r="U575" s="320">
        <f>IFERROR(__xludf.DUMMYFUNCTION("""COMPUTED_VALUE"""),331.69)</f>
        <v>331.69</v>
      </c>
      <c r="V575" s="320">
        <f>IFERROR(__xludf.DUMMYFUNCTION("""COMPUTED_VALUE"""),6.2543)</f>
        <v>6.2543</v>
      </c>
      <c r="W575" s="320">
        <f>IFERROR(__xludf.DUMMYFUNCTION("""COMPUTED_VALUE"""),55.17)</f>
        <v>55.17</v>
      </c>
      <c r="X575" s="320">
        <f>IFERROR(__xludf.DUMMYFUNCTION("""COMPUTED_VALUE"""),82.0)</f>
        <v>82</v>
      </c>
      <c r="Y575" s="320">
        <f>IFERROR(__xludf.DUMMYFUNCTION("""COMPUTED_VALUE"""),190.0)</f>
        <v>190</v>
      </c>
      <c r="Z575" s="320">
        <f>IFERROR(__xludf.DUMMYFUNCTION("""COMPUTED_VALUE"""),607.0)</f>
        <v>607</v>
      </c>
      <c r="AA575" s="320">
        <f>IFERROR(__xludf.DUMMYFUNCTION("""COMPUTED_VALUE"""),54.5543)</f>
        <v>54.5543</v>
      </c>
      <c r="AB575" s="320">
        <f>IFERROR(__xludf.DUMMYFUNCTION("""COMPUTED_VALUE"""),0.6644)</f>
        <v>0.6644</v>
      </c>
      <c r="AC575" s="320">
        <f>IFERROR(__xludf.DUMMYFUNCTION("""COMPUTED_VALUE"""),17.19)</f>
        <v>17.19</v>
      </c>
      <c r="AD575" s="320">
        <f>IFERROR(__xludf.DUMMYFUNCTION("""COMPUTED_VALUE"""),6.0)</f>
        <v>6</v>
      </c>
      <c r="AE575" s="320">
        <f>IFERROR(__xludf.DUMMYFUNCTION("""COMPUTED_VALUE"""),12.0)</f>
        <v>12</v>
      </c>
      <c r="AF575" s="320">
        <f>IFERROR(__xludf.DUMMYFUNCTION("""COMPUTED_VALUE"""),24.0)</f>
        <v>24</v>
      </c>
      <c r="AG575" s="320">
        <f>IFERROR(__xludf.DUMMYFUNCTION("""COMPUTED_VALUE"""),38.0)</f>
        <v>38</v>
      </c>
      <c r="AH575" s="320">
        <f>IFERROR(__xludf.DUMMYFUNCTION("""COMPUTED_VALUE"""),54.69)</f>
        <v>54.69</v>
      </c>
      <c r="AI575" s="320">
        <f>IFERROR(__xludf.DUMMYFUNCTION("""COMPUTED_VALUE"""),22.77)</f>
        <v>22.77</v>
      </c>
      <c r="AJ575" s="320">
        <f>IFERROR(__xludf.DUMMYFUNCTION("""COMPUTED_VALUE"""),7.43)</f>
        <v>7.43</v>
      </c>
      <c r="AK575" s="320">
        <f>IFERROR(__xludf.DUMMYFUNCTION("""COMPUTED_VALUE"""),0.2192)</f>
        <v>0.2192</v>
      </c>
      <c r="AL575" s="320">
        <f>IFERROR(__xludf.DUMMYFUNCTION("""COMPUTED_VALUE"""),21.3)</f>
        <v>21.3</v>
      </c>
      <c r="AM575" s="320">
        <f>IFERROR(__xludf.DUMMYFUNCTION("""COMPUTED_VALUE"""),235.74)</f>
        <v>235.74</v>
      </c>
      <c r="AN575" s="320">
        <f>IFERROR(__xludf.DUMMYFUNCTION("""COMPUTED_VALUE"""),73.08)</f>
        <v>73.08</v>
      </c>
      <c r="AO575" s="320">
        <f>IFERROR(__xludf.DUMMYFUNCTION("""COMPUTED_VALUE"""),15.57)</f>
        <v>15.57</v>
      </c>
    </row>
    <row r="576" ht="15.0" customHeight="1">
      <c r="A576" s="328">
        <f>IFERROR(__xludf.DUMMYFUNCTION("""COMPUTED_VALUE"""),46145.0)</f>
        <v>46145</v>
      </c>
      <c r="B576" s="319" t="str">
        <f>IFERROR(__xludf.DUMMYFUNCTION("""COMPUTED_VALUE"""),"E. 40-99")</f>
        <v>E. 40-99</v>
      </c>
      <c r="C576" s="320">
        <f>IFERROR(__xludf.DUMMYFUNCTION("""COMPUTED_VALUE"""),3476.0)</f>
        <v>3476</v>
      </c>
      <c r="D576" s="320">
        <f>IFERROR(__xludf.DUMMYFUNCTION("""COMPUTED_VALUE"""),4.89)</f>
        <v>4.89</v>
      </c>
      <c r="E576" s="320">
        <f>IFERROR(__xludf.DUMMYFUNCTION("""COMPUTED_VALUE"""),20227.77)</f>
        <v>20227.77</v>
      </c>
      <c r="F576" s="320">
        <f>IFERROR(__xludf.DUMMYFUNCTION("""COMPUTED_VALUE"""),5.8193)</f>
        <v>5.8193</v>
      </c>
      <c r="G576" s="320">
        <f>IFERROR(__xludf.DUMMYFUNCTION("""COMPUTED_VALUE"""),45.37)</f>
        <v>45.37</v>
      </c>
      <c r="H576" s="320">
        <f>IFERROR(__xludf.DUMMYFUNCTION("""COMPUTED_VALUE"""),12.8267)</f>
        <v>12.8267</v>
      </c>
      <c r="I576" s="320">
        <f>IFERROR(__xludf.DUMMYFUNCTION("""COMPUTED_VALUE"""),136.08)</f>
        <v>136.08</v>
      </c>
      <c r="J576" s="320">
        <f>IFERROR(__xludf.DUMMYFUNCTION("""COMPUTED_VALUE"""),84.71)</f>
        <v>84.71</v>
      </c>
      <c r="K576" s="320">
        <f>IFERROR(__xludf.DUMMYFUNCTION("""COMPUTED_VALUE"""),54.52)</f>
        <v>54.52</v>
      </c>
      <c r="L576" s="320">
        <f>IFERROR(__xludf.DUMMYFUNCTION("""COMPUTED_VALUE"""),0.6436)</f>
        <v>0.6436</v>
      </c>
      <c r="M576" s="320">
        <f>IFERROR(__xludf.DUMMYFUNCTION("""COMPUTED_VALUE"""),0.4332)</f>
        <v>0.4332</v>
      </c>
      <c r="N576" s="320">
        <f>IFERROR(__xludf.DUMMYFUNCTION("""COMPUTED_VALUE"""),0.2336)</f>
        <v>0.2336</v>
      </c>
      <c r="O576" s="320">
        <f>IFERROR(__xludf.DUMMYFUNCTION("""COMPUTED_VALUE"""),1.5538)</f>
        <v>1.5538</v>
      </c>
      <c r="P576" s="320">
        <f>IFERROR(__xludf.DUMMYFUNCTION("""COMPUTED_VALUE"""),593.29)</f>
        <v>593.29</v>
      </c>
      <c r="Q576" s="320">
        <f>IFERROR(__xludf.DUMMYFUNCTION("""COMPUTED_VALUE"""),498.09)</f>
        <v>498.09</v>
      </c>
      <c r="R576" s="320">
        <f>IFERROR(__xludf.DUMMYFUNCTION("""COMPUTED_VALUE"""),95.2)</f>
        <v>95.2</v>
      </c>
      <c r="S576" s="320">
        <f>IFERROR(__xludf.DUMMYFUNCTION("""COMPUTED_VALUE"""),363.02)</f>
        <v>363.02</v>
      </c>
      <c r="T576" s="320">
        <f>IFERROR(__xludf.DUMMYFUNCTION("""COMPUTED_VALUE"""),230.27)</f>
        <v>230.27</v>
      </c>
      <c r="U576" s="320">
        <f>IFERROR(__xludf.DUMMYFUNCTION("""COMPUTED_VALUE"""),645.24)</f>
        <v>645.24</v>
      </c>
      <c r="V576" s="320">
        <f>IFERROR(__xludf.DUMMYFUNCTION("""COMPUTED_VALUE"""),7.6167)</f>
        <v>7.6167</v>
      </c>
      <c r="W576" s="320">
        <f>IFERROR(__xludf.DUMMYFUNCTION("""COMPUTED_VALUE"""),61.19)</f>
        <v>61.19</v>
      </c>
      <c r="X576" s="320">
        <f>IFERROR(__xludf.DUMMYFUNCTION("""COMPUTED_VALUE"""),89.0)</f>
        <v>89</v>
      </c>
      <c r="Y576" s="320">
        <f>IFERROR(__xludf.DUMMYFUNCTION("""COMPUTED_VALUE"""),244.0)</f>
        <v>244</v>
      </c>
      <c r="Z576" s="320">
        <f>IFERROR(__xludf.DUMMYFUNCTION("""COMPUTED_VALUE"""),829.0)</f>
        <v>829</v>
      </c>
      <c r="AA576" s="320">
        <f>IFERROR(__xludf.DUMMYFUNCTION("""COMPUTED_VALUE"""),57.5806)</f>
        <v>57.5806</v>
      </c>
      <c r="AB576" s="320">
        <f>IFERROR(__xludf.DUMMYFUNCTION("""COMPUTED_VALUE"""),0.7578)</f>
        <v>0.7578</v>
      </c>
      <c r="AC576" s="320">
        <f>IFERROR(__xludf.DUMMYFUNCTION("""COMPUTED_VALUE"""),35.65)</f>
        <v>35.65</v>
      </c>
      <c r="AD576" s="320">
        <f>IFERROR(__xludf.DUMMYFUNCTION("""COMPUTED_VALUE"""),12.0)</f>
        <v>12</v>
      </c>
      <c r="AE576" s="320">
        <f>IFERROR(__xludf.DUMMYFUNCTION("""COMPUTED_VALUE"""),26.0)</f>
        <v>26</v>
      </c>
      <c r="AF576" s="320">
        <f>IFERROR(__xludf.DUMMYFUNCTION("""COMPUTED_VALUE"""),50.0)</f>
        <v>50</v>
      </c>
      <c r="AG576" s="320">
        <f>IFERROR(__xludf.DUMMYFUNCTION("""COMPUTED_VALUE"""),76.0)</f>
        <v>76</v>
      </c>
      <c r="AH576" s="320">
        <f>IFERROR(__xludf.DUMMYFUNCTION("""COMPUTED_VALUE"""),47.87)</f>
        <v>47.87</v>
      </c>
      <c r="AI576" s="320">
        <f>IFERROR(__xludf.DUMMYFUNCTION("""COMPUTED_VALUE"""),18.21)</f>
        <v>18.21</v>
      </c>
      <c r="AJ576" s="320">
        <f>IFERROR(__xludf.DUMMYFUNCTION("""COMPUTED_VALUE"""),4.86)</f>
        <v>4.86</v>
      </c>
      <c r="AK576" s="320">
        <f>IFERROR(__xludf.DUMMYFUNCTION("""COMPUTED_VALUE"""),0.2109)</f>
        <v>0.2109</v>
      </c>
      <c r="AL576" s="320">
        <f>IFERROR(__xludf.DUMMYFUNCTION("""COMPUTED_VALUE"""),21.26)</f>
        <v>21.26</v>
      </c>
      <c r="AM576" s="320">
        <f>IFERROR(__xludf.DUMMYFUNCTION("""COMPUTED_VALUE"""),476.82)</f>
        <v>476.82</v>
      </c>
      <c r="AN576" s="320">
        <f>IFERROR(__xludf.DUMMYFUNCTION("""COMPUTED_VALUE"""),74.31)</f>
        <v>74.31</v>
      </c>
      <c r="AO576" s="320">
        <f>IFERROR(__xludf.DUMMYFUNCTION("""COMPUTED_VALUE"""),15.8)</f>
        <v>15.8</v>
      </c>
    </row>
    <row r="577" ht="15.0" customHeight="1">
      <c r="A577" s="328">
        <f>IFERROR(__xludf.DUMMYFUNCTION("""COMPUTED_VALUE"""),46145.0)</f>
        <v>46145</v>
      </c>
      <c r="B577" s="319" t="str">
        <f>IFERROR(__xludf.DUMMYFUNCTION("""COMPUTED_VALUE"""),"F. 100+")</f>
        <v>F. 100+</v>
      </c>
      <c r="C577" s="320">
        <f>IFERROR(__xludf.DUMMYFUNCTION("""COMPUTED_VALUE"""),361.0)</f>
        <v>361</v>
      </c>
      <c r="D577" s="320">
        <f>IFERROR(__xludf.DUMMYFUNCTION("""COMPUTED_VALUE"""),0.51)</f>
        <v>0.51</v>
      </c>
      <c r="E577" s="320">
        <f>IFERROR(__xludf.DUMMYFUNCTION("""COMPUTED_VALUE"""),4316.19)</f>
        <v>4316.19</v>
      </c>
      <c r="F577" s="320">
        <f>IFERROR(__xludf.DUMMYFUNCTION("""COMPUTED_VALUE"""),11.9562)</f>
        <v>11.9562</v>
      </c>
      <c r="G577" s="320">
        <f>IFERROR(__xludf.DUMMYFUNCTION("""COMPUTED_VALUE"""),53.19)</f>
        <v>53.19</v>
      </c>
      <c r="H577" s="320">
        <f>IFERROR(__xludf.DUMMYFUNCTION("""COMPUTED_VALUE"""),22.4802)</f>
        <v>22.4802</v>
      </c>
      <c r="I577" s="320">
        <f>IFERROR(__xludf.DUMMYFUNCTION("""COMPUTED_VALUE"""),242.33)</f>
        <v>242.33</v>
      </c>
      <c r="J577" s="320">
        <f>IFERROR(__xludf.DUMMYFUNCTION("""COMPUTED_VALUE"""),163.77)</f>
        <v>163.77</v>
      </c>
      <c r="K577" s="320">
        <f>IFERROR(__xludf.DUMMYFUNCTION("""COMPUTED_VALUE"""),127.87)</f>
        <v>127.87</v>
      </c>
      <c r="L577" s="320">
        <f>IFERROR(__xludf.DUMMYFUNCTION("""COMPUTED_VALUE"""),0.7808)</f>
        <v>0.7808</v>
      </c>
      <c r="M577" s="320">
        <f>IFERROR(__xludf.DUMMYFUNCTION("""COMPUTED_VALUE"""),0.3001)</f>
        <v>0.3001</v>
      </c>
      <c r="N577" s="320">
        <f>IFERROR(__xludf.DUMMYFUNCTION("""COMPUTED_VALUE"""),0.1763)</f>
        <v>0.1763</v>
      </c>
      <c r="O577" s="320">
        <f>IFERROR(__xludf.DUMMYFUNCTION("""COMPUTED_VALUE"""),1.2808)</f>
        <v>1.2808</v>
      </c>
      <c r="P577" s="320">
        <f>IFERROR(__xludf.DUMMYFUNCTION("""COMPUTED_VALUE"""),1200.88)</f>
        <v>1200.88</v>
      </c>
      <c r="Q577" s="320">
        <f>IFERROR(__xludf.DUMMYFUNCTION("""COMPUTED_VALUE"""),975.32)</f>
        <v>975.32</v>
      </c>
      <c r="R577" s="320">
        <f>IFERROR(__xludf.DUMMYFUNCTION("""COMPUTED_VALUE"""),225.55)</f>
        <v>225.55</v>
      </c>
      <c r="S577" s="320">
        <f>IFERROR(__xludf.DUMMYFUNCTION("""COMPUTED_VALUE"""),777.33)</f>
        <v>777.33</v>
      </c>
      <c r="T577" s="320">
        <f>IFERROR(__xludf.DUMMYFUNCTION("""COMPUTED_VALUE"""),423.55)</f>
        <v>423.55</v>
      </c>
      <c r="U577" s="320">
        <f>IFERROR(__xludf.DUMMYFUNCTION("""COMPUTED_VALUE"""),1303.74)</f>
        <v>1303.74</v>
      </c>
      <c r="V577" s="320">
        <f>IFERROR(__xludf.DUMMYFUNCTION("""COMPUTED_VALUE"""),7.9607)</f>
        <v>7.9607</v>
      </c>
      <c r="W577" s="320">
        <f>IFERROR(__xludf.DUMMYFUNCTION("""COMPUTED_VALUE"""),64.73)</f>
        <v>64.73</v>
      </c>
      <c r="X577" s="320">
        <f>IFERROR(__xludf.DUMMYFUNCTION("""COMPUTED_VALUE"""),110.0)</f>
        <v>110</v>
      </c>
      <c r="Y577" s="320">
        <f>IFERROR(__xludf.DUMMYFUNCTION("""COMPUTED_VALUE"""),411.0)</f>
        <v>411</v>
      </c>
      <c r="Z577" s="320">
        <f>IFERROR(__xludf.DUMMYFUNCTION("""COMPUTED_VALUE"""),1555.0)</f>
        <v>1555</v>
      </c>
      <c r="AA577" s="320">
        <f>IFERROR(__xludf.DUMMYFUNCTION("""COMPUTED_VALUE"""),61.3828)</f>
        <v>61.3828</v>
      </c>
      <c r="AB577" s="320">
        <f>IFERROR(__xludf.DUMMYFUNCTION("""COMPUTED_VALUE"""),0.8407)</f>
        <v>0.8407</v>
      </c>
      <c r="AC577" s="320">
        <f>IFERROR(__xludf.DUMMYFUNCTION("""COMPUTED_VALUE"""),85.25)</f>
        <v>85.25</v>
      </c>
      <c r="AD577" s="320">
        <f>IFERROR(__xludf.DUMMYFUNCTION("""COMPUTED_VALUE"""),23.0)</f>
        <v>23</v>
      </c>
      <c r="AE577" s="320">
        <f>IFERROR(__xludf.DUMMYFUNCTION("""COMPUTED_VALUE"""),62.0)</f>
        <v>62</v>
      </c>
      <c r="AF577" s="320">
        <f>IFERROR(__xludf.DUMMYFUNCTION("""COMPUTED_VALUE"""),119.0)</f>
        <v>119</v>
      </c>
      <c r="AG577" s="320">
        <f>IFERROR(__xludf.DUMMYFUNCTION("""COMPUTED_VALUE"""),191.0)</f>
        <v>191</v>
      </c>
      <c r="AH577" s="320">
        <f>IFERROR(__xludf.DUMMYFUNCTION("""COMPUTED_VALUE"""),40.72)</f>
        <v>40.72</v>
      </c>
      <c r="AI577" s="320">
        <f>IFERROR(__xludf.DUMMYFUNCTION("""COMPUTED_VALUE"""),12.19)</f>
        <v>12.19</v>
      </c>
      <c r="AJ577" s="320">
        <f>IFERROR(__xludf.DUMMYFUNCTION("""COMPUTED_VALUE"""),3.05)</f>
        <v>3.05</v>
      </c>
      <c r="AK577" s="320">
        <f>IFERROR(__xludf.DUMMYFUNCTION("""COMPUTED_VALUE"""),0.1662)</f>
        <v>0.1662</v>
      </c>
      <c r="AL577" s="320">
        <f>IFERROR(__xludf.DUMMYFUNCTION("""COMPUTED_VALUE"""),23.09)</f>
        <v>23.09</v>
      </c>
      <c r="AM577" s="320">
        <f>IFERROR(__xludf.DUMMYFUNCTION("""COMPUTED_VALUE"""),952.24)</f>
        <v>952.24</v>
      </c>
      <c r="AN577" s="320">
        <f>IFERROR(__xludf.DUMMYFUNCTION("""COMPUTED_VALUE"""),70.16)</f>
        <v>70.16</v>
      </c>
      <c r="AO577" s="320">
        <f>IFERROR(__xludf.DUMMYFUNCTION("""COMPUTED_VALUE"""),16.2)</f>
        <v>16.2</v>
      </c>
    </row>
    <row r="578" ht="15.0" customHeight="1">
      <c r="A578" s="328">
        <f>IFERROR(__xludf.DUMMYFUNCTION("""COMPUTED_VALUE"""),46146.0)</f>
        <v>46146</v>
      </c>
      <c r="B578" s="319" t="str">
        <f>IFERROR(__xludf.DUMMYFUNCTION("""COMPUTED_VALUE"""),"A. 0")</f>
        <v>A. 0</v>
      </c>
      <c r="C578" s="320">
        <f>IFERROR(__xludf.DUMMYFUNCTION("""COMPUTED_VALUE"""),14284.0)</f>
        <v>14284</v>
      </c>
      <c r="D578" s="320">
        <f>IFERROR(__xludf.DUMMYFUNCTION("""COMPUTED_VALUE"""),19.39)</f>
        <v>19.39</v>
      </c>
      <c r="E578" s="320">
        <f>IFERROR(__xludf.DUMMYFUNCTION("""COMPUTED_VALUE"""),201.77)</f>
        <v>201.77</v>
      </c>
      <c r="F578" s="320">
        <f>IFERROR(__xludf.DUMMYFUNCTION("""COMPUTED_VALUE"""),0.0141)</f>
        <v>0.0141</v>
      </c>
      <c r="G578" s="320">
        <f>IFERROR(__xludf.DUMMYFUNCTION("""COMPUTED_VALUE"""),0.27)</f>
        <v>0.27</v>
      </c>
      <c r="H578" s="320">
        <f>IFERROR(__xludf.DUMMYFUNCTION("""COMPUTED_VALUE"""),5.1736)</f>
        <v>5.1736</v>
      </c>
      <c r="I578" s="320">
        <f>IFERROR(__xludf.DUMMYFUNCTION("""COMPUTED_VALUE"""),5.58)</f>
        <v>5.58</v>
      </c>
      <c r="J578" s="320">
        <f>IFERROR(__xludf.DUMMYFUNCTION("""COMPUTED_VALUE"""),2.36)</f>
        <v>2.36</v>
      </c>
      <c r="K578" s="320">
        <f>IFERROR(__xludf.DUMMYFUNCTION("""COMPUTED_VALUE"""),0.08)</f>
        <v>0.08</v>
      </c>
      <c r="L578" s="320">
        <f>IFERROR(__xludf.DUMMYFUNCTION("""COMPUTED_VALUE"""),0.0346)</f>
        <v>0.0346</v>
      </c>
      <c r="M578" s="320">
        <f>IFERROR(__xludf.DUMMYFUNCTION("""COMPUTED_VALUE"""),0.9699)</f>
        <v>0.9699</v>
      </c>
      <c r="N578" s="320">
        <f>IFERROR(__xludf.DUMMYFUNCTION("""COMPUTED_VALUE"""),0.721)</f>
        <v>0.721</v>
      </c>
      <c r="O578" s="320">
        <f>IFERROR(__xludf.DUMMYFUNCTION("""COMPUTED_VALUE"""),28.8632)</f>
        <v>28.8632</v>
      </c>
      <c r="P578" s="320">
        <f>IFERROR(__xludf.DUMMYFUNCTION("""COMPUTED_VALUE"""),36.77)</f>
        <v>36.77</v>
      </c>
      <c r="Q578" s="320">
        <f>IFERROR(__xludf.DUMMYFUNCTION("""COMPUTED_VALUE"""),36.69)</f>
        <v>36.69</v>
      </c>
      <c r="R578" s="320">
        <f>IFERROR(__xludf.DUMMYFUNCTION("""COMPUTED_VALUE"""),0.08)</f>
        <v>0.08</v>
      </c>
      <c r="S578" s="320">
        <f>IFERROR(__xludf.DUMMYFUNCTION("""COMPUTED_VALUE"""),0.98)</f>
        <v>0.98</v>
      </c>
      <c r="T578" s="320">
        <f>IFERROR(__xludf.DUMMYFUNCTION("""COMPUTED_VALUE"""),35.79)</f>
        <v>35.79</v>
      </c>
      <c r="U578" s="320">
        <f>IFERROR(__xludf.DUMMYFUNCTION("""COMPUTED_VALUE"""),2.94)</f>
        <v>2.94</v>
      </c>
      <c r="V578" s="320">
        <f>IFERROR(__xludf.DUMMYFUNCTION("""COMPUTED_VALUE"""),1.2422)</f>
        <v>1.2422</v>
      </c>
      <c r="W578" s="320">
        <f>IFERROR(__xludf.DUMMYFUNCTION("""COMPUTED_VALUE"""),2.67)</f>
        <v>2.67</v>
      </c>
      <c r="X578" s="320">
        <f>IFERROR(__xludf.DUMMYFUNCTION("""COMPUTED_VALUE"""),201.0)</f>
        <v>201</v>
      </c>
      <c r="Y578" s="320">
        <f>IFERROR(__xludf.DUMMYFUNCTION("""COMPUTED_VALUE"""),1574.0)</f>
        <v>1574</v>
      </c>
      <c r="Z578" s="320">
        <f>IFERROR(__xludf.DUMMYFUNCTION("""COMPUTED_VALUE"""),8733.0)</f>
        <v>8733</v>
      </c>
      <c r="AA578" s="320">
        <f>IFERROR(__xludf.DUMMYFUNCTION("""COMPUTED_VALUE"""),50.0535)</f>
        <v>50.0535</v>
      </c>
      <c r="AB578" s="320">
        <f>IFERROR(__xludf.DUMMYFUNCTION("""COMPUTED_VALUE"""),0.5277)</f>
        <v>0.5277</v>
      </c>
      <c r="AC578" s="106"/>
      <c r="AD578" s="106"/>
      <c r="AE578" s="106"/>
      <c r="AF578" s="106"/>
      <c r="AG578" s="106"/>
      <c r="AH578" s="320">
        <f>IFERROR(__xludf.DUMMYFUNCTION("""COMPUTED_VALUE"""),0.0)</f>
        <v>0</v>
      </c>
      <c r="AI578" s="320">
        <f>IFERROR(__xludf.DUMMYFUNCTION("""COMPUTED_VALUE"""),0.0)</f>
        <v>0</v>
      </c>
      <c r="AJ578" s="320">
        <f>IFERROR(__xludf.DUMMYFUNCTION("""COMPUTED_VALUE"""),0.0)</f>
        <v>0</v>
      </c>
      <c r="AK578" s="320">
        <f>IFERROR(__xludf.DUMMYFUNCTION("""COMPUTED_VALUE"""),0.2678)</f>
        <v>0.2678</v>
      </c>
      <c r="AL578" s="320">
        <f>IFERROR(__xludf.DUMMYFUNCTION("""COMPUTED_VALUE"""),16.18)</f>
        <v>16.18</v>
      </c>
      <c r="AM578" s="320">
        <f>IFERROR(__xludf.DUMMYFUNCTION("""COMPUTED_VALUE"""),20.52)</f>
        <v>20.52</v>
      </c>
      <c r="AN578" s="331"/>
      <c r="AO578" s="331"/>
    </row>
    <row r="579" ht="15.0" customHeight="1">
      <c r="A579" s="328">
        <f>IFERROR(__xludf.DUMMYFUNCTION("""COMPUTED_VALUE"""),46146.0)</f>
        <v>46146</v>
      </c>
      <c r="B579" s="319" t="str">
        <f>IFERROR(__xludf.DUMMYFUNCTION("""COMPUTED_VALUE"""),"B. 1-9")</f>
        <v>B. 1-9</v>
      </c>
      <c r="C579" s="320">
        <f>IFERROR(__xludf.DUMMYFUNCTION("""COMPUTED_VALUE"""),29756.0)</f>
        <v>29756</v>
      </c>
      <c r="D579" s="320">
        <f>IFERROR(__xludf.DUMMYFUNCTION("""COMPUTED_VALUE"""),40.38)</f>
        <v>40.38</v>
      </c>
      <c r="E579" s="320">
        <f>IFERROR(__xludf.DUMMYFUNCTION("""COMPUTED_VALUE"""),5709.58)</f>
        <v>5709.58</v>
      </c>
      <c r="F579" s="320">
        <f>IFERROR(__xludf.DUMMYFUNCTION("""COMPUTED_VALUE"""),0.1919)</f>
        <v>0.1919</v>
      </c>
      <c r="G579" s="320">
        <f>IFERROR(__xludf.DUMMYFUNCTION("""COMPUTED_VALUE"""),5.9)</f>
        <v>5.9</v>
      </c>
      <c r="H579" s="320">
        <f>IFERROR(__xludf.DUMMYFUNCTION("""COMPUTED_VALUE"""),3.2515)</f>
        <v>3.2515</v>
      </c>
      <c r="I579" s="320">
        <f>IFERROR(__xludf.DUMMYFUNCTION("""COMPUTED_VALUE"""),34.99)</f>
        <v>34.99</v>
      </c>
      <c r="J579" s="320">
        <f>IFERROR(__xludf.DUMMYFUNCTION("""COMPUTED_VALUE"""),18.84)</f>
        <v>18.84</v>
      </c>
      <c r="K579" s="320">
        <f>IFERROR(__xludf.DUMMYFUNCTION("""COMPUTED_VALUE"""),5.49)</f>
        <v>5.49</v>
      </c>
      <c r="L579" s="320">
        <f>IFERROR(__xludf.DUMMYFUNCTION("""COMPUTED_VALUE"""),0.2915)</f>
        <v>0.2915</v>
      </c>
      <c r="M579" s="320">
        <f>IFERROR(__xludf.DUMMYFUNCTION("""COMPUTED_VALUE"""),0.7761)</f>
        <v>0.7761</v>
      </c>
      <c r="N579" s="320">
        <f>IFERROR(__xludf.DUMMYFUNCTION("""COMPUTED_VALUE"""),0.5339)</f>
        <v>0.5339</v>
      </c>
      <c r="O579" s="320">
        <f>IFERROR(__xludf.DUMMYFUNCTION("""COMPUTED_VALUE"""),3.431)</f>
        <v>3.431</v>
      </c>
      <c r="P579" s="320">
        <f>IFERROR(__xludf.DUMMYFUNCTION("""COMPUTED_VALUE"""),91.04)</f>
        <v>91.04</v>
      </c>
      <c r="Q579" s="320">
        <f>IFERROR(__xludf.DUMMYFUNCTION("""COMPUTED_VALUE"""),81.75)</f>
        <v>81.75</v>
      </c>
      <c r="R579" s="320">
        <f>IFERROR(__xludf.DUMMYFUNCTION("""COMPUTED_VALUE"""),9.29)</f>
        <v>9.29</v>
      </c>
      <c r="S579" s="320">
        <f>IFERROR(__xludf.DUMMYFUNCTION("""COMPUTED_VALUE"""),13.18)</f>
        <v>13.18</v>
      </c>
      <c r="T579" s="320">
        <f>IFERROR(__xludf.DUMMYFUNCTION("""COMPUTED_VALUE"""),77.86)</f>
        <v>77.86</v>
      </c>
      <c r="U579" s="320">
        <f>IFERROR(__xludf.DUMMYFUNCTION("""COMPUTED_VALUE"""),83.28)</f>
        <v>83.28</v>
      </c>
      <c r="V579" s="320">
        <f>IFERROR(__xludf.DUMMYFUNCTION("""COMPUTED_VALUE"""),4.4215)</f>
        <v>4.4215</v>
      </c>
      <c r="W579" s="320">
        <f>IFERROR(__xludf.DUMMYFUNCTION("""COMPUTED_VALUE"""),14.47)</f>
        <v>14.47</v>
      </c>
      <c r="X579" s="320">
        <f>IFERROR(__xludf.DUMMYFUNCTION("""COMPUTED_VALUE"""),90.0)</f>
        <v>90</v>
      </c>
      <c r="Y579" s="320">
        <f>IFERROR(__xludf.DUMMYFUNCTION("""COMPUTED_VALUE"""),220.0)</f>
        <v>220</v>
      </c>
      <c r="Z579" s="320">
        <f>IFERROR(__xludf.DUMMYFUNCTION("""COMPUTED_VALUE"""),890.0)</f>
        <v>890</v>
      </c>
      <c r="AA579" s="320">
        <f>IFERROR(__xludf.DUMMYFUNCTION("""COMPUTED_VALUE"""),49.6456)</f>
        <v>49.6456</v>
      </c>
      <c r="AB579" s="320">
        <f>IFERROR(__xludf.DUMMYFUNCTION("""COMPUTED_VALUE"""),0.4414)</f>
        <v>0.4414</v>
      </c>
      <c r="AC579" s="320">
        <f>IFERROR(__xludf.DUMMYFUNCTION("""COMPUTED_VALUE"""),3.54)</f>
        <v>3.54</v>
      </c>
      <c r="AD579" s="320">
        <f>IFERROR(__xludf.DUMMYFUNCTION("""COMPUTED_VALUE"""),1.0)</f>
        <v>1</v>
      </c>
      <c r="AE579" s="320">
        <f>IFERROR(__xludf.DUMMYFUNCTION("""COMPUTED_VALUE"""),2.0)</f>
        <v>2</v>
      </c>
      <c r="AF579" s="320">
        <f>IFERROR(__xludf.DUMMYFUNCTION("""COMPUTED_VALUE"""),5.0)</f>
        <v>5</v>
      </c>
      <c r="AG579" s="320">
        <f>IFERROR(__xludf.DUMMYFUNCTION("""COMPUTED_VALUE"""),8.0)</f>
        <v>8</v>
      </c>
      <c r="AH579" s="320">
        <f>IFERROR(__xludf.DUMMYFUNCTION("""COMPUTED_VALUE"""),68.45)</f>
        <v>68.45</v>
      </c>
      <c r="AI579" s="320">
        <f>IFERROR(__xludf.DUMMYFUNCTION("""COMPUTED_VALUE"""),25.32)</f>
        <v>25.32</v>
      </c>
      <c r="AJ579" s="320">
        <f>IFERROR(__xludf.DUMMYFUNCTION("""COMPUTED_VALUE"""),6.64)</f>
        <v>6.64</v>
      </c>
      <c r="AK579" s="320">
        <f>IFERROR(__xludf.DUMMYFUNCTION("""COMPUTED_VALUE"""),0.207)</f>
        <v>0.207</v>
      </c>
      <c r="AL579" s="320">
        <f>IFERROR(__xludf.DUMMYFUNCTION("""COMPUTED_VALUE"""),18.5)</f>
        <v>18.5</v>
      </c>
      <c r="AM579" s="320">
        <f>IFERROR(__xludf.DUMMYFUNCTION("""COMPUTED_VALUE"""),63.25)</f>
        <v>63.25</v>
      </c>
      <c r="AN579" s="320">
        <f>IFERROR(__xludf.DUMMYFUNCTION("""COMPUTED_VALUE"""),68.29)</f>
        <v>68.29</v>
      </c>
      <c r="AO579" s="320">
        <f>IFERROR(__xludf.DUMMYFUNCTION("""COMPUTED_VALUE"""),12.63)</f>
        <v>12.63</v>
      </c>
    </row>
    <row r="580" ht="15.0" customHeight="1">
      <c r="A580" s="328">
        <f>IFERROR(__xludf.DUMMYFUNCTION("""COMPUTED_VALUE"""),46146.0)</f>
        <v>46146</v>
      </c>
      <c r="B580" s="319" t="str">
        <f>IFERROR(__xludf.DUMMYFUNCTION("""COMPUTED_VALUE"""),"C. 10-19")</f>
        <v>C. 10-19</v>
      </c>
      <c r="C580" s="320">
        <f>IFERROR(__xludf.DUMMYFUNCTION("""COMPUTED_VALUE"""),16598.0)</f>
        <v>16598</v>
      </c>
      <c r="D580" s="320">
        <f>IFERROR(__xludf.DUMMYFUNCTION("""COMPUTED_VALUE"""),22.53)</f>
        <v>22.53</v>
      </c>
      <c r="E580" s="320">
        <f>IFERROR(__xludf.DUMMYFUNCTION("""COMPUTED_VALUE"""),15665.29)</f>
        <v>15665.29</v>
      </c>
      <c r="F580" s="320">
        <f>IFERROR(__xludf.DUMMYFUNCTION("""COMPUTED_VALUE"""),0.9438)</f>
        <v>0.9438</v>
      </c>
      <c r="G580" s="320">
        <f>IFERROR(__xludf.DUMMYFUNCTION("""COMPUTED_VALUE"""),19.2)</f>
        <v>19.2</v>
      </c>
      <c r="H580" s="320">
        <f>IFERROR(__xludf.DUMMYFUNCTION("""COMPUTED_VALUE"""),4.9154)</f>
        <v>4.9154</v>
      </c>
      <c r="I580" s="320">
        <f>IFERROR(__xludf.DUMMYFUNCTION("""COMPUTED_VALUE"""),64.84)</f>
        <v>64.84</v>
      </c>
      <c r="J580" s="320">
        <f>IFERROR(__xludf.DUMMYFUNCTION("""COMPUTED_VALUE"""),36.86)</f>
        <v>36.86</v>
      </c>
      <c r="K580" s="320">
        <f>IFERROR(__xludf.DUMMYFUNCTION("""COMPUTED_VALUE"""),14.24)</f>
        <v>14.24</v>
      </c>
      <c r="L580" s="320">
        <f>IFERROR(__xludf.DUMMYFUNCTION("""COMPUTED_VALUE"""),0.3863)</f>
        <v>0.3863</v>
      </c>
      <c r="M580" s="320">
        <f>IFERROR(__xludf.DUMMYFUNCTION("""COMPUTED_VALUE"""),0.6737)</f>
        <v>0.6737</v>
      </c>
      <c r="N580" s="320">
        <f>IFERROR(__xludf.DUMMYFUNCTION("""COMPUTED_VALUE"""),0.3989)</f>
        <v>0.3989</v>
      </c>
      <c r="O580" s="320">
        <f>IFERROR(__xludf.DUMMYFUNCTION("""COMPUTED_VALUE"""),2.589)</f>
        <v>2.589</v>
      </c>
      <c r="P580" s="320">
        <f>IFERROR(__xludf.DUMMYFUNCTION("""COMPUTED_VALUE"""),192.11)</f>
        <v>192.11</v>
      </c>
      <c r="Q580" s="320">
        <f>IFERROR(__xludf.DUMMYFUNCTION("""COMPUTED_VALUE"""),168.95)</f>
        <v>168.95</v>
      </c>
      <c r="R580" s="320">
        <f>IFERROR(__xludf.DUMMYFUNCTION("""COMPUTED_VALUE"""),23.17)</f>
        <v>23.17</v>
      </c>
      <c r="S580" s="320">
        <f>IFERROR(__xludf.DUMMYFUNCTION("""COMPUTED_VALUE"""),60.58)</f>
        <v>60.58</v>
      </c>
      <c r="T580" s="320">
        <f>IFERROR(__xludf.DUMMYFUNCTION("""COMPUTED_VALUE"""),131.53)</f>
        <v>131.53</v>
      </c>
      <c r="U580" s="320">
        <f>IFERROR(__xludf.DUMMYFUNCTION("""COMPUTED_VALUE"""),186.65)</f>
        <v>186.65</v>
      </c>
      <c r="V580" s="320">
        <f>IFERROR(__xludf.DUMMYFUNCTION("""COMPUTED_VALUE"""),5.0641)</f>
        <v>5.0641</v>
      </c>
      <c r="W580" s="320">
        <f>IFERROR(__xludf.DUMMYFUNCTION("""COMPUTED_VALUE"""),31.53)</f>
        <v>31.53</v>
      </c>
      <c r="X580" s="320">
        <f>IFERROR(__xludf.DUMMYFUNCTION("""COMPUTED_VALUE"""),85.0)</f>
        <v>85</v>
      </c>
      <c r="Y580" s="320">
        <f>IFERROR(__xludf.DUMMYFUNCTION("""COMPUTED_VALUE"""),190.0)</f>
        <v>190</v>
      </c>
      <c r="Z580" s="320">
        <f>IFERROR(__xludf.DUMMYFUNCTION("""COMPUTED_VALUE"""),590.0)</f>
        <v>590</v>
      </c>
      <c r="AA580" s="320">
        <f>IFERROR(__xludf.DUMMYFUNCTION("""COMPUTED_VALUE"""),52.153)</f>
        <v>52.153</v>
      </c>
      <c r="AB580" s="320">
        <f>IFERROR(__xludf.DUMMYFUNCTION("""COMPUTED_VALUE"""),0.5029)</f>
        <v>0.5029</v>
      </c>
      <c r="AC580" s="320">
        <f>IFERROR(__xludf.DUMMYFUNCTION("""COMPUTED_VALUE"""),8.56)</f>
        <v>8.56</v>
      </c>
      <c r="AD580" s="320">
        <f>IFERROR(__xludf.DUMMYFUNCTION("""COMPUTED_VALUE"""),3.0)</f>
        <v>3</v>
      </c>
      <c r="AE580" s="320">
        <f>IFERROR(__xludf.DUMMYFUNCTION("""COMPUTED_VALUE"""),6.0)</f>
        <v>6</v>
      </c>
      <c r="AF580" s="320">
        <f>IFERROR(__xludf.DUMMYFUNCTION("""COMPUTED_VALUE"""),12.0)</f>
        <v>12</v>
      </c>
      <c r="AG580" s="320">
        <f>IFERROR(__xludf.DUMMYFUNCTION("""COMPUTED_VALUE"""),19.0)</f>
        <v>19</v>
      </c>
      <c r="AH580" s="320">
        <f>IFERROR(__xludf.DUMMYFUNCTION("""COMPUTED_VALUE"""),53.74)</f>
        <v>53.74</v>
      </c>
      <c r="AI580" s="320">
        <f>IFERROR(__xludf.DUMMYFUNCTION("""COMPUTED_VALUE"""),23.27)</f>
        <v>23.27</v>
      </c>
      <c r="AJ580" s="320">
        <f>IFERROR(__xludf.DUMMYFUNCTION("""COMPUTED_VALUE"""),3.93)</f>
        <v>3.93</v>
      </c>
      <c r="AK580" s="320">
        <f>IFERROR(__xludf.DUMMYFUNCTION("""COMPUTED_VALUE"""),0.178)</f>
        <v>0.178</v>
      </c>
      <c r="AL580" s="320">
        <f>IFERROR(__xludf.DUMMYFUNCTION("""COMPUTED_VALUE"""),18.88)</f>
        <v>18.88</v>
      </c>
      <c r="AM580" s="320">
        <f>IFERROR(__xludf.DUMMYFUNCTION("""COMPUTED_VALUE"""),150.06)</f>
        <v>150.06</v>
      </c>
      <c r="AN580" s="320">
        <f>IFERROR(__xludf.DUMMYFUNCTION("""COMPUTED_VALUE"""),71.46)</f>
        <v>71.46</v>
      </c>
      <c r="AO580" s="320">
        <f>IFERROR(__xludf.DUMMYFUNCTION("""COMPUTED_VALUE"""),13.49)</f>
        <v>13.49</v>
      </c>
    </row>
    <row r="581" ht="15.0" customHeight="1">
      <c r="A581" s="328">
        <f>IFERROR(__xludf.DUMMYFUNCTION("""COMPUTED_VALUE"""),46146.0)</f>
        <v>46146</v>
      </c>
      <c r="B581" s="319" t="str">
        <f>IFERROR(__xludf.DUMMYFUNCTION("""COMPUTED_VALUE"""),"D. 20-39")</f>
        <v>D. 20-39</v>
      </c>
      <c r="C581" s="320">
        <f>IFERROR(__xludf.DUMMYFUNCTION("""COMPUTED_VALUE"""),8947.0)</f>
        <v>8947</v>
      </c>
      <c r="D581" s="320">
        <f>IFERROR(__xludf.DUMMYFUNCTION("""COMPUTED_VALUE"""),12.14)</f>
        <v>12.14</v>
      </c>
      <c r="E581" s="320">
        <f>IFERROR(__xludf.DUMMYFUNCTION("""COMPUTED_VALUE"""),22534.41)</f>
        <v>22534.41</v>
      </c>
      <c r="F581" s="320">
        <f>IFERROR(__xludf.DUMMYFUNCTION("""COMPUTED_VALUE"""),2.5187)</f>
        <v>2.5187</v>
      </c>
      <c r="G581" s="320">
        <f>IFERROR(__xludf.DUMMYFUNCTION("""COMPUTED_VALUE"""),32.19)</f>
        <v>32.19</v>
      </c>
      <c r="H581" s="320">
        <f>IFERROR(__xludf.DUMMYFUNCTION("""COMPUTED_VALUE"""),7.8244)</f>
        <v>7.8244</v>
      </c>
      <c r="I581" s="320">
        <f>IFERROR(__xludf.DUMMYFUNCTION("""COMPUTED_VALUE"""),91.93)</f>
        <v>91.93</v>
      </c>
      <c r="J581" s="320">
        <f>IFERROR(__xludf.DUMMYFUNCTION("""COMPUTED_VALUE"""),54.07)</f>
        <v>54.07</v>
      </c>
      <c r="K581" s="320">
        <f>IFERROR(__xludf.DUMMYFUNCTION("""COMPUTED_VALUE"""),28.15)</f>
        <v>28.15</v>
      </c>
      <c r="L581" s="320">
        <f>IFERROR(__xludf.DUMMYFUNCTION("""COMPUTED_VALUE"""),0.5206)</f>
        <v>0.5206</v>
      </c>
      <c r="M581" s="320">
        <f>IFERROR(__xludf.DUMMYFUNCTION("""COMPUTED_VALUE"""),0.5511)</f>
        <v>0.5511</v>
      </c>
      <c r="N581" s="320">
        <f>IFERROR(__xludf.DUMMYFUNCTION("""COMPUTED_VALUE"""),0.3099)</f>
        <v>0.3099</v>
      </c>
      <c r="O581" s="320">
        <f>IFERROR(__xludf.DUMMYFUNCTION("""COMPUTED_VALUE"""),1.9208)</f>
        <v>1.9208</v>
      </c>
      <c r="P581" s="320">
        <f>IFERROR(__xludf.DUMMYFUNCTION("""COMPUTED_VALUE"""),375.67)</f>
        <v>375.67</v>
      </c>
      <c r="Q581" s="320">
        <f>IFERROR(__xludf.DUMMYFUNCTION("""COMPUTED_VALUE"""),329.99)</f>
        <v>329.99</v>
      </c>
      <c r="R581" s="320">
        <f>IFERROR(__xludf.DUMMYFUNCTION("""COMPUTED_VALUE"""),45.69)</f>
        <v>45.69</v>
      </c>
      <c r="S581" s="320">
        <f>IFERROR(__xludf.DUMMYFUNCTION("""COMPUTED_VALUE"""),160.22)</f>
        <v>160.22</v>
      </c>
      <c r="T581" s="320">
        <f>IFERROR(__xludf.DUMMYFUNCTION("""COMPUTED_VALUE"""),215.45)</f>
        <v>215.45</v>
      </c>
      <c r="U581" s="320">
        <f>IFERROR(__xludf.DUMMYFUNCTION("""COMPUTED_VALUE"""),381.45)</f>
        <v>381.45</v>
      </c>
      <c r="V581" s="320">
        <f>IFERROR(__xludf.DUMMYFUNCTION("""COMPUTED_VALUE"""),7.0554)</f>
        <v>7.0554</v>
      </c>
      <c r="W581" s="320">
        <f>IFERROR(__xludf.DUMMYFUNCTION("""COMPUTED_VALUE"""),42.65)</f>
        <v>42.65</v>
      </c>
      <c r="X581" s="320">
        <f>IFERROR(__xludf.DUMMYFUNCTION("""COMPUTED_VALUE"""),86.0)</f>
        <v>86</v>
      </c>
      <c r="Y581" s="320">
        <f>IFERROR(__xludf.DUMMYFUNCTION("""COMPUTED_VALUE"""),220.0)</f>
        <v>220</v>
      </c>
      <c r="Z581" s="320">
        <f>IFERROR(__xludf.DUMMYFUNCTION("""COMPUTED_VALUE"""),676.0)</f>
        <v>676</v>
      </c>
      <c r="AA581" s="320">
        <f>IFERROR(__xludf.DUMMYFUNCTION("""COMPUTED_VALUE"""),54.2976)</f>
        <v>54.2976</v>
      </c>
      <c r="AB581" s="320">
        <f>IFERROR(__xludf.DUMMYFUNCTION("""COMPUTED_VALUE"""),0.5888)</f>
        <v>0.5888</v>
      </c>
      <c r="AC581" s="320">
        <f>IFERROR(__xludf.DUMMYFUNCTION("""COMPUTED_VALUE"""),16.83)</f>
        <v>16.83</v>
      </c>
      <c r="AD581" s="320">
        <f>IFERROR(__xludf.DUMMYFUNCTION("""COMPUTED_VALUE"""),6.0)</f>
        <v>6</v>
      </c>
      <c r="AE581" s="320">
        <f>IFERROR(__xludf.DUMMYFUNCTION("""COMPUTED_VALUE"""),13.0)</f>
        <v>13</v>
      </c>
      <c r="AF581" s="320">
        <f>IFERROR(__xludf.DUMMYFUNCTION("""COMPUTED_VALUE"""),24.0)</f>
        <v>24</v>
      </c>
      <c r="AG581" s="320">
        <f>IFERROR(__xludf.DUMMYFUNCTION("""COMPUTED_VALUE"""),36.0)</f>
        <v>36</v>
      </c>
      <c r="AH581" s="320">
        <f>IFERROR(__xludf.DUMMYFUNCTION("""COMPUTED_VALUE"""),56.24)</f>
        <v>56.24</v>
      </c>
      <c r="AI581" s="320">
        <f>IFERROR(__xludf.DUMMYFUNCTION("""COMPUTED_VALUE"""),22.09)</f>
        <v>22.09</v>
      </c>
      <c r="AJ581" s="320">
        <f>IFERROR(__xludf.DUMMYFUNCTION("""COMPUTED_VALUE"""),5.36)</f>
        <v>5.36</v>
      </c>
      <c r="AK581" s="320">
        <f>IFERROR(__xludf.DUMMYFUNCTION("""COMPUTED_VALUE"""),0.1718)</f>
        <v>0.1718</v>
      </c>
      <c r="AL581" s="320">
        <f>IFERROR(__xludf.DUMMYFUNCTION("""COMPUTED_VALUE"""),18.55)</f>
        <v>18.55</v>
      </c>
      <c r="AM581" s="320">
        <f>IFERROR(__xludf.DUMMYFUNCTION("""COMPUTED_VALUE"""),311.44)</f>
        <v>311.44</v>
      </c>
      <c r="AN581" s="320">
        <f>IFERROR(__xludf.DUMMYFUNCTION("""COMPUTED_VALUE"""),70.23)</f>
        <v>70.23</v>
      </c>
      <c r="AO581" s="320">
        <f>IFERROR(__xludf.DUMMYFUNCTION("""COMPUTED_VALUE"""),13.03)</f>
        <v>13.03</v>
      </c>
    </row>
    <row r="582" ht="15.0" customHeight="1">
      <c r="A582" s="328">
        <f>IFERROR(__xludf.DUMMYFUNCTION("""COMPUTED_VALUE"""),46146.0)</f>
        <v>46146</v>
      </c>
      <c r="B582" s="319" t="str">
        <f>IFERROR(__xludf.DUMMYFUNCTION("""COMPUTED_VALUE"""),"E. 40-99")</f>
        <v>E. 40-99</v>
      </c>
      <c r="C582" s="320">
        <f>IFERROR(__xludf.DUMMYFUNCTION("""COMPUTED_VALUE"""),3748.0)</f>
        <v>3748</v>
      </c>
      <c r="D582" s="320">
        <f>IFERROR(__xludf.DUMMYFUNCTION("""COMPUTED_VALUE"""),5.09)</f>
        <v>5.09</v>
      </c>
      <c r="E582" s="320">
        <f>IFERROR(__xludf.DUMMYFUNCTION("""COMPUTED_VALUE"""),22476.19)</f>
        <v>22476.19</v>
      </c>
      <c r="F582" s="320">
        <f>IFERROR(__xludf.DUMMYFUNCTION("""COMPUTED_VALUE"""),5.9968)</f>
        <v>5.9968</v>
      </c>
      <c r="G582" s="320">
        <f>IFERROR(__xludf.DUMMYFUNCTION("""COMPUTED_VALUE"""),43.68)</f>
        <v>43.68</v>
      </c>
      <c r="H582" s="320">
        <f>IFERROR(__xludf.DUMMYFUNCTION("""COMPUTED_VALUE"""),13.7301)</f>
        <v>13.7301</v>
      </c>
      <c r="I582" s="320">
        <f>IFERROR(__xludf.DUMMYFUNCTION("""COMPUTED_VALUE"""),146.21)</f>
        <v>146.21</v>
      </c>
      <c r="J582" s="320">
        <f>IFERROR(__xludf.DUMMYFUNCTION("""COMPUTED_VALUE"""),89.03)</f>
        <v>89.03</v>
      </c>
      <c r="K582" s="320">
        <f>IFERROR(__xludf.DUMMYFUNCTION("""COMPUTED_VALUE"""),58.39)</f>
        <v>58.39</v>
      </c>
      <c r="L582" s="320">
        <f>IFERROR(__xludf.DUMMYFUNCTION("""COMPUTED_VALUE"""),0.6558)</f>
        <v>0.6558</v>
      </c>
      <c r="M582" s="320">
        <f>IFERROR(__xludf.DUMMYFUNCTION("""COMPUTED_VALUE"""),0.4301)</f>
        <v>0.4301</v>
      </c>
      <c r="N582" s="320">
        <f>IFERROR(__xludf.DUMMYFUNCTION("""COMPUTED_VALUE"""),0.2425)</f>
        <v>0.2425</v>
      </c>
      <c r="O582" s="320">
        <f>IFERROR(__xludf.DUMMYFUNCTION("""COMPUTED_VALUE"""),1.5248)</f>
        <v>1.5248</v>
      </c>
      <c r="P582" s="320">
        <f>IFERROR(__xludf.DUMMYFUNCTION("""COMPUTED_VALUE"""),737.16)</f>
        <v>737.16</v>
      </c>
      <c r="Q582" s="320">
        <f>IFERROR(__xludf.DUMMYFUNCTION("""COMPUTED_VALUE"""),646.3)</f>
        <v>646.3</v>
      </c>
      <c r="R582" s="320">
        <f>IFERROR(__xludf.DUMMYFUNCTION("""COMPUTED_VALUE"""),90.86)</f>
        <v>90.86</v>
      </c>
      <c r="S582" s="320">
        <f>IFERROR(__xludf.DUMMYFUNCTION("""COMPUTED_VALUE"""),379.08)</f>
        <v>379.08</v>
      </c>
      <c r="T582" s="320">
        <f>IFERROR(__xludf.DUMMYFUNCTION("""COMPUTED_VALUE"""),358.08)</f>
        <v>358.08</v>
      </c>
      <c r="U582" s="320">
        <f>IFERROR(__xludf.DUMMYFUNCTION("""COMPUTED_VALUE"""),764.75)</f>
        <v>764.75</v>
      </c>
      <c r="V582" s="320">
        <f>IFERROR(__xludf.DUMMYFUNCTION("""COMPUTED_VALUE"""),8.5901)</f>
        <v>8.5901</v>
      </c>
      <c r="W582" s="320">
        <f>IFERROR(__xludf.DUMMYFUNCTION("""COMPUTED_VALUE"""),51.42)</f>
        <v>51.42</v>
      </c>
      <c r="X582" s="320">
        <f>IFERROR(__xludf.DUMMYFUNCTION("""COMPUTED_VALUE"""),93.0)</f>
        <v>93</v>
      </c>
      <c r="Y582" s="320">
        <f>IFERROR(__xludf.DUMMYFUNCTION("""COMPUTED_VALUE"""),295.0)</f>
        <v>295</v>
      </c>
      <c r="Z582" s="320">
        <f>IFERROR(__xludf.DUMMYFUNCTION("""COMPUTED_VALUE"""),1046.0)</f>
        <v>1046</v>
      </c>
      <c r="AA582" s="320">
        <f>IFERROR(__xludf.DUMMYFUNCTION("""COMPUTED_VALUE"""),56.9144)</f>
        <v>56.9144</v>
      </c>
      <c r="AB582" s="320">
        <f>IFERROR(__xludf.DUMMYFUNCTION("""COMPUTED_VALUE"""),0.6715)</f>
        <v>0.6715</v>
      </c>
      <c r="AC582" s="320">
        <f>IFERROR(__xludf.DUMMYFUNCTION("""COMPUTED_VALUE"""),34.3)</f>
        <v>34.3</v>
      </c>
      <c r="AD582" s="320">
        <f>IFERROR(__xludf.DUMMYFUNCTION("""COMPUTED_VALUE"""),12.0)</f>
        <v>12</v>
      </c>
      <c r="AE582" s="320">
        <f>IFERROR(__xludf.DUMMYFUNCTION("""COMPUTED_VALUE"""),26.0)</f>
        <v>26</v>
      </c>
      <c r="AF582" s="320">
        <f>IFERROR(__xludf.DUMMYFUNCTION("""COMPUTED_VALUE"""),46.0)</f>
        <v>46</v>
      </c>
      <c r="AG582" s="320">
        <f>IFERROR(__xludf.DUMMYFUNCTION("""COMPUTED_VALUE"""),72.0)</f>
        <v>72</v>
      </c>
      <c r="AH582" s="320">
        <f>IFERROR(__xludf.DUMMYFUNCTION("""COMPUTED_VALUE"""),48.69)</f>
        <v>48.69</v>
      </c>
      <c r="AI582" s="320">
        <f>IFERROR(__xludf.DUMMYFUNCTION("""COMPUTED_VALUE"""),15.26)</f>
        <v>15.26</v>
      </c>
      <c r="AJ582" s="320">
        <f>IFERROR(__xludf.DUMMYFUNCTION("""COMPUTED_VALUE"""),4.0)</f>
        <v>4</v>
      </c>
      <c r="AK582" s="320">
        <f>IFERROR(__xludf.DUMMYFUNCTION("""COMPUTED_VALUE"""),0.1425)</f>
        <v>0.1425</v>
      </c>
      <c r="AL582" s="320">
        <f>IFERROR(__xludf.DUMMYFUNCTION("""COMPUTED_VALUE"""),19.61)</f>
        <v>19.61</v>
      </c>
      <c r="AM582" s="320">
        <f>IFERROR(__xludf.DUMMYFUNCTION("""COMPUTED_VALUE"""),626.7)</f>
        <v>626.7</v>
      </c>
      <c r="AN582" s="320">
        <f>IFERROR(__xludf.DUMMYFUNCTION("""COMPUTED_VALUE"""),70.75)</f>
        <v>70.75</v>
      </c>
      <c r="AO582" s="320">
        <f>IFERROR(__xludf.DUMMYFUNCTION("""COMPUTED_VALUE"""),13.87)</f>
        <v>13.87</v>
      </c>
    </row>
    <row r="583" ht="15.0" customHeight="1">
      <c r="A583" s="328">
        <f>IFERROR(__xludf.DUMMYFUNCTION("""COMPUTED_VALUE"""),46146.0)</f>
        <v>46146</v>
      </c>
      <c r="B583" s="319" t="str">
        <f>IFERROR(__xludf.DUMMYFUNCTION("""COMPUTED_VALUE"""),"F. 100+")</f>
        <v>F. 100+</v>
      </c>
      <c r="C583" s="320">
        <f>IFERROR(__xludf.DUMMYFUNCTION("""COMPUTED_VALUE"""),349.0)</f>
        <v>349</v>
      </c>
      <c r="D583" s="320">
        <f>IFERROR(__xludf.DUMMYFUNCTION("""COMPUTED_VALUE"""),0.47)</f>
        <v>0.47</v>
      </c>
      <c r="E583" s="320">
        <f>IFERROR(__xludf.DUMMYFUNCTION("""COMPUTED_VALUE"""),3901.52)</f>
        <v>3901.52</v>
      </c>
      <c r="F583" s="320">
        <f>IFERROR(__xludf.DUMMYFUNCTION("""COMPUTED_VALUE"""),11.1791)</f>
        <v>11.1791</v>
      </c>
      <c r="G583" s="320">
        <f>IFERROR(__xludf.DUMMYFUNCTION("""COMPUTED_VALUE"""),52.15)</f>
        <v>52.15</v>
      </c>
      <c r="H583" s="320">
        <f>IFERROR(__xludf.DUMMYFUNCTION("""COMPUTED_VALUE"""),21.4369)</f>
        <v>21.4369</v>
      </c>
      <c r="I583" s="320">
        <f>IFERROR(__xludf.DUMMYFUNCTION("""COMPUTED_VALUE"""),260.26)</f>
        <v>260.26</v>
      </c>
      <c r="J583" s="320">
        <f>IFERROR(__xludf.DUMMYFUNCTION("""COMPUTED_VALUE"""),168.4)</f>
        <v>168.4</v>
      </c>
      <c r="K583" s="320">
        <f>IFERROR(__xludf.DUMMYFUNCTION("""COMPUTED_VALUE"""),133.34)</f>
        <v>133.34</v>
      </c>
      <c r="L583" s="320">
        <f>IFERROR(__xludf.DUMMYFUNCTION("""COMPUTED_VALUE"""),0.7918)</f>
        <v>0.7918</v>
      </c>
      <c r="M583" s="320">
        <f>IFERROR(__xludf.DUMMYFUNCTION("""COMPUTED_VALUE"""),0.2953)</f>
        <v>0.2953</v>
      </c>
      <c r="N583" s="320">
        <f>IFERROR(__xludf.DUMMYFUNCTION("""COMPUTED_VALUE"""),0.1792)</f>
        <v>0.1792</v>
      </c>
      <c r="O583" s="320">
        <f>IFERROR(__xludf.DUMMYFUNCTION("""COMPUTED_VALUE"""),1.2629)</f>
        <v>1.2629</v>
      </c>
      <c r="P583" s="320">
        <f>IFERROR(__xludf.DUMMYFUNCTION("""COMPUTED_VALUE"""),1386.39)</f>
        <v>1386.39</v>
      </c>
      <c r="Q583" s="320">
        <f>IFERROR(__xludf.DUMMYFUNCTION("""COMPUTED_VALUE"""),1153.05)</f>
        <v>1153.05</v>
      </c>
      <c r="R583" s="320">
        <f>IFERROR(__xludf.DUMMYFUNCTION("""COMPUTED_VALUE"""),233.34)</f>
        <v>233.34</v>
      </c>
      <c r="S583" s="320">
        <f>IFERROR(__xludf.DUMMYFUNCTION("""COMPUTED_VALUE"""),736.09)</f>
        <v>736.09</v>
      </c>
      <c r="T583" s="320">
        <f>IFERROR(__xludf.DUMMYFUNCTION("""COMPUTED_VALUE"""),650.3)</f>
        <v>650.3</v>
      </c>
      <c r="U583" s="320">
        <f>IFERROR(__xludf.DUMMYFUNCTION("""COMPUTED_VALUE"""),1409.31)</f>
        <v>1409.31</v>
      </c>
      <c r="V583" s="320">
        <f>IFERROR(__xludf.DUMMYFUNCTION("""COMPUTED_VALUE"""),8.3691)</f>
        <v>8.3691</v>
      </c>
      <c r="W583" s="320">
        <f>IFERROR(__xludf.DUMMYFUNCTION("""COMPUTED_VALUE"""),53.09)</f>
        <v>53.09</v>
      </c>
      <c r="X583" s="320">
        <f>IFERROR(__xludf.DUMMYFUNCTION("""COMPUTED_VALUE"""),126.0)</f>
        <v>126</v>
      </c>
      <c r="Y583" s="320">
        <f>IFERROR(__xludf.DUMMYFUNCTION("""COMPUTED_VALUE"""),462.0)</f>
        <v>462</v>
      </c>
      <c r="Z583" s="320">
        <f>IFERROR(__xludf.DUMMYFUNCTION("""COMPUTED_VALUE"""),1527.0)</f>
        <v>1527</v>
      </c>
      <c r="AA583" s="320">
        <f>IFERROR(__xludf.DUMMYFUNCTION("""COMPUTED_VALUE"""),61.2077)</f>
        <v>61.2077</v>
      </c>
      <c r="AB583" s="320">
        <f>IFERROR(__xludf.DUMMYFUNCTION("""COMPUTED_VALUE"""),0.8098)</f>
        <v>0.8098</v>
      </c>
      <c r="AC583" s="320">
        <f>IFERROR(__xludf.DUMMYFUNCTION("""COMPUTED_VALUE"""),89.11)</f>
        <v>89.11</v>
      </c>
      <c r="AD583" s="320">
        <f>IFERROR(__xludf.DUMMYFUNCTION("""COMPUTED_VALUE"""),29.0)</f>
        <v>29</v>
      </c>
      <c r="AE583" s="320">
        <f>IFERROR(__xludf.DUMMYFUNCTION("""COMPUTED_VALUE"""),72.0)</f>
        <v>72</v>
      </c>
      <c r="AF583" s="320">
        <f>IFERROR(__xludf.DUMMYFUNCTION("""COMPUTED_VALUE"""),126.0)</f>
        <v>126</v>
      </c>
      <c r="AG583" s="320">
        <f>IFERROR(__xludf.DUMMYFUNCTION("""COMPUTED_VALUE"""),189.0)</f>
        <v>189</v>
      </c>
      <c r="AH583" s="320">
        <f>IFERROR(__xludf.DUMMYFUNCTION("""COMPUTED_VALUE"""),47.85)</f>
        <v>47.85</v>
      </c>
      <c r="AI583" s="320">
        <f>IFERROR(__xludf.DUMMYFUNCTION("""COMPUTED_VALUE"""),12.32)</f>
        <v>12.32</v>
      </c>
      <c r="AJ583" s="320">
        <f>IFERROR(__xludf.DUMMYFUNCTION("""COMPUTED_VALUE"""),2.58)</f>
        <v>2.58</v>
      </c>
      <c r="AK583" s="320">
        <f>IFERROR(__xludf.DUMMYFUNCTION("""COMPUTED_VALUE"""),0.1146)</f>
        <v>0.1146</v>
      </c>
      <c r="AL583" s="320">
        <f>IFERROR(__xludf.DUMMYFUNCTION("""COMPUTED_VALUE"""),20.14)</f>
        <v>20.14</v>
      </c>
      <c r="AM583" s="320">
        <f>IFERROR(__xludf.DUMMYFUNCTION("""COMPUTED_VALUE"""),1132.91)</f>
        <v>1132.91</v>
      </c>
      <c r="AN583" s="320">
        <f>IFERROR(__xludf.DUMMYFUNCTION("""COMPUTED_VALUE"""),72.08)</f>
        <v>72.08</v>
      </c>
      <c r="AO583" s="320">
        <f>IFERROR(__xludf.DUMMYFUNCTION("""COMPUTED_VALUE"""),14.52)</f>
        <v>14.52</v>
      </c>
    </row>
    <row r="584" ht="15.0" customHeight="1">
      <c r="A584" s="328">
        <f>IFERROR(__xludf.DUMMYFUNCTION("""COMPUTED_VALUE"""),46147.0)</f>
        <v>46147</v>
      </c>
      <c r="B584" s="319" t="str">
        <f>IFERROR(__xludf.DUMMYFUNCTION("""COMPUTED_VALUE"""),"A. 0")</f>
        <v>A. 0</v>
      </c>
      <c r="C584" s="320">
        <f>IFERROR(__xludf.DUMMYFUNCTION("""COMPUTED_VALUE"""),15223.0)</f>
        <v>15223</v>
      </c>
      <c r="D584" s="320">
        <f>IFERROR(__xludf.DUMMYFUNCTION("""COMPUTED_VALUE"""),20.63)</f>
        <v>20.63</v>
      </c>
      <c r="E584" s="320">
        <f>IFERROR(__xludf.DUMMYFUNCTION("""COMPUTED_VALUE"""),28.19)</f>
        <v>28.19</v>
      </c>
      <c r="F584" s="320">
        <f>IFERROR(__xludf.DUMMYFUNCTION("""COMPUTED_VALUE"""),0.0019)</f>
        <v>0.0019</v>
      </c>
      <c r="G584" s="320">
        <f>IFERROR(__xludf.DUMMYFUNCTION("""COMPUTED_VALUE"""),0.09)</f>
        <v>0.09</v>
      </c>
      <c r="H584" s="320">
        <f>IFERROR(__xludf.DUMMYFUNCTION("""COMPUTED_VALUE"""),2.1685)</f>
        <v>2.1685</v>
      </c>
      <c r="I584" s="320">
        <f>IFERROR(__xludf.DUMMYFUNCTION("""COMPUTED_VALUE"""),5.82)</f>
        <v>5.82</v>
      </c>
      <c r="J584" s="320">
        <f>IFERROR(__xludf.DUMMYFUNCTION("""COMPUTED_VALUE"""),2.63)</f>
        <v>2.63</v>
      </c>
      <c r="K584" s="320">
        <f>IFERROR(__xludf.DUMMYFUNCTION("""COMPUTED_VALUE"""),0.02)</f>
        <v>0.02</v>
      </c>
      <c r="L584" s="320">
        <f>IFERROR(__xludf.DUMMYFUNCTION("""COMPUTED_VALUE"""),0.0082)</f>
        <v>0.0082</v>
      </c>
      <c r="M584" s="320">
        <f>IFERROR(__xludf.DUMMYFUNCTION("""COMPUTED_VALUE"""),0.9923)</f>
        <v>0.9923</v>
      </c>
      <c r="N584" s="320">
        <f>IFERROR(__xludf.DUMMYFUNCTION("""COMPUTED_VALUE"""),0.8964)</f>
        <v>0.8964</v>
      </c>
      <c r="O584" s="320">
        <f>IFERROR(__xludf.DUMMYFUNCTION("""COMPUTED_VALUE"""),122.2324)</f>
        <v>122.2324</v>
      </c>
      <c r="P584" s="320">
        <f>IFERROR(__xludf.DUMMYFUNCTION("""COMPUTED_VALUE"""),26.11)</f>
        <v>26.11</v>
      </c>
      <c r="Q584" s="320">
        <f>IFERROR(__xludf.DUMMYFUNCTION("""COMPUTED_VALUE"""),26.05)</f>
        <v>26.05</v>
      </c>
      <c r="R584" s="320">
        <f>IFERROR(__xludf.DUMMYFUNCTION("""COMPUTED_VALUE"""),0.06)</f>
        <v>0.06</v>
      </c>
      <c r="S584" s="320">
        <f>IFERROR(__xludf.DUMMYFUNCTION("""COMPUTED_VALUE"""),0.27)</f>
        <v>0.27</v>
      </c>
      <c r="T584" s="320">
        <f>IFERROR(__xludf.DUMMYFUNCTION("""COMPUTED_VALUE"""),25.84)</f>
        <v>25.84</v>
      </c>
      <c r="U584" s="320">
        <f>IFERROR(__xludf.DUMMYFUNCTION("""COMPUTED_VALUE"""),1.98)</f>
        <v>1.98</v>
      </c>
      <c r="V584" s="320">
        <f>IFERROR(__xludf.DUMMYFUNCTION("""COMPUTED_VALUE"""),0.7543)</f>
        <v>0.7543</v>
      </c>
      <c r="W584" s="320">
        <f>IFERROR(__xludf.DUMMYFUNCTION("""COMPUTED_VALUE"""),1.02)</f>
        <v>1.02</v>
      </c>
      <c r="X584" s="320">
        <f>IFERROR(__xludf.DUMMYFUNCTION("""COMPUTED_VALUE"""),164.0)</f>
        <v>164</v>
      </c>
      <c r="Y584" s="320">
        <f>IFERROR(__xludf.DUMMYFUNCTION("""COMPUTED_VALUE"""),1238.0)</f>
        <v>1238</v>
      </c>
      <c r="Z584" s="320">
        <f>IFERROR(__xludf.DUMMYFUNCTION("""COMPUTED_VALUE"""),8064.0)</f>
        <v>8064</v>
      </c>
      <c r="AA584" s="320">
        <f>IFERROR(__xludf.DUMMYFUNCTION("""COMPUTED_VALUE"""),49.7908)</f>
        <v>49.7908</v>
      </c>
      <c r="AB584" s="320">
        <f>IFERROR(__xludf.DUMMYFUNCTION("""COMPUTED_VALUE"""),0.5099)</f>
        <v>0.5099</v>
      </c>
      <c r="AC584" s="106"/>
      <c r="AD584" s="106"/>
      <c r="AE584" s="106"/>
      <c r="AF584" s="106"/>
      <c r="AG584" s="106"/>
      <c r="AH584" s="320">
        <f>IFERROR(__xludf.DUMMYFUNCTION("""COMPUTED_VALUE"""),0.0)</f>
        <v>0</v>
      </c>
      <c r="AI584" s="320">
        <f>IFERROR(__xludf.DUMMYFUNCTION("""COMPUTED_VALUE"""),0.0)</f>
        <v>0</v>
      </c>
      <c r="AJ584" s="320">
        <f>IFERROR(__xludf.DUMMYFUNCTION("""COMPUTED_VALUE"""),0.0)</f>
        <v>0</v>
      </c>
      <c r="AK584" s="320">
        <f>IFERROR(__xludf.DUMMYFUNCTION("""COMPUTED_VALUE"""),0.2544)</f>
        <v>0.2544</v>
      </c>
      <c r="AL584" s="320">
        <f>IFERROR(__xludf.DUMMYFUNCTION("""COMPUTED_VALUE"""),15.15)</f>
        <v>15.15</v>
      </c>
      <c r="AM584" s="320">
        <f>IFERROR(__xludf.DUMMYFUNCTION("""COMPUTED_VALUE"""),10.91)</f>
        <v>10.91</v>
      </c>
      <c r="AN584" s="331"/>
      <c r="AO584" s="331"/>
    </row>
    <row r="585" ht="15.0" customHeight="1">
      <c r="A585" s="328">
        <f>IFERROR(__xludf.DUMMYFUNCTION("""COMPUTED_VALUE"""),46147.0)</f>
        <v>46147</v>
      </c>
      <c r="B585" s="319" t="str">
        <f>IFERROR(__xludf.DUMMYFUNCTION("""COMPUTED_VALUE"""),"B. 1-9")</f>
        <v>B. 1-9</v>
      </c>
      <c r="C585" s="320">
        <f>IFERROR(__xludf.DUMMYFUNCTION("""COMPUTED_VALUE"""),30366.0)</f>
        <v>30366</v>
      </c>
      <c r="D585" s="320">
        <f>IFERROR(__xludf.DUMMYFUNCTION("""COMPUTED_VALUE"""),41.14)</f>
        <v>41.14</v>
      </c>
      <c r="E585" s="320">
        <f>IFERROR(__xludf.DUMMYFUNCTION("""COMPUTED_VALUE"""),6064.82)</f>
        <v>6064.82</v>
      </c>
      <c r="F585" s="320">
        <f>IFERROR(__xludf.DUMMYFUNCTION("""COMPUTED_VALUE"""),0.1997)</f>
        <v>0.1997</v>
      </c>
      <c r="G585" s="320">
        <f>IFERROR(__xludf.DUMMYFUNCTION("""COMPUTED_VALUE"""),6.11)</f>
        <v>6.11</v>
      </c>
      <c r="H585" s="320">
        <f>IFERROR(__xludf.DUMMYFUNCTION("""COMPUTED_VALUE"""),3.2677)</f>
        <v>3.2677</v>
      </c>
      <c r="I585" s="320">
        <f>IFERROR(__xludf.DUMMYFUNCTION("""COMPUTED_VALUE"""),29.72)</f>
        <v>29.72</v>
      </c>
      <c r="J585" s="320">
        <f>IFERROR(__xludf.DUMMYFUNCTION("""COMPUTED_VALUE"""),15.65)</f>
        <v>15.65</v>
      </c>
      <c r="K585" s="320">
        <f>IFERROR(__xludf.DUMMYFUNCTION("""COMPUTED_VALUE"""),5.02)</f>
        <v>5.02</v>
      </c>
      <c r="L585" s="320">
        <f>IFERROR(__xludf.DUMMYFUNCTION("""COMPUTED_VALUE"""),0.3206)</f>
        <v>0.3206</v>
      </c>
      <c r="M585" s="320">
        <f>IFERROR(__xludf.DUMMYFUNCTION("""COMPUTED_VALUE"""),0.7536)</f>
        <v>0.7536</v>
      </c>
      <c r="N585" s="320">
        <f>IFERROR(__xludf.DUMMYFUNCTION("""COMPUTED_VALUE"""),0.5251)</f>
        <v>0.5251</v>
      </c>
      <c r="O585" s="320">
        <f>IFERROR(__xludf.DUMMYFUNCTION("""COMPUTED_VALUE"""),3.1188)</f>
        <v>3.1188</v>
      </c>
      <c r="P585" s="320">
        <f>IFERROR(__xludf.DUMMYFUNCTION("""COMPUTED_VALUE"""),66.62)</f>
        <v>66.62</v>
      </c>
      <c r="Q585" s="320">
        <f>IFERROR(__xludf.DUMMYFUNCTION("""COMPUTED_VALUE"""),57.93)</f>
        <v>57.93</v>
      </c>
      <c r="R585" s="320">
        <f>IFERROR(__xludf.DUMMYFUNCTION("""COMPUTED_VALUE"""),8.68)</f>
        <v>8.68</v>
      </c>
      <c r="S585" s="320">
        <f>IFERROR(__xludf.DUMMYFUNCTION("""COMPUTED_VALUE"""),13.59)</f>
        <v>13.59</v>
      </c>
      <c r="T585" s="320">
        <f>IFERROR(__xludf.DUMMYFUNCTION("""COMPUTED_VALUE"""),53.02)</f>
        <v>53.02</v>
      </c>
      <c r="U585" s="320">
        <f>IFERROR(__xludf.DUMMYFUNCTION("""COMPUTED_VALUE"""),71.93)</f>
        <v>71.93</v>
      </c>
      <c r="V585" s="320">
        <f>IFERROR(__xludf.DUMMYFUNCTION("""COMPUTED_VALUE"""),4.597)</f>
        <v>4.597</v>
      </c>
      <c r="W585" s="320">
        <f>IFERROR(__xludf.DUMMYFUNCTION("""COMPUTED_VALUE"""),20.41)</f>
        <v>20.41</v>
      </c>
      <c r="X585" s="320">
        <f>IFERROR(__xludf.DUMMYFUNCTION("""COMPUTED_VALUE"""),89.0)</f>
        <v>89</v>
      </c>
      <c r="Y585" s="320">
        <f>IFERROR(__xludf.DUMMYFUNCTION("""COMPUTED_VALUE"""),217.0)</f>
        <v>217</v>
      </c>
      <c r="Z585" s="320">
        <f>IFERROR(__xludf.DUMMYFUNCTION("""COMPUTED_VALUE"""),915.0)</f>
        <v>915</v>
      </c>
      <c r="AA585" s="320">
        <f>IFERROR(__xludf.DUMMYFUNCTION("""COMPUTED_VALUE"""),49.711)</f>
        <v>49.711</v>
      </c>
      <c r="AB585" s="320">
        <f>IFERROR(__xludf.DUMMYFUNCTION("""COMPUTED_VALUE"""),0.4448)</f>
        <v>0.4448</v>
      </c>
      <c r="AC585" s="320">
        <f>IFERROR(__xludf.DUMMYFUNCTION("""COMPUTED_VALUE"""),3.43)</f>
        <v>3.43</v>
      </c>
      <c r="AD585" s="320">
        <f>IFERROR(__xludf.DUMMYFUNCTION("""COMPUTED_VALUE"""),1.0)</f>
        <v>1</v>
      </c>
      <c r="AE585" s="320">
        <f>IFERROR(__xludf.DUMMYFUNCTION("""COMPUTED_VALUE"""),2.0)</f>
        <v>2</v>
      </c>
      <c r="AF585" s="320">
        <f>IFERROR(__xludf.DUMMYFUNCTION("""COMPUTED_VALUE"""),4.0)</f>
        <v>4</v>
      </c>
      <c r="AG585" s="320">
        <f>IFERROR(__xludf.DUMMYFUNCTION("""COMPUTED_VALUE"""),8.0)</f>
        <v>8</v>
      </c>
      <c r="AH585" s="320">
        <f>IFERROR(__xludf.DUMMYFUNCTION("""COMPUTED_VALUE"""),65.31)</f>
        <v>65.31</v>
      </c>
      <c r="AI585" s="320">
        <f>IFERROR(__xludf.DUMMYFUNCTION("""COMPUTED_VALUE"""),23.77)</f>
        <v>23.77</v>
      </c>
      <c r="AJ585" s="320">
        <f>IFERROR(__xludf.DUMMYFUNCTION("""COMPUTED_VALUE"""),6.59)</f>
        <v>6.59</v>
      </c>
      <c r="AK585" s="320">
        <f>IFERROR(__xludf.DUMMYFUNCTION("""COMPUTED_VALUE"""),0.2059)</f>
        <v>0.2059</v>
      </c>
      <c r="AL585" s="320">
        <f>IFERROR(__xludf.DUMMYFUNCTION("""COMPUTED_VALUE"""),18.06)</f>
        <v>18.06</v>
      </c>
      <c r="AM585" s="320">
        <f>IFERROR(__xludf.DUMMYFUNCTION("""COMPUTED_VALUE"""),39.88)</f>
        <v>39.88</v>
      </c>
      <c r="AN585" s="320">
        <f>IFERROR(__xludf.DUMMYFUNCTION("""COMPUTED_VALUE"""),68.06)</f>
        <v>68.06</v>
      </c>
      <c r="AO585" s="320">
        <f>IFERROR(__xludf.DUMMYFUNCTION("""COMPUTED_VALUE"""),12.29)</f>
        <v>12.29</v>
      </c>
    </row>
    <row r="586" ht="15.0" customHeight="1">
      <c r="A586" s="328">
        <f>IFERROR(__xludf.DUMMYFUNCTION("""COMPUTED_VALUE"""),46147.0)</f>
        <v>46147</v>
      </c>
      <c r="B586" s="319" t="str">
        <f>IFERROR(__xludf.DUMMYFUNCTION("""COMPUTED_VALUE"""),"C. 10-19")</f>
        <v>C. 10-19</v>
      </c>
      <c r="C586" s="320">
        <f>IFERROR(__xludf.DUMMYFUNCTION("""COMPUTED_VALUE"""),16271.0)</f>
        <v>16271</v>
      </c>
      <c r="D586" s="320">
        <f>IFERROR(__xludf.DUMMYFUNCTION("""COMPUTED_VALUE"""),22.05)</f>
        <v>22.05</v>
      </c>
      <c r="E586" s="320">
        <f>IFERROR(__xludf.DUMMYFUNCTION("""COMPUTED_VALUE"""),15296.82)</f>
        <v>15296.82</v>
      </c>
      <c r="F586" s="320">
        <f>IFERROR(__xludf.DUMMYFUNCTION("""COMPUTED_VALUE"""),0.9401)</f>
        <v>0.9401</v>
      </c>
      <c r="G586" s="320">
        <f>IFERROR(__xludf.DUMMYFUNCTION("""COMPUTED_VALUE"""),19.89)</f>
        <v>19.89</v>
      </c>
      <c r="H586" s="320">
        <f>IFERROR(__xludf.DUMMYFUNCTION("""COMPUTED_VALUE"""),4.7271)</f>
        <v>4.7271</v>
      </c>
      <c r="I586" s="320">
        <f>IFERROR(__xludf.DUMMYFUNCTION("""COMPUTED_VALUE"""),54.51)</f>
        <v>54.51</v>
      </c>
      <c r="J586" s="320">
        <f>IFERROR(__xludf.DUMMYFUNCTION("""COMPUTED_VALUE"""),30.52)</f>
        <v>30.52</v>
      </c>
      <c r="K586" s="320">
        <f>IFERROR(__xludf.DUMMYFUNCTION("""COMPUTED_VALUE"""),13.01)</f>
        <v>13.01</v>
      </c>
      <c r="L586" s="320">
        <f>IFERROR(__xludf.DUMMYFUNCTION("""COMPUTED_VALUE"""),0.4263)</f>
        <v>0.4263</v>
      </c>
      <c r="M586" s="320">
        <f>IFERROR(__xludf.DUMMYFUNCTION("""COMPUTED_VALUE"""),0.6408)</f>
        <v>0.6408</v>
      </c>
      <c r="N586" s="320">
        <f>IFERROR(__xludf.DUMMYFUNCTION("""COMPUTED_VALUE"""),0.3774)</f>
        <v>0.3774</v>
      </c>
      <c r="O586" s="320">
        <f>IFERROR(__xludf.DUMMYFUNCTION("""COMPUTED_VALUE"""),2.3458)</f>
        <v>2.3458</v>
      </c>
      <c r="P586" s="320">
        <f>IFERROR(__xludf.DUMMYFUNCTION("""COMPUTED_VALUE"""),161.17)</f>
        <v>161.17</v>
      </c>
      <c r="Q586" s="320">
        <f>IFERROR(__xludf.DUMMYFUNCTION("""COMPUTED_VALUE"""),139.38)</f>
        <v>139.38</v>
      </c>
      <c r="R586" s="320">
        <f>IFERROR(__xludf.DUMMYFUNCTION("""COMPUTED_VALUE"""),21.8)</f>
        <v>21.8</v>
      </c>
      <c r="S586" s="320">
        <f>IFERROR(__xludf.DUMMYFUNCTION("""COMPUTED_VALUE"""),61.74)</f>
        <v>61.74</v>
      </c>
      <c r="T586" s="320">
        <f>IFERROR(__xludf.DUMMYFUNCTION("""COMPUTED_VALUE"""),99.43)</f>
        <v>99.43</v>
      </c>
      <c r="U586" s="320">
        <f>IFERROR(__xludf.DUMMYFUNCTION("""COMPUTED_VALUE"""),172.05)</f>
        <v>172.05</v>
      </c>
      <c r="V586" s="320">
        <f>IFERROR(__xludf.DUMMYFUNCTION("""COMPUTED_VALUE"""),5.6372)</f>
        <v>5.6372</v>
      </c>
      <c r="W586" s="320">
        <f>IFERROR(__xludf.DUMMYFUNCTION("""COMPUTED_VALUE"""),38.31)</f>
        <v>38.31</v>
      </c>
      <c r="X586" s="320">
        <f>IFERROR(__xludf.DUMMYFUNCTION("""COMPUTED_VALUE"""),83.0)</f>
        <v>83</v>
      </c>
      <c r="Y586" s="320">
        <f>IFERROR(__xludf.DUMMYFUNCTION("""COMPUTED_VALUE"""),198.0)</f>
        <v>198</v>
      </c>
      <c r="Z586" s="320">
        <f>IFERROR(__xludf.DUMMYFUNCTION("""COMPUTED_VALUE"""),625.0)</f>
        <v>625</v>
      </c>
      <c r="AA586" s="320">
        <f>IFERROR(__xludf.DUMMYFUNCTION("""COMPUTED_VALUE"""),52.3391)</f>
        <v>52.3391</v>
      </c>
      <c r="AB586" s="320">
        <f>IFERROR(__xludf.DUMMYFUNCTION("""COMPUTED_VALUE"""),0.5156)</f>
        <v>0.5156</v>
      </c>
      <c r="AC586" s="320">
        <f>IFERROR(__xludf.DUMMYFUNCTION("""COMPUTED_VALUE"""),8.3)</f>
        <v>8.3</v>
      </c>
      <c r="AD586" s="320">
        <f>IFERROR(__xludf.DUMMYFUNCTION("""COMPUTED_VALUE"""),2.0)</f>
        <v>2</v>
      </c>
      <c r="AE586" s="320">
        <f>IFERROR(__xludf.DUMMYFUNCTION("""COMPUTED_VALUE"""),6.0)</f>
        <v>6</v>
      </c>
      <c r="AF586" s="320">
        <f>IFERROR(__xludf.DUMMYFUNCTION("""COMPUTED_VALUE"""),12.0)</f>
        <v>12</v>
      </c>
      <c r="AG586" s="320">
        <f>IFERROR(__xludf.DUMMYFUNCTION("""COMPUTED_VALUE"""),19.0)</f>
        <v>19</v>
      </c>
      <c r="AH586" s="320">
        <f>IFERROR(__xludf.DUMMYFUNCTION("""COMPUTED_VALUE"""),51.1)</f>
        <v>51.1</v>
      </c>
      <c r="AI586" s="320">
        <f>IFERROR(__xludf.DUMMYFUNCTION("""COMPUTED_VALUE"""),22.66)</f>
        <v>22.66</v>
      </c>
      <c r="AJ586" s="320">
        <f>IFERROR(__xludf.DUMMYFUNCTION("""COMPUTED_VALUE"""),3.74)</f>
        <v>3.74</v>
      </c>
      <c r="AK586" s="320">
        <f>IFERROR(__xludf.DUMMYFUNCTION("""COMPUTED_VALUE"""),0.1825)</f>
        <v>0.1825</v>
      </c>
      <c r="AL586" s="320">
        <f>IFERROR(__xludf.DUMMYFUNCTION("""COMPUTED_VALUE"""),18.64)</f>
        <v>18.64</v>
      </c>
      <c r="AM586" s="320">
        <f>IFERROR(__xludf.DUMMYFUNCTION("""COMPUTED_VALUE"""),120.73)</f>
        <v>120.73</v>
      </c>
      <c r="AN586" s="320">
        <f>IFERROR(__xludf.DUMMYFUNCTION("""COMPUTED_VALUE"""),71.14)</f>
        <v>71.14</v>
      </c>
      <c r="AO586" s="320">
        <f>IFERROR(__xludf.DUMMYFUNCTION("""COMPUTED_VALUE"""),13.26)</f>
        <v>13.26</v>
      </c>
    </row>
    <row r="587" ht="15.0" customHeight="1">
      <c r="A587" s="328">
        <f>IFERROR(__xludf.DUMMYFUNCTION("""COMPUTED_VALUE"""),46147.0)</f>
        <v>46147</v>
      </c>
      <c r="B587" s="319" t="str">
        <f>IFERROR(__xludf.DUMMYFUNCTION("""COMPUTED_VALUE"""),"D. 20-39")</f>
        <v>D. 20-39</v>
      </c>
      <c r="C587" s="320">
        <f>IFERROR(__xludf.DUMMYFUNCTION("""COMPUTED_VALUE"""),8310.0)</f>
        <v>8310</v>
      </c>
      <c r="D587" s="320">
        <f>IFERROR(__xludf.DUMMYFUNCTION("""COMPUTED_VALUE"""),11.26)</f>
        <v>11.26</v>
      </c>
      <c r="E587" s="320">
        <f>IFERROR(__xludf.DUMMYFUNCTION("""COMPUTED_VALUE"""),21023.43)</f>
        <v>21023.43</v>
      </c>
      <c r="F587" s="320">
        <f>IFERROR(__xludf.DUMMYFUNCTION("""COMPUTED_VALUE"""),2.5299)</f>
        <v>2.5299</v>
      </c>
      <c r="G587" s="320">
        <f>IFERROR(__xludf.DUMMYFUNCTION("""COMPUTED_VALUE"""),33.04)</f>
        <v>33.04</v>
      </c>
      <c r="H587" s="320">
        <f>IFERROR(__xludf.DUMMYFUNCTION("""COMPUTED_VALUE"""),7.656)</f>
        <v>7.656</v>
      </c>
      <c r="I587" s="320">
        <f>IFERROR(__xludf.DUMMYFUNCTION("""COMPUTED_VALUE"""),82.42)</f>
        <v>82.42</v>
      </c>
      <c r="J587" s="320">
        <f>IFERROR(__xludf.DUMMYFUNCTION("""COMPUTED_VALUE"""),48.62)</f>
        <v>48.62</v>
      </c>
      <c r="K587" s="320">
        <f>IFERROR(__xludf.DUMMYFUNCTION("""COMPUTED_VALUE"""),26.77)</f>
        <v>26.77</v>
      </c>
      <c r="L587" s="320">
        <f>IFERROR(__xludf.DUMMYFUNCTION("""COMPUTED_VALUE"""),0.5506)</f>
        <v>0.5506</v>
      </c>
      <c r="M587" s="320">
        <f>IFERROR(__xludf.DUMMYFUNCTION("""COMPUTED_VALUE"""),0.5235)</f>
        <v>0.5235</v>
      </c>
      <c r="N587" s="320">
        <f>IFERROR(__xludf.DUMMYFUNCTION("""COMPUTED_VALUE"""),0.2904)</f>
        <v>0.2904</v>
      </c>
      <c r="O587" s="320">
        <f>IFERROR(__xludf.DUMMYFUNCTION("""COMPUTED_VALUE"""),1.8164)</f>
        <v>1.8164</v>
      </c>
      <c r="P587" s="320">
        <f>IFERROR(__xludf.DUMMYFUNCTION("""COMPUTED_VALUE"""),342.33)</f>
        <v>342.33</v>
      </c>
      <c r="Q587" s="320">
        <f>IFERROR(__xludf.DUMMYFUNCTION("""COMPUTED_VALUE"""),300.6)</f>
        <v>300.6</v>
      </c>
      <c r="R587" s="320">
        <f>IFERROR(__xludf.DUMMYFUNCTION("""COMPUTED_VALUE"""),41.72)</f>
        <v>41.72</v>
      </c>
      <c r="S587" s="320">
        <f>IFERROR(__xludf.DUMMYFUNCTION("""COMPUTED_VALUE"""),167.13)</f>
        <v>167.13</v>
      </c>
      <c r="T587" s="320">
        <f>IFERROR(__xludf.DUMMYFUNCTION("""COMPUTED_VALUE"""),175.2)</f>
        <v>175.2</v>
      </c>
      <c r="U587" s="320">
        <f>IFERROR(__xludf.DUMMYFUNCTION("""COMPUTED_VALUE"""),351.47)</f>
        <v>351.47</v>
      </c>
      <c r="V587" s="320">
        <f>IFERROR(__xludf.DUMMYFUNCTION("""COMPUTED_VALUE"""),7.2291)</f>
        <v>7.2291</v>
      </c>
      <c r="W587" s="320">
        <f>IFERROR(__xludf.DUMMYFUNCTION("""COMPUTED_VALUE"""),48.82)</f>
        <v>48.82</v>
      </c>
      <c r="X587" s="320">
        <f>IFERROR(__xludf.DUMMYFUNCTION("""COMPUTED_VALUE"""),90.0)</f>
        <v>90</v>
      </c>
      <c r="Y587" s="320">
        <f>IFERROR(__xludf.DUMMYFUNCTION("""COMPUTED_VALUE"""),229.0)</f>
        <v>229</v>
      </c>
      <c r="Z587" s="320">
        <f>IFERROR(__xludf.DUMMYFUNCTION("""COMPUTED_VALUE"""),730.0)</f>
        <v>730</v>
      </c>
      <c r="AA587" s="320">
        <f>IFERROR(__xludf.DUMMYFUNCTION("""COMPUTED_VALUE"""),54.5071)</f>
        <v>54.5071</v>
      </c>
      <c r="AB587" s="320">
        <f>IFERROR(__xludf.DUMMYFUNCTION("""COMPUTED_VALUE"""),0.6092)</f>
        <v>0.6092</v>
      </c>
      <c r="AC587" s="320">
        <f>IFERROR(__xludf.DUMMYFUNCTION("""COMPUTED_VALUE"""),15.94)</f>
        <v>15.94</v>
      </c>
      <c r="AD587" s="320">
        <f>IFERROR(__xludf.DUMMYFUNCTION("""COMPUTED_VALUE"""),5.0)</f>
        <v>5</v>
      </c>
      <c r="AE587" s="320">
        <f>IFERROR(__xludf.DUMMYFUNCTION("""COMPUTED_VALUE"""),11.0)</f>
        <v>11</v>
      </c>
      <c r="AF587" s="320">
        <f>IFERROR(__xludf.DUMMYFUNCTION("""COMPUTED_VALUE"""),23.0)</f>
        <v>23</v>
      </c>
      <c r="AG587" s="320">
        <f>IFERROR(__xludf.DUMMYFUNCTION("""COMPUTED_VALUE"""),35.0)</f>
        <v>35</v>
      </c>
      <c r="AH587" s="320">
        <f>IFERROR(__xludf.DUMMYFUNCTION("""COMPUTED_VALUE"""),52.11)</f>
        <v>52.11</v>
      </c>
      <c r="AI587" s="320">
        <f>IFERROR(__xludf.DUMMYFUNCTION("""COMPUTED_VALUE"""),20.52)</f>
        <v>20.52</v>
      </c>
      <c r="AJ587" s="320">
        <f>IFERROR(__xludf.DUMMYFUNCTION("""COMPUTED_VALUE"""),5.75)</f>
        <v>5.75</v>
      </c>
      <c r="AK587" s="320">
        <f>IFERROR(__xludf.DUMMYFUNCTION("""COMPUTED_VALUE"""),0.1703)</f>
        <v>0.1703</v>
      </c>
      <c r="AL587" s="320">
        <f>IFERROR(__xludf.DUMMYFUNCTION("""COMPUTED_VALUE"""),18.81)</f>
        <v>18.81</v>
      </c>
      <c r="AM587" s="320">
        <f>IFERROR(__xludf.DUMMYFUNCTION("""COMPUTED_VALUE"""),281.79)</f>
        <v>281.79</v>
      </c>
      <c r="AN587" s="320">
        <f>IFERROR(__xludf.DUMMYFUNCTION("""COMPUTED_VALUE"""),71.0)</f>
        <v>71</v>
      </c>
      <c r="AO587" s="320">
        <f>IFERROR(__xludf.DUMMYFUNCTION("""COMPUTED_VALUE"""),13.36)</f>
        <v>13.36</v>
      </c>
    </row>
    <row r="588" ht="15.0" customHeight="1">
      <c r="A588" s="328">
        <f>IFERROR(__xludf.DUMMYFUNCTION("""COMPUTED_VALUE"""),46147.0)</f>
        <v>46147</v>
      </c>
      <c r="B588" s="319" t="str">
        <f>IFERROR(__xludf.DUMMYFUNCTION("""COMPUTED_VALUE"""),"E. 40-99")</f>
        <v>E. 40-99</v>
      </c>
      <c r="C588" s="320">
        <f>IFERROR(__xludf.DUMMYFUNCTION("""COMPUTED_VALUE"""),3310.0)</f>
        <v>3310</v>
      </c>
      <c r="D588" s="320">
        <f>IFERROR(__xludf.DUMMYFUNCTION("""COMPUTED_VALUE"""),4.48)</f>
        <v>4.48</v>
      </c>
      <c r="E588" s="320">
        <f>IFERROR(__xludf.DUMMYFUNCTION("""COMPUTED_VALUE"""),18011.25)</f>
        <v>18011.25</v>
      </c>
      <c r="F588" s="320">
        <f>IFERROR(__xludf.DUMMYFUNCTION("""COMPUTED_VALUE"""),5.4415)</f>
        <v>5.4415</v>
      </c>
      <c r="G588" s="320">
        <f>IFERROR(__xludf.DUMMYFUNCTION("""COMPUTED_VALUE"""),44.74)</f>
        <v>44.74</v>
      </c>
      <c r="H588" s="320">
        <f>IFERROR(__xludf.DUMMYFUNCTION("""COMPUTED_VALUE"""),12.1615)</f>
        <v>12.1615</v>
      </c>
      <c r="I588" s="320">
        <f>IFERROR(__xludf.DUMMYFUNCTION("""COMPUTED_VALUE"""),127.15)</f>
        <v>127.15</v>
      </c>
      <c r="J588" s="320">
        <f>IFERROR(__xludf.DUMMYFUNCTION("""COMPUTED_VALUE"""),77.57)</f>
        <v>77.57</v>
      </c>
      <c r="K588" s="320">
        <f>IFERROR(__xludf.DUMMYFUNCTION("""COMPUTED_VALUE"""),52.09)</f>
        <v>52.09</v>
      </c>
      <c r="L588" s="320">
        <f>IFERROR(__xludf.DUMMYFUNCTION("""COMPUTED_VALUE"""),0.6716)</f>
        <v>0.6716</v>
      </c>
      <c r="M588" s="320">
        <f>IFERROR(__xludf.DUMMYFUNCTION("""COMPUTED_VALUE"""),0.4144)</f>
        <v>0.4144</v>
      </c>
      <c r="N588" s="320">
        <f>IFERROR(__xludf.DUMMYFUNCTION("""COMPUTED_VALUE"""),0.2328)</f>
        <v>0.2328</v>
      </c>
      <c r="O588" s="320">
        <f>IFERROR(__xludf.DUMMYFUNCTION("""COMPUTED_VALUE"""),1.489)</f>
        <v>1.489</v>
      </c>
      <c r="P588" s="320">
        <f>IFERROR(__xludf.DUMMYFUNCTION("""COMPUTED_VALUE"""),653.24)</f>
        <v>653.24</v>
      </c>
      <c r="Q588" s="320">
        <f>IFERROR(__xludf.DUMMYFUNCTION("""COMPUTED_VALUE"""),563.15)</f>
        <v>563.15</v>
      </c>
      <c r="R588" s="320">
        <f>IFERROR(__xludf.DUMMYFUNCTION("""COMPUTED_VALUE"""),90.09)</f>
        <v>90.09</v>
      </c>
      <c r="S588" s="320">
        <f>IFERROR(__xludf.DUMMYFUNCTION("""COMPUTED_VALUE"""),344.16)</f>
        <v>344.16</v>
      </c>
      <c r="T588" s="320">
        <f>IFERROR(__xludf.DUMMYFUNCTION("""COMPUTED_VALUE"""),309.07)</f>
        <v>309.07</v>
      </c>
      <c r="U588" s="320">
        <f>IFERROR(__xludf.DUMMYFUNCTION("""COMPUTED_VALUE"""),669.38)</f>
        <v>669.38</v>
      </c>
      <c r="V588" s="320">
        <f>IFERROR(__xludf.DUMMYFUNCTION("""COMPUTED_VALUE"""),8.6296)</f>
        <v>8.6296</v>
      </c>
      <c r="W588" s="320">
        <f>IFERROR(__xludf.DUMMYFUNCTION("""COMPUTED_VALUE"""),52.69)</f>
        <v>52.69</v>
      </c>
      <c r="X588" s="320">
        <f>IFERROR(__xludf.DUMMYFUNCTION("""COMPUTED_VALUE"""),95.0)</f>
        <v>95</v>
      </c>
      <c r="Y588" s="320">
        <f>IFERROR(__xludf.DUMMYFUNCTION("""COMPUTED_VALUE"""),281.0)</f>
        <v>281</v>
      </c>
      <c r="Z588" s="320">
        <f>IFERROR(__xludf.DUMMYFUNCTION("""COMPUTED_VALUE"""),881.0)</f>
        <v>881</v>
      </c>
      <c r="AA588" s="320">
        <f>IFERROR(__xludf.DUMMYFUNCTION("""COMPUTED_VALUE"""),57.4677)</f>
        <v>57.4677</v>
      </c>
      <c r="AB588" s="320">
        <f>IFERROR(__xludf.DUMMYFUNCTION("""COMPUTED_VALUE"""),0.743)</f>
        <v>0.743</v>
      </c>
      <c r="AC588" s="320">
        <f>IFERROR(__xludf.DUMMYFUNCTION("""COMPUTED_VALUE"""),34.75)</f>
        <v>34.75</v>
      </c>
      <c r="AD588" s="320">
        <f>IFERROR(__xludf.DUMMYFUNCTION("""COMPUTED_VALUE"""),11.0)</f>
        <v>11</v>
      </c>
      <c r="AE588" s="320">
        <f>IFERROR(__xludf.DUMMYFUNCTION("""COMPUTED_VALUE"""),25.0)</f>
        <v>25</v>
      </c>
      <c r="AF588" s="320">
        <f>IFERROR(__xludf.DUMMYFUNCTION("""COMPUTED_VALUE"""),49.0)</f>
        <v>49</v>
      </c>
      <c r="AG588" s="320">
        <f>IFERROR(__xludf.DUMMYFUNCTION("""COMPUTED_VALUE"""),75.0)</f>
        <v>75</v>
      </c>
      <c r="AH588" s="320">
        <f>IFERROR(__xludf.DUMMYFUNCTION("""COMPUTED_VALUE"""),46.98)</f>
        <v>46.98</v>
      </c>
      <c r="AI588" s="320">
        <f>IFERROR(__xludf.DUMMYFUNCTION("""COMPUTED_VALUE"""),17.22)</f>
        <v>17.22</v>
      </c>
      <c r="AJ588" s="320">
        <f>IFERROR(__xludf.DUMMYFUNCTION("""COMPUTED_VALUE"""),4.62)</f>
        <v>4.62</v>
      </c>
      <c r="AK588" s="320">
        <f>IFERROR(__xludf.DUMMYFUNCTION("""COMPUTED_VALUE"""),0.1574)</f>
        <v>0.1574</v>
      </c>
      <c r="AL588" s="320">
        <f>IFERROR(__xludf.DUMMYFUNCTION("""COMPUTED_VALUE"""),19.96)</f>
        <v>19.96</v>
      </c>
      <c r="AM588" s="320">
        <f>IFERROR(__xludf.DUMMYFUNCTION("""COMPUTED_VALUE"""),543.18)</f>
        <v>543.18</v>
      </c>
      <c r="AN588" s="320">
        <f>IFERROR(__xludf.DUMMYFUNCTION("""COMPUTED_VALUE"""),76.24)</f>
        <v>76.24</v>
      </c>
      <c r="AO588" s="320">
        <f>IFERROR(__xludf.DUMMYFUNCTION("""COMPUTED_VALUE"""),15.22)</f>
        <v>15.22</v>
      </c>
    </row>
    <row r="589" ht="15.0" customHeight="1">
      <c r="A589" s="328">
        <f>IFERROR(__xludf.DUMMYFUNCTION("""COMPUTED_VALUE"""),46147.0)</f>
        <v>46147</v>
      </c>
      <c r="B589" s="319" t="str">
        <f>IFERROR(__xludf.DUMMYFUNCTION("""COMPUTED_VALUE"""),"F. 100+")</f>
        <v>F. 100+</v>
      </c>
      <c r="C589" s="320">
        <f>IFERROR(__xludf.DUMMYFUNCTION("""COMPUTED_VALUE"""),326.0)</f>
        <v>326</v>
      </c>
      <c r="D589" s="320">
        <f>IFERROR(__xludf.DUMMYFUNCTION("""COMPUTED_VALUE"""),0.44)</f>
        <v>0.44</v>
      </c>
      <c r="E589" s="320">
        <f>IFERROR(__xludf.DUMMYFUNCTION("""COMPUTED_VALUE"""),3795.63)</f>
        <v>3795.63</v>
      </c>
      <c r="F589" s="320">
        <f>IFERROR(__xludf.DUMMYFUNCTION("""COMPUTED_VALUE"""),11.643)</f>
        <v>11.643</v>
      </c>
      <c r="G589" s="320">
        <f>IFERROR(__xludf.DUMMYFUNCTION("""COMPUTED_VALUE"""),52.15)</f>
        <v>52.15</v>
      </c>
      <c r="H589" s="320">
        <f>IFERROR(__xludf.DUMMYFUNCTION("""COMPUTED_VALUE"""),22.3272)</f>
        <v>22.3272</v>
      </c>
      <c r="I589" s="320">
        <f>IFERROR(__xludf.DUMMYFUNCTION("""COMPUTED_VALUE"""),235.92)</f>
        <v>235.92</v>
      </c>
      <c r="J589" s="320">
        <f>IFERROR(__xludf.DUMMYFUNCTION("""COMPUTED_VALUE"""),151.92)</f>
        <v>151.92</v>
      </c>
      <c r="K589" s="320">
        <f>IFERROR(__xludf.DUMMYFUNCTION("""COMPUTED_VALUE"""),120.54)</f>
        <v>120.54</v>
      </c>
      <c r="L589" s="320">
        <f>IFERROR(__xludf.DUMMYFUNCTION("""COMPUTED_VALUE"""),0.7934)</f>
        <v>0.7934</v>
      </c>
      <c r="M589" s="320">
        <f>IFERROR(__xludf.DUMMYFUNCTION("""COMPUTED_VALUE"""),0.2939)</f>
        <v>0.2939</v>
      </c>
      <c r="N589" s="320">
        <f>IFERROR(__xludf.DUMMYFUNCTION("""COMPUTED_VALUE"""),0.1767)</f>
        <v>0.1767</v>
      </c>
      <c r="O589" s="320">
        <f>IFERROR(__xludf.DUMMYFUNCTION("""COMPUTED_VALUE"""),1.2603)</f>
        <v>1.2603</v>
      </c>
      <c r="P589" s="320">
        <f>IFERROR(__xludf.DUMMYFUNCTION("""COMPUTED_VALUE"""),1256.86)</f>
        <v>1256.86</v>
      </c>
      <c r="Q589" s="320">
        <f>IFERROR(__xludf.DUMMYFUNCTION("""COMPUTED_VALUE"""),1042.99)</f>
        <v>1042.99</v>
      </c>
      <c r="R589" s="320">
        <f>IFERROR(__xludf.DUMMYFUNCTION("""COMPUTED_VALUE"""),213.87)</f>
        <v>213.87</v>
      </c>
      <c r="S589" s="320">
        <f>IFERROR(__xludf.DUMMYFUNCTION("""COMPUTED_VALUE"""),672.76)</f>
        <v>672.76</v>
      </c>
      <c r="T589" s="320">
        <f>IFERROR(__xludf.DUMMYFUNCTION("""COMPUTED_VALUE"""),584.1)</f>
        <v>584.1</v>
      </c>
      <c r="U589" s="320">
        <f>IFERROR(__xludf.DUMMYFUNCTION("""COMPUTED_VALUE"""),1315.49)</f>
        <v>1315.49</v>
      </c>
      <c r="V589" s="320">
        <f>IFERROR(__xludf.DUMMYFUNCTION("""COMPUTED_VALUE"""),8.6593)</f>
        <v>8.6593</v>
      </c>
      <c r="W589" s="320">
        <f>IFERROR(__xludf.DUMMYFUNCTION("""COMPUTED_VALUE"""),53.53)</f>
        <v>53.53</v>
      </c>
      <c r="X589" s="320">
        <f>IFERROR(__xludf.DUMMYFUNCTION("""COMPUTED_VALUE"""),137.0)</f>
        <v>137</v>
      </c>
      <c r="Y589" s="320">
        <f>IFERROR(__xludf.DUMMYFUNCTION("""COMPUTED_VALUE"""),546.0)</f>
        <v>546</v>
      </c>
      <c r="Z589" s="320">
        <f>IFERROR(__xludf.DUMMYFUNCTION("""COMPUTED_VALUE"""),2094.0)</f>
        <v>2094</v>
      </c>
      <c r="AA589" s="320">
        <f>IFERROR(__xludf.DUMMYFUNCTION("""COMPUTED_VALUE"""),61.4218)</f>
        <v>61.4218</v>
      </c>
      <c r="AB589" s="320">
        <f>IFERROR(__xludf.DUMMYFUNCTION("""COMPUTED_VALUE"""),0.827)</f>
        <v>0.827</v>
      </c>
      <c r="AC589" s="320">
        <f>IFERROR(__xludf.DUMMYFUNCTION("""COMPUTED_VALUE"""),80.6)</f>
        <v>80.6</v>
      </c>
      <c r="AD589" s="320">
        <f>IFERROR(__xludf.DUMMYFUNCTION("""COMPUTED_VALUE"""),28.0)</f>
        <v>28</v>
      </c>
      <c r="AE589" s="320">
        <f>IFERROR(__xludf.DUMMYFUNCTION("""COMPUTED_VALUE"""),66.0)</f>
        <v>66</v>
      </c>
      <c r="AF589" s="320">
        <f>IFERROR(__xludf.DUMMYFUNCTION("""COMPUTED_VALUE"""),115.0)</f>
        <v>115</v>
      </c>
      <c r="AG589" s="320">
        <f>IFERROR(__xludf.DUMMYFUNCTION("""COMPUTED_VALUE"""),165.0)</f>
        <v>165</v>
      </c>
      <c r="AH589" s="320">
        <f>IFERROR(__xludf.DUMMYFUNCTION("""COMPUTED_VALUE"""),43.56)</f>
        <v>43.56</v>
      </c>
      <c r="AI589" s="320">
        <f>IFERROR(__xludf.DUMMYFUNCTION("""COMPUTED_VALUE"""),8.9)</f>
        <v>8.9</v>
      </c>
      <c r="AJ589" s="320">
        <f>IFERROR(__xludf.DUMMYFUNCTION("""COMPUTED_VALUE"""),0.92)</f>
        <v>0.92</v>
      </c>
      <c r="AK589" s="320">
        <f>IFERROR(__xludf.DUMMYFUNCTION("""COMPUTED_VALUE"""),0.1411)</f>
        <v>0.1411</v>
      </c>
      <c r="AL589" s="320">
        <f>IFERROR(__xludf.DUMMYFUNCTION("""COMPUTED_VALUE"""),19.26)</f>
        <v>19.26</v>
      </c>
      <c r="AM589" s="320">
        <f>IFERROR(__xludf.DUMMYFUNCTION("""COMPUTED_VALUE"""),1023.73)</f>
        <v>1023.73</v>
      </c>
      <c r="AN589" s="320">
        <f>IFERROR(__xludf.DUMMYFUNCTION("""COMPUTED_VALUE"""),70.9)</f>
        <v>70.9</v>
      </c>
      <c r="AO589" s="320">
        <f>IFERROR(__xludf.DUMMYFUNCTION("""COMPUTED_VALUE"""),13.66)</f>
        <v>13.66</v>
      </c>
    </row>
    <row r="590" ht="15.0" customHeight="1">
      <c r="A590" s="328">
        <f>IFERROR(__xludf.DUMMYFUNCTION("""COMPUTED_VALUE"""),46148.0)</f>
        <v>46148</v>
      </c>
      <c r="B590" s="319" t="str">
        <f>IFERROR(__xludf.DUMMYFUNCTION("""COMPUTED_VALUE"""),"A. 0")</f>
        <v>A. 0</v>
      </c>
      <c r="C590" s="320">
        <f>IFERROR(__xludf.DUMMYFUNCTION("""COMPUTED_VALUE"""),15688.0)</f>
        <v>15688</v>
      </c>
      <c r="D590" s="320">
        <f>IFERROR(__xludf.DUMMYFUNCTION("""COMPUTED_VALUE"""),21.41)</f>
        <v>21.41</v>
      </c>
      <c r="E590" s="320">
        <f>IFERROR(__xludf.DUMMYFUNCTION("""COMPUTED_VALUE"""),180.63)</f>
        <v>180.63</v>
      </c>
      <c r="F590" s="320">
        <f>IFERROR(__xludf.DUMMYFUNCTION("""COMPUTED_VALUE"""),0.0115)</f>
        <v>0.0115</v>
      </c>
      <c r="G590" s="320">
        <f>IFERROR(__xludf.DUMMYFUNCTION("""COMPUTED_VALUE"""),0.18)</f>
        <v>0.18</v>
      </c>
      <c r="H590" s="320">
        <f>IFERROR(__xludf.DUMMYFUNCTION("""COMPUTED_VALUE"""),6.2286)</f>
        <v>6.2286</v>
      </c>
      <c r="I590" s="320">
        <f>IFERROR(__xludf.DUMMYFUNCTION("""COMPUTED_VALUE"""),6.37)</f>
        <v>6.37</v>
      </c>
      <c r="J590" s="320">
        <f>IFERROR(__xludf.DUMMYFUNCTION("""COMPUTED_VALUE"""),2.87)</f>
        <v>2.87</v>
      </c>
      <c r="K590" s="320">
        <f>IFERROR(__xludf.DUMMYFUNCTION("""COMPUTED_VALUE"""),0.03)</f>
        <v>0.03</v>
      </c>
      <c r="L590" s="320">
        <f>IFERROR(__xludf.DUMMYFUNCTION("""COMPUTED_VALUE"""),0.0105)</f>
        <v>0.0105</v>
      </c>
      <c r="M590" s="320">
        <f>IFERROR(__xludf.DUMMYFUNCTION("""COMPUTED_VALUE"""),0.9912)</f>
        <v>0.9912</v>
      </c>
      <c r="N590" s="320">
        <f>IFERROR(__xludf.DUMMYFUNCTION("""COMPUTED_VALUE"""),0.87)</f>
        <v>0.87</v>
      </c>
      <c r="O590" s="320">
        <f>IFERROR(__xludf.DUMMYFUNCTION("""COMPUTED_VALUE"""),95.6008)</f>
        <v>95.6008</v>
      </c>
      <c r="P590" s="320">
        <f>IFERROR(__xludf.DUMMYFUNCTION("""COMPUTED_VALUE"""),22.9)</f>
        <v>22.9</v>
      </c>
      <c r="Q590" s="320">
        <f>IFERROR(__xludf.DUMMYFUNCTION("""COMPUTED_VALUE"""),22.85)</f>
        <v>22.85</v>
      </c>
      <c r="R590" s="320">
        <f>IFERROR(__xludf.DUMMYFUNCTION("""COMPUTED_VALUE"""),0.05)</f>
        <v>0.05</v>
      </c>
      <c r="S590" s="320">
        <f>IFERROR(__xludf.DUMMYFUNCTION("""COMPUTED_VALUE"""),0.85)</f>
        <v>0.85</v>
      </c>
      <c r="T590" s="320">
        <f>IFERROR(__xludf.DUMMYFUNCTION("""COMPUTED_VALUE"""),22.04)</f>
        <v>22.04</v>
      </c>
      <c r="U590" s="320">
        <f>IFERROR(__xludf.DUMMYFUNCTION("""COMPUTED_VALUE"""),2.07)</f>
        <v>2.07</v>
      </c>
      <c r="V590" s="320">
        <f>IFERROR(__xludf.DUMMYFUNCTION("""COMPUTED_VALUE"""),0.7196)</f>
        <v>0.7196</v>
      </c>
      <c r="W590" s="320">
        <f>IFERROR(__xludf.DUMMYFUNCTION("""COMPUTED_VALUE"""),3.73)</f>
        <v>3.73</v>
      </c>
      <c r="X590" s="320">
        <f>IFERROR(__xludf.DUMMYFUNCTION("""COMPUTED_VALUE"""),154.0)</f>
        <v>154</v>
      </c>
      <c r="Y590" s="320">
        <f>IFERROR(__xludf.DUMMYFUNCTION("""COMPUTED_VALUE"""),1206.0)</f>
        <v>1206</v>
      </c>
      <c r="Z590" s="320">
        <f>IFERROR(__xludf.DUMMYFUNCTION("""COMPUTED_VALUE"""),7459.0)</f>
        <v>7459</v>
      </c>
      <c r="AA590" s="320">
        <f>IFERROR(__xludf.DUMMYFUNCTION("""COMPUTED_VALUE"""),49.9617)</f>
        <v>49.9617</v>
      </c>
      <c r="AB590" s="320">
        <f>IFERROR(__xludf.DUMMYFUNCTION("""COMPUTED_VALUE"""),0.5159)</f>
        <v>0.5159</v>
      </c>
      <c r="AC590" s="106"/>
      <c r="AD590" s="106"/>
      <c r="AE590" s="106"/>
      <c r="AF590" s="106"/>
      <c r="AG590" s="106"/>
      <c r="AH590" s="320">
        <f>IFERROR(__xludf.DUMMYFUNCTION("""COMPUTED_VALUE"""),0.0)</f>
        <v>0</v>
      </c>
      <c r="AI590" s="320">
        <f>IFERROR(__xludf.DUMMYFUNCTION("""COMPUTED_VALUE"""),0.0)</f>
        <v>0</v>
      </c>
      <c r="AJ590" s="320">
        <f>IFERROR(__xludf.DUMMYFUNCTION("""COMPUTED_VALUE"""),0.0)</f>
        <v>0</v>
      </c>
      <c r="AK590" s="320">
        <f>IFERROR(__xludf.DUMMYFUNCTION("""COMPUTED_VALUE"""),0.2631)</f>
        <v>0.2631</v>
      </c>
      <c r="AL590" s="320">
        <f>IFERROR(__xludf.DUMMYFUNCTION("""COMPUTED_VALUE"""),15.46)</f>
        <v>15.46</v>
      </c>
      <c r="AM590" s="320">
        <f>IFERROR(__xludf.DUMMYFUNCTION("""COMPUTED_VALUE"""),7.38)</f>
        <v>7.38</v>
      </c>
      <c r="AN590" s="331"/>
      <c r="AO590" s="331"/>
    </row>
    <row r="591" ht="15.0" customHeight="1">
      <c r="A591" s="328">
        <f>IFERROR(__xludf.DUMMYFUNCTION("""COMPUTED_VALUE"""),46148.0)</f>
        <v>46148</v>
      </c>
      <c r="B591" s="319" t="str">
        <f>IFERROR(__xludf.DUMMYFUNCTION("""COMPUTED_VALUE"""),"B. 1-9")</f>
        <v>B. 1-9</v>
      </c>
      <c r="C591" s="320">
        <f>IFERROR(__xludf.DUMMYFUNCTION("""COMPUTED_VALUE"""),30748.0)</f>
        <v>30748</v>
      </c>
      <c r="D591" s="320">
        <f>IFERROR(__xludf.DUMMYFUNCTION("""COMPUTED_VALUE"""),41.97)</f>
        <v>41.97</v>
      </c>
      <c r="E591" s="320">
        <f>IFERROR(__xludf.DUMMYFUNCTION("""COMPUTED_VALUE"""),6957.59)</f>
        <v>6957.59</v>
      </c>
      <c r="F591" s="320">
        <f>IFERROR(__xludf.DUMMYFUNCTION("""COMPUTED_VALUE"""),0.2263)</f>
        <v>0.2263</v>
      </c>
      <c r="G591" s="320">
        <f>IFERROR(__xludf.DUMMYFUNCTION("""COMPUTED_VALUE"""),6.45)</f>
        <v>6.45</v>
      </c>
      <c r="H591" s="320">
        <f>IFERROR(__xludf.DUMMYFUNCTION("""COMPUTED_VALUE"""),3.5104)</f>
        <v>3.5104</v>
      </c>
      <c r="I591" s="320">
        <f>IFERROR(__xludf.DUMMYFUNCTION("""COMPUTED_VALUE"""),32.52)</f>
        <v>32.52</v>
      </c>
      <c r="J591" s="320">
        <f>IFERROR(__xludf.DUMMYFUNCTION("""COMPUTED_VALUE"""),17.54)</f>
        <v>17.54</v>
      </c>
      <c r="K591" s="320">
        <f>IFERROR(__xludf.DUMMYFUNCTION("""COMPUTED_VALUE"""),5.05)</f>
        <v>5.05</v>
      </c>
      <c r="L591" s="320">
        <f>IFERROR(__xludf.DUMMYFUNCTION("""COMPUTED_VALUE"""),0.2882)</f>
        <v>0.2882</v>
      </c>
      <c r="M591" s="320">
        <f>IFERROR(__xludf.DUMMYFUNCTION("""COMPUTED_VALUE"""),0.7764)</f>
        <v>0.7764</v>
      </c>
      <c r="N591" s="320">
        <f>IFERROR(__xludf.DUMMYFUNCTION("""COMPUTED_VALUE"""),0.5358)</f>
        <v>0.5358</v>
      </c>
      <c r="O591" s="320">
        <f>IFERROR(__xludf.DUMMYFUNCTION("""COMPUTED_VALUE"""),3.4696)</f>
        <v>3.4696</v>
      </c>
      <c r="P591" s="320">
        <f>IFERROR(__xludf.DUMMYFUNCTION("""COMPUTED_VALUE"""),60.18)</f>
        <v>60.18</v>
      </c>
      <c r="Q591" s="320">
        <f>IFERROR(__xludf.DUMMYFUNCTION("""COMPUTED_VALUE"""),51.39)</f>
        <v>51.39</v>
      </c>
      <c r="R591" s="320">
        <f>IFERROR(__xludf.DUMMYFUNCTION("""COMPUTED_VALUE"""),8.79)</f>
        <v>8.79</v>
      </c>
      <c r="S591" s="320">
        <f>IFERROR(__xludf.DUMMYFUNCTION("""COMPUTED_VALUE"""),14.86)</f>
        <v>14.86</v>
      </c>
      <c r="T591" s="320">
        <f>IFERROR(__xludf.DUMMYFUNCTION("""COMPUTED_VALUE"""),45.32)</f>
        <v>45.32</v>
      </c>
      <c r="U591" s="320">
        <f>IFERROR(__xludf.DUMMYFUNCTION("""COMPUTED_VALUE"""),67.52)</f>
        <v>67.52</v>
      </c>
      <c r="V591" s="320">
        <f>IFERROR(__xludf.DUMMYFUNCTION("""COMPUTED_VALUE"""),3.8504)</f>
        <v>3.8504</v>
      </c>
      <c r="W591" s="320">
        <f>IFERROR(__xludf.DUMMYFUNCTION("""COMPUTED_VALUE"""),24.69)</f>
        <v>24.69</v>
      </c>
      <c r="X591" s="320">
        <f>IFERROR(__xludf.DUMMYFUNCTION("""COMPUTED_VALUE"""),86.0)</f>
        <v>86</v>
      </c>
      <c r="Y591" s="320">
        <f>IFERROR(__xludf.DUMMYFUNCTION("""COMPUTED_VALUE"""),211.0)</f>
        <v>211</v>
      </c>
      <c r="Z591" s="320">
        <f>IFERROR(__xludf.DUMMYFUNCTION("""COMPUTED_VALUE"""),903.0)</f>
        <v>903</v>
      </c>
      <c r="AA591" s="320">
        <f>IFERROR(__xludf.DUMMYFUNCTION("""COMPUTED_VALUE"""),49.7272)</f>
        <v>49.7272</v>
      </c>
      <c r="AB591" s="320">
        <f>IFERROR(__xludf.DUMMYFUNCTION("""COMPUTED_VALUE"""),0.4471)</f>
        <v>0.4471</v>
      </c>
      <c r="AC591" s="320">
        <f>IFERROR(__xludf.DUMMYFUNCTION("""COMPUTED_VALUE"""),3.36)</f>
        <v>3.36</v>
      </c>
      <c r="AD591" s="320">
        <f>IFERROR(__xludf.DUMMYFUNCTION("""COMPUTED_VALUE"""),1.0)</f>
        <v>1</v>
      </c>
      <c r="AE591" s="320">
        <f>IFERROR(__xludf.DUMMYFUNCTION("""COMPUTED_VALUE"""),2.0)</f>
        <v>2</v>
      </c>
      <c r="AF591" s="320">
        <f>IFERROR(__xludf.DUMMYFUNCTION("""COMPUTED_VALUE"""),4.0)</f>
        <v>4</v>
      </c>
      <c r="AG591" s="320">
        <f>IFERROR(__xludf.DUMMYFUNCTION("""COMPUTED_VALUE"""),7.0)</f>
        <v>7</v>
      </c>
      <c r="AH591" s="320">
        <f>IFERROR(__xludf.DUMMYFUNCTION("""COMPUTED_VALUE"""),65.36)</f>
        <v>65.36</v>
      </c>
      <c r="AI591" s="320">
        <f>IFERROR(__xludf.DUMMYFUNCTION("""COMPUTED_VALUE"""),23.01)</f>
        <v>23.01</v>
      </c>
      <c r="AJ591" s="320">
        <f>IFERROR(__xludf.DUMMYFUNCTION("""COMPUTED_VALUE"""),6.19)</f>
        <v>6.19</v>
      </c>
      <c r="AK591" s="320">
        <f>IFERROR(__xludf.DUMMYFUNCTION("""COMPUTED_VALUE"""),0.2107)</f>
        <v>0.2107</v>
      </c>
      <c r="AL591" s="320">
        <f>IFERROR(__xludf.DUMMYFUNCTION("""COMPUTED_VALUE"""),19.05)</f>
        <v>19.05</v>
      </c>
      <c r="AM591" s="320">
        <f>IFERROR(__xludf.DUMMYFUNCTION("""COMPUTED_VALUE"""),32.34)</f>
        <v>32.34</v>
      </c>
      <c r="AN591" s="320">
        <f>IFERROR(__xludf.DUMMYFUNCTION("""COMPUTED_VALUE"""),68.0)</f>
        <v>68</v>
      </c>
      <c r="AO591" s="320">
        <f>IFERROR(__xludf.DUMMYFUNCTION("""COMPUTED_VALUE"""),12.95)</f>
        <v>12.95</v>
      </c>
    </row>
    <row r="592" ht="15.0" customHeight="1">
      <c r="A592" s="328">
        <f>IFERROR(__xludf.DUMMYFUNCTION("""COMPUTED_VALUE"""),46148.0)</f>
        <v>46148</v>
      </c>
      <c r="B592" s="319" t="str">
        <f>IFERROR(__xludf.DUMMYFUNCTION("""COMPUTED_VALUE"""),"C. 10-19")</f>
        <v>C. 10-19</v>
      </c>
      <c r="C592" s="320">
        <f>IFERROR(__xludf.DUMMYFUNCTION("""COMPUTED_VALUE"""),15664.0)</f>
        <v>15664</v>
      </c>
      <c r="D592" s="320">
        <f>IFERROR(__xludf.DUMMYFUNCTION("""COMPUTED_VALUE"""),21.38)</f>
        <v>21.38</v>
      </c>
      <c r="E592" s="320">
        <f>IFERROR(__xludf.DUMMYFUNCTION("""COMPUTED_VALUE"""),17284.33)</f>
        <v>17284.33</v>
      </c>
      <c r="F592" s="320">
        <f>IFERROR(__xludf.DUMMYFUNCTION("""COMPUTED_VALUE"""),1.1034)</f>
        <v>1.1034</v>
      </c>
      <c r="G592" s="320">
        <f>IFERROR(__xludf.DUMMYFUNCTION("""COMPUTED_VALUE"""),21.43)</f>
        <v>21.43</v>
      </c>
      <c r="H592" s="320">
        <f>IFERROR(__xludf.DUMMYFUNCTION("""COMPUTED_VALUE"""),5.1487)</f>
        <v>5.1487</v>
      </c>
      <c r="I592" s="320">
        <f>IFERROR(__xludf.DUMMYFUNCTION("""COMPUTED_VALUE"""),59.52)</f>
        <v>59.52</v>
      </c>
      <c r="J592" s="320">
        <f>IFERROR(__xludf.DUMMYFUNCTION("""COMPUTED_VALUE"""),34.05)</f>
        <v>34.05</v>
      </c>
      <c r="K592" s="320">
        <f>IFERROR(__xludf.DUMMYFUNCTION("""COMPUTED_VALUE"""),13.55)</f>
        <v>13.55</v>
      </c>
      <c r="L592" s="320">
        <f>IFERROR(__xludf.DUMMYFUNCTION("""COMPUTED_VALUE"""),0.3979)</f>
        <v>0.3979</v>
      </c>
      <c r="M592" s="320">
        <f>IFERROR(__xludf.DUMMYFUNCTION("""COMPUTED_VALUE"""),0.6608)</f>
        <v>0.6608</v>
      </c>
      <c r="N592" s="320">
        <f>IFERROR(__xludf.DUMMYFUNCTION("""COMPUTED_VALUE"""),0.3818)</f>
        <v>0.3818</v>
      </c>
      <c r="O592" s="320">
        <f>IFERROR(__xludf.DUMMYFUNCTION("""COMPUTED_VALUE"""),2.5129)</f>
        <v>2.5129</v>
      </c>
      <c r="P592" s="320">
        <f>IFERROR(__xludf.DUMMYFUNCTION("""COMPUTED_VALUE"""),149.27)</f>
        <v>149.27</v>
      </c>
      <c r="Q592" s="320">
        <f>IFERROR(__xludf.DUMMYFUNCTION("""COMPUTED_VALUE"""),127.45)</f>
        <v>127.45</v>
      </c>
      <c r="R592" s="320">
        <f>IFERROR(__xludf.DUMMYFUNCTION("""COMPUTED_VALUE"""),21.82)</f>
        <v>21.82</v>
      </c>
      <c r="S592" s="320">
        <f>IFERROR(__xludf.DUMMYFUNCTION("""COMPUTED_VALUE"""),71.0)</f>
        <v>71</v>
      </c>
      <c r="T592" s="320">
        <f>IFERROR(__xludf.DUMMYFUNCTION("""COMPUTED_VALUE"""),78.27)</f>
        <v>78.27</v>
      </c>
      <c r="U592" s="320">
        <f>IFERROR(__xludf.DUMMYFUNCTION("""COMPUTED_VALUE"""),163.11)</f>
        <v>163.11</v>
      </c>
      <c r="V592" s="320">
        <f>IFERROR(__xludf.DUMMYFUNCTION("""COMPUTED_VALUE"""),4.7909)</f>
        <v>4.7909</v>
      </c>
      <c r="W592" s="320">
        <f>IFERROR(__xludf.DUMMYFUNCTION("""COMPUTED_VALUE"""),47.57)</f>
        <v>47.57</v>
      </c>
      <c r="X592" s="320">
        <f>IFERROR(__xludf.DUMMYFUNCTION("""COMPUTED_VALUE"""),81.0)</f>
        <v>81</v>
      </c>
      <c r="Y592" s="320">
        <f>IFERROR(__xludf.DUMMYFUNCTION("""COMPUTED_VALUE"""),169.0)</f>
        <v>169</v>
      </c>
      <c r="Z592" s="320">
        <f>IFERROR(__xludf.DUMMYFUNCTION("""COMPUTED_VALUE"""),572.0)</f>
        <v>572</v>
      </c>
      <c r="AA592" s="320">
        <f>IFERROR(__xludf.DUMMYFUNCTION("""COMPUTED_VALUE"""),52.3376)</f>
        <v>52.3376</v>
      </c>
      <c r="AB592" s="320">
        <f>IFERROR(__xludf.DUMMYFUNCTION("""COMPUTED_VALUE"""),0.5194)</f>
        <v>0.5194</v>
      </c>
      <c r="AC592" s="320">
        <f>IFERROR(__xludf.DUMMYFUNCTION("""COMPUTED_VALUE"""),8.08)</f>
        <v>8.08</v>
      </c>
      <c r="AD592" s="320">
        <f>IFERROR(__xludf.DUMMYFUNCTION("""COMPUTED_VALUE"""),2.0)</f>
        <v>2</v>
      </c>
      <c r="AE592" s="320">
        <f>IFERROR(__xludf.DUMMYFUNCTION("""COMPUTED_VALUE"""),6.0)</f>
        <v>6</v>
      </c>
      <c r="AF592" s="320">
        <f>IFERROR(__xludf.DUMMYFUNCTION("""COMPUTED_VALUE"""),11.0)</f>
        <v>11</v>
      </c>
      <c r="AG592" s="320">
        <f>IFERROR(__xludf.DUMMYFUNCTION("""COMPUTED_VALUE"""),18.0)</f>
        <v>18</v>
      </c>
      <c r="AH592" s="320">
        <f>IFERROR(__xludf.DUMMYFUNCTION("""COMPUTED_VALUE"""),50.38)</f>
        <v>50.38</v>
      </c>
      <c r="AI592" s="320">
        <f>IFERROR(__xludf.DUMMYFUNCTION("""COMPUTED_VALUE"""),21.37)</f>
        <v>21.37</v>
      </c>
      <c r="AJ592" s="320">
        <f>IFERROR(__xludf.DUMMYFUNCTION("""COMPUTED_VALUE"""),3.54)</f>
        <v>3.54</v>
      </c>
      <c r="AK592" s="320">
        <f>IFERROR(__xludf.DUMMYFUNCTION("""COMPUTED_VALUE"""),0.1826)</f>
        <v>0.1826</v>
      </c>
      <c r="AL592" s="320">
        <f>IFERROR(__xludf.DUMMYFUNCTION("""COMPUTED_VALUE"""),19.29)</f>
        <v>19.29</v>
      </c>
      <c r="AM592" s="320">
        <f>IFERROR(__xludf.DUMMYFUNCTION("""COMPUTED_VALUE"""),108.15)</f>
        <v>108.15</v>
      </c>
      <c r="AN592" s="320">
        <f>IFERROR(__xludf.DUMMYFUNCTION("""COMPUTED_VALUE"""),71.96)</f>
        <v>71.96</v>
      </c>
      <c r="AO592" s="320">
        <f>IFERROR(__xludf.DUMMYFUNCTION("""COMPUTED_VALUE"""),13.88)</f>
        <v>13.88</v>
      </c>
    </row>
    <row r="593" ht="15.0" customHeight="1">
      <c r="A593" s="328">
        <f>IFERROR(__xludf.DUMMYFUNCTION("""COMPUTED_VALUE"""),46148.0)</f>
        <v>46148</v>
      </c>
      <c r="B593" s="319" t="str">
        <f>IFERROR(__xludf.DUMMYFUNCTION("""COMPUTED_VALUE"""),"D. 20-39")</f>
        <v>D. 20-39</v>
      </c>
      <c r="C593" s="320">
        <f>IFERROR(__xludf.DUMMYFUNCTION("""COMPUTED_VALUE"""),7738.0)</f>
        <v>7738</v>
      </c>
      <c r="D593" s="320">
        <f>IFERROR(__xludf.DUMMYFUNCTION("""COMPUTED_VALUE"""),10.56)</f>
        <v>10.56</v>
      </c>
      <c r="E593" s="320">
        <f>IFERROR(__xludf.DUMMYFUNCTION("""COMPUTED_VALUE"""),20752.21)</f>
        <v>20752.21</v>
      </c>
      <c r="F593" s="320">
        <f>IFERROR(__xludf.DUMMYFUNCTION("""COMPUTED_VALUE"""),2.6819)</f>
        <v>2.6819</v>
      </c>
      <c r="G593" s="320">
        <f>IFERROR(__xludf.DUMMYFUNCTION("""COMPUTED_VALUE"""),33.29)</f>
        <v>33.29</v>
      </c>
      <c r="H593" s="320">
        <f>IFERROR(__xludf.DUMMYFUNCTION("""COMPUTED_VALUE"""),8.056)</f>
        <v>8.056</v>
      </c>
      <c r="I593" s="320">
        <f>IFERROR(__xludf.DUMMYFUNCTION("""COMPUTED_VALUE"""),83.66)</f>
        <v>83.66</v>
      </c>
      <c r="J593" s="320">
        <f>IFERROR(__xludf.DUMMYFUNCTION("""COMPUTED_VALUE"""),49.34)</f>
        <v>49.34</v>
      </c>
      <c r="K593" s="320">
        <f>IFERROR(__xludf.DUMMYFUNCTION("""COMPUTED_VALUE"""),25.33)</f>
        <v>25.33</v>
      </c>
      <c r="L593" s="320">
        <f>IFERROR(__xludf.DUMMYFUNCTION("""COMPUTED_VALUE"""),0.5133)</f>
        <v>0.5133</v>
      </c>
      <c r="M593" s="320">
        <f>IFERROR(__xludf.DUMMYFUNCTION("""COMPUTED_VALUE"""),0.5543)</f>
        <v>0.5543</v>
      </c>
      <c r="N593" s="320">
        <f>IFERROR(__xludf.DUMMYFUNCTION("""COMPUTED_VALUE"""),0.3029)</f>
        <v>0.3029</v>
      </c>
      <c r="O593" s="320">
        <f>IFERROR(__xludf.DUMMYFUNCTION("""COMPUTED_VALUE"""),1.9482)</f>
        <v>1.9482</v>
      </c>
      <c r="P593" s="320">
        <f>IFERROR(__xludf.DUMMYFUNCTION("""COMPUTED_VALUE"""),299.73)</f>
        <v>299.73</v>
      </c>
      <c r="Q593" s="320">
        <f>IFERROR(__xludf.DUMMYFUNCTION("""COMPUTED_VALUE"""),256.7)</f>
        <v>256.7</v>
      </c>
      <c r="R593" s="320">
        <f>IFERROR(__xludf.DUMMYFUNCTION("""COMPUTED_VALUE"""),43.03)</f>
        <v>43.03</v>
      </c>
      <c r="S593" s="320">
        <f>IFERROR(__xludf.DUMMYFUNCTION("""COMPUTED_VALUE"""),172.64)</f>
        <v>172.64</v>
      </c>
      <c r="T593" s="320">
        <f>IFERROR(__xludf.DUMMYFUNCTION("""COMPUTED_VALUE"""),127.09)</f>
        <v>127.09</v>
      </c>
      <c r="U593" s="320">
        <f>IFERROR(__xludf.DUMMYFUNCTION("""COMPUTED_VALUE"""),319.37)</f>
        <v>319.37</v>
      </c>
      <c r="V593" s="320">
        <f>IFERROR(__xludf.DUMMYFUNCTION("""COMPUTED_VALUE"""),6.4723)</f>
        <v>6.4723</v>
      </c>
      <c r="W593" s="320">
        <f>IFERROR(__xludf.DUMMYFUNCTION("""COMPUTED_VALUE"""),57.6)</f>
        <v>57.6</v>
      </c>
      <c r="X593" s="320">
        <f>IFERROR(__xludf.DUMMYFUNCTION("""COMPUTED_VALUE"""),83.0)</f>
        <v>83</v>
      </c>
      <c r="Y593" s="320">
        <f>IFERROR(__xludf.DUMMYFUNCTION("""COMPUTED_VALUE"""),188.0)</f>
        <v>188</v>
      </c>
      <c r="Z593" s="320">
        <f>IFERROR(__xludf.DUMMYFUNCTION("""COMPUTED_VALUE"""),628.0)</f>
        <v>628</v>
      </c>
      <c r="AA593" s="320">
        <f>IFERROR(__xludf.DUMMYFUNCTION("""COMPUTED_VALUE"""),54.727)</f>
        <v>54.727</v>
      </c>
      <c r="AB593" s="320">
        <f>IFERROR(__xludf.DUMMYFUNCTION("""COMPUTED_VALUE"""),0.6472)</f>
        <v>0.6472</v>
      </c>
      <c r="AC593" s="320">
        <f>IFERROR(__xludf.DUMMYFUNCTION("""COMPUTED_VALUE"""),16.16)</f>
        <v>16.16</v>
      </c>
      <c r="AD593" s="320">
        <f>IFERROR(__xludf.DUMMYFUNCTION("""COMPUTED_VALUE"""),5.0)</f>
        <v>5</v>
      </c>
      <c r="AE593" s="320">
        <f>IFERROR(__xludf.DUMMYFUNCTION("""COMPUTED_VALUE"""),11.0)</f>
        <v>11</v>
      </c>
      <c r="AF593" s="320">
        <f>IFERROR(__xludf.DUMMYFUNCTION("""COMPUTED_VALUE"""),23.0)</f>
        <v>23</v>
      </c>
      <c r="AG593" s="320">
        <f>IFERROR(__xludf.DUMMYFUNCTION("""COMPUTED_VALUE"""),36.0)</f>
        <v>36</v>
      </c>
      <c r="AH593" s="320">
        <f>IFERROR(__xludf.DUMMYFUNCTION("""COMPUTED_VALUE"""),52.35)</f>
        <v>52.35</v>
      </c>
      <c r="AI593" s="320">
        <f>IFERROR(__xludf.DUMMYFUNCTION("""COMPUTED_VALUE"""),21.05)</f>
        <v>21.05</v>
      </c>
      <c r="AJ593" s="320">
        <f>IFERROR(__xludf.DUMMYFUNCTION("""COMPUTED_VALUE"""),6.35)</f>
        <v>6.35</v>
      </c>
      <c r="AK593" s="320">
        <f>IFERROR(__xludf.DUMMYFUNCTION("""COMPUTED_VALUE"""),0.1898)</f>
        <v>0.1898</v>
      </c>
      <c r="AL593" s="320">
        <f>IFERROR(__xludf.DUMMYFUNCTION("""COMPUTED_VALUE"""),19.79)</f>
        <v>19.79</v>
      </c>
      <c r="AM593" s="320">
        <f>IFERROR(__xludf.DUMMYFUNCTION("""COMPUTED_VALUE"""),236.92)</f>
        <v>236.92</v>
      </c>
      <c r="AN593" s="320">
        <f>IFERROR(__xludf.DUMMYFUNCTION("""COMPUTED_VALUE"""),73.69)</f>
        <v>73.69</v>
      </c>
      <c r="AO593" s="320">
        <f>IFERROR(__xludf.DUMMYFUNCTION("""COMPUTED_VALUE"""),14.58)</f>
        <v>14.58</v>
      </c>
    </row>
    <row r="594" ht="15.0" customHeight="1">
      <c r="A594" s="328">
        <f>IFERROR(__xludf.DUMMYFUNCTION("""COMPUTED_VALUE"""),46148.0)</f>
        <v>46148</v>
      </c>
      <c r="B594" s="319" t="str">
        <f>IFERROR(__xludf.DUMMYFUNCTION("""COMPUTED_VALUE"""),"E. 40-99")</f>
        <v>E. 40-99</v>
      </c>
      <c r="C594" s="320">
        <f>IFERROR(__xludf.DUMMYFUNCTION("""COMPUTED_VALUE"""),3093.0)</f>
        <v>3093</v>
      </c>
      <c r="D594" s="320">
        <f>IFERROR(__xludf.DUMMYFUNCTION("""COMPUTED_VALUE"""),4.22)</f>
        <v>4.22</v>
      </c>
      <c r="E594" s="320">
        <f>IFERROR(__xludf.DUMMYFUNCTION("""COMPUTED_VALUE"""),19648.62)</f>
        <v>19648.62</v>
      </c>
      <c r="F594" s="320">
        <f>IFERROR(__xludf.DUMMYFUNCTION("""COMPUTED_VALUE"""),6.3526)</f>
        <v>6.3526</v>
      </c>
      <c r="G594" s="320">
        <f>IFERROR(__xludf.DUMMYFUNCTION("""COMPUTED_VALUE"""),46.27)</f>
        <v>46.27</v>
      </c>
      <c r="H594" s="320">
        <f>IFERROR(__xludf.DUMMYFUNCTION("""COMPUTED_VALUE"""),13.7307)</f>
        <v>13.7307</v>
      </c>
      <c r="I594" s="320">
        <f>IFERROR(__xludf.DUMMYFUNCTION("""COMPUTED_VALUE"""),130.33)</f>
        <v>130.33</v>
      </c>
      <c r="J594" s="320">
        <f>IFERROR(__xludf.DUMMYFUNCTION("""COMPUTED_VALUE"""),80.03)</f>
        <v>80.03</v>
      </c>
      <c r="K594" s="320">
        <f>IFERROR(__xludf.DUMMYFUNCTION("""COMPUTED_VALUE"""),52.04)</f>
        <v>52.04</v>
      </c>
      <c r="L594" s="320">
        <f>IFERROR(__xludf.DUMMYFUNCTION("""COMPUTED_VALUE"""),0.6502)</f>
        <v>0.6502</v>
      </c>
      <c r="M594" s="320">
        <f>IFERROR(__xludf.DUMMYFUNCTION("""COMPUTED_VALUE"""),0.4296)</f>
        <v>0.4296</v>
      </c>
      <c r="N594" s="320">
        <f>IFERROR(__xludf.DUMMYFUNCTION("""COMPUTED_VALUE"""),0.2371)</f>
        <v>0.2371</v>
      </c>
      <c r="O594" s="320">
        <f>IFERROR(__xludf.DUMMYFUNCTION("""COMPUTED_VALUE"""),1.5379)</f>
        <v>1.5379</v>
      </c>
      <c r="P594" s="320">
        <f>IFERROR(__xludf.DUMMYFUNCTION("""COMPUTED_VALUE"""),609.19)</f>
        <v>609.19</v>
      </c>
      <c r="Q594" s="320">
        <f>IFERROR(__xludf.DUMMYFUNCTION("""COMPUTED_VALUE"""),518.41)</f>
        <v>518.41</v>
      </c>
      <c r="R594" s="320">
        <f>IFERROR(__xludf.DUMMYFUNCTION("""COMPUTED_VALUE"""),90.78)</f>
        <v>90.78</v>
      </c>
      <c r="S594" s="320">
        <f>IFERROR(__xludf.DUMMYFUNCTION("""COMPUTED_VALUE"""),397.52)</f>
        <v>397.52</v>
      </c>
      <c r="T594" s="320">
        <f>IFERROR(__xludf.DUMMYFUNCTION("""COMPUTED_VALUE"""),211.67)</f>
        <v>211.67</v>
      </c>
      <c r="U594" s="320">
        <f>IFERROR(__xludf.DUMMYFUNCTION("""COMPUTED_VALUE"""),642.61)</f>
        <v>642.61</v>
      </c>
      <c r="V594" s="320">
        <f>IFERROR(__xludf.DUMMYFUNCTION("""COMPUTED_VALUE"""),8.0298)</f>
        <v>8.0298</v>
      </c>
      <c r="W594" s="320">
        <f>IFERROR(__xludf.DUMMYFUNCTION("""COMPUTED_VALUE"""),65.25)</f>
        <v>65.25</v>
      </c>
      <c r="X594" s="320">
        <f>IFERROR(__xludf.DUMMYFUNCTION("""COMPUTED_VALUE"""),88.0)</f>
        <v>88</v>
      </c>
      <c r="Y594" s="320">
        <f>IFERROR(__xludf.DUMMYFUNCTION("""COMPUTED_VALUE"""),229.0)</f>
        <v>229</v>
      </c>
      <c r="Z594" s="320">
        <f>IFERROR(__xludf.DUMMYFUNCTION("""COMPUTED_VALUE"""),788.0)</f>
        <v>788</v>
      </c>
      <c r="AA594" s="320">
        <f>IFERROR(__xludf.DUMMYFUNCTION("""COMPUTED_VALUE"""),57.5736)</f>
        <v>57.5736</v>
      </c>
      <c r="AB594" s="320">
        <f>IFERROR(__xludf.DUMMYFUNCTION("""COMPUTED_VALUE"""),0.7502)</f>
        <v>0.7502</v>
      </c>
      <c r="AC594" s="320">
        <f>IFERROR(__xludf.DUMMYFUNCTION("""COMPUTED_VALUE"""),34.67)</f>
        <v>34.67</v>
      </c>
      <c r="AD594" s="320">
        <f>IFERROR(__xludf.DUMMYFUNCTION("""COMPUTED_VALUE"""),10.0)</f>
        <v>10</v>
      </c>
      <c r="AE594" s="320">
        <f>IFERROR(__xludf.DUMMYFUNCTION("""COMPUTED_VALUE"""),24.0)</f>
        <v>24</v>
      </c>
      <c r="AF594" s="320">
        <f>IFERROR(__xludf.DUMMYFUNCTION("""COMPUTED_VALUE"""),50.0)</f>
        <v>50</v>
      </c>
      <c r="AG594" s="320">
        <f>IFERROR(__xludf.DUMMYFUNCTION("""COMPUTED_VALUE"""),78.0)</f>
        <v>78</v>
      </c>
      <c r="AH594" s="320">
        <f>IFERROR(__xludf.DUMMYFUNCTION("""COMPUTED_VALUE"""),45.43)</f>
        <v>45.43</v>
      </c>
      <c r="AI594" s="320">
        <f>IFERROR(__xludf.DUMMYFUNCTION("""COMPUTED_VALUE"""),18.3)</f>
        <v>18.3</v>
      </c>
      <c r="AJ594" s="320">
        <f>IFERROR(__xludf.DUMMYFUNCTION("""COMPUTED_VALUE"""),5.21)</f>
        <v>5.21</v>
      </c>
      <c r="AK594" s="320">
        <f>IFERROR(__xludf.DUMMYFUNCTION("""COMPUTED_VALUE"""),0.1497)</f>
        <v>0.1497</v>
      </c>
      <c r="AL594" s="320">
        <f>IFERROR(__xludf.DUMMYFUNCTION("""COMPUTED_VALUE"""),20.27)</f>
        <v>20.27</v>
      </c>
      <c r="AM594" s="320">
        <f>IFERROR(__xludf.DUMMYFUNCTION("""COMPUTED_VALUE"""),498.14)</f>
        <v>498.14</v>
      </c>
      <c r="AN594" s="320">
        <f>IFERROR(__xludf.DUMMYFUNCTION("""COMPUTED_VALUE"""),77.62)</f>
        <v>77.62</v>
      </c>
      <c r="AO594" s="320">
        <f>IFERROR(__xludf.DUMMYFUNCTION("""COMPUTED_VALUE"""),15.73)</f>
        <v>15.73</v>
      </c>
    </row>
    <row r="595" ht="15.0" customHeight="1">
      <c r="A595" s="328">
        <f>IFERROR(__xludf.DUMMYFUNCTION("""COMPUTED_VALUE"""),46148.0)</f>
        <v>46148</v>
      </c>
      <c r="B595" s="319" t="str">
        <f>IFERROR(__xludf.DUMMYFUNCTION("""COMPUTED_VALUE"""),"F. 100+")</f>
        <v>F. 100+</v>
      </c>
      <c r="C595" s="320">
        <f>IFERROR(__xludf.DUMMYFUNCTION("""COMPUTED_VALUE"""),331.0)</f>
        <v>331</v>
      </c>
      <c r="D595" s="320">
        <f>IFERROR(__xludf.DUMMYFUNCTION("""COMPUTED_VALUE"""),0.45)</f>
        <v>0.45</v>
      </c>
      <c r="E595" s="320">
        <f>IFERROR(__xludf.DUMMYFUNCTION("""COMPUTED_VALUE"""),4762.35)</f>
        <v>4762.35</v>
      </c>
      <c r="F595" s="320">
        <f>IFERROR(__xludf.DUMMYFUNCTION("""COMPUTED_VALUE"""),14.3878)</f>
        <v>14.3878</v>
      </c>
      <c r="G595" s="320">
        <f>IFERROR(__xludf.DUMMYFUNCTION("""COMPUTED_VALUE"""),56.8)</f>
        <v>56.8</v>
      </c>
      <c r="H595" s="320">
        <f>IFERROR(__xludf.DUMMYFUNCTION("""COMPUTED_VALUE"""),25.3316)</f>
        <v>25.3316</v>
      </c>
      <c r="I595" s="320">
        <f>IFERROR(__xludf.DUMMYFUNCTION("""COMPUTED_VALUE"""),247.68)</f>
        <v>247.68</v>
      </c>
      <c r="J595" s="320">
        <f>IFERROR(__xludf.DUMMYFUNCTION("""COMPUTED_VALUE"""),158.51)</f>
        <v>158.51</v>
      </c>
      <c r="K595" s="320">
        <f>IFERROR(__xludf.DUMMYFUNCTION("""COMPUTED_VALUE"""),125.28)</f>
        <v>125.28</v>
      </c>
      <c r="L595" s="320">
        <f>IFERROR(__xludf.DUMMYFUNCTION("""COMPUTED_VALUE"""),0.7903)</f>
        <v>0.7903</v>
      </c>
      <c r="M595" s="320">
        <f>IFERROR(__xludf.DUMMYFUNCTION("""COMPUTED_VALUE"""),0.2959)</f>
        <v>0.2959</v>
      </c>
      <c r="N595" s="320">
        <f>IFERROR(__xludf.DUMMYFUNCTION("""COMPUTED_VALUE"""),0.1797)</f>
        <v>0.1797</v>
      </c>
      <c r="O595" s="320">
        <f>IFERROR(__xludf.DUMMYFUNCTION("""COMPUTED_VALUE"""),1.2653)</f>
        <v>1.2653</v>
      </c>
      <c r="P595" s="320">
        <f>IFERROR(__xludf.DUMMYFUNCTION("""COMPUTED_VALUE"""),1304.22)</f>
        <v>1304.22</v>
      </c>
      <c r="Q595" s="320">
        <f>IFERROR(__xludf.DUMMYFUNCTION("""COMPUTED_VALUE"""),1079.81)</f>
        <v>1079.81</v>
      </c>
      <c r="R595" s="320">
        <f>IFERROR(__xludf.DUMMYFUNCTION("""COMPUTED_VALUE"""),224.41)</f>
        <v>224.41</v>
      </c>
      <c r="S595" s="320">
        <f>IFERROR(__xludf.DUMMYFUNCTION("""COMPUTED_VALUE"""),884.17)</f>
        <v>884.17</v>
      </c>
      <c r="T595" s="320">
        <f>IFERROR(__xludf.DUMMYFUNCTION("""COMPUTED_VALUE"""),420.05)</f>
        <v>420.05</v>
      </c>
      <c r="U595" s="320">
        <f>IFERROR(__xludf.DUMMYFUNCTION("""COMPUTED_VALUE"""),1368.73)</f>
        <v>1368.73</v>
      </c>
      <c r="V595" s="320">
        <f>IFERROR(__xludf.DUMMYFUNCTION("""COMPUTED_VALUE"""),8.6348)</f>
        <v>8.6348</v>
      </c>
      <c r="W595" s="320">
        <f>IFERROR(__xludf.DUMMYFUNCTION("""COMPUTED_VALUE"""),67.79)</f>
        <v>67.79</v>
      </c>
      <c r="X595" s="320">
        <f>IFERROR(__xludf.DUMMYFUNCTION("""COMPUTED_VALUE"""),127.0)</f>
        <v>127</v>
      </c>
      <c r="Y595" s="320">
        <f>IFERROR(__xludf.DUMMYFUNCTION("""COMPUTED_VALUE"""),520.0)</f>
        <v>520</v>
      </c>
      <c r="Z595" s="320">
        <f>IFERROR(__xludf.DUMMYFUNCTION("""COMPUTED_VALUE"""),2659.0)</f>
        <v>2659</v>
      </c>
      <c r="AA595" s="320">
        <f>IFERROR(__xludf.DUMMYFUNCTION("""COMPUTED_VALUE"""),61.5413)</f>
        <v>61.5413</v>
      </c>
      <c r="AB595" s="320">
        <f>IFERROR(__xludf.DUMMYFUNCTION("""COMPUTED_VALUE"""),0.8357)</f>
        <v>0.8357</v>
      </c>
      <c r="AC595" s="320">
        <f>IFERROR(__xludf.DUMMYFUNCTION("""COMPUTED_VALUE"""),81.94)</f>
        <v>81.94</v>
      </c>
      <c r="AD595" s="320">
        <f>IFERROR(__xludf.DUMMYFUNCTION("""COMPUTED_VALUE"""),25.0)</f>
        <v>25</v>
      </c>
      <c r="AE595" s="320">
        <f>IFERROR(__xludf.DUMMYFUNCTION("""COMPUTED_VALUE"""),67.0)</f>
        <v>67</v>
      </c>
      <c r="AF595" s="320">
        <f>IFERROR(__xludf.DUMMYFUNCTION("""COMPUTED_VALUE"""),122.0)</f>
        <v>122</v>
      </c>
      <c r="AG595" s="320">
        <f>IFERROR(__xludf.DUMMYFUNCTION("""COMPUTED_VALUE"""),176.0)</f>
        <v>176</v>
      </c>
      <c r="AH595" s="320">
        <f>IFERROR(__xludf.DUMMYFUNCTION("""COMPUTED_VALUE"""),43.5)</f>
        <v>43.5</v>
      </c>
      <c r="AI595" s="320">
        <f>IFERROR(__xludf.DUMMYFUNCTION("""COMPUTED_VALUE"""),9.97)</f>
        <v>9.97</v>
      </c>
      <c r="AJ595" s="320">
        <f>IFERROR(__xludf.DUMMYFUNCTION("""COMPUTED_VALUE"""),0.91)</f>
        <v>0.91</v>
      </c>
      <c r="AK595" s="320">
        <f>IFERROR(__xludf.DUMMYFUNCTION("""COMPUTED_VALUE"""),0.1239)</f>
        <v>0.1239</v>
      </c>
      <c r="AL595" s="320">
        <f>IFERROR(__xludf.DUMMYFUNCTION("""COMPUTED_VALUE"""),20.14)</f>
        <v>20.14</v>
      </c>
      <c r="AM595" s="320">
        <f>IFERROR(__xludf.DUMMYFUNCTION("""COMPUTED_VALUE"""),1059.68)</f>
        <v>1059.68</v>
      </c>
      <c r="AN595" s="320">
        <f>IFERROR(__xludf.DUMMYFUNCTION("""COMPUTED_VALUE"""),71.73)</f>
        <v>71.73</v>
      </c>
      <c r="AO595" s="320">
        <f>IFERROR(__xludf.DUMMYFUNCTION("""COMPUTED_VALUE"""),14.45)</f>
        <v>14.45</v>
      </c>
    </row>
    <row r="596" ht="15.0" customHeight="1">
      <c r="A596" s="328">
        <f>IFERROR(__xludf.DUMMYFUNCTION("""COMPUTED_VALUE"""),46149.0)</f>
        <v>46149</v>
      </c>
      <c r="B596" s="319" t="str">
        <f>IFERROR(__xludf.DUMMYFUNCTION("""COMPUTED_VALUE"""),"A. 0")</f>
        <v>A. 0</v>
      </c>
      <c r="C596" s="320">
        <f>IFERROR(__xludf.DUMMYFUNCTION("""COMPUTED_VALUE"""),16359.0)</f>
        <v>16359</v>
      </c>
      <c r="D596" s="320">
        <f>IFERROR(__xludf.DUMMYFUNCTION("""COMPUTED_VALUE"""),22.68)</f>
        <v>22.68</v>
      </c>
      <c r="E596" s="320">
        <f>IFERROR(__xludf.DUMMYFUNCTION("""COMPUTED_VALUE"""),61.1)</f>
        <v>61.1</v>
      </c>
      <c r="F596" s="320">
        <f>IFERROR(__xludf.DUMMYFUNCTION("""COMPUTED_VALUE"""),0.0037)</f>
        <v>0.0037</v>
      </c>
      <c r="G596" s="320">
        <f>IFERROR(__xludf.DUMMYFUNCTION("""COMPUTED_VALUE"""),0.15)</f>
        <v>0.15</v>
      </c>
      <c r="H596" s="320">
        <f>IFERROR(__xludf.DUMMYFUNCTION("""COMPUTED_VALUE"""),2.444)</f>
        <v>2.444</v>
      </c>
      <c r="I596" s="320">
        <f>IFERROR(__xludf.DUMMYFUNCTION("""COMPUTED_VALUE"""),6.36)</f>
        <v>6.36</v>
      </c>
      <c r="J596" s="320">
        <f>IFERROR(__xludf.DUMMYFUNCTION("""COMPUTED_VALUE"""),2.83)</f>
        <v>2.83</v>
      </c>
      <c r="K596" s="320">
        <f>IFERROR(__xludf.DUMMYFUNCTION("""COMPUTED_VALUE"""),0.03)</f>
        <v>0.03</v>
      </c>
      <c r="L596" s="320">
        <f>IFERROR(__xludf.DUMMYFUNCTION("""COMPUTED_VALUE"""),0.0099)</f>
        <v>0.0099</v>
      </c>
      <c r="M596" s="320">
        <f>IFERROR(__xludf.DUMMYFUNCTION("""COMPUTED_VALUE"""),0.9909)</f>
        <v>0.9909</v>
      </c>
      <c r="N596" s="320">
        <f>IFERROR(__xludf.DUMMYFUNCTION("""COMPUTED_VALUE"""),0.8767)</f>
        <v>0.8767</v>
      </c>
      <c r="O596" s="320">
        <f>IFERROR(__xludf.DUMMYFUNCTION("""COMPUTED_VALUE"""),101.2188)</f>
        <v>101.2188</v>
      </c>
      <c r="P596" s="320">
        <f>IFERROR(__xludf.DUMMYFUNCTION("""COMPUTED_VALUE"""),23.81)</f>
        <v>23.81</v>
      </c>
      <c r="Q596" s="320">
        <f>IFERROR(__xludf.DUMMYFUNCTION("""COMPUTED_VALUE"""),23.75)</f>
        <v>23.75</v>
      </c>
      <c r="R596" s="320">
        <f>IFERROR(__xludf.DUMMYFUNCTION("""COMPUTED_VALUE"""),0.05)</f>
        <v>0.05</v>
      </c>
      <c r="S596" s="320">
        <f>IFERROR(__xludf.DUMMYFUNCTION("""COMPUTED_VALUE"""),0.65)</f>
        <v>0.65</v>
      </c>
      <c r="T596" s="320">
        <f>IFERROR(__xludf.DUMMYFUNCTION("""COMPUTED_VALUE"""),23.16)</f>
        <v>23.16</v>
      </c>
      <c r="U596" s="320">
        <f>IFERROR(__xludf.DUMMYFUNCTION("""COMPUTED_VALUE"""),2.11)</f>
        <v>2.11</v>
      </c>
      <c r="V596" s="320">
        <f>IFERROR(__xludf.DUMMYFUNCTION("""COMPUTED_VALUE"""),0.7448)</f>
        <v>0.7448</v>
      </c>
      <c r="W596" s="320">
        <f>IFERROR(__xludf.DUMMYFUNCTION("""COMPUTED_VALUE"""),2.72)</f>
        <v>2.72</v>
      </c>
      <c r="X596" s="320">
        <f>IFERROR(__xludf.DUMMYFUNCTION("""COMPUTED_VALUE"""),138.0)</f>
        <v>138</v>
      </c>
      <c r="Y596" s="320">
        <f>IFERROR(__xludf.DUMMYFUNCTION("""COMPUTED_VALUE"""),1101.0)</f>
        <v>1101</v>
      </c>
      <c r="Z596" s="320">
        <f>IFERROR(__xludf.DUMMYFUNCTION("""COMPUTED_VALUE"""),7420.0)</f>
        <v>7420</v>
      </c>
      <c r="AA596" s="320">
        <f>IFERROR(__xludf.DUMMYFUNCTION("""COMPUTED_VALUE"""),49.7435)</f>
        <v>49.7435</v>
      </c>
      <c r="AB596" s="320">
        <f>IFERROR(__xludf.DUMMYFUNCTION("""COMPUTED_VALUE"""),0.5067)</f>
        <v>0.5067</v>
      </c>
      <c r="AC596" s="106"/>
      <c r="AD596" s="106"/>
      <c r="AE596" s="106"/>
      <c r="AF596" s="106"/>
      <c r="AG596" s="106"/>
      <c r="AH596" s="320">
        <f>IFERROR(__xludf.DUMMYFUNCTION("""COMPUTED_VALUE"""),0.0)</f>
        <v>0</v>
      </c>
      <c r="AI596" s="320">
        <f>IFERROR(__xludf.DUMMYFUNCTION("""COMPUTED_VALUE"""),0.0)</f>
        <v>0</v>
      </c>
      <c r="AJ596" s="320">
        <f>IFERROR(__xludf.DUMMYFUNCTION("""COMPUTED_VALUE"""),0.0)</f>
        <v>0</v>
      </c>
      <c r="AK596" s="320">
        <f>IFERROR(__xludf.DUMMYFUNCTION("""COMPUTED_VALUE"""),0.2677)</f>
        <v>0.2677</v>
      </c>
      <c r="AL596" s="320">
        <f>IFERROR(__xludf.DUMMYFUNCTION("""COMPUTED_VALUE"""),16.07)</f>
        <v>16.07</v>
      </c>
      <c r="AM596" s="320">
        <f>IFERROR(__xludf.DUMMYFUNCTION("""COMPUTED_VALUE"""),7.68)</f>
        <v>7.68</v>
      </c>
      <c r="AN596" s="331"/>
      <c r="AO596" s="331"/>
    </row>
    <row r="597" ht="15.0" customHeight="1">
      <c r="A597" s="328">
        <f>IFERROR(__xludf.DUMMYFUNCTION("""COMPUTED_VALUE"""),46149.0)</f>
        <v>46149</v>
      </c>
      <c r="B597" s="319" t="str">
        <f>IFERROR(__xludf.DUMMYFUNCTION("""COMPUTED_VALUE"""),"B. 1-9")</f>
        <v>B. 1-9</v>
      </c>
      <c r="C597" s="320">
        <f>IFERROR(__xludf.DUMMYFUNCTION("""COMPUTED_VALUE"""),30278.0)</f>
        <v>30278</v>
      </c>
      <c r="D597" s="320">
        <f>IFERROR(__xludf.DUMMYFUNCTION("""COMPUTED_VALUE"""),41.97)</f>
        <v>41.97</v>
      </c>
      <c r="E597" s="320">
        <f>IFERROR(__xludf.DUMMYFUNCTION("""COMPUTED_VALUE"""),6897.84)</f>
        <v>6897.84</v>
      </c>
      <c r="F597" s="320">
        <f>IFERROR(__xludf.DUMMYFUNCTION("""COMPUTED_VALUE"""),0.2278)</f>
        <v>0.2278</v>
      </c>
      <c r="G597" s="320">
        <f>IFERROR(__xludf.DUMMYFUNCTION("""COMPUTED_VALUE"""),6.54)</f>
        <v>6.54</v>
      </c>
      <c r="H597" s="320">
        <f>IFERROR(__xludf.DUMMYFUNCTION("""COMPUTED_VALUE"""),3.4838)</f>
        <v>3.4838</v>
      </c>
      <c r="I597" s="320">
        <f>IFERROR(__xludf.DUMMYFUNCTION("""COMPUTED_VALUE"""),28.86)</f>
        <v>28.86</v>
      </c>
      <c r="J597" s="320">
        <f>IFERROR(__xludf.DUMMYFUNCTION("""COMPUTED_VALUE"""),15.14)</f>
        <v>15.14</v>
      </c>
      <c r="K597" s="320">
        <f>IFERROR(__xludf.DUMMYFUNCTION("""COMPUTED_VALUE"""),4.85)</f>
        <v>4.85</v>
      </c>
      <c r="L597" s="320">
        <f>IFERROR(__xludf.DUMMYFUNCTION("""COMPUTED_VALUE"""),0.3203)</f>
        <v>0.3203</v>
      </c>
      <c r="M597" s="320">
        <f>IFERROR(__xludf.DUMMYFUNCTION("""COMPUTED_VALUE"""),0.7532)</f>
        <v>0.7532</v>
      </c>
      <c r="N597" s="320">
        <f>IFERROR(__xludf.DUMMYFUNCTION("""COMPUTED_VALUE"""),0.523)</f>
        <v>0.523</v>
      </c>
      <c r="O597" s="320">
        <f>IFERROR(__xludf.DUMMYFUNCTION("""COMPUTED_VALUE"""),3.1218)</f>
        <v>3.1218</v>
      </c>
      <c r="P597" s="320">
        <f>IFERROR(__xludf.DUMMYFUNCTION("""COMPUTED_VALUE"""),61.24)</f>
        <v>61.24</v>
      </c>
      <c r="Q597" s="320">
        <f>IFERROR(__xludf.DUMMYFUNCTION("""COMPUTED_VALUE"""),52.92)</f>
        <v>52.92</v>
      </c>
      <c r="R597" s="320">
        <f>IFERROR(__xludf.DUMMYFUNCTION("""COMPUTED_VALUE"""),8.32)</f>
        <v>8.32</v>
      </c>
      <c r="S597" s="320">
        <f>IFERROR(__xludf.DUMMYFUNCTION("""COMPUTED_VALUE"""),15.19)</f>
        <v>15.19</v>
      </c>
      <c r="T597" s="320">
        <f>IFERROR(__xludf.DUMMYFUNCTION("""COMPUTED_VALUE"""),46.05)</f>
        <v>46.05</v>
      </c>
      <c r="U597" s="320">
        <f>IFERROR(__xludf.DUMMYFUNCTION("""COMPUTED_VALUE"""),66.29)</f>
        <v>66.29</v>
      </c>
      <c r="V597" s="320">
        <f>IFERROR(__xludf.DUMMYFUNCTION("""COMPUTED_VALUE"""),4.3789)</f>
        <v>4.3789</v>
      </c>
      <c r="W597" s="320">
        <f>IFERROR(__xludf.DUMMYFUNCTION("""COMPUTED_VALUE"""),24.8)</f>
        <v>24.8</v>
      </c>
      <c r="X597" s="320">
        <f>IFERROR(__xludf.DUMMYFUNCTION("""COMPUTED_VALUE"""),85.0)</f>
        <v>85</v>
      </c>
      <c r="Y597" s="320">
        <f>IFERROR(__xludf.DUMMYFUNCTION("""COMPUTED_VALUE"""),197.0)</f>
        <v>197</v>
      </c>
      <c r="Z597" s="320">
        <f>IFERROR(__xludf.DUMMYFUNCTION("""COMPUTED_VALUE"""),835.0)</f>
        <v>835</v>
      </c>
      <c r="AA597" s="320">
        <f>IFERROR(__xludf.DUMMYFUNCTION("""COMPUTED_VALUE"""),49.7657)</f>
        <v>49.7657</v>
      </c>
      <c r="AB597" s="320">
        <f>IFERROR(__xludf.DUMMYFUNCTION("""COMPUTED_VALUE"""),0.447)</f>
        <v>0.447</v>
      </c>
      <c r="AC597" s="320">
        <f>IFERROR(__xludf.DUMMYFUNCTION("""COMPUTED_VALUE"""),3.33)</f>
        <v>3.33</v>
      </c>
      <c r="AD597" s="320">
        <f>IFERROR(__xludf.DUMMYFUNCTION("""COMPUTED_VALUE"""),1.0)</f>
        <v>1</v>
      </c>
      <c r="AE597" s="320">
        <f>IFERROR(__xludf.DUMMYFUNCTION("""COMPUTED_VALUE"""),2.0)</f>
        <v>2</v>
      </c>
      <c r="AF597" s="320">
        <f>IFERROR(__xludf.DUMMYFUNCTION("""COMPUTED_VALUE"""),4.0)</f>
        <v>4</v>
      </c>
      <c r="AG597" s="320">
        <f>IFERROR(__xludf.DUMMYFUNCTION("""COMPUTED_VALUE"""),7.0)</f>
        <v>7</v>
      </c>
      <c r="AH597" s="320">
        <f>IFERROR(__xludf.DUMMYFUNCTION("""COMPUTED_VALUE"""),63.48)</f>
        <v>63.48</v>
      </c>
      <c r="AI597" s="320">
        <f>IFERROR(__xludf.DUMMYFUNCTION("""COMPUTED_VALUE"""),22.92)</f>
        <v>22.92</v>
      </c>
      <c r="AJ597" s="320">
        <f>IFERROR(__xludf.DUMMYFUNCTION("""COMPUTED_VALUE"""),6.36)</f>
        <v>6.36</v>
      </c>
      <c r="AK597" s="320">
        <f>IFERROR(__xludf.DUMMYFUNCTION("""COMPUTED_VALUE"""),0.2212)</f>
        <v>0.2212</v>
      </c>
      <c r="AL597" s="320">
        <f>IFERROR(__xludf.DUMMYFUNCTION("""COMPUTED_VALUE"""),20.09)</f>
        <v>20.09</v>
      </c>
      <c r="AM597" s="320">
        <f>IFERROR(__xludf.DUMMYFUNCTION("""COMPUTED_VALUE"""),32.83)</f>
        <v>32.83</v>
      </c>
      <c r="AN597" s="320">
        <f>IFERROR(__xludf.DUMMYFUNCTION("""COMPUTED_VALUE"""),68.38)</f>
        <v>68.38</v>
      </c>
      <c r="AO597" s="320">
        <f>IFERROR(__xludf.DUMMYFUNCTION("""COMPUTED_VALUE"""),13.74)</f>
        <v>13.74</v>
      </c>
    </row>
    <row r="598" ht="15.0" customHeight="1">
      <c r="A598" s="328">
        <f>IFERROR(__xludf.DUMMYFUNCTION("""COMPUTED_VALUE"""),46149.0)</f>
        <v>46149</v>
      </c>
      <c r="B598" s="319" t="str">
        <f>IFERROR(__xludf.DUMMYFUNCTION("""COMPUTED_VALUE"""),"C. 10-19")</f>
        <v>C. 10-19</v>
      </c>
      <c r="C598" s="320">
        <f>IFERROR(__xludf.DUMMYFUNCTION("""COMPUTED_VALUE"""),14520.0)</f>
        <v>14520</v>
      </c>
      <c r="D598" s="320">
        <f>IFERROR(__xludf.DUMMYFUNCTION("""COMPUTED_VALUE"""),20.13)</f>
        <v>20.13</v>
      </c>
      <c r="E598" s="320">
        <f>IFERROR(__xludf.DUMMYFUNCTION("""COMPUTED_VALUE"""),15146.74)</f>
        <v>15146.74</v>
      </c>
      <c r="F598" s="320">
        <f>IFERROR(__xludf.DUMMYFUNCTION("""COMPUTED_VALUE"""),1.0432)</f>
        <v>1.0432</v>
      </c>
      <c r="G598" s="320">
        <f>IFERROR(__xludf.DUMMYFUNCTION("""COMPUTED_VALUE"""),20.79)</f>
        <v>20.79</v>
      </c>
      <c r="H598" s="320">
        <f>IFERROR(__xludf.DUMMYFUNCTION("""COMPUTED_VALUE"""),5.0171)</f>
        <v>5.0171</v>
      </c>
      <c r="I598" s="320">
        <f>IFERROR(__xludf.DUMMYFUNCTION("""COMPUTED_VALUE"""),52.1)</f>
        <v>52.1</v>
      </c>
      <c r="J598" s="320">
        <f>IFERROR(__xludf.DUMMYFUNCTION("""COMPUTED_VALUE"""),29.28)</f>
        <v>29.28</v>
      </c>
      <c r="K598" s="320">
        <f>IFERROR(__xludf.DUMMYFUNCTION("""COMPUTED_VALUE"""),12.88)</f>
        <v>12.88</v>
      </c>
      <c r="L598" s="320">
        <f>IFERROR(__xludf.DUMMYFUNCTION("""COMPUTED_VALUE"""),0.4397)</f>
        <v>0.4397</v>
      </c>
      <c r="M598" s="320">
        <f>IFERROR(__xludf.DUMMYFUNCTION("""COMPUTED_VALUE"""),0.6273)</f>
        <v>0.6273</v>
      </c>
      <c r="N598" s="320">
        <f>IFERROR(__xludf.DUMMYFUNCTION("""COMPUTED_VALUE"""),0.3635)</f>
        <v>0.3635</v>
      </c>
      <c r="O598" s="320">
        <f>IFERROR(__xludf.DUMMYFUNCTION("""COMPUTED_VALUE"""),2.2741)</f>
        <v>2.2741</v>
      </c>
      <c r="P598" s="320">
        <f>IFERROR(__xludf.DUMMYFUNCTION("""COMPUTED_VALUE"""),163.73)</f>
        <v>163.73</v>
      </c>
      <c r="Q598" s="320">
        <f>IFERROR(__xludf.DUMMYFUNCTION("""COMPUTED_VALUE"""),142.53)</f>
        <v>142.53</v>
      </c>
      <c r="R598" s="320">
        <f>IFERROR(__xludf.DUMMYFUNCTION("""COMPUTED_VALUE"""),21.2)</f>
        <v>21.2</v>
      </c>
      <c r="S598" s="320">
        <f>IFERROR(__xludf.DUMMYFUNCTION("""COMPUTED_VALUE"""),67.76)</f>
        <v>67.76</v>
      </c>
      <c r="T598" s="320">
        <f>IFERROR(__xludf.DUMMYFUNCTION("""COMPUTED_VALUE"""),95.96)</f>
        <v>95.96</v>
      </c>
      <c r="U598" s="320">
        <f>IFERROR(__xludf.DUMMYFUNCTION("""COMPUTED_VALUE"""),165.46)</f>
        <v>165.46</v>
      </c>
      <c r="V598" s="320">
        <f>IFERROR(__xludf.DUMMYFUNCTION("""COMPUTED_VALUE"""),5.6507)</f>
        <v>5.6507</v>
      </c>
      <c r="W598" s="320">
        <f>IFERROR(__xludf.DUMMYFUNCTION("""COMPUTED_VALUE"""),41.39)</f>
        <v>41.39</v>
      </c>
      <c r="X598" s="320">
        <f>IFERROR(__xludf.DUMMYFUNCTION("""COMPUTED_VALUE"""),83.0)</f>
        <v>83</v>
      </c>
      <c r="Y598" s="320">
        <f>IFERROR(__xludf.DUMMYFUNCTION("""COMPUTED_VALUE"""),188.0)</f>
        <v>188</v>
      </c>
      <c r="Z598" s="320">
        <f>IFERROR(__xludf.DUMMYFUNCTION("""COMPUTED_VALUE"""),592.0)</f>
        <v>592</v>
      </c>
      <c r="AA598" s="320">
        <f>IFERROR(__xludf.DUMMYFUNCTION("""COMPUTED_VALUE"""),52.3954)</f>
        <v>52.3954</v>
      </c>
      <c r="AB598" s="320">
        <f>IFERROR(__xludf.DUMMYFUNCTION("""COMPUTED_VALUE"""),0.5339)</f>
        <v>0.5339</v>
      </c>
      <c r="AC598" s="320">
        <f>IFERROR(__xludf.DUMMYFUNCTION("""COMPUTED_VALUE"""),8.27)</f>
        <v>8.27</v>
      </c>
      <c r="AD598" s="320">
        <f>IFERROR(__xludf.DUMMYFUNCTION("""COMPUTED_VALUE"""),2.0)</f>
        <v>2</v>
      </c>
      <c r="AE598" s="320">
        <f>IFERROR(__xludf.DUMMYFUNCTION("""COMPUTED_VALUE"""),6.0)</f>
        <v>6</v>
      </c>
      <c r="AF598" s="320">
        <f>IFERROR(__xludf.DUMMYFUNCTION("""COMPUTED_VALUE"""),11.0)</f>
        <v>11</v>
      </c>
      <c r="AG598" s="320">
        <f>IFERROR(__xludf.DUMMYFUNCTION("""COMPUTED_VALUE"""),19.0)</f>
        <v>19</v>
      </c>
      <c r="AH598" s="320">
        <f>IFERROR(__xludf.DUMMYFUNCTION("""COMPUTED_VALUE"""),49.85)</f>
        <v>49.85</v>
      </c>
      <c r="AI598" s="320">
        <f>IFERROR(__xludf.DUMMYFUNCTION("""COMPUTED_VALUE"""),21.91)</f>
        <v>21.91</v>
      </c>
      <c r="AJ598" s="320">
        <f>IFERROR(__xludf.DUMMYFUNCTION("""COMPUTED_VALUE"""),4.38)</f>
        <v>4.38</v>
      </c>
      <c r="AK598" s="320">
        <f>IFERROR(__xludf.DUMMYFUNCTION("""COMPUTED_VALUE"""),0.1988)</f>
        <v>0.1988</v>
      </c>
      <c r="AL598" s="320">
        <f>IFERROR(__xludf.DUMMYFUNCTION("""COMPUTED_VALUE"""),20.34)</f>
        <v>20.34</v>
      </c>
      <c r="AM598" s="320">
        <f>IFERROR(__xludf.DUMMYFUNCTION("""COMPUTED_VALUE"""),122.19)</f>
        <v>122.19</v>
      </c>
      <c r="AN598" s="320">
        <f>IFERROR(__xludf.DUMMYFUNCTION("""COMPUTED_VALUE"""),73.16)</f>
        <v>73.16</v>
      </c>
      <c r="AO598" s="320">
        <f>IFERROR(__xludf.DUMMYFUNCTION("""COMPUTED_VALUE"""),14.88)</f>
        <v>14.88</v>
      </c>
    </row>
    <row r="599" ht="15.0" customHeight="1">
      <c r="A599" s="328">
        <f>IFERROR(__xludf.DUMMYFUNCTION("""COMPUTED_VALUE"""),46149.0)</f>
        <v>46149</v>
      </c>
      <c r="B599" s="319" t="str">
        <f>IFERROR(__xludf.DUMMYFUNCTION("""COMPUTED_VALUE"""),"D. 20-39")</f>
        <v>D. 20-39</v>
      </c>
      <c r="C599" s="320">
        <f>IFERROR(__xludf.DUMMYFUNCTION("""COMPUTED_VALUE"""),7536.0)</f>
        <v>7536</v>
      </c>
      <c r="D599" s="320">
        <f>IFERROR(__xludf.DUMMYFUNCTION("""COMPUTED_VALUE"""),10.45)</f>
        <v>10.45</v>
      </c>
      <c r="E599" s="320">
        <f>IFERROR(__xludf.DUMMYFUNCTION("""COMPUTED_VALUE"""),17102.68)</f>
        <v>17102.68</v>
      </c>
      <c r="F599" s="320">
        <f>IFERROR(__xludf.DUMMYFUNCTION("""COMPUTED_VALUE"""),2.2695)</f>
        <v>2.2695</v>
      </c>
      <c r="G599" s="320">
        <f>IFERROR(__xludf.DUMMYFUNCTION("""COMPUTED_VALUE"""),31.05)</f>
        <v>31.05</v>
      </c>
      <c r="H599" s="320">
        <f>IFERROR(__xludf.DUMMYFUNCTION("""COMPUTED_VALUE"""),7.3088)</f>
        <v>7.3088</v>
      </c>
      <c r="I599" s="320">
        <f>IFERROR(__xludf.DUMMYFUNCTION("""COMPUTED_VALUE"""),77.95)</f>
        <v>77.95</v>
      </c>
      <c r="J599" s="320">
        <f>IFERROR(__xludf.DUMMYFUNCTION("""COMPUTED_VALUE"""),45.73)</f>
        <v>45.73</v>
      </c>
      <c r="K599" s="320">
        <f>IFERROR(__xludf.DUMMYFUNCTION("""COMPUTED_VALUE"""),25.34)</f>
        <v>25.34</v>
      </c>
      <c r="L599" s="320">
        <f>IFERROR(__xludf.DUMMYFUNCTION("""COMPUTED_VALUE"""),0.554)</f>
        <v>0.554</v>
      </c>
      <c r="M599" s="320">
        <f>IFERROR(__xludf.DUMMYFUNCTION("""COMPUTED_VALUE"""),0.5211)</f>
        <v>0.5211</v>
      </c>
      <c r="N599" s="320">
        <f>IFERROR(__xludf.DUMMYFUNCTION("""COMPUTED_VALUE"""),0.2861)</f>
        <v>0.2861</v>
      </c>
      <c r="O599" s="320">
        <f>IFERROR(__xludf.DUMMYFUNCTION("""COMPUTED_VALUE"""),1.805)</f>
        <v>1.805</v>
      </c>
      <c r="P599" s="320">
        <f>IFERROR(__xludf.DUMMYFUNCTION("""COMPUTED_VALUE"""),332.04)</f>
        <v>332.04</v>
      </c>
      <c r="Q599" s="320">
        <f>IFERROR(__xludf.DUMMYFUNCTION("""COMPUTED_VALUE"""),288.27)</f>
        <v>288.27</v>
      </c>
      <c r="R599" s="320">
        <f>IFERROR(__xludf.DUMMYFUNCTION("""COMPUTED_VALUE"""),43.77)</f>
        <v>43.77</v>
      </c>
      <c r="S599" s="320">
        <f>IFERROR(__xludf.DUMMYFUNCTION("""COMPUTED_VALUE"""),146.76)</f>
        <v>146.76</v>
      </c>
      <c r="T599" s="320">
        <f>IFERROR(__xludf.DUMMYFUNCTION("""COMPUTED_VALUE"""),185.28)</f>
        <v>185.28</v>
      </c>
      <c r="U599" s="320">
        <f>IFERROR(__xludf.DUMMYFUNCTION("""COMPUTED_VALUE"""),330.41)</f>
        <v>330.41</v>
      </c>
      <c r="V599" s="320">
        <f>IFERROR(__xludf.DUMMYFUNCTION("""COMPUTED_VALUE"""),7.2253)</f>
        <v>7.2253</v>
      </c>
      <c r="W599" s="320">
        <f>IFERROR(__xludf.DUMMYFUNCTION("""COMPUTED_VALUE"""),44.2)</f>
        <v>44.2</v>
      </c>
      <c r="X599" s="320">
        <f>IFERROR(__xludf.DUMMYFUNCTION("""COMPUTED_VALUE"""),90.0)</f>
        <v>90</v>
      </c>
      <c r="Y599" s="320">
        <f>IFERROR(__xludf.DUMMYFUNCTION("""COMPUTED_VALUE"""),226.0)</f>
        <v>226</v>
      </c>
      <c r="Z599" s="320">
        <f>IFERROR(__xludf.DUMMYFUNCTION("""COMPUTED_VALUE"""),700.0)</f>
        <v>700</v>
      </c>
      <c r="AA599" s="320">
        <f>IFERROR(__xludf.DUMMYFUNCTION("""COMPUTED_VALUE"""),54.7605)</f>
        <v>54.7605</v>
      </c>
      <c r="AB599" s="320">
        <f>IFERROR(__xludf.DUMMYFUNCTION("""COMPUTED_VALUE"""),0.6484)</f>
        <v>0.6484</v>
      </c>
      <c r="AC599" s="320">
        <f>IFERROR(__xludf.DUMMYFUNCTION("""COMPUTED_VALUE"""),17.21)</f>
        <v>17.21</v>
      </c>
      <c r="AD599" s="320">
        <f>IFERROR(__xludf.DUMMYFUNCTION("""COMPUTED_VALUE"""),5.0)</f>
        <v>5</v>
      </c>
      <c r="AE599" s="320">
        <f>IFERROR(__xludf.DUMMYFUNCTION("""COMPUTED_VALUE"""),12.0)</f>
        <v>12</v>
      </c>
      <c r="AF599" s="320">
        <f>IFERROR(__xludf.DUMMYFUNCTION("""COMPUTED_VALUE"""),24.0)</f>
        <v>24</v>
      </c>
      <c r="AG599" s="320">
        <f>IFERROR(__xludf.DUMMYFUNCTION("""COMPUTED_VALUE"""),39.0)</f>
        <v>39</v>
      </c>
      <c r="AH599" s="320">
        <f>IFERROR(__xludf.DUMMYFUNCTION("""COMPUTED_VALUE"""),54.59)</f>
        <v>54.59</v>
      </c>
      <c r="AI599" s="320">
        <f>IFERROR(__xludf.DUMMYFUNCTION("""COMPUTED_VALUE"""),23.12)</f>
        <v>23.12</v>
      </c>
      <c r="AJ599" s="320">
        <f>IFERROR(__xludf.DUMMYFUNCTION("""COMPUTED_VALUE"""),8.05)</f>
        <v>8.05</v>
      </c>
      <c r="AK599" s="320">
        <f>IFERROR(__xludf.DUMMYFUNCTION("""COMPUTED_VALUE"""),0.1932)</f>
        <v>0.1932</v>
      </c>
      <c r="AL599" s="320">
        <f>IFERROR(__xludf.DUMMYFUNCTION("""COMPUTED_VALUE"""),19.77)</f>
        <v>19.77</v>
      </c>
      <c r="AM599" s="320">
        <f>IFERROR(__xludf.DUMMYFUNCTION("""COMPUTED_VALUE"""),268.5)</f>
        <v>268.5</v>
      </c>
      <c r="AN599" s="320">
        <f>IFERROR(__xludf.DUMMYFUNCTION("""COMPUTED_VALUE"""),74.63)</f>
        <v>74.63</v>
      </c>
      <c r="AO599" s="320">
        <f>IFERROR(__xludf.DUMMYFUNCTION("""COMPUTED_VALUE"""),14.75)</f>
        <v>14.75</v>
      </c>
    </row>
    <row r="600" ht="15.0" customHeight="1">
      <c r="A600" s="328">
        <f>IFERROR(__xludf.DUMMYFUNCTION("""COMPUTED_VALUE"""),46149.0)</f>
        <v>46149</v>
      </c>
      <c r="B600" s="319" t="str">
        <f>IFERROR(__xludf.DUMMYFUNCTION("""COMPUTED_VALUE"""),"E. 40-99")</f>
        <v>E. 40-99</v>
      </c>
      <c r="C600" s="320">
        <f>IFERROR(__xludf.DUMMYFUNCTION("""COMPUTED_VALUE"""),3119.0)</f>
        <v>3119</v>
      </c>
      <c r="D600" s="320">
        <f>IFERROR(__xludf.DUMMYFUNCTION("""COMPUTED_VALUE"""),4.32)</f>
        <v>4.32</v>
      </c>
      <c r="E600" s="320">
        <f>IFERROR(__xludf.DUMMYFUNCTION("""COMPUTED_VALUE"""),16392.47)</f>
        <v>16392.47</v>
      </c>
      <c r="F600" s="320">
        <f>IFERROR(__xludf.DUMMYFUNCTION("""COMPUTED_VALUE"""),5.2557)</f>
        <v>5.2557</v>
      </c>
      <c r="G600" s="320">
        <f>IFERROR(__xludf.DUMMYFUNCTION("""COMPUTED_VALUE"""),42.48)</f>
        <v>42.48</v>
      </c>
      <c r="H600" s="320">
        <f>IFERROR(__xludf.DUMMYFUNCTION("""COMPUTED_VALUE"""),12.3717)</f>
        <v>12.3717</v>
      </c>
      <c r="I600" s="320">
        <f>IFERROR(__xludf.DUMMYFUNCTION("""COMPUTED_VALUE"""),123.53)</f>
        <v>123.53</v>
      </c>
      <c r="J600" s="320">
        <f>IFERROR(__xludf.DUMMYFUNCTION("""COMPUTED_VALUE"""),75.74)</f>
        <v>75.74</v>
      </c>
      <c r="K600" s="320">
        <f>IFERROR(__xludf.DUMMYFUNCTION("""COMPUTED_VALUE"""),52.72)</f>
        <v>52.72</v>
      </c>
      <c r="L600" s="320">
        <f>IFERROR(__xludf.DUMMYFUNCTION("""COMPUTED_VALUE"""),0.6961)</f>
        <v>0.6961</v>
      </c>
      <c r="M600" s="320">
        <f>IFERROR(__xludf.DUMMYFUNCTION("""COMPUTED_VALUE"""),0.3932)</f>
        <v>0.3932</v>
      </c>
      <c r="N600" s="320">
        <f>IFERROR(__xludf.DUMMYFUNCTION("""COMPUTED_VALUE"""),0.2234)</f>
        <v>0.2234</v>
      </c>
      <c r="O600" s="320">
        <f>IFERROR(__xludf.DUMMYFUNCTION("""COMPUTED_VALUE"""),1.4367)</f>
        <v>1.4367</v>
      </c>
      <c r="P600" s="320">
        <f>IFERROR(__xludf.DUMMYFUNCTION("""COMPUTED_VALUE"""),713.56)</f>
        <v>713.56</v>
      </c>
      <c r="Q600" s="320">
        <f>IFERROR(__xludf.DUMMYFUNCTION("""COMPUTED_VALUE"""),621.69)</f>
        <v>621.69</v>
      </c>
      <c r="R600" s="320">
        <f>IFERROR(__xludf.DUMMYFUNCTION("""COMPUTED_VALUE"""),91.87)</f>
        <v>91.87</v>
      </c>
      <c r="S600" s="320">
        <f>IFERROR(__xludf.DUMMYFUNCTION("""COMPUTED_VALUE"""),327.88)</f>
        <v>327.88</v>
      </c>
      <c r="T600" s="320">
        <f>IFERROR(__xludf.DUMMYFUNCTION("""COMPUTED_VALUE"""),385.68)</f>
        <v>385.68</v>
      </c>
      <c r="U600" s="320">
        <f>IFERROR(__xludf.DUMMYFUNCTION("""COMPUTED_VALUE"""),685.08)</f>
        <v>685.08</v>
      </c>
      <c r="V600" s="320">
        <f>IFERROR(__xludf.DUMMYFUNCTION("""COMPUTED_VALUE"""),9.0448)</f>
        <v>9.0448</v>
      </c>
      <c r="W600" s="320">
        <f>IFERROR(__xludf.DUMMYFUNCTION("""COMPUTED_VALUE"""),45.95)</f>
        <v>45.95</v>
      </c>
      <c r="X600" s="320">
        <f>IFERROR(__xludf.DUMMYFUNCTION("""COMPUTED_VALUE"""),100.0)</f>
        <v>100</v>
      </c>
      <c r="Y600" s="320">
        <f>IFERROR(__xludf.DUMMYFUNCTION("""COMPUTED_VALUE"""),319.0)</f>
        <v>319</v>
      </c>
      <c r="Z600" s="320">
        <f>IFERROR(__xludf.DUMMYFUNCTION("""COMPUTED_VALUE"""),873.0)</f>
        <v>873</v>
      </c>
      <c r="AA600" s="320">
        <f>IFERROR(__xludf.DUMMYFUNCTION("""COMPUTED_VALUE"""),57.5784)</f>
        <v>57.5784</v>
      </c>
      <c r="AB600" s="320">
        <f>IFERROR(__xludf.DUMMYFUNCTION("""COMPUTED_VALUE"""),0.7483)</f>
        <v>0.7483</v>
      </c>
      <c r="AC600" s="320">
        <f>IFERROR(__xludf.DUMMYFUNCTION("""COMPUTED_VALUE"""),36.98)</f>
        <v>36.98</v>
      </c>
      <c r="AD600" s="320">
        <f>IFERROR(__xludf.DUMMYFUNCTION("""COMPUTED_VALUE"""),12.0)</f>
        <v>12</v>
      </c>
      <c r="AE600" s="320">
        <f>IFERROR(__xludf.DUMMYFUNCTION("""COMPUTED_VALUE"""),30.0)</f>
        <v>30</v>
      </c>
      <c r="AF600" s="320">
        <f>IFERROR(__xludf.DUMMYFUNCTION("""COMPUTED_VALUE"""),53.0)</f>
        <v>53</v>
      </c>
      <c r="AG600" s="320">
        <f>IFERROR(__xludf.DUMMYFUNCTION("""COMPUTED_VALUE"""),79.0)</f>
        <v>79</v>
      </c>
      <c r="AH600" s="320">
        <f>IFERROR(__xludf.DUMMYFUNCTION("""COMPUTED_VALUE"""),51.97)</f>
        <v>51.97</v>
      </c>
      <c r="AI600" s="320">
        <f>IFERROR(__xludf.DUMMYFUNCTION("""COMPUTED_VALUE"""),19.91)</f>
        <v>19.91</v>
      </c>
      <c r="AJ600" s="320">
        <f>IFERROR(__xludf.DUMMYFUNCTION("""COMPUTED_VALUE"""),4.81)</f>
        <v>4.81</v>
      </c>
      <c r="AK600" s="320">
        <f>IFERROR(__xludf.DUMMYFUNCTION("""COMPUTED_VALUE"""),0.1642)</f>
        <v>0.1642</v>
      </c>
      <c r="AL600" s="320">
        <f>IFERROR(__xludf.DUMMYFUNCTION("""COMPUTED_VALUE"""),20.04)</f>
        <v>20.04</v>
      </c>
      <c r="AM600" s="320">
        <f>IFERROR(__xludf.DUMMYFUNCTION("""COMPUTED_VALUE"""),601.65)</f>
        <v>601.65</v>
      </c>
      <c r="AN600" s="320">
        <f>IFERROR(__xludf.DUMMYFUNCTION("""COMPUTED_VALUE"""),76.77)</f>
        <v>76.77</v>
      </c>
      <c r="AO600" s="320">
        <f>IFERROR(__xludf.DUMMYFUNCTION("""COMPUTED_VALUE"""),15.38)</f>
        <v>15.38</v>
      </c>
    </row>
    <row r="601" ht="15.0" customHeight="1">
      <c r="A601" s="328">
        <f>IFERROR(__xludf.DUMMYFUNCTION("""COMPUTED_VALUE"""),46149.0)</f>
        <v>46149</v>
      </c>
      <c r="B601" s="319" t="str">
        <f>IFERROR(__xludf.DUMMYFUNCTION("""COMPUTED_VALUE"""),"F. 100+")</f>
        <v>F. 100+</v>
      </c>
      <c r="C601" s="320">
        <f>IFERROR(__xludf.DUMMYFUNCTION("""COMPUTED_VALUE"""),326.0)</f>
        <v>326</v>
      </c>
      <c r="D601" s="320">
        <f>IFERROR(__xludf.DUMMYFUNCTION("""COMPUTED_VALUE"""),0.45)</f>
        <v>0.45</v>
      </c>
      <c r="E601" s="320">
        <f>IFERROR(__xludf.DUMMYFUNCTION("""COMPUTED_VALUE"""),3516.54)</f>
        <v>3516.54</v>
      </c>
      <c r="F601" s="320">
        <f>IFERROR(__xludf.DUMMYFUNCTION("""COMPUTED_VALUE"""),10.7869)</f>
        <v>10.7869</v>
      </c>
      <c r="G601" s="320">
        <f>IFERROR(__xludf.DUMMYFUNCTION("""COMPUTED_VALUE"""),46.63)</f>
        <v>46.63</v>
      </c>
      <c r="H601" s="320">
        <f>IFERROR(__xludf.DUMMYFUNCTION("""COMPUTED_VALUE"""),23.1351)</f>
        <v>23.1351</v>
      </c>
      <c r="I601" s="320">
        <f>IFERROR(__xludf.DUMMYFUNCTION("""COMPUTED_VALUE"""),226.66)</f>
        <v>226.66</v>
      </c>
      <c r="J601" s="320">
        <f>IFERROR(__xludf.DUMMYFUNCTION("""COMPUTED_VALUE"""),151.76)</f>
        <v>151.76</v>
      </c>
      <c r="K601" s="320">
        <f>IFERROR(__xludf.DUMMYFUNCTION("""COMPUTED_VALUE"""),124.25)</f>
        <v>124.25</v>
      </c>
      <c r="L601" s="320">
        <f>IFERROR(__xludf.DUMMYFUNCTION("""COMPUTED_VALUE"""),0.8187)</f>
        <v>0.8187</v>
      </c>
      <c r="M601" s="320">
        <f>IFERROR(__xludf.DUMMYFUNCTION("""COMPUTED_VALUE"""),0.2728)</f>
        <v>0.2728</v>
      </c>
      <c r="N601" s="320">
        <f>IFERROR(__xludf.DUMMYFUNCTION("""COMPUTED_VALUE"""),0.1715)</f>
        <v>0.1715</v>
      </c>
      <c r="O601" s="320">
        <f>IFERROR(__xludf.DUMMYFUNCTION("""COMPUTED_VALUE"""),1.2215)</f>
        <v>1.2215</v>
      </c>
      <c r="P601" s="320">
        <f>IFERROR(__xludf.DUMMYFUNCTION("""COMPUTED_VALUE"""),1382.23)</f>
        <v>1382.23</v>
      </c>
      <c r="Q601" s="320">
        <f>IFERROR(__xludf.DUMMYFUNCTION("""COMPUTED_VALUE"""),1160.51)</f>
        <v>1160.51</v>
      </c>
      <c r="R601" s="320">
        <f>IFERROR(__xludf.DUMMYFUNCTION("""COMPUTED_VALUE"""),221.72)</f>
        <v>221.72</v>
      </c>
      <c r="S601" s="320">
        <f>IFERROR(__xludf.DUMMYFUNCTION("""COMPUTED_VALUE"""),631.72)</f>
        <v>631.72</v>
      </c>
      <c r="T601" s="320">
        <f>IFERROR(__xludf.DUMMYFUNCTION("""COMPUTED_VALUE"""),750.51)</f>
        <v>750.51</v>
      </c>
      <c r="U601" s="320">
        <f>IFERROR(__xludf.DUMMYFUNCTION("""COMPUTED_VALUE"""),1406.75)</f>
        <v>1406.75</v>
      </c>
      <c r="V601" s="320">
        <f>IFERROR(__xludf.DUMMYFUNCTION("""COMPUTED_VALUE"""),9.2693)</f>
        <v>9.2693</v>
      </c>
      <c r="W601" s="320">
        <f>IFERROR(__xludf.DUMMYFUNCTION("""COMPUTED_VALUE"""),45.7)</f>
        <v>45.7</v>
      </c>
      <c r="X601" s="320">
        <f>IFERROR(__xludf.DUMMYFUNCTION("""COMPUTED_VALUE"""),152.0)</f>
        <v>152</v>
      </c>
      <c r="Y601" s="320">
        <f>IFERROR(__xludf.DUMMYFUNCTION("""COMPUTED_VALUE"""),565.0)</f>
        <v>565</v>
      </c>
      <c r="Z601" s="320">
        <f>IFERROR(__xludf.DUMMYFUNCTION("""COMPUTED_VALUE"""),2774.0)</f>
        <v>2774</v>
      </c>
      <c r="AA601" s="320">
        <f>IFERROR(__xludf.DUMMYFUNCTION("""COMPUTED_VALUE"""),61.2834)</f>
        <v>61.2834</v>
      </c>
      <c r="AB601" s="320">
        <f>IFERROR(__xludf.DUMMYFUNCTION("""COMPUTED_VALUE"""),0.8224)</f>
        <v>0.8224</v>
      </c>
      <c r="AC601" s="320">
        <f>IFERROR(__xludf.DUMMYFUNCTION("""COMPUTED_VALUE"""),88.58)</f>
        <v>88.58</v>
      </c>
      <c r="AD601" s="320">
        <f>IFERROR(__xludf.DUMMYFUNCTION("""COMPUTED_VALUE"""),29.0)</f>
        <v>29</v>
      </c>
      <c r="AE601" s="320">
        <f>IFERROR(__xludf.DUMMYFUNCTION("""COMPUTED_VALUE"""),76.0)</f>
        <v>76</v>
      </c>
      <c r="AF601" s="320">
        <f>IFERROR(__xludf.DUMMYFUNCTION("""COMPUTED_VALUE"""),125.0)</f>
        <v>125</v>
      </c>
      <c r="AG601" s="320">
        <f>IFERROR(__xludf.DUMMYFUNCTION("""COMPUTED_VALUE"""),179.0)</f>
        <v>179</v>
      </c>
      <c r="AH601" s="320">
        <f>IFERROR(__xludf.DUMMYFUNCTION("""COMPUTED_VALUE"""),48.47)</f>
        <v>48.47</v>
      </c>
      <c r="AI601" s="320">
        <f>IFERROR(__xludf.DUMMYFUNCTION("""COMPUTED_VALUE"""),11.04)</f>
        <v>11.04</v>
      </c>
      <c r="AJ601" s="320">
        <f>IFERROR(__xludf.DUMMYFUNCTION("""COMPUTED_VALUE"""),2.45)</f>
        <v>2.45</v>
      </c>
      <c r="AK601" s="320">
        <f>IFERROR(__xludf.DUMMYFUNCTION("""COMPUTED_VALUE"""),0.0982)</f>
        <v>0.0982</v>
      </c>
      <c r="AL601" s="320">
        <f>IFERROR(__xludf.DUMMYFUNCTION("""COMPUTED_VALUE"""),16.13)</f>
        <v>16.13</v>
      </c>
      <c r="AM601" s="320">
        <f>IFERROR(__xludf.DUMMYFUNCTION("""COMPUTED_VALUE"""),1144.37)</f>
        <v>1144.37</v>
      </c>
      <c r="AN601" s="320">
        <f>IFERROR(__xludf.DUMMYFUNCTION("""COMPUTED_VALUE"""),72.83)</f>
        <v>72.83</v>
      </c>
      <c r="AO601" s="320">
        <f>IFERROR(__xludf.DUMMYFUNCTION("""COMPUTED_VALUE"""),11.75)</f>
        <v>11.75</v>
      </c>
    </row>
    <row r="602" ht="15.0" customHeight="1">
      <c r="A602" s="328">
        <f>IFERROR(__xludf.DUMMYFUNCTION("""COMPUTED_VALUE"""),46150.0)</f>
        <v>46150</v>
      </c>
      <c r="B602" s="319" t="str">
        <f>IFERROR(__xludf.DUMMYFUNCTION("""COMPUTED_VALUE"""),"A. 0")</f>
        <v>A. 0</v>
      </c>
      <c r="C602" s="320">
        <f>IFERROR(__xludf.DUMMYFUNCTION("""COMPUTED_VALUE"""),14610.0)</f>
        <v>14610</v>
      </c>
      <c r="D602" s="320">
        <f>IFERROR(__xludf.DUMMYFUNCTION("""COMPUTED_VALUE"""),20.63)</f>
        <v>20.63</v>
      </c>
      <c r="E602" s="320">
        <f>IFERROR(__xludf.DUMMYFUNCTION("""COMPUTED_VALUE"""),192.09)</f>
        <v>192.09</v>
      </c>
      <c r="F602" s="320">
        <f>IFERROR(__xludf.DUMMYFUNCTION("""COMPUTED_VALUE"""),0.0131)</f>
        <v>0.0131</v>
      </c>
      <c r="G602" s="320">
        <f>IFERROR(__xludf.DUMMYFUNCTION("""COMPUTED_VALUE"""),0.36)</f>
        <v>0.36</v>
      </c>
      <c r="H602" s="320">
        <f>IFERROR(__xludf.DUMMYFUNCTION("""COMPUTED_VALUE"""),3.6243)</f>
        <v>3.6243</v>
      </c>
      <c r="I602" s="320">
        <f>IFERROR(__xludf.DUMMYFUNCTION("""COMPUTED_VALUE"""),5.73)</f>
        <v>5.73</v>
      </c>
      <c r="J602" s="320">
        <f>IFERROR(__xludf.DUMMYFUNCTION("""COMPUTED_VALUE"""),2.42)</f>
        <v>2.42</v>
      </c>
      <c r="K602" s="320">
        <f>IFERROR(__xludf.DUMMYFUNCTION("""COMPUTED_VALUE"""),0.08)</f>
        <v>0.08</v>
      </c>
      <c r="L602" s="320">
        <f>IFERROR(__xludf.DUMMYFUNCTION("""COMPUTED_VALUE"""),0.0314)</f>
        <v>0.0314</v>
      </c>
      <c r="M602" s="320">
        <f>IFERROR(__xludf.DUMMYFUNCTION("""COMPUTED_VALUE"""),0.9703)</f>
        <v>0.9703</v>
      </c>
      <c r="N602" s="320">
        <f>IFERROR(__xludf.DUMMYFUNCTION("""COMPUTED_VALUE"""),0.7059)</f>
        <v>0.7059</v>
      </c>
      <c r="O602" s="320">
        <f>IFERROR(__xludf.DUMMYFUNCTION("""COMPUTED_VALUE"""),31.8475)</f>
        <v>31.8475</v>
      </c>
      <c r="P602" s="320">
        <f>IFERROR(__xludf.DUMMYFUNCTION("""COMPUTED_VALUE"""),30.73)</f>
        <v>30.73</v>
      </c>
      <c r="Q602" s="320">
        <f>IFERROR(__xludf.DUMMYFUNCTION("""COMPUTED_VALUE"""),30.67)</f>
        <v>30.67</v>
      </c>
      <c r="R602" s="320">
        <f>IFERROR(__xludf.DUMMYFUNCTION("""COMPUTED_VALUE"""),0.07)</f>
        <v>0.07</v>
      </c>
      <c r="S602" s="320">
        <f>IFERROR(__xludf.DUMMYFUNCTION("""COMPUTED_VALUE"""),1.04)</f>
        <v>1.04</v>
      </c>
      <c r="T602" s="320">
        <f>IFERROR(__xludf.DUMMYFUNCTION("""COMPUTED_VALUE"""),29.7)</f>
        <v>29.7</v>
      </c>
      <c r="U602" s="320">
        <f>IFERROR(__xludf.DUMMYFUNCTION("""COMPUTED_VALUE"""),2.07)</f>
        <v>2.07</v>
      </c>
      <c r="V602" s="320">
        <f>IFERROR(__xludf.DUMMYFUNCTION("""COMPUTED_VALUE"""),0.8573)</f>
        <v>0.8573</v>
      </c>
      <c r="W602" s="320">
        <f>IFERROR(__xludf.DUMMYFUNCTION("""COMPUTED_VALUE"""),3.38)</f>
        <v>3.38</v>
      </c>
      <c r="X602" s="320">
        <f>IFERROR(__xludf.DUMMYFUNCTION("""COMPUTED_VALUE"""),184.0)</f>
        <v>184</v>
      </c>
      <c r="Y602" s="320">
        <f>IFERROR(__xludf.DUMMYFUNCTION("""COMPUTED_VALUE"""),1432.0)</f>
        <v>1432</v>
      </c>
      <c r="Z602" s="320">
        <f>IFERROR(__xludf.DUMMYFUNCTION("""COMPUTED_VALUE"""),8354.0)</f>
        <v>8354</v>
      </c>
      <c r="AA602" s="320">
        <f>IFERROR(__xludf.DUMMYFUNCTION("""COMPUTED_VALUE"""),49.9749)</f>
        <v>49.9749</v>
      </c>
      <c r="AB602" s="320">
        <f>IFERROR(__xludf.DUMMYFUNCTION("""COMPUTED_VALUE"""),0.5228)</f>
        <v>0.5228</v>
      </c>
      <c r="AC602" s="106"/>
      <c r="AD602" s="106"/>
      <c r="AE602" s="106"/>
      <c r="AF602" s="106"/>
      <c r="AG602" s="106"/>
      <c r="AH602" s="320">
        <f>IFERROR(__xludf.DUMMYFUNCTION("""COMPUTED_VALUE"""),0.0)</f>
        <v>0</v>
      </c>
      <c r="AI602" s="320">
        <f>IFERROR(__xludf.DUMMYFUNCTION("""COMPUTED_VALUE"""),0.0)</f>
        <v>0</v>
      </c>
      <c r="AJ602" s="320">
        <f>IFERROR(__xludf.DUMMYFUNCTION("""COMPUTED_VALUE"""),0.0)</f>
        <v>0</v>
      </c>
      <c r="AK602" s="320">
        <f>IFERROR(__xludf.DUMMYFUNCTION("""COMPUTED_VALUE"""),0.2925)</f>
        <v>0.2925</v>
      </c>
      <c r="AL602" s="320">
        <f>IFERROR(__xludf.DUMMYFUNCTION("""COMPUTED_VALUE"""),17.29)</f>
        <v>17.29</v>
      </c>
      <c r="AM602" s="320">
        <f>IFERROR(__xludf.DUMMYFUNCTION("""COMPUTED_VALUE"""),13.38)</f>
        <v>13.38</v>
      </c>
      <c r="AN602" s="331"/>
      <c r="AO602" s="331"/>
    </row>
    <row r="603" ht="15.0" customHeight="1">
      <c r="A603" s="328">
        <f>IFERROR(__xludf.DUMMYFUNCTION("""COMPUTED_VALUE"""),46150.0)</f>
        <v>46150</v>
      </c>
      <c r="B603" s="319" t="str">
        <f>IFERROR(__xludf.DUMMYFUNCTION("""COMPUTED_VALUE"""),"B. 1-9")</f>
        <v>B. 1-9</v>
      </c>
      <c r="C603" s="320">
        <f>IFERROR(__xludf.DUMMYFUNCTION("""COMPUTED_VALUE"""),30982.0)</f>
        <v>30982</v>
      </c>
      <c r="D603" s="320">
        <f>IFERROR(__xludf.DUMMYFUNCTION("""COMPUTED_VALUE"""),43.75)</f>
        <v>43.75</v>
      </c>
      <c r="E603" s="320">
        <f>IFERROR(__xludf.DUMMYFUNCTION("""COMPUTED_VALUE"""),7835.52)</f>
        <v>7835.52</v>
      </c>
      <c r="F603" s="320">
        <f>IFERROR(__xludf.DUMMYFUNCTION("""COMPUTED_VALUE"""),0.2529)</f>
        <v>0.2529</v>
      </c>
      <c r="G603" s="320">
        <f>IFERROR(__xludf.DUMMYFUNCTION("""COMPUTED_VALUE"""),6.88)</f>
        <v>6.88</v>
      </c>
      <c r="H603" s="320">
        <f>IFERROR(__xludf.DUMMYFUNCTION("""COMPUTED_VALUE"""),3.6735)</f>
        <v>3.6735</v>
      </c>
      <c r="I603" s="320">
        <f>IFERROR(__xludf.DUMMYFUNCTION("""COMPUTED_VALUE"""),33.59)</f>
        <v>33.59</v>
      </c>
      <c r="J603" s="320">
        <f>IFERROR(__xludf.DUMMYFUNCTION("""COMPUTED_VALUE"""),17.8)</f>
        <v>17.8</v>
      </c>
      <c r="K603" s="320">
        <f>IFERROR(__xludf.DUMMYFUNCTION("""COMPUTED_VALUE"""),5.52)</f>
        <v>5.52</v>
      </c>
      <c r="L603" s="320">
        <f>IFERROR(__xludf.DUMMYFUNCTION("""COMPUTED_VALUE"""),0.3098)</f>
        <v>0.3098</v>
      </c>
      <c r="M603" s="320">
        <f>IFERROR(__xludf.DUMMYFUNCTION("""COMPUTED_VALUE"""),0.7593)</f>
        <v>0.7593</v>
      </c>
      <c r="N603" s="320">
        <f>IFERROR(__xludf.DUMMYFUNCTION("""COMPUTED_VALUE"""),0.5124)</f>
        <v>0.5124</v>
      </c>
      <c r="O603" s="320">
        <f>IFERROR(__xludf.DUMMYFUNCTION("""COMPUTED_VALUE"""),3.2276)</f>
        <v>3.2276</v>
      </c>
      <c r="P603" s="320">
        <f>IFERROR(__xludf.DUMMYFUNCTION("""COMPUTED_VALUE"""),87.17)</f>
        <v>87.17</v>
      </c>
      <c r="Q603" s="320">
        <f>IFERROR(__xludf.DUMMYFUNCTION("""COMPUTED_VALUE"""),77.71)</f>
        <v>77.71</v>
      </c>
      <c r="R603" s="320">
        <f>IFERROR(__xludf.DUMMYFUNCTION("""COMPUTED_VALUE"""),9.46)</f>
        <v>9.46</v>
      </c>
      <c r="S603" s="320">
        <f>IFERROR(__xludf.DUMMYFUNCTION("""COMPUTED_VALUE"""),17.32)</f>
        <v>17.32</v>
      </c>
      <c r="T603" s="320">
        <f>IFERROR(__xludf.DUMMYFUNCTION("""COMPUTED_VALUE"""),69.86)</f>
        <v>69.86</v>
      </c>
      <c r="U603" s="320">
        <f>IFERROR(__xludf.DUMMYFUNCTION("""COMPUTED_VALUE"""),80.13)</f>
        <v>80.13</v>
      </c>
      <c r="V603" s="320">
        <f>IFERROR(__xludf.DUMMYFUNCTION("""COMPUTED_VALUE"""),4.501)</f>
        <v>4.501</v>
      </c>
      <c r="W603" s="320">
        <f>IFERROR(__xludf.DUMMYFUNCTION("""COMPUTED_VALUE"""),19.87)</f>
        <v>19.87</v>
      </c>
      <c r="X603" s="320">
        <f>IFERROR(__xludf.DUMMYFUNCTION("""COMPUTED_VALUE"""),89.0)</f>
        <v>89</v>
      </c>
      <c r="Y603" s="320">
        <f>IFERROR(__xludf.DUMMYFUNCTION("""COMPUTED_VALUE"""),212.0)</f>
        <v>212</v>
      </c>
      <c r="Z603" s="320">
        <f>IFERROR(__xludf.DUMMYFUNCTION("""COMPUTED_VALUE"""),853.0)</f>
        <v>853</v>
      </c>
      <c r="AA603" s="320">
        <f>IFERROR(__xludf.DUMMYFUNCTION("""COMPUTED_VALUE"""),49.6511)</f>
        <v>49.6511</v>
      </c>
      <c r="AB603" s="320">
        <f>IFERROR(__xludf.DUMMYFUNCTION("""COMPUTED_VALUE"""),0.4452)</f>
        <v>0.4452</v>
      </c>
      <c r="AC603" s="320">
        <f>IFERROR(__xludf.DUMMYFUNCTION("""COMPUTED_VALUE"""),3.62)</f>
        <v>3.62</v>
      </c>
      <c r="AD603" s="320">
        <f>IFERROR(__xludf.DUMMYFUNCTION("""COMPUTED_VALUE"""),1.0)</f>
        <v>1</v>
      </c>
      <c r="AE603" s="320">
        <f>IFERROR(__xludf.DUMMYFUNCTION("""COMPUTED_VALUE"""),2.0)</f>
        <v>2</v>
      </c>
      <c r="AF603" s="320">
        <f>IFERROR(__xludf.DUMMYFUNCTION("""COMPUTED_VALUE"""),5.0)</f>
        <v>5</v>
      </c>
      <c r="AG603" s="320">
        <f>IFERROR(__xludf.DUMMYFUNCTION("""COMPUTED_VALUE"""),8.0)</f>
        <v>8</v>
      </c>
      <c r="AH603" s="320">
        <f>IFERROR(__xludf.DUMMYFUNCTION("""COMPUTED_VALUE"""),67.34)</f>
        <v>67.34</v>
      </c>
      <c r="AI603" s="320">
        <f>IFERROR(__xludf.DUMMYFUNCTION("""COMPUTED_VALUE"""),25.82)</f>
        <v>25.82</v>
      </c>
      <c r="AJ603" s="320">
        <f>IFERROR(__xludf.DUMMYFUNCTION("""COMPUTED_VALUE"""),7.27)</f>
        <v>7.27</v>
      </c>
      <c r="AK603" s="320">
        <f>IFERROR(__xludf.DUMMYFUNCTION("""COMPUTED_VALUE"""),0.2335)</f>
        <v>0.2335</v>
      </c>
      <c r="AL603" s="320">
        <f>IFERROR(__xludf.DUMMYFUNCTION("""COMPUTED_VALUE"""),21.23)</f>
        <v>21.23</v>
      </c>
      <c r="AM603" s="320">
        <f>IFERROR(__xludf.DUMMYFUNCTION("""COMPUTED_VALUE"""),56.49)</f>
        <v>56.49</v>
      </c>
      <c r="AN603" s="320">
        <f>IFERROR(__xludf.DUMMYFUNCTION("""COMPUTED_VALUE"""),68.69)</f>
        <v>68.69</v>
      </c>
      <c r="AO603" s="320">
        <f>IFERROR(__xludf.DUMMYFUNCTION("""COMPUTED_VALUE"""),14.58)</f>
        <v>14.58</v>
      </c>
    </row>
    <row r="604" ht="15.0" customHeight="1">
      <c r="A604" s="328">
        <f>IFERROR(__xludf.DUMMYFUNCTION("""COMPUTED_VALUE"""),46150.0)</f>
        <v>46150</v>
      </c>
      <c r="B604" s="319" t="str">
        <f>IFERROR(__xludf.DUMMYFUNCTION("""COMPUTED_VALUE"""),"C. 10-19")</f>
        <v>C. 10-19</v>
      </c>
      <c r="C604" s="320">
        <f>IFERROR(__xludf.DUMMYFUNCTION("""COMPUTED_VALUE"""),14379.0)</f>
        <v>14379</v>
      </c>
      <c r="D604" s="320">
        <f>IFERROR(__xludf.DUMMYFUNCTION("""COMPUTED_VALUE"""),20.31)</f>
        <v>20.31</v>
      </c>
      <c r="E604" s="320">
        <f>IFERROR(__xludf.DUMMYFUNCTION("""COMPUTED_VALUE"""),15597.45)</f>
        <v>15597.45</v>
      </c>
      <c r="F604" s="320">
        <f>IFERROR(__xludf.DUMMYFUNCTION("""COMPUTED_VALUE"""),1.0847)</f>
        <v>1.0847</v>
      </c>
      <c r="G604" s="320">
        <f>IFERROR(__xludf.DUMMYFUNCTION("""COMPUTED_VALUE"""),22.09)</f>
        <v>22.09</v>
      </c>
      <c r="H604" s="320">
        <f>IFERROR(__xludf.DUMMYFUNCTION("""COMPUTED_VALUE"""),4.911)</f>
        <v>4.911</v>
      </c>
      <c r="I604" s="320">
        <f>IFERROR(__xludf.DUMMYFUNCTION("""COMPUTED_VALUE"""),60.4)</f>
        <v>60.4</v>
      </c>
      <c r="J604" s="320">
        <f>IFERROR(__xludf.DUMMYFUNCTION("""COMPUTED_VALUE"""),34.03)</f>
        <v>34.03</v>
      </c>
      <c r="K604" s="320">
        <f>IFERROR(__xludf.DUMMYFUNCTION("""COMPUTED_VALUE"""),14.31)</f>
        <v>14.31</v>
      </c>
      <c r="L604" s="320">
        <f>IFERROR(__xludf.DUMMYFUNCTION("""COMPUTED_VALUE"""),0.4206)</f>
        <v>0.4206</v>
      </c>
      <c r="M604" s="320">
        <f>IFERROR(__xludf.DUMMYFUNCTION("""COMPUTED_VALUE"""),0.6437)</f>
        <v>0.6437</v>
      </c>
      <c r="N604" s="320">
        <f>IFERROR(__xludf.DUMMYFUNCTION("""COMPUTED_VALUE"""),0.3688)</f>
        <v>0.3688</v>
      </c>
      <c r="O604" s="320">
        <f>IFERROR(__xludf.DUMMYFUNCTION("""COMPUTED_VALUE"""),2.3778)</f>
        <v>2.3778</v>
      </c>
      <c r="P604" s="320">
        <f>IFERROR(__xludf.DUMMYFUNCTION("""COMPUTED_VALUE"""),190.11)</f>
        <v>190.11</v>
      </c>
      <c r="Q604" s="320">
        <f>IFERROR(__xludf.DUMMYFUNCTION("""COMPUTED_VALUE"""),165.75)</f>
        <v>165.75</v>
      </c>
      <c r="R604" s="320">
        <f>IFERROR(__xludf.DUMMYFUNCTION("""COMPUTED_VALUE"""),24.36)</f>
        <v>24.36</v>
      </c>
      <c r="S604" s="320">
        <f>IFERROR(__xludf.DUMMYFUNCTION("""COMPUTED_VALUE"""),71.58)</f>
        <v>71.58</v>
      </c>
      <c r="T604" s="320">
        <f>IFERROR(__xludf.DUMMYFUNCTION("""COMPUTED_VALUE"""),118.53)</f>
        <v>118.53</v>
      </c>
      <c r="U604" s="320">
        <f>IFERROR(__xludf.DUMMYFUNCTION("""COMPUTED_VALUE"""),185.8)</f>
        <v>185.8</v>
      </c>
      <c r="V604" s="320">
        <f>IFERROR(__xludf.DUMMYFUNCTION("""COMPUTED_VALUE"""),5.4599)</f>
        <v>5.4599</v>
      </c>
      <c r="W604" s="320">
        <f>IFERROR(__xludf.DUMMYFUNCTION("""COMPUTED_VALUE"""),37.65)</f>
        <v>37.65</v>
      </c>
      <c r="X604" s="320">
        <f>IFERROR(__xludf.DUMMYFUNCTION("""COMPUTED_VALUE"""),86.0)</f>
        <v>86</v>
      </c>
      <c r="Y604" s="320">
        <f>IFERROR(__xludf.DUMMYFUNCTION("""COMPUTED_VALUE"""),197.0)</f>
        <v>197</v>
      </c>
      <c r="Z604" s="320">
        <f>IFERROR(__xludf.DUMMYFUNCTION("""COMPUTED_VALUE"""),595.0)</f>
        <v>595</v>
      </c>
      <c r="AA604" s="320">
        <f>IFERROR(__xludf.DUMMYFUNCTION("""COMPUTED_VALUE"""),52.4256)</f>
        <v>52.4256</v>
      </c>
      <c r="AB604" s="320">
        <f>IFERROR(__xludf.DUMMYFUNCTION("""COMPUTED_VALUE"""),0.5373)</f>
        <v>0.5373</v>
      </c>
      <c r="AC604" s="320">
        <f>IFERROR(__xludf.DUMMYFUNCTION("""COMPUTED_VALUE"""),9.1)</f>
        <v>9.1</v>
      </c>
      <c r="AD604" s="320">
        <f>IFERROR(__xludf.DUMMYFUNCTION("""COMPUTED_VALUE"""),3.0)</f>
        <v>3</v>
      </c>
      <c r="AE604" s="320">
        <f>IFERROR(__xludf.DUMMYFUNCTION("""COMPUTED_VALUE"""),6.0)</f>
        <v>6</v>
      </c>
      <c r="AF604" s="320">
        <f>IFERROR(__xludf.DUMMYFUNCTION("""COMPUTED_VALUE"""),13.0)</f>
        <v>13</v>
      </c>
      <c r="AG604" s="320">
        <f>IFERROR(__xludf.DUMMYFUNCTION("""COMPUTED_VALUE"""),20.0)</f>
        <v>20</v>
      </c>
      <c r="AH604" s="320">
        <f>IFERROR(__xludf.DUMMYFUNCTION("""COMPUTED_VALUE"""),55.33)</f>
        <v>55.33</v>
      </c>
      <c r="AI604" s="320">
        <f>IFERROR(__xludf.DUMMYFUNCTION("""COMPUTED_VALUE"""),25.77)</f>
        <v>25.77</v>
      </c>
      <c r="AJ604" s="320">
        <f>IFERROR(__xludf.DUMMYFUNCTION("""COMPUTED_VALUE"""),5.24)</f>
        <v>5.24</v>
      </c>
      <c r="AK604" s="320">
        <f>IFERROR(__xludf.DUMMYFUNCTION("""COMPUTED_VALUE"""),0.2113)</f>
        <v>0.2113</v>
      </c>
      <c r="AL604" s="320">
        <f>IFERROR(__xludf.DUMMYFUNCTION("""COMPUTED_VALUE"""),21.29)</f>
        <v>21.29</v>
      </c>
      <c r="AM604" s="320">
        <f>IFERROR(__xludf.DUMMYFUNCTION("""COMPUTED_VALUE"""),144.47)</f>
        <v>144.47</v>
      </c>
      <c r="AN604" s="320">
        <f>IFERROR(__xludf.DUMMYFUNCTION("""COMPUTED_VALUE"""),73.78)</f>
        <v>73.78</v>
      </c>
      <c r="AO604" s="320">
        <f>IFERROR(__xludf.DUMMYFUNCTION("""COMPUTED_VALUE"""),15.71)</f>
        <v>15.71</v>
      </c>
    </row>
    <row r="605" ht="15.0" customHeight="1">
      <c r="A605" s="328">
        <f>IFERROR(__xludf.DUMMYFUNCTION("""COMPUTED_VALUE"""),46150.0)</f>
        <v>46150</v>
      </c>
      <c r="B605" s="319" t="str">
        <f>IFERROR(__xludf.DUMMYFUNCTION("""COMPUTED_VALUE"""),"D. 20-39")</f>
        <v>D. 20-39</v>
      </c>
      <c r="C605" s="320">
        <f>IFERROR(__xludf.DUMMYFUNCTION("""COMPUTED_VALUE"""),7465.0)</f>
        <v>7465</v>
      </c>
      <c r="D605" s="320">
        <f>IFERROR(__xludf.DUMMYFUNCTION("""COMPUTED_VALUE"""),10.54)</f>
        <v>10.54</v>
      </c>
      <c r="E605" s="320">
        <f>IFERROR(__xludf.DUMMYFUNCTION("""COMPUTED_VALUE"""),17698.86)</f>
        <v>17698.86</v>
      </c>
      <c r="F605" s="320">
        <f>IFERROR(__xludf.DUMMYFUNCTION("""COMPUTED_VALUE"""),2.3709)</f>
        <v>2.3709</v>
      </c>
      <c r="G605" s="320">
        <f>IFERROR(__xludf.DUMMYFUNCTION("""COMPUTED_VALUE"""),33.29)</f>
        <v>33.29</v>
      </c>
      <c r="H605" s="320">
        <f>IFERROR(__xludf.DUMMYFUNCTION("""COMPUTED_VALUE"""),7.1223)</f>
        <v>7.1223</v>
      </c>
      <c r="I605" s="320">
        <f>IFERROR(__xludf.DUMMYFUNCTION("""COMPUTED_VALUE"""),86.65)</f>
        <v>86.65</v>
      </c>
      <c r="J605" s="320">
        <f>IFERROR(__xludf.DUMMYFUNCTION("""COMPUTED_VALUE"""),50.72)</f>
        <v>50.72</v>
      </c>
      <c r="K605" s="320">
        <f>IFERROR(__xludf.DUMMYFUNCTION("""COMPUTED_VALUE"""),26.91)</f>
        <v>26.91</v>
      </c>
      <c r="L605" s="320">
        <f>IFERROR(__xludf.DUMMYFUNCTION("""COMPUTED_VALUE"""),0.5306)</f>
        <v>0.5306</v>
      </c>
      <c r="M605" s="320">
        <f>IFERROR(__xludf.DUMMYFUNCTION("""COMPUTED_VALUE"""),0.5393)</f>
        <v>0.5393</v>
      </c>
      <c r="N605" s="320">
        <f>IFERROR(__xludf.DUMMYFUNCTION("""COMPUTED_VALUE"""),0.2934)</f>
        <v>0.2934</v>
      </c>
      <c r="O605" s="320">
        <f>IFERROR(__xludf.DUMMYFUNCTION("""COMPUTED_VALUE"""),1.8847)</f>
        <v>1.8847</v>
      </c>
      <c r="P605" s="320">
        <f>IFERROR(__xludf.DUMMYFUNCTION("""COMPUTED_VALUE"""),333.99)</f>
        <v>333.99</v>
      </c>
      <c r="Q605" s="320">
        <f>IFERROR(__xludf.DUMMYFUNCTION("""COMPUTED_VALUE"""),287.12)</f>
        <v>287.12</v>
      </c>
      <c r="R605" s="320">
        <f>IFERROR(__xludf.DUMMYFUNCTION("""COMPUTED_VALUE"""),46.87)</f>
        <v>46.87</v>
      </c>
      <c r="S605" s="320">
        <f>IFERROR(__xludf.DUMMYFUNCTION("""COMPUTED_VALUE"""),153.22)</f>
        <v>153.22</v>
      </c>
      <c r="T605" s="320">
        <f>IFERROR(__xludf.DUMMYFUNCTION("""COMPUTED_VALUE"""),180.77)</f>
        <v>180.77</v>
      </c>
      <c r="U605" s="320">
        <f>IFERROR(__xludf.DUMMYFUNCTION("""COMPUTED_VALUE"""),340.61)</f>
        <v>340.61</v>
      </c>
      <c r="V605" s="320">
        <f>IFERROR(__xludf.DUMMYFUNCTION("""COMPUTED_VALUE"""),6.7161)</f>
        <v>6.7161</v>
      </c>
      <c r="W605" s="320">
        <f>IFERROR(__xludf.DUMMYFUNCTION("""COMPUTED_VALUE"""),45.88)</f>
        <v>45.88</v>
      </c>
      <c r="X605" s="320">
        <f>IFERROR(__xludf.DUMMYFUNCTION("""COMPUTED_VALUE"""),90.0)</f>
        <v>90</v>
      </c>
      <c r="Y605" s="320">
        <f>IFERROR(__xludf.DUMMYFUNCTION("""COMPUTED_VALUE"""),233.0)</f>
        <v>233</v>
      </c>
      <c r="Z605" s="320">
        <f>IFERROR(__xludf.DUMMYFUNCTION("""COMPUTED_VALUE"""),628.0)</f>
        <v>628</v>
      </c>
      <c r="AA605" s="320">
        <f>IFERROR(__xludf.DUMMYFUNCTION("""COMPUTED_VALUE"""),54.8567)</f>
        <v>54.8567</v>
      </c>
      <c r="AB605" s="320">
        <f>IFERROR(__xludf.DUMMYFUNCTION("""COMPUTED_VALUE"""),0.6541)</f>
        <v>0.6541</v>
      </c>
      <c r="AC605" s="320">
        <f>IFERROR(__xludf.DUMMYFUNCTION("""COMPUTED_VALUE"""),17.7)</f>
        <v>17.7</v>
      </c>
      <c r="AD605" s="320">
        <f>IFERROR(__xludf.DUMMYFUNCTION("""COMPUTED_VALUE"""),6.0)</f>
        <v>6</v>
      </c>
      <c r="AE605" s="320">
        <f>IFERROR(__xludf.DUMMYFUNCTION("""COMPUTED_VALUE"""),13.0)</f>
        <v>13</v>
      </c>
      <c r="AF605" s="320">
        <f>IFERROR(__xludf.DUMMYFUNCTION("""COMPUTED_VALUE"""),25.0)</f>
        <v>25</v>
      </c>
      <c r="AG605" s="320">
        <f>IFERROR(__xludf.DUMMYFUNCTION("""COMPUTED_VALUE"""),38.0)</f>
        <v>38</v>
      </c>
      <c r="AH605" s="320">
        <f>IFERROR(__xludf.DUMMYFUNCTION("""COMPUTED_VALUE"""),57.15)</f>
        <v>57.15</v>
      </c>
      <c r="AI605" s="320">
        <f>IFERROR(__xludf.DUMMYFUNCTION("""COMPUTED_VALUE"""),24.42)</f>
        <v>24.42</v>
      </c>
      <c r="AJ605" s="320">
        <f>IFERROR(__xludf.DUMMYFUNCTION("""COMPUTED_VALUE"""),8.02)</f>
        <v>8.02</v>
      </c>
      <c r="AK605" s="320">
        <f>IFERROR(__xludf.DUMMYFUNCTION("""COMPUTED_VALUE"""),0.2135)</f>
        <v>0.2135</v>
      </c>
      <c r="AL605" s="320">
        <f>IFERROR(__xludf.DUMMYFUNCTION("""COMPUTED_VALUE"""),21.01)</f>
        <v>21.01</v>
      </c>
      <c r="AM605" s="320">
        <f>IFERROR(__xludf.DUMMYFUNCTION("""COMPUTED_VALUE"""),266.1)</f>
        <v>266.1</v>
      </c>
      <c r="AN605" s="320">
        <f>IFERROR(__xludf.DUMMYFUNCTION("""COMPUTED_VALUE"""),74.92)</f>
        <v>74.92</v>
      </c>
      <c r="AO605" s="320">
        <f>IFERROR(__xludf.DUMMYFUNCTION("""COMPUTED_VALUE"""),15.74)</f>
        <v>15.74</v>
      </c>
    </row>
    <row r="606" ht="15.0" customHeight="1">
      <c r="A606" s="328">
        <f>IFERROR(__xludf.DUMMYFUNCTION("""COMPUTED_VALUE"""),46150.0)</f>
        <v>46150</v>
      </c>
      <c r="B606" s="319" t="str">
        <f>IFERROR(__xludf.DUMMYFUNCTION("""COMPUTED_VALUE"""),"E. 40-99")</f>
        <v>E. 40-99</v>
      </c>
      <c r="C606" s="320">
        <f>IFERROR(__xludf.DUMMYFUNCTION("""COMPUTED_VALUE"""),3049.0)</f>
        <v>3049</v>
      </c>
      <c r="D606" s="320">
        <f>IFERROR(__xludf.DUMMYFUNCTION("""COMPUTED_VALUE"""),4.31)</f>
        <v>4.31</v>
      </c>
      <c r="E606" s="320">
        <f>IFERROR(__xludf.DUMMYFUNCTION("""COMPUTED_VALUE"""),17161.01)</f>
        <v>17161.01</v>
      </c>
      <c r="F606" s="320">
        <f>IFERROR(__xludf.DUMMYFUNCTION("""COMPUTED_VALUE"""),5.6284)</f>
        <v>5.6284</v>
      </c>
      <c r="G606" s="320">
        <f>IFERROR(__xludf.DUMMYFUNCTION("""COMPUTED_VALUE"""),45.49)</f>
        <v>45.49</v>
      </c>
      <c r="H606" s="320">
        <f>IFERROR(__xludf.DUMMYFUNCTION("""COMPUTED_VALUE"""),12.3728)</f>
        <v>12.3728</v>
      </c>
      <c r="I606" s="320">
        <f>IFERROR(__xludf.DUMMYFUNCTION("""COMPUTED_VALUE"""),132.06)</f>
        <v>132.06</v>
      </c>
      <c r="J606" s="320">
        <f>IFERROR(__xludf.DUMMYFUNCTION("""COMPUTED_VALUE"""),80.61)</f>
        <v>80.61</v>
      </c>
      <c r="K606" s="320">
        <f>IFERROR(__xludf.DUMMYFUNCTION("""COMPUTED_VALUE"""),53.13)</f>
        <v>53.13</v>
      </c>
      <c r="L606" s="320">
        <f>IFERROR(__xludf.DUMMYFUNCTION("""COMPUTED_VALUE"""),0.6591)</f>
        <v>0.6591</v>
      </c>
      <c r="M606" s="320">
        <f>IFERROR(__xludf.DUMMYFUNCTION("""COMPUTED_VALUE"""),0.4221)</f>
        <v>0.4221</v>
      </c>
      <c r="N606" s="320">
        <f>IFERROR(__xludf.DUMMYFUNCTION("""COMPUTED_VALUE"""),0.2341)</f>
        <v>0.2341</v>
      </c>
      <c r="O606" s="320">
        <f>IFERROR(__xludf.DUMMYFUNCTION("""COMPUTED_VALUE"""),1.5173)</f>
        <v>1.5173</v>
      </c>
      <c r="P606" s="320">
        <f>IFERROR(__xludf.DUMMYFUNCTION("""COMPUTED_VALUE"""),633.04)</f>
        <v>633.04</v>
      </c>
      <c r="Q606" s="320">
        <f>IFERROR(__xludf.DUMMYFUNCTION("""COMPUTED_VALUE"""),540.43)</f>
        <v>540.43</v>
      </c>
      <c r="R606" s="320">
        <f>IFERROR(__xludf.DUMMYFUNCTION("""COMPUTED_VALUE"""),92.6)</f>
        <v>92.6</v>
      </c>
      <c r="S606" s="320">
        <f>IFERROR(__xludf.DUMMYFUNCTION("""COMPUTED_VALUE"""),345.82)</f>
        <v>345.82</v>
      </c>
      <c r="T606" s="320">
        <f>IFERROR(__xludf.DUMMYFUNCTION("""COMPUTED_VALUE"""),287.21)</f>
        <v>287.21</v>
      </c>
      <c r="U606" s="320">
        <f>IFERROR(__xludf.DUMMYFUNCTION("""COMPUTED_VALUE"""),668.43)</f>
        <v>668.43</v>
      </c>
      <c r="V606" s="320">
        <f>IFERROR(__xludf.DUMMYFUNCTION("""COMPUTED_VALUE"""),8.2922)</f>
        <v>8.2922</v>
      </c>
      <c r="W606" s="320">
        <f>IFERROR(__xludf.DUMMYFUNCTION("""COMPUTED_VALUE"""),54.63)</f>
        <v>54.63</v>
      </c>
      <c r="X606" s="320">
        <f>IFERROR(__xludf.DUMMYFUNCTION("""COMPUTED_VALUE"""),96.0)</f>
        <v>96</v>
      </c>
      <c r="Y606" s="320">
        <f>IFERROR(__xludf.DUMMYFUNCTION("""COMPUTED_VALUE"""),296.0)</f>
        <v>296</v>
      </c>
      <c r="Z606" s="320">
        <f>IFERROR(__xludf.DUMMYFUNCTION("""COMPUTED_VALUE"""),907.0)</f>
        <v>907</v>
      </c>
      <c r="AA606" s="320">
        <f>IFERROR(__xludf.DUMMYFUNCTION("""COMPUTED_VALUE"""),57.6792)</f>
        <v>57.6792</v>
      </c>
      <c r="AB606" s="320">
        <f>IFERROR(__xludf.DUMMYFUNCTION("""COMPUTED_VALUE"""),0.7556)</f>
        <v>0.7556</v>
      </c>
      <c r="AC606" s="320">
        <f>IFERROR(__xludf.DUMMYFUNCTION("""COMPUTED_VALUE"""),34.85)</f>
        <v>34.85</v>
      </c>
      <c r="AD606" s="320">
        <f>IFERROR(__xludf.DUMMYFUNCTION("""COMPUTED_VALUE"""),12.0)</f>
        <v>12</v>
      </c>
      <c r="AE606" s="320">
        <f>IFERROR(__xludf.DUMMYFUNCTION("""COMPUTED_VALUE"""),26.0)</f>
        <v>26</v>
      </c>
      <c r="AF606" s="320">
        <f>IFERROR(__xludf.DUMMYFUNCTION("""COMPUTED_VALUE"""),49.0)</f>
        <v>49</v>
      </c>
      <c r="AG606" s="320">
        <f>IFERROR(__xludf.DUMMYFUNCTION("""COMPUTED_VALUE"""),77.0)</f>
        <v>77</v>
      </c>
      <c r="AH606" s="320">
        <f>IFERROR(__xludf.DUMMYFUNCTION("""COMPUTED_VALUE"""),48.47)</f>
        <v>48.47</v>
      </c>
      <c r="AI606" s="320">
        <f>IFERROR(__xludf.DUMMYFUNCTION("""COMPUTED_VALUE"""),17.15)</f>
        <v>17.15</v>
      </c>
      <c r="AJ606" s="320">
        <f>IFERROR(__xludf.DUMMYFUNCTION("""COMPUTED_VALUE"""),4.03)</f>
        <v>4.03</v>
      </c>
      <c r="AK606" s="320">
        <f>IFERROR(__xludf.DUMMYFUNCTION("""COMPUTED_VALUE"""),0.1797)</f>
        <v>0.1797</v>
      </c>
      <c r="AL606" s="320">
        <f>IFERROR(__xludf.DUMMYFUNCTION("""COMPUTED_VALUE"""),21.86)</f>
        <v>21.86</v>
      </c>
      <c r="AM606" s="320">
        <f>IFERROR(__xludf.DUMMYFUNCTION("""COMPUTED_VALUE"""),518.57)</f>
        <v>518.57</v>
      </c>
      <c r="AN606" s="320">
        <f>IFERROR(__xludf.DUMMYFUNCTION("""COMPUTED_VALUE"""),77.06)</f>
        <v>77.06</v>
      </c>
      <c r="AO606" s="320">
        <f>IFERROR(__xludf.DUMMYFUNCTION("""COMPUTED_VALUE"""),16.85)</f>
        <v>16.85</v>
      </c>
    </row>
    <row r="607" ht="15.0" customHeight="1">
      <c r="A607" s="328">
        <f>IFERROR(__xludf.DUMMYFUNCTION("""COMPUTED_VALUE"""),46150.0)</f>
        <v>46150</v>
      </c>
      <c r="B607" s="319" t="str">
        <f>IFERROR(__xludf.DUMMYFUNCTION("""COMPUTED_VALUE"""),"F. 100+")</f>
        <v>F. 100+</v>
      </c>
      <c r="C607" s="320">
        <f>IFERROR(__xludf.DUMMYFUNCTION("""COMPUTED_VALUE"""),329.0)</f>
        <v>329</v>
      </c>
      <c r="D607" s="320">
        <f>IFERROR(__xludf.DUMMYFUNCTION("""COMPUTED_VALUE"""),0.46)</f>
        <v>0.46</v>
      </c>
      <c r="E607" s="320">
        <f>IFERROR(__xludf.DUMMYFUNCTION("""COMPUTED_VALUE"""),3854.91)</f>
        <v>3854.91</v>
      </c>
      <c r="F607" s="320">
        <f>IFERROR(__xludf.DUMMYFUNCTION("""COMPUTED_VALUE"""),11.7171)</f>
        <v>11.7171</v>
      </c>
      <c r="G607" s="320">
        <f>IFERROR(__xludf.DUMMYFUNCTION("""COMPUTED_VALUE"""),51.98)</f>
        <v>51.98</v>
      </c>
      <c r="H607" s="320">
        <f>IFERROR(__xludf.DUMMYFUNCTION("""COMPUTED_VALUE"""),22.5433)</f>
        <v>22.5433</v>
      </c>
      <c r="I607" s="320">
        <f>IFERROR(__xludf.DUMMYFUNCTION("""COMPUTED_VALUE"""),236.34)</f>
        <v>236.34</v>
      </c>
      <c r="J607" s="320">
        <f>IFERROR(__xludf.DUMMYFUNCTION("""COMPUTED_VALUE"""),153.9)</f>
        <v>153.9</v>
      </c>
      <c r="K607" s="320">
        <f>IFERROR(__xludf.DUMMYFUNCTION("""COMPUTED_VALUE"""),122.59)</f>
        <v>122.59</v>
      </c>
      <c r="L607" s="320">
        <f>IFERROR(__xludf.DUMMYFUNCTION("""COMPUTED_VALUE"""),0.7966)</f>
        <v>0.7966</v>
      </c>
      <c r="M607" s="320">
        <f>IFERROR(__xludf.DUMMYFUNCTION("""COMPUTED_VALUE"""),0.2907)</f>
        <v>0.2907</v>
      </c>
      <c r="N607" s="320">
        <f>IFERROR(__xludf.DUMMYFUNCTION("""COMPUTED_VALUE"""),0.1755)</f>
        <v>0.1755</v>
      </c>
      <c r="O607" s="320">
        <f>IFERROR(__xludf.DUMMYFUNCTION("""COMPUTED_VALUE"""),1.2554)</f>
        <v>1.2554</v>
      </c>
      <c r="P607" s="320">
        <f>IFERROR(__xludf.DUMMYFUNCTION("""COMPUTED_VALUE"""),1265.54)</f>
        <v>1265.54</v>
      </c>
      <c r="Q607" s="320">
        <f>IFERROR(__xludf.DUMMYFUNCTION("""COMPUTED_VALUE"""),1052.4)</f>
        <v>1052.4</v>
      </c>
      <c r="R607" s="320">
        <f>IFERROR(__xludf.DUMMYFUNCTION("""COMPUTED_VALUE"""),213.15)</f>
        <v>213.15</v>
      </c>
      <c r="S607" s="320">
        <f>IFERROR(__xludf.DUMMYFUNCTION("""COMPUTED_VALUE"""),709.95)</f>
        <v>709.95</v>
      </c>
      <c r="T607" s="320">
        <f>IFERROR(__xludf.DUMMYFUNCTION("""COMPUTED_VALUE"""),555.59)</f>
        <v>555.59</v>
      </c>
      <c r="U607" s="320">
        <f>IFERROR(__xludf.DUMMYFUNCTION("""COMPUTED_VALUE"""),1326.29)</f>
        <v>1326.29</v>
      </c>
      <c r="V607" s="320">
        <f>IFERROR(__xludf.DUMMYFUNCTION("""COMPUTED_VALUE"""),8.6179)</f>
        <v>8.6179</v>
      </c>
      <c r="W607" s="320">
        <f>IFERROR(__xludf.DUMMYFUNCTION("""COMPUTED_VALUE"""),56.1)</f>
        <v>56.1</v>
      </c>
      <c r="X607" s="320">
        <f>IFERROR(__xludf.DUMMYFUNCTION("""COMPUTED_VALUE"""),149.0)</f>
        <v>149</v>
      </c>
      <c r="Y607" s="320">
        <f>IFERROR(__xludf.DUMMYFUNCTION("""COMPUTED_VALUE"""),569.0)</f>
        <v>569</v>
      </c>
      <c r="Z607" s="320">
        <f>IFERROR(__xludf.DUMMYFUNCTION("""COMPUTED_VALUE"""),2163.0)</f>
        <v>2163</v>
      </c>
      <c r="AA607" s="320">
        <f>IFERROR(__xludf.DUMMYFUNCTION("""COMPUTED_VALUE"""),61.6098)</f>
        <v>61.6098</v>
      </c>
      <c r="AB607" s="320">
        <f>IFERROR(__xludf.DUMMYFUNCTION("""COMPUTED_VALUE"""),0.8285)</f>
        <v>0.8285</v>
      </c>
      <c r="AC607" s="320">
        <f>IFERROR(__xludf.DUMMYFUNCTION("""COMPUTED_VALUE"""),85.98)</f>
        <v>85.98</v>
      </c>
      <c r="AD607" s="320">
        <f>IFERROR(__xludf.DUMMYFUNCTION("""COMPUTED_VALUE"""),26.0)</f>
        <v>26</v>
      </c>
      <c r="AE607" s="320">
        <f>IFERROR(__xludf.DUMMYFUNCTION("""COMPUTED_VALUE"""),65.0)</f>
        <v>65</v>
      </c>
      <c r="AF607" s="320">
        <f>IFERROR(__xludf.DUMMYFUNCTION("""COMPUTED_VALUE"""),124.0)</f>
        <v>124</v>
      </c>
      <c r="AG607" s="320">
        <f>IFERROR(__xludf.DUMMYFUNCTION("""COMPUTED_VALUE"""),184.0)</f>
        <v>184</v>
      </c>
      <c r="AH607" s="320">
        <f>IFERROR(__xludf.DUMMYFUNCTION("""COMPUTED_VALUE"""),44.07)</f>
        <v>44.07</v>
      </c>
      <c r="AI607" s="320">
        <f>IFERROR(__xludf.DUMMYFUNCTION("""COMPUTED_VALUE"""),12.77)</f>
        <v>12.77</v>
      </c>
      <c r="AJ607" s="320">
        <f>IFERROR(__xludf.DUMMYFUNCTION("""COMPUTED_VALUE"""),2.43)</f>
        <v>2.43</v>
      </c>
      <c r="AK607" s="320">
        <f>IFERROR(__xludf.DUMMYFUNCTION("""COMPUTED_VALUE"""),0.1641)</f>
        <v>0.1641</v>
      </c>
      <c r="AL607" s="320">
        <f>IFERROR(__xludf.DUMMYFUNCTION("""COMPUTED_VALUE"""),24.97)</f>
        <v>24.97</v>
      </c>
      <c r="AM607" s="320">
        <f>IFERROR(__xludf.DUMMYFUNCTION("""COMPUTED_VALUE"""),1027.43)</f>
        <v>1027.43</v>
      </c>
      <c r="AN607" s="320">
        <f>IFERROR(__xludf.DUMMYFUNCTION("""COMPUTED_VALUE"""),71.52)</f>
        <v>71.52</v>
      </c>
      <c r="AO607" s="320">
        <f>IFERROR(__xludf.DUMMYFUNCTION("""COMPUTED_VALUE"""),17.86)</f>
        <v>17.86</v>
      </c>
    </row>
    <row r="608" ht="15.0" customHeight="1">
      <c r="A608" s="328">
        <f>IFERROR(__xludf.DUMMYFUNCTION("""COMPUTED_VALUE"""),46151.0)</f>
        <v>46151</v>
      </c>
      <c r="B608" s="319" t="str">
        <f>IFERROR(__xludf.DUMMYFUNCTION("""COMPUTED_VALUE"""),"A. 0")</f>
        <v>A. 0</v>
      </c>
      <c r="C608" s="320">
        <f>IFERROR(__xludf.DUMMYFUNCTION("""COMPUTED_VALUE"""),14806.0)</f>
        <v>14806</v>
      </c>
      <c r="D608" s="320">
        <f>IFERROR(__xludf.DUMMYFUNCTION("""COMPUTED_VALUE"""),21.29)</f>
        <v>21.29</v>
      </c>
      <c r="E608" s="320">
        <f>IFERROR(__xludf.DUMMYFUNCTION("""COMPUTED_VALUE"""),109.1)</f>
        <v>109.1</v>
      </c>
      <c r="F608" s="320">
        <f>IFERROR(__xludf.DUMMYFUNCTION("""COMPUTED_VALUE"""),0.0074)</f>
        <v>0.0074</v>
      </c>
      <c r="G608" s="320">
        <f>IFERROR(__xludf.DUMMYFUNCTION("""COMPUTED_VALUE"""),0.21)</f>
        <v>0.21</v>
      </c>
      <c r="H608" s="320">
        <f>IFERROR(__xludf.DUMMYFUNCTION("""COMPUTED_VALUE"""),3.5194)</f>
        <v>3.5194</v>
      </c>
      <c r="I608" s="320">
        <f>IFERROR(__xludf.DUMMYFUNCTION("""COMPUTED_VALUE"""),5.98)</f>
        <v>5.98</v>
      </c>
      <c r="J608" s="320">
        <f>IFERROR(__xludf.DUMMYFUNCTION("""COMPUTED_VALUE"""),2.64)</f>
        <v>2.64</v>
      </c>
      <c r="K608" s="320">
        <f>IFERROR(__xludf.DUMMYFUNCTION("""COMPUTED_VALUE"""),0.05)</f>
        <v>0.05</v>
      </c>
      <c r="L608" s="320">
        <f>IFERROR(__xludf.DUMMYFUNCTION("""COMPUTED_VALUE"""),0.0185)</f>
        <v>0.0185</v>
      </c>
      <c r="M608" s="320">
        <f>IFERROR(__xludf.DUMMYFUNCTION("""COMPUTED_VALUE"""),0.9832)</f>
        <v>0.9832</v>
      </c>
      <c r="N608" s="320">
        <f>IFERROR(__xludf.DUMMYFUNCTION("""COMPUTED_VALUE"""),0.8003)</f>
        <v>0.8003</v>
      </c>
      <c r="O608" s="320">
        <f>IFERROR(__xludf.DUMMYFUNCTION("""COMPUTED_VALUE"""),54.0747)</f>
        <v>54.0747</v>
      </c>
      <c r="P608" s="320">
        <f>IFERROR(__xludf.DUMMYFUNCTION("""COMPUTED_VALUE"""),26.6)</f>
        <v>26.6</v>
      </c>
      <c r="Q608" s="320">
        <f>IFERROR(__xludf.DUMMYFUNCTION("""COMPUTED_VALUE"""),26.53)</f>
        <v>26.53</v>
      </c>
      <c r="R608" s="320">
        <f>IFERROR(__xludf.DUMMYFUNCTION("""COMPUTED_VALUE"""),0.07)</f>
        <v>0.07</v>
      </c>
      <c r="S608" s="320">
        <f>IFERROR(__xludf.DUMMYFUNCTION("""COMPUTED_VALUE"""),0.69)</f>
        <v>0.69</v>
      </c>
      <c r="T608" s="320">
        <f>IFERROR(__xludf.DUMMYFUNCTION("""COMPUTED_VALUE"""),25.91)</f>
        <v>25.91</v>
      </c>
      <c r="U608" s="320">
        <f>IFERROR(__xludf.DUMMYFUNCTION("""COMPUTED_VALUE"""),2.53)</f>
        <v>2.53</v>
      </c>
      <c r="V608" s="320">
        <f>IFERROR(__xludf.DUMMYFUNCTION("""COMPUTED_VALUE"""),0.9566)</f>
        <v>0.9566</v>
      </c>
      <c r="W608" s="320">
        <f>IFERROR(__xludf.DUMMYFUNCTION("""COMPUTED_VALUE"""),2.61)</f>
        <v>2.61</v>
      </c>
      <c r="X608" s="320">
        <f>IFERROR(__xludf.DUMMYFUNCTION("""COMPUTED_VALUE"""),154.0)</f>
        <v>154</v>
      </c>
      <c r="Y608" s="320">
        <f>IFERROR(__xludf.DUMMYFUNCTION("""COMPUTED_VALUE"""),1164.0)</f>
        <v>1164</v>
      </c>
      <c r="Z608" s="320">
        <f>IFERROR(__xludf.DUMMYFUNCTION("""COMPUTED_VALUE"""),7818.0)</f>
        <v>7818</v>
      </c>
      <c r="AA608" s="320">
        <f>IFERROR(__xludf.DUMMYFUNCTION("""COMPUTED_VALUE"""),49.7381)</f>
        <v>49.7381</v>
      </c>
      <c r="AB608" s="320">
        <f>IFERROR(__xludf.DUMMYFUNCTION("""COMPUTED_VALUE"""),0.5066)</f>
        <v>0.5066</v>
      </c>
      <c r="AC608" s="106"/>
      <c r="AD608" s="106"/>
      <c r="AE608" s="106"/>
      <c r="AF608" s="106"/>
      <c r="AG608" s="106"/>
      <c r="AH608" s="320">
        <f>IFERROR(__xludf.DUMMYFUNCTION("""COMPUTED_VALUE"""),0.0)</f>
        <v>0</v>
      </c>
      <c r="AI608" s="320">
        <f>IFERROR(__xludf.DUMMYFUNCTION("""COMPUTED_VALUE"""),0.0)</f>
        <v>0</v>
      </c>
      <c r="AJ608" s="320">
        <f>IFERROR(__xludf.DUMMYFUNCTION("""COMPUTED_VALUE"""),0.0)</f>
        <v>0</v>
      </c>
      <c r="AK608" s="320">
        <f>IFERROR(__xludf.DUMMYFUNCTION("""COMPUTED_VALUE"""),0.2757)</f>
        <v>0.2757</v>
      </c>
      <c r="AL608" s="320">
        <f>IFERROR(__xludf.DUMMYFUNCTION("""COMPUTED_VALUE"""),17.62)</f>
        <v>17.62</v>
      </c>
      <c r="AM608" s="320">
        <f>IFERROR(__xludf.DUMMYFUNCTION("""COMPUTED_VALUE"""),8.91)</f>
        <v>8.91</v>
      </c>
      <c r="AN608" s="331"/>
      <c r="AO608" s="331"/>
    </row>
    <row r="609" ht="15.0" customHeight="1">
      <c r="A609" s="328">
        <f>IFERROR(__xludf.DUMMYFUNCTION("""COMPUTED_VALUE"""),46151.0)</f>
        <v>46151</v>
      </c>
      <c r="B609" s="319" t="str">
        <f>IFERROR(__xludf.DUMMYFUNCTION("""COMPUTED_VALUE"""),"B. 1-9")</f>
        <v>B. 1-9</v>
      </c>
      <c r="C609" s="320">
        <f>IFERROR(__xludf.DUMMYFUNCTION("""COMPUTED_VALUE"""),30059.0)</f>
        <v>30059</v>
      </c>
      <c r="D609" s="320">
        <f>IFERROR(__xludf.DUMMYFUNCTION("""COMPUTED_VALUE"""),43.21)</f>
        <v>43.21</v>
      </c>
      <c r="E609" s="320">
        <f>IFERROR(__xludf.DUMMYFUNCTION("""COMPUTED_VALUE"""),7263.42)</f>
        <v>7263.42</v>
      </c>
      <c r="F609" s="320">
        <f>IFERROR(__xludf.DUMMYFUNCTION("""COMPUTED_VALUE"""),0.2416)</f>
        <v>0.2416</v>
      </c>
      <c r="G609" s="320">
        <f>IFERROR(__xludf.DUMMYFUNCTION("""COMPUTED_VALUE"""),7.01)</f>
        <v>7.01</v>
      </c>
      <c r="H609" s="320">
        <f>IFERROR(__xludf.DUMMYFUNCTION("""COMPUTED_VALUE"""),3.4489)</f>
        <v>3.4489</v>
      </c>
      <c r="I609" s="320">
        <f>IFERROR(__xludf.DUMMYFUNCTION("""COMPUTED_VALUE"""),31.11)</f>
        <v>31.11</v>
      </c>
      <c r="J609" s="320">
        <f>IFERROR(__xludf.DUMMYFUNCTION("""COMPUTED_VALUE"""),16.54)</f>
        <v>16.54</v>
      </c>
      <c r="K609" s="320">
        <f>IFERROR(__xludf.DUMMYFUNCTION("""COMPUTED_VALUE"""),5.43)</f>
        <v>5.43</v>
      </c>
      <c r="L609" s="320">
        <f>IFERROR(__xludf.DUMMYFUNCTION("""COMPUTED_VALUE"""),0.3283)</f>
        <v>0.3283</v>
      </c>
      <c r="M609" s="320">
        <f>IFERROR(__xludf.DUMMYFUNCTION("""COMPUTED_VALUE"""),0.7448)</f>
        <v>0.7448</v>
      </c>
      <c r="N609" s="320">
        <f>IFERROR(__xludf.DUMMYFUNCTION("""COMPUTED_VALUE"""),0.4998)</f>
        <v>0.4998</v>
      </c>
      <c r="O609" s="320">
        <f>IFERROR(__xludf.DUMMYFUNCTION("""COMPUTED_VALUE"""),3.0463)</f>
        <v>3.0463</v>
      </c>
      <c r="P609" s="320">
        <f>IFERROR(__xludf.DUMMYFUNCTION("""COMPUTED_VALUE"""),73.7)</f>
        <v>73.7</v>
      </c>
      <c r="Q609" s="320">
        <f>IFERROR(__xludf.DUMMYFUNCTION("""COMPUTED_VALUE"""),64.54)</f>
        <v>64.54</v>
      </c>
      <c r="R609" s="320">
        <f>IFERROR(__xludf.DUMMYFUNCTION("""COMPUTED_VALUE"""),9.16)</f>
        <v>9.16</v>
      </c>
      <c r="S609" s="320">
        <f>IFERROR(__xludf.DUMMYFUNCTION("""COMPUTED_VALUE"""),16.64)</f>
        <v>16.64</v>
      </c>
      <c r="T609" s="320">
        <f>IFERROR(__xludf.DUMMYFUNCTION("""COMPUTED_VALUE"""),57.06)</f>
        <v>57.06</v>
      </c>
      <c r="U609" s="320">
        <f>IFERROR(__xludf.DUMMYFUNCTION("""COMPUTED_VALUE"""),77.76)</f>
        <v>77.76</v>
      </c>
      <c r="V609" s="320">
        <f>IFERROR(__xludf.DUMMYFUNCTION("""COMPUTED_VALUE"""),4.7023)</f>
        <v>4.7023</v>
      </c>
      <c r="W609" s="320">
        <f>IFERROR(__xludf.DUMMYFUNCTION("""COMPUTED_VALUE"""),22.57)</f>
        <v>22.57</v>
      </c>
      <c r="X609" s="320">
        <f>IFERROR(__xludf.DUMMYFUNCTION("""COMPUTED_VALUE"""),86.0)</f>
        <v>86</v>
      </c>
      <c r="Y609" s="320">
        <f>IFERROR(__xludf.DUMMYFUNCTION("""COMPUTED_VALUE"""),214.0)</f>
        <v>214</v>
      </c>
      <c r="Z609" s="320">
        <f>IFERROR(__xludf.DUMMYFUNCTION("""COMPUTED_VALUE"""),862.0)</f>
        <v>862</v>
      </c>
      <c r="AA609" s="320">
        <f>IFERROR(__xludf.DUMMYFUNCTION("""COMPUTED_VALUE"""),49.6728)</f>
        <v>49.6728</v>
      </c>
      <c r="AB609" s="320">
        <f>IFERROR(__xludf.DUMMYFUNCTION("""COMPUTED_VALUE"""),0.4509)</f>
        <v>0.4509</v>
      </c>
      <c r="AC609" s="320">
        <f>IFERROR(__xludf.DUMMYFUNCTION("""COMPUTED_VALUE"""),3.66)</f>
        <v>3.66</v>
      </c>
      <c r="AD609" s="320">
        <f>IFERROR(__xludf.DUMMYFUNCTION("""COMPUTED_VALUE"""),1.0)</f>
        <v>1</v>
      </c>
      <c r="AE609" s="320">
        <f>IFERROR(__xludf.DUMMYFUNCTION("""COMPUTED_VALUE"""),2.0)</f>
        <v>2</v>
      </c>
      <c r="AF609" s="320">
        <f>IFERROR(__xludf.DUMMYFUNCTION("""COMPUTED_VALUE"""),5.0)</f>
        <v>5</v>
      </c>
      <c r="AG609" s="320">
        <f>IFERROR(__xludf.DUMMYFUNCTION("""COMPUTED_VALUE"""),8.0)</f>
        <v>8</v>
      </c>
      <c r="AH609" s="320">
        <f>IFERROR(__xludf.DUMMYFUNCTION("""COMPUTED_VALUE"""),66.73)</f>
        <v>66.73</v>
      </c>
      <c r="AI609" s="320">
        <f>IFERROR(__xludf.DUMMYFUNCTION("""COMPUTED_VALUE"""),25.84)</f>
        <v>25.84</v>
      </c>
      <c r="AJ609" s="320">
        <f>IFERROR(__xludf.DUMMYFUNCTION("""COMPUTED_VALUE"""),7.64)</f>
        <v>7.64</v>
      </c>
      <c r="AK609" s="320">
        <f>IFERROR(__xludf.DUMMYFUNCTION("""COMPUTED_VALUE"""),0.2249)</f>
        <v>0.2249</v>
      </c>
      <c r="AL609" s="320">
        <f>IFERROR(__xludf.DUMMYFUNCTION("""COMPUTED_VALUE"""),23.23)</f>
        <v>23.23</v>
      </c>
      <c r="AM609" s="320">
        <f>IFERROR(__xludf.DUMMYFUNCTION("""COMPUTED_VALUE"""),41.31)</f>
        <v>41.31</v>
      </c>
      <c r="AN609" s="320">
        <f>IFERROR(__xludf.DUMMYFUNCTION("""COMPUTED_VALUE"""),68.38)</f>
        <v>68.38</v>
      </c>
      <c r="AO609" s="320">
        <f>IFERROR(__xludf.DUMMYFUNCTION("""COMPUTED_VALUE"""),15.88)</f>
        <v>15.88</v>
      </c>
    </row>
    <row r="610" ht="15.0" customHeight="1">
      <c r="A610" s="328">
        <f>IFERROR(__xludf.DUMMYFUNCTION("""COMPUTED_VALUE"""),46151.0)</f>
        <v>46151</v>
      </c>
      <c r="B610" s="319" t="str">
        <f>IFERROR(__xludf.DUMMYFUNCTION("""COMPUTED_VALUE"""),"C. 10-19")</f>
        <v>C. 10-19</v>
      </c>
      <c r="C610" s="320">
        <f>IFERROR(__xludf.DUMMYFUNCTION("""COMPUTED_VALUE"""),13938.0)</f>
        <v>13938</v>
      </c>
      <c r="D610" s="320">
        <f>IFERROR(__xludf.DUMMYFUNCTION("""COMPUTED_VALUE"""),20.04)</f>
        <v>20.04</v>
      </c>
      <c r="E610" s="320">
        <f>IFERROR(__xludf.DUMMYFUNCTION("""COMPUTED_VALUE"""),14161.62)</f>
        <v>14161.62</v>
      </c>
      <c r="F610" s="320">
        <f>IFERROR(__xludf.DUMMYFUNCTION("""COMPUTED_VALUE"""),1.016)</f>
        <v>1.016</v>
      </c>
      <c r="G610" s="320">
        <f>IFERROR(__xludf.DUMMYFUNCTION("""COMPUTED_VALUE"""),21.25)</f>
        <v>21.25</v>
      </c>
      <c r="H610" s="320">
        <f>IFERROR(__xludf.DUMMYFUNCTION("""COMPUTED_VALUE"""),4.7811)</f>
        <v>4.7811</v>
      </c>
      <c r="I610" s="320">
        <f>IFERROR(__xludf.DUMMYFUNCTION("""COMPUTED_VALUE"""),57.17)</f>
        <v>57.17</v>
      </c>
      <c r="J610" s="320">
        <f>IFERROR(__xludf.DUMMYFUNCTION("""COMPUTED_VALUE"""),32.39)</f>
        <v>32.39</v>
      </c>
      <c r="K610" s="320">
        <f>IFERROR(__xludf.DUMMYFUNCTION("""COMPUTED_VALUE"""),14.01)</f>
        <v>14.01</v>
      </c>
      <c r="L610" s="320">
        <f>IFERROR(__xludf.DUMMYFUNCTION("""COMPUTED_VALUE"""),0.4327)</f>
        <v>0.4327</v>
      </c>
      <c r="M610" s="320">
        <f>IFERROR(__xludf.DUMMYFUNCTION("""COMPUTED_VALUE"""),0.6322)</f>
        <v>0.6322</v>
      </c>
      <c r="N610" s="320">
        <f>IFERROR(__xludf.DUMMYFUNCTION("""COMPUTED_VALUE"""),0.3611)</f>
        <v>0.3611</v>
      </c>
      <c r="O610" s="320">
        <f>IFERROR(__xludf.DUMMYFUNCTION("""COMPUTED_VALUE"""),2.3112)</f>
        <v>2.3112</v>
      </c>
      <c r="P610" s="320">
        <f>IFERROR(__xludf.DUMMYFUNCTION("""COMPUTED_VALUE"""),173.02)</f>
        <v>173.02</v>
      </c>
      <c r="Q610" s="320">
        <f>IFERROR(__xludf.DUMMYFUNCTION("""COMPUTED_VALUE"""),148.98)</f>
        <v>148.98</v>
      </c>
      <c r="R610" s="320">
        <f>IFERROR(__xludf.DUMMYFUNCTION("""COMPUTED_VALUE"""),24.03)</f>
        <v>24.03</v>
      </c>
      <c r="S610" s="320">
        <f>IFERROR(__xludf.DUMMYFUNCTION("""COMPUTED_VALUE"""),66.37)</f>
        <v>66.37</v>
      </c>
      <c r="T610" s="320">
        <f>IFERROR(__xludf.DUMMYFUNCTION("""COMPUTED_VALUE"""),106.64)</f>
        <v>106.64</v>
      </c>
      <c r="U610" s="320">
        <f>IFERROR(__xludf.DUMMYFUNCTION("""COMPUTED_VALUE"""),180.35)</f>
        <v>180.35</v>
      </c>
      <c r="V610" s="320">
        <f>IFERROR(__xludf.DUMMYFUNCTION("""COMPUTED_VALUE"""),5.5687)</f>
        <v>5.5687</v>
      </c>
      <c r="W610" s="320">
        <f>IFERROR(__xludf.DUMMYFUNCTION("""COMPUTED_VALUE"""),38.36)</f>
        <v>38.36</v>
      </c>
      <c r="X610" s="320">
        <f>IFERROR(__xludf.DUMMYFUNCTION("""COMPUTED_VALUE"""),85.0)</f>
        <v>85</v>
      </c>
      <c r="Y610" s="320">
        <f>IFERROR(__xludf.DUMMYFUNCTION("""COMPUTED_VALUE"""),196.0)</f>
        <v>196</v>
      </c>
      <c r="Z610" s="320">
        <f>IFERROR(__xludf.DUMMYFUNCTION("""COMPUTED_VALUE"""),628.0)</f>
        <v>628</v>
      </c>
      <c r="AA610" s="320">
        <f>IFERROR(__xludf.DUMMYFUNCTION("""COMPUTED_VALUE"""),52.5437)</f>
        <v>52.5437</v>
      </c>
      <c r="AB610" s="320">
        <f>IFERROR(__xludf.DUMMYFUNCTION("""COMPUTED_VALUE"""),0.5515)</f>
        <v>0.5515</v>
      </c>
      <c r="AC610" s="320">
        <f>IFERROR(__xludf.DUMMYFUNCTION("""COMPUTED_VALUE"""),9.3)</f>
        <v>9.3</v>
      </c>
      <c r="AD610" s="320">
        <f>IFERROR(__xludf.DUMMYFUNCTION("""COMPUTED_VALUE"""),3.0)</f>
        <v>3</v>
      </c>
      <c r="AE610" s="320">
        <f>IFERROR(__xludf.DUMMYFUNCTION("""COMPUTED_VALUE"""),6.0)</f>
        <v>6</v>
      </c>
      <c r="AF610" s="320">
        <f>IFERROR(__xludf.DUMMYFUNCTION("""COMPUTED_VALUE"""),13.0)</f>
        <v>13</v>
      </c>
      <c r="AG610" s="320">
        <f>IFERROR(__xludf.DUMMYFUNCTION("""COMPUTED_VALUE"""),21.0)</f>
        <v>21</v>
      </c>
      <c r="AH610" s="320">
        <f>IFERROR(__xludf.DUMMYFUNCTION("""COMPUTED_VALUE"""),55.11)</f>
        <v>55.11</v>
      </c>
      <c r="AI610" s="320">
        <f>IFERROR(__xludf.DUMMYFUNCTION("""COMPUTED_VALUE"""),26.28)</f>
        <v>26.28</v>
      </c>
      <c r="AJ610" s="320">
        <f>IFERROR(__xludf.DUMMYFUNCTION("""COMPUTED_VALUE"""),5.94)</f>
        <v>5.94</v>
      </c>
      <c r="AK610" s="320">
        <f>IFERROR(__xludf.DUMMYFUNCTION("""COMPUTED_VALUE"""),0.2023)</f>
        <v>0.2023</v>
      </c>
      <c r="AL610" s="320">
        <f>IFERROR(__xludf.DUMMYFUNCTION("""COMPUTED_VALUE"""),22.98)</f>
        <v>22.98</v>
      </c>
      <c r="AM610" s="320">
        <f>IFERROR(__xludf.DUMMYFUNCTION("""COMPUTED_VALUE"""),126.0)</f>
        <v>126</v>
      </c>
      <c r="AN610" s="320">
        <f>IFERROR(__xludf.DUMMYFUNCTION("""COMPUTED_VALUE"""),73.12)</f>
        <v>73.12</v>
      </c>
      <c r="AO610" s="320">
        <f>IFERROR(__xludf.DUMMYFUNCTION("""COMPUTED_VALUE"""),16.8)</f>
        <v>16.8</v>
      </c>
    </row>
    <row r="611" ht="15.0" customHeight="1">
      <c r="A611" s="328">
        <f>IFERROR(__xludf.DUMMYFUNCTION("""COMPUTED_VALUE"""),46151.0)</f>
        <v>46151</v>
      </c>
      <c r="B611" s="319" t="str">
        <f>IFERROR(__xludf.DUMMYFUNCTION("""COMPUTED_VALUE"""),"D. 20-39")</f>
        <v>D. 20-39</v>
      </c>
      <c r="C611" s="320">
        <f>IFERROR(__xludf.DUMMYFUNCTION("""COMPUTED_VALUE"""),7362.0)</f>
        <v>7362</v>
      </c>
      <c r="D611" s="320">
        <f>IFERROR(__xludf.DUMMYFUNCTION("""COMPUTED_VALUE"""),10.58)</f>
        <v>10.58</v>
      </c>
      <c r="E611" s="320">
        <f>IFERROR(__xludf.DUMMYFUNCTION("""COMPUTED_VALUE"""),18777.52)</f>
        <v>18777.52</v>
      </c>
      <c r="F611" s="320">
        <f>IFERROR(__xludf.DUMMYFUNCTION("""COMPUTED_VALUE"""),2.5506)</f>
        <v>2.5506</v>
      </c>
      <c r="G611" s="320">
        <f>IFERROR(__xludf.DUMMYFUNCTION("""COMPUTED_VALUE"""),33.47)</f>
        <v>33.47</v>
      </c>
      <c r="H611" s="320">
        <f>IFERROR(__xludf.DUMMYFUNCTION("""COMPUTED_VALUE"""),7.6207)</f>
        <v>7.6207</v>
      </c>
      <c r="I611" s="320">
        <f>IFERROR(__xludf.DUMMYFUNCTION("""COMPUTED_VALUE"""),83.44)</f>
        <v>83.44</v>
      </c>
      <c r="J611" s="320">
        <f>IFERROR(__xludf.DUMMYFUNCTION("""COMPUTED_VALUE"""),49.26)</f>
        <v>49.26</v>
      </c>
      <c r="K611" s="320">
        <f>IFERROR(__xludf.DUMMYFUNCTION("""COMPUTED_VALUE"""),27.21)</f>
        <v>27.21</v>
      </c>
      <c r="L611" s="320">
        <f>IFERROR(__xludf.DUMMYFUNCTION("""COMPUTED_VALUE"""),0.5523)</f>
        <v>0.5523</v>
      </c>
      <c r="M611" s="320">
        <f>IFERROR(__xludf.DUMMYFUNCTION("""COMPUTED_VALUE"""),0.5206)</f>
        <v>0.5206</v>
      </c>
      <c r="N611" s="320">
        <f>IFERROR(__xludf.DUMMYFUNCTION("""COMPUTED_VALUE"""),0.2853)</f>
        <v>0.2853</v>
      </c>
      <c r="O611" s="320">
        <f>IFERROR(__xludf.DUMMYFUNCTION("""COMPUTED_VALUE"""),1.8105)</f>
        <v>1.8105</v>
      </c>
      <c r="P611" s="320">
        <f>IFERROR(__xludf.DUMMYFUNCTION("""COMPUTED_VALUE"""),345.62)</f>
        <v>345.62</v>
      </c>
      <c r="Q611" s="320">
        <f>IFERROR(__xludf.DUMMYFUNCTION("""COMPUTED_VALUE"""),298.53)</f>
        <v>298.53</v>
      </c>
      <c r="R611" s="320">
        <f>IFERROR(__xludf.DUMMYFUNCTION("""COMPUTED_VALUE"""),47.09)</f>
        <v>47.09</v>
      </c>
      <c r="S611" s="320">
        <f>IFERROR(__xludf.DUMMYFUNCTION("""COMPUTED_VALUE"""),163.44)</f>
        <v>163.44</v>
      </c>
      <c r="T611" s="320">
        <f>IFERROR(__xludf.DUMMYFUNCTION("""COMPUTED_VALUE"""),182.18)</f>
        <v>182.18</v>
      </c>
      <c r="U611" s="320">
        <f>IFERROR(__xludf.DUMMYFUNCTION("""COMPUTED_VALUE"""),349.9)</f>
        <v>349.9</v>
      </c>
      <c r="V611" s="320">
        <f>IFERROR(__xludf.DUMMYFUNCTION("""COMPUTED_VALUE"""),7.1028)</f>
        <v>7.1028</v>
      </c>
      <c r="W611" s="320">
        <f>IFERROR(__xludf.DUMMYFUNCTION("""COMPUTED_VALUE"""),47.29)</f>
        <v>47.29</v>
      </c>
      <c r="X611" s="320">
        <f>IFERROR(__xludf.DUMMYFUNCTION("""COMPUTED_VALUE"""),92.0)</f>
        <v>92</v>
      </c>
      <c r="Y611" s="320">
        <f>IFERROR(__xludf.DUMMYFUNCTION("""COMPUTED_VALUE"""),236.0)</f>
        <v>236</v>
      </c>
      <c r="Z611" s="320">
        <f>IFERROR(__xludf.DUMMYFUNCTION("""COMPUTED_VALUE"""),706.0)</f>
        <v>706</v>
      </c>
      <c r="AA611" s="320">
        <f>IFERROR(__xludf.DUMMYFUNCTION("""COMPUTED_VALUE"""),54.7683)</f>
        <v>54.7683</v>
      </c>
      <c r="AB611" s="320">
        <f>IFERROR(__xludf.DUMMYFUNCTION("""COMPUTED_VALUE"""),0.6628)</f>
        <v>0.6628</v>
      </c>
      <c r="AC611" s="320">
        <f>IFERROR(__xludf.DUMMYFUNCTION("""COMPUTED_VALUE"""),18.08)</f>
        <v>18.08</v>
      </c>
      <c r="AD611" s="320">
        <f>IFERROR(__xludf.DUMMYFUNCTION("""COMPUTED_VALUE"""),6.0)</f>
        <v>6</v>
      </c>
      <c r="AE611" s="320">
        <f>IFERROR(__xludf.DUMMYFUNCTION("""COMPUTED_VALUE"""),13.0)</f>
        <v>13</v>
      </c>
      <c r="AF611" s="320">
        <f>IFERROR(__xludf.DUMMYFUNCTION("""COMPUTED_VALUE"""),25.0)</f>
        <v>25</v>
      </c>
      <c r="AG611" s="320">
        <f>IFERROR(__xludf.DUMMYFUNCTION("""COMPUTED_VALUE"""),39.0)</f>
        <v>39</v>
      </c>
      <c r="AH611" s="320">
        <f>IFERROR(__xludf.DUMMYFUNCTION("""COMPUTED_VALUE"""),56.51)</f>
        <v>56.51</v>
      </c>
      <c r="AI611" s="320">
        <f>IFERROR(__xludf.DUMMYFUNCTION("""COMPUTED_VALUE"""),24.93)</f>
        <v>24.93</v>
      </c>
      <c r="AJ611" s="320">
        <f>IFERROR(__xludf.DUMMYFUNCTION("""COMPUTED_VALUE"""),8.69)</f>
        <v>8.69</v>
      </c>
      <c r="AK611" s="320">
        <f>IFERROR(__xludf.DUMMYFUNCTION("""COMPUTED_VALUE"""),0.1945)</f>
        <v>0.1945</v>
      </c>
      <c r="AL611" s="320">
        <f>IFERROR(__xludf.DUMMYFUNCTION("""COMPUTED_VALUE"""),22.9)</f>
        <v>22.9</v>
      </c>
      <c r="AM611" s="320">
        <f>IFERROR(__xludf.DUMMYFUNCTION("""COMPUTED_VALUE"""),275.64)</f>
        <v>275.64</v>
      </c>
      <c r="AN611" s="320">
        <f>IFERROR(__xludf.DUMMYFUNCTION("""COMPUTED_VALUE"""),74.75)</f>
        <v>74.75</v>
      </c>
      <c r="AO611" s="320">
        <f>IFERROR(__xludf.DUMMYFUNCTION("""COMPUTED_VALUE"""),17.12)</f>
        <v>17.12</v>
      </c>
    </row>
    <row r="612" ht="15.0" customHeight="1">
      <c r="A612" s="328">
        <f>IFERROR(__xludf.DUMMYFUNCTION("""COMPUTED_VALUE"""),46151.0)</f>
        <v>46151</v>
      </c>
      <c r="B612" s="319" t="str">
        <f>IFERROR(__xludf.DUMMYFUNCTION("""COMPUTED_VALUE"""),"E. 40-99")</f>
        <v>E. 40-99</v>
      </c>
      <c r="C612" s="320">
        <f>IFERROR(__xludf.DUMMYFUNCTION("""COMPUTED_VALUE"""),3058.0)</f>
        <v>3058</v>
      </c>
      <c r="D612" s="320">
        <f>IFERROR(__xludf.DUMMYFUNCTION("""COMPUTED_VALUE"""),4.4)</f>
        <v>4.4</v>
      </c>
      <c r="E612" s="320">
        <f>IFERROR(__xludf.DUMMYFUNCTION("""COMPUTED_VALUE"""),16974.79)</f>
        <v>16974.79</v>
      </c>
      <c r="F612" s="320">
        <f>IFERROR(__xludf.DUMMYFUNCTION("""COMPUTED_VALUE"""),5.5509)</f>
        <v>5.5509</v>
      </c>
      <c r="G612" s="320">
        <f>IFERROR(__xludf.DUMMYFUNCTION("""COMPUTED_VALUE"""),43.07)</f>
        <v>43.07</v>
      </c>
      <c r="H612" s="320">
        <f>IFERROR(__xludf.DUMMYFUNCTION("""COMPUTED_VALUE"""),12.889)</f>
        <v>12.889</v>
      </c>
      <c r="I612" s="320">
        <f>IFERROR(__xludf.DUMMYFUNCTION("""COMPUTED_VALUE"""),127.15)</f>
        <v>127.15</v>
      </c>
      <c r="J612" s="320">
        <f>IFERROR(__xludf.DUMMYFUNCTION("""COMPUTED_VALUE"""),78.77)</f>
        <v>78.77</v>
      </c>
      <c r="K612" s="320">
        <f>IFERROR(__xludf.DUMMYFUNCTION("""COMPUTED_VALUE"""),53.57)</f>
        <v>53.57</v>
      </c>
      <c r="L612" s="320">
        <f>IFERROR(__xludf.DUMMYFUNCTION("""COMPUTED_VALUE"""),0.6801)</f>
        <v>0.6801</v>
      </c>
      <c r="M612" s="320">
        <f>IFERROR(__xludf.DUMMYFUNCTION("""COMPUTED_VALUE"""),0.4032)</f>
        <v>0.4032</v>
      </c>
      <c r="N612" s="320">
        <f>IFERROR(__xludf.DUMMYFUNCTION("""COMPUTED_VALUE"""),0.2224)</f>
        <v>0.2224</v>
      </c>
      <c r="O612" s="320">
        <f>IFERROR(__xludf.DUMMYFUNCTION("""COMPUTED_VALUE"""),1.4704)</f>
        <v>1.4704</v>
      </c>
      <c r="P612" s="320">
        <f>IFERROR(__xludf.DUMMYFUNCTION("""COMPUTED_VALUE"""),662.43)</f>
        <v>662.43</v>
      </c>
      <c r="Q612" s="320">
        <f>IFERROR(__xludf.DUMMYFUNCTION("""COMPUTED_VALUE"""),568.88)</f>
        <v>568.88</v>
      </c>
      <c r="R612" s="320">
        <f>IFERROR(__xludf.DUMMYFUNCTION("""COMPUTED_VALUE"""),93.56)</f>
        <v>93.56</v>
      </c>
      <c r="S612" s="320">
        <f>IFERROR(__xludf.DUMMYFUNCTION("""COMPUTED_VALUE"""),339.02)</f>
        <v>339.02</v>
      </c>
      <c r="T612" s="320">
        <f>IFERROR(__xludf.DUMMYFUNCTION("""COMPUTED_VALUE"""),323.41)</f>
        <v>323.41</v>
      </c>
      <c r="U612" s="320">
        <f>IFERROR(__xludf.DUMMYFUNCTION("""COMPUTED_VALUE"""),677.44)</f>
        <v>677.44</v>
      </c>
      <c r="V612" s="320">
        <f>IFERROR(__xludf.DUMMYFUNCTION("""COMPUTED_VALUE"""),8.5999)</f>
        <v>8.5999</v>
      </c>
      <c r="W612" s="320">
        <f>IFERROR(__xludf.DUMMYFUNCTION("""COMPUTED_VALUE"""),51.18)</f>
        <v>51.18</v>
      </c>
      <c r="X612" s="320">
        <f>IFERROR(__xludf.DUMMYFUNCTION("""COMPUTED_VALUE"""),96.0)</f>
        <v>96</v>
      </c>
      <c r="Y612" s="320">
        <f>IFERROR(__xludf.DUMMYFUNCTION("""COMPUTED_VALUE"""),316.0)</f>
        <v>316</v>
      </c>
      <c r="Z612" s="320">
        <f>IFERROR(__xludf.DUMMYFUNCTION("""COMPUTED_VALUE"""),894.0)</f>
        <v>894</v>
      </c>
      <c r="AA612" s="320">
        <f>IFERROR(__xludf.DUMMYFUNCTION("""COMPUTED_VALUE"""),57.5624)</f>
        <v>57.5624</v>
      </c>
      <c r="AB612" s="320">
        <f>IFERROR(__xludf.DUMMYFUNCTION("""COMPUTED_VALUE"""),0.7536)</f>
        <v>0.7536</v>
      </c>
      <c r="AC612" s="320">
        <f>IFERROR(__xludf.DUMMYFUNCTION("""COMPUTED_VALUE"""),36.53)</f>
        <v>36.53</v>
      </c>
      <c r="AD612" s="320">
        <f>IFERROR(__xludf.DUMMYFUNCTION("""COMPUTED_VALUE"""),11.0)</f>
        <v>11</v>
      </c>
      <c r="AE612" s="320">
        <f>IFERROR(__xludf.DUMMYFUNCTION("""COMPUTED_VALUE"""),28.0)</f>
        <v>28</v>
      </c>
      <c r="AF612" s="320">
        <f>IFERROR(__xludf.DUMMYFUNCTION("""COMPUTED_VALUE"""),51.0)</f>
        <v>51</v>
      </c>
      <c r="AG612" s="320">
        <f>IFERROR(__xludf.DUMMYFUNCTION("""COMPUTED_VALUE"""),79.0)</f>
        <v>79</v>
      </c>
      <c r="AH612" s="320">
        <f>IFERROR(__xludf.DUMMYFUNCTION("""COMPUTED_VALUE"""),49.97)</f>
        <v>49.97</v>
      </c>
      <c r="AI612" s="320">
        <f>IFERROR(__xludf.DUMMYFUNCTION("""COMPUTED_VALUE"""),19.78)</f>
        <v>19.78</v>
      </c>
      <c r="AJ612" s="320">
        <f>IFERROR(__xludf.DUMMYFUNCTION("""COMPUTED_VALUE"""),5.33)</f>
        <v>5.33</v>
      </c>
      <c r="AK612" s="320">
        <f>IFERROR(__xludf.DUMMYFUNCTION("""COMPUTED_VALUE"""),0.191)</f>
        <v>0.191</v>
      </c>
      <c r="AL612" s="320">
        <f>IFERROR(__xludf.DUMMYFUNCTION("""COMPUTED_VALUE"""),21.94)</f>
        <v>21.94</v>
      </c>
      <c r="AM612" s="320">
        <f>IFERROR(__xludf.DUMMYFUNCTION("""COMPUTED_VALUE"""),546.94)</f>
        <v>546.94</v>
      </c>
      <c r="AN612" s="320">
        <f>IFERROR(__xludf.DUMMYFUNCTION("""COMPUTED_VALUE"""),74.41)</f>
        <v>74.41</v>
      </c>
      <c r="AO612" s="320">
        <f>IFERROR(__xludf.DUMMYFUNCTION("""COMPUTED_VALUE"""),16.33)</f>
        <v>16.33</v>
      </c>
    </row>
    <row r="613" ht="15.0" customHeight="1">
      <c r="A613" s="328">
        <f>IFERROR(__xludf.DUMMYFUNCTION("""COMPUTED_VALUE"""),46151.0)</f>
        <v>46151</v>
      </c>
      <c r="B613" s="319" t="str">
        <f>IFERROR(__xludf.DUMMYFUNCTION("""COMPUTED_VALUE"""),"F. 100+")</f>
        <v>F. 100+</v>
      </c>
      <c r="C613" s="320">
        <f>IFERROR(__xludf.DUMMYFUNCTION("""COMPUTED_VALUE"""),335.0)</f>
        <v>335</v>
      </c>
      <c r="D613" s="320">
        <f>IFERROR(__xludf.DUMMYFUNCTION("""COMPUTED_VALUE"""),0.48)</f>
        <v>0.48</v>
      </c>
      <c r="E613" s="320">
        <f>IFERROR(__xludf.DUMMYFUNCTION("""COMPUTED_VALUE"""),3701.67)</f>
        <v>3701.67</v>
      </c>
      <c r="F613" s="320">
        <f>IFERROR(__xludf.DUMMYFUNCTION("""COMPUTED_VALUE"""),11.0498)</f>
        <v>11.0498</v>
      </c>
      <c r="G613" s="320">
        <f>IFERROR(__xludf.DUMMYFUNCTION("""COMPUTED_VALUE"""),49.55)</f>
        <v>49.55</v>
      </c>
      <c r="H613" s="320">
        <f>IFERROR(__xludf.DUMMYFUNCTION("""COMPUTED_VALUE"""),22.2992)</f>
        <v>22.2992</v>
      </c>
      <c r="I613" s="320">
        <f>IFERROR(__xludf.DUMMYFUNCTION("""COMPUTED_VALUE"""),237.78)</f>
        <v>237.78</v>
      </c>
      <c r="J613" s="320">
        <f>IFERROR(__xludf.DUMMYFUNCTION("""COMPUTED_VALUE"""),159.08)</f>
        <v>159.08</v>
      </c>
      <c r="K613" s="320">
        <f>IFERROR(__xludf.DUMMYFUNCTION("""COMPUTED_VALUE"""),131.19)</f>
        <v>131.19</v>
      </c>
      <c r="L613" s="320">
        <f>IFERROR(__xludf.DUMMYFUNCTION("""COMPUTED_VALUE"""),0.8247)</f>
        <v>0.8247</v>
      </c>
      <c r="M613" s="320">
        <f>IFERROR(__xludf.DUMMYFUNCTION("""COMPUTED_VALUE"""),0.2633)</f>
        <v>0.2633</v>
      </c>
      <c r="N613" s="320">
        <f>IFERROR(__xludf.DUMMYFUNCTION("""COMPUTED_VALUE"""),0.1631)</f>
        <v>0.1631</v>
      </c>
      <c r="O613" s="320">
        <f>IFERROR(__xludf.DUMMYFUNCTION("""COMPUTED_VALUE"""),1.2126)</f>
        <v>1.2126</v>
      </c>
      <c r="P613" s="320">
        <f>IFERROR(__xludf.DUMMYFUNCTION("""COMPUTED_VALUE"""),1397.65)</f>
        <v>1397.65</v>
      </c>
      <c r="Q613" s="320">
        <f>IFERROR(__xludf.DUMMYFUNCTION("""COMPUTED_VALUE"""),1159.74)</f>
        <v>1159.74</v>
      </c>
      <c r="R613" s="320">
        <f>IFERROR(__xludf.DUMMYFUNCTION("""COMPUTED_VALUE"""),237.91)</f>
        <v>237.91</v>
      </c>
      <c r="S613" s="320">
        <f>IFERROR(__xludf.DUMMYFUNCTION("""COMPUTED_VALUE"""),711.63)</f>
        <v>711.63</v>
      </c>
      <c r="T613" s="320">
        <f>IFERROR(__xludf.DUMMYFUNCTION("""COMPUTED_VALUE"""),686.02)</f>
        <v>686.02</v>
      </c>
      <c r="U613" s="320">
        <f>IFERROR(__xludf.DUMMYFUNCTION("""COMPUTED_VALUE"""),1383.88)</f>
        <v>1383.88</v>
      </c>
      <c r="V613" s="320">
        <f>IFERROR(__xludf.DUMMYFUNCTION("""COMPUTED_VALUE"""),8.6992)</f>
        <v>8.6992</v>
      </c>
      <c r="W613" s="320">
        <f>IFERROR(__xludf.DUMMYFUNCTION("""COMPUTED_VALUE"""),50.92)</f>
        <v>50.92</v>
      </c>
      <c r="X613" s="320">
        <f>IFERROR(__xludf.DUMMYFUNCTION("""COMPUTED_VALUE"""),171.0)</f>
        <v>171</v>
      </c>
      <c r="Y613" s="320">
        <f>IFERROR(__xludf.DUMMYFUNCTION("""COMPUTED_VALUE"""),700.0)</f>
        <v>700</v>
      </c>
      <c r="Z613" s="320">
        <f>IFERROR(__xludf.DUMMYFUNCTION("""COMPUTED_VALUE"""),2670.0)</f>
        <v>2670</v>
      </c>
      <c r="AA613" s="320">
        <f>IFERROR(__xludf.DUMMYFUNCTION("""COMPUTED_VALUE"""),60.903)</f>
        <v>60.903</v>
      </c>
      <c r="AB613" s="320">
        <f>IFERROR(__xludf.DUMMYFUNCTION("""COMPUTED_VALUE"""),0.8515)</f>
        <v>0.8515</v>
      </c>
      <c r="AC613" s="320">
        <f>IFERROR(__xludf.DUMMYFUNCTION("""COMPUTED_VALUE"""),92.19)</f>
        <v>92.19</v>
      </c>
      <c r="AD613" s="320">
        <f>IFERROR(__xludf.DUMMYFUNCTION("""COMPUTED_VALUE"""),34.0)</f>
        <v>34</v>
      </c>
      <c r="AE613" s="320">
        <f>IFERROR(__xludf.DUMMYFUNCTION("""COMPUTED_VALUE"""),75.0)</f>
        <v>75</v>
      </c>
      <c r="AF613" s="320">
        <f>IFERROR(__xludf.DUMMYFUNCTION("""COMPUTED_VALUE"""),132.0)</f>
        <v>132</v>
      </c>
      <c r="AG613" s="320">
        <f>IFERROR(__xludf.DUMMYFUNCTION("""COMPUTED_VALUE"""),191.0)</f>
        <v>191</v>
      </c>
      <c r="AH613" s="320">
        <f>IFERROR(__xludf.DUMMYFUNCTION("""COMPUTED_VALUE"""),48.66)</f>
        <v>48.66</v>
      </c>
      <c r="AI613" s="320">
        <f>IFERROR(__xludf.DUMMYFUNCTION("""COMPUTED_VALUE"""),13.43)</f>
        <v>13.43</v>
      </c>
      <c r="AJ613" s="320">
        <f>IFERROR(__xludf.DUMMYFUNCTION("""COMPUTED_VALUE"""),2.69)</f>
        <v>2.69</v>
      </c>
      <c r="AK613" s="320">
        <f>IFERROR(__xludf.DUMMYFUNCTION("""COMPUTED_VALUE"""),0.1642)</f>
        <v>0.1642</v>
      </c>
      <c r="AL613" s="320">
        <f>IFERROR(__xludf.DUMMYFUNCTION("""COMPUTED_VALUE"""),23.28)</f>
        <v>23.28</v>
      </c>
      <c r="AM613" s="320">
        <f>IFERROR(__xludf.DUMMYFUNCTION("""COMPUTED_VALUE"""),1136.46)</f>
        <v>1136.46</v>
      </c>
      <c r="AN613" s="320">
        <f>IFERROR(__xludf.DUMMYFUNCTION("""COMPUTED_VALUE"""),70.45)</f>
        <v>70.45</v>
      </c>
      <c r="AO613" s="320">
        <f>IFERROR(__xludf.DUMMYFUNCTION("""COMPUTED_VALUE"""),16.4)</f>
        <v>16.4</v>
      </c>
    </row>
    <row r="614" ht="15.0" customHeight="1">
      <c r="A614" s="328">
        <f>IFERROR(__xludf.DUMMYFUNCTION("""COMPUTED_VALUE"""),46152.0)</f>
        <v>46152</v>
      </c>
      <c r="B614" s="319" t="str">
        <f>IFERROR(__xludf.DUMMYFUNCTION("""COMPUTED_VALUE"""),"A. 0")</f>
        <v>A. 0</v>
      </c>
      <c r="C614" s="320">
        <f>IFERROR(__xludf.DUMMYFUNCTION("""COMPUTED_VALUE"""),14993.0)</f>
        <v>14993</v>
      </c>
      <c r="D614" s="320">
        <f>IFERROR(__xludf.DUMMYFUNCTION("""COMPUTED_VALUE"""),21.26)</f>
        <v>21.26</v>
      </c>
      <c r="E614" s="320">
        <f>IFERROR(__xludf.DUMMYFUNCTION("""COMPUTED_VALUE"""),154.73)</f>
        <v>154.73</v>
      </c>
      <c r="F614" s="320">
        <f>IFERROR(__xludf.DUMMYFUNCTION("""COMPUTED_VALUE"""),0.0103)</f>
        <v>0.0103</v>
      </c>
      <c r="G614" s="320">
        <f>IFERROR(__xludf.DUMMYFUNCTION("""COMPUTED_VALUE"""),0.16)</f>
        <v>0.16</v>
      </c>
      <c r="H614" s="320">
        <f>IFERROR(__xludf.DUMMYFUNCTION("""COMPUTED_VALUE"""),6.4471)</f>
        <v>6.4471</v>
      </c>
      <c r="I614" s="320">
        <f>IFERROR(__xludf.DUMMYFUNCTION("""COMPUTED_VALUE"""),6.35)</f>
        <v>6.35</v>
      </c>
      <c r="J614" s="320">
        <f>IFERROR(__xludf.DUMMYFUNCTION("""COMPUTED_VALUE"""),2.8)</f>
        <v>2.8</v>
      </c>
      <c r="K614" s="320">
        <f>IFERROR(__xludf.DUMMYFUNCTION("""COMPUTED_VALUE"""),0.05)</f>
        <v>0.05</v>
      </c>
      <c r="L614" s="320">
        <f>IFERROR(__xludf.DUMMYFUNCTION("""COMPUTED_VALUE"""),0.0161)</f>
        <v>0.0161</v>
      </c>
      <c r="M614" s="320">
        <f>IFERROR(__xludf.DUMMYFUNCTION("""COMPUTED_VALUE"""),0.9852)</f>
        <v>0.9852</v>
      </c>
      <c r="N614" s="320">
        <f>IFERROR(__xludf.DUMMYFUNCTION("""COMPUTED_VALUE"""),0.8237)</f>
        <v>0.8237</v>
      </c>
      <c r="O614" s="320">
        <f>IFERROR(__xludf.DUMMYFUNCTION("""COMPUTED_VALUE"""),62.2178)</f>
        <v>62.2178</v>
      </c>
      <c r="P614" s="320">
        <f>IFERROR(__xludf.DUMMYFUNCTION("""COMPUTED_VALUE"""),24.01)</f>
        <v>24.01</v>
      </c>
      <c r="Q614" s="320">
        <f>IFERROR(__xludf.DUMMYFUNCTION("""COMPUTED_VALUE"""),23.95)</f>
        <v>23.95</v>
      </c>
      <c r="R614" s="320">
        <f>IFERROR(__xludf.DUMMYFUNCTION("""COMPUTED_VALUE"""),0.06)</f>
        <v>0.06</v>
      </c>
      <c r="S614" s="320">
        <f>IFERROR(__xludf.DUMMYFUNCTION("""COMPUTED_VALUE"""),0.71)</f>
        <v>0.71</v>
      </c>
      <c r="T614" s="320">
        <f>IFERROR(__xludf.DUMMYFUNCTION("""COMPUTED_VALUE"""),23.3)</f>
        <v>23.3</v>
      </c>
      <c r="U614" s="320">
        <f>IFERROR(__xludf.DUMMYFUNCTION("""COMPUTED_VALUE"""),2.27)</f>
        <v>2.27</v>
      </c>
      <c r="V614" s="320">
        <f>IFERROR(__xludf.DUMMYFUNCTION("""COMPUTED_VALUE"""),0.8108)</f>
        <v>0.8108</v>
      </c>
      <c r="W614" s="320">
        <f>IFERROR(__xludf.DUMMYFUNCTION("""COMPUTED_VALUE"""),2.96)</f>
        <v>2.96</v>
      </c>
      <c r="X614" s="320">
        <f>IFERROR(__xludf.DUMMYFUNCTION("""COMPUTED_VALUE"""),148.0)</f>
        <v>148</v>
      </c>
      <c r="Y614" s="320">
        <f>IFERROR(__xludf.DUMMYFUNCTION("""COMPUTED_VALUE"""),1242.0)</f>
        <v>1242</v>
      </c>
      <c r="Z614" s="320">
        <f>IFERROR(__xludf.DUMMYFUNCTION("""COMPUTED_VALUE"""),7847.0)</f>
        <v>7847</v>
      </c>
      <c r="AA614" s="320">
        <f>IFERROR(__xludf.DUMMYFUNCTION("""COMPUTED_VALUE"""),49.9076)</f>
        <v>49.9076</v>
      </c>
      <c r="AB614" s="320">
        <f>IFERROR(__xludf.DUMMYFUNCTION("""COMPUTED_VALUE"""),0.522)</f>
        <v>0.522</v>
      </c>
      <c r="AC614" s="106"/>
      <c r="AD614" s="106"/>
      <c r="AE614" s="106"/>
      <c r="AF614" s="106"/>
      <c r="AG614" s="106"/>
      <c r="AH614" s="320">
        <f>IFERROR(__xludf.DUMMYFUNCTION("""COMPUTED_VALUE"""),0.0)</f>
        <v>0</v>
      </c>
      <c r="AI614" s="320">
        <f>IFERROR(__xludf.DUMMYFUNCTION("""COMPUTED_VALUE"""),0.0)</f>
        <v>0</v>
      </c>
      <c r="AJ614" s="320">
        <f>IFERROR(__xludf.DUMMYFUNCTION("""COMPUTED_VALUE"""),0.0)</f>
        <v>0</v>
      </c>
      <c r="AK614" s="320">
        <f>IFERROR(__xludf.DUMMYFUNCTION("""COMPUTED_VALUE"""),0.2795)</f>
        <v>0.2795</v>
      </c>
      <c r="AL614" s="320">
        <f>IFERROR(__xludf.DUMMYFUNCTION("""COMPUTED_VALUE"""),17.76)</f>
        <v>17.76</v>
      </c>
      <c r="AM614" s="320">
        <f>IFERROR(__xludf.DUMMYFUNCTION("""COMPUTED_VALUE"""),6.19)</f>
        <v>6.19</v>
      </c>
      <c r="AN614" s="331"/>
      <c r="AO614" s="331"/>
    </row>
    <row r="615" ht="15.0" customHeight="1">
      <c r="A615" s="328">
        <f>IFERROR(__xludf.DUMMYFUNCTION("""COMPUTED_VALUE"""),46152.0)</f>
        <v>46152</v>
      </c>
      <c r="B615" s="319" t="str">
        <f>IFERROR(__xludf.DUMMYFUNCTION("""COMPUTED_VALUE"""),"B. 1-9")</f>
        <v>B. 1-9</v>
      </c>
      <c r="C615" s="320">
        <f>IFERROR(__xludf.DUMMYFUNCTION("""COMPUTED_VALUE"""),30460.0)</f>
        <v>30460</v>
      </c>
      <c r="D615" s="320">
        <f>IFERROR(__xludf.DUMMYFUNCTION("""COMPUTED_VALUE"""),43.2)</f>
        <v>43.2</v>
      </c>
      <c r="E615" s="320">
        <f>IFERROR(__xludf.DUMMYFUNCTION("""COMPUTED_VALUE"""),7457.33)</f>
        <v>7457.33</v>
      </c>
      <c r="F615" s="320">
        <f>IFERROR(__xludf.DUMMYFUNCTION("""COMPUTED_VALUE"""),0.2448)</f>
        <v>0.2448</v>
      </c>
      <c r="G615" s="320">
        <f>IFERROR(__xludf.DUMMYFUNCTION("""COMPUTED_VALUE"""),7.04)</f>
        <v>7.04</v>
      </c>
      <c r="H615" s="320">
        <f>IFERROR(__xludf.DUMMYFUNCTION("""COMPUTED_VALUE"""),3.4782)</f>
        <v>3.4782</v>
      </c>
      <c r="I615" s="320">
        <f>IFERROR(__xludf.DUMMYFUNCTION("""COMPUTED_VALUE"""),36.64)</f>
        <v>36.64</v>
      </c>
      <c r="J615" s="320">
        <f>IFERROR(__xludf.DUMMYFUNCTION("""COMPUTED_VALUE"""),20.11)</f>
        <v>20.11</v>
      </c>
      <c r="K615" s="320">
        <f>IFERROR(__xludf.DUMMYFUNCTION("""COMPUTED_VALUE"""),5.55)</f>
        <v>5.55</v>
      </c>
      <c r="L615" s="320">
        <f>IFERROR(__xludf.DUMMYFUNCTION("""COMPUTED_VALUE"""),0.2759)</f>
        <v>0.2759</v>
      </c>
      <c r="M615" s="320">
        <f>IFERROR(__xludf.DUMMYFUNCTION("""COMPUTED_VALUE"""),0.7833)</f>
        <v>0.7833</v>
      </c>
      <c r="N615" s="320">
        <f>IFERROR(__xludf.DUMMYFUNCTION("""COMPUTED_VALUE"""),0.5238)</f>
        <v>0.5238</v>
      </c>
      <c r="O615" s="320">
        <f>IFERROR(__xludf.DUMMYFUNCTION("""COMPUTED_VALUE"""),3.6249)</f>
        <v>3.6249</v>
      </c>
      <c r="P615" s="320">
        <f>IFERROR(__xludf.DUMMYFUNCTION("""COMPUTED_VALUE"""),65.31)</f>
        <v>65.31</v>
      </c>
      <c r="Q615" s="320">
        <f>IFERROR(__xludf.DUMMYFUNCTION("""COMPUTED_VALUE"""),55.88)</f>
        <v>55.88</v>
      </c>
      <c r="R615" s="320">
        <f>IFERROR(__xludf.DUMMYFUNCTION("""COMPUTED_VALUE"""),9.44)</f>
        <v>9.44</v>
      </c>
      <c r="S615" s="320">
        <f>IFERROR(__xludf.DUMMYFUNCTION("""COMPUTED_VALUE"""),16.58)</f>
        <v>16.58</v>
      </c>
      <c r="T615" s="320">
        <f>IFERROR(__xludf.DUMMYFUNCTION("""COMPUTED_VALUE"""),48.74)</f>
        <v>48.74</v>
      </c>
      <c r="U615" s="320">
        <f>IFERROR(__xludf.DUMMYFUNCTION("""COMPUTED_VALUE"""),73.45)</f>
        <v>73.45</v>
      </c>
      <c r="V615" s="320">
        <f>IFERROR(__xludf.DUMMYFUNCTION("""COMPUTED_VALUE"""),3.6517)</f>
        <v>3.6517</v>
      </c>
      <c r="W615" s="320">
        <f>IFERROR(__xludf.DUMMYFUNCTION("""COMPUTED_VALUE"""),25.38)</f>
        <v>25.38</v>
      </c>
      <c r="X615" s="320">
        <f>IFERROR(__xludf.DUMMYFUNCTION("""COMPUTED_VALUE"""),84.0)</f>
        <v>84</v>
      </c>
      <c r="Y615" s="320">
        <f>IFERROR(__xludf.DUMMYFUNCTION("""COMPUTED_VALUE"""),201.0)</f>
        <v>201</v>
      </c>
      <c r="Z615" s="320">
        <f>IFERROR(__xludf.DUMMYFUNCTION("""COMPUTED_VALUE"""),879.0)</f>
        <v>879</v>
      </c>
      <c r="AA615" s="320">
        <f>IFERROR(__xludf.DUMMYFUNCTION("""COMPUTED_VALUE"""),49.6825)</f>
        <v>49.6825</v>
      </c>
      <c r="AB615" s="320">
        <f>IFERROR(__xludf.DUMMYFUNCTION("""COMPUTED_VALUE"""),0.4487)</f>
        <v>0.4487</v>
      </c>
      <c r="AC615" s="320">
        <f>IFERROR(__xludf.DUMMYFUNCTION("""COMPUTED_VALUE"""),3.55)</f>
        <v>3.55</v>
      </c>
      <c r="AD615" s="320">
        <f>IFERROR(__xludf.DUMMYFUNCTION("""COMPUTED_VALUE"""),1.0)</f>
        <v>1</v>
      </c>
      <c r="AE615" s="320">
        <f>IFERROR(__xludf.DUMMYFUNCTION("""COMPUTED_VALUE"""),2.0)</f>
        <v>2</v>
      </c>
      <c r="AF615" s="320">
        <f>IFERROR(__xludf.DUMMYFUNCTION("""COMPUTED_VALUE"""),5.0)</f>
        <v>5</v>
      </c>
      <c r="AG615" s="320">
        <f>IFERROR(__xludf.DUMMYFUNCTION("""COMPUTED_VALUE"""),8.0)</f>
        <v>8</v>
      </c>
      <c r="AH615" s="320">
        <f>IFERROR(__xludf.DUMMYFUNCTION("""COMPUTED_VALUE"""),67.06)</f>
        <v>67.06</v>
      </c>
      <c r="AI615" s="320">
        <f>IFERROR(__xludf.DUMMYFUNCTION("""COMPUTED_VALUE"""),24.81)</f>
        <v>24.81</v>
      </c>
      <c r="AJ615" s="320">
        <f>IFERROR(__xludf.DUMMYFUNCTION("""COMPUTED_VALUE"""),6.95)</f>
        <v>6.95</v>
      </c>
      <c r="AK615" s="320">
        <f>IFERROR(__xludf.DUMMYFUNCTION("""COMPUTED_VALUE"""),0.2297)</f>
        <v>0.2297</v>
      </c>
      <c r="AL615" s="320">
        <f>IFERROR(__xludf.DUMMYFUNCTION("""COMPUTED_VALUE"""),21.53)</f>
        <v>21.53</v>
      </c>
      <c r="AM615" s="320">
        <f>IFERROR(__xludf.DUMMYFUNCTION("""COMPUTED_VALUE"""),34.35)</f>
        <v>34.35</v>
      </c>
      <c r="AN615" s="320">
        <f>IFERROR(__xludf.DUMMYFUNCTION("""COMPUTED_VALUE"""),68.06)</f>
        <v>68.06</v>
      </c>
      <c r="AO615" s="320">
        <f>IFERROR(__xludf.DUMMYFUNCTION("""COMPUTED_VALUE"""),14.65)</f>
        <v>14.65</v>
      </c>
    </row>
    <row r="616" ht="15.0" customHeight="1">
      <c r="A616" s="328">
        <f>IFERROR(__xludf.DUMMYFUNCTION("""COMPUTED_VALUE"""),46152.0)</f>
        <v>46152</v>
      </c>
      <c r="B616" s="319" t="str">
        <f>IFERROR(__xludf.DUMMYFUNCTION("""COMPUTED_VALUE"""),"C. 10-19")</f>
        <v>C. 10-19</v>
      </c>
      <c r="C616" s="320">
        <f>IFERROR(__xludf.DUMMYFUNCTION("""COMPUTED_VALUE"""),14056.0)</f>
        <v>14056</v>
      </c>
      <c r="D616" s="320">
        <f>IFERROR(__xludf.DUMMYFUNCTION("""COMPUTED_VALUE"""),19.93)</f>
        <v>19.93</v>
      </c>
      <c r="E616" s="320">
        <f>IFERROR(__xludf.DUMMYFUNCTION("""COMPUTED_VALUE"""),14409.95)</f>
        <v>14409.95</v>
      </c>
      <c r="F616" s="320">
        <f>IFERROR(__xludf.DUMMYFUNCTION("""COMPUTED_VALUE"""),1.0252)</f>
        <v>1.0252</v>
      </c>
      <c r="G616" s="320">
        <f>IFERROR(__xludf.DUMMYFUNCTION("""COMPUTED_VALUE"""),21.65)</f>
        <v>21.65</v>
      </c>
      <c r="H616" s="320">
        <f>IFERROR(__xludf.DUMMYFUNCTION("""COMPUTED_VALUE"""),4.7354)</f>
        <v>4.7354</v>
      </c>
      <c r="I616" s="320">
        <f>IFERROR(__xludf.DUMMYFUNCTION("""COMPUTED_VALUE"""),65.19)</f>
        <v>65.19</v>
      </c>
      <c r="J616" s="320">
        <f>IFERROR(__xludf.DUMMYFUNCTION("""COMPUTED_VALUE"""),37.87)</f>
        <v>37.87</v>
      </c>
      <c r="K616" s="320">
        <f>IFERROR(__xludf.DUMMYFUNCTION("""COMPUTED_VALUE"""),14.3)</f>
        <v>14.3</v>
      </c>
      <c r="L616" s="320">
        <f>IFERROR(__xludf.DUMMYFUNCTION("""COMPUTED_VALUE"""),0.3776)</f>
        <v>0.3776</v>
      </c>
      <c r="M616" s="320">
        <f>IFERROR(__xludf.DUMMYFUNCTION("""COMPUTED_VALUE"""),0.6766)</f>
        <v>0.6766</v>
      </c>
      <c r="N616" s="320">
        <f>IFERROR(__xludf.DUMMYFUNCTION("""COMPUTED_VALUE"""),0.3832)</f>
        <v>0.3832</v>
      </c>
      <c r="O616" s="320">
        <f>IFERROR(__xludf.DUMMYFUNCTION("""COMPUTED_VALUE"""),2.6482)</f>
        <v>2.6482</v>
      </c>
      <c r="P616" s="320">
        <f>IFERROR(__xludf.DUMMYFUNCTION("""COMPUTED_VALUE"""),154.15)</f>
        <v>154.15</v>
      </c>
      <c r="Q616" s="320">
        <f>IFERROR(__xludf.DUMMYFUNCTION("""COMPUTED_VALUE"""),129.53)</f>
        <v>129.53</v>
      </c>
      <c r="R616" s="320">
        <f>IFERROR(__xludf.DUMMYFUNCTION("""COMPUTED_VALUE"""),24.62)</f>
        <v>24.62</v>
      </c>
      <c r="S616" s="320">
        <f>IFERROR(__xludf.DUMMYFUNCTION("""COMPUTED_VALUE"""),67.01)</f>
        <v>67.01</v>
      </c>
      <c r="T616" s="320">
        <f>IFERROR(__xludf.DUMMYFUNCTION("""COMPUTED_VALUE"""),87.14)</f>
        <v>87.14</v>
      </c>
      <c r="U616" s="320">
        <f>IFERROR(__xludf.DUMMYFUNCTION("""COMPUTED_VALUE"""),170.09)</f>
        <v>170.09</v>
      </c>
      <c r="V616" s="320">
        <f>IFERROR(__xludf.DUMMYFUNCTION("""COMPUTED_VALUE"""),4.4917)</f>
        <v>4.4917</v>
      </c>
      <c r="W616" s="320">
        <f>IFERROR(__xludf.DUMMYFUNCTION("""COMPUTED_VALUE"""),43.47)</f>
        <v>43.47</v>
      </c>
      <c r="X616" s="320">
        <f>IFERROR(__xludf.DUMMYFUNCTION("""COMPUTED_VALUE"""),81.0)</f>
        <v>81</v>
      </c>
      <c r="Y616" s="320">
        <f>IFERROR(__xludf.DUMMYFUNCTION("""COMPUTED_VALUE"""),176.0)</f>
        <v>176</v>
      </c>
      <c r="Z616" s="320">
        <f>IFERROR(__xludf.DUMMYFUNCTION("""COMPUTED_VALUE"""),620.0)</f>
        <v>620</v>
      </c>
      <c r="AA616" s="320">
        <f>IFERROR(__xludf.DUMMYFUNCTION("""COMPUTED_VALUE"""),52.461)</f>
        <v>52.461</v>
      </c>
      <c r="AB616" s="320">
        <f>IFERROR(__xludf.DUMMYFUNCTION("""COMPUTED_VALUE"""),0.5505)</f>
        <v>0.5505</v>
      </c>
      <c r="AC616" s="320">
        <f>IFERROR(__xludf.DUMMYFUNCTION("""COMPUTED_VALUE"""),8.93)</f>
        <v>8.93</v>
      </c>
      <c r="AD616" s="320">
        <f>IFERROR(__xludf.DUMMYFUNCTION("""COMPUTED_VALUE"""),3.0)</f>
        <v>3</v>
      </c>
      <c r="AE616" s="320">
        <f>IFERROR(__xludf.DUMMYFUNCTION("""COMPUTED_VALUE"""),6.0)</f>
        <v>6</v>
      </c>
      <c r="AF616" s="320">
        <f>IFERROR(__xludf.DUMMYFUNCTION("""COMPUTED_VALUE"""),12.0)</f>
        <v>12</v>
      </c>
      <c r="AG616" s="320">
        <f>IFERROR(__xludf.DUMMYFUNCTION("""COMPUTED_VALUE"""),20.0)</f>
        <v>20</v>
      </c>
      <c r="AH616" s="320">
        <f>IFERROR(__xludf.DUMMYFUNCTION("""COMPUTED_VALUE"""),54.27)</f>
        <v>54.27</v>
      </c>
      <c r="AI616" s="320">
        <f>IFERROR(__xludf.DUMMYFUNCTION("""COMPUTED_VALUE"""),24.74)</f>
        <v>24.74</v>
      </c>
      <c r="AJ616" s="320">
        <f>IFERROR(__xludf.DUMMYFUNCTION("""COMPUTED_VALUE"""),4.87)</f>
        <v>4.87</v>
      </c>
      <c r="AK616" s="320">
        <f>IFERROR(__xludf.DUMMYFUNCTION("""COMPUTED_VALUE"""),0.2202)</f>
        <v>0.2202</v>
      </c>
      <c r="AL616" s="320">
        <f>IFERROR(__xludf.DUMMYFUNCTION("""COMPUTED_VALUE"""),21.84)</f>
        <v>21.84</v>
      </c>
      <c r="AM616" s="320">
        <f>IFERROR(__xludf.DUMMYFUNCTION("""COMPUTED_VALUE"""),107.69)</f>
        <v>107.69</v>
      </c>
      <c r="AN616" s="320">
        <f>IFERROR(__xludf.DUMMYFUNCTION("""COMPUTED_VALUE"""),72.72)</f>
        <v>72.72</v>
      </c>
      <c r="AO616" s="320">
        <f>IFERROR(__xludf.DUMMYFUNCTION("""COMPUTED_VALUE"""),15.88)</f>
        <v>15.88</v>
      </c>
    </row>
    <row r="617" ht="15.0" customHeight="1">
      <c r="A617" s="328">
        <f>IFERROR(__xludf.DUMMYFUNCTION("""COMPUTED_VALUE"""),46152.0)</f>
        <v>46152</v>
      </c>
      <c r="B617" s="319" t="str">
        <f>IFERROR(__xludf.DUMMYFUNCTION("""COMPUTED_VALUE"""),"D. 20-39")</f>
        <v>D. 20-39</v>
      </c>
      <c r="C617" s="320">
        <f>IFERROR(__xludf.DUMMYFUNCTION("""COMPUTED_VALUE"""),7573.0)</f>
        <v>7573</v>
      </c>
      <c r="D617" s="320">
        <f>IFERROR(__xludf.DUMMYFUNCTION("""COMPUTED_VALUE"""),10.74)</f>
        <v>10.74</v>
      </c>
      <c r="E617" s="320">
        <f>IFERROR(__xludf.DUMMYFUNCTION("""COMPUTED_VALUE"""),20583.24)</f>
        <v>20583.24</v>
      </c>
      <c r="F617" s="320">
        <f>IFERROR(__xludf.DUMMYFUNCTION("""COMPUTED_VALUE"""),2.718)</f>
        <v>2.718</v>
      </c>
      <c r="G617" s="320">
        <f>IFERROR(__xludf.DUMMYFUNCTION("""COMPUTED_VALUE"""),33.94)</f>
        <v>33.94</v>
      </c>
      <c r="H617" s="320">
        <f>IFERROR(__xludf.DUMMYFUNCTION("""COMPUTED_VALUE"""),8.009)</f>
        <v>8.009</v>
      </c>
      <c r="I617" s="320">
        <f>IFERROR(__xludf.DUMMYFUNCTION("""COMPUTED_VALUE"""),92.41)</f>
        <v>92.41</v>
      </c>
      <c r="J617" s="320">
        <f>IFERROR(__xludf.DUMMYFUNCTION("""COMPUTED_VALUE"""),55.44)</f>
        <v>55.44</v>
      </c>
      <c r="K617" s="320">
        <f>IFERROR(__xludf.DUMMYFUNCTION("""COMPUTED_VALUE"""),28.33)</f>
        <v>28.33</v>
      </c>
      <c r="L617" s="320">
        <f>IFERROR(__xludf.DUMMYFUNCTION("""COMPUTED_VALUE"""),0.511)</f>
        <v>0.511</v>
      </c>
      <c r="M617" s="320">
        <f>IFERROR(__xludf.DUMMYFUNCTION("""COMPUTED_VALUE"""),0.554)</f>
        <v>0.554</v>
      </c>
      <c r="N617" s="320">
        <f>IFERROR(__xludf.DUMMYFUNCTION("""COMPUTED_VALUE"""),0.2958)</f>
        <v>0.2958</v>
      </c>
      <c r="O617" s="320">
        <f>IFERROR(__xludf.DUMMYFUNCTION("""COMPUTED_VALUE"""),1.9571)</f>
        <v>1.9571</v>
      </c>
      <c r="P617" s="320">
        <f>IFERROR(__xludf.DUMMYFUNCTION("""COMPUTED_VALUE"""),316.79)</f>
        <v>316.79</v>
      </c>
      <c r="Q617" s="320">
        <f>IFERROR(__xludf.DUMMYFUNCTION("""COMPUTED_VALUE"""),268.32)</f>
        <v>268.32</v>
      </c>
      <c r="R617" s="320">
        <f>IFERROR(__xludf.DUMMYFUNCTION("""COMPUTED_VALUE"""),48.47)</f>
        <v>48.47</v>
      </c>
      <c r="S617" s="320">
        <f>IFERROR(__xludf.DUMMYFUNCTION("""COMPUTED_VALUE"""),172.5)</f>
        <v>172.5</v>
      </c>
      <c r="T617" s="320">
        <f>IFERROR(__xludf.DUMMYFUNCTION("""COMPUTED_VALUE"""),144.29)</f>
        <v>144.29</v>
      </c>
      <c r="U617" s="320">
        <f>IFERROR(__xludf.DUMMYFUNCTION("""COMPUTED_VALUE"""),347.55)</f>
        <v>347.55</v>
      </c>
      <c r="V617" s="320">
        <f>IFERROR(__xludf.DUMMYFUNCTION("""COMPUTED_VALUE"""),6.2695)</f>
        <v>6.2695</v>
      </c>
      <c r="W617" s="320">
        <f>IFERROR(__xludf.DUMMYFUNCTION("""COMPUTED_VALUE"""),54.45)</f>
        <v>54.45</v>
      </c>
      <c r="X617" s="320">
        <f>IFERROR(__xludf.DUMMYFUNCTION("""COMPUTED_VALUE"""),84.0)</f>
        <v>84</v>
      </c>
      <c r="Y617" s="320">
        <f>IFERROR(__xludf.DUMMYFUNCTION("""COMPUTED_VALUE"""),194.0)</f>
        <v>194</v>
      </c>
      <c r="Z617" s="320">
        <f>IFERROR(__xludf.DUMMYFUNCTION("""COMPUTED_VALUE"""),640.0)</f>
        <v>640</v>
      </c>
      <c r="AA617" s="320">
        <f>IFERROR(__xludf.DUMMYFUNCTION("""COMPUTED_VALUE"""),54.7029)</f>
        <v>54.7029</v>
      </c>
      <c r="AB617" s="320">
        <f>IFERROR(__xludf.DUMMYFUNCTION("""COMPUTED_VALUE"""),0.667)</f>
        <v>0.667</v>
      </c>
      <c r="AC617" s="320">
        <f>IFERROR(__xludf.DUMMYFUNCTION("""COMPUTED_VALUE"""),18.37)</f>
        <v>18.37</v>
      </c>
      <c r="AD617" s="320">
        <f>IFERROR(__xludf.DUMMYFUNCTION("""COMPUTED_VALUE"""),6.0)</f>
        <v>6</v>
      </c>
      <c r="AE617" s="320">
        <f>IFERROR(__xludf.DUMMYFUNCTION("""COMPUTED_VALUE"""),14.0)</f>
        <v>14</v>
      </c>
      <c r="AF617" s="320">
        <f>IFERROR(__xludf.DUMMYFUNCTION("""COMPUTED_VALUE"""),26.0)</f>
        <v>26</v>
      </c>
      <c r="AG617" s="320">
        <f>IFERROR(__xludf.DUMMYFUNCTION("""COMPUTED_VALUE"""),40.0)</f>
        <v>40</v>
      </c>
      <c r="AH617" s="320">
        <f>IFERROR(__xludf.DUMMYFUNCTION("""COMPUTED_VALUE"""),56.9)</f>
        <v>56.9</v>
      </c>
      <c r="AI617" s="320">
        <f>IFERROR(__xludf.DUMMYFUNCTION("""COMPUTED_VALUE"""),25.8)</f>
        <v>25.8</v>
      </c>
      <c r="AJ617" s="320">
        <f>IFERROR(__xludf.DUMMYFUNCTION("""COMPUTED_VALUE"""),8.99)</f>
        <v>8.99</v>
      </c>
      <c r="AK617" s="320">
        <f>IFERROR(__xludf.DUMMYFUNCTION("""COMPUTED_VALUE"""),0.2209)</f>
        <v>0.2209</v>
      </c>
      <c r="AL617" s="320">
        <f>IFERROR(__xludf.DUMMYFUNCTION("""COMPUTED_VALUE"""),21.18)</f>
        <v>21.18</v>
      </c>
      <c r="AM617" s="320">
        <f>IFERROR(__xludf.DUMMYFUNCTION("""COMPUTED_VALUE"""),247.14)</f>
        <v>247.14</v>
      </c>
      <c r="AN617" s="320">
        <f>IFERROR(__xludf.DUMMYFUNCTION("""COMPUTED_VALUE"""),73.64)</f>
        <v>73.64</v>
      </c>
      <c r="AO617" s="320">
        <f>IFERROR(__xludf.DUMMYFUNCTION("""COMPUTED_VALUE"""),15.6)</f>
        <v>15.6</v>
      </c>
    </row>
    <row r="618" ht="15.0" customHeight="1">
      <c r="A618" s="328">
        <f>IFERROR(__xludf.DUMMYFUNCTION("""COMPUTED_VALUE"""),46152.0)</f>
        <v>46152</v>
      </c>
      <c r="B618" s="319" t="str">
        <f>IFERROR(__xludf.DUMMYFUNCTION("""COMPUTED_VALUE"""),"E. 40-99")</f>
        <v>E. 40-99</v>
      </c>
      <c r="C618" s="320">
        <f>IFERROR(__xludf.DUMMYFUNCTION("""COMPUTED_VALUE"""),3083.0)</f>
        <v>3083</v>
      </c>
      <c r="D618" s="320">
        <f>IFERROR(__xludf.DUMMYFUNCTION("""COMPUTED_VALUE"""),4.37)</f>
        <v>4.37</v>
      </c>
      <c r="E618" s="320">
        <f>IFERROR(__xludf.DUMMYFUNCTION("""COMPUTED_VALUE"""),17794.2)</f>
        <v>17794.2</v>
      </c>
      <c r="F618" s="320">
        <f>IFERROR(__xludf.DUMMYFUNCTION("""COMPUTED_VALUE"""),5.7717)</f>
        <v>5.7717</v>
      </c>
      <c r="G618" s="320">
        <f>IFERROR(__xludf.DUMMYFUNCTION("""COMPUTED_VALUE"""),44.76)</f>
        <v>44.76</v>
      </c>
      <c r="H618" s="320">
        <f>IFERROR(__xludf.DUMMYFUNCTION("""COMPUTED_VALUE"""),12.8943)</f>
        <v>12.8943</v>
      </c>
      <c r="I618" s="320">
        <f>IFERROR(__xludf.DUMMYFUNCTION("""COMPUTED_VALUE"""),133.95)</f>
        <v>133.95</v>
      </c>
      <c r="J618" s="320">
        <f>IFERROR(__xludf.DUMMYFUNCTION("""COMPUTED_VALUE"""),84.19)</f>
        <v>84.19</v>
      </c>
      <c r="K618" s="320">
        <f>IFERROR(__xludf.DUMMYFUNCTION("""COMPUTED_VALUE"""),54.95)</f>
        <v>54.95</v>
      </c>
      <c r="L618" s="320">
        <f>IFERROR(__xludf.DUMMYFUNCTION("""COMPUTED_VALUE"""),0.6527)</f>
        <v>0.6527</v>
      </c>
      <c r="M618" s="320">
        <f>IFERROR(__xludf.DUMMYFUNCTION("""COMPUTED_VALUE"""),0.4236)</f>
        <v>0.4236</v>
      </c>
      <c r="N618" s="320">
        <f>IFERROR(__xludf.DUMMYFUNCTION("""COMPUTED_VALUE"""),0.2276)</f>
        <v>0.2276</v>
      </c>
      <c r="O618" s="320">
        <f>IFERROR(__xludf.DUMMYFUNCTION("""COMPUTED_VALUE"""),1.5321)</f>
        <v>1.5321</v>
      </c>
      <c r="P618" s="320">
        <f>IFERROR(__xludf.DUMMYFUNCTION("""COMPUTED_VALUE"""),602.95)</f>
        <v>602.95</v>
      </c>
      <c r="Q618" s="320">
        <f>IFERROR(__xludf.DUMMYFUNCTION("""COMPUTED_VALUE"""),507.65)</f>
        <v>507.65</v>
      </c>
      <c r="R618" s="320">
        <f>IFERROR(__xludf.DUMMYFUNCTION("""COMPUTED_VALUE"""),95.3)</f>
        <v>95.3</v>
      </c>
      <c r="S618" s="320">
        <f>IFERROR(__xludf.DUMMYFUNCTION("""COMPUTED_VALUE"""),356.04)</f>
        <v>356.04</v>
      </c>
      <c r="T618" s="320">
        <f>IFERROR(__xludf.DUMMYFUNCTION("""COMPUTED_VALUE"""),246.91)</f>
        <v>246.91</v>
      </c>
      <c r="U618" s="320">
        <f>IFERROR(__xludf.DUMMYFUNCTION("""COMPUTED_VALUE"""),645.18)</f>
        <v>645.18</v>
      </c>
      <c r="V618" s="320">
        <f>IFERROR(__xludf.DUMMYFUNCTION("""COMPUTED_VALUE"""),7.6634)</f>
        <v>7.6634</v>
      </c>
      <c r="W618" s="320">
        <f>IFERROR(__xludf.DUMMYFUNCTION("""COMPUTED_VALUE"""),59.05)</f>
        <v>59.05</v>
      </c>
      <c r="X618" s="320">
        <f>IFERROR(__xludf.DUMMYFUNCTION("""COMPUTED_VALUE"""),91.0)</f>
        <v>91</v>
      </c>
      <c r="Y618" s="320">
        <f>IFERROR(__xludf.DUMMYFUNCTION("""COMPUTED_VALUE"""),274.0)</f>
        <v>274</v>
      </c>
      <c r="Z618" s="320">
        <f>IFERROR(__xludf.DUMMYFUNCTION("""COMPUTED_VALUE"""),859.0)</f>
        <v>859</v>
      </c>
      <c r="AA618" s="320">
        <f>IFERROR(__xludf.DUMMYFUNCTION("""COMPUTED_VALUE"""),57.7093)</f>
        <v>57.7093</v>
      </c>
      <c r="AB618" s="320">
        <f>IFERROR(__xludf.DUMMYFUNCTION("""COMPUTED_VALUE"""),0.763)</f>
        <v>0.763</v>
      </c>
      <c r="AC618" s="320">
        <f>IFERROR(__xludf.DUMMYFUNCTION("""COMPUTED_VALUE"""),36.21)</f>
        <v>36.21</v>
      </c>
      <c r="AD618" s="320">
        <f>IFERROR(__xludf.DUMMYFUNCTION("""COMPUTED_VALUE"""),12.0)</f>
        <v>12</v>
      </c>
      <c r="AE618" s="320">
        <f>IFERROR(__xludf.DUMMYFUNCTION("""COMPUTED_VALUE"""),28.0)</f>
        <v>28</v>
      </c>
      <c r="AF618" s="320">
        <f>IFERROR(__xludf.DUMMYFUNCTION("""COMPUTED_VALUE"""),50.0)</f>
        <v>50</v>
      </c>
      <c r="AG618" s="320">
        <f>IFERROR(__xludf.DUMMYFUNCTION("""COMPUTED_VALUE"""),79.0)</f>
        <v>79</v>
      </c>
      <c r="AH618" s="320">
        <f>IFERROR(__xludf.DUMMYFUNCTION("""COMPUTED_VALUE"""),50.41)</f>
        <v>50.41</v>
      </c>
      <c r="AI618" s="320">
        <f>IFERROR(__xludf.DUMMYFUNCTION("""COMPUTED_VALUE"""),18.59)</f>
        <v>18.59</v>
      </c>
      <c r="AJ618" s="320">
        <f>IFERROR(__xludf.DUMMYFUNCTION("""COMPUTED_VALUE"""),4.67)</f>
        <v>4.67</v>
      </c>
      <c r="AK618" s="320">
        <f>IFERROR(__xludf.DUMMYFUNCTION("""COMPUTED_VALUE"""),0.2105)</f>
        <v>0.2105</v>
      </c>
      <c r="AL618" s="320">
        <f>IFERROR(__xludf.DUMMYFUNCTION("""COMPUTED_VALUE"""),21.22)</f>
        <v>21.22</v>
      </c>
      <c r="AM618" s="320">
        <f>IFERROR(__xludf.DUMMYFUNCTION("""COMPUTED_VALUE"""),486.43)</f>
        <v>486.43</v>
      </c>
      <c r="AN618" s="320">
        <f>IFERROR(__xludf.DUMMYFUNCTION("""COMPUTED_VALUE"""),72.73)</f>
        <v>72.73</v>
      </c>
      <c r="AO618" s="320">
        <f>IFERROR(__xludf.DUMMYFUNCTION("""COMPUTED_VALUE"""),15.43)</f>
        <v>15.43</v>
      </c>
    </row>
    <row r="619" ht="15.0" customHeight="1">
      <c r="A619" s="328">
        <f>IFERROR(__xludf.DUMMYFUNCTION("""COMPUTED_VALUE"""),46152.0)</f>
        <v>46152</v>
      </c>
      <c r="B619" s="319" t="str">
        <f>IFERROR(__xludf.DUMMYFUNCTION("""COMPUTED_VALUE"""),"F. 100+")</f>
        <v>F. 100+</v>
      </c>
      <c r="C619" s="320">
        <f>IFERROR(__xludf.DUMMYFUNCTION("""COMPUTED_VALUE"""),350.0)</f>
        <v>350</v>
      </c>
      <c r="D619" s="320">
        <f>IFERROR(__xludf.DUMMYFUNCTION("""COMPUTED_VALUE"""),0.5)</f>
        <v>0.5</v>
      </c>
      <c r="E619" s="320">
        <f>IFERROR(__xludf.DUMMYFUNCTION("""COMPUTED_VALUE"""),4825.92)</f>
        <v>4825.92</v>
      </c>
      <c r="F619" s="320">
        <f>IFERROR(__xludf.DUMMYFUNCTION("""COMPUTED_VALUE"""),13.7883)</f>
        <v>13.7883</v>
      </c>
      <c r="G619" s="320">
        <f>IFERROR(__xludf.DUMMYFUNCTION("""COMPUTED_VALUE"""),50.57)</f>
        <v>50.57</v>
      </c>
      <c r="H619" s="320">
        <f>IFERROR(__xludf.DUMMYFUNCTION("""COMPUTED_VALUE"""),27.2651)</f>
        <v>27.2651</v>
      </c>
      <c r="I619" s="320">
        <f>IFERROR(__xludf.DUMMYFUNCTION("""COMPUTED_VALUE"""),255.79)</f>
        <v>255.79</v>
      </c>
      <c r="J619" s="320">
        <f>IFERROR(__xludf.DUMMYFUNCTION("""COMPUTED_VALUE"""),169.23)</f>
        <v>169.23</v>
      </c>
      <c r="K619" s="320">
        <f>IFERROR(__xludf.DUMMYFUNCTION("""COMPUTED_VALUE"""),136.64)</f>
        <v>136.64</v>
      </c>
      <c r="L619" s="320">
        <f>IFERROR(__xludf.DUMMYFUNCTION("""COMPUTED_VALUE"""),0.8074)</f>
        <v>0.8074</v>
      </c>
      <c r="M619" s="320">
        <f>IFERROR(__xludf.DUMMYFUNCTION("""COMPUTED_VALUE"""),0.2809)</f>
        <v>0.2809</v>
      </c>
      <c r="N619" s="320">
        <f>IFERROR(__xludf.DUMMYFUNCTION("""COMPUTED_VALUE"""),0.1705)</f>
        <v>0.1705</v>
      </c>
      <c r="O619" s="320">
        <f>IFERROR(__xludf.DUMMYFUNCTION("""COMPUTED_VALUE"""),1.2385)</f>
        <v>1.2385</v>
      </c>
      <c r="P619" s="320">
        <f>IFERROR(__xludf.DUMMYFUNCTION("""COMPUTED_VALUE"""),1351.27)</f>
        <v>1351.27</v>
      </c>
      <c r="Q619" s="320">
        <f>IFERROR(__xludf.DUMMYFUNCTION("""COMPUTED_VALUE"""),1109.32)</f>
        <v>1109.32</v>
      </c>
      <c r="R619" s="320">
        <f>IFERROR(__xludf.DUMMYFUNCTION("""COMPUTED_VALUE"""),241.96)</f>
        <v>241.96</v>
      </c>
      <c r="S619" s="320">
        <f>IFERROR(__xludf.DUMMYFUNCTION("""COMPUTED_VALUE"""),817.86)</f>
        <v>817.86</v>
      </c>
      <c r="T619" s="320">
        <f>IFERROR(__xludf.DUMMYFUNCTION("""COMPUTED_VALUE"""),533.42)</f>
        <v>533.42</v>
      </c>
      <c r="U619" s="320">
        <f>IFERROR(__xludf.DUMMYFUNCTION("""COMPUTED_VALUE"""),1475.43)</f>
        <v>1475.43</v>
      </c>
      <c r="V619" s="320">
        <f>IFERROR(__xludf.DUMMYFUNCTION("""COMPUTED_VALUE"""),8.7186)</f>
        <v>8.7186</v>
      </c>
      <c r="W619" s="320">
        <f>IFERROR(__xludf.DUMMYFUNCTION("""COMPUTED_VALUE"""),60.52)</f>
        <v>60.52</v>
      </c>
      <c r="X619" s="320">
        <f>IFERROR(__xludf.DUMMYFUNCTION("""COMPUTED_VALUE"""),135.0)</f>
        <v>135</v>
      </c>
      <c r="Y619" s="320">
        <f>IFERROR(__xludf.DUMMYFUNCTION("""COMPUTED_VALUE"""),572.0)</f>
        <v>572</v>
      </c>
      <c r="Z619" s="320">
        <f>IFERROR(__xludf.DUMMYFUNCTION("""COMPUTED_VALUE"""),2614.0)</f>
        <v>2614</v>
      </c>
      <c r="AA619" s="320">
        <f>IFERROR(__xludf.DUMMYFUNCTION("""COMPUTED_VALUE"""),61.2211)</f>
        <v>61.2211</v>
      </c>
      <c r="AB619" s="320">
        <f>IFERROR(__xludf.DUMMYFUNCTION("""COMPUTED_VALUE"""),0.8619)</f>
        <v>0.8619</v>
      </c>
      <c r="AC619" s="320">
        <f>IFERROR(__xludf.DUMMYFUNCTION("""COMPUTED_VALUE"""),92.02)</f>
        <v>92.02</v>
      </c>
      <c r="AD619" s="320">
        <f>IFERROR(__xludf.DUMMYFUNCTION("""COMPUTED_VALUE"""),33.0)</f>
        <v>33</v>
      </c>
      <c r="AE619" s="320">
        <f>IFERROR(__xludf.DUMMYFUNCTION("""COMPUTED_VALUE"""),77.0)</f>
        <v>77</v>
      </c>
      <c r="AF619" s="320">
        <f>IFERROR(__xludf.DUMMYFUNCTION("""COMPUTED_VALUE"""),130.0)</f>
        <v>130</v>
      </c>
      <c r="AG619" s="320">
        <f>IFERROR(__xludf.DUMMYFUNCTION("""COMPUTED_VALUE"""),201.0)</f>
        <v>201</v>
      </c>
      <c r="AH619" s="320">
        <f>IFERROR(__xludf.DUMMYFUNCTION("""COMPUTED_VALUE"""),48.57)</f>
        <v>48.57</v>
      </c>
      <c r="AI619" s="320">
        <f>IFERROR(__xludf.DUMMYFUNCTION("""COMPUTED_VALUE"""),13.71)</f>
        <v>13.71</v>
      </c>
      <c r="AJ619" s="320">
        <f>IFERROR(__xludf.DUMMYFUNCTION("""COMPUTED_VALUE"""),1.43)</f>
        <v>1.43</v>
      </c>
      <c r="AK619" s="320">
        <f>IFERROR(__xludf.DUMMYFUNCTION("""COMPUTED_VALUE"""),0.1714)</f>
        <v>0.1714</v>
      </c>
      <c r="AL619" s="320">
        <f>IFERROR(__xludf.DUMMYFUNCTION("""COMPUTED_VALUE"""),21.57)</f>
        <v>21.57</v>
      </c>
      <c r="AM619" s="320">
        <f>IFERROR(__xludf.DUMMYFUNCTION("""COMPUTED_VALUE"""),1087.75)</f>
        <v>1087.75</v>
      </c>
      <c r="AN619" s="320">
        <f>IFERROR(__xludf.DUMMYFUNCTION("""COMPUTED_VALUE"""),67.63)</f>
        <v>67.63</v>
      </c>
      <c r="AO619" s="320">
        <f>IFERROR(__xludf.DUMMYFUNCTION("""COMPUTED_VALUE"""),14.59)</f>
        <v>14.59</v>
      </c>
    </row>
    <row r="620" ht="15.0" customHeight="1">
      <c r="A620" s="328">
        <f>IFERROR(__xludf.DUMMYFUNCTION("""COMPUTED_VALUE"""),46153.0)</f>
        <v>46153</v>
      </c>
      <c r="B620" s="319" t="str">
        <f>IFERROR(__xludf.DUMMYFUNCTION("""COMPUTED_VALUE"""),"A. 0")</f>
        <v>A. 0</v>
      </c>
      <c r="C620" s="320">
        <f>IFERROR(__xludf.DUMMYFUNCTION("""COMPUTED_VALUE"""),14382.0)</f>
        <v>14382</v>
      </c>
      <c r="D620" s="320">
        <f>IFERROR(__xludf.DUMMYFUNCTION("""COMPUTED_VALUE"""),19.5)</f>
        <v>19.5</v>
      </c>
      <c r="E620" s="320">
        <f>IFERROR(__xludf.DUMMYFUNCTION("""COMPUTED_VALUE"""),163.47)</f>
        <v>163.47</v>
      </c>
      <c r="F620" s="320">
        <f>IFERROR(__xludf.DUMMYFUNCTION("""COMPUTED_VALUE"""),0.0114)</f>
        <v>0.0114</v>
      </c>
      <c r="G620" s="320">
        <f>IFERROR(__xludf.DUMMYFUNCTION("""COMPUTED_VALUE"""),0.26)</f>
        <v>0.26</v>
      </c>
      <c r="H620" s="320">
        <f>IFERROR(__xludf.DUMMYFUNCTION("""COMPUTED_VALUE"""),4.4181)</f>
        <v>4.4181</v>
      </c>
      <c r="I620" s="320">
        <f>IFERROR(__xludf.DUMMYFUNCTION("""COMPUTED_VALUE"""),5.48)</f>
        <v>5.48</v>
      </c>
      <c r="J620" s="320">
        <f>IFERROR(__xludf.DUMMYFUNCTION("""COMPUTED_VALUE"""),2.41)</f>
        <v>2.41</v>
      </c>
      <c r="K620" s="320">
        <f>IFERROR(__xludf.DUMMYFUNCTION("""COMPUTED_VALUE"""),0.11)</f>
        <v>0.11</v>
      </c>
      <c r="L620" s="320">
        <f>IFERROR(__xludf.DUMMYFUNCTION("""COMPUTED_VALUE"""),0.0439)</f>
        <v>0.0439</v>
      </c>
      <c r="M620" s="320">
        <f>IFERROR(__xludf.DUMMYFUNCTION("""COMPUTED_VALUE"""),0.962)</f>
        <v>0.962</v>
      </c>
      <c r="N620" s="320">
        <f>IFERROR(__xludf.DUMMYFUNCTION("""COMPUTED_VALUE"""),0.6528)</f>
        <v>0.6528</v>
      </c>
      <c r="O620" s="320">
        <f>IFERROR(__xludf.DUMMYFUNCTION("""COMPUTED_VALUE"""),22.7661)</f>
        <v>22.7661</v>
      </c>
      <c r="P620" s="320">
        <f>IFERROR(__xludf.DUMMYFUNCTION("""COMPUTED_VALUE"""),37.9)</f>
        <v>37.9</v>
      </c>
      <c r="Q620" s="320">
        <f>IFERROR(__xludf.DUMMYFUNCTION("""COMPUTED_VALUE"""),37.83)</f>
        <v>37.83</v>
      </c>
      <c r="R620" s="320">
        <f>IFERROR(__xludf.DUMMYFUNCTION("""COMPUTED_VALUE"""),0.07)</f>
        <v>0.07</v>
      </c>
      <c r="S620" s="320">
        <f>IFERROR(__xludf.DUMMYFUNCTION("""COMPUTED_VALUE"""),1.75)</f>
        <v>1.75</v>
      </c>
      <c r="T620" s="320">
        <f>IFERROR(__xludf.DUMMYFUNCTION("""COMPUTED_VALUE"""),36.15)</f>
        <v>36.15</v>
      </c>
      <c r="U620" s="320">
        <f>IFERROR(__xludf.DUMMYFUNCTION("""COMPUTED_VALUE"""),3.36)</f>
        <v>3.36</v>
      </c>
      <c r="V620" s="320">
        <f>IFERROR(__xludf.DUMMYFUNCTION("""COMPUTED_VALUE"""),1.3954)</f>
        <v>1.3954</v>
      </c>
      <c r="W620" s="320">
        <f>IFERROR(__xludf.DUMMYFUNCTION("""COMPUTED_VALUE"""),4.61)</f>
        <v>4.61</v>
      </c>
      <c r="X620" s="320">
        <f>IFERROR(__xludf.DUMMYFUNCTION("""COMPUTED_VALUE"""),192.0)</f>
        <v>192</v>
      </c>
      <c r="Y620" s="320">
        <f>IFERROR(__xludf.DUMMYFUNCTION("""COMPUTED_VALUE"""),1556.0)</f>
        <v>1556</v>
      </c>
      <c r="Z620" s="320">
        <f>IFERROR(__xludf.DUMMYFUNCTION("""COMPUTED_VALUE"""),8704.0)</f>
        <v>8704</v>
      </c>
      <c r="AA620" s="320">
        <f>IFERROR(__xludf.DUMMYFUNCTION("""COMPUTED_VALUE"""),50.0839)</f>
        <v>50.0839</v>
      </c>
      <c r="AB620" s="320">
        <f>IFERROR(__xludf.DUMMYFUNCTION("""COMPUTED_VALUE"""),0.5265)</f>
        <v>0.5265</v>
      </c>
      <c r="AC620" s="106"/>
      <c r="AD620" s="106"/>
      <c r="AE620" s="106"/>
      <c r="AF620" s="106"/>
      <c r="AG620" s="106"/>
      <c r="AH620" s="320">
        <f>IFERROR(__xludf.DUMMYFUNCTION("""COMPUTED_VALUE"""),0.0)</f>
        <v>0</v>
      </c>
      <c r="AI620" s="320">
        <f>IFERROR(__xludf.DUMMYFUNCTION("""COMPUTED_VALUE"""),0.0)</f>
        <v>0</v>
      </c>
      <c r="AJ620" s="320">
        <f>IFERROR(__xludf.DUMMYFUNCTION("""COMPUTED_VALUE"""),0.0)</f>
        <v>0</v>
      </c>
      <c r="AK620" s="320">
        <f>IFERROR(__xludf.DUMMYFUNCTION("""COMPUTED_VALUE"""),0.2648)</f>
        <v>0.2648</v>
      </c>
      <c r="AL620" s="320">
        <f>IFERROR(__xludf.DUMMYFUNCTION("""COMPUTED_VALUE"""),16.49)</f>
        <v>16.49</v>
      </c>
      <c r="AM620" s="320">
        <f>IFERROR(__xludf.DUMMYFUNCTION("""COMPUTED_VALUE"""),21.34)</f>
        <v>21.34</v>
      </c>
      <c r="AN620" s="331"/>
      <c r="AO620" s="331"/>
    </row>
    <row r="621" ht="15.0" customHeight="1">
      <c r="A621" s="328">
        <f>IFERROR(__xludf.DUMMYFUNCTION("""COMPUTED_VALUE"""),46153.0)</f>
        <v>46153</v>
      </c>
      <c r="B621" s="319" t="str">
        <f>IFERROR(__xludf.DUMMYFUNCTION("""COMPUTED_VALUE"""),"B. 1-9")</f>
        <v>B. 1-9</v>
      </c>
      <c r="C621" s="320">
        <f>IFERROR(__xludf.DUMMYFUNCTION("""COMPUTED_VALUE"""),32105.0)</f>
        <v>32105</v>
      </c>
      <c r="D621" s="320">
        <f>IFERROR(__xludf.DUMMYFUNCTION("""COMPUTED_VALUE"""),43.53)</f>
        <v>43.53</v>
      </c>
      <c r="E621" s="320">
        <f>IFERROR(__xludf.DUMMYFUNCTION("""COMPUTED_VALUE"""),6243.41)</f>
        <v>6243.41</v>
      </c>
      <c r="F621" s="320">
        <f>IFERROR(__xludf.DUMMYFUNCTION("""COMPUTED_VALUE"""),0.1945)</f>
        <v>0.1945</v>
      </c>
      <c r="G621" s="320">
        <f>IFERROR(__xludf.DUMMYFUNCTION("""COMPUTED_VALUE"""),5.85)</f>
        <v>5.85</v>
      </c>
      <c r="H621" s="320">
        <f>IFERROR(__xludf.DUMMYFUNCTION("""COMPUTED_VALUE"""),3.3245)</f>
        <v>3.3245</v>
      </c>
      <c r="I621" s="320">
        <f>IFERROR(__xludf.DUMMYFUNCTION("""COMPUTED_VALUE"""),35.97)</f>
        <v>35.97</v>
      </c>
      <c r="J621" s="320">
        <f>IFERROR(__xludf.DUMMYFUNCTION("""COMPUTED_VALUE"""),19.36)</f>
        <v>19.36</v>
      </c>
      <c r="K621" s="320">
        <f>IFERROR(__xludf.DUMMYFUNCTION("""COMPUTED_VALUE"""),5.62)</f>
        <v>5.62</v>
      </c>
      <c r="L621" s="320">
        <f>IFERROR(__xludf.DUMMYFUNCTION("""COMPUTED_VALUE"""),0.2903)</f>
        <v>0.2903</v>
      </c>
      <c r="M621" s="320">
        <f>IFERROR(__xludf.DUMMYFUNCTION("""COMPUTED_VALUE"""),0.7758)</f>
        <v>0.7758</v>
      </c>
      <c r="N621" s="320">
        <f>IFERROR(__xludf.DUMMYFUNCTION("""COMPUTED_VALUE"""),0.5268)</f>
        <v>0.5268</v>
      </c>
      <c r="O621" s="320">
        <f>IFERROR(__xludf.DUMMYFUNCTION("""COMPUTED_VALUE"""),3.4452)</f>
        <v>3.4452</v>
      </c>
      <c r="P621" s="320">
        <f>IFERROR(__xludf.DUMMYFUNCTION("""COMPUTED_VALUE"""),92.95)</f>
        <v>92.95</v>
      </c>
      <c r="Q621" s="320">
        <f>IFERROR(__xludf.DUMMYFUNCTION("""COMPUTED_VALUE"""),83.63)</f>
        <v>83.63</v>
      </c>
      <c r="R621" s="320">
        <f>IFERROR(__xludf.DUMMYFUNCTION("""COMPUTED_VALUE"""),9.32)</f>
        <v>9.32</v>
      </c>
      <c r="S621" s="320">
        <f>IFERROR(__xludf.DUMMYFUNCTION("""COMPUTED_VALUE"""),13.4)</f>
        <v>13.4</v>
      </c>
      <c r="T621" s="320">
        <f>IFERROR(__xludf.DUMMYFUNCTION("""COMPUTED_VALUE"""),79.55)</f>
        <v>79.55</v>
      </c>
      <c r="U621" s="320">
        <f>IFERROR(__xludf.DUMMYFUNCTION("""COMPUTED_VALUE"""),84.63)</f>
        <v>84.63</v>
      </c>
      <c r="V621" s="320">
        <f>IFERROR(__xludf.DUMMYFUNCTION("""COMPUTED_VALUE"""),4.3711)</f>
        <v>4.3711</v>
      </c>
      <c r="W621" s="320">
        <f>IFERROR(__xludf.DUMMYFUNCTION("""COMPUTED_VALUE"""),14.41)</f>
        <v>14.41</v>
      </c>
      <c r="X621" s="320">
        <f>IFERROR(__xludf.DUMMYFUNCTION("""COMPUTED_VALUE"""),91.0)</f>
        <v>91</v>
      </c>
      <c r="Y621" s="320">
        <f>IFERROR(__xludf.DUMMYFUNCTION("""COMPUTED_VALUE"""),214.0)</f>
        <v>214</v>
      </c>
      <c r="Z621" s="320">
        <f>IFERROR(__xludf.DUMMYFUNCTION("""COMPUTED_VALUE"""),842.0)</f>
        <v>842</v>
      </c>
      <c r="AA621" s="320">
        <f>IFERROR(__xludf.DUMMYFUNCTION("""COMPUTED_VALUE"""),49.636)</f>
        <v>49.636</v>
      </c>
      <c r="AB621" s="320">
        <f>IFERROR(__xludf.DUMMYFUNCTION("""COMPUTED_VALUE"""),0.4373)</f>
        <v>0.4373</v>
      </c>
      <c r="AC621" s="320">
        <f>IFERROR(__xludf.DUMMYFUNCTION("""COMPUTED_VALUE"""),3.57)</f>
        <v>3.57</v>
      </c>
      <c r="AD621" s="320">
        <f>IFERROR(__xludf.DUMMYFUNCTION("""COMPUTED_VALUE"""),1.0)</f>
        <v>1</v>
      </c>
      <c r="AE621" s="320">
        <f>IFERROR(__xludf.DUMMYFUNCTION("""COMPUTED_VALUE"""),2.0)</f>
        <v>2</v>
      </c>
      <c r="AF621" s="320">
        <f>IFERROR(__xludf.DUMMYFUNCTION("""COMPUTED_VALUE"""),5.0)</f>
        <v>5</v>
      </c>
      <c r="AG621" s="320">
        <f>IFERROR(__xludf.DUMMYFUNCTION("""COMPUTED_VALUE"""),8.0)</f>
        <v>8</v>
      </c>
      <c r="AH621" s="320">
        <f>IFERROR(__xludf.DUMMYFUNCTION("""COMPUTED_VALUE"""),67.9)</f>
        <v>67.9</v>
      </c>
      <c r="AI621" s="320">
        <f>IFERROR(__xludf.DUMMYFUNCTION("""COMPUTED_VALUE"""),25.18)</f>
        <v>25.18</v>
      </c>
      <c r="AJ621" s="320">
        <f>IFERROR(__xludf.DUMMYFUNCTION("""COMPUTED_VALUE"""),6.71)</f>
        <v>6.71</v>
      </c>
      <c r="AK621" s="320">
        <f>IFERROR(__xludf.DUMMYFUNCTION("""COMPUTED_VALUE"""),0.2061)</f>
        <v>0.2061</v>
      </c>
      <c r="AL621" s="320">
        <f>IFERROR(__xludf.DUMMYFUNCTION("""COMPUTED_VALUE"""),18.78)</f>
        <v>18.78</v>
      </c>
      <c r="AM621" s="320">
        <f>IFERROR(__xludf.DUMMYFUNCTION("""COMPUTED_VALUE"""),64.85)</f>
        <v>64.85</v>
      </c>
      <c r="AN621" s="320">
        <f>IFERROR(__xludf.DUMMYFUNCTION("""COMPUTED_VALUE"""),68.0)</f>
        <v>68</v>
      </c>
      <c r="AO621" s="320">
        <f>IFERROR(__xludf.DUMMYFUNCTION("""COMPUTED_VALUE"""),12.77)</f>
        <v>12.77</v>
      </c>
    </row>
    <row r="622" ht="15.0" customHeight="1">
      <c r="A622" s="328">
        <f>IFERROR(__xludf.DUMMYFUNCTION("""COMPUTED_VALUE"""),46153.0)</f>
        <v>46153</v>
      </c>
      <c r="B622" s="319" t="str">
        <f>IFERROR(__xludf.DUMMYFUNCTION("""COMPUTED_VALUE"""),"C. 10-19")</f>
        <v>C. 10-19</v>
      </c>
      <c r="C622" s="320">
        <f>IFERROR(__xludf.DUMMYFUNCTION("""COMPUTED_VALUE"""),15335.0)</f>
        <v>15335</v>
      </c>
      <c r="D622" s="320">
        <f>IFERROR(__xludf.DUMMYFUNCTION("""COMPUTED_VALUE"""),20.79)</f>
        <v>20.79</v>
      </c>
      <c r="E622" s="320">
        <f>IFERROR(__xludf.DUMMYFUNCTION("""COMPUTED_VALUE"""),14715.75)</f>
        <v>14715.75</v>
      </c>
      <c r="F622" s="320">
        <f>IFERROR(__xludf.DUMMYFUNCTION("""COMPUTED_VALUE"""),0.9596)</f>
        <v>0.9596</v>
      </c>
      <c r="G622" s="320">
        <f>IFERROR(__xludf.DUMMYFUNCTION("""COMPUTED_VALUE"""),19.92)</f>
        <v>19.92</v>
      </c>
      <c r="H622" s="320">
        <f>IFERROR(__xludf.DUMMYFUNCTION("""COMPUTED_VALUE"""),4.8185)</f>
        <v>4.8185</v>
      </c>
      <c r="I622" s="320">
        <f>IFERROR(__xludf.DUMMYFUNCTION("""COMPUTED_VALUE"""),66.31)</f>
        <v>66.31</v>
      </c>
      <c r="J622" s="320">
        <f>IFERROR(__xludf.DUMMYFUNCTION("""COMPUTED_VALUE"""),37.79)</f>
        <v>37.79</v>
      </c>
      <c r="K622" s="320">
        <f>IFERROR(__xludf.DUMMYFUNCTION("""COMPUTED_VALUE"""),15.02)</f>
        <v>15.02</v>
      </c>
      <c r="L622" s="320">
        <f>IFERROR(__xludf.DUMMYFUNCTION("""COMPUTED_VALUE"""),0.3975)</f>
        <v>0.3975</v>
      </c>
      <c r="M622" s="320">
        <f>IFERROR(__xludf.DUMMYFUNCTION("""COMPUTED_VALUE"""),0.6632)</f>
        <v>0.6632</v>
      </c>
      <c r="N622" s="320">
        <f>IFERROR(__xludf.DUMMYFUNCTION("""COMPUTED_VALUE"""),0.3806)</f>
        <v>0.3806</v>
      </c>
      <c r="O622" s="320">
        <f>IFERROR(__xludf.DUMMYFUNCTION("""COMPUTED_VALUE"""),2.5155)</f>
        <v>2.5155</v>
      </c>
      <c r="P622" s="320">
        <f>IFERROR(__xludf.DUMMYFUNCTION("""COMPUTED_VALUE"""),205.14)</f>
        <v>205.14</v>
      </c>
      <c r="Q622" s="320">
        <f>IFERROR(__xludf.DUMMYFUNCTION("""COMPUTED_VALUE"""),181.2)</f>
        <v>181.2</v>
      </c>
      <c r="R622" s="320">
        <f>IFERROR(__xludf.DUMMYFUNCTION("""COMPUTED_VALUE"""),23.94)</f>
        <v>23.94</v>
      </c>
      <c r="S622" s="320">
        <f>IFERROR(__xludf.DUMMYFUNCTION("""COMPUTED_VALUE"""),63.65)</f>
        <v>63.65</v>
      </c>
      <c r="T622" s="320">
        <f>IFERROR(__xludf.DUMMYFUNCTION("""COMPUTED_VALUE"""),141.49)</f>
        <v>141.49</v>
      </c>
      <c r="U622" s="320">
        <f>IFERROR(__xludf.DUMMYFUNCTION("""COMPUTED_VALUE"""),197.54)</f>
        <v>197.54</v>
      </c>
      <c r="V622" s="320">
        <f>IFERROR(__xludf.DUMMYFUNCTION("""COMPUTED_VALUE"""),5.2275)</f>
        <v>5.2275</v>
      </c>
      <c r="W622" s="320">
        <f>IFERROR(__xludf.DUMMYFUNCTION("""COMPUTED_VALUE"""),31.03)</f>
        <v>31.03</v>
      </c>
      <c r="X622" s="320">
        <f>IFERROR(__xludf.DUMMYFUNCTION("""COMPUTED_VALUE"""),87.0)</f>
        <v>87</v>
      </c>
      <c r="Y622" s="320">
        <f>IFERROR(__xludf.DUMMYFUNCTION("""COMPUTED_VALUE"""),201.0)</f>
        <v>201</v>
      </c>
      <c r="Z622" s="320">
        <f>IFERROR(__xludf.DUMMYFUNCTION("""COMPUTED_VALUE"""),620.0)</f>
        <v>620</v>
      </c>
      <c r="AA622" s="320">
        <f>IFERROR(__xludf.DUMMYFUNCTION("""COMPUTED_VALUE"""),52.3329)</f>
        <v>52.3329</v>
      </c>
      <c r="AB622" s="320">
        <f>IFERROR(__xludf.DUMMYFUNCTION("""COMPUTED_VALUE"""),0.5021)</f>
        <v>0.5021</v>
      </c>
      <c r="AC622" s="320">
        <f>IFERROR(__xludf.DUMMYFUNCTION("""COMPUTED_VALUE"""),9.22)</f>
        <v>9.22</v>
      </c>
      <c r="AD622" s="320">
        <f>IFERROR(__xludf.DUMMYFUNCTION("""COMPUTED_VALUE"""),3.0)</f>
        <v>3</v>
      </c>
      <c r="AE622" s="320">
        <f>IFERROR(__xludf.DUMMYFUNCTION("""COMPUTED_VALUE"""),6.0)</f>
        <v>6</v>
      </c>
      <c r="AF622" s="320">
        <f>IFERROR(__xludf.DUMMYFUNCTION("""COMPUTED_VALUE"""),13.0)</f>
        <v>13</v>
      </c>
      <c r="AG622" s="320">
        <f>IFERROR(__xludf.DUMMYFUNCTION("""COMPUTED_VALUE"""),21.0)</f>
        <v>21</v>
      </c>
      <c r="AH622" s="320">
        <f>IFERROR(__xludf.DUMMYFUNCTION("""COMPUTED_VALUE"""),55.02)</f>
        <v>55.02</v>
      </c>
      <c r="AI622" s="320">
        <f>IFERROR(__xludf.DUMMYFUNCTION("""COMPUTED_VALUE"""),25.93)</f>
        <v>25.93</v>
      </c>
      <c r="AJ622" s="320">
        <f>IFERROR(__xludf.DUMMYFUNCTION("""COMPUTED_VALUE"""),5.78)</f>
        <v>5.78</v>
      </c>
      <c r="AK622" s="320">
        <f>IFERROR(__xludf.DUMMYFUNCTION("""COMPUTED_VALUE"""),0.1732)</f>
        <v>0.1732</v>
      </c>
      <c r="AL622" s="320">
        <f>IFERROR(__xludf.DUMMYFUNCTION("""COMPUTED_VALUE"""),19.47)</f>
        <v>19.47</v>
      </c>
      <c r="AM622" s="320">
        <f>IFERROR(__xludf.DUMMYFUNCTION("""COMPUTED_VALUE"""),161.73)</f>
        <v>161.73</v>
      </c>
      <c r="AN622" s="320">
        <f>IFERROR(__xludf.DUMMYFUNCTION("""COMPUTED_VALUE"""),71.35)</f>
        <v>71.35</v>
      </c>
      <c r="AO622" s="320">
        <f>IFERROR(__xludf.DUMMYFUNCTION("""COMPUTED_VALUE"""),13.89)</f>
        <v>13.89</v>
      </c>
    </row>
    <row r="623" ht="15.0" customHeight="1">
      <c r="A623" s="328">
        <f>IFERROR(__xludf.DUMMYFUNCTION("""COMPUTED_VALUE"""),46153.0)</f>
        <v>46153</v>
      </c>
      <c r="B623" s="319" t="str">
        <f>IFERROR(__xludf.DUMMYFUNCTION("""COMPUTED_VALUE"""),"D. 20-39")</f>
        <v>D. 20-39</v>
      </c>
      <c r="C623" s="320">
        <f>IFERROR(__xludf.DUMMYFUNCTION("""COMPUTED_VALUE"""),8309.0)</f>
        <v>8309</v>
      </c>
      <c r="D623" s="320">
        <f>IFERROR(__xludf.DUMMYFUNCTION("""COMPUTED_VALUE"""),11.27)</f>
        <v>11.27</v>
      </c>
      <c r="E623" s="320">
        <f>IFERROR(__xludf.DUMMYFUNCTION("""COMPUTED_VALUE"""),20065.5)</f>
        <v>20065.5</v>
      </c>
      <c r="F623" s="320">
        <f>IFERROR(__xludf.DUMMYFUNCTION("""COMPUTED_VALUE"""),2.4149)</f>
        <v>2.4149</v>
      </c>
      <c r="G623" s="320">
        <f>IFERROR(__xludf.DUMMYFUNCTION("""COMPUTED_VALUE"""),31.23)</f>
        <v>31.23</v>
      </c>
      <c r="H623" s="320">
        <f>IFERROR(__xludf.DUMMYFUNCTION("""COMPUTED_VALUE"""),7.7324)</f>
        <v>7.7324</v>
      </c>
      <c r="I623" s="320">
        <f>IFERROR(__xludf.DUMMYFUNCTION("""COMPUTED_VALUE"""),92.23)</f>
        <v>92.23</v>
      </c>
      <c r="J623" s="320">
        <f>IFERROR(__xludf.DUMMYFUNCTION("""COMPUTED_VALUE"""),54.44)</f>
        <v>54.44</v>
      </c>
      <c r="K623" s="320">
        <f>IFERROR(__xludf.DUMMYFUNCTION("""COMPUTED_VALUE"""),29.33)</f>
        <v>29.33</v>
      </c>
      <c r="L623" s="320">
        <f>IFERROR(__xludf.DUMMYFUNCTION("""COMPUTED_VALUE"""),0.5387)</f>
        <v>0.5387</v>
      </c>
      <c r="M623" s="320">
        <f>IFERROR(__xludf.DUMMYFUNCTION("""COMPUTED_VALUE"""),0.5334)</f>
        <v>0.5334</v>
      </c>
      <c r="N623" s="320">
        <f>IFERROR(__xludf.DUMMYFUNCTION("""COMPUTED_VALUE"""),0.2898)</f>
        <v>0.2898</v>
      </c>
      <c r="O623" s="320">
        <f>IFERROR(__xludf.DUMMYFUNCTION("""COMPUTED_VALUE"""),1.8564)</f>
        <v>1.8564</v>
      </c>
      <c r="P623" s="320">
        <f>IFERROR(__xludf.DUMMYFUNCTION("""COMPUTED_VALUE"""),384.56)</f>
        <v>384.56</v>
      </c>
      <c r="Q623" s="320">
        <f>IFERROR(__xludf.DUMMYFUNCTION("""COMPUTED_VALUE"""),338.11)</f>
        <v>338.11</v>
      </c>
      <c r="R623" s="320">
        <f>IFERROR(__xludf.DUMMYFUNCTION("""COMPUTED_VALUE"""),46.45)</f>
        <v>46.45</v>
      </c>
      <c r="S623" s="320">
        <f>IFERROR(__xludf.DUMMYFUNCTION("""COMPUTED_VALUE"""),154.84)</f>
        <v>154.84</v>
      </c>
      <c r="T623" s="320">
        <f>IFERROR(__xludf.DUMMYFUNCTION("""COMPUTED_VALUE"""),229.72)</f>
        <v>229.72</v>
      </c>
      <c r="U623" s="320">
        <f>IFERROR(__xludf.DUMMYFUNCTION("""COMPUTED_VALUE"""),381.99)</f>
        <v>381.99</v>
      </c>
      <c r="V623" s="320">
        <f>IFERROR(__xludf.DUMMYFUNCTION("""COMPUTED_VALUE"""),7.0163)</f>
        <v>7.0163</v>
      </c>
      <c r="W623" s="320">
        <f>IFERROR(__xludf.DUMMYFUNCTION("""COMPUTED_VALUE"""),40.26)</f>
        <v>40.26</v>
      </c>
      <c r="X623" s="320">
        <f>IFERROR(__xludf.DUMMYFUNCTION("""COMPUTED_VALUE"""),91.0)</f>
        <v>91</v>
      </c>
      <c r="Y623" s="320">
        <f>IFERROR(__xludf.DUMMYFUNCTION("""COMPUTED_VALUE"""),248.0)</f>
        <v>248</v>
      </c>
      <c r="Z623" s="320">
        <f>IFERROR(__xludf.DUMMYFUNCTION("""COMPUTED_VALUE"""),736.0)</f>
        <v>736</v>
      </c>
      <c r="AA623" s="320">
        <f>IFERROR(__xludf.DUMMYFUNCTION("""COMPUTED_VALUE"""),54.6738)</f>
        <v>54.6738</v>
      </c>
      <c r="AB623" s="320">
        <f>IFERROR(__xludf.DUMMYFUNCTION("""COMPUTED_VALUE"""),0.6038)</f>
        <v>0.6038</v>
      </c>
      <c r="AC623" s="320">
        <f>IFERROR(__xludf.DUMMYFUNCTION("""COMPUTED_VALUE"""),18.06)</f>
        <v>18.06</v>
      </c>
      <c r="AD623" s="320">
        <f>IFERROR(__xludf.DUMMYFUNCTION("""COMPUTED_VALUE"""),6.0)</f>
        <v>6</v>
      </c>
      <c r="AE623" s="320">
        <f>IFERROR(__xludf.DUMMYFUNCTION("""COMPUTED_VALUE"""),14.0)</f>
        <v>14</v>
      </c>
      <c r="AF623" s="320">
        <f>IFERROR(__xludf.DUMMYFUNCTION("""COMPUTED_VALUE"""),26.0)</f>
        <v>26</v>
      </c>
      <c r="AG623" s="320">
        <f>IFERROR(__xludf.DUMMYFUNCTION("""COMPUTED_VALUE"""),39.0)</f>
        <v>39</v>
      </c>
      <c r="AH623" s="320">
        <f>IFERROR(__xludf.DUMMYFUNCTION("""COMPUTED_VALUE"""),57.4)</f>
        <v>57.4</v>
      </c>
      <c r="AI623" s="320">
        <f>IFERROR(__xludf.DUMMYFUNCTION("""COMPUTED_VALUE"""),25.8)</f>
        <v>25.8</v>
      </c>
      <c r="AJ623" s="320">
        <f>IFERROR(__xludf.DUMMYFUNCTION("""COMPUTED_VALUE"""),7.57)</f>
        <v>7.57</v>
      </c>
      <c r="AK623" s="320">
        <f>IFERROR(__xludf.DUMMYFUNCTION("""COMPUTED_VALUE"""),0.1697)</f>
        <v>0.1697</v>
      </c>
      <c r="AL623" s="320">
        <f>IFERROR(__xludf.DUMMYFUNCTION("""COMPUTED_VALUE"""),19.22)</f>
        <v>19.22</v>
      </c>
      <c r="AM623" s="320">
        <f>IFERROR(__xludf.DUMMYFUNCTION("""COMPUTED_VALUE"""),318.89)</f>
        <v>318.89</v>
      </c>
      <c r="AN623" s="320">
        <f>IFERROR(__xludf.DUMMYFUNCTION("""COMPUTED_VALUE"""),70.99)</f>
        <v>70.99</v>
      </c>
      <c r="AO623" s="320">
        <f>IFERROR(__xludf.DUMMYFUNCTION("""COMPUTED_VALUE"""),13.64)</f>
        <v>13.64</v>
      </c>
    </row>
    <row r="624" ht="15.0" customHeight="1">
      <c r="A624" s="328">
        <f>IFERROR(__xludf.DUMMYFUNCTION("""COMPUTED_VALUE"""),46153.0)</f>
        <v>46153</v>
      </c>
      <c r="B624" s="319" t="str">
        <f>IFERROR(__xludf.DUMMYFUNCTION("""COMPUTED_VALUE"""),"E. 40-99")</f>
        <v>E. 40-99</v>
      </c>
      <c r="C624" s="320">
        <f>IFERROR(__xludf.DUMMYFUNCTION("""COMPUTED_VALUE"""),3275.0)</f>
        <v>3275</v>
      </c>
      <c r="D624" s="320">
        <f>IFERROR(__xludf.DUMMYFUNCTION("""COMPUTED_VALUE"""),4.44)</f>
        <v>4.44</v>
      </c>
      <c r="E624" s="320">
        <f>IFERROR(__xludf.DUMMYFUNCTION("""COMPUTED_VALUE"""),17743.35)</f>
        <v>17743.35</v>
      </c>
      <c r="F624" s="320">
        <f>IFERROR(__xludf.DUMMYFUNCTION("""COMPUTED_VALUE"""),5.4178)</f>
        <v>5.4178</v>
      </c>
      <c r="G624" s="320">
        <f>IFERROR(__xludf.DUMMYFUNCTION("""COMPUTED_VALUE"""),41.56)</f>
        <v>41.56</v>
      </c>
      <c r="H624" s="320">
        <f>IFERROR(__xludf.DUMMYFUNCTION("""COMPUTED_VALUE"""),13.037)</f>
        <v>13.037</v>
      </c>
      <c r="I624" s="320">
        <f>IFERROR(__xludf.DUMMYFUNCTION("""COMPUTED_VALUE"""),138.8)</f>
        <v>138.8</v>
      </c>
      <c r="J624" s="320">
        <f>IFERROR(__xludf.DUMMYFUNCTION("""COMPUTED_VALUE"""),85.73)</f>
        <v>85.73</v>
      </c>
      <c r="K624" s="320">
        <f>IFERROR(__xludf.DUMMYFUNCTION("""COMPUTED_VALUE"""),58.85)</f>
        <v>58.85</v>
      </c>
      <c r="L624" s="320">
        <f>IFERROR(__xludf.DUMMYFUNCTION("""COMPUTED_VALUE"""),0.6865)</f>
        <v>0.6865</v>
      </c>
      <c r="M624" s="320">
        <f>IFERROR(__xludf.DUMMYFUNCTION("""COMPUTED_VALUE"""),0.3978)</f>
        <v>0.3978</v>
      </c>
      <c r="N624" s="320">
        <f>IFERROR(__xludf.DUMMYFUNCTION("""COMPUTED_VALUE"""),0.2204)</f>
        <v>0.2204</v>
      </c>
      <c r="O624" s="320">
        <f>IFERROR(__xludf.DUMMYFUNCTION("""COMPUTED_VALUE"""),1.4566)</f>
        <v>1.4566</v>
      </c>
      <c r="P624" s="320">
        <f>IFERROR(__xludf.DUMMYFUNCTION("""COMPUTED_VALUE"""),732.24)</f>
        <v>732.24</v>
      </c>
      <c r="Q624" s="320">
        <f>IFERROR(__xludf.DUMMYFUNCTION("""COMPUTED_VALUE"""),639.19)</f>
        <v>639.19</v>
      </c>
      <c r="R624" s="320">
        <f>IFERROR(__xludf.DUMMYFUNCTION("""COMPUTED_VALUE"""),93.05)</f>
        <v>93.05</v>
      </c>
      <c r="S624" s="320">
        <f>IFERROR(__xludf.DUMMYFUNCTION("""COMPUTED_VALUE"""),346.55)</f>
        <v>346.55</v>
      </c>
      <c r="T624" s="320">
        <f>IFERROR(__xludf.DUMMYFUNCTION("""COMPUTED_VALUE"""),385.69)</f>
        <v>385.69</v>
      </c>
      <c r="U624" s="320">
        <f>IFERROR(__xludf.DUMMYFUNCTION("""COMPUTED_VALUE"""),749.4)</f>
        <v>749.4</v>
      </c>
      <c r="V624" s="320">
        <f>IFERROR(__xludf.DUMMYFUNCTION("""COMPUTED_VALUE"""),8.7414)</f>
        <v>8.7414</v>
      </c>
      <c r="W624" s="320">
        <f>IFERROR(__xludf.DUMMYFUNCTION("""COMPUTED_VALUE"""),47.33)</f>
        <v>47.33</v>
      </c>
      <c r="X624" s="320">
        <f>IFERROR(__xludf.DUMMYFUNCTION("""COMPUTED_VALUE"""),103.0)</f>
        <v>103</v>
      </c>
      <c r="Y624" s="320">
        <f>IFERROR(__xludf.DUMMYFUNCTION("""COMPUTED_VALUE"""),351.0)</f>
        <v>351</v>
      </c>
      <c r="Z624" s="320">
        <f>IFERROR(__xludf.DUMMYFUNCTION("""COMPUTED_VALUE"""),1159.0)</f>
        <v>1159</v>
      </c>
      <c r="AA624" s="320">
        <f>IFERROR(__xludf.DUMMYFUNCTION("""COMPUTED_VALUE"""),57.4038)</f>
        <v>57.4038</v>
      </c>
      <c r="AB624" s="320">
        <f>IFERROR(__xludf.DUMMYFUNCTION("""COMPUTED_VALUE"""),0.6801)</f>
        <v>0.6801</v>
      </c>
      <c r="AC624" s="320">
        <f>IFERROR(__xludf.DUMMYFUNCTION("""COMPUTED_VALUE"""),36.78)</f>
        <v>36.78</v>
      </c>
      <c r="AD624" s="320">
        <f>IFERROR(__xludf.DUMMYFUNCTION("""COMPUTED_VALUE"""),13.0)</f>
        <v>13</v>
      </c>
      <c r="AE624" s="320">
        <f>IFERROR(__xludf.DUMMYFUNCTION("""COMPUTED_VALUE"""),29.0)</f>
        <v>29</v>
      </c>
      <c r="AF624" s="320">
        <f>IFERROR(__xludf.DUMMYFUNCTION("""COMPUTED_VALUE"""),48.0)</f>
        <v>48</v>
      </c>
      <c r="AG624" s="320">
        <f>IFERROR(__xludf.DUMMYFUNCTION("""COMPUTED_VALUE"""),77.0)</f>
        <v>77</v>
      </c>
      <c r="AH624" s="320">
        <f>IFERROR(__xludf.DUMMYFUNCTION("""COMPUTED_VALUE"""),52.37)</f>
        <v>52.37</v>
      </c>
      <c r="AI624" s="320">
        <f>IFERROR(__xludf.DUMMYFUNCTION("""COMPUTED_VALUE"""),17.92)</f>
        <v>17.92</v>
      </c>
      <c r="AJ624" s="320">
        <f>IFERROR(__xludf.DUMMYFUNCTION("""COMPUTED_VALUE"""),4.82)</f>
        <v>4.82</v>
      </c>
      <c r="AK624" s="320">
        <f>IFERROR(__xludf.DUMMYFUNCTION("""COMPUTED_VALUE"""),0.1582)</f>
        <v>0.1582</v>
      </c>
      <c r="AL624" s="320">
        <f>IFERROR(__xludf.DUMMYFUNCTION("""COMPUTED_VALUE"""),18.76)</f>
        <v>18.76</v>
      </c>
      <c r="AM624" s="320">
        <f>IFERROR(__xludf.DUMMYFUNCTION("""COMPUTED_VALUE"""),620.43)</f>
        <v>620.43</v>
      </c>
      <c r="AN624" s="320">
        <f>IFERROR(__xludf.DUMMYFUNCTION("""COMPUTED_VALUE"""),69.23)</f>
        <v>69.23</v>
      </c>
      <c r="AO624" s="320">
        <f>IFERROR(__xludf.DUMMYFUNCTION("""COMPUTED_VALUE"""),12.99)</f>
        <v>12.99</v>
      </c>
    </row>
    <row r="625" ht="15.0" customHeight="1">
      <c r="A625" s="328">
        <f>IFERROR(__xludf.DUMMYFUNCTION("""COMPUTED_VALUE"""),46153.0)</f>
        <v>46153</v>
      </c>
      <c r="B625" s="319" t="str">
        <f>IFERROR(__xludf.DUMMYFUNCTION("""COMPUTED_VALUE"""),"F. 100+")</f>
        <v>F. 100+</v>
      </c>
      <c r="C625" s="320">
        <f>IFERROR(__xludf.DUMMYFUNCTION("""COMPUTED_VALUE"""),348.0)</f>
        <v>348</v>
      </c>
      <c r="D625" s="320">
        <f>IFERROR(__xludf.DUMMYFUNCTION("""COMPUTED_VALUE"""),0.47)</f>
        <v>0.47</v>
      </c>
      <c r="E625" s="320">
        <f>IFERROR(__xludf.DUMMYFUNCTION("""COMPUTED_VALUE"""),4325.73)</f>
        <v>4325.73</v>
      </c>
      <c r="F625" s="320">
        <f>IFERROR(__xludf.DUMMYFUNCTION("""COMPUTED_VALUE"""),12.4303)</f>
        <v>12.4303</v>
      </c>
      <c r="G625" s="320">
        <f>IFERROR(__xludf.DUMMYFUNCTION("""COMPUTED_VALUE"""),45.98)</f>
        <v>45.98</v>
      </c>
      <c r="H625" s="320">
        <f>IFERROR(__xludf.DUMMYFUNCTION("""COMPUTED_VALUE"""),27.0358)</f>
        <v>27.0358</v>
      </c>
      <c r="I625" s="320">
        <f>IFERROR(__xludf.DUMMYFUNCTION("""COMPUTED_VALUE"""),249.16)</f>
        <v>249.16</v>
      </c>
      <c r="J625" s="320">
        <f>IFERROR(__xludf.DUMMYFUNCTION("""COMPUTED_VALUE"""),161.74)</f>
        <v>161.74</v>
      </c>
      <c r="K625" s="320">
        <f>IFERROR(__xludf.DUMMYFUNCTION("""COMPUTED_VALUE"""),133.76)</f>
        <v>133.76</v>
      </c>
      <c r="L625" s="320">
        <f>IFERROR(__xludf.DUMMYFUNCTION("""COMPUTED_VALUE"""),0.827)</f>
        <v>0.827</v>
      </c>
      <c r="M625" s="320">
        <f>IFERROR(__xludf.DUMMYFUNCTION("""COMPUTED_VALUE"""),0.2632)</f>
        <v>0.2632</v>
      </c>
      <c r="N625" s="320">
        <f>IFERROR(__xludf.DUMMYFUNCTION("""COMPUTED_VALUE"""),0.1633)</f>
        <v>0.1633</v>
      </c>
      <c r="O625" s="320">
        <f>IFERROR(__xludf.DUMMYFUNCTION("""COMPUTED_VALUE"""),1.2092)</f>
        <v>1.2092</v>
      </c>
      <c r="P625" s="320">
        <f>IFERROR(__xludf.DUMMYFUNCTION("""COMPUTED_VALUE"""),1499.81)</f>
        <v>1499.81</v>
      </c>
      <c r="Q625" s="320">
        <f>IFERROR(__xludf.DUMMYFUNCTION("""COMPUTED_VALUE"""),1264.87)</f>
        <v>1264.87</v>
      </c>
      <c r="R625" s="320">
        <f>IFERROR(__xludf.DUMMYFUNCTION("""COMPUTED_VALUE"""),234.94)</f>
        <v>234.94</v>
      </c>
      <c r="S625" s="320">
        <f>IFERROR(__xludf.DUMMYFUNCTION("""COMPUTED_VALUE"""),758.97)</f>
        <v>758.97</v>
      </c>
      <c r="T625" s="320">
        <f>IFERROR(__xludf.DUMMYFUNCTION("""COMPUTED_VALUE"""),740.85)</f>
        <v>740.85</v>
      </c>
      <c r="U625" s="320">
        <f>IFERROR(__xludf.DUMMYFUNCTION("""COMPUTED_VALUE"""),1451.29)</f>
        <v>1451.29</v>
      </c>
      <c r="V625" s="320">
        <f>IFERROR(__xludf.DUMMYFUNCTION("""COMPUTED_VALUE"""),8.9732)</f>
        <v>8.9732</v>
      </c>
      <c r="W625" s="320">
        <f>IFERROR(__xludf.DUMMYFUNCTION("""COMPUTED_VALUE"""),50.6)</f>
        <v>50.6</v>
      </c>
      <c r="X625" s="320">
        <f>IFERROR(__xludf.DUMMYFUNCTION("""COMPUTED_VALUE"""),210.0)</f>
        <v>210</v>
      </c>
      <c r="Y625" s="320">
        <f>IFERROR(__xludf.DUMMYFUNCTION("""COMPUTED_VALUE"""),719.0)</f>
        <v>719</v>
      </c>
      <c r="Z625" s="320">
        <f>IFERROR(__xludf.DUMMYFUNCTION("""COMPUTED_VALUE"""),2294.0)</f>
        <v>2294</v>
      </c>
      <c r="AA625" s="320">
        <f>IFERROR(__xludf.DUMMYFUNCTION("""COMPUTED_VALUE"""),61.8765)</f>
        <v>61.8765</v>
      </c>
      <c r="AB625" s="320">
        <f>IFERROR(__xludf.DUMMYFUNCTION("""COMPUTED_VALUE"""),0.8517)</f>
        <v>0.8517</v>
      </c>
      <c r="AC625" s="320">
        <f>IFERROR(__xludf.DUMMYFUNCTION("""COMPUTED_VALUE"""),93.03)</f>
        <v>93.03</v>
      </c>
      <c r="AD625" s="320">
        <f>IFERROR(__xludf.DUMMYFUNCTION("""COMPUTED_VALUE"""),33.0)</f>
        <v>33</v>
      </c>
      <c r="AE625" s="320">
        <f>IFERROR(__xludf.DUMMYFUNCTION("""COMPUTED_VALUE"""),72.0)</f>
        <v>72</v>
      </c>
      <c r="AF625" s="320">
        <f>IFERROR(__xludf.DUMMYFUNCTION("""COMPUTED_VALUE"""),129.0)</f>
        <v>129</v>
      </c>
      <c r="AG625" s="320">
        <f>IFERROR(__xludf.DUMMYFUNCTION("""COMPUTED_VALUE"""),194.0)</f>
        <v>194</v>
      </c>
      <c r="AH625" s="320">
        <f>IFERROR(__xludf.DUMMYFUNCTION("""COMPUTED_VALUE"""),46.84)</f>
        <v>46.84</v>
      </c>
      <c r="AI625" s="320">
        <f>IFERROR(__xludf.DUMMYFUNCTION("""COMPUTED_VALUE"""),13.79)</f>
        <v>13.79</v>
      </c>
      <c r="AJ625" s="320">
        <f>IFERROR(__xludf.DUMMYFUNCTION("""COMPUTED_VALUE"""),3.16)</f>
        <v>3.16</v>
      </c>
      <c r="AK625" s="320">
        <f>IFERROR(__xludf.DUMMYFUNCTION("""COMPUTED_VALUE"""),0.1236)</f>
        <v>0.1236</v>
      </c>
      <c r="AL625" s="320">
        <f>IFERROR(__xludf.DUMMYFUNCTION("""COMPUTED_VALUE"""),20.3)</f>
        <v>20.3</v>
      </c>
      <c r="AM625" s="320">
        <f>IFERROR(__xludf.DUMMYFUNCTION("""COMPUTED_VALUE"""),1244.57)</f>
        <v>1244.57</v>
      </c>
      <c r="AN625" s="320">
        <f>IFERROR(__xludf.DUMMYFUNCTION("""COMPUTED_VALUE"""),72.04)</f>
        <v>72.04</v>
      </c>
      <c r="AO625" s="320">
        <f>IFERROR(__xludf.DUMMYFUNCTION("""COMPUTED_VALUE"""),14.62)</f>
        <v>14.62</v>
      </c>
    </row>
    <row r="626" ht="15.0" customHeight="1">
      <c r="A626" s="328">
        <f>IFERROR(__xludf.DUMMYFUNCTION("""COMPUTED_VALUE"""),46154.0)</f>
        <v>46154</v>
      </c>
      <c r="B626" s="319" t="str">
        <f>IFERROR(__xludf.DUMMYFUNCTION("""COMPUTED_VALUE"""),"A. 0")</f>
        <v>A. 0</v>
      </c>
      <c r="C626" s="320">
        <f>IFERROR(__xludf.DUMMYFUNCTION("""COMPUTED_VALUE"""),15735.0)</f>
        <v>15735</v>
      </c>
      <c r="D626" s="320">
        <f>IFERROR(__xludf.DUMMYFUNCTION("""COMPUTED_VALUE"""),21.25)</f>
        <v>21.25</v>
      </c>
      <c r="E626" s="320">
        <f>IFERROR(__xludf.DUMMYFUNCTION("""COMPUTED_VALUE"""),96.68)</f>
        <v>96.68</v>
      </c>
      <c r="F626" s="320">
        <f>IFERROR(__xludf.DUMMYFUNCTION("""COMPUTED_VALUE"""),0.0061)</f>
        <v>0.0061</v>
      </c>
      <c r="G626" s="320">
        <f>IFERROR(__xludf.DUMMYFUNCTION("""COMPUTED_VALUE"""),0.12)</f>
        <v>0.12</v>
      </c>
      <c r="H626" s="320">
        <f>IFERROR(__xludf.DUMMYFUNCTION("""COMPUTED_VALUE"""),5.0884)</f>
        <v>5.0884</v>
      </c>
      <c r="I626" s="320">
        <f>IFERROR(__xludf.DUMMYFUNCTION("""COMPUTED_VALUE"""),6.34)</f>
        <v>6.34</v>
      </c>
      <c r="J626" s="320">
        <f>IFERROR(__xludf.DUMMYFUNCTION("""COMPUTED_VALUE"""),2.86)</f>
        <v>2.86</v>
      </c>
      <c r="K626" s="320">
        <f>IFERROR(__xludf.DUMMYFUNCTION("""COMPUTED_VALUE"""),0.02)</f>
        <v>0.02</v>
      </c>
      <c r="L626" s="320">
        <f>IFERROR(__xludf.DUMMYFUNCTION("""COMPUTED_VALUE"""),0.0087)</f>
        <v>0.0087</v>
      </c>
      <c r="M626" s="320">
        <f>IFERROR(__xludf.DUMMYFUNCTION("""COMPUTED_VALUE"""),0.992)</f>
        <v>0.992</v>
      </c>
      <c r="N626" s="320">
        <f>IFERROR(__xludf.DUMMYFUNCTION("""COMPUTED_VALUE"""),0.8756)</f>
        <v>0.8756</v>
      </c>
      <c r="O626" s="320">
        <f>IFERROR(__xludf.DUMMYFUNCTION("""COMPUTED_VALUE"""),114.4555)</f>
        <v>114.4555</v>
      </c>
      <c r="P626" s="320">
        <f>IFERROR(__xludf.DUMMYFUNCTION("""COMPUTED_VALUE"""),26.75)</f>
        <v>26.75</v>
      </c>
      <c r="Q626" s="320">
        <f>IFERROR(__xludf.DUMMYFUNCTION("""COMPUTED_VALUE"""),26.69)</f>
        <v>26.69</v>
      </c>
      <c r="R626" s="320">
        <f>IFERROR(__xludf.DUMMYFUNCTION("""COMPUTED_VALUE"""),0.06)</f>
        <v>0.06</v>
      </c>
      <c r="S626" s="320">
        <f>IFERROR(__xludf.DUMMYFUNCTION("""COMPUTED_VALUE"""),0.68)</f>
        <v>0.68</v>
      </c>
      <c r="T626" s="320">
        <f>IFERROR(__xludf.DUMMYFUNCTION("""COMPUTED_VALUE"""),26.07)</f>
        <v>26.07</v>
      </c>
      <c r="U626" s="320">
        <f>IFERROR(__xludf.DUMMYFUNCTION("""COMPUTED_VALUE"""),2.12)</f>
        <v>2.12</v>
      </c>
      <c r="V626" s="320">
        <f>IFERROR(__xludf.DUMMYFUNCTION("""COMPUTED_VALUE"""),0.7414)</f>
        <v>0.7414</v>
      </c>
      <c r="W626" s="320">
        <f>IFERROR(__xludf.DUMMYFUNCTION("""COMPUTED_VALUE"""),2.54)</f>
        <v>2.54</v>
      </c>
      <c r="X626" s="320">
        <f>IFERROR(__xludf.DUMMYFUNCTION("""COMPUTED_VALUE"""),159.0)</f>
        <v>159</v>
      </c>
      <c r="Y626" s="320">
        <f>IFERROR(__xludf.DUMMYFUNCTION("""COMPUTED_VALUE"""),1196.0)</f>
        <v>1196</v>
      </c>
      <c r="Z626" s="320">
        <f>IFERROR(__xludf.DUMMYFUNCTION("""COMPUTED_VALUE"""),7814.0)</f>
        <v>7814</v>
      </c>
      <c r="AA626" s="320">
        <f>IFERROR(__xludf.DUMMYFUNCTION("""COMPUTED_VALUE"""),49.7266)</f>
        <v>49.7266</v>
      </c>
      <c r="AB626" s="320">
        <f>IFERROR(__xludf.DUMMYFUNCTION("""COMPUTED_VALUE"""),0.5084)</f>
        <v>0.5084</v>
      </c>
      <c r="AC626" s="106"/>
      <c r="AD626" s="106"/>
      <c r="AE626" s="106"/>
      <c r="AF626" s="106"/>
      <c r="AG626" s="106"/>
      <c r="AH626" s="320">
        <f>IFERROR(__xludf.DUMMYFUNCTION("""COMPUTED_VALUE"""),0.0)</f>
        <v>0</v>
      </c>
      <c r="AI626" s="320">
        <f>IFERROR(__xludf.DUMMYFUNCTION("""COMPUTED_VALUE"""),0.0)</f>
        <v>0</v>
      </c>
      <c r="AJ626" s="320">
        <f>IFERROR(__xludf.DUMMYFUNCTION("""COMPUTED_VALUE"""),0.0)</f>
        <v>0</v>
      </c>
      <c r="AK626" s="320">
        <f>IFERROR(__xludf.DUMMYFUNCTION("""COMPUTED_VALUE"""),0.2616)</f>
        <v>0.2616</v>
      </c>
      <c r="AL626" s="320">
        <f>IFERROR(__xludf.DUMMYFUNCTION("""COMPUTED_VALUE"""),15.31)</f>
        <v>15.31</v>
      </c>
      <c r="AM626" s="320">
        <f>IFERROR(__xludf.DUMMYFUNCTION("""COMPUTED_VALUE"""),11.38)</f>
        <v>11.38</v>
      </c>
      <c r="AN626" s="331"/>
      <c r="AO626" s="331"/>
    </row>
    <row r="627" ht="15.0" customHeight="1">
      <c r="A627" s="328">
        <f>IFERROR(__xludf.DUMMYFUNCTION("""COMPUTED_VALUE"""),46154.0)</f>
        <v>46154</v>
      </c>
      <c r="B627" s="319" t="str">
        <f>IFERROR(__xludf.DUMMYFUNCTION("""COMPUTED_VALUE"""),"B. 1-9")</f>
        <v>B. 1-9</v>
      </c>
      <c r="C627" s="320">
        <f>IFERROR(__xludf.DUMMYFUNCTION("""COMPUTED_VALUE"""),31693.0)</f>
        <v>31693</v>
      </c>
      <c r="D627" s="320">
        <f>IFERROR(__xludf.DUMMYFUNCTION("""COMPUTED_VALUE"""),42.8)</f>
        <v>42.8</v>
      </c>
      <c r="E627" s="320">
        <f>IFERROR(__xludf.DUMMYFUNCTION("""COMPUTED_VALUE"""),6382.93)</f>
        <v>6382.93</v>
      </c>
      <c r="F627" s="320">
        <f>IFERROR(__xludf.DUMMYFUNCTION("""COMPUTED_VALUE"""),0.2014)</f>
        <v>0.2014</v>
      </c>
      <c r="G627" s="320">
        <f>IFERROR(__xludf.DUMMYFUNCTION("""COMPUTED_VALUE"""),6.05)</f>
        <v>6.05</v>
      </c>
      <c r="H627" s="320">
        <f>IFERROR(__xludf.DUMMYFUNCTION("""COMPUTED_VALUE"""),3.3296)</f>
        <v>3.3296</v>
      </c>
      <c r="I627" s="320">
        <f>IFERROR(__xludf.DUMMYFUNCTION("""COMPUTED_VALUE"""),30.23)</f>
        <v>30.23</v>
      </c>
      <c r="J627" s="320">
        <f>IFERROR(__xludf.DUMMYFUNCTION("""COMPUTED_VALUE"""),16.05)</f>
        <v>16.05</v>
      </c>
      <c r="K627" s="320">
        <f>IFERROR(__xludf.DUMMYFUNCTION("""COMPUTED_VALUE"""),5.08)</f>
        <v>5.08</v>
      </c>
      <c r="L627" s="320">
        <f>IFERROR(__xludf.DUMMYFUNCTION("""COMPUTED_VALUE"""),0.3163)</f>
        <v>0.3163</v>
      </c>
      <c r="M627" s="320">
        <f>IFERROR(__xludf.DUMMYFUNCTION("""COMPUTED_VALUE"""),0.7576)</f>
        <v>0.7576</v>
      </c>
      <c r="N627" s="320">
        <f>IFERROR(__xludf.DUMMYFUNCTION("""COMPUTED_VALUE"""),0.5169)</f>
        <v>0.5169</v>
      </c>
      <c r="O627" s="320">
        <f>IFERROR(__xludf.DUMMYFUNCTION("""COMPUTED_VALUE"""),3.162)</f>
        <v>3.162</v>
      </c>
      <c r="P627" s="320">
        <f>IFERROR(__xludf.DUMMYFUNCTION("""COMPUTED_VALUE"""),68.91)</f>
        <v>68.91</v>
      </c>
      <c r="Q627" s="320">
        <f>IFERROR(__xludf.DUMMYFUNCTION("""COMPUTED_VALUE"""),60.2)</f>
        <v>60.2</v>
      </c>
      <c r="R627" s="320">
        <f>IFERROR(__xludf.DUMMYFUNCTION("""COMPUTED_VALUE"""),8.71)</f>
        <v>8.71</v>
      </c>
      <c r="S627" s="320">
        <f>IFERROR(__xludf.DUMMYFUNCTION("""COMPUTED_VALUE"""),14.44)</f>
        <v>14.44</v>
      </c>
      <c r="T627" s="320">
        <f>IFERROR(__xludf.DUMMYFUNCTION("""COMPUTED_VALUE"""),54.47)</f>
        <v>54.47</v>
      </c>
      <c r="U627" s="320">
        <f>IFERROR(__xludf.DUMMYFUNCTION("""COMPUTED_VALUE"""),74.19)</f>
        <v>74.19</v>
      </c>
      <c r="V627" s="320">
        <f>IFERROR(__xludf.DUMMYFUNCTION("""COMPUTED_VALUE"""),4.6223)</f>
        <v>4.6223</v>
      </c>
      <c r="W627" s="320">
        <f>IFERROR(__xludf.DUMMYFUNCTION("""COMPUTED_VALUE"""),20.95)</f>
        <v>20.95</v>
      </c>
      <c r="X627" s="320">
        <f>IFERROR(__xludf.DUMMYFUNCTION("""COMPUTED_VALUE"""),88.0)</f>
        <v>88</v>
      </c>
      <c r="Y627" s="320">
        <f>IFERROR(__xludf.DUMMYFUNCTION("""COMPUTED_VALUE"""),213.0)</f>
        <v>213</v>
      </c>
      <c r="Z627" s="320">
        <f>IFERROR(__xludf.DUMMYFUNCTION("""COMPUTED_VALUE"""),844.0)</f>
        <v>844</v>
      </c>
      <c r="AA627" s="320">
        <f>IFERROR(__xludf.DUMMYFUNCTION("""COMPUTED_VALUE"""),49.6317)</f>
        <v>49.6317</v>
      </c>
      <c r="AB627" s="320">
        <f>IFERROR(__xludf.DUMMYFUNCTION("""COMPUTED_VALUE"""),0.4378)</f>
        <v>0.4378</v>
      </c>
      <c r="AC627" s="320">
        <f>IFERROR(__xludf.DUMMYFUNCTION("""COMPUTED_VALUE"""),3.51)</f>
        <v>3.51</v>
      </c>
      <c r="AD627" s="320">
        <f>IFERROR(__xludf.DUMMYFUNCTION("""COMPUTED_VALUE"""),1.0)</f>
        <v>1</v>
      </c>
      <c r="AE627" s="320">
        <f>IFERROR(__xludf.DUMMYFUNCTION("""COMPUTED_VALUE"""),2.0)</f>
        <v>2</v>
      </c>
      <c r="AF627" s="320">
        <f>IFERROR(__xludf.DUMMYFUNCTION("""COMPUTED_VALUE"""),4.0)</f>
        <v>4</v>
      </c>
      <c r="AG627" s="320">
        <f>IFERROR(__xludf.DUMMYFUNCTION("""COMPUTED_VALUE"""),8.0)</f>
        <v>8</v>
      </c>
      <c r="AH627" s="320">
        <f>IFERROR(__xludf.DUMMYFUNCTION("""COMPUTED_VALUE"""),64.88)</f>
        <v>64.88</v>
      </c>
      <c r="AI627" s="320">
        <f>IFERROR(__xludf.DUMMYFUNCTION("""COMPUTED_VALUE"""),24.24)</f>
        <v>24.24</v>
      </c>
      <c r="AJ627" s="320">
        <f>IFERROR(__xludf.DUMMYFUNCTION("""COMPUTED_VALUE"""),7.09)</f>
        <v>7.09</v>
      </c>
      <c r="AK627" s="320">
        <f>IFERROR(__xludf.DUMMYFUNCTION("""COMPUTED_VALUE"""),0.2147)</f>
        <v>0.2147</v>
      </c>
      <c r="AL627" s="320">
        <f>IFERROR(__xludf.DUMMYFUNCTION("""COMPUTED_VALUE"""),18.47)</f>
        <v>18.47</v>
      </c>
      <c r="AM627" s="320">
        <f>IFERROR(__xludf.DUMMYFUNCTION("""COMPUTED_VALUE"""),41.74)</f>
        <v>41.74</v>
      </c>
      <c r="AN627" s="320">
        <f>IFERROR(__xludf.DUMMYFUNCTION("""COMPUTED_VALUE"""),67.7)</f>
        <v>67.7</v>
      </c>
      <c r="AO627" s="320">
        <f>IFERROR(__xludf.DUMMYFUNCTION("""COMPUTED_VALUE"""),12.5)</f>
        <v>12.5</v>
      </c>
    </row>
    <row r="628" ht="15.0" customHeight="1">
      <c r="A628" s="328">
        <f>IFERROR(__xludf.DUMMYFUNCTION("""COMPUTED_VALUE"""),46154.0)</f>
        <v>46154</v>
      </c>
      <c r="B628" s="319" t="str">
        <f>IFERROR(__xludf.DUMMYFUNCTION("""COMPUTED_VALUE"""),"C. 10-19")</f>
        <v>C. 10-19</v>
      </c>
      <c r="C628" s="320">
        <f>IFERROR(__xludf.DUMMYFUNCTION("""COMPUTED_VALUE"""),15195.0)</f>
        <v>15195</v>
      </c>
      <c r="D628" s="320">
        <f>IFERROR(__xludf.DUMMYFUNCTION("""COMPUTED_VALUE"""),20.52)</f>
        <v>20.52</v>
      </c>
      <c r="E628" s="320">
        <f>IFERROR(__xludf.DUMMYFUNCTION("""COMPUTED_VALUE"""),15058.99)</f>
        <v>15058.99</v>
      </c>
      <c r="F628" s="320">
        <f>IFERROR(__xludf.DUMMYFUNCTION("""COMPUTED_VALUE"""),0.991)</f>
        <v>0.991</v>
      </c>
      <c r="G628" s="320">
        <f>IFERROR(__xludf.DUMMYFUNCTION("""COMPUTED_VALUE"""),20.71)</f>
        <v>20.71</v>
      </c>
      <c r="H628" s="320">
        <f>IFERROR(__xludf.DUMMYFUNCTION("""COMPUTED_VALUE"""),4.7852)</f>
        <v>4.7852</v>
      </c>
      <c r="I628" s="320">
        <f>IFERROR(__xludf.DUMMYFUNCTION("""COMPUTED_VALUE"""),57.45)</f>
        <v>57.45</v>
      </c>
      <c r="J628" s="320">
        <f>IFERROR(__xludf.DUMMYFUNCTION("""COMPUTED_VALUE"""),32.72)</f>
        <v>32.72</v>
      </c>
      <c r="K628" s="320">
        <f>IFERROR(__xludf.DUMMYFUNCTION("""COMPUTED_VALUE"""),14.14)</f>
        <v>14.14</v>
      </c>
      <c r="L628" s="320">
        <f>IFERROR(__xludf.DUMMYFUNCTION("""COMPUTED_VALUE"""),0.432)</f>
        <v>0.432</v>
      </c>
      <c r="M628" s="320">
        <f>IFERROR(__xludf.DUMMYFUNCTION("""COMPUTED_VALUE"""),0.6333)</f>
        <v>0.6333</v>
      </c>
      <c r="N628" s="320">
        <f>IFERROR(__xludf.DUMMYFUNCTION("""COMPUTED_VALUE"""),0.3552)</f>
        <v>0.3552</v>
      </c>
      <c r="O628" s="320">
        <f>IFERROR(__xludf.DUMMYFUNCTION("""COMPUTED_VALUE"""),2.3146)</f>
        <v>2.3146</v>
      </c>
      <c r="P628" s="320">
        <f>IFERROR(__xludf.DUMMYFUNCTION("""COMPUTED_VALUE"""),174.09)</f>
        <v>174.09</v>
      </c>
      <c r="Q628" s="320">
        <f>IFERROR(__xludf.DUMMYFUNCTION("""COMPUTED_VALUE"""),150.74)</f>
        <v>150.74</v>
      </c>
      <c r="R628" s="320">
        <f>IFERROR(__xludf.DUMMYFUNCTION("""COMPUTED_VALUE"""),23.35)</f>
        <v>23.35</v>
      </c>
      <c r="S628" s="320">
        <f>IFERROR(__xludf.DUMMYFUNCTION("""COMPUTED_VALUE"""),66.58)</f>
        <v>66.58</v>
      </c>
      <c r="T628" s="320">
        <f>IFERROR(__xludf.DUMMYFUNCTION("""COMPUTED_VALUE"""),107.51)</f>
        <v>107.51</v>
      </c>
      <c r="U628" s="320">
        <f>IFERROR(__xludf.DUMMYFUNCTION("""COMPUTED_VALUE"""),182.36)</f>
        <v>182.36</v>
      </c>
      <c r="V628" s="320">
        <f>IFERROR(__xludf.DUMMYFUNCTION("""COMPUTED_VALUE"""),5.5732)</f>
        <v>5.5732</v>
      </c>
      <c r="W628" s="320">
        <f>IFERROR(__xludf.DUMMYFUNCTION("""COMPUTED_VALUE"""),38.25)</f>
        <v>38.25</v>
      </c>
      <c r="X628" s="320">
        <f>IFERROR(__xludf.DUMMYFUNCTION("""COMPUTED_VALUE"""),86.0)</f>
        <v>86</v>
      </c>
      <c r="Y628" s="320">
        <f>IFERROR(__xludf.DUMMYFUNCTION("""COMPUTED_VALUE"""),204.0)</f>
        <v>204</v>
      </c>
      <c r="Z628" s="320">
        <f>IFERROR(__xludf.DUMMYFUNCTION("""COMPUTED_VALUE"""),678.0)</f>
        <v>678</v>
      </c>
      <c r="AA628" s="320">
        <f>IFERROR(__xludf.DUMMYFUNCTION("""COMPUTED_VALUE"""),52.4387)</f>
        <v>52.4387</v>
      </c>
      <c r="AB628" s="320">
        <f>IFERROR(__xludf.DUMMYFUNCTION("""COMPUTED_VALUE"""),0.5145)</f>
        <v>0.5145</v>
      </c>
      <c r="AC628" s="320">
        <f>IFERROR(__xludf.DUMMYFUNCTION("""COMPUTED_VALUE"""),9.13)</f>
        <v>9.13</v>
      </c>
      <c r="AD628" s="320">
        <f>IFERROR(__xludf.DUMMYFUNCTION("""COMPUTED_VALUE"""),3.0)</f>
        <v>3</v>
      </c>
      <c r="AE628" s="320">
        <f>IFERROR(__xludf.DUMMYFUNCTION("""COMPUTED_VALUE"""),6.0)</f>
        <v>6</v>
      </c>
      <c r="AF628" s="320">
        <f>IFERROR(__xludf.DUMMYFUNCTION("""COMPUTED_VALUE"""),13.0)</f>
        <v>13</v>
      </c>
      <c r="AG628" s="320">
        <f>IFERROR(__xludf.DUMMYFUNCTION("""COMPUTED_VALUE"""),21.0)</f>
        <v>21</v>
      </c>
      <c r="AH628" s="320">
        <f>IFERROR(__xludf.DUMMYFUNCTION("""COMPUTED_VALUE"""),53.8)</f>
        <v>53.8</v>
      </c>
      <c r="AI628" s="320">
        <f>IFERROR(__xludf.DUMMYFUNCTION("""COMPUTED_VALUE"""),25.89)</f>
        <v>25.89</v>
      </c>
      <c r="AJ628" s="320">
        <f>IFERROR(__xludf.DUMMYFUNCTION("""COMPUTED_VALUE"""),5.6)</f>
        <v>5.6</v>
      </c>
      <c r="AK628" s="320">
        <f>IFERROR(__xludf.DUMMYFUNCTION("""COMPUTED_VALUE"""),0.1756)</f>
        <v>0.1756</v>
      </c>
      <c r="AL628" s="320">
        <f>IFERROR(__xludf.DUMMYFUNCTION("""COMPUTED_VALUE"""),18.86)</f>
        <v>18.86</v>
      </c>
      <c r="AM628" s="320">
        <f>IFERROR(__xludf.DUMMYFUNCTION("""COMPUTED_VALUE"""),131.88)</f>
        <v>131.88</v>
      </c>
      <c r="AN628" s="320">
        <f>IFERROR(__xludf.DUMMYFUNCTION("""COMPUTED_VALUE"""),71.74)</f>
        <v>71.74</v>
      </c>
      <c r="AO628" s="320">
        <f>IFERROR(__xludf.DUMMYFUNCTION("""COMPUTED_VALUE"""),13.53)</f>
        <v>13.53</v>
      </c>
    </row>
    <row r="629" ht="15.0" customHeight="1">
      <c r="A629" s="328">
        <f>IFERROR(__xludf.DUMMYFUNCTION("""COMPUTED_VALUE"""),46154.0)</f>
        <v>46154</v>
      </c>
      <c r="B629" s="319" t="str">
        <f>IFERROR(__xludf.DUMMYFUNCTION("""COMPUTED_VALUE"""),"D. 20-39")</f>
        <v>D. 20-39</v>
      </c>
      <c r="C629" s="320">
        <f>IFERROR(__xludf.DUMMYFUNCTION("""COMPUTED_VALUE"""),8110.0)</f>
        <v>8110</v>
      </c>
      <c r="D629" s="320">
        <f>IFERROR(__xludf.DUMMYFUNCTION("""COMPUTED_VALUE"""),10.95)</f>
        <v>10.95</v>
      </c>
      <c r="E629" s="320">
        <f>IFERROR(__xludf.DUMMYFUNCTION("""COMPUTED_VALUE"""),18874.39)</f>
        <v>18874.39</v>
      </c>
      <c r="F629" s="320">
        <f>IFERROR(__xludf.DUMMYFUNCTION("""COMPUTED_VALUE"""),2.3273)</f>
        <v>2.3273</v>
      </c>
      <c r="G629" s="320">
        <f>IFERROR(__xludf.DUMMYFUNCTION("""COMPUTED_VALUE"""),31.6)</f>
        <v>31.6</v>
      </c>
      <c r="H629" s="320">
        <f>IFERROR(__xludf.DUMMYFUNCTION("""COMPUTED_VALUE"""),7.3642)</f>
        <v>7.3642</v>
      </c>
      <c r="I629" s="320">
        <f>IFERROR(__xludf.DUMMYFUNCTION("""COMPUTED_VALUE"""),80.37)</f>
        <v>80.37</v>
      </c>
      <c r="J629" s="320">
        <f>IFERROR(__xludf.DUMMYFUNCTION("""COMPUTED_VALUE"""),47.91)</f>
        <v>47.91</v>
      </c>
      <c r="K629" s="320">
        <f>IFERROR(__xludf.DUMMYFUNCTION("""COMPUTED_VALUE"""),27.15)</f>
        <v>27.15</v>
      </c>
      <c r="L629" s="320">
        <f>IFERROR(__xludf.DUMMYFUNCTION("""COMPUTED_VALUE"""),0.5666)</f>
        <v>0.5666</v>
      </c>
      <c r="M629" s="320">
        <f>IFERROR(__xludf.DUMMYFUNCTION("""COMPUTED_VALUE"""),0.5074)</f>
        <v>0.5074</v>
      </c>
      <c r="N629" s="320">
        <f>IFERROR(__xludf.DUMMYFUNCTION("""COMPUTED_VALUE"""),0.2725)</f>
        <v>0.2725</v>
      </c>
      <c r="O629" s="320">
        <f>IFERROR(__xludf.DUMMYFUNCTION("""COMPUTED_VALUE"""),1.7649)</f>
        <v>1.7649</v>
      </c>
      <c r="P629" s="320">
        <f>IFERROR(__xludf.DUMMYFUNCTION("""COMPUTED_VALUE"""),340.0)</f>
        <v>340</v>
      </c>
      <c r="Q629" s="320">
        <f>IFERROR(__xludf.DUMMYFUNCTION("""COMPUTED_VALUE"""),296.22)</f>
        <v>296.22</v>
      </c>
      <c r="R629" s="320">
        <f>IFERROR(__xludf.DUMMYFUNCTION("""COMPUTED_VALUE"""),43.78)</f>
        <v>43.78</v>
      </c>
      <c r="S629" s="320">
        <f>IFERROR(__xludf.DUMMYFUNCTION("""COMPUTED_VALUE"""),151.27)</f>
        <v>151.27</v>
      </c>
      <c r="T629" s="320">
        <f>IFERROR(__xludf.DUMMYFUNCTION("""COMPUTED_VALUE"""),188.72)</f>
        <v>188.72</v>
      </c>
      <c r="U629" s="320">
        <f>IFERROR(__xludf.DUMMYFUNCTION("""COMPUTED_VALUE"""),342.6)</f>
        <v>342.6</v>
      </c>
      <c r="V629" s="320">
        <f>IFERROR(__xludf.DUMMYFUNCTION("""COMPUTED_VALUE"""),7.1503)</f>
        <v>7.1503</v>
      </c>
      <c r="W629" s="320">
        <f>IFERROR(__xludf.DUMMYFUNCTION("""COMPUTED_VALUE"""),44.49)</f>
        <v>44.49</v>
      </c>
      <c r="X629" s="320">
        <f>IFERROR(__xludf.DUMMYFUNCTION("""COMPUTED_VALUE"""),93.0)</f>
        <v>93</v>
      </c>
      <c r="Y629" s="320">
        <f>IFERROR(__xludf.DUMMYFUNCTION("""COMPUTED_VALUE"""),258.0)</f>
        <v>258</v>
      </c>
      <c r="Z629" s="320">
        <f>IFERROR(__xludf.DUMMYFUNCTION("""COMPUTED_VALUE"""),752.0)</f>
        <v>752</v>
      </c>
      <c r="AA629" s="320">
        <f>IFERROR(__xludf.DUMMYFUNCTION("""COMPUTED_VALUE"""),54.7647)</f>
        <v>54.7647</v>
      </c>
      <c r="AB629" s="320">
        <f>IFERROR(__xludf.DUMMYFUNCTION("""COMPUTED_VALUE"""),0.6245)</f>
        <v>0.6245</v>
      </c>
      <c r="AC629" s="320">
        <f>IFERROR(__xludf.DUMMYFUNCTION("""COMPUTED_VALUE"""),17.25)</f>
        <v>17.25</v>
      </c>
      <c r="AD629" s="320">
        <f>IFERROR(__xludf.DUMMYFUNCTION("""COMPUTED_VALUE"""),5.0)</f>
        <v>5</v>
      </c>
      <c r="AE629" s="320">
        <f>IFERROR(__xludf.DUMMYFUNCTION("""COMPUTED_VALUE"""),13.0)</f>
        <v>13</v>
      </c>
      <c r="AF629" s="320">
        <f>IFERROR(__xludf.DUMMYFUNCTION("""COMPUTED_VALUE"""),25.0)</f>
        <v>25</v>
      </c>
      <c r="AG629" s="320">
        <f>IFERROR(__xludf.DUMMYFUNCTION("""COMPUTED_VALUE"""),37.0)</f>
        <v>37</v>
      </c>
      <c r="AH629" s="320">
        <f>IFERROR(__xludf.DUMMYFUNCTION("""COMPUTED_VALUE"""),56.19)</f>
        <v>56.19</v>
      </c>
      <c r="AI629" s="320">
        <f>IFERROR(__xludf.DUMMYFUNCTION("""COMPUTED_VALUE"""),23.96)</f>
        <v>23.96</v>
      </c>
      <c r="AJ629" s="320">
        <f>IFERROR(__xludf.DUMMYFUNCTION("""COMPUTED_VALUE"""),7.13)</f>
        <v>7.13</v>
      </c>
      <c r="AK629" s="320">
        <f>IFERROR(__xludf.DUMMYFUNCTION("""COMPUTED_VALUE"""),0.17)</f>
        <v>0.17</v>
      </c>
      <c r="AL629" s="320">
        <f>IFERROR(__xludf.DUMMYFUNCTION("""COMPUTED_VALUE"""),19.1)</f>
        <v>19.1</v>
      </c>
      <c r="AM629" s="320">
        <f>IFERROR(__xludf.DUMMYFUNCTION("""COMPUTED_VALUE"""),277.12)</f>
        <v>277.12</v>
      </c>
      <c r="AN629" s="320">
        <f>IFERROR(__xludf.DUMMYFUNCTION("""COMPUTED_VALUE"""),72.21)</f>
        <v>72.21</v>
      </c>
      <c r="AO629" s="320">
        <f>IFERROR(__xludf.DUMMYFUNCTION("""COMPUTED_VALUE"""),13.79)</f>
        <v>13.79</v>
      </c>
    </row>
    <row r="630" ht="15.0" customHeight="1">
      <c r="A630" s="328">
        <f>IFERROR(__xludf.DUMMYFUNCTION("""COMPUTED_VALUE"""),46154.0)</f>
        <v>46154</v>
      </c>
      <c r="B630" s="319" t="str">
        <f>IFERROR(__xludf.DUMMYFUNCTION("""COMPUTED_VALUE"""),"E. 40-99")</f>
        <v>E. 40-99</v>
      </c>
      <c r="C630" s="320">
        <f>IFERROR(__xludf.DUMMYFUNCTION("""COMPUTED_VALUE"""),2976.0)</f>
        <v>2976</v>
      </c>
      <c r="D630" s="320">
        <f>IFERROR(__xludf.DUMMYFUNCTION("""COMPUTED_VALUE"""),4.02)</f>
        <v>4.02</v>
      </c>
      <c r="E630" s="320">
        <f>IFERROR(__xludf.DUMMYFUNCTION("""COMPUTED_VALUE"""),14060.01)</f>
        <v>14060.01</v>
      </c>
      <c r="F630" s="320">
        <f>IFERROR(__xludf.DUMMYFUNCTION("""COMPUTED_VALUE"""),4.7245)</f>
        <v>4.7245</v>
      </c>
      <c r="G630" s="320">
        <f>IFERROR(__xludf.DUMMYFUNCTION("""COMPUTED_VALUE"""),40.46)</f>
        <v>40.46</v>
      </c>
      <c r="H630" s="320">
        <f>IFERROR(__xludf.DUMMYFUNCTION("""COMPUTED_VALUE"""),11.6777)</f>
        <v>11.6777</v>
      </c>
      <c r="I630" s="320">
        <f>IFERROR(__xludf.DUMMYFUNCTION("""COMPUTED_VALUE"""),120.36)</f>
        <v>120.36</v>
      </c>
      <c r="J630" s="320">
        <f>IFERROR(__xludf.DUMMYFUNCTION("""COMPUTED_VALUE"""),75.57)</f>
        <v>75.57</v>
      </c>
      <c r="K630" s="320">
        <f>IFERROR(__xludf.DUMMYFUNCTION("""COMPUTED_VALUE"""),52.13)</f>
        <v>52.13</v>
      </c>
      <c r="L630" s="320">
        <f>IFERROR(__xludf.DUMMYFUNCTION("""COMPUTED_VALUE"""),0.6898)</f>
        <v>0.6898</v>
      </c>
      <c r="M630" s="320">
        <f>IFERROR(__xludf.DUMMYFUNCTION("""COMPUTED_VALUE"""),0.3938)</f>
        <v>0.3938</v>
      </c>
      <c r="N630" s="320">
        <f>IFERROR(__xludf.DUMMYFUNCTION("""COMPUTED_VALUE"""),0.2185)</f>
        <v>0.2185</v>
      </c>
      <c r="O630" s="320">
        <f>IFERROR(__xludf.DUMMYFUNCTION("""COMPUTED_VALUE"""),1.4497)</f>
        <v>1.4497</v>
      </c>
      <c r="P630" s="320">
        <f>IFERROR(__xludf.DUMMYFUNCTION("""COMPUTED_VALUE"""),630.47)</f>
        <v>630.47</v>
      </c>
      <c r="Q630" s="320">
        <f>IFERROR(__xludf.DUMMYFUNCTION("""COMPUTED_VALUE"""),541.12)</f>
        <v>541.12</v>
      </c>
      <c r="R630" s="320">
        <f>IFERROR(__xludf.DUMMYFUNCTION("""COMPUTED_VALUE"""),89.35)</f>
        <v>89.35</v>
      </c>
      <c r="S630" s="320">
        <f>IFERROR(__xludf.DUMMYFUNCTION("""COMPUTED_VALUE"""),295.32)</f>
        <v>295.32</v>
      </c>
      <c r="T630" s="320">
        <f>IFERROR(__xludf.DUMMYFUNCTION("""COMPUTED_VALUE"""),335.15)</f>
        <v>335.15</v>
      </c>
      <c r="U630" s="320">
        <f>IFERROR(__xludf.DUMMYFUNCTION("""COMPUTED_VALUE"""),631.82)</f>
        <v>631.82</v>
      </c>
      <c r="V630" s="320">
        <f>IFERROR(__xludf.DUMMYFUNCTION("""COMPUTED_VALUE"""),8.3607)</f>
        <v>8.3607</v>
      </c>
      <c r="W630" s="320">
        <f>IFERROR(__xludf.DUMMYFUNCTION("""COMPUTED_VALUE"""),46.84)</f>
        <v>46.84</v>
      </c>
      <c r="X630" s="320">
        <f>IFERROR(__xludf.DUMMYFUNCTION("""COMPUTED_VALUE"""),104.0)</f>
        <v>104</v>
      </c>
      <c r="Y630" s="320">
        <f>IFERROR(__xludf.DUMMYFUNCTION("""COMPUTED_VALUE"""),350.0)</f>
        <v>350</v>
      </c>
      <c r="Z630" s="320">
        <f>IFERROR(__xludf.DUMMYFUNCTION("""COMPUTED_VALUE"""),1000.0)</f>
        <v>1000</v>
      </c>
      <c r="AA630" s="320">
        <f>IFERROR(__xludf.DUMMYFUNCTION("""COMPUTED_VALUE"""),57.5765)</f>
        <v>57.5765</v>
      </c>
      <c r="AB630" s="320">
        <f>IFERROR(__xludf.DUMMYFUNCTION("""COMPUTED_VALUE"""),0.7472)</f>
        <v>0.7472</v>
      </c>
      <c r="AC630" s="320">
        <f>IFERROR(__xludf.DUMMYFUNCTION("""COMPUTED_VALUE"""),36.11)</f>
        <v>36.11</v>
      </c>
      <c r="AD630" s="320">
        <f>IFERROR(__xludf.DUMMYFUNCTION("""COMPUTED_VALUE"""),12.0)</f>
        <v>12</v>
      </c>
      <c r="AE630" s="320">
        <f>IFERROR(__xludf.DUMMYFUNCTION("""COMPUTED_VALUE"""),29.0)</f>
        <v>29</v>
      </c>
      <c r="AF630" s="320">
        <f>IFERROR(__xludf.DUMMYFUNCTION("""COMPUTED_VALUE"""),51.0)</f>
        <v>51</v>
      </c>
      <c r="AG630" s="320">
        <f>IFERROR(__xludf.DUMMYFUNCTION("""COMPUTED_VALUE"""),78.0)</f>
        <v>78</v>
      </c>
      <c r="AH630" s="320">
        <f>IFERROR(__xludf.DUMMYFUNCTION("""COMPUTED_VALUE"""),51.21)</f>
        <v>51.21</v>
      </c>
      <c r="AI630" s="320">
        <f>IFERROR(__xludf.DUMMYFUNCTION("""COMPUTED_VALUE"""),19.12)</f>
        <v>19.12</v>
      </c>
      <c r="AJ630" s="320">
        <f>IFERROR(__xludf.DUMMYFUNCTION("""COMPUTED_VALUE"""),4.27)</f>
        <v>4.27</v>
      </c>
      <c r="AK630" s="320">
        <f>IFERROR(__xludf.DUMMYFUNCTION("""COMPUTED_VALUE"""),0.1741)</f>
        <v>0.1741</v>
      </c>
      <c r="AL630" s="320">
        <f>IFERROR(__xludf.DUMMYFUNCTION("""COMPUTED_VALUE"""),18.89)</f>
        <v>18.89</v>
      </c>
      <c r="AM630" s="320">
        <f>IFERROR(__xludf.DUMMYFUNCTION("""COMPUTED_VALUE"""),522.23)</f>
        <v>522.23</v>
      </c>
      <c r="AN630" s="320">
        <f>IFERROR(__xludf.DUMMYFUNCTION("""COMPUTED_VALUE"""),73.56)</f>
        <v>73.56</v>
      </c>
      <c r="AO630" s="320">
        <f>IFERROR(__xludf.DUMMYFUNCTION("""COMPUTED_VALUE"""),13.9)</f>
        <v>13.9</v>
      </c>
    </row>
    <row r="631" ht="15.0" customHeight="1">
      <c r="A631" s="328">
        <f>IFERROR(__xludf.DUMMYFUNCTION("""COMPUTED_VALUE"""),46154.0)</f>
        <v>46154</v>
      </c>
      <c r="B631" s="319" t="str">
        <f>IFERROR(__xludf.DUMMYFUNCTION("""COMPUTED_VALUE"""),"F. 100+")</f>
        <v>F. 100+</v>
      </c>
      <c r="C631" s="320">
        <f>IFERROR(__xludf.DUMMYFUNCTION("""COMPUTED_VALUE"""),336.0)</f>
        <v>336</v>
      </c>
      <c r="D631" s="320">
        <f>IFERROR(__xludf.DUMMYFUNCTION("""COMPUTED_VALUE"""),0.45)</f>
        <v>0.45</v>
      </c>
      <c r="E631" s="320">
        <f>IFERROR(__xludf.DUMMYFUNCTION("""COMPUTED_VALUE"""),3702.8)</f>
        <v>3702.8</v>
      </c>
      <c r="F631" s="320">
        <f>IFERROR(__xludf.DUMMYFUNCTION("""COMPUTED_VALUE"""),11.0202)</f>
        <v>11.0202</v>
      </c>
      <c r="G631" s="320">
        <f>IFERROR(__xludf.DUMMYFUNCTION("""COMPUTED_VALUE"""),47.62)</f>
        <v>47.62</v>
      </c>
      <c r="H631" s="320">
        <f>IFERROR(__xludf.DUMMYFUNCTION("""COMPUTED_VALUE"""),23.1425)</f>
        <v>23.1425</v>
      </c>
      <c r="I631" s="320">
        <f>IFERROR(__xludf.DUMMYFUNCTION("""COMPUTED_VALUE"""),241.1)</f>
        <v>241.1</v>
      </c>
      <c r="J631" s="320">
        <f>IFERROR(__xludf.DUMMYFUNCTION("""COMPUTED_VALUE"""),160.62)</f>
        <v>160.62</v>
      </c>
      <c r="K631" s="320">
        <f>IFERROR(__xludf.DUMMYFUNCTION("""COMPUTED_VALUE"""),130.24)</f>
        <v>130.24</v>
      </c>
      <c r="L631" s="320">
        <f>IFERROR(__xludf.DUMMYFUNCTION("""COMPUTED_VALUE"""),0.8109)</f>
        <v>0.8109</v>
      </c>
      <c r="M631" s="320">
        <f>IFERROR(__xludf.DUMMYFUNCTION("""COMPUTED_VALUE"""),0.2759)</f>
        <v>0.2759</v>
      </c>
      <c r="N631" s="320">
        <f>IFERROR(__xludf.DUMMYFUNCTION("""COMPUTED_VALUE"""),0.163)</f>
        <v>0.163</v>
      </c>
      <c r="O631" s="320">
        <f>IFERROR(__xludf.DUMMYFUNCTION("""COMPUTED_VALUE"""),1.2332)</f>
        <v>1.2332</v>
      </c>
      <c r="P631" s="320">
        <f>IFERROR(__xludf.DUMMYFUNCTION("""COMPUTED_VALUE"""),1368.15)</f>
        <v>1368.15</v>
      </c>
      <c r="Q631" s="320">
        <f>IFERROR(__xludf.DUMMYFUNCTION("""COMPUTED_VALUE"""),1142.65)</f>
        <v>1142.65</v>
      </c>
      <c r="R631" s="320">
        <f>IFERROR(__xludf.DUMMYFUNCTION("""COMPUTED_VALUE"""),225.51)</f>
        <v>225.51</v>
      </c>
      <c r="S631" s="320">
        <f>IFERROR(__xludf.DUMMYFUNCTION("""COMPUTED_VALUE"""),666.79)</f>
        <v>666.79</v>
      </c>
      <c r="T631" s="320">
        <f>IFERROR(__xludf.DUMMYFUNCTION("""COMPUTED_VALUE"""),701.37)</f>
        <v>701.37</v>
      </c>
      <c r="U631" s="320">
        <f>IFERROR(__xludf.DUMMYFUNCTION("""COMPUTED_VALUE"""),1368.01)</f>
        <v>1368.01</v>
      </c>
      <c r="V631" s="320">
        <f>IFERROR(__xludf.DUMMYFUNCTION("""COMPUTED_VALUE"""),8.5171)</f>
        <v>8.5171</v>
      </c>
      <c r="W631" s="320">
        <f>IFERROR(__xludf.DUMMYFUNCTION("""COMPUTED_VALUE"""),48.74)</f>
        <v>48.74</v>
      </c>
      <c r="X631" s="320">
        <f>IFERROR(__xludf.DUMMYFUNCTION("""COMPUTED_VALUE"""),211.0)</f>
        <v>211</v>
      </c>
      <c r="Y631" s="320">
        <f>IFERROR(__xludf.DUMMYFUNCTION("""COMPUTED_VALUE"""),778.0)</f>
        <v>778</v>
      </c>
      <c r="Z631" s="320">
        <f>IFERROR(__xludf.DUMMYFUNCTION("""COMPUTED_VALUE"""),2339.0)</f>
        <v>2339</v>
      </c>
      <c r="AA631" s="320">
        <f>IFERROR(__xludf.DUMMYFUNCTION("""COMPUTED_VALUE"""),61.2137)</f>
        <v>61.2137</v>
      </c>
      <c r="AB631" s="320">
        <f>IFERROR(__xludf.DUMMYFUNCTION("""COMPUTED_VALUE"""),0.8346)</f>
        <v>0.8346</v>
      </c>
      <c r="AC631" s="320">
        <f>IFERROR(__xludf.DUMMYFUNCTION("""COMPUTED_VALUE"""),92.07)</f>
        <v>92.07</v>
      </c>
      <c r="AD631" s="320">
        <f>IFERROR(__xludf.DUMMYFUNCTION("""COMPUTED_VALUE"""),32.0)</f>
        <v>32</v>
      </c>
      <c r="AE631" s="320">
        <f>IFERROR(__xludf.DUMMYFUNCTION("""COMPUTED_VALUE"""),72.0)</f>
        <v>72</v>
      </c>
      <c r="AF631" s="320">
        <f>IFERROR(__xludf.DUMMYFUNCTION("""COMPUTED_VALUE"""),132.0)</f>
        <v>132</v>
      </c>
      <c r="AG631" s="320">
        <f>IFERROR(__xludf.DUMMYFUNCTION("""COMPUTED_VALUE"""),196.0)</f>
        <v>196</v>
      </c>
      <c r="AH631" s="320">
        <f>IFERROR(__xludf.DUMMYFUNCTION("""COMPUTED_VALUE"""),44.94)</f>
        <v>44.94</v>
      </c>
      <c r="AI631" s="320">
        <f>IFERROR(__xludf.DUMMYFUNCTION("""COMPUTED_VALUE"""),14.88)</f>
        <v>14.88</v>
      </c>
      <c r="AJ631" s="320">
        <f>IFERROR(__xludf.DUMMYFUNCTION("""COMPUTED_VALUE"""),2.08)</f>
        <v>2.08</v>
      </c>
      <c r="AK631" s="320">
        <f>IFERROR(__xludf.DUMMYFUNCTION("""COMPUTED_VALUE"""),0.1131)</f>
        <v>0.1131</v>
      </c>
      <c r="AL631" s="320">
        <f>IFERROR(__xludf.DUMMYFUNCTION("""COMPUTED_VALUE"""),20.36)</f>
        <v>20.36</v>
      </c>
      <c r="AM631" s="320">
        <f>IFERROR(__xludf.DUMMYFUNCTION("""COMPUTED_VALUE"""),1122.29)</f>
        <v>1122.29</v>
      </c>
      <c r="AN631" s="320">
        <f>IFERROR(__xludf.DUMMYFUNCTION("""COMPUTED_VALUE"""),74.28)</f>
        <v>74.28</v>
      </c>
      <c r="AO631" s="320">
        <f>IFERROR(__xludf.DUMMYFUNCTION("""COMPUTED_VALUE"""),15.12)</f>
        <v>15.12</v>
      </c>
    </row>
    <row r="632" ht="15.0" customHeight="1">
      <c r="A632" s="328">
        <f>IFERROR(__xludf.DUMMYFUNCTION("""COMPUTED_VALUE"""),46155.0)</f>
        <v>46155</v>
      </c>
      <c r="B632" s="319" t="str">
        <f>IFERROR(__xludf.DUMMYFUNCTION("""COMPUTED_VALUE"""),"A. 0")</f>
        <v>A. 0</v>
      </c>
      <c r="C632" s="320">
        <f>IFERROR(__xludf.DUMMYFUNCTION("""COMPUTED_VALUE"""),16302.0)</f>
        <v>16302</v>
      </c>
      <c r="D632" s="320">
        <f>IFERROR(__xludf.DUMMYFUNCTION("""COMPUTED_VALUE"""),22.4)</f>
        <v>22.4</v>
      </c>
      <c r="E632" s="320">
        <f>IFERROR(__xludf.DUMMYFUNCTION("""COMPUTED_VALUE"""),79.96)</f>
        <v>79.96</v>
      </c>
      <c r="F632" s="320">
        <f>IFERROR(__xludf.DUMMYFUNCTION("""COMPUTED_VALUE"""),0.0049)</f>
        <v>0.0049</v>
      </c>
      <c r="G632" s="320">
        <f>IFERROR(__xludf.DUMMYFUNCTION("""COMPUTED_VALUE"""),0.15)</f>
        <v>0.15</v>
      </c>
      <c r="H632" s="320">
        <f>IFERROR(__xludf.DUMMYFUNCTION("""COMPUTED_VALUE"""),3.1984)</f>
        <v>3.1984</v>
      </c>
      <c r="I632" s="320">
        <f>IFERROR(__xludf.DUMMYFUNCTION("""COMPUTED_VALUE"""),6.79)</f>
        <v>6.79</v>
      </c>
      <c r="J632" s="320">
        <f>IFERROR(__xludf.DUMMYFUNCTION("""COMPUTED_VALUE"""),3.08)</f>
        <v>3.08</v>
      </c>
      <c r="K632" s="320">
        <f>IFERROR(__xludf.DUMMYFUNCTION("""COMPUTED_VALUE"""),0.05)</f>
        <v>0.05</v>
      </c>
      <c r="L632" s="320">
        <f>IFERROR(__xludf.DUMMYFUNCTION("""COMPUTED_VALUE"""),0.0165)</f>
        <v>0.0165</v>
      </c>
      <c r="M632" s="320">
        <f>IFERROR(__xludf.DUMMYFUNCTION("""COMPUTED_VALUE"""),0.9843)</f>
        <v>0.9843</v>
      </c>
      <c r="N632" s="320">
        <f>IFERROR(__xludf.DUMMYFUNCTION("""COMPUTED_VALUE"""),0.7895)</f>
        <v>0.7895</v>
      </c>
      <c r="O632" s="320">
        <f>IFERROR(__xludf.DUMMYFUNCTION("""COMPUTED_VALUE"""),60.4253)</f>
        <v>60.4253</v>
      </c>
      <c r="P632" s="320">
        <f>IFERROR(__xludf.DUMMYFUNCTION("""COMPUTED_VALUE"""),22.19)</f>
        <v>22.19</v>
      </c>
      <c r="Q632" s="320">
        <f>IFERROR(__xludf.DUMMYFUNCTION("""COMPUTED_VALUE"""),22.15)</f>
        <v>22.15</v>
      </c>
      <c r="R632" s="320">
        <f>IFERROR(__xludf.DUMMYFUNCTION("""COMPUTED_VALUE"""),0.05)</f>
        <v>0.05</v>
      </c>
      <c r="S632" s="320">
        <f>IFERROR(__xludf.DUMMYFUNCTION("""COMPUTED_VALUE"""),0.8)</f>
        <v>0.8</v>
      </c>
      <c r="T632" s="320">
        <f>IFERROR(__xludf.DUMMYFUNCTION("""COMPUTED_VALUE"""),21.4)</f>
        <v>21.4</v>
      </c>
      <c r="U632" s="320">
        <f>IFERROR(__xludf.DUMMYFUNCTION("""COMPUTED_VALUE"""),1.88)</f>
        <v>1.88</v>
      </c>
      <c r="V632" s="320">
        <f>IFERROR(__xludf.DUMMYFUNCTION("""COMPUTED_VALUE"""),0.6121)</f>
        <v>0.6121</v>
      </c>
      <c r="W632" s="320">
        <f>IFERROR(__xludf.DUMMYFUNCTION("""COMPUTED_VALUE"""),3.58)</f>
        <v>3.58</v>
      </c>
      <c r="X632" s="320">
        <f>IFERROR(__xludf.DUMMYFUNCTION("""COMPUTED_VALUE"""),145.0)</f>
        <v>145</v>
      </c>
      <c r="Y632" s="320">
        <f>IFERROR(__xludf.DUMMYFUNCTION("""COMPUTED_VALUE"""),1141.0)</f>
        <v>1141</v>
      </c>
      <c r="Z632" s="320">
        <f>IFERROR(__xludf.DUMMYFUNCTION("""COMPUTED_VALUE"""),7730.0)</f>
        <v>7730</v>
      </c>
      <c r="AA632" s="320">
        <f>IFERROR(__xludf.DUMMYFUNCTION("""COMPUTED_VALUE"""),49.7745)</f>
        <v>49.7745</v>
      </c>
      <c r="AB632" s="320">
        <f>IFERROR(__xludf.DUMMYFUNCTION("""COMPUTED_VALUE"""),0.5132)</f>
        <v>0.5132</v>
      </c>
      <c r="AC632" s="106"/>
      <c r="AD632" s="106"/>
      <c r="AE632" s="106"/>
      <c r="AF632" s="106"/>
      <c r="AG632" s="106"/>
      <c r="AH632" s="320">
        <f>IFERROR(__xludf.DUMMYFUNCTION("""COMPUTED_VALUE"""),0.0)</f>
        <v>0</v>
      </c>
      <c r="AI632" s="320">
        <f>IFERROR(__xludf.DUMMYFUNCTION("""COMPUTED_VALUE"""),0.0)</f>
        <v>0</v>
      </c>
      <c r="AJ632" s="320">
        <f>IFERROR(__xludf.DUMMYFUNCTION("""COMPUTED_VALUE"""),0.0)</f>
        <v>0</v>
      </c>
      <c r="AK632" s="320">
        <f>IFERROR(__xludf.DUMMYFUNCTION("""COMPUTED_VALUE"""),0.2534)</f>
        <v>0.2534</v>
      </c>
      <c r="AL632" s="320">
        <f>IFERROR(__xludf.DUMMYFUNCTION("""COMPUTED_VALUE"""),15.13)</f>
        <v>15.13</v>
      </c>
      <c r="AM632" s="320">
        <f>IFERROR(__xludf.DUMMYFUNCTION("""COMPUTED_VALUE"""),7.01)</f>
        <v>7.01</v>
      </c>
      <c r="AN632" s="331"/>
      <c r="AO632" s="331"/>
    </row>
    <row r="633" ht="15.0" customHeight="1">
      <c r="A633" s="328">
        <f>IFERROR(__xludf.DUMMYFUNCTION("""COMPUTED_VALUE"""),46155.0)</f>
        <v>46155</v>
      </c>
      <c r="B633" s="319" t="str">
        <f>IFERROR(__xludf.DUMMYFUNCTION("""COMPUTED_VALUE"""),"B. 1-9")</f>
        <v>B. 1-9</v>
      </c>
      <c r="C633" s="320">
        <f>IFERROR(__xludf.DUMMYFUNCTION("""COMPUTED_VALUE"""),30819.0)</f>
        <v>30819</v>
      </c>
      <c r="D633" s="320">
        <f>IFERROR(__xludf.DUMMYFUNCTION("""COMPUTED_VALUE"""),42.35)</f>
        <v>42.35</v>
      </c>
      <c r="E633" s="320">
        <f>IFERROR(__xludf.DUMMYFUNCTION("""COMPUTED_VALUE"""),6191.41)</f>
        <v>6191.41</v>
      </c>
      <c r="F633" s="320">
        <f>IFERROR(__xludf.DUMMYFUNCTION("""COMPUTED_VALUE"""),0.2009)</f>
        <v>0.2009</v>
      </c>
      <c r="G633" s="320">
        <f>IFERROR(__xludf.DUMMYFUNCTION("""COMPUTED_VALUE"""),6.29)</f>
        <v>6.29</v>
      </c>
      <c r="H633" s="320">
        <f>IFERROR(__xludf.DUMMYFUNCTION("""COMPUTED_VALUE"""),3.1931)</f>
        <v>3.1931</v>
      </c>
      <c r="I633" s="320">
        <f>IFERROR(__xludf.DUMMYFUNCTION("""COMPUTED_VALUE"""),33.26)</f>
        <v>33.26</v>
      </c>
      <c r="J633" s="320">
        <f>IFERROR(__xludf.DUMMYFUNCTION("""COMPUTED_VALUE"""),18.0)</f>
        <v>18</v>
      </c>
      <c r="K633" s="320">
        <f>IFERROR(__xludf.DUMMYFUNCTION("""COMPUTED_VALUE"""),5.1)</f>
        <v>5.1</v>
      </c>
      <c r="L633" s="320">
        <f>IFERROR(__xludf.DUMMYFUNCTION("""COMPUTED_VALUE"""),0.2832)</f>
        <v>0.2832</v>
      </c>
      <c r="M633" s="320">
        <f>IFERROR(__xludf.DUMMYFUNCTION("""COMPUTED_VALUE"""),0.7798)</f>
        <v>0.7798</v>
      </c>
      <c r="N633" s="320">
        <f>IFERROR(__xludf.DUMMYFUNCTION("""COMPUTED_VALUE"""),0.5262)</f>
        <v>0.5262</v>
      </c>
      <c r="O633" s="320">
        <f>IFERROR(__xludf.DUMMYFUNCTION("""COMPUTED_VALUE"""),3.5312)</f>
        <v>3.5312</v>
      </c>
      <c r="P633" s="320">
        <f>IFERROR(__xludf.DUMMYFUNCTION("""COMPUTED_VALUE"""),59.7)</f>
        <v>59.7</v>
      </c>
      <c r="Q633" s="320">
        <f>IFERROR(__xludf.DUMMYFUNCTION("""COMPUTED_VALUE"""),50.94)</f>
        <v>50.94</v>
      </c>
      <c r="R633" s="320">
        <f>IFERROR(__xludf.DUMMYFUNCTION("""COMPUTED_VALUE"""),8.76)</f>
        <v>8.76</v>
      </c>
      <c r="S633" s="320">
        <f>IFERROR(__xludf.DUMMYFUNCTION("""COMPUTED_VALUE"""),14.08)</f>
        <v>14.08</v>
      </c>
      <c r="T633" s="320">
        <f>IFERROR(__xludf.DUMMYFUNCTION("""COMPUTED_VALUE"""),45.62)</f>
        <v>45.62</v>
      </c>
      <c r="U633" s="320">
        <f>IFERROR(__xludf.DUMMYFUNCTION("""COMPUTED_VALUE"""),67.05)</f>
        <v>67.05</v>
      </c>
      <c r="V633" s="320">
        <f>IFERROR(__xludf.DUMMYFUNCTION("""COMPUTED_VALUE"""),3.725)</f>
        <v>3.725</v>
      </c>
      <c r="W633" s="320">
        <f>IFERROR(__xludf.DUMMYFUNCTION("""COMPUTED_VALUE"""),23.58)</f>
        <v>23.58</v>
      </c>
      <c r="X633" s="320">
        <f>IFERROR(__xludf.DUMMYFUNCTION("""COMPUTED_VALUE"""),85.0)</f>
        <v>85</v>
      </c>
      <c r="Y633" s="320">
        <f>IFERROR(__xludf.DUMMYFUNCTION("""COMPUTED_VALUE"""),202.0)</f>
        <v>202</v>
      </c>
      <c r="Z633" s="320">
        <f>IFERROR(__xludf.DUMMYFUNCTION("""COMPUTED_VALUE"""),845.0)</f>
        <v>845</v>
      </c>
      <c r="AA633" s="320">
        <f>IFERROR(__xludf.DUMMYFUNCTION("""COMPUTED_VALUE"""),49.4956)</f>
        <v>49.4956</v>
      </c>
      <c r="AB633" s="320">
        <f>IFERROR(__xludf.DUMMYFUNCTION("""COMPUTED_VALUE"""),0.4386)</f>
        <v>0.4386</v>
      </c>
      <c r="AC633" s="320">
        <f>IFERROR(__xludf.DUMMYFUNCTION("""COMPUTED_VALUE"""),3.4)</f>
        <v>3.4</v>
      </c>
      <c r="AD633" s="320">
        <f>IFERROR(__xludf.DUMMYFUNCTION("""COMPUTED_VALUE"""),1.0)</f>
        <v>1</v>
      </c>
      <c r="AE633" s="320">
        <f>IFERROR(__xludf.DUMMYFUNCTION("""COMPUTED_VALUE"""),2.0)</f>
        <v>2</v>
      </c>
      <c r="AF633" s="320">
        <f>IFERROR(__xludf.DUMMYFUNCTION("""COMPUTED_VALUE"""),4.0)</f>
        <v>4</v>
      </c>
      <c r="AG633" s="320">
        <f>IFERROR(__xludf.DUMMYFUNCTION("""COMPUTED_VALUE"""),8.0)</f>
        <v>8</v>
      </c>
      <c r="AH633" s="320">
        <f>IFERROR(__xludf.DUMMYFUNCTION("""COMPUTED_VALUE"""),64.54)</f>
        <v>64.54</v>
      </c>
      <c r="AI633" s="320">
        <f>IFERROR(__xludf.DUMMYFUNCTION("""COMPUTED_VALUE"""),23.41)</f>
        <v>23.41</v>
      </c>
      <c r="AJ633" s="320">
        <f>IFERROR(__xludf.DUMMYFUNCTION("""COMPUTED_VALUE"""),6.52)</f>
        <v>6.52</v>
      </c>
      <c r="AK633" s="320">
        <f>IFERROR(__xludf.DUMMYFUNCTION("""COMPUTED_VALUE"""),0.2121)</f>
        <v>0.2121</v>
      </c>
      <c r="AL633" s="320">
        <f>IFERROR(__xludf.DUMMYFUNCTION("""COMPUTED_VALUE"""),19.12)</f>
        <v>19.12</v>
      </c>
      <c r="AM633" s="320">
        <f>IFERROR(__xludf.DUMMYFUNCTION("""COMPUTED_VALUE"""),31.81)</f>
        <v>31.81</v>
      </c>
      <c r="AN633" s="320">
        <f>IFERROR(__xludf.DUMMYFUNCTION("""COMPUTED_VALUE"""),67.97)</f>
        <v>67.97</v>
      </c>
      <c r="AO633" s="320">
        <f>IFERROR(__xludf.DUMMYFUNCTION("""COMPUTED_VALUE"""),13.0)</f>
        <v>13</v>
      </c>
    </row>
    <row r="634" ht="15.0" customHeight="1">
      <c r="A634" s="328">
        <f>IFERROR(__xludf.DUMMYFUNCTION("""COMPUTED_VALUE"""),46155.0)</f>
        <v>46155</v>
      </c>
      <c r="B634" s="319" t="str">
        <f>IFERROR(__xludf.DUMMYFUNCTION("""COMPUTED_VALUE"""),"C. 10-19")</f>
        <v>C. 10-19</v>
      </c>
      <c r="C634" s="320">
        <f>IFERROR(__xludf.DUMMYFUNCTION("""COMPUTED_VALUE"""),14750.0)</f>
        <v>14750</v>
      </c>
      <c r="D634" s="320">
        <f>IFERROR(__xludf.DUMMYFUNCTION("""COMPUTED_VALUE"""),20.27)</f>
        <v>20.27</v>
      </c>
      <c r="E634" s="320">
        <f>IFERROR(__xludf.DUMMYFUNCTION("""COMPUTED_VALUE"""),16166.8)</f>
        <v>16166.8</v>
      </c>
      <c r="F634" s="320">
        <f>IFERROR(__xludf.DUMMYFUNCTION("""COMPUTED_VALUE"""),1.0961)</f>
        <v>1.0961</v>
      </c>
      <c r="G634" s="320">
        <f>IFERROR(__xludf.DUMMYFUNCTION("""COMPUTED_VALUE"""),21.73)</f>
        <v>21.73</v>
      </c>
      <c r="H634" s="320">
        <f>IFERROR(__xludf.DUMMYFUNCTION("""COMPUTED_VALUE"""),5.0442)</f>
        <v>5.0442</v>
      </c>
      <c r="I634" s="320">
        <f>IFERROR(__xludf.DUMMYFUNCTION("""COMPUTED_VALUE"""),61.69)</f>
        <v>61.69</v>
      </c>
      <c r="J634" s="320">
        <f>IFERROR(__xludf.DUMMYFUNCTION("""COMPUTED_VALUE"""),35.66)</f>
        <v>35.66</v>
      </c>
      <c r="K634" s="320">
        <f>IFERROR(__xludf.DUMMYFUNCTION("""COMPUTED_VALUE"""),14.3)</f>
        <v>14.3</v>
      </c>
      <c r="L634" s="320">
        <f>IFERROR(__xludf.DUMMYFUNCTION("""COMPUTED_VALUE"""),0.4009)</f>
        <v>0.4009</v>
      </c>
      <c r="M634" s="320">
        <f>IFERROR(__xludf.DUMMYFUNCTION("""COMPUTED_VALUE"""),0.6567)</f>
        <v>0.6567</v>
      </c>
      <c r="N634" s="320">
        <f>IFERROR(__xludf.DUMMYFUNCTION("""COMPUTED_VALUE"""),0.3604)</f>
        <v>0.3604</v>
      </c>
      <c r="O634" s="320">
        <f>IFERROR(__xludf.DUMMYFUNCTION("""COMPUTED_VALUE"""),2.4942)</f>
        <v>2.4942</v>
      </c>
      <c r="P634" s="320">
        <f>IFERROR(__xludf.DUMMYFUNCTION("""COMPUTED_VALUE"""),158.93)</f>
        <v>158.93</v>
      </c>
      <c r="Q634" s="320">
        <f>IFERROR(__xludf.DUMMYFUNCTION("""COMPUTED_VALUE"""),135.71)</f>
        <v>135.71</v>
      </c>
      <c r="R634" s="320">
        <f>IFERROR(__xludf.DUMMYFUNCTION("""COMPUTED_VALUE"""),23.22)</f>
        <v>23.22</v>
      </c>
      <c r="S634" s="320">
        <f>IFERROR(__xludf.DUMMYFUNCTION("""COMPUTED_VALUE"""),73.22)</f>
        <v>73.22</v>
      </c>
      <c r="T634" s="320">
        <f>IFERROR(__xludf.DUMMYFUNCTION("""COMPUTED_VALUE"""),85.71)</f>
        <v>85.71</v>
      </c>
      <c r="U634" s="320">
        <f>IFERROR(__xludf.DUMMYFUNCTION("""COMPUTED_VALUE"""),172.79)</f>
        <v>172.79</v>
      </c>
      <c r="V634" s="320">
        <f>IFERROR(__xludf.DUMMYFUNCTION("""COMPUTED_VALUE"""),4.8451)</f>
        <v>4.8451</v>
      </c>
      <c r="W634" s="320">
        <f>IFERROR(__xludf.DUMMYFUNCTION("""COMPUTED_VALUE"""),46.07)</f>
        <v>46.07</v>
      </c>
      <c r="X634" s="320">
        <f>IFERROR(__xludf.DUMMYFUNCTION("""COMPUTED_VALUE"""),81.0)</f>
        <v>81</v>
      </c>
      <c r="Y634" s="320">
        <f>IFERROR(__xludf.DUMMYFUNCTION("""COMPUTED_VALUE"""),182.0)</f>
        <v>182</v>
      </c>
      <c r="Z634" s="320">
        <f>IFERROR(__xludf.DUMMYFUNCTION("""COMPUTED_VALUE"""),605.0)</f>
        <v>605</v>
      </c>
      <c r="AA634" s="320">
        <f>IFERROR(__xludf.DUMMYFUNCTION("""COMPUTED_VALUE"""),52.4076)</f>
        <v>52.4076</v>
      </c>
      <c r="AB634" s="320">
        <f>IFERROR(__xludf.DUMMYFUNCTION("""COMPUTED_VALUE"""),0.5199)</f>
        <v>0.5199</v>
      </c>
      <c r="AC634" s="320">
        <f>IFERROR(__xludf.DUMMYFUNCTION("""COMPUTED_VALUE"""),8.66)</f>
        <v>8.66</v>
      </c>
      <c r="AD634" s="320">
        <f>IFERROR(__xludf.DUMMYFUNCTION("""COMPUTED_VALUE"""),2.0)</f>
        <v>2</v>
      </c>
      <c r="AE634" s="320">
        <f>IFERROR(__xludf.DUMMYFUNCTION("""COMPUTED_VALUE"""),6.0)</f>
        <v>6</v>
      </c>
      <c r="AF634" s="320">
        <f>IFERROR(__xludf.DUMMYFUNCTION("""COMPUTED_VALUE"""),12.0)</f>
        <v>12</v>
      </c>
      <c r="AG634" s="320">
        <f>IFERROR(__xludf.DUMMYFUNCTION("""COMPUTED_VALUE"""),20.0)</f>
        <v>20</v>
      </c>
      <c r="AH634" s="320">
        <f>IFERROR(__xludf.DUMMYFUNCTION("""COMPUTED_VALUE"""),51.57)</f>
        <v>51.57</v>
      </c>
      <c r="AI634" s="320">
        <f>IFERROR(__xludf.DUMMYFUNCTION("""COMPUTED_VALUE"""),23.92)</f>
        <v>23.92</v>
      </c>
      <c r="AJ634" s="320">
        <f>IFERROR(__xludf.DUMMYFUNCTION("""COMPUTED_VALUE"""),4.91)</f>
        <v>4.91</v>
      </c>
      <c r="AK634" s="320">
        <f>IFERROR(__xludf.DUMMYFUNCTION("""COMPUTED_VALUE"""),0.1839)</f>
        <v>0.1839</v>
      </c>
      <c r="AL634" s="320">
        <f>IFERROR(__xludf.DUMMYFUNCTION("""COMPUTED_VALUE"""),19.9)</f>
        <v>19.9</v>
      </c>
      <c r="AM634" s="320">
        <f>IFERROR(__xludf.DUMMYFUNCTION("""COMPUTED_VALUE"""),115.81)</f>
        <v>115.81</v>
      </c>
      <c r="AN634" s="320">
        <f>IFERROR(__xludf.DUMMYFUNCTION("""COMPUTED_VALUE"""),72.62)</f>
        <v>72.62</v>
      </c>
      <c r="AO634" s="320">
        <f>IFERROR(__xludf.DUMMYFUNCTION("""COMPUTED_VALUE"""),14.45)</f>
        <v>14.45</v>
      </c>
    </row>
    <row r="635" ht="15.0" customHeight="1">
      <c r="A635" s="328">
        <f>IFERROR(__xludf.DUMMYFUNCTION("""COMPUTED_VALUE"""),46155.0)</f>
        <v>46155</v>
      </c>
      <c r="B635" s="319" t="str">
        <f>IFERROR(__xludf.DUMMYFUNCTION("""COMPUTED_VALUE"""),"D. 20-39")</f>
        <v>D. 20-39</v>
      </c>
      <c r="C635" s="320">
        <f>IFERROR(__xludf.DUMMYFUNCTION("""COMPUTED_VALUE"""),7617.0)</f>
        <v>7617</v>
      </c>
      <c r="D635" s="320">
        <f>IFERROR(__xludf.DUMMYFUNCTION("""COMPUTED_VALUE"""),10.47)</f>
        <v>10.47</v>
      </c>
      <c r="E635" s="320">
        <f>IFERROR(__xludf.DUMMYFUNCTION("""COMPUTED_VALUE"""),18658.13)</f>
        <v>18658.13</v>
      </c>
      <c r="F635" s="320">
        <f>IFERROR(__xludf.DUMMYFUNCTION("""COMPUTED_VALUE"""),2.4495)</f>
        <v>2.4495</v>
      </c>
      <c r="G635" s="320">
        <f>IFERROR(__xludf.DUMMYFUNCTION("""COMPUTED_VALUE"""),31.93)</f>
        <v>31.93</v>
      </c>
      <c r="H635" s="320">
        <f>IFERROR(__xludf.DUMMYFUNCTION("""COMPUTED_VALUE"""),7.6719)</f>
        <v>7.6719</v>
      </c>
      <c r="I635" s="320">
        <f>IFERROR(__xludf.DUMMYFUNCTION("""COMPUTED_VALUE"""),80.64)</f>
        <v>80.64</v>
      </c>
      <c r="J635" s="320">
        <f>IFERROR(__xludf.DUMMYFUNCTION("""COMPUTED_VALUE"""),48.3)</f>
        <v>48.3</v>
      </c>
      <c r="K635" s="320">
        <f>IFERROR(__xludf.DUMMYFUNCTION("""COMPUTED_VALUE"""),25.16)</f>
        <v>25.16</v>
      </c>
      <c r="L635" s="320">
        <f>IFERROR(__xludf.DUMMYFUNCTION("""COMPUTED_VALUE"""),0.5208)</f>
        <v>0.5208</v>
      </c>
      <c r="M635" s="320">
        <f>IFERROR(__xludf.DUMMYFUNCTION("""COMPUTED_VALUE"""),0.5454)</f>
        <v>0.5454</v>
      </c>
      <c r="N635" s="320">
        <f>IFERROR(__xludf.DUMMYFUNCTION("""COMPUTED_VALUE"""),0.2866)</f>
        <v>0.2866</v>
      </c>
      <c r="O635" s="320">
        <f>IFERROR(__xludf.DUMMYFUNCTION("""COMPUTED_VALUE"""),1.9201)</f>
        <v>1.9201</v>
      </c>
      <c r="P635" s="320">
        <f>IFERROR(__xludf.DUMMYFUNCTION("""COMPUTED_VALUE"""),290.52)</f>
        <v>290.52</v>
      </c>
      <c r="Q635" s="320">
        <f>IFERROR(__xludf.DUMMYFUNCTION("""COMPUTED_VALUE"""),247.88)</f>
        <v>247.88</v>
      </c>
      <c r="R635" s="320">
        <f>IFERROR(__xludf.DUMMYFUNCTION("""COMPUTED_VALUE"""),42.63)</f>
        <v>42.63</v>
      </c>
      <c r="S635" s="320">
        <f>IFERROR(__xludf.DUMMYFUNCTION("""COMPUTED_VALUE"""),157.67)</f>
        <v>157.67</v>
      </c>
      <c r="T635" s="320">
        <f>IFERROR(__xludf.DUMMYFUNCTION("""COMPUTED_VALUE"""),132.85)</f>
        <v>132.85</v>
      </c>
      <c r="U635" s="320">
        <f>IFERROR(__xludf.DUMMYFUNCTION("""COMPUTED_VALUE"""),302.96)</f>
        <v>302.96</v>
      </c>
      <c r="V635" s="320">
        <f>IFERROR(__xludf.DUMMYFUNCTION("""COMPUTED_VALUE"""),6.2721)</f>
        <v>6.2721</v>
      </c>
      <c r="W635" s="320">
        <f>IFERROR(__xludf.DUMMYFUNCTION("""COMPUTED_VALUE"""),54.27)</f>
        <v>54.27</v>
      </c>
      <c r="X635" s="320">
        <f>IFERROR(__xludf.DUMMYFUNCTION("""COMPUTED_VALUE"""),85.0)</f>
        <v>85</v>
      </c>
      <c r="Y635" s="320">
        <f>IFERROR(__xludf.DUMMYFUNCTION("""COMPUTED_VALUE"""),209.0)</f>
        <v>209</v>
      </c>
      <c r="Z635" s="320">
        <f>IFERROR(__xludf.DUMMYFUNCTION("""COMPUTED_VALUE"""),660.0)</f>
        <v>660</v>
      </c>
      <c r="AA635" s="320">
        <f>IFERROR(__xludf.DUMMYFUNCTION("""COMPUTED_VALUE"""),54.7704)</f>
        <v>54.7704</v>
      </c>
      <c r="AB635" s="320">
        <f>IFERROR(__xludf.DUMMYFUNCTION("""COMPUTED_VALUE"""),0.6555)</f>
        <v>0.6555</v>
      </c>
      <c r="AC635" s="320">
        <f>IFERROR(__xludf.DUMMYFUNCTION("""COMPUTED_VALUE"""),16.74)</f>
        <v>16.74</v>
      </c>
      <c r="AD635" s="320">
        <f>IFERROR(__xludf.DUMMYFUNCTION("""COMPUTED_VALUE"""),5.0)</f>
        <v>5</v>
      </c>
      <c r="AE635" s="320">
        <f>IFERROR(__xludf.DUMMYFUNCTION("""COMPUTED_VALUE"""),12.0)</f>
        <v>12</v>
      </c>
      <c r="AF635" s="320">
        <f>IFERROR(__xludf.DUMMYFUNCTION("""COMPUTED_VALUE"""),24.0)</f>
        <v>24</v>
      </c>
      <c r="AG635" s="320">
        <f>IFERROR(__xludf.DUMMYFUNCTION("""COMPUTED_VALUE"""),37.0)</f>
        <v>37</v>
      </c>
      <c r="AH635" s="320">
        <f>IFERROR(__xludf.DUMMYFUNCTION("""COMPUTED_VALUE"""),53.76)</f>
        <v>53.76</v>
      </c>
      <c r="AI635" s="320">
        <f>IFERROR(__xludf.DUMMYFUNCTION("""COMPUTED_VALUE"""),23.0)</f>
        <v>23</v>
      </c>
      <c r="AJ635" s="320">
        <f>IFERROR(__xludf.DUMMYFUNCTION("""COMPUTED_VALUE"""),6.97)</f>
        <v>6.97</v>
      </c>
      <c r="AK635" s="320">
        <f>IFERROR(__xludf.DUMMYFUNCTION("""COMPUTED_VALUE"""),0.1877)</f>
        <v>0.1877</v>
      </c>
      <c r="AL635" s="320">
        <f>IFERROR(__xludf.DUMMYFUNCTION("""COMPUTED_VALUE"""),19.42)</f>
        <v>19.42</v>
      </c>
      <c r="AM635" s="320">
        <f>IFERROR(__xludf.DUMMYFUNCTION("""COMPUTED_VALUE"""),228.46)</f>
        <v>228.46</v>
      </c>
      <c r="AN635" s="320">
        <f>IFERROR(__xludf.DUMMYFUNCTION("""COMPUTED_VALUE"""),74.79)</f>
        <v>74.79</v>
      </c>
      <c r="AO635" s="320">
        <f>IFERROR(__xludf.DUMMYFUNCTION("""COMPUTED_VALUE"""),14.52)</f>
        <v>14.52</v>
      </c>
    </row>
    <row r="636" ht="15.0" customHeight="1">
      <c r="A636" s="328">
        <f>IFERROR(__xludf.DUMMYFUNCTION("""COMPUTED_VALUE"""),46155.0)</f>
        <v>46155</v>
      </c>
      <c r="B636" s="319" t="str">
        <f>IFERROR(__xludf.DUMMYFUNCTION("""COMPUTED_VALUE"""),"E. 40-99")</f>
        <v>E. 40-99</v>
      </c>
      <c r="C636" s="320">
        <f>IFERROR(__xludf.DUMMYFUNCTION("""COMPUTED_VALUE"""),2982.0)</f>
        <v>2982</v>
      </c>
      <c r="D636" s="320">
        <f>IFERROR(__xludf.DUMMYFUNCTION("""COMPUTED_VALUE"""),4.1)</f>
        <v>4.1</v>
      </c>
      <c r="E636" s="320">
        <f>IFERROR(__xludf.DUMMYFUNCTION("""COMPUTED_VALUE"""),15886.72)</f>
        <v>15886.72</v>
      </c>
      <c r="F636" s="320">
        <f>IFERROR(__xludf.DUMMYFUNCTION("""COMPUTED_VALUE"""),5.3275)</f>
        <v>5.3275</v>
      </c>
      <c r="G636" s="320">
        <f>IFERROR(__xludf.DUMMYFUNCTION("""COMPUTED_VALUE"""),40.68)</f>
        <v>40.68</v>
      </c>
      <c r="H636" s="320">
        <f>IFERROR(__xludf.DUMMYFUNCTION("""COMPUTED_VALUE"""),13.097)</f>
        <v>13.097</v>
      </c>
      <c r="I636" s="320">
        <f>IFERROR(__xludf.DUMMYFUNCTION("""COMPUTED_VALUE"""),122.5)</f>
        <v>122.5</v>
      </c>
      <c r="J636" s="320">
        <f>IFERROR(__xludf.DUMMYFUNCTION("""COMPUTED_VALUE"""),76.73)</f>
        <v>76.73</v>
      </c>
      <c r="K636" s="320">
        <f>IFERROR(__xludf.DUMMYFUNCTION("""COMPUTED_VALUE"""),50.59)</f>
        <v>50.59</v>
      </c>
      <c r="L636" s="320">
        <f>IFERROR(__xludf.DUMMYFUNCTION("""COMPUTED_VALUE"""),0.6594)</f>
        <v>0.6594</v>
      </c>
      <c r="M636" s="320">
        <f>IFERROR(__xludf.DUMMYFUNCTION("""COMPUTED_VALUE"""),0.4196)</f>
        <v>0.4196</v>
      </c>
      <c r="N636" s="320">
        <f>IFERROR(__xludf.DUMMYFUNCTION("""COMPUTED_VALUE"""),0.2245)</f>
        <v>0.2245</v>
      </c>
      <c r="O636" s="320">
        <f>IFERROR(__xludf.DUMMYFUNCTION("""COMPUTED_VALUE"""),1.5166)</f>
        <v>1.5166</v>
      </c>
      <c r="P636" s="320">
        <f>IFERROR(__xludf.DUMMYFUNCTION("""COMPUTED_VALUE"""),560.05)</f>
        <v>560.05</v>
      </c>
      <c r="Q636" s="320">
        <f>IFERROR(__xludf.DUMMYFUNCTION("""COMPUTED_VALUE"""),473.08)</f>
        <v>473.08</v>
      </c>
      <c r="R636" s="320">
        <f>IFERROR(__xludf.DUMMYFUNCTION("""COMPUTED_VALUE"""),86.97)</f>
        <v>86.97</v>
      </c>
      <c r="S636" s="320">
        <f>IFERROR(__xludf.DUMMYFUNCTION("""COMPUTED_VALUE"""),327.86)</f>
        <v>327.86</v>
      </c>
      <c r="T636" s="320">
        <f>IFERROR(__xludf.DUMMYFUNCTION("""COMPUTED_VALUE"""),232.19)</f>
        <v>232.19</v>
      </c>
      <c r="U636" s="320">
        <f>IFERROR(__xludf.DUMMYFUNCTION("""COMPUTED_VALUE"""),603.29)</f>
        <v>603.29</v>
      </c>
      <c r="V636" s="320">
        <f>IFERROR(__xludf.DUMMYFUNCTION("""COMPUTED_VALUE"""),7.8629)</f>
        <v>7.8629</v>
      </c>
      <c r="W636" s="320">
        <f>IFERROR(__xludf.DUMMYFUNCTION("""COMPUTED_VALUE"""),58.54)</f>
        <v>58.54</v>
      </c>
      <c r="X636" s="320">
        <f>IFERROR(__xludf.DUMMYFUNCTION("""COMPUTED_VALUE"""),97.0)</f>
        <v>97</v>
      </c>
      <c r="Y636" s="320">
        <f>IFERROR(__xludf.DUMMYFUNCTION("""COMPUTED_VALUE"""),305.0)</f>
        <v>305</v>
      </c>
      <c r="Z636" s="320">
        <f>IFERROR(__xludf.DUMMYFUNCTION("""COMPUTED_VALUE"""),891.0)</f>
        <v>891</v>
      </c>
      <c r="AA636" s="320">
        <f>IFERROR(__xludf.DUMMYFUNCTION("""COMPUTED_VALUE"""),57.4639)</f>
        <v>57.4639</v>
      </c>
      <c r="AB636" s="320">
        <f>IFERROR(__xludf.DUMMYFUNCTION("""COMPUTED_VALUE"""),0.7577)</f>
        <v>0.7577</v>
      </c>
      <c r="AC636" s="320">
        <f>IFERROR(__xludf.DUMMYFUNCTION("""COMPUTED_VALUE"""),34.97)</f>
        <v>34.97</v>
      </c>
      <c r="AD636" s="320">
        <f>IFERROR(__xludf.DUMMYFUNCTION("""COMPUTED_VALUE"""),11.0)</f>
        <v>11</v>
      </c>
      <c r="AE636" s="320">
        <f>IFERROR(__xludf.DUMMYFUNCTION("""COMPUTED_VALUE"""),26.0)</f>
        <v>26</v>
      </c>
      <c r="AF636" s="320">
        <f>IFERROR(__xludf.DUMMYFUNCTION("""COMPUTED_VALUE"""),50.0)</f>
        <v>50</v>
      </c>
      <c r="AG636" s="320">
        <f>IFERROR(__xludf.DUMMYFUNCTION("""COMPUTED_VALUE"""),78.0)</f>
        <v>78</v>
      </c>
      <c r="AH636" s="320">
        <f>IFERROR(__xludf.DUMMYFUNCTION("""COMPUTED_VALUE"""),48.05)</f>
        <v>48.05</v>
      </c>
      <c r="AI636" s="320">
        <f>IFERROR(__xludf.DUMMYFUNCTION("""COMPUTED_VALUE"""),18.81)</f>
        <v>18.81</v>
      </c>
      <c r="AJ636" s="320">
        <f>IFERROR(__xludf.DUMMYFUNCTION("""COMPUTED_VALUE"""),4.23)</f>
        <v>4.23</v>
      </c>
      <c r="AK636" s="320">
        <f>IFERROR(__xludf.DUMMYFUNCTION("""COMPUTED_VALUE"""),0.172)</f>
        <v>0.172</v>
      </c>
      <c r="AL636" s="320">
        <f>IFERROR(__xludf.DUMMYFUNCTION("""COMPUTED_VALUE"""),19.41)</f>
        <v>19.41</v>
      </c>
      <c r="AM636" s="320">
        <f>IFERROR(__xludf.DUMMYFUNCTION("""COMPUTED_VALUE"""),453.67)</f>
        <v>453.67</v>
      </c>
      <c r="AN636" s="320">
        <f>IFERROR(__xludf.DUMMYFUNCTION("""COMPUTED_VALUE"""),73.9)</f>
        <v>73.9</v>
      </c>
      <c r="AO636" s="320">
        <f>IFERROR(__xludf.DUMMYFUNCTION("""COMPUTED_VALUE"""),14.34)</f>
        <v>14.34</v>
      </c>
    </row>
    <row r="637" ht="15.0" customHeight="1">
      <c r="A637" s="328">
        <f>IFERROR(__xludf.DUMMYFUNCTION("""COMPUTED_VALUE"""),46155.0)</f>
        <v>46155</v>
      </c>
      <c r="B637" s="319" t="str">
        <f>IFERROR(__xludf.DUMMYFUNCTION("""COMPUTED_VALUE"""),"F. 100+")</f>
        <v>F. 100+</v>
      </c>
      <c r="C637" s="320">
        <f>IFERROR(__xludf.DUMMYFUNCTION("""COMPUTED_VALUE"""),308.0)</f>
        <v>308</v>
      </c>
      <c r="D637" s="320">
        <f>IFERROR(__xludf.DUMMYFUNCTION("""COMPUTED_VALUE"""),0.42)</f>
        <v>0.42</v>
      </c>
      <c r="E637" s="320">
        <f>IFERROR(__xludf.DUMMYFUNCTION("""COMPUTED_VALUE"""),2865.21)</f>
        <v>2865.21</v>
      </c>
      <c r="F637" s="320">
        <f>IFERROR(__xludf.DUMMYFUNCTION("""COMPUTED_VALUE"""),9.3026)</f>
        <v>9.3026</v>
      </c>
      <c r="G637" s="320">
        <f>IFERROR(__xludf.DUMMYFUNCTION("""COMPUTED_VALUE"""),46.75)</f>
        <v>46.75</v>
      </c>
      <c r="H637" s="320">
        <f>IFERROR(__xludf.DUMMYFUNCTION("""COMPUTED_VALUE"""),19.8973)</f>
        <v>19.8973</v>
      </c>
      <c r="I637" s="320">
        <f>IFERROR(__xludf.DUMMYFUNCTION("""COMPUTED_VALUE"""),218.31)</f>
        <v>218.31</v>
      </c>
      <c r="J637" s="320">
        <f>IFERROR(__xludf.DUMMYFUNCTION("""COMPUTED_VALUE"""),143.98)</f>
        <v>143.98</v>
      </c>
      <c r="K637" s="320">
        <f>IFERROR(__xludf.DUMMYFUNCTION("""COMPUTED_VALUE"""),116.77)</f>
        <v>116.77</v>
      </c>
      <c r="L637" s="320">
        <f>IFERROR(__xludf.DUMMYFUNCTION("""COMPUTED_VALUE"""),0.811)</f>
        <v>0.811</v>
      </c>
      <c r="M637" s="320">
        <f>IFERROR(__xludf.DUMMYFUNCTION("""COMPUTED_VALUE"""),0.2719)</f>
        <v>0.2719</v>
      </c>
      <c r="N637" s="320">
        <f>IFERROR(__xludf.DUMMYFUNCTION("""COMPUTED_VALUE"""),0.1606)</f>
        <v>0.1606</v>
      </c>
      <c r="O637" s="320">
        <f>IFERROR(__xludf.DUMMYFUNCTION("""COMPUTED_VALUE"""),1.2331)</f>
        <v>1.2331</v>
      </c>
      <c r="P637" s="320">
        <f>IFERROR(__xludf.DUMMYFUNCTION("""COMPUTED_VALUE"""),1045.1)</f>
        <v>1045.1</v>
      </c>
      <c r="Q637" s="320">
        <f>IFERROR(__xludf.DUMMYFUNCTION("""COMPUTED_VALUE"""),843.75)</f>
        <v>843.75</v>
      </c>
      <c r="R637" s="320">
        <f>IFERROR(__xludf.DUMMYFUNCTION("""COMPUTED_VALUE"""),201.35)</f>
        <v>201.35</v>
      </c>
      <c r="S637" s="320">
        <f>IFERROR(__xludf.DUMMYFUNCTION("""COMPUTED_VALUE"""),580.03)</f>
        <v>580.03</v>
      </c>
      <c r="T637" s="320">
        <f>IFERROR(__xludf.DUMMYFUNCTION("""COMPUTED_VALUE"""),465.06)</f>
        <v>465.06</v>
      </c>
      <c r="U637" s="320">
        <f>IFERROR(__xludf.DUMMYFUNCTION("""COMPUTED_VALUE"""),1139.77)</f>
        <v>1139.77</v>
      </c>
      <c r="V637" s="320">
        <f>IFERROR(__xludf.DUMMYFUNCTION("""COMPUTED_VALUE"""),7.916)</f>
        <v>7.916</v>
      </c>
      <c r="W637" s="320">
        <f>IFERROR(__xludf.DUMMYFUNCTION("""COMPUTED_VALUE"""),55.5)</f>
        <v>55.5</v>
      </c>
      <c r="X637" s="320">
        <f>IFERROR(__xludf.DUMMYFUNCTION("""COMPUTED_VALUE"""),140.0)</f>
        <v>140</v>
      </c>
      <c r="Y637" s="320">
        <f>IFERROR(__xludf.DUMMYFUNCTION("""COMPUTED_VALUE"""),661.0)</f>
        <v>661</v>
      </c>
      <c r="Z637" s="320">
        <f>IFERROR(__xludf.DUMMYFUNCTION("""COMPUTED_VALUE"""),2667.0)</f>
        <v>2667</v>
      </c>
      <c r="AA637" s="320">
        <f>IFERROR(__xludf.DUMMYFUNCTION("""COMPUTED_VALUE"""),61.1975)</f>
        <v>61.1975</v>
      </c>
      <c r="AB637" s="320">
        <f>IFERROR(__xludf.DUMMYFUNCTION("""COMPUTED_VALUE"""),0.8544)</f>
        <v>0.8544</v>
      </c>
      <c r="AC637" s="320">
        <f>IFERROR(__xludf.DUMMYFUNCTION("""COMPUTED_VALUE"""),81.33)</f>
        <v>81.33</v>
      </c>
      <c r="AD637" s="320">
        <f>IFERROR(__xludf.DUMMYFUNCTION("""COMPUTED_VALUE"""),33.0)</f>
        <v>33</v>
      </c>
      <c r="AE637" s="320">
        <f>IFERROR(__xludf.DUMMYFUNCTION("""COMPUTED_VALUE"""),70.0)</f>
        <v>70</v>
      </c>
      <c r="AF637" s="320">
        <f>IFERROR(__xludf.DUMMYFUNCTION("""COMPUTED_VALUE"""),115.0)</f>
        <v>115</v>
      </c>
      <c r="AG637" s="320">
        <f>IFERROR(__xludf.DUMMYFUNCTION("""COMPUTED_VALUE"""),158.0)</f>
        <v>158</v>
      </c>
      <c r="AH637" s="320">
        <f>IFERROR(__xludf.DUMMYFUNCTION("""COMPUTED_VALUE"""),44.81)</f>
        <v>44.81</v>
      </c>
      <c r="AI637" s="320">
        <f>IFERROR(__xludf.DUMMYFUNCTION("""COMPUTED_VALUE"""),6.82)</f>
        <v>6.82</v>
      </c>
      <c r="AJ637" s="320">
        <f>IFERROR(__xludf.DUMMYFUNCTION("""COMPUTED_VALUE"""),0.65)</f>
        <v>0.65</v>
      </c>
      <c r="AK637" s="320">
        <f>IFERROR(__xludf.DUMMYFUNCTION("""COMPUTED_VALUE"""),0.1201)</f>
        <v>0.1201</v>
      </c>
      <c r="AL637" s="320">
        <f>IFERROR(__xludf.DUMMYFUNCTION("""COMPUTED_VALUE"""),20.02)</f>
        <v>20.02</v>
      </c>
      <c r="AM637" s="320">
        <f>IFERROR(__xludf.DUMMYFUNCTION("""COMPUTED_VALUE"""),823.73)</f>
        <v>823.73</v>
      </c>
      <c r="AN637" s="320">
        <f>IFERROR(__xludf.DUMMYFUNCTION("""COMPUTED_VALUE"""),74.72)</f>
        <v>74.72</v>
      </c>
      <c r="AO637" s="320">
        <f>IFERROR(__xludf.DUMMYFUNCTION("""COMPUTED_VALUE"""),14.96)</f>
        <v>14.96</v>
      </c>
    </row>
    <row r="638" ht="15.0" customHeight="1">
      <c r="A638" s="328">
        <f>IFERROR(__xludf.DUMMYFUNCTION("""COMPUTED_VALUE"""),46156.0)</f>
        <v>46156</v>
      </c>
      <c r="B638" s="319" t="str">
        <f>IFERROR(__xludf.DUMMYFUNCTION("""COMPUTED_VALUE"""),"A. 0")</f>
        <v>A. 0</v>
      </c>
      <c r="C638" s="320">
        <f>IFERROR(__xludf.DUMMYFUNCTION("""COMPUTED_VALUE"""),16884.0)</f>
        <v>16884</v>
      </c>
      <c r="D638" s="320">
        <f>IFERROR(__xludf.DUMMYFUNCTION("""COMPUTED_VALUE"""),23.4)</f>
        <v>23.4</v>
      </c>
      <c r="E638" s="320">
        <f>IFERROR(__xludf.DUMMYFUNCTION("""COMPUTED_VALUE"""),170.03)</f>
        <v>170.03</v>
      </c>
      <c r="F638" s="320">
        <f>IFERROR(__xludf.DUMMYFUNCTION("""COMPUTED_VALUE"""),0.0101)</f>
        <v>0.0101</v>
      </c>
      <c r="G638" s="320">
        <f>IFERROR(__xludf.DUMMYFUNCTION("""COMPUTED_VALUE"""),0.14)</f>
        <v>0.14</v>
      </c>
      <c r="H638" s="320">
        <f>IFERROR(__xludf.DUMMYFUNCTION("""COMPUTED_VALUE"""),7.0846)</f>
        <v>7.0846</v>
      </c>
      <c r="I638" s="320">
        <f>IFERROR(__xludf.DUMMYFUNCTION("""COMPUTED_VALUE"""),6.66)</f>
        <v>6.66</v>
      </c>
      <c r="J638" s="320">
        <f>IFERROR(__xludf.DUMMYFUNCTION("""COMPUTED_VALUE"""),3.05)</f>
        <v>3.05</v>
      </c>
      <c r="K638" s="320">
        <f>IFERROR(__xludf.DUMMYFUNCTION("""COMPUTED_VALUE"""),0.06)</f>
        <v>0.06</v>
      </c>
      <c r="L638" s="320">
        <f>IFERROR(__xludf.DUMMYFUNCTION("""COMPUTED_VALUE"""),0.0196)</f>
        <v>0.0196</v>
      </c>
      <c r="M638" s="320">
        <f>IFERROR(__xludf.DUMMYFUNCTION("""COMPUTED_VALUE"""),0.9816)</f>
        <v>0.9816</v>
      </c>
      <c r="N638" s="320">
        <f>IFERROR(__xludf.DUMMYFUNCTION("""COMPUTED_VALUE"""),0.751)</f>
        <v>0.751</v>
      </c>
      <c r="O638" s="320">
        <f>IFERROR(__xludf.DUMMYFUNCTION("""COMPUTED_VALUE"""),51.0951)</f>
        <v>51.0951</v>
      </c>
      <c r="P638" s="320">
        <f>IFERROR(__xludf.DUMMYFUNCTION("""COMPUTED_VALUE"""),22.01)</f>
        <v>22.01</v>
      </c>
      <c r="Q638" s="320">
        <f>IFERROR(__xludf.DUMMYFUNCTION("""COMPUTED_VALUE"""),21.97)</f>
        <v>21.97</v>
      </c>
      <c r="R638" s="320">
        <f>IFERROR(__xludf.DUMMYFUNCTION("""COMPUTED_VALUE"""),0.04)</f>
        <v>0.04</v>
      </c>
      <c r="S638" s="320">
        <f>IFERROR(__xludf.DUMMYFUNCTION("""COMPUTED_VALUE"""),0.82)</f>
        <v>0.82</v>
      </c>
      <c r="T638" s="320">
        <f>IFERROR(__xludf.DUMMYFUNCTION("""COMPUTED_VALUE"""),21.19)</f>
        <v>21.19</v>
      </c>
      <c r="U638" s="320">
        <f>IFERROR(__xludf.DUMMYFUNCTION("""COMPUTED_VALUE"""),2.18)</f>
        <v>2.18</v>
      </c>
      <c r="V638" s="320">
        <f>IFERROR(__xludf.DUMMYFUNCTION("""COMPUTED_VALUE"""),0.7148)</f>
        <v>0.7148</v>
      </c>
      <c r="W638" s="320">
        <f>IFERROR(__xludf.DUMMYFUNCTION("""COMPUTED_VALUE"""),3.74)</f>
        <v>3.74</v>
      </c>
      <c r="X638" s="320">
        <f>IFERROR(__xludf.DUMMYFUNCTION("""COMPUTED_VALUE"""),135.0)</f>
        <v>135</v>
      </c>
      <c r="Y638" s="320">
        <f>IFERROR(__xludf.DUMMYFUNCTION("""COMPUTED_VALUE"""),1006.0)</f>
        <v>1006</v>
      </c>
      <c r="Z638" s="320">
        <f>IFERROR(__xludf.DUMMYFUNCTION("""COMPUTED_VALUE"""),7130.0)</f>
        <v>7130</v>
      </c>
      <c r="AA638" s="320">
        <f>IFERROR(__xludf.DUMMYFUNCTION("""COMPUTED_VALUE"""),49.5846)</f>
        <v>49.5846</v>
      </c>
      <c r="AB638" s="320">
        <f>IFERROR(__xludf.DUMMYFUNCTION("""COMPUTED_VALUE"""),0.5018)</f>
        <v>0.5018</v>
      </c>
      <c r="AC638" s="106"/>
      <c r="AD638" s="106"/>
      <c r="AE638" s="106"/>
      <c r="AF638" s="106"/>
      <c r="AG638" s="106"/>
      <c r="AH638" s="320">
        <f>IFERROR(__xludf.DUMMYFUNCTION("""COMPUTED_VALUE"""),0.0)</f>
        <v>0</v>
      </c>
      <c r="AI638" s="320">
        <f>IFERROR(__xludf.DUMMYFUNCTION("""COMPUTED_VALUE"""),0.0)</f>
        <v>0</v>
      </c>
      <c r="AJ638" s="320">
        <f>IFERROR(__xludf.DUMMYFUNCTION("""COMPUTED_VALUE"""),0.0)</f>
        <v>0</v>
      </c>
      <c r="AK638" s="320">
        <f>IFERROR(__xludf.DUMMYFUNCTION("""COMPUTED_VALUE"""),0.2753)</f>
        <v>0.2753</v>
      </c>
      <c r="AL638" s="320">
        <f>IFERROR(__xludf.DUMMYFUNCTION("""COMPUTED_VALUE"""),15.51)</f>
        <v>15.51</v>
      </c>
      <c r="AM638" s="320">
        <f>IFERROR(__xludf.DUMMYFUNCTION("""COMPUTED_VALUE"""),6.46)</f>
        <v>6.46</v>
      </c>
      <c r="AN638" s="331"/>
      <c r="AO638" s="331"/>
    </row>
    <row r="639" ht="15.0" customHeight="1">
      <c r="A639" s="328">
        <f>IFERROR(__xludf.DUMMYFUNCTION("""COMPUTED_VALUE"""),46156.0)</f>
        <v>46156</v>
      </c>
      <c r="B639" s="319" t="str">
        <f>IFERROR(__xludf.DUMMYFUNCTION("""COMPUTED_VALUE"""),"B. 1-9")</f>
        <v>B. 1-9</v>
      </c>
      <c r="C639" s="320">
        <f>IFERROR(__xludf.DUMMYFUNCTION("""COMPUTED_VALUE"""),30289.0)</f>
        <v>30289</v>
      </c>
      <c r="D639" s="320">
        <f>IFERROR(__xludf.DUMMYFUNCTION("""COMPUTED_VALUE"""),41.97)</f>
        <v>41.97</v>
      </c>
      <c r="E639" s="320">
        <f>IFERROR(__xludf.DUMMYFUNCTION("""COMPUTED_VALUE"""),6915.03)</f>
        <v>6915.03</v>
      </c>
      <c r="F639" s="320">
        <f>IFERROR(__xludf.DUMMYFUNCTION("""COMPUTED_VALUE"""),0.2283)</f>
        <v>0.2283</v>
      </c>
      <c r="G639" s="320">
        <f>IFERROR(__xludf.DUMMYFUNCTION("""COMPUTED_VALUE"""),6.67)</f>
        <v>6.67</v>
      </c>
      <c r="H639" s="320">
        <f>IFERROR(__xludf.DUMMYFUNCTION("""COMPUTED_VALUE"""),3.425)</f>
        <v>3.425</v>
      </c>
      <c r="I639" s="320">
        <f>IFERROR(__xludf.DUMMYFUNCTION("""COMPUTED_VALUE"""),30.02)</f>
        <v>30.02</v>
      </c>
      <c r="J639" s="320">
        <f>IFERROR(__xludf.DUMMYFUNCTION("""COMPUTED_VALUE"""),15.93)</f>
        <v>15.93</v>
      </c>
      <c r="K639" s="320">
        <f>IFERROR(__xludf.DUMMYFUNCTION("""COMPUTED_VALUE"""),4.94)</f>
        <v>4.94</v>
      </c>
      <c r="L639" s="320">
        <f>IFERROR(__xludf.DUMMYFUNCTION("""COMPUTED_VALUE"""),0.3102)</f>
        <v>0.3102</v>
      </c>
      <c r="M639" s="320">
        <f>IFERROR(__xludf.DUMMYFUNCTION("""COMPUTED_VALUE"""),0.7602)</f>
        <v>0.7602</v>
      </c>
      <c r="N639" s="320">
        <f>IFERROR(__xludf.DUMMYFUNCTION("""COMPUTED_VALUE"""),0.5153)</f>
        <v>0.5153</v>
      </c>
      <c r="O639" s="320">
        <f>IFERROR(__xludf.DUMMYFUNCTION("""COMPUTED_VALUE"""),3.2235)</f>
        <v>3.2235</v>
      </c>
      <c r="P639" s="320">
        <f>IFERROR(__xludf.DUMMYFUNCTION("""COMPUTED_VALUE"""),61.41)</f>
        <v>61.41</v>
      </c>
      <c r="Q639" s="320">
        <f>IFERROR(__xludf.DUMMYFUNCTION("""COMPUTED_VALUE"""),52.87)</f>
        <v>52.87</v>
      </c>
      <c r="R639" s="320">
        <f>IFERROR(__xludf.DUMMYFUNCTION("""COMPUTED_VALUE"""),8.54)</f>
        <v>8.54</v>
      </c>
      <c r="S639" s="320">
        <f>IFERROR(__xludf.DUMMYFUNCTION("""COMPUTED_VALUE"""),15.84)</f>
        <v>15.84</v>
      </c>
      <c r="T639" s="320">
        <f>IFERROR(__xludf.DUMMYFUNCTION("""COMPUTED_VALUE"""),45.57)</f>
        <v>45.57</v>
      </c>
      <c r="U639" s="320">
        <f>IFERROR(__xludf.DUMMYFUNCTION("""COMPUTED_VALUE"""),67.7)</f>
        <v>67.7</v>
      </c>
      <c r="V639" s="320">
        <f>IFERROR(__xludf.DUMMYFUNCTION("""COMPUTED_VALUE"""),4.2493)</f>
        <v>4.2493</v>
      </c>
      <c r="W639" s="320">
        <f>IFERROR(__xludf.DUMMYFUNCTION("""COMPUTED_VALUE"""),25.79)</f>
        <v>25.79</v>
      </c>
      <c r="X639" s="320">
        <f>IFERROR(__xludf.DUMMYFUNCTION("""COMPUTED_VALUE"""),84.0)</f>
        <v>84</v>
      </c>
      <c r="Y639" s="320">
        <f>IFERROR(__xludf.DUMMYFUNCTION("""COMPUTED_VALUE"""),202.0)</f>
        <v>202</v>
      </c>
      <c r="Z639" s="320">
        <f>IFERROR(__xludf.DUMMYFUNCTION("""COMPUTED_VALUE"""),849.0)</f>
        <v>849</v>
      </c>
      <c r="AA639" s="320">
        <f>IFERROR(__xludf.DUMMYFUNCTION("""COMPUTED_VALUE"""),49.6134)</f>
        <v>49.6134</v>
      </c>
      <c r="AB639" s="320">
        <f>IFERROR(__xludf.DUMMYFUNCTION("""COMPUTED_VALUE"""),0.4399)</f>
        <v>0.4399</v>
      </c>
      <c r="AC639" s="320">
        <f>IFERROR(__xludf.DUMMYFUNCTION("""COMPUTED_VALUE"""),3.37)</f>
        <v>3.37</v>
      </c>
      <c r="AD639" s="320">
        <f>IFERROR(__xludf.DUMMYFUNCTION("""COMPUTED_VALUE"""),1.0)</f>
        <v>1</v>
      </c>
      <c r="AE639" s="320">
        <f>IFERROR(__xludf.DUMMYFUNCTION("""COMPUTED_VALUE"""),2.0)</f>
        <v>2</v>
      </c>
      <c r="AF639" s="320">
        <f>IFERROR(__xludf.DUMMYFUNCTION("""COMPUTED_VALUE"""),4.0)</f>
        <v>4</v>
      </c>
      <c r="AG639" s="320">
        <f>IFERROR(__xludf.DUMMYFUNCTION("""COMPUTED_VALUE"""),8.0)</f>
        <v>8</v>
      </c>
      <c r="AH639" s="320">
        <f>IFERROR(__xludf.DUMMYFUNCTION("""COMPUTED_VALUE"""),63.42)</f>
        <v>63.42</v>
      </c>
      <c r="AI639" s="320">
        <f>IFERROR(__xludf.DUMMYFUNCTION("""COMPUTED_VALUE"""),22.97)</f>
        <v>22.97</v>
      </c>
      <c r="AJ639" s="320">
        <f>IFERROR(__xludf.DUMMYFUNCTION("""COMPUTED_VALUE"""),6.3)</f>
        <v>6.3</v>
      </c>
      <c r="AK639" s="320">
        <f>IFERROR(__xludf.DUMMYFUNCTION("""COMPUTED_VALUE"""),0.2259)</f>
        <v>0.2259</v>
      </c>
      <c r="AL639" s="320">
        <f>IFERROR(__xludf.DUMMYFUNCTION("""COMPUTED_VALUE"""),20.04)</f>
        <v>20.04</v>
      </c>
      <c r="AM639" s="320">
        <f>IFERROR(__xludf.DUMMYFUNCTION("""COMPUTED_VALUE"""),32.83)</f>
        <v>32.83</v>
      </c>
      <c r="AN639" s="320">
        <f>IFERROR(__xludf.DUMMYFUNCTION("""COMPUTED_VALUE"""),68.15)</f>
        <v>68.15</v>
      </c>
      <c r="AO639" s="320">
        <f>IFERROR(__xludf.DUMMYFUNCTION("""COMPUTED_VALUE"""),13.66)</f>
        <v>13.66</v>
      </c>
    </row>
    <row r="640" ht="15.0" customHeight="1">
      <c r="A640" s="328">
        <f>IFERROR(__xludf.DUMMYFUNCTION("""COMPUTED_VALUE"""),46156.0)</f>
        <v>46156</v>
      </c>
      <c r="B640" s="319" t="str">
        <f>IFERROR(__xludf.DUMMYFUNCTION("""COMPUTED_VALUE"""),"C. 10-19")</f>
        <v>C. 10-19</v>
      </c>
      <c r="C640" s="320">
        <f>IFERROR(__xludf.DUMMYFUNCTION("""COMPUTED_VALUE"""),14258.0)</f>
        <v>14258</v>
      </c>
      <c r="D640" s="320">
        <f>IFERROR(__xludf.DUMMYFUNCTION("""COMPUTED_VALUE"""),19.76)</f>
        <v>19.76</v>
      </c>
      <c r="E640" s="320">
        <f>IFERROR(__xludf.DUMMYFUNCTION("""COMPUTED_VALUE"""),15494.67)</f>
        <v>15494.67</v>
      </c>
      <c r="F640" s="320">
        <f>IFERROR(__xludf.DUMMYFUNCTION("""COMPUTED_VALUE"""),1.0867)</f>
        <v>1.0867</v>
      </c>
      <c r="G640" s="320">
        <f>IFERROR(__xludf.DUMMYFUNCTION("""COMPUTED_VALUE"""),20.96)</f>
        <v>20.96</v>
      </c>
      <c r="H640" s="320">
        <f>IFERROR(__xludf.DUMMYFUNCTION("""COMPUTED_VALUE"""),5.1856)</f>
        <v>5.1856</v>
      </c>
      <c r="I640" s="320">
        <f>IFERROR(__xludf.DUMMYFUNCTION("""COMPUTED_VALUE"""),54.83)</f>
        <v>54.83</v>
      </c>
      <c r="J640" s="320">
        <f>IFERROR(__xludf.DUMMYFUNCTION("""COMPUTED_VALUE"""),31.18)</f>
        <v>31.18</v>
      </c>
      <c r="K640" s="320">
        <f>IFERROR(__xludf.DUMMYFUNCTION("""COMPUTED_VALUE"""),13.34)</f>
        <v>13.34</v>
      </c>
      <c r="L640" s="320">
        <f>IFERROR(__xludf.DUMMYFUNCTION("""COMPUTED_VALUE"""),0.4279)</f>
        <v>0.4279</v>
      </c>
      <c r="M640" s="320">
        <f>IFERROR(__xludf.DUMMYFUNCTION("""COMPUTED_VALUE"""),0.6359)</f>
        <v>0.6359</v>
      </c>
      <c r="N640" s="320">
        <f>IFERROR(__xludf.DUMMYFUNCTION("""COMPUTED_VALUE"""),0.3556)</f>
        <v>0.3556</v>
      </c>
      <c r="O640" s="320">
        <f>IFERROR(__xludf.DUMMYFUNCTION("""COMPUTED_VALUE"""),2.3372)</f>
        <v>2.3372</v>
      </c>
      <c r="P640" s="320">
        <f>IFERROR(__xludf.DUMMYFUNCTION("""COMPUTED_VALUE"""),165.23)</f>
        <v>165.23</v>
      </c>
      <c r="Q640" s="320">
        <f>IFERROR(__xludf.DUMMYFUNCTION("""COMPUTED_VALUE"""),143.01)</f>
        <v>143.01</v>
      </c>
      <c r="R640" s="320">
        <f>IFERROR(__xludf.DUMMYFUNCTION("""COMPUTED_VALUE"""),22.22)</f>
        <v>22.22</v>
      </c>
      <c r="S640" s="320">
        <f>IFERROR(__xludf.DUMMYFUNCTION("""COMPUTED_VALUE"""),71.7)</f>
        <v>71.7</v>
      </c>
      <c r="T640" s="320">
        <f>IFERROR(__xludf.DUMMYFUNCTION("""COMPUTED_VALUE"""),93.53)</f>
        <v>93.53</v>
      </c>
      <c r="U640" s="320">
        <f>IFERROR(__xludf.DUMMYFUNCTION("""COMPUTED_VALUE"""),167.14)</f>
        <v>167.14</v>
      </c>
      <c r="V640" s="320">
        <f>IFERROR(__xludf.DUMMYFUNCTION("""COMPUTED_VALUE"""),5.3605)</f>
        <v>5.3605</v>
      </c>
      <c r="W640" s="320">
        <f>IFERROR(__xludf.DUMMYFUNCTION("""COMPUTED_VALUE"""),43.39)</f>
        <v>43.39</v>
      </c>
      <c r="X640" s="320">
        <f>IFERROR(__xludf.DUMMYFUNCTION("""COMPUTED_VALUE"""),84.0)</f>
        <v>84</v>
      </c>
      <c r="Y640" s="320">
        <f>IFERROR(__xludf.DUMMYFUNCTION("""COMPUTED_VALUE"""),196.0)</f>
        <v>196</v>
      </c>
      <c r="Z640" s="320">
        <f>IFERROR(__xludf.DUMMYFUNCTION("""COMPUTED_VALUE"""),646.0)</f>
        <v>646</v>
      </c>
      <c r="AA640" s="320">
        <f>IFERROR(__xludf.DUMMYFUNCTION("""COMPUTED_VALUE"""),52.4465)</f>
        <v>52.4465</v>
      </c>
      <c r="AB640" s="320">
        <f>IFERROR(__xludf.DUMMYFUNCTION("""COMPUTED_VALUE"""),0.5416)</f>
        <v>0.5416</v>
      </c>
      <c r="AC640" s="320">
        <f>IFERROR(__xludf.DUMMYFUNCTION("""COMPUTED_VALUE"""),8.5)</f>
        <v>8.5</v>
      </c>
      <c r="AD640" s="320">
        <f>IFERROR(__xludf.DUMMYFUNCTION("""COMPUTED_VALUE"""),2.0)</f>
        <v>2</v>
      </c>
      <c r="AE640" s="320">
        <f>IFERROR(__xludf.DUMMYFUNCTION("""COMPUTED_VALUE"""),6.0)</f>
        <v>6</v>
      </c>
      <c r="AF640" s="320">
        <f>IFERROR(__xludf.DUMMYFUNCTION("""COMPUTED_VALUE"""),12.0)</f>
        <v>12</v>
      </c>
      <c r="AG640" s="320">
        <f>IFERROR(__xludf.DUMMYFUNCTION("""COMPUTED_VALUE"""),19.0)</f>
        <v>19</v>
      </c>
      <c r="AH640" s="320">
        <f>IFERROR(__xludf.DUMMYFUNCTION("""COMPUTED_VALUE"""),50.98)</f>
        <v>50.98</v>
      </c>
      <c r="AI640" s="320">
        <f>IFERROR(__xludf.DUMMYFUNCTION("""COMPUTED_VALUE"""),23.58)</f>
        <v>23.58</v>
      </c>
      <c r="AJ640" s="320">
        <f>IFERROR(__xludf.DUMMYFUNCTION("""COMPUTED_VALUE"""),4.57)</f>
        <v>4.57</v>
      </c>
      <c r="AK640" s="320">
        <f>IFERROR(__xludf.DUMMYFUNCTION("""COMPUTED_VALUE"""),0.1932)</f>
        <v>0.1932</v>
      </c>
      <c r="AL640" s="320">
        <f>IFERROR(__xludf.DUMMYFUNCTION("""COMPUTED_VALUE"""),20.12)</f>
        <v>20.12</v>
      </c>
      <c r="AM640" s="320">
        <f>IFERROR(__xludf.DUMMYFUNCTION("""COMPUTED_VALUE"""),122.89)</f>
        <v>122.89</v>
      </c>
      <c r="AN640" s="320">
        <f>IFERROR(__xludf.DUMMYFUNCTION("""COMPUTED_VALUE"""),73.63)</f>
        <v>73.63</v>
      </c>
      <c r="AO640" s="320">
        <f>IFERROR(__xludf.DUMMYFUNCTION("""COMPUTED_VALUE"""),14.81)</f>
        <v>14.81</v>
      </c>
    </row>
    <row r="641" ht="15.0" customHeight="1">
      <c r="A641" s="328">
        <f>IFERROR(__xludf.DUMMYFUNCTION("""COMPUTED_VALUE"""),46156.0)</f>
        <v>46156</v>
      </c>
      <c r="B641" s="319" t="str">
        <f>IFERROR(__xludf.DUMMYFUNCTION("""COMPUTED_VALUE"""),"D. 20-39")</f>
        <v>D. 20-39</v>
      </c>
      <c r="C641" s="320">
        <f>IFERROR(__xludf.DUMMYFUNCTION("""COMPUTED_VALUE"""),7546.0)</f>
        <v>7546</v>
      </c>
      <c r="D641" s="320">
        <f>IFERROR(__xludf.DUMMYFUNCTION("""COMPUTED_VALUE"""),10.46)</f>
        <v>10.46</v>
      </c>
      <c r="E641" s="320">
        <f>IFERROR(__xludf.DUMMYFUNCTION("""COMPUTED_VALUE"""),18458.88)</f>
        <v>18458.88</v>
      </c>
      <c r="F641" s="320">
        <f>IFERROR(__xludf.DUMMYFUNCTION("""COMPUTED_VALUE"""),2.4462)</f>
        <v>2.4462</v>
      </c>
      <c r="G641" s="320">
        <f>IFERROR(__xludf.DUMMYFUNCTION("""COMPUTED_VALUE"""),30.74)</f>
        <v>30.74</v>
      </c>
      <c r="H641" s="320">
        <f>IFERROR(__xludf.DUMMYFUNCTION("""COMPUTED_VALUE"""),7.9564)</f>
        <v>7.9564</v>
      </c>
      <c r="I641" s="320">
        <f>IFERROR(__xludf.DUMMYFUNCTION("""COMPUTED_VALUE"""),76.87)</f>
        <v>76.87</v>
      </c>
      <c r="J641" s="320">
        <f>IFERROR(__xludf.DUMMYFUNCTION("""COMPUTED_VALUE"""),45.47)</f>
        <v>45.47</v>
      </c>
      <c r="K641" s="320">
        <f>IFERROR(__xludf.DUMMYFUNCTION("""COMPUTED_VALUE"""),24.59)</f>
        <v>24.59</v>
      </c>
      <c r="L641" s="320">
        <f>IFERROR(__xludf.DUMMYFUNCTION("""COMPUTED_VALUE"""),0.5408)</f>
        <v>0.5408</v>
      </c>
      <c r="M641" s="320">
        <f>IFERROR(__xludf.DUMMYFUNCTION("""COMPUTED_VALUE"""),0.531)</f>
        <v>0.531</v>
      </c>
      <c r="N641" s="320">
        <f>IFERROR(__xludf.DUMMYFUNCTION("""COMPUTED_VALUE"""),0.2844)</f>
        <v>0.2844</v>
      </c>
      <c r="O641" s="320">
        <f>IFERROR(__xludf.DUMMYFUNCTION("""COMPUTED_VALUE"""),1.849)</f>
        <v>1.849</v>
      </c>
      <c r="P641" s="320">
        <f>IFERROR(__xludf.DUMMYFUNCTION("""COMPUTED_VALUE"""),314.16)</f>
        <v>314.16</v>
      </c>
      <c r="Q641" s="320">
        <f>IFERROR(__xludf.DUMMYFUNCTION("""COMPUTED_VALUE"""),271.73)</f>
        <v>271.73</v>
      </c>
      <c r="R641" s="320">
        <f>IFERROR(__xludf.DUMMYFUNCTION("""COMPUTED_VALUE"""),42.44)</f>
        <v>42.44</v>
      </c>
      <c r="S641" s="320">
        <f>IFERROR(__xludf.DUMMYFUNCTION("""COMPUTED_VALUE"""),153.41)</f>
        <v>153.41</v>
      </c>
      <c r="T641" s="320">
        <f>IFERROR(__xludf.DUMMYFUNCTION("""COMPUTED_VALUE"""),160.75)</f>
        <v>160.75</v>
      </c>
      <c r="U641" s="320">
        <f>IFERROR(__xludf.DUMMYFUNCTION("""COMPUTED_VALUE"""),315.87)</f>
        <v>315.87</v>
      </c>
      <c r="V641" s="320">
        <f>IFERROR(__xludf.DUMMYFUNCTION("""COMPUTED_VALUE"""),6.9464)</f>
        <v>6.9464</v>
      </c>
      <c r="W641" s="320">
        <f>IFERROR(__xludf.DUMMYFUNCTION("""COMPUTED_VALUE"""),48.83)</f>
        <v>48.83</v>
      </c>
      <c r="X641" s="320">
        <f>IFERROR(__xludf.DUMMYFUNCTION("""COMPUTED_VALUE"""),87.0)</f>
        <v>87</v>
      </c>
      <c r="Y641" s="320">
        <f>IFERROR(__xludf.DUMMYFUNCTION("""COMPUTED_VALUE"""),232.0)</f>
        <v>232</v>
      </c>
      <c r="Z641" s="320">
        <f>IFERROR(__xludf.DUMMYFUNCTION("""COMPUTED_VALUE"""),682.0)</f>
        <v>682</v>
      </c>
      <c r="AA641" s="320">
        <f>IFERROR(__xludf.DUMMYFUNCTION("""COMPUTED_VALUE"""),54.5463)</f>
        <v>54.5463</v>
      </c>
      <c r="AB641" s="320">
        <f>IFERROR(__xludf.DUMMYFUNCTION("""COMPUTED_VALUE"""),0.6614)</f>
        <v>0.6614</v>
      </c>
      <c r="AC641" s="320">
        <f>IFERROR(__xludf.DUMMYFUNCTION("""COMPUTED_VALUE"""),16.72)</f>
        <v>16.72</v>
      </c>
      <c r="AD641" s="320">
        <f>IFERROR(__xludf.DUMMYFUNCTION("""COMPUTED_VALUE"""),5.0)</f>
        <v>5</v>
      </c>
      <c r="AE641" s="320">
        <f>IFERROR(__xludf.DUMMYFUNCTION("""COMPUTED_VALUE"""),12.0)</f>
        <v>12</v>
      </c>
      <c r="AF641" s="320">
        <f>IFERROR(__xludf.DUMMYFUNCTION("""COMPUTED_VALUE"""),24.0)</f>
        <v>24</v>
      </c>
      <c r="AG641" s="320">
        <f>IFERROR(__xludf.DUMMYFUNCTION("""COMPUTED_VALUE"""),37.0)</f>
        <v>37</v>
      </c>
      <c r="AH641" s="320">
        <f>IFERROR(__xludf.DUMMYFUNCTION("""COMPUTED_VALUE"""),54.21)</f>
        <v>54.21</v>
      </c>
      <c r="AI641" s="320">
        <f>IFERROR(__xludf.DUMMYFUNCTION("""COMPUTED_VALUE"""),22.55)</f>
        <v>22.55</v>
      </c>
      <c r="AJ641" s="320">
        <f>IFERROR(__xludf.DUMMYFUNCTION("""COMPUTED_VALUE"""),7.08)</f>
        <v>7.08</v>
      </c>
      <c r="AK641" s="320">
        <f>IFERROR(__xludf.DUMMYFUNCTION("""COMPUTED_VALUE"""),0.2102)</f>
        <v>0.2102</v>
      </c>
      <c r="AL641" s="320">
        <f>IFERROR(__xludf.DUMMYFUNCTION("""COMPUTED_VALUE"""),19.65)</f>
        <v>19.65</v>
      </c>
      <c r="AM641" s="320">
        <f>IFERROR(__xludf.DUMMYFUNCTION("""COMPUTED_VALUE"""),252.08)</f>
        <v>252.08</v>
      </c>
      <c r="AN641" s="320">
        <f>IFERROR(__xludf.DUMMYFUNCTION("""COMPUTED_VALUE"""),74.94)</f>
        <v>74.94</v>
      </c>
      <c r="AO641" s="320">
        <f>IFERROR(__xludf.DUMMYFUNCTION("""COMPUTED_VALUE"""),14.73)</f>
        <v>14.73</v>
      </c>
    </row>
    <row r="642" ht="15.0" customHeight="1">
      <c r="A642" s="328">
        <f>IFERROR(__xludf.DUMMYFUNCTION("""COMPUTED_VALUE"""),46156.0)</f>
        <v>46156</v>
      </c>
      <c r="B642" s="319" t="str">
        <f>IFERROR(__xludf.DUMMYFUNCTION("""COMPUTED_VALUE"""),"E. 40-99")</f>
        <v>E. 40-99</v>
      </c>
      <c r="C642" s="320">
        <f>IFERROR(__xludf.DUMMYFUNCTION("""COMPUTED_VALUE"""),2850.0)</f>
        <v>2850</v>
      </c>
      <c r="D642" s="320">
        <f>IFERROR(__xludf.DUMMYFUNCTION("""COMPUTED_VALUE"""),3.95)</f>
        <v>3.95</v>
      </c>
      <c r="E642" s="320">
        <f>IFERROR(__xludf.DUMMYFUNCTION("""COMPUTED_VALUE"""),16270.85)</f>
        <v>16270.85</v>
      </c>
      <c r="F642" s="320">
        <f>IFERROR(__xludf.DUMMYFUNCTION("""COMPUTED_VALUE"""),5.7091)</f>
        <v>5.7091</v>
      </c>
      <c r="G642" s="320">
        <f>IFERROR(__xludf.DUMMYFUNCTION("""COMPUTED_VALUE"""),42.11)</f>
        <v>42.11</v>
      </c>
      <c r="H642" s="320">
        <f>IFERROR(__xludf.DUMMYFUNCTION("""COMPUTED_VALUE"""),13.559)</f>
        <v>13.559</v>
      </c>
      <c r="I642" s="320">
        <f>IFERROR(__xludf.DUMMYFUNCTION("""COMPUTED_VALUE"""),122.79)</f>
        <v>122.79</v>
      </c>
      <c r="J642" s="320">
        <f>IFERROR(__xludf.DUMMYFUNCTION("""COMPUTED_VALUE"""),76.6)</f>
        <v>76.6</v>
      </c>
      <c r="K642" s="320">
        <f>IFERROR(__xludf.DUMMYFUNCTION("""COMPUTED_VALUE"""),52.07)</f>
        <v>52.07</v>
      </c>
      <c r="L642" s="320">
        <f>IFERROR(__xludf.DUMMYFUNCTION("""COMPUTED_VALUE"""),0.6798)</f>
        <v>0.6798</v>
      </c>
      <c r="M642" s="320">
        <f>IFERROR(__xludf.DUMMYFUNCTION("""COMPUTED_VALUE"""),0.403)</f>
        <v>0.403</v>
      </c>
      <c r="N642" s="320">
        <f>IFERROR(__xludf.DUMMYFUNCTION("""COMPUTED_VALUE"""),0.2234)</f>
        <v>0.2234</v>
      </c>
      <c r="O642" s="320">
        <f>IFERROR(__xludf.DUMMYFUNCTION("""COMPUTED_VALUE"""),1.4711)</f>
        <v>1.4711</v>
      </c>
      <c r="P642" s="320">
        <f>IFERROR(__xludf.DUMMYFUNCTION("""COMPUTED_VALUE"""),646.82)</f>
        <v>646.82</v>
      </c>
      <c r="Q642" s="320">
        <f>IFERROR(__xludf.DUMMYFUNCTION("""COMPUTED_VALUE"""),556.31)</f>
        <v>556.31</v>
      </c>
      <c r="R642" s="320">
        <f>IFERROR(__xludf.DUMMYFUNCTION("""COMPUTED_VALUE"""),90.51)</f>
        <v>90.51</v>
      </c>
      <c r="S642" s="320">
        <f>IFERROR(__xludf.DUMMYFUNCTION("""COMPUTED_VALUE"""),344.93)</f>
        <v>344.93</v>
      </c>
      <c r="T642" s="320">
        <f>IFERROR(__xludf.DUMMYFUNCTION("""COMPUTED_VALUE"""),301.89)</f>
        <v>301.89</v>
      </c>
      <c r="U642" s="320">
        <f>IFERROR(__xludf.DUMMYFUNCTION("""COMPUTED_VALUE"""),644.61)</f>
        <v>644.61</v>
      </c>
      <c r="V642" s="320">
        <f>IFERROR(__xludf.DUMMYFUNCTION("""COMPUTED_VALUE"""),8.4151)</f>
        <v>8.4151</v>
      </c>
      <c r="W642" s="320">
        <f>IFERROR(__xludf.DUMMYFUNCTION("""COMPUTED_VALUE"""),53.33)</f>
        <v>53.33</v>
      </c>
      <c r="X642" s="320">
        <f>IFERROR(__xludf.DUMMYFUNCTION("""COMPUTED_VALUE"""),95.0)</f>
        <v>95</v>
      </c>
      <c r="Y642" s="320">
        <f>IFERROR(__xludf.DUMMYFUNCTION("""COMPUTED_VALUE"""),320.0)</f>
        <v>320</v>
      </c>
      <c r="Z642" s="320">
        <f>IFERROR(__xludf.DUMMYFUNCTION("""COMPUTED_VALUE"""),936.0)</f>
        <v>936</v>
      </c>
      <c r="AA642" s="320">
        <f>IFERROR(__xludf.DUMMYFUNCTION("""COMPUTED_VALUE"""),57.5914)</f>
        <v>57.5914</v>
      </c>
      <c r="AB642" s="320">
        <f>IFERROR(__xludf.DUMMYFUNCTION("""COMPUTED_VALUE"""),0.7522)</f>
        <v>0.7522</v>
      </c>
      <c r="AC642" s="320">
        <f>IFERROR(__xludf.DUMMYFUNCTION("""COMPUTED_VALUE"""),35.57)</f>
        <v>35.57</v>
      </c>
      <c r="AD642" s="320">
        <f>IFERROR(__xludf.DUMMYFUNCTION("""COMPUTED_VALUE"""),12.0)</f>
        <v>12</v>
      </c>
      <c r="AE642" s="320">
        <f>IFERROR(__xludf.DUMMYFUNCTION("""COMPUTED_VALUE"""),27.0)</f>
        <v>27</v>
      </c>
      <c r="AF642" s="320">
        <f>IFERROR(__xludf.DUMMYFUNCTION("""COMPUTED_VALUE"""),50.0)</f>
        <v>50</v>
      </c>
      <c r="AG642" s="320">
        <f>IFERROR(__xludf.DUMMYFUNCTION("""COMPUTED_VALUE"""),78.0)</f>
        <v>78</v>
      </c>
      <c r="AH642" s="320">
        <f>IFERROR(__xludf.DUMMYFUNCTION("""COMPUTED_VALUE"""),49.51)</f>
        <v>49.51</v>
      </c>
      <c r="AI642" s="320">
        <f>IFERROR(__xludf.DUMMYFUNCTION("""COMPUTED_VALUE"""),18.28)</f>
        <v>18.28</v>
      </c>
      <c r="AJ642" s="320">
        <f>IFERROR(__xludf.DUMMYFUNCTION("""COMPUTED_VALUE"""),4.14)</f>
        <v>4.14</v>
      </c>
      <c r="AK642" s="320">
        <f>IFERROR(__xludf.DUMMYFUNCTION("""COMPUTED_VALUE"""),0.1891)</f>
        <v>0.1891</v>
      </c>
      <c r="AL642" s="320">
        <f>IFERROR(__xludf.DUMMYFUNCTION("""COMPUTED_VALUE"""),20.22)</f>
        <v>20.22</v>
      </c>
      <c r="AM642" s="320">
        <f>IFERROR(__xludf.DUMMYFUNCTION("""COMPUTED_VALUE"""),536.09)</f>
        <v>536.09</v>
      </c>
      <c r="AN642" s="320">
        <f>IFERROR(__xludf.DUMMYFUNCTION("""COMPUTED_VALUE"""),74.54)</f>
        <v>74.54</v>
      </c>
      <c r="AO642" s="320">
        <f>IFERROR(__xludf.DUMMYFUNCTION("""COMPUTED_VALUE"""),15.07)</f>
        <v>15.07</v>
      </c>
    </row>
    <row r="643" ht="15.0" customHeight="1">
      <c r="A643" s="328">
        <f>IFERROR(__xludf.DUMMYFUNCTION("""COMPUTED_VALUE"""),46156.0)</f>
        <v>46156</v>
      </c>
      <c r="B643" s="319" t="str">
        <f>IFERROR(__xludf.DUMMYFUNCTION("""COMPUTED_VALUE"""),"F. 100+")</f>
        <v>F. 100+</v>
      </c>
      <c r="C643" s="320">
        <f>IFERROR(__xludf.DUMMYFUNCTION("""COMPUTED_VALUE"""),342.0)</f>
        <v>342</v>
      </c>
      <c r="D643" s="320">
        <f>IFERROR(__xludf.DUMMYFUNCTION("""COMPUTED_VALUE"""),0.47)</f>
        <v>0.47</v>
      </c>
      <c r="E643" s="320">
        <f>IFERROR(__xludf.DUMMYFUNCTION("""COMPUTED_VALUE"""),3644.49)</f>
        <v>3644.49</v>
      </c>
      <c r="F643" s="320">
        <f>IFERROR(__xludf.DUMMYFUNCTION("""COMPUTED_VALUE"""),10.6564)</f>
        <v>10.6564</v>
      </c>
      <c r="G643" s="320">
        <f>IFERROR(__xludf.DUMMYFUNCTION("""COMPUTED_VALUE"""),46.2)</f>
        <v>46.2</v>
      </c>
      <c r="H643" s="320">
        <f>IFERROR(__xludf.DUMMYFUNCTION("""COMPUTED_VALUE"""),23.0664)</f>
        <v>23.0664</v>
      </c>
      <c r="I643" s="320">
        <f>IFERROR(__xludf.DUMMYFUNCTION("""COMPUTED_VALUE"""),214.37)</f>
        <v>214.37</v>
      </c>
      <c r="J643" s="320">
        <f>IFERROR(__xludf.DUMMYFUNCTION("""COMPUTED_VALUE"""),144.68)</f>
        <v>144.68</v>
      </c>
      <c r="K643" s="320">
        <f>IFERROR(__xludf.DUMMYFUNCTION("""COMPUTED_VALUE"""),117.37)</f>
        <v>117.37</v>
      </c>
      <c r="L643" s="320">
        <f>IFERROR(__xludf.DUMMYFUNCTION("""COMPUTED_VALUE"""),0.8112)</f>
        <v>0.8112</v>
      </c>
      <c r="M643" s="320">
        <f>IFERROR(__xludf.DUMMYFUNCTION("""COMPUTED_VALUE"""),0.2734)</f>
        <v>0.2734</v>
      </c>
      <c r="N643" s="320">
        <f>IFERROR(__xludf.DUMMYFUNCTION("""COMPUTED_VALUE"""),0.1652)</f>
        <v>0.1652</v>
      </c>
      <c r="O643" s="320">
        <f>IFERROR(__xludf.DUMMYFUNCTION("""COMPUTED_VALUE"""),1.2327)</f>
        <v>1.2327</v>
      </c>
      <c r="P643" s="320">
        <f>IFERROR(__xludf.DUMMYFUNCTION("""COMPUTED_VALUE"""),1231.23)</f>
        <v>1231.23</v>
      </c>
      <c r="Q643" s="320">
        <f>IFERROR(__xludf.DUMMYFUNCTION("""COMPUTED_VALUE"""),1023.46)</f>
        <v>1023.46</v>
      </c>
      <c r="R643" s="320">
        <f>IFERROR(__xludf.DUMMYFUNCTION("""COMPUTED_VALUE"""),207.76)</f>
        <v>207.76</v>
      </c>
      <c r="S643" s="320">
        <f>IFERROR(__xludf.DUMMYFUNCTION("""COMPUTED_VALUE"""),674.08)</f>
        <v>674.08</v>
      </c>
      <c r="T643" s="320">
        <f>IFERROR(__xludf.DUMMYFUNCTION("""COMPUTED_VALUE"""),557.15)</f>
        <v>557.15</v>
      </c>
      <c r="U643" s="320">
        <f>IFERROR(__xludf.DUMMYFUNCTION("""COMPUTED_VALUE"""),1258.04)</f>
        <v>1258.04</v>
      </c>
      <c r="V643" s="320">
        <f>IFERROR(__xludf.DUMMYFUNCTION("""COMPUTED_VALUE"""),8.6953)</f>
        <v>8.6953</v>
      </c>
      <c r="W643" s="320">
        <f>IFERROR(__xludf.DUMMYFUNCTION("""COMPUTED_VALUE"""),54.75)</f>
        <v>54.75</v>
      </c>
      <c r="X643" s="320">
        <f>IFERROR(__xludf.DUMMYFUNCTION("""COMPUTED_VALUE"""),151.0)</f>
        <v>151</v>
      </c>
      <c r="Y643" s="320">
        <f>IFERROR(__xludf.DUMMYFUNCTION("""COMPUTED_VALUE"""),578.0)</f>
        <v>578</v>
      </c>
      <c r="Z643" s="320">
        <f>IFERROR(__xludf.DUMMYFUNCTION("""COMPUTED_VALUE"""),1980.0)</f>
        <v>1980</v>
      </c>
      <c r="AA643" s="320">
        <f>IFERROR(__xludf.DUMMYFUNCTION("""COMPUTED_VALUE"""),60.6706)</f>
        <v>60.6706</v>
      </c>
      <c r="AB643" s="320">
        <f>IFERROR(__xludf.DUMMYFUNCTION("""COMPUTED_VALUE"""),0.8472)</f>
        <v>0.8472</v>
      </c>
      <c r="AC643" s="320">
        <f>IFERROR(__xludf.DUMMYFUNCTION("""COMPUTED_VALUE"""),82.6)</f>
        <v>82.6</v>
      </c>
      <c r="AD643" s="320">
        <f>IFERROR(__xludf.DUMMYFUNCTION("""COMPUTED_VALUE"""),26.0)</f>
        <v>26</v>
      </c>
      <c r="AE643" s="320">
        <f>IFERROR(__xludf.DUMMYFUNCTION("""COMPUTED_VALUE"""),65.0)</f>
        <v>65</v>
      </c>
      <c r="AF643" s="320">
        <f>IFERROR(__xludf.DUMMYFUNCTION("""COMPUTED_VALUE"""),115.0)</f>
        <v>115</v>
      </c>
      <c r="AG643" s="320">
        <f>IFERROR(__xludf.DUMMYFUNCTION("""COMPUTED_VALUE"""),178.0)</f>
        <v>178</v>
      </c>
      <c r="AH643" s="320">
        <f>IFERROR(__xludf.DUMMYFUNCTION("""COMPUTED_VALUE"""),43.27)</f>
        <v>43.27</v>
      </c>
      <c r="AI643" s="320">
        <f>IFERROR(__xludf.DUMMYFUNCTION("""COMPUTED_VALUE"""),10.82)</f>
        <v>10.82</v>
      </c>
      <c r="AJ643" s="320">
        <f>IFERROR(__xludf.DUMMYFUNCTION("""COMPUTED_VALUE"""),0.88)</f>
        <v>0.88</v>
      </c>
      <c r="AK643" s="320">
        <f>IFERROR(__xludf.DUMMYFUNCTION("""COMPUTED_VALUE"""),0.1608)</f>
        <v>0.1608</v>
      </c>
      <c r="AL643" s="320">
        <f>IFERROR(__xludf.DUMMYFUNCTION("""COMPUTED_VALUE"""),18.86)</f>
        <v>18.86</v>
      </c>
      <c r="AM643" s="320">
        <f>IFERROR(__xludf.DUMMYFUNCTION("""COMPUTED_VALUE"""),1004.6)</f>
        <v>1004.6</v>
      </c>
      <c r="AN643" s="320">
        <f>IFERROR(__xludf.DUMMYFUNCTION("""COMPUTED_VALUE"""),71.09)</f>
        <v>71.09</v>
      </c>
      <c r="AO643" s="320">
        <f>IFERROR(__xludf.DUMMYFUNCTION("""COMPUTED_VALUE"""),13.41)</f>
        <v>13.41</v>
      </c>
    </row>
    <row r="644" ht="15.0" customHeight="1">
      <c r="A644" s="328">
        <f>IFERROR(__xludf.DUMMYFUNCTION("""COMPUTED_VALUE"""),46157.0)</f>
        <v>46157</v>
      </c>
      <c r="B644" s="319" t="str">
        <f>IFERROR(__xludf.DUMMYFUNCTION("""COMPUTED_VALUE"""),"A. 0")</f>
        <v>A. 0</v>
      </c>
      <c r="C644" s="320">
        <f>IFERROR(__xludf.DUMMYFUNCTION("""COMPUTED_VALUE"""),14364.0)</f>
        <v>14364</v>
      </c>
      <c r="D644" s="320">
        <f>IFERROR(__xludf.DUMMYFUNCTION("""COMPUTED_VALUE"""),20.51)</f>
        <v>20.51</v>
      </c>
      <c r="E644" s="320">
        <f>IFERROR(__xludf.DUMMYFUNCTION("""COMPUTED_VALUE"""),234.35)</f>
        <v>234.35</v>
      </c>
      <c r="F644" s="320">
        <f>IFERROR(__xludf.DUMMYFUNCTION("""COMPUTED_VALUE"""),0.0163)</f>
        <v>0.0163</v>
      </c>
      <c r="G644" s="320">
        <f>IFERROR(__xludf.DUMMYFUNCTION("""COMPUTED_VALUE"""),0.38)</f>
        <v>0.38</v>
      </c>
      <c r="H644" s="320">
        <f>IFERROR(__xludf.DUMMYFUNCTION("""COMPUTED_VALUE"""),4.3398)</f>
        <v>4.3398</v>
      </c>
      <c r="I644" s="320">
        <f>IFERROR(__xludf.DUMMYFUNCTION("""COMPUTED_VALUE"""),5.9)</f>
        <v>5.9</v>
      </c>
      <c r="J644" s="320">
        <f>IFERROR(__xludf.DUMMYFUNCTION("""COMPUTED_VALUE"""),2.6)</f>
        <v>2.6</v>
      </c>
      <c r="K644" s="320">
        <f>IFERROR(__xludf.DUMMYFUNCTION("""COMPUTED_VALUE"""),0.07)</f>
        <v>0.07</v>
      </c>
      <c r="L644" s="320">
        <f>IFERROR(__xludf.DUMMYFUNCTION("""COMPUTED_VALUE"""),0.0272)</f>
        <v>0.0272</v>
      </c>
      <c r="M644" s="320">
        <f>IFERROR(__xludf.DUMMYFUNCTION("""COMPUTED_VALUE"""),0.9742)</f>
        <v>0.9742</v>
      </c>
      <c r="N644" s="320">
        <f>IFERROR(__xludf.DUMMYFUNCTION("""COMPUTED_VALUE"""),0.6998)</f>
        <v>0.6998</v>
      </c>
      <c r="O644" s="320">
        <f>IFERROR(__xludf.DUMMYFUNCTION("""COMPUTED_VALUE"""),36.7217)</f>
        <v>36.7217</v>
      </c>
      <c r="P644" s="320">
        <f>IFERROR(__xludf.DUMMYFUNCTION("""COMPUTED_VALUE"""),29.92)</f>
        <v>29.92</v>
      </c>
      <c r="Q644" s="320">
        <f>IFERROR(__xludf.DUMMYFUNCTION("""COMPUTED_VALUE"""),29.89)</f>
        <v>29.89</v>
      </c>
      <c r="R644" s="320">
        <f>IFERROR(__xludf.DUMMYFUNCTION("""COMPUTED_VALUE"""),0.04)</f>
        <v>0.04</v>
      </c>
      <c r="S644" s="320">
        <f>IFERROR(__xludf.DUMMYFUNCTION("""COMPUTED_VALUE"""),1.21)</f>
        <v>1.21</v>
      </c>
      <c r="T644" s="320">
        <f>IFERROR(__xludf.DUMMYFUNCTION("""COMPUTED_VALUE"""),28.72)</f>
        <v>28.72</v>
      </c>
      <c r="U644" s="320">
        <f>IFERROR(__xludf.DUMMYFUNCTION("""COMPUTED_VALUE"""),2.01)</f>
        <v>2.01</v>
      </c>
      <c r="V644" s="320">
        <f>IFERROR(__xludf.DUMMYFUNCTION("""COMPUTED_VALUE"""),0.7738)</f>
        <v>0.7738</v>
      </c>
      <c r="W644" s="320">
        <f>IFERROR(__xludf.DUMMYFUNCTION("""COMPUTED_VALUE"""),4.03)</f>
        <v>4.03</v>
      </c>
      <c r="X644" s="320">
        <f>IFERROR(__xludf.DUMMYFUNCTION("""COMPUTED_VALUE"""),176.0)</f>
        <v>176</v>
      </c>
      <c r="Y644" s="320">
        <f>IFERROR(__xludf.DUMMYFUNCTION("""COMPUTED_VALUE"""),1411.0)</f>
        <v>1411</v>
      </c>
      <c r="Z644" s="320">
        <f>IFERROR(__xludf.DUMMYFUNCTION("""COMPUTED_VALUE"""),8363.0)</f>
        <v>8363</v>
      </c>
      <c r="AA644" s="320">
        <f>IFERROR(__xludf.DUMMYFUNCTION("""COMPUTED_VALUE"""),49.7036)</f>
        <v>49.7036</v>
      </c>
      <c r="AB644" s="320">
        <f>IFERROR(__xludf.DUMMYFUNCTION("""COMPUTED_VALUE"""),0.5163)</f>
        <v>0.5163</v>
      </c>
      <c r="AC644" s="106"/>
      <c r="AD644" s="106"/>
      <c r="AE644" s="106"/>
      <c r="AF644" s="106"/>
      <c r="AG644" s="106"/>
      <c r="AH644" s="320">
        <f>IFERROR(__xludf.DUMMYFUNCTION("""COMPUTED_VALUE"""),0.0)</f>
        <v>0</v>
      </c>
      <c r="AI644" s="320">
        <f>IFERROR(__xludf.DUMMYFUNCTION("""COMPUTED_VALUE"""),0.0)</f>
        <v>0</v>
      </c>
      <c r="AJ644" s="320">
        <f>IFERROR(__xludf.DUMMYFUNCTION("""COMPUTED_VALUE"""),0.0)</f>
        <v>0</v>
      </c>
      <c r="AK644" s="320">
        <f>IFERROR(__xludf.DUMMYFUNCTION("""COMPUTED_VALUE"""),0.2906)</f>
        <v>0.2906</v>
      </c>
      <c r="AL644" s="320">
        <f>IFERROR(__xludf.DUMMYFUNCTION("""COMPUTED_VALUE"""),16.54)</f>
        <v>16.54</v>
      </c>
      <c r="AM644" s="320">
        <f>IFERROR(__xludf.DUMMYFUNCTION("""COMPUTED_VALUE"""),13.34)</f>
        <v>13.34</v>
      </c>
      <c r="AN644" s="331"/>
      <c r="AO644" s="331"/>
    </row>
    <row r="645" ht="15.0" customHeight="1">
      <c r="A645" s="328">
        <f>IFERROR(__xludf.DUMMYFUNCTION("""COMPUTED_VALUE"""),46157.0)</f>
        <v>46157</v>
      </c>
      <c r="B645" s="319" t="str">
        <f>IFERROR(__xludf.DUMMYFUNCTION("""COMPUTED_VALUE"""),"B. 1-9")</f>
        <v>B. 1-9</v>
      </c>
      <c r="C645" s="320">
        <f>IFERROR(__xludf.DUMMYFUNCTION("""COMPUTED_VALUE"""),31098.0)</f>
        <v>31098</v>
      </c>
      <c r="D645" s="320">
        <f>IFERROR(__xludf.DUMMYFUNCTION("""COMPUTED_VALUE"""),44.41)</f>
        <v>44.41</v>
      </c>
      <c r="E645" s="320">
        <f>IFERROR(__xludf.DUMMYFUNCTION("""COMPUTED_VALUE"""),7641.92)</f>
        <v>7641.92</v>
      </c>
      <c r="F645" s="320">
        <f>IFERROR(__xludf.DUMMYFUNCTION("""COMPUTED_VALUE"""),0.2457)</f>
        <v>0.2457</v>
      </c>
      <c r="G645" s="320">
        <f>IFERROR(__xludf.DUMMYFUNCTION("""COMPUTED_VALUE"""),6.74)</f>
        <v>6.74</v>
      </c>
      <c r="H645" s="320">
        <f>IFERROR(__xludf.DUMMYFUNCTION("""COMPUTED_VALUE"""),3.6442)</f>
        <v>3.6442</v>
      </c>
      <c r="I645" s="320">
        <f>IFERROR(__xludf.DUMMYFUNCTION("""COMPUTED_VALUE"""),34.02)</f>
        <v>34.02</v>
      </c>
      <c r="J645" s="320">
        <f>IFERROR(__xludf.DUMMYFUNCTION("""COMPUTED_VALUE"""),18.2)</f>
        <v>18.2</v>
      </c>
      <c r="K645" s="320">
        <f>IFERROR(__xludf.DUMMYFUNCTION("""COMPUTED_VALUE"""),5.6)</f>
        <v>5.6</v>
      </c>
      <c r="L645" s="320">
        <f>IFERROR(__xludf.DUMMYFUNCTION("""COMPUTED_VALUE"""),0.3078)</f>
        <v>0.3078</v>
      </c>
      <c r="M645" s="320">
        <f>IFERROR(__xludf.DUMMYFUNCTION("""COMPUTED_VALUE"""),0.7606)</f>
        <v>0.7606</v>
      </c>
      <c r="N645" s="320">
        <f>IFERROR(__xludf.DUMMYFUNCTION("""COMPUTED_VALUE"""),0.5081)</f>
        <v>0.5081</v>
      </c>
      <c r="O645" s="320">
        <f>IFERROR(__xludf.DUMMYFUNCTION("""COMPUTED_VALUE"""),3.2488)</f>
        <v>3.2488</v>
      </c>
      <c r="P645" s="320">
        <f>IFERROR(__xludf.DUMMYFUNCTION("""COMPUTED_VALUE"""),86.39)</f>
        <v>86.39</v>
      </c>
      <c r="Q645" s="320">
        <f>IFERROR(__xludf.DUMMYFUNCTION("""COMPUTED_VALUE"""),76.88)</f>
        <v>76.88</v>
      </c>
      <c r="R645" s="320">
        <f>IFERROR(__xludf.DUMMYFUNCTION("""COMPUTED_VALUE"""),9.51)</f>
        <v>9.51</v>
      </c>
      <c r="S645" s="320">
        <f>IFERROR(__xludf.DUMMYFUNCTION("""COMPUTED_VALUE"""),17.0)</f>
        <v>17</v>
      </c>
      <c r="T645" s="320">
        <f>IFERROR(__xludf.DUMMYFUNCTION("""COMPUTED_VALUE"""),69.39)</f>
        <v>69.39</v>
      </c>
      <c r="U645" s="320">
        <f>IFERROR(__xludf.DUMMYFUNCTION("""COMPUTED_VALUE"""),80.19)</f>
        <v>80.19</v>
      </c>
      <c r="V645" s="320">
        <f>IFERROR(__xludf.DUMMYFUNCTION("""COMPUTED_VALUE"""),4.405)</f>
        <v>4.405</v>
      </c>
      <c r="W645" s="320">
        <f>IFERROR(__xludf.DUMMYFUNCTION("""COMPUTED_VALUE"""),19.68)</f>
        <v>19.68</v>
      </c>
      <c r="X645" s="320">
        <f>IFERROR(__xludf.DUMMYFUNCTION("""COMPUTED_VALUE"""),87.0)</f>
        <v>87</v>
      </c>
      <c r="Y645" s="320">
        <f>IFERROR(__xludf.DUMMYFUNCTION("""COMPUTED_VALUE"""),210.0)</f>
        <v>210</v>
      </c>
      <c r="Z645" s="320">
        <f>IFERROR(__xludf.DUMMYFUNCTION("""COMPUTED_VALUE"""),850.0)</f>
        <v>850</v>
      </c>
      <c r="AA645" s="320">
        <f>IFERROR(__xludf.DUMMYFUNCTION("""COMPUTED_VALUE"""),49.4716)</f>
        <v>49.4716</v>
      </c>
      <c r="AB645" s="320">
        <f>IFERROR(__xludf.DUMMYFUNCTION("""COMPUTED_VALUE"""),0.4379)</f>
        <v>0.4379</v>
      </c>
      <c r="AC645" s="320">
        <f>IFERROR(__xludf.DUMMYFUNCTION("""COMPUTED_VALUE"""),3.63)</f>
        <v>3.63</v>
      </c>
      <c r="AD645" s="320">
        <f>IFERROR(__xludf.DUMMYFUNCTION("""COMPUTED_VALUE"""),1.0)</f>
        <v>1</v>
      </c>
      <c r="AE645" s="320">
        <f>IFERROR(__xludf.DUMMYFUNCTION("""COMPUTED_VALUE"""),2.0)</f>
        <v>2</v>
      </c>
      <c r="AF645" s="320">
        <f>IFERROR(__xludf.DUMMYFUNCTION("""COMPUTED_VALUE"""),5.0)</f>
        <v>5</v>
      </c>
      <c r="AG645" s="320">
        <f>IFERROR(__xludf.DUMMYFUNCTION("""COMPUTED_VALUE"""),8.0)</f>
        <v>8</v>
      </c>
      <c r="AH645" s="320">
        <f>IFERROR(__xludf.DUMMYFUNCTION("""COMPUTED_VALUE"""),67.85)</f>
        <v>67.85</v>
      </c>
      <c r="AI645" s="320">
        <f>IFERROR(__xludf.DUMMYFUNCTION("""COMPUTED_VALUE"""),25.93)</f>
        <v>25.93</v>
      </c>
      <c r="AJ645" s="320">
        <f>IFERROR(__xludf.DUMMYFUNCTION("""COMPUTED_VALUE"""),7.22)</f>
        <v>7.22</v>
      </c>
      <c r="AK645" s="320">
        <f>IFERROR(__xludf.DUMMYFUNCTION("""COMPUTED_VALUE"""),0.234)</f>
        <v>0.234</v>
      </c>
      <c r="AL645" s="320">
        <f>IFERROR(__xludf.DUMMYFUNCTION("""COMPUTED_VALUE"""),21.34)</f>
        <v>21.34</v>
      </c>
      <c r="AM645" s="320">
        <f>IFERROR(__xludf.DUMMYFUNCTION("""COMPUTED_VALUE"""),55.54)</f>
        <v>55.54</v>
      </c>
      <c r="AN645" s="320">
        <f>IFERROR(__xludf.DUMMYFUNCTION("""COMPUTED_VALUE"""),68.19)</f>
        <v>68.19</v>
      </c>
      <c r="AO645" s="320">
        <f>IFERROR(__xludf.DUMMYFUNCTION("""COMPUTED_VALUE"""),14.55)</f>
        <v>14.55</v>
      </c>
    </row>
    <row r="646" ht="15.0" customHeight="1">
      <c r="A646" s="328">
        <f>IFERROR(__xludf.DUMMYFUNCTION("""COMPUTED_VALUE"""),46157.0)</f>
        <v>46157</v>
      </c>
      <c r="B646" s="319" t="str">
        <f>IFERROR(__xludf.DUMMYFUNCTION("""COMPUTED_VALUE"""),"C. 10-19")</f>
        <v>C. 10-19</v>
      </c>
      <c r="C646" s="320">
        <f>IFERROR(__xludf.DUMMYFUNCTION("""COMPUTED_VALUE"""),14206.0)</f>
        <v>14206</v>
      </c>
      <c r="D646" s="320">
        <f>IFERROR(__xludf.DUMMYFUNCTION("""COMPUTED_VALUE"""),20.29)</f>
        <v>20.29</v>
      </c>
      <c r="E646" s="320">
        <f>IFERROR(__xludf.DUMMYFUNCTION("""COMPUTED_VALUE"""),13879.93)</f>
        <v>13879.93</v>
      </c>
      <c r="F646" s="320">
        <f>IFERROR(__xludf.DUMMYFUNCTION("""COMPUTED_VALUE"""),0.977)</f>
        <v>0.977</v>
      </c>
      <c r="G646" s="320">
        <f>IFERROR(__xludf.DUMMYFUNCTION("""COMPUTED_VALUE"""),20.39)</f>
        <v>20.39</v>
      </c>
      <c r="H646" s="320">
        <f>IFERROR(__xludf.DUMMYFUNCTION("""COMPUTED_VALUE"""),4.7911)</f>
        <v>4.7911</v>
      </c>
      <c r="I646" s="320">
        <f>IFERROR(__xludf.DUMMYFUNCTION("""COMPUTED_VALUE"""),61.08)</f>
        <v>61.08</v>
      </c>
      <c r="J646" s="320">
        <f>IFERROR(__xludf.DUMMYFUNCTION("""COMPUTED_VALUE"""),35.02)</f>
        <v>35.02</v>
      </c>
      <c r="K646" s="320">
        <f>IFERROR(__xludf.DUMMYFUNCTION("""COMPUTED_VALUE"""),13.95)</f>
        <v>13.95</v>
      </c>
      <c r="L646" s="320">
        <f>IFERROR(__xludf.DUMMYFUNCTION("""COMPUTED_VALUE"""),0.3984)</f>
        <v>0.3984</v>
      </c>
      <c r="M646" s="320">
        <f>IFERROR(__xludf.DUMMYFUNCTION("""COMPUTED_VALUE"""),0.6624)</f>
        <v>0.6624</v>
      </c>
      <c r="N646" s="320">
        <f>IFERROR(__xludf.DUMMYFUNCTION("""COMPUTED_VALUE"""),0.3775)</f>
        <v>0.3775</v>
      </c>
      <c r="O646" s="320">
        <f>IFERROR(__xludf.DUMMYFUNCTION("""COMPUTED_VALUE"""),2.5101)</f>
        <v>2.5101</v>
      </c>
      <c r="P646" s="320">
        <f>IFERROR(__xludf.DUMMYFUNCTION("""COMPUTED_VALUE"""),182.02)</f>
        <v>182.02</v>
      </c>
      <c r="Q646" s="320">
        <f>IFERROR(__xludf.DUMMYFUNCTION("""COMPUTED_VALUE"""),158.09)</f>
        <v>158.09</v>
      </c>
      <c r="R646" s="320">
        <f>IFERROR(__xludf.DUMMYFUNCTION("""COMPUTED_VALUE"""),23.93)</f>
        <v>23.93</v>
      </c>
      <c r="S646" s="320">
        <f>IFERROR(__xludf.DUMMYFUNCTION("""COMPUTED_VALUE"""),65.88)</f>
        <v>65.88</v>
      </c>
      <c r="T646" s="320">
        <f>IFERROR(__xludf.DUMMYFUNCTION("""COMPUTED_VALUE"""),116.14)</f>
        <v>116.14</v>
      </c>
      <c r="U646" s="320">
        <f>IFERROR(__xludf.DUMMYFUNCTION("""COMPUTED_VALUE"""),179.42)</f>
        <v>179.42</v>
      </c>
      <c r="V646" s="320">
        <f>IFERROR(__xludf.DUMMYFUNCTION("""COMPUTED_VALUE"""),5.1239)</f>
        <v>5.1239</v>
      </c>
      <c r="W646" s="320">
        <f>IFERROR(__xludf.DUMMYFUNCTION("""COMPUTED_VALUE"""),36.19)</f>
        <v>36.19</v>
      </c>
      <c r="X646" s="320">
        <f>IFERROR(__xludf.DUMMYFUNCTION("""COMPUTED_VALUE"""),83.0)</f>
        <v>83</v>
      </c>
      <c r="Y646" s="320">
        <f>IFERROR(__xludf.DUMMYFUNCTION("""COMPUTED_VALUE"""),191.0)</f>
        <v>191</v>
      </c>
      <c r="Z646" s="320">
        <f>IFERROR(__xludf.DUMMYFUNCTION("""COMPUTED_VALUE"""),586.0)</f>
        <v>586</v>
      </c>
      <c r="AA646" s="320">
        <f>IFERROR(__xludf.DUMMYFUNCTION("""COMPUTED_VALUE"""),52.4431)</f>
        <v>52.4431</v>
      </c>
      <c r="AB646" s="320">
        <f>IFERROR(__xludf.DUMMYFUNCTION("""COMPUTED_VALUE"""),0.5428)</f>
        <v>0.5428</v>
      </c>
      <c r="AC646" s="320">
        <f>IFERROR(__xludf.DUMMYFUNCTION("""COMPUTED_VALUE"""),8.84)</f>
        <v>8.84</v>
      </c>
      <c r="AD646" s="320">
        <f>IFERROR(__xludf.DUMMYFUNCTION("""COMPUTED_VALUE"""),3.0)</f>
        <v>3</v>
      </c>
      <c r="AE646" s="320">
        <f>IFERROR(__xludf.DUMMYFUNCTION("""COMPUTED_VALUE"""),6.0)</f>
        <v>6</v>
      </c>
      <c r="AF646" s="320">
        <f>IFERROR(__xludf.DUMMYFUNCTION("""COMPUTED_VALUE"""),12.0)</f>
        <v>12</v>
      </c>
      <c r="AG646" s="320">
        <f>IFERROR(__xludf.DUMMYFUNCTION("""COMPUTED_VALUE"""),19.0)</f>
        <v>19</v>
      </c>
      <c r="AH646" s="320">
        <f>IFERROR(__xludf.DUMMYFUNCTION("""COMPUTED_VALUE"""),55.27)</f>
        <v>55.27</v>
      </c>
      <c r="AI646" s="320">
        <f>IFERROR(__xludf.DUMMYFUNCTION("""COMPUTED_VALUE"""),24.07)</f>
        <v>24.07</v>
      </c>
      <c r="AJ646" s="320">
        <f>IFERROR(__xludf.DUMMYFUNCTION("""COMPUTED_VALUE"""),4.76)</f>
        <v>4.76</v>
      </c>
      <c r="AK646" s="320">
        <f>IFERROR(__xludf.DUMMYFUNCTION("""COMPUTED_VALUE"""),0.2101)</f>
        <v>0.2101</v>
      </c>
      <c r="AL646" s="320">
        <f>IFERROR(__xludf.DUMMYFUNCTION("""COMPUTED_VALUE"""),22.04)</f>
        <v>22.04</v>
      </c>
      <c r="AM646" s="320">
        <f>IFERROR(__xludf.DUMMYFUNCTION("""COMPUTED_VALUE"""),136.05)</f>
        <v>136.05</v>
      </c>
      <c r="AN646" s="320">
        <f>IFERROR(__xludf.DUMMYFUNCTION("""COMPUTED_VALUE"""),74.63)</f>
        <v>74.63</v>
      </c>
      <c r="AO646" s="320">
        <f>IFERROR(__xludf.DUMMYFUNCTION("""COMPUTED_VALUE"""),16.45)</f>
        <v>16.45</v>
      </c>
    </row>
    <row r="647" ht="15.0" customHeight="1">
      <c r="A647" s="328">
        <f>IFERROR(__xludf.DUMMYFUNCTION("""COMPUTED_VALUE"""),46157.0)</f>
        <v>46157</v>
      </c>
      <c r="B647" s="319" t="str">
        <f>IFERROR(__xludf.DUMMYFUNCTION("""COMPUTED_VALUE"""),"D. 20-39")</f>
        <v>D. 20-39</v>
      </c>
      <c r="C647" s="320">
        <f>IFERROR(__xludf.DUMMYFUNCTION("""COMPUTED_VALUE"""),7344.0)</f>
        <v>7344</v>
      </c>
      <c r="D647" s="320">
        <f>IFERROR(__xludf.DUMMYFUNCTION("""COMPUTED_VALUE"""),10.49)</f>
        <v>10.49</v>
      </c>
      <c r="E647" s="320">
        <f>IFERROR(__xludf.DUMMYFUNCTION("""COMPUTED_VALUE"""),17984.28)</f>
        <v>17984.28</v>
      </c>
      <c r="F647" s="320">
        <f>IFERROR(__xludf.DUMMYFUNCTION("""COMPUTED_VALUE"""),2.4488)</f>
        <v>2.4488</v>
      </c>
      <c r="G647" s="320">
        <f>IFERROR(__xludf.DUMMYFUNCTION("""COMPUTED_VALUE"""),32.14)</f>
        <v>32.14</v>
      </c>
      <c r="H647" s="320">
        <f>IFERROR(__xludf.DUMMYFUNCTION("""COMPUTED_VALUE"""),7.6205)</f>
        <v>7.6205</v>
      </c>
      <c r="I647" s="320">
        <f>IFERROR(__xludf.DUMMYFUNCTION("""COMPUTED_VALUE"""),85.18)</f>
        <v>85.18</v>
      </c>
      <c r="J647" s="320">
        <f>IFERROR(__xludf.DUMMYFUNCTION("""COMPUTED_VALUE"""),50.37)</f>
        <v>50.37</v>
      </c>
      <c r="K647" s="320">
        <f>IFERROR(__xludf.DUMMYFUNCTION("""COMPUTED_VALUE"""),25.38)</f>
        <v>25.38</v>
      </c>
      <c r="L647" s="320">
        <f>IFERROR(__xludf.DUMMYFUNCTION("""COMPUTED_VALUE"""),0.5038)</f>
        <v>0.5038</v>
      </c>
      <c r="M647" s="320">
        <f>IFERROR(__xludf.DUMMYFUNCTION("""COMPUTED_VALUE"""),0.5635)</f>
        <v>0.5635</v>
      </c>
      <c r="N647" s="320">
        <f>IFERROR(__xludf.DUMMYFUNCTION("""COMPUTED_VALUE"""),0.3055)</f>
        <v>0.3055</v>
      </c>
      <c r="O647" s="320">
        <f>IFERROR(__xludf.DUMMYFUNCTION("""COMPUTED_VALUE"""),1.9848)</f>
        <v>1.9848</v>
      </c>
      <c r="P647" s="320">
        <f>IFERROR(__xludf.DUMMYFUNCTION("""COMPUTED_VALUE"""),319.29)</f>
        <v>319.29</v>
      </c>
      <c r="Q647" s="320">
        <f>IFERROR(__xludf.DUMMYFUNCTION("""COMPUTED_VALUE"""),275.26)</f>
        <v>275.26</v>
      </c>
      <c r="R647" s="320">
        <f>IFERROR(__xludf.DUMMYFUNCTION("""COMPUTED_VALUE"""),44.03)</f>
        <v>44.03</v>
      </c>
      <c r="S647" s="320">
        <f>IFERROR(__xludf.DUMMYFUNCTION("""COMPUTED_VALUE"""),154.58)</f>
        <v>154.58</v>
      </c>
      <c r="T647" s="320">
        <f>IFERROR(__xludf.DUMMYFUNCTION("""COMPUTED_VALUE"""),164.71)</f>
        <v>164.71</v>
      </c>
      <c r="U647" s="320">
        <f>IFERROR(__xludf.DUMMYFUNCTION("""COMPUTED_VALUE"""),328.09)</f>
        <v>328.09</v>
      </c>
      <c r="V647" s="320">
        <f>IFERROR(__xludf.DUMMYFUNCTION("""COMPUTED_VALUE"""),6.5133)</f>
        <v>6.5133</v>
      </c>
      <c r="W647" s="320">
        <f>IFERROR(__xludf.DUMMYFUNCTION("""COMPUTED_VALUE"""),48.41)</f>
        <v>48.41</v>
      </c>
      <c r="X647" s="320">
        <f>IFERROR(__xludf.DUMMYFUNCTION("""COMPUTED_VALUE"""),83.0)</f>
        <v>83</v>
      </c>
      <c r="Y647" s="320">
        <f>IFERROR(__xludf.DUMMYFUNCTION("""COMPUTED_VALUE"""),212.0)</f>
        <v>212</v>
      </c>
      <c r="Z647" s="320">
        <f>IFERROR(__xludf.DUMMYFUNCTION("""COMPUTED_VALUE"""),655.0)</f>
        <v>655</v>
      </c>
      <c r="AA647" s="320">
        <f>IFERROR(__xludf.DUMMYFUNCTION("""COMPUTED_VALUE"""),54.3863)</f>
        <v>54.3863</v>
      </c>
      <c r="AB647" s="320">
        <f>IFERROR(__xludf.DUMMYFUNCTION("""COMPUTED_VALUE"""),0.6513)</f>
        <v>0.6513</v>
      </c>
      <c r="AC647" s="320">
        <f>IFERROR(__xludf.DUMMYFUNCTION("""COMPUTED_VALUE"""),16.42)</f>
        <v>16.42</v>
      </c>
      <c r="AD647" s="320">
        <f>IFERROR(__xludf.DUMMYFUNCTION("""COMPUTED_VALUE"""),5.0)</f>
        <v>5</v>
      </c>
      <c r="AE647" s="320">
        <f>IFERROR(__xludf.DUMMYFUNCTION("""COMPUTED_VALUE"""),12.0)</f>
        <v>12</v>
      </c>
      <c r="AF647" s="320">
        <f>IFERROR(__xludf.DUMMYFUNCTION("""COMPUTED_VALUE"""),23.0)</f>
        <v>23</v>
      </c>
      <c r="AG647" s="320">
        <f>IFERROR(__xludf.DUMMYFUNCTION("""COMPUTED_VALUE"""),36.0)</f>
        <v>36</v>
      </c>
      <c r="AH647" s="320">
        <f>IFERROR(__xludf.DUMMYFUNCTION("""COMPUTED_VALUE"""),54.14)</f>
        <v>54.14</v>
      </c>
      <c r="AI647" s="320">
        <f>IFERROR(__xludf.DUMMYFUNCTION("""COMPUTED_VALUE"""),21.09)</f>
        <v>21.09</v>
      </c>
      <c r="AJ647" s="320">
        <f>IFERROR(__xludf.DUMMYFUNCTION("""COMPUTED_VALUE"""),6.33)</f>
        <v>6.33</v>
      </c>
      <c r="AK647" s="320">
        <f>IFERROR(__xludf.DUMMYFUNCTION("""COMPUTED_VALUE"""),0.2077)</f>
        <v>0.2077</v>
      </c>
      <c r="AL647" s="320">
        <f>IFERROR(__xludf.DUMMYFUNCTION("""COMPUTED_VALUE"""),21.64)</f>
        <v>21.64</v>
      </c>
      <c r="AM647" s="320">
        <f>IFERROR(__xludf.DUMMYFUNCTION("""COMPUTED_VALUE"""),253.62)</f>
        <v>253.62</v>
      </c>
      <c r="AN647" s="320">
        <f>IFERROR(__xludf.DUMMYFUNCTION("""COMPUTED_VALUE"""),75.55)</f>
        <v>75.55</v>
      </c>
      <c r="AO647" s="320">
        <f>IFERROR(__xludf.DUMMYFUNCTION("""COMPUTED_VALUE"""),16.35)</f>
        <v>16.35</v>
      </c>
    </row>
    <row r="648" ht="15.0" customHeight="1">
      <c r="A648" s="328">
        <f>IFERROR(__xludf.DUMMYFUNCTION("""COMPUTED_VALUE"""),46157.0)</f>
        <v>46157</v>
      </c>
      <c r="B648" s="319" t="str">
        <f>IFERROR(__xludf.DUMMYFUNCTION("""COMPUTED_VALUE"""),"E. 40-99")</f>
        <v>E. 40-99</v>
      </c>
      <c r="C648" s="320">
        <f>IFERROR(__xludf.DUMMYFUNCTION("""COMPUTED_VALUE"""),2722.0)</f>
        <v>2722</v>
      </c>
      <c r="D648" s="320">
        <f>IFERROR(__xludf.DUMMYFUNCTION("""COMPUTED_VALUE"""),3.89)</f>
        <v>3.89</v>
      </c>
      <c r="E648" s="320">
        <f>IFERROR(__xludf.DUMMYFUNCTION("""COMPUTED_VALUE"""),15481.34)</f>
        <v>15481.34</v>
      </c>
      <c r="F648" s="320">
        <f>IFERROR(__xludf.DUMMYFUNCTION("""COMPUTED_VALUE"""),5.6875)</f>
        <v>5.6875</v>
      </c>
      <c r="G648" s="320">
        <f>IFERROR(__xludf.DUMMYFUNCTION("""COMPUTED_VALUE"""),42.36)</f>
        <v>42.36</v>
      </c>
      <c r="H648" s="320">
        <f>IFERROR(__xludf.DUMMYFUNCTION("""COMPUTED_VALUE"""),13.427)</f>
        <v>13.427</v>
      </c>
      <c r="I648" s="320">
        <f>IFERROR(__xludf.DUMMYFUNCTION("""COMPUTED_VALUE"""),128.45)</f>
        <v>128.45</v>
      </c>
      <c r="J648" s="320">
        <f>IFERROR(__xludf.DUMMYFUNCTION("""COMPUTED_VALUE"""),78.91)</f>
        <v>78.91</v>
      </c>
      <c r="K648" s="320">
        <f>IFERROR(__xludf.DUMMYFUNCTION("""COMPUTED_VALUE"""),51.88)</f>
        <v>51.88</v>
      </c>
      <c r="L648" s="320">
        <f>IFERROR(__xludf.DUMMYFUNCTION("""COMPUTED_VALUE"""),0.6575)</f>
        <v>0.6575</v>
      </c>
      <c r="M648" s="320">
        <f>IFERROR(__xludf.DUMMYFUNCTION("""COMPUTED_VALUE"""),0.4238)</f>
        <v>0.4238</v>
      </c>
      <c r="N648" s="320">
        <f>IFERROR(__xludf.DUMMYFUNCTION("""COMPUTED_VALUE"""),0.2351)</f>
        <v>0.2351</v>
      </c>
      <c r="O648" s="320">
        <f>IFERROR(__xludf.DUMMYFUNCTION("""COMPUTED_VALUE"""),1.521)</f>
        <v>1.521</v>
      </c>
      <c r="P648" s="320">
        <f>IFERROR(__xludf.DUMMYFUNCTION("""COMPUTED_VALUE"""),605.91)</f>
        <v>605.91</v>
      </c>
      <c r="Q648" s="320">
        <f>IFERROR(__xludf.DUMMYFUNCTION("""COMPUTED_VALUE"""),515.72)</f>
        <v>515.72</v>
      </c>
      <c r="R648" s="320">
        <f>IFERROR(__xludf.DUMMYFUNCTION("""COMPUTED_VALUE"""),90.2)</f>
        <v>90.2</v>
      </c>
      <c r="S648" s="320">
        <f>IFERROR(__xludf.DUMMYFUNCTION("""COMPUTED_VALUE"""),346.26)</f>
        <v>346.26</v>
      </c>
      <c r="T648" s="320">
        <f>IFERROR(__xludf.DUMMYFUNCTION("""COMPUTED_VALUE"""),259.65)</f>
        <v>259.65</v>
      </c>
      <c r="U648" s="320">
        <f>IFERROR(__xludf.DUMMYFUNCTION("""COMPUTED_VALUE"""),646.97)</f>
        <v>646.97</v>
      </c>
      <c r="V648" s="320">
        <f>IFERROR(__xludf.DUMMYFUNCTION("""COMPUTED_VALUE"""),8.1987)</f>
        <v>8.1987</v>
      </c>
      <c r="W648" s="320">
        <f>IFERROR(__xludf.DUMMYFUNCTION("""COMPUTED_VALUE"""),57.15)</f>
        <v>57.15</v>
      </c>
      <c r="X648" s="320">
        <f>IFERROR(__xludf.DUMMYFUNCTION("""COMPUTED_VALUE"""),96.0)</f>
        <v>96</v>
      </c>
      <c r="Y648" s="320">
        <f>IFERROR(__xludf.DUMMYFUNCTION("""COMPUTED_VALUE"""),306.0)</f>
        <v>306</v>
      </c>
      <c r="Z648" s="320">
        <f>IFERROR(__xludf.DUMMYFUNCTION("""COMPUTED_VALUE"""),877.0)</f>
        <v>877</v>
      </c>
      <c r="AA648" s="320">
        <f>IFERROR(__xludf.DUMMYFUNCTION("""COMPUTED_VALUE"""),57.798)</f>
        <v>57.798</v>
      </c>
      <c r="AB648" s="320">
        <f>IFERROR(__xludf.DUMMYFUNCTION("""COMPUTED_VALUE"""),0.7647)</f>
        <v>0.7647</v>
      </c>
      <c r="AC648" s="320">
        <f>IFERROR(__xludf.DUMMYFUNCTION("""COMPUTED_VALUE"""),34.48)</f>
        <v>34.48</v>
      </c>
      <c r="AD648" s="320">
        <f>IFERROR(__xludf.DUMMYFUNCTION("""COMPUTED_VALUE"""),12.0)</f>
        <v>12</v>
      </c>
      <c r="AE648" s="320">
        <f>IFERROR(__xludf.DUMMYFUNCTION("""COMPUTED_VALUE"""),26.0)</f>
        <v>26</v>
      </c>
      <c r="AF648" s="320">
        <f>IFERROR(__xludf.DUMMYFUNCTION("""COMPUTED_VALUE"""),48.0)</f>
        <v>48</v>
      </c>
      <c r="AG648" s="320">
        <f>IFERROR(__xludf.DUMMYFUNCTION("""COMPUTED_VALUE"""),75.0)</f>
        <v>75</v>
      </c>
      <c r="AH648" s="320">
        <f>IFERROR(__xludf.DUMMYFUNCTION("""COMPUTED_VALUE"""),48.2)</f>
        <v>48.2</v>
      </c>
      <c r="AI648" s="320">
        <f>IFERROR(__xludf.DUMMYFUNCTION("""COMPUTED_VALUE"""),16.68)</f>
        <v>16.68</v>
      </c>
      <c r="AJ648" s="320">
        <f>IFERROR(__xludf.DUMMYFUNCTION("""COMPUTED_VALUE"""),4.0)</f>
        <v>4</v>
      </c>
      <c r="AK648" s="320">
        <f>IFERROR(__xludf.DUMMYFUNCTION("""COMPUTED_VALUE"""),0.1877)</f>
        <v>0.1877</v>
      </c>
      <c r="AL648" s="320">
        <f>IFERROR(__xludf.DUMMYFUNCTION("""COMPUTED_VALUE"""),21.1)</f>
        <v>21.1</v>
      </c>
      <c r="AM648" s="320">
        <f>IFERROR(__xludf.DUMMYFUNCTION("""COMPUTED_VALUE"""),494.62)</f>
        <v>494.62</v>
      </c>
      <c r="AN648" s="320">
        <f>IFERROR(__xludf.DUMMYFUNCTION("""COMPUTED_VALUE"""),75.82)</f>
        <v>75.82</v>
      </c>
      <c r="AO648" s="320">
        <f>IFERROR(__xludf.DUMMYFUNCTION("""COMPUTED_VALUE"""),16.0)</f>
        <v>16</v>
      </c>
    </row>
    <row r="649" ht="15.0" customHeight="1">
      <c r="A649" s="328">
        <f>IFERROR(__xludf.DUMMYFUNCTION("""COMPUTED_VALUE"""),46157.0)</f>
        <v>46157</v>
      </c>
      <c r="B649" s="319" t="str">
        <f>IFERROR(__xludf.DUMMYFUNCTION("""COMPUTED_VALUE"""),"F. 100+")</f>
        <v>F. 100+</v>
      </c>
      <c r="C649" s="320">
        <f>IFERROR(__xludf.DUMMYFUNCTION("""COMPUTED_VALUE"""),294.0)</f>
        <v>294</v>
      </c>
      <c r="D649" s="320">
        <f>IFERROR(__xludf.DUMMYFUNCTION("""COMPUTED_VALUE"""),0.42)</f>
        <v>0.42</v>
      </c>
      <c r="E649" s="320">
        <f>IFERROR(__xludf.DUMMYFUNCTION("""COMPUTED_VALUE"""),3176.64)</f>
        <v>3176.64</v>
      </c>
      <c r="F649" s="320">
        <f>IFERROR(__xludf.DUMMYFUNCTION("""COMPUTED_VALUE"""),10.8049)</f>
        <v>10.8049</v>
      </c>
      <c r="G649" s="320">
        <f>IFERROR(__xludf.DUMMYFUNCTION("""COMPUTED_VALUE"""),51.36)</f>
        <v>51.36</v>
      </c>
      <c r="H649" s="320">
        <f>IFERROR(__xludf.DUMMYFUNCTION("""COMPUTED_VALUE"""),21.0374)</f>
        <v>21.0374</v>
      </c>
      <c r="I649" s="320">
        <f>IFERROR(__xludf.DUMMYFUNCTION("""COMPUTED_VALUE"""),234.0)</f>
        <v>234</v>
      </c>
      <c r="J649" s="320">
        <f>IFERROR(__xludf.DUMMYFUNCTION("""COMPUTED_VALUE"""),151.18)</f>
        <v>151.18</v>
      </c>
      <c r="K649" s="320">
        <f>IFERROR(__xludf.DUMMYFUNCTION("""COMPUTED_VALUE"""),119.38)</f>
        <v>119.38</v>
      </c>
      <c r="L649" s="320">
        <f>IFERROR(__xludf.DUMMYFUNCTION("""COMPUTED_VALUE"""),0.7896)</f>
        <v>0.7896</v>
      </c>
      <c r="M649" s="320">
        <f>IFERROR(__xludf.DUMMYFUNCTION("""COMPUTED_VALUE"""),0.2911)</f>
        <v>0.2911</v>
      </c>
      <c r="N649" s="320">
        <f>IFERROR(__xludf.DUMMYFUNCTION("""COMPUTED_VALUE"""),0.1676)</f>
        <v>0.1676</v>
      </c>
      <c r="O649" s="320">
        <f>IFERROR(__xludf.DUMMYFUNCTION("""COMPUTED_VALUE"""),1.2664)</f>
        <v>1.2664</v>
      </c>
      <c r="P649" s="320">
        <f>IFERROR(__xludf.DUMMYFUNCTION("""COMPUTED_VALUE"""),1162.51)</f>
        <v>1162.51</v>
      </c>
      <c r="Q649" s="320">
        <f>IFERROR(__xludf.DUMMYFUNCTION("""COMPUTED_VALUE"""),956.53)</f>
        <v>956.53</v>
      </c>
      <c r="R649" s="320">
        <f>IFERROR(__xludf.DUMMYFUNCTION("""COMPUTED_VALUE"""),205.99)</f>
        <v>205.99</v>
      </c>
      <c r="S649" s="320">
        <f>IFERROR(__xludf.DUMMYFUNCTION("""COMPUTED_VALUE"""),672.81)</f>
        <v>672.81</v>
      </c>
      <c r="T649" s="320">
        <f>IFERROR(__xludf.DUMMYFUNCTION("""COMPUTED_VALUE"""),489.71)</f>
        <v>489.71</v>
      </c>
      <c r="U649" s="320">
        <f>IFERROR(__xludf.DUMMYFUNCTION("""COMPUTED_VALUE"""),1212.93)</f>
        <v>1212.93</v>
      </c>
      <c r="V649" s="320">
        <f>IFERROR(__xludf.DUMMYFUNCTION("""COMPUTED_VALUE"""),8.0229)</f>
        <v>8.0229</v>
      </c>
      <c r="W649" s="320">
        <f>IFERROR(__xludf.DUMMYFUNCTION("""COMPUTED_VALUE"""),57.88)</f>
        <v>57.88</v>
      </c>
      <c r="X649" s="320">
        <f>IFERROR(__xludf.DUMMYFUNCTION("""COMPUTED_VALUE"""),124.0)</f>
        <v>124</v>
      </c>
      <c r="Y649" s="320">
        <f>IFERROR(__xludf.DUMMYFUNCTION("""COMPUTED_VALUE"""),620.0)</f>
        <v>620</v>
      </c>
      <c r="Z649" s="320">
        <f>IFERROR(__xludf.DUMMYFUNCTION("""COMPUTED_VALUE"""),2727.0)</f>
        <v>2727</v>
      </c>
      <c r="AA649" s="320">
        <f>IFERROR(__xludf.DUMMYFUNCTION("""COMPUTED_VALUE"""),61.0776)</f>
        <v>61.0776</v>
      </c>
      <c r="AB649" s="320">
        <f>IFERROR(__xludf.DUMMYFUNCTION("""COMPUTED_VALUE"""),0.841)</f>
        <v>0.841</v>
      </c>
      <c r="AC649" s="320">
        <f>IFERROR(__xludf.DUMMYFUNCTION("""COMPUTED_VALUE"""),82.86)</f>
        <v>82.86</v>
      </c>
      <c r="AD649" s="320">
        <f>IFERROR(__xludf.DUMMYFUNCTION("""COMPUTED_VALUE"""),30.0)</f>
        <v>30</v>
      </c>
      <c r="AE649" s="320">
        <f>IFERROR(__xludf.DUMMYFUNCTION("""COMPUTED_VALUE"""),66.0)</f>
        <v>66</v>
      </c>
      <c r="AF649" s="320">
        <f>IFERROR(__xludf.DUMMYFUNCTION("""COMPUTED_VALUE"""),123.0)</f>
        <v>123</v>
      </c>
      <c r="AG649" s="320">
        <f>IFERROR(__xludf.DUMMYFUNCTION("""COMPUTED_VALUE"""),169.0)</f>
        <v>169</v>
      </c>
      <c r="AH649" s="320">
        <f>IFERROR(__xludf.DUMMYFUNCTION("""COMPUTED_VALUE"""),42.86)</f>
        <v>42.86</v>
      </c>
      <c r="AI649" s="320">
        <f>IFERROR(__xludf.DUMMYFUNCTION("""COMPUTED_VALUE"""),8.84)</f>
        <v>8.84</v>
      </c>
      <c r="AJ649" s="320">
        <f>IFERROR(__xludf.DUMMYFUNCTION("""COMPUTED_VALUE"""),1.36)</f>
        <v>1.36</v>
      </c>
      <c r="AK649" s="320">
        <f>IFERROR(__xludf.DUMMYFUNCTION("""COMPUTED_VALUE"""),0.119)</f>
        <v>0.119</v>
      </c>
      <c r="AL649" s="320">
        <f>IFERROR(__xludf.DUMMYFUNCTION("""COMPUTED_VALUE"""),23.16)</f>
        <v>23.16</v>
      </c>
      <c r="AM649" s="320">
        <f>IFERROR(__xludf.DUMMYFUNCTION("""COMPUTED_VALUE"""),933.36)</f>
        <v>933.36</v>
      </c>
      <c r="AN649" s="320">
        <f>IFERROR(__xludf.DUMMYFUNCTION("""COMPUTED_VALUE"""),74.59)</f>
        <v>74.59</v>
      </c>
      <c r="AO649" s="320">
        <f>IFERROR(__xludf.DUMMYFUNCTION("""COMPUTED_VALUE"""),17.28)</f>
        <v>17.28</v>
      </c>
    </row>
    <row r="650" ht="15.0" customHeight="1">
      <c r="A650" s="328">
        <f>IFERROR(__xludf.DUMMYFUNCTION("""COMPUTED_VALUE"""),46158.0)</f>
        <v>46158</v>
      </c>
      <c r="B650" s="319" t="str">
        <f>IFERROR(__xludf.DUMMYFUNCTION("""COMPUTED_VALUE"""),"A. 0")</f>
        <v>A. 0</v>
      </c>
      <c r="C650" s="320">
        <f>IFERROR(__xludf.DUMMYFUNCTION("""COMPUTED_VALUE"""),15525.0)</f>
        <v>15525</v>
      </c>
      <c r="D650" s="320">
        <f>IFERROR(__xludf.DUMMYFUNCTION("""COMPUTED_VALUE"""),22.43)</f>
        <v>22.43</v>
      </c>
      <c r="E650" s="320">
        <f>IFERROR(__xludf.DUMMYFUNCTION("""COMPUTED_VALUE"""),107.52)</f>
        <v>107.52</v>
      </c>
      <c r="F650" s="320">
        <f>IFERROR(__xludf.DUMMYFUNCTION("""COMPUTED_VALUE"""),0.0069)</f>
        <v>0.0069</v>
      </c>
      <c r="G650" s="320">
        <f>IFERROR(__xludf.DUMMYFUNCTION("""COMPUTED_VALUE"""),0.19)</f>
        <v>0.19</v>
      </c>
      <c r="H650" s="320">
        <f>IFERROR(__xludf.DUMMYFUNCTION("""COMPUTED_VALUE"""),3.584)</f>
        <v>3.584</v>
      </c>
      <c r="I650" s="320">
        <f>IFERROR(__xludf.DUMMYFUNCTION("""COMPUTED_VALUE"""),6.44)</f>
        <v>6.44</v>
      </c>
      <c r="J650" s="320">
        <f>IFERROR(__xludf.DUMMYFUNCTION("""COMPUTED_VALUE"""),2.98)</f>
        <v>2.98</v>
      </c>
      <c r="K650" s="320">
        <f>IFERROR(__xludf.DUMMYFUNCTION("""COMPUTED_VALUE"""),0.06)</f>
        <v>0.06</v>
      </c>
      <c r="L650" s="320">
        <f>IFERROR(__xludf.DUMMYFUNCTION("""COMPUTED_VALUE"""),0.0209)</f>
        <v>0.0209</v>
      </c>
      <c r="M650" s="320">
        <f>IFERROR(__xludf.DUMMYFUNCTION("""COMPUTED_VALUE"""),0.9808)</f>
        <v>0.9808</v>
      </c>
      <c r="N650" s="320">
        <f>IFERROR(__xludf.DUMMYFUNCTION("""COMPUTED_VALUE"""),0.7509)</f>
        <v>0.7509</v>
      </c>
      <c r="O650" s="320">
        <f>IFERROR(__xludf.DUMMYFUNCTION("""COMPUTED_VALUE"""),47.8758)</f>
        <v>47.8758</v>
      </c>
      <c r="P650" s="320">
        <f>IFERROR(__xludf.DUMMYFUNCTION("""COMPUTED_VALUE"""),25.62)</f>
        <v>25.62</v>
      </c>
      <c r="Q650" s="320">
        <f>IFERROR(__xludf.DUMMYFUNCTION("""COMPUTED_VALUE"""),25.57)</f>
        <v>25.57</v>
      </c>
      <c r="R650" s="320">
        <f>IFERROR(__xludf.DUMMYFUNCTION("""COMPUTED_VALUE"""),0.05)</f>
        <v>0.05</v>
      </c>
      <c r="S650" s="320">
        <f>IFERROR(__xludf.DUMMYFUNCTION("""COMPUTED_VALUE"""),0.57)</f>
        <v>0.57</v>
      </c>
      <c r="T650" s="320">
        <f>IFERROR(__xludf.DUMMYFUNCTION("""COMPUTED_VALUE"""),25.06)</f>
        <v>25.06</v>
      </c>
      <c r="U650" s="320">
        <f>IFERROR(__xludf.DUMMYFUNCTION("""COMPUTED_VALUE"""),2.73)</f>
        <v>2.73</v>
      </c>
      <c r="V650" s="320">
        <f>IFERROR(__xludf.DUMMYFUNCTION("""COMPUTED_VALUE"""),0.9157)</f>
        <v>0.9157</v>
      </c>
      <c r="W650" s="320">
        <f>IFERROR(__xludf.DUMMYFUNCTION("""COMPUTED_VALUE"""),2.21)</f>
        <v>2.21</v>
      </c>
      <c r="X650" s="320">
        <f>IFERROR(__xludf.DUMMYFUNCTION("""COMPUTED_VALUE"""),140.0)</f>
        <v>140</v>
      </c>
      <c r="Y650" s="320">
        <f>IFERROR(__xludf.DUMMYFUNCTION("""COMPUTED_VALUE"""),1011.0)</f>
        <v>1011</v>
      </c>
      <c r="Z650" s="320">
        <f>IFERROR(__xludf.DUMMYFUNCTION("""COMPUTED_VALUE"""),7211.0)</f>
        <v>7211</v>
      </c>
      <c r="AA650" s="320">
        <f>IFERROR(__xludf.DUMMYFUNCTION("""COMPUTED_VALUE"""),49.3265)</f>
        <v>49.3265</v>
      </c>
      <c r="AB650" s="320">
        <f>IFERROR(__xludf.DUMMYFUNCTION("""COMPUTED_VALUE"""),0.4953)</f>
        <v>0.4953</v>
      </c>
      <c r="AC650" s="106"/>
      <c r="AD650" s="106"/>
      <c r="AE650" s="106"/>
      <c r="AF650" s="106"/>
      <c r="AG650" s="106"/>
      <c r="AH650" s="320">
        <f>IFERROR(__xludf.DUMMYFUNCTION("""COMPUTED_VALUE"""),0.0)</f>
        <v>0</v>
      </c>
      <c r="AI650" s="320">
        <f>IFERROR(__xludf.DUMMYFUNCTION("""COMPUTED_VALUE"""),0.0)</f>
        <v>0</v>
      </c>
      <c r="AJ650" s="320">
        <f>IFERROR(__xludf.DUMMYFUNCTION("""COMPUTED_VALUE"""),0.0)</f>
        <v>0</v>
      </c>
      <c r="AK650" s="320">
        <f>IFERROR(__xludf.DUMMYFUNCTION("""COMPUTED_VALUE"""),0.2753)</f>
        <v>0.2753</v>
      </c>
      <c r="AL650" s="320">
        <f>IFERROR(__xludf.DUMMYFUNCTION("""COMPUTED_VALUE"""),17.13)</f>
        <v>17.13</v>
      </c>
      <c r="AM650" s="320">
        <f>IFERROR(__xludf.DUMMYFUNCTION("""COMPUTED_VALUE"""),8.44)</f>
        <v>8.44</v>
      </c>
      <c r="AN650" s="331"/>
      <c r="AO650" s="331"/>
    </row>
    <row r="651" ht="15.0" customHeight="1">
      <c r="A651" s="328">
        <f>IFERROR(__xludf.DUMMYFUNCTION("""COMPUTED_VALUE"""),46158.0)</f>
        <v>46158</v>
      </c>
      <c r="B651" s="319" t="str">
        <f>IFERROR(__xludf.DUMMYFUNCTION("""COMPUTED_VALUE"""),"B. 1-9")</f>
        <v>B. 1-9</v>
      </c>
      <c r="C651" s="320">
        <f>IFERROR(__xludf.DUMMYFUNCTION("""COMPUTED_VALUE"""),29998.0)</f>
        <v>29998</v>
      </c>
      <c r="D651" s="320">
        <f>IFERROR(__xludf.DUMMYFUNCTION("""COMPUTED_VALUE"""),43.33)</f>
        <v>43.33</v>
      </c>
      <c r="E651" s="320">
        <f>IFERROR(__xludf.DUMMYFUNCTION("""COMPUTED_VALUE"""),7310.74)</f>
        <v>7310.74</v>
      </c>
      <c r="F651" s="320">
        <f>IFERROR(__xludf.DUMMYFUNCTION("""COMPUTED_VALUE"""),0.2437)</f>
        <v>0.2437</v>
      </c>
      <c r="G651" s="320">
        <f>IFERROR(__xludf.DUMMYFUNCTION("""COMPUTED_VALUE"""),7.01)</f>
        <v>7.01</v>
      </c>
      <c r="H651" s="320">
        <f>IFERROR(__xludf.DUMMYFUNCTION("""COMPUTED_VALUE"""),3.4747)</f>
        <v>3.4747</v>
      </c>
      <c r="I651" s="320">
        <f>IFERROR(__xludf.DUMMYFUNCTION("""COMPUTED_VALUE"""),31.36)</f>
        <v>31.36</v>
      </c>
      <c r="J651" s="320">
        <f>IFERROR(__xludf.DUMMYFUNCTION("""COMPUTED_VALUE"""),16.86)</f>
        <v>16.86</v>
      </c>
      <c r="K651" s="320">
        <f>IFERROR(__xludf.DUMMYFUNCTION("""COMPUTED_VALUE"""),5.35)</f>
        <v>5.35</v>
      </c>
      <c r="L651" s="320">
        <f>IFERROR(__xludf.DUMMYFUNCTION("""COMPUTED_VALUE"""),0.3175)</f>
        <v>0.3175</v>
      </c>
      <c r="M651" s="320">
        <f>IFERROR(__xludf.DUMMYFUNCTION("""COMPUTED_VALUE"""),0.755)</f>
        <v>0.755</v>
      </c>
      <c r="N651" s="320">
        <f>IFERROR(__xludf.DUMMYFUNCTION("""COMPUTED_VALUE"""),0.5066)</f>
        <v>0.5066</v>
      </c>
      <c r="O651" s="320">
        <f>IFERROR(__xludf.DUMMYFUNCTION("""COMPUTED_VALUE"""),3.1499)</f>
        <v>3.1499</v>
      </c>
      <c r="P651" s="320">
        <f>IFERROR(__xludf.DUMMYFUNCTION("""COMPUTED_VALUE"""),74.58)</f>
        <v>74.58</v>
      </c>
      <c r="Q651" s="320">
        <f>IFERROR(__xludf.DUMMYFUNCTION("""COMPUTED_VALUE"""),65.45)</f>
        <v>65.45</v>
      </c>
      <c r="R651" s="320">
        <f>IFERROR(__xludf.DUMMYFUNCTION("""COMPUTED_VALUE"""),9.13)</f>
        <v>9.13</v>
      </c>
      <c r="S651" s="320">
        <f>IFERROR(__xludf.DUMMYFUNCTION("""COMPUTED_VALUE"""),17.41)</f>
        <v>17.41</v>
      </c>
      <c r="T651" s="320">
        <f>IFERROR(__xludf.DUMMYFUNCTION("""COMPUTED_VALUE"""),57.17)</f>
        <v>57.17</v>
      </c>
      <c r="U651" s="320">
        <f>IFERROR(__xludf.DUMMYFUNCTION("""COMPUTED_VALUE"""),78.93)</f>
        <v>78.93</v>
      </c>
      <c r="V651" s="320">
        <f>IFERROR(__xludf.DUMMYFUNCTION("""COMPUTED_VALUE"""),4.6814)</f>
        <v>4.6814</v>
      </c>
      <c r="W651" s="320">
        <f>IFERROR(__xludf.DUMMYFUNCTION("""COMPUTED_VALUE"""),23.34)</f>
        <v>23.34</v>
      </c>
      <c r="X651" s="320">
        <f>IFERROR(__xludf.DUMMYFUNCTION("""COMPUTED_VALUE"""),86.0)</f>
        <v>86</v>
      </c>
      <c r="Y651" s="320">
        <f>IFERROR(__xludf.DUMMYFUNCTION("""COMPUTED_VALUE"""),212.0)</f>
        <v>212</v>
      </c>
      <c r="Z651" s="320">
        <f>IFERROR(__xludf.DUMMYFUNCTION("""COMPUTED_VALUE"""),947.0)</f>
        <v>947</v>
      </c>
      <c r="AA651" s="320">
        <f>IFERROR(__xludf.DUMMYFUNCTION("""COMPUTED_VALUE"""),49.6109)</f>
        <v>49.6109</v>
      </c>
      <c r="AB651" s="320">
        <f>IFERROR(__xludf.DUMMYFUNCTION("""COMPUTED_VALUE"""),0.4473)</f>
        <v>0.4473</v>
      </c>
      <c r="AC651" s="320">
        <f>IFERROR(__xludf.DUMMYFUNCTION("""COMPUTED_VALUE"""),3.57)</f>
        <v>3.57</v>
      </c>
      <c r="AD651" s="320">
        <f>IFERROR(__xludf.DUMMYFUNCTION("""COMPUTED_VALUE"""),1.0)</f>
        <v>1</v>
      </c>
      <c r="AE651" s="320">
        <f>IFERROR(__xludf.DUMMYFUNCTION("""COMPUTED_VALUE"""),2.0)</f>
        <v>2</v>
      </c>
      <c r="AF651" s="320">
        <f>IFERROR(__xludf.DUMMYFUNCTION("""COMPUTED_VALUE"""),5.0)</f>
        <v>5</v>
      </c>
      <c r="AG651" s="320">
        <f>IFERROR(__xludf.DUMMYFUNCTION("""COMPUTED_VALUE"""),8.0)</f>
        <v>8</v>
      </c>
      <c r="AH651" s="320">
        <f>IFERROR(__xludf.DUMMYFUNCTION("""COMPUTED_VALUE"""),66.28)</f>
        <v>66.28</v>
      </c>
      <c r="AI651" s="320">
        <f>IFERROR(__xludf.DUMMYFUNCTION("""COMPUTED_VALUE"""),24.84)</f>
        <v>24.84</v>
      </c>
      <c r="AJ651" s="320">
        <f>IFERROR(__xludf.DUMMYFUNCTION("""COMPUTED_VALUE"""),7.38)</f>
        <v>7.38</v>
      </c>
      <c r="AK651" s="320">
        <f>IFERROR(__xludf.DUMMYFUNCTION("""COMPUTED_VALUE"""),0.2201)</f>
        <v>0.2201</v>
      </c>
      <c r="AL651" s="320">
        <f>IFERROR(__xludf.DUMMYFUNCTION("""COMPUTED_VALUE"""),23.69)</f>
        <v>23.69</v>
      </c>
      <c r="AM651" s="320">
        <f>IFERROR(__xludf.DUMMYFUNCTION("""COMPUTED_VALUE"""),41.76)</f>
        <v>41.76</v>
      </c>
      <c r="AN651" s="320">
        <f>IFERROR(__xludf.DUMMYFUNCTION("""COMPUTED_VALUE"""),67.73)</f>
        <v>67.73</v>
      </c>
      <c r="AO651" s="320">
        <f>IFERROR(__xludf.DUMMYFUNCTION("""COMPUTED_VALUE"""),16.05)</f>
        <v>16.05</v>
      </c>
    </row>
    <row r="652" ht="15.0" customHeight="1">
      <c r="A652" s="328">
        <f>IFERROR(__xludf.DUMMYFUNCTION("""COMPUTED_VALUE"""),46158.0)</f>
        <v>46158</v>
      </c>
      <c r="B652" s="319" t="str">
        <f>IFERROR(__xludf.DUMMYFUNCTION("""COMPUTED_VALUE"""),"C. 10-19")</f>
        <v>C. 10-19</v>
      </c>
      <c r="C652" s="320">
        <f>IFERROR(__xludf.DUMMYFUNCTION("""COMPUTED_VALUE"""),13654.0)</f>
        <v>13654</v>
      </c>
      <c r="D652" s="320">
        <f>IFERROR(__xludf.DUMMYFUNCTION("""COMPUTED_VALUE"""),19.72)</f>
        <v>19.72</v>
      </c>
      <c r="E652" s="320">
        <f>IFERROR(__xludf.DUMMYFUNCTION("""COMPUTED_VALUE"""),14342.22)</f>
        <v>14342.22</v>
      </c>
      <c r="F652" s="320">
        <f>IFERROR(__xludf.DUMMYFUNCTION("""COMPUTED_VALUE"""),1.0504)</f>
        <v>1.0504</v>
      </c>
      <c r="G652" s="320">
        <f>IFERROR(__xludf.DUMMYFUNCTION("""COMPUTED_VALUE"""),21.63)</f>
        <v>21.63</v>
      </c>
      <c r="H652" s="320">
        <f>IFERROR(__xludf.DUMMYFUNCTION("""COMPUTED_VALUE"""),4.8568)</f>
        <v>4.8568</v>
      </c>
      <c r="I652" s="320">
        <f>IFERROR(__xludf.DUMMYFUNCTION("""COMPUTED_VALUE"""),56.6)</f>
        <v>56.6</v>
      </c>
      <c r="J652" s="320">
        <f>IFERROR(__xludf.DUMMYFUNCTION("""COMPUTED_VALUE"""),32.28)</f>
        <v>32.28</v>
      </c>
      <c r="K652" s="320">
        <f>IFERROR(__xludf.DUMMYFUNCTION("""COMPUTED_VALUE"""),13.39)</f>
        <v>13.39</v>
      </c>
      <c r="L652" s="320">
        <f>IFERROR(__xludf.DUMMYFUNCTION("""COMPUTED_VALUE"""),0.4148)</f>
        <v>0.4148</v>
      </c>
      <c r="M652" s="320">
        <f>IFERROR(__xludf.DUMMYFUNCTION("""COMPUTED_VALUE"""),0.65)</f>
        <v>0.65</v>
      </c>
      <c r="N652" s="320">
        <f>IFERROR(__xludf.DUMMYFUNCTION("""COMPUTED_VALUE"""),0.3675)</f>
        <v>0.3675</v>
      </c>
      <c r="O652" s="320">
        <f>IFERROR(__xludf.DUMMYFUNCTION("""COMPUTED_VALUE"""),2.4108)</f>
        <v>2.4108</v>
      </c>
      <c r="P652" s="320">
        <f>IFERROR(__xludf.DUMMYFUNCTION("""COMPUTED_VALUE"""),175.02)</f>
        <v>175.02</v>
      </c>
      <c r="Q652" s="320">
        <f>IFERROR(__xludf.DUMMYFUNCTION("""COMPUTED_VALUE"""),151.98)</f>
        <v>151.98</v>
      </c>
      <c r="R652" s="320">
        <f>IFERROR(__xludf.DUMMYFUNCTION("""COMPUTED_VALUE"""),23.04)</f>
        <v>23.04</v>
      </c>
      <c r="S652" s="320">
        <f>IFERROR(__xludf.DUMMYFUNCTION("""COMPUTED_VALUE"""),70.89)</f>
        <v>70.89</v>
      </c>
      <c r="T652" s="320">
        <f>IFERROR(__xludf.DUMMYFUNCTION("""COMPUTED_VALUE"""),104.14)</f>
        <v>104.14</v>
      </c>
      <c r="U652" s="320">
        <f>IFERROR(__xludf.DUMMYFUNCTION("""COMPUTED_VALUE"""),180.61)</f>
        <v>180.61</v>
      </c>
      <c r="V652" s="320">
        <f>IFERROR(__xludf.DUMMYFUNCTION("""COMPUTED_VALUE"""),5.5959)</f>
        <v>5.5959</v>
      </c>
      <c r="W652" s="320">
        <f>IFERROR(__xludf.DUMMYFUNCTION("""COMPUTED_VALUE"""),40.5)</f>
        <v>40.5</v>
      </c>
      <c r="X652" s="320">
        <f>IFERROR(__xludf.DUMMYFUNCTION("""COMPUTED_VALUE"""),82.0)</f>
        <v>82</v>
      </c>
      <c r="Y652" s="320">
        <f>IFERROR(__xludf.DUMMYFUNCTION("""COMPUTED_VALUE"""),195.0)</f>
        <v>195</v>
      </c>
      <c r="Z652" s="320">
        <f>IFERROR(__xludf.DUMMYFUNCTION("""COMPUTED_VALUE"""),630.0)</f>
        <v>630</v>
      </c>
      <c r="AA652" s="320">
        <f>IFERROR(__xludf.DUMMYFUNCTION("""COMPUTED_VALUE"""),52.5032)</f>
        <v>52.5032</v>
      </c>
      <c r="AB652" s="320">
        <f>IFERROR(__xludf.DUMMYFUNCTION("""COMPUTED_VALUE"""),0.5526)</f>
        <v>0.5526</v>
      </c>
      <c r="AC652" s="320">
        <f>IFERROR(__xludf.DUMMYFUNCTION("""COMPUTED_VALUE"""),8.86)</f>
        <v>8.86</v>
      </c>
      <c r="AD652" s="320">
        <f>IFERROR(__xludf.DUMMYFUNCTION("""COMPUTED_VALUE"""),3.0)</f>
        <v>3</v>
      </c>
      <c r="AE652" s="320">
        <f>IFERROR(__xludf.DUMMYFUNCTION("""COMPUTED_VALUE"""),6.0)</f>
        <v>6</v>
      </c>
      <c r="AF652" s="320">
        <f>IFERROR(__xludf.DUMMYFUNCTION("""COMPUTED_VALUE"""),12.0)</f>
        <v>12</v>
      </c>
      <c r="AG652" s="320">
        <f>IFERROR(__xludf.DUMMYFUNCTION("""COMPUTED_VALUE"""),20.0)</f>
        <v>20</v>
      </c>
      <c r="AH652" s="320">
        <f>IFERROR(__xludf.DUMMYFUNCTION("""COMPUTED_VALUE"""),53.98)</f>
        <v>53.98</v>
      </c>
      <c r="AI652" s="320">
        <f>IFERROR(__xludf.DUMMYFUNCTION("""COMPUTED_VALUE"""),24.79)</f>
        <v>24.79</v>
      </c>
      <c r="AJ652" s="320">
        <f>IFERROR(__xludf.DUMMYFUNCTION("""COMPUTED_VALUE"""),4.72)</f>
        <v>4.72</v>
      </c>
      <c r="AK652" s="320">
        <f>IFERROR(__xludf.DUMMYFUNCTION("""COMPUTED_VALUE"""),0.2034)</f>
        <v>0.2034</v>
      </c>
      <c r="AL652" s="320">
        <f>IFERROR(__xludf.DUMMYFUNCTION("""COMPUTED_VALUE"""),23.49)</f>
        <v>23.49</v>
      </c>
      <c r="AM652" s="320">
        <f>IFERROR(__xludf.DUMMYFUNCTION("""COMPUTED_VALUE"""),128.49)</f>
        <v>128.49</v>
      </c>
      <c r="AN652" s="320">
        <f>IFERROR(__xludf.DUMMYFUNCTION("""COMPUTED_VALUE"""),73.94)</f>
        <v>73.94</v>
      </c>
      <c r="AO652" s="320">
        <f>IFERROR(__xludf.DUMMYFUNCTION("""COMPUTED_VALUE"""),17.37)</f>
        <v>17.37</v>
      </c>
    </row>
    <row r="653" ht="15.0" customHeight="1">
      <c r="A653" s="328">
        <f>IFERROR(__xludf.DUMMYFUNCTION("""COMPUTED_VALUE"""),46158.0)</f>
        <v>46158</v>
      </c>
      <c r="B653" s="319" t="str">
        <f>IFERROR(__xludf.DUMMYFUNCTION("""COMPUTED_VALUE"""),"D. 20-39")</f>
        <v>D. 20-39</v>
      </c>
      <c r="C653" s="320">
        <f>IFERROR(__xludf.DUMMYFUNCTION("""COMPUTED_VALUE"""),7055.0)</f>
        <v>7055</v>
      </c>
      <c r="D653" s="320">
        <f>IFERROR(__xludf.DUMMYFUNCTION("""COMPUTED_VALUE"""),10.19)</f>
        <v>10.19</v>
      </c>
      <c r="E653" s="320">
        <f>IFERROR(__xludf.DUMMYFUNCTION("""COMPUTED_VALUE"""),18543.0)</f>
        <v>18543</v>
      </c>
      <c r="F653" s="320">
        <f>IFERROR(__xludf.DUMMYFUNCTION("""COMPUTED_VALUE"""),2.6283)</f>
        <v>2.6283</v>
      </c>
      <c r="G653" s="320">
        <f>IFERROR(__xludf.DUMMYFUNCTION("""COMPUTED_VALUE"""),33.72)</f>
        <v>33.72</v>
      </c>
      <c r="H653" s="320">
        <f>IFERROR(__xludf.DUMMYFUNCTION("""COMPUTED_VALUE"""),7.7945)</f>
        <v>7.7945</v>
      </c>
      <c r="I653" s="320">
        <f>IFERROR(__xludf.DUMMYFUNCTION("""COMPUTED_VALUE"""),78.64)</f>
        <v>78.64</v>
      </c>
      <c r="J653" s="320">
        <f>IFERROR(__xludf.DUMMYFUNCTION("""COMPUTED_VALUE"""),46.44)</f>
        <v>46.44</v>
      </c>
      <c r="K653" s="320">
        <f>IFERROR(__xludf.DUMMYFUNCTION("""COMPUTED_VALUE"""),24.5)</f>
        <v>24.5</v>
      </c>
      <c r="L653" s="320">
        <f>IFERROR(__xludf.DUMMYFUNCTION("""COMPUTED_VALUE"""),0.5276)</f>
        <v>0.5276</v>
      </c>
      <c r="M653" s="320">
        <f>IFERROR(__xludf.DUMMYFUNCTION("""COMPUTED_VALUE"""),0.5472)</f>
        <v>0.5472</v>
      </c>
      <c r="N653" s="320">
        <f>IFERROR(__xludf.DUMMYFUNCTION("""COMPUTED_VALUE"""),0.2958)</f>
        <v>0.2958</v>
      </c>
      <c r="O653" s="320">
        <f>IFERROR(__xludf.DUMMYFUNCTION("""COMPUTED_VALUE"""),1.8952)</f>
        <v>1.8952</v>
      </c>
      <c r="P653" s="320">
        <f>IFERROR(__xludf.DUMMYFUNCTION("""COMPUTED_VALUE"""),331.38)</f>
        <v>331.38</v>
      </c>
      <c r="Q653" s="320">
        <f>IFERROR(__xludf.DUMMYFUNCTION("""COMPUTED_VALUE"""),289.05)</f>
        <v>289.05</v>
      </c>
      <c r="R653" s="320">
        <f>IFERROR(__xludf.DUMMYFUNCTION("""COMPUTED_VALUE"""),42.34)</f>
        <v>42.34</v>
      </c>
      <c r="S653" s="320">
        <f>IFERROR(__xludf.DUMMYFUNCTION("""COMPUTED_VALUE"""),167.17)</f>
        <v>167.17</v>
      </c>
      <c r="T653" s="320">
        <f>IFERROR(__xludf.DUMMYFUNCTION("""COMPUTED_VALUE"""),164.21)</f>
        <v>164.21</v>
      </c>
      <c r="U653" s="320">
        <f>IFERROR(__xludf.DUMMYFUNCTION("""COMPUTED_VALUE"""),342.27)</f>
        <v>342.27</v>
      </c>
      <c r="V653" s="320">
        <f>IFERROR(__xludf.DUMMYFUNCTION("""COMPUTED_VALUE"""),7.3709)</f>
        <v>7.3709</v>
      </c>
      <c r="W653" s="320">
        <f>IFERROR(__xludf.DUMMYFUNCTION("""COMPUTED_VALUE"""),50.45)</f>
        <v>50.45</v>
      </c>
      <c r="X653" s="320">
        <f>IFERROR(__xludf.DUMMYFUNCTION("""COMPUTED_VALUE"""),85.0)</f>
        <v>85</v>
      </c>
      <c r="Y653" s="320">
        <f>IFERROR(__xludf.DUMMYFUNCTION("""COMPUTED_VALUE"""),219.0)</f>
        <v>219</v>
      </c>
      <c r="Z653" s="320">
        <f>IFERROR(__xludf.DUMMYFUNCTION("""COMPUTED_VALUE"""),679.0)</f>
        <v>679</v>
      </c>
      <c r="AA653" s="320">
        <f>IFERROR(__xludf.DUMMYFUNCTION("""COMPUTED_VALUE"""),54.5746)</f>
        <v>54.5746</v>
      </c>
      <c r="AB653" s="320">
        <f>IFERROR(__xludf.DUMMYFUNCTION("""COMPUTED_VALUE"""),0.6629)</f>
        <v>0.6629</v>
      </c>
      <c r="AC653" s="320">
        <f>IFERROR(__xludf.DUMMYFUNCTION("""COMPUTED_VALUE"""),16.63)</f>
        <v>16.63</v>
      </c>
      <c r="AD653" s="320">
        <f>IFERROR(__xludf.DUMMYFUNCTION("""COMPUTED_VALUE"""),5.0)</f>
        <v>5</v>
      </c>
      <c r="AE653" s="320">
        <f>IFERROR(__xludf.DUMMYFUNCTION("""COMPUTED_VALUE"""),12.0)</f>
        <v>12</v>
      </c>
      <c r="AF653" s="320">
        <f>IFERROR(__xludf.DUMMYFUNCTION("""COMPUTED_VALUE"""),24.0)</f>
        <v>24</v>
      </c>
      <c r="AG653" s="320">
        <f>IFERROR(__xludf.DUMMYFUNCTION("""COMPUTED_VALUE"""),37.0)</f>
        <v>37</v>
      </c>
      <c r="AH653" s="320">
        <f>IFERROR(__xludf.DUMMYFUNCTION("""COMPUTED_VALUE"""),53.75)</f>
        <v>53.75</v>
      </c>
      <c r="AI653" s="320">
        <f>IFERROR(__xludf.DUMMYFUNCTION("""COMPUTED_VALUE"""),22.18)</f>
        <v>22.18</v>
      </c>
      <c r="AJ653" s="320">
        <f>IFERROR(__xludf.DUMMYFUNCTION("""COMPUTED_VALUE"""),6.66)</f>
        <v>6.66</v>
      </c>
      <c r="AK653" s="320">
        <f>IFERROR(__xludf.DUMMYFUNCTION("""COMPUTED_VALUE"""),0.2031)</f>
        <v>0.2031</v>
      </c>
      <c r="AL653" s="320">
        <f>IFERROR(__xludf.DUMMYFUNCTION("""COMPUTED_VALUE"""),23.02)</f>
        <v>23.02</v>
      </c>
      <c r="AM653" s="320">
        <f>IFERROR(__xludf.DUMMYFUNCTION("""COMPUTED_VALUE"""),266.03)</f>
        <v>266.03</v>
      </c>
      <c r="AN653" s="320">
        <f>IFERROR(__xludf.DUMMYFUNCTION("""COMPUTED_VALUE"""),74.68)</f>
        <v>74.68</v>
      </c>
      <c r="AO653" s="320">
        <f>IFERROR(__xludf.DUMMYFUNCTION("""COMPUTED_VALUE"""),17.19)</f>
        <v>17.19</v>
      </c>
    </row>
    <row r="654" ht="15.0" customHeight="1">
      <c r="A654" s="328">
        <f>IFERROR(__xludf.DUMMYFUNCTION("""COMPUTED_VALUE"""),46158.0)</f>
        <v>46158</v>
      </c>
      <c r="B654" s="319" t="str">
        <f>IFERROR(__xludf.DUMMYFUNCTION("""COMPUTED_VALUE"""),"E. 40-99")</f>
        <v>E. 40-99</v>
      </c>
      <c r="C654" s="320">
        <f>IFERROR(__xludf.DUMMYFUNCTION("""COMPUTED_VALUE"""),2683.0)</f>
        <v>2683</v>
      </c>
      <c r="D654" s="320">
        <f>IFERROR(__xludf.DUMMYFUNCTION("""COMPUTED_VALUE"""),3.88)</f>
        <v>3.88</v>
      </c>
      <c r="E654" s="320">
        <f>IFERROR(__xludf.DUMMYFUNCTION("""COMPUTED_VALUE"""),16185.22)</f>
        <v>16185.22</v>
      </c>
      <c r="F654" s="320">
        <f>IFERROR(__xludf.DUMMYFUNCTION("""COMPUTED_VALUE"""),6.0325)</f>
        <v>6.0325</v>
      </c>
      <c r="G654" s="320">
        <f>IFERROR(__xludf.DUMMYFUNCTION("""COMPUTED_VALUE"""),44.17)</f>
        <v>44.17</v>
      </c>
      <c r="H654" s="320">
        <f>IFERROR(__xludf.DUMMYFUNCTION("""COMPUTED_VALUE"""),13.6584)</f>
        <v>13.6584</v>
      </c>
      <c r="I654" s="320">
        <f>IFERROR(__xludf.DUMMYFUNCTION("""COMPUTED_VALUE"""),124.79)</f>
        <v>124.79</v>
      </c>
      <c r="J654" s="320">
        <f>IFERROR(__xludf.DUMMYFUNCTION("""COMPUTED_VALUE"""),76.9)</f>
        <v>76.9</v>
      </c>
      <c r="K654" s="320">
        <f>IFERROR(__xludf.DUMMYFUNCTION("""COMPUTED_VALUE"""),52.33)</f>
        <v>52.33</v>
      </c>
      <c r="L654" s="320">
        <f>IFERROR(__xludf.DUMMYFUNCTION("""COMPUTED_VALUE"""),0.6805)</f>
        <v>0.6805</v>
      </c>
      <c r="M654" s="320">
        <f>IFERROR(__xludf.DUMMYFUNCTION("""COMPUTED_VALUE"""),0.408)</f>
        <v>0.408</v>
      </c>
      <c r="N654" s="320">
        <f>IFERROR(__xludf.DUMMYFUNCTION("""COMPUTED_VALUE"""),0.2273)</f>
        <v>0.2273</v>
      </c>
      <c r="O654" s="320">
        <f>IFERROR(__xludf.DUMMYFUNCTION("""COMPUTED_VALUE"""),1.4696)</f>
        <v>1.4696</v>
      </c>
      <c r="P654" s="320">
        <f>IFERROR(__xludf.DUMMYFUNCTION("""COMPUTED_VALUE"""),678.32)</f>
        <v>678.32</v>
      </c>
      <c r="Q654" s="320">
        <f>IFERROR(__xludf.DUMMYFUNCTION("""COMPUTED_VALUE"""),586.86)</f>
        <v>586.86</v>
      </c>
      <c r="R654" s="320">
        <f>IFERROR(__xludf.DUMMYFUNCTION("""COMPUTED_VALUE"""),91.46)</f>
        <v>91.46</v>
      </c>
      <c r="S654" s="320">
        <f>IFERROR(__xludf.DUMMYFUNCTION("""COMPUTED_VALUE"""),375.74)</f>
        <v>375.74</v>
      </c>
      <c r="T654" s="320">
        <f>IFERROR(__xludf.DUMMYFUNCTION("""COMPUTED_VALUE"""),302.58)</f>
        <v>302.58</v>
      </c>
      <c r="U654" s="320">
        <f>IFERROR(__xludf.DUMMYFUNCTION("""COMPUTED_VALUE"""),693.78)</f>
        <v>693.78</v>
      </c>
      <c r="V654" s="320">
        <f>IFERROR(__xludf.DUMMYFUNCTION("""COMPUTED_VALUE"""),9.0217)</f>
        <v>9.0217</v>
      </c>
      <c r="W654" s="320">
        <f>IFERROR(__xludf.DUMMYFUNCTION("""COMPUTED_VALUE"""),55.39)</f>
        <v>55.39</v>
      </c>
      <c r="X654" s="320">
        <f>IFERROR(__xludf.DUMMYFUNCTION("""COMPUTED_VALUE"""),96.0)</f>
        <v>96</v>
      </c>
      <c r="Y654" s="320">
        <f>IFERROR(__xludf.DUMMYFUNCTION("""COMPUTED_VALUE"""),331.0)</f>
        <v>331</v>
      </c>
      <c r="Z654" s="320">
        <f>IFERROR(__xludf.DUMMYFUNCTION("""COMPUTED_VALUE"""),1005.0)</f>
        <v>1005</v>
      </c>
      <c r="AA654" s="320">
        <f>IFERROR(__xludf.DUMMYFUNCTION("""COMPUTED_VALUE"""),57.74)</f>
        <v>57.74</v>
      </c>
      <c r="AB654" s="320">
        <f>IFERROR(__xludf.DUMMYFUNCTION("""COMPUTED_VALUE"""),0.7606)</f>
        <v>0.7606</v>
      </c>
      <c r="AC654" s="320">
        <f>IFERROR(__xludf.DUMMYFUNCTION("""COMPUTED_VALUE"""),36.03)</f>
        <v>36.03</v>
      </c>
      <c r="AD654" s="320">
        <f>IFERROR(__xludf.DUMMYFUNCTION("""COMPUTED_VALUE"""),11.0)</f>
        <v>11</v>
      </c>
      <c r="AE654" s="320">
        <f>IFERROR(__xludf.DUMMYFUNCTION("""COMPUTED_VALUE"""),27.0)</f>
        <v>27</v>
      </c>
      <c r="AF654" s="320">
        <f>IFERROR(__xludf.DUMMYFUNCTION("""COMPUTED_VALUE"""),51.0)</f>
        <v>51</v>
      </c>
      <c r="AG654" s="320">
        <f>IFERROR(__xludf.DUMMYFUNCTION("""COMPUTED_VALUE"""),79.0)</f>
        <v>79</v>
      </c>
      <c r="AH654" s="320">
        <f>IFERROR(__xludf.DUMMYFUNCTION("""COMPUTED_VALUE"""),48.83)</f>
        <v>48.83</v>
      </c>
      <c r="AI654" s="320">
        <f>IFERROR(__xludf.DUMMYFUNCTION("""COMPUTED_VALUE"""),18.45)</f>
        <v>18.45</v>
      </c>
      <c r="AJ654" s="320">
        <f>IFERROR(__xludf.DUMMYFUNCTION("""COMPUTED_VALUE"""),4.92)</f>
        <v>4.92</v>
      </c>
      <c r="AK654" s="320">
        <f>IFERROR(__xludf.DUMMYFUNCTION("""COMPUTED_VALUE"""),0.1905)</f>
        <v>0.1905</v>
      </c>
      <c r="AL654" s="320">
        <f>IFERROR(__xludf.DUMMYFUNCTION("""COMPUTED_VALUE"""),22.65)</f>
        <v>22.65</v>
      </c>
      <c r="AM654" s="320">
        <f>IFERROR(__xludf.DUMMYFUNCTION("""COMPUTED_VALUE"""),564.21)</f>
        <v>564.21</v>
      </c>
      <c r="AN654" s="320">
        <f>IFERROR(__xludf.DUMMYFUNCTION("""COMPUTED_VALUE"""),73.32)</f>
        <v>73.32</v>
      </c>
      <c r="AO654" s="320">
        <f>IFERROR(__xludf.DUMMYFUNCTION("""COMPUTED_VALUE"""),16.61)</f>
        <v>16.61</v>
      </c>
    </row>
    <row r="655" ht="15.0" customHeight="1">
      <c r="A655" s="328">
        <f>IFERROR(__xludf.DUMMYFUNCTION("""COMPUTED_VALUE"""),46158.0)</f>
        <v>46158</v>
      </c>
      <c r="B655" s="319" t="str">
        <f>IFERROR(__xludf.DUMMYFUNCTION("""COMPUTED_VALUE"""),"F. 100+")</f>
        <v>F. 100+</v>
      </c>
      <c r="C655" s="320">
        <f>IFERROR(__xludf.DUMMYFUNCTION("""COMPUTED_VALUE"""),312.0)</f>
        <v>312</v>
      </c>
      <c r="D655" s="320">
        <f>IFERROR(__xludf.DUMMYFUNCTION("""COMPUTED_VALUE"""),0.45)</f>
        <v>0.45</v>
      </c>
      <c r="E655" s="320">
        <f>IFERROR(__xludf.DUMMYFUNCTION("""COMPUTED_VALUE"""),3317.22)</f>
        <v>3317.22</v>
      </c>
      <c r="F655" s="320">
        <f>IFERROR(__xludf.DUMMYFUNCTION("""COMPUTED_VALUE"""),10.6321)</f>
        <v>10.6321</v>
      </c>
      <c r="G655" s="320">
        <f>IFERROR(__xludf.DUMMYFUNCTION("""COMPUTED_VALUE"""),48.08)</f>
        <v>48.08</v>
      </c>
      <c r="H655" s="320">
        <f>IFERROR(__xludf.DUMMYFUNCTION("""COMPUTED_VALUE"""),22.1148)</f>
        <v>22.1148</v>
      </c>
      <c r="I655" s="320">
        <f>IFERROR(__xludf.DUMMYFUNCTION("""COMPUTED_VALUE"""),230.49)</f>
        <v>230.49</v>
      </c>
      <c r="J655" s="320">
        <f>IFERROR(__xludf.DUMMYFUNCTION("""COMPUTED_VALUE"""),153.12)</f>
        <v>153.12</v>
      </c>
      <c r="K655" s="320">
        <f>IFERROR(__xludf.DUMMYFUNCTION("""COMPUTED_VALUE"""),123.6)</f>
        <v>123.6</v>
      </c>
      <c r="L655" s="320">
        <f>IFERROR(__xludf.DUMMYFUNCTION("""COMPUTED_VALUE"""),0.8072)</f>
        <v>0.8072</v>
      </c>
      <c r="M655" s="320">
        <f>IFERROR(__xludf.DUMMYFUNCTION("""COMPUTED_VALUE"""),0.2766)</f>
        <v>0.2766</v>
      </c>
      <c r="N655" s="320">
        <f>IFERROR(__xludf.DUMMYFUNCTION("""COMPUTED_VALUE"""),0.1657)</f>
        <v>0.1657</v>
      </c>
      <c r="O655" s="320">
        <f>IFERROR(__xludf.DUMMYFUNCTION("""COMPUTED_VALUE"""),1.2389)</f>
        <v>1.2389</v>
      </c>
      <c r="P655" s="320">
        <f>IFERROR(__xludf.DUMMYFUNCTION("""COMPUTED_VALUE"""),1214.69)</f>
        <v>1214.69</v>
      </c>
      <c r="Q655" s="320">
        <f>IFERROR(__xludf.DUMMYFUNCTION("""COMPUTED_VALUE"""),998.19)</f>
        <v>998.19</v>
      </c>
      <c r="R655" s="320">
        <f>IFERROR(__xludf.DUMMYFUNCTION("""COMPUTED_VALUE"""),216.51)</f>
        <v>216.51</v>
      </c>
      <c r="S655" s="320">
        <f>IFERROR(__xludf.DUMMYFUNCTION("""COMPUTED_VALUE"""),646.78)</f>
        <v>646.78</v>
      </c>
      <c r="T655" s="320">
        <f>IFERROR(__xludf.DUMMYFUNCTION("""COMPUTED_VALUE"""),567.91)</f>
        <v>567.91</v>
      </c>
      <c r="U655" s="320">
        <f>IFERROR(__xludf.DUMMYFUNCTION("""COMPUTED_VALUE"""),1307.37)</f>
        <v>1307.37</v>
      </c>
      <c r="V655" s="320">
        <f>IFERROR(__xludf.DUMMYFUNCTION("""COMPUTED_VALUE"""),8.5381)</f>
        <v>8.5381</v>
      </c>
      <c r="W655" s="320">
        <f>IFERROR(__xludf.DUMMYFUNCTION("""COMPUTED_VALUE"""),53.25)</f>
        <v>53.25</v>
      </c>
      <c r="X655" s="320">
        <f>IFERROR(__xludf.DUMMYFUNCTION("""COMPUTED_VALUE"""),134.0)</f>
        <v>134</v>
      </c>
      <c r="Y655" s="320">
        <f>IFERROR(__xludf.DUMMYFUNCTION("""COMPUTED_VALUE"""),490.0)</f>
        <v>490</v>
      </c>
      <c r="Z655" s="320">
        <f>IFERROR(__xludf.DUMMYFUNCTION("""COMPUTED_VALUE"""),2070.0)</f>
        <v>2070</v>
      </c>
      <c r="AA655" s="320">
        <f>IFERROR(__xludf.DUMMYFUNCTION("""COMPUTED_VALUE"""),61.4274)</f>
        <v>61.4274</v>
      </c>
      <c r="AB655" s="320">
        <f>IFERROR(__xludf.DUMMYFUNCTION("""COMPUTED_VALUE"""),0.8325)</f>
        <v>0.8325</v>
      </c>
      <c r="AC655" s="320">
        <f>IFERROR(__xludf.DUMMYFUNCTION("""COMPUTED_VALUE"""),82.95)</f>
        <v>82.95</v>
      </c>
      <c r="AD655" s="320">
        <f>IFERROR(__xludf.DUMMYFUNCTION("""COMPUTED_VALUE"""),29.0)</f>
        <v>29</v>
      </c>
      <c r="AE655" s="320">
        <f>IFERROR(__xludf.DUMMYFUNCTION("""COMPUTED_VALUE"""),67.0)</f>
        <v>67</v>
      </c>
      <c r="AF655" s="320">
        <f>IFERROR(__xludf.DUMMYFUNCTION("""COMPUTED_VALUE"""),118.0)</f>
        <v>118</v>
      </c>
      <c r="AG655" s="320">
        <f>IFERROR(__xludf.DUMMYFUNCTION("""COMPUTED_VALUE"""),166.0)</f>
        <v>166</v>
      </c>
      <c r="AH655" s="320">
        <f>IFERROR(__xludf.DUMMYFUNCTION("""COMPUTED_VALUE"""),42.63)</f>
        <v>42.63</v>
      </c>
      <c r="AI655" s="320">
        <f>IFERROR(__xludf.DUMMYFUNCTION("""COMPUTED_VALUE"""),8.97)</f>
        <v>8.97</v>
      </c>
      <c r="AJ655" s="320">
        <f>IFERROR(__xludf.DUMMYFUNCTION("""COMPUTED_VALUE"""),2.24)</f>
        <v>2.24</v>
      </c>
      <c r="AK655" s="320">
        <f>IFERROR(__xludf.DUMMYFUNCTION("""COMPUTED_VALUE"""),0.1923)</f>
        <v>0.1923</v>
      </c>
      <c r="AL655" s="320">
        <f>IFERROR(__xludf.DUMMYFUNCTION("""COMPUTED_VALUE"""),23.38)</f>
        <v>23.38</v>
      </c>
      <c r="AM655" s="320">
        <f>IFERROR(__xludf.DUMMYFUNCTION("""COMPUTED_VALUE"""),974.8)</f>
        <v>974.8</v>
      </c>
      <c r="AN655" s="320">
        <f>IFERROR(__xludf.DUMMYFUNCTION("""COMPUTED_VALUE"""),69.46)</f>
        <v>69.46</v>
      </c>
      <c r="AO655" s="320">
        <f>IFERROR(__xludf.DUMMYFUNCTION("""COMPUTED_VALUE"""),16.24)</f>
        <v>16.24</v>
      </c>
    </row>
    <row r="656" ht="15.0" customHeight="1">
      <c r="A656" s="328">
        <f>IFERROR(__xludf.DUMMYFUNCTION("""COMPUTED_VALUE"""),46159.0)</f>
        <v>46159</v>
      </c>
      <c r="B656" s="319" t="str">
        <f>IFERROR(__xludf.DUMMYFUNCTION("""COMPUTED_VALUE"""),"A. 0")</f>
        <v>A. 0</v>
      </c>
      <c r="C656" s="320">
        <f>IFERROR(__xludf.DUMMYFUNCTION("""COMPUTED_VALUE"""),15728.0)</f>
        <v>15728</v>
      </c>
      <c r="D656" s="320">
        <f>IFERROR(__xludf.DUMMYFUNCTION("""COMPUTED_VALUE"""),22.4)</f>
        <v>22.4</v>
      </c>
      <c r="E656" s="320">
        <f>IFERROR(__xludf.DUMMYFUNCTION("""COMPUTED_VALUE"""),70.17)</f>
        <v>70.17</v>
      </c>
      <c r="F656" s="320">
        <f>IFERROR(__xludf.DUMMYFUNCTION("""COMPUTED_VALUE"""),0.0045)</f>
        <v>0.0045</v>
      </c>
      <c r="G656" s="320">
        <f>IFERROR(__xludf.DUMMYFUNCTION("""COMPUTED_VALUE"""),0.22)</f>
        <v>0.22</v>
      </c>
      <c r="H656" s="320">
        <f>IFERROR(__xludf.DUMMYFUNCTION("""COMPUTED_VALUE"""),2.0049)</f>
        <v>2.0049</v>
      </c>
      <c r="I656" s="320">
        <f>IFERROR(__xludf.DUMMYFUNCTION("""COMPUTED_VALUE"""),7.12)</f>
        <v>7.12</v>
      </c>
      <c r="J656" s="320">
        <f>IFERROR(__xludf.DUMMYFUNCTION("""COMPUTED_VALUE"""),3.33)</f>
        <v>3.33</v>
      </c>
      <c r="K656" s="320">
        <f>IFERROR(__xludf.DUMMYFUNCTION("""COMPUTED_VALUE"""),0.05)</f>
        <v>0.05</v>
      </c>
      <c r="L656" s="320">
        <f>IFERROR(__xludf.DUMMYFUNCTION("""COMPUTED_VALUE"""),0.0162)</f>
        <v>0.0162</v>
      </c>
      <c r="M656" s="320">
        <f>IFERROR(__xludf.DUMMYFUNCTION("""COMPUTED_VALUE"""),0.9845)</f>
        <v>0.9845</v>
      </c>
      <c r="N656" s="320">
        <f>IFERROR(__xludf.DUMMYFUNCTION("""COMPUTED_VALUE"""),0.7843)</f>
        <v>0.7843</v>
      </c>
      <c r="O656" s="320">
        <f>IFERROR(__xludf.DUMMYFUNCTION("""COMPUTED_VALUE"""),61.6584)</f>
        <v>61.6584</v>
      </c>
      <c r="P656" s="320">
        <f>IFERROR(__xludf.DUMMYFUNCTION("""COMPUTED_VALUE"""),23.59)</f>
        <v>23.59</v>
      </c>
      <c r="Q656" s="320">
        <f>IFERROR(__xludf.DUMMYFUNCTION("""COMPUTED_VALUE"""),23.52)</f>
        <v>23.52</v>
      </c>
      <c r="R656" s="320">
        <f>IFERROR(__xludf.DUMMYFUNCTION("""COMPUTED_VALUE"""),0.08)</f>
        <v>0.08</v>
      </c>
      <c r="S656" s="320">
        <f>IFERROR(__xludf.DUMMYFUNCTION("""COMPUTED_VALUE"""),0.59)</f>
        <v>0.59</v>
      </c>
      <c r="T656" s="320">
        <f>IFERROR(__xludf.DUMMYFUNCTION("""COMPUTED_VALUE"""),23.0)</f>
        <v>23</v>
      </c>
      <c r="U656" s="320">
        <f>IFERROR(__xludf.DUMMYFUNCTION("""COMPUTED_VALUE"""),2.12)</f>
        <v>2.12</v>
      </c>
      <c r="V656" s="320">
        <f>IFERROR(__xludf.DUMMYFUNCTION("""COMPUTED_VALUE"""),0.638)</f>
        <v>0.638</v>
      </c>
      <c r="W656" s="320">
        <f>IFERROR(__xludf.DUMMYFUNCTION("""COMPUTED_VALUE"""),2.5)</f>
        <v>2.5</v>
      </c>
      <c r="X656" s="320">
        <f>IFERROR(__xludf.DUMMYFUNCTION("""COMPUTED_VALUE"""),133.0)</f>
        <v>133</v>
      </c>
      <c r="Y656" s="320">
        <f>IFERROR(__xludf.DUMMYFUNCTION("""COMPUTED_VALUE"""),1094.0)</f>
        <v>1094</v>
      </c>
      <c r="Z656" s="320">
        <f>IFERROR(__xludf.DUMMYFUNCTION("""COMPUTED_VALUE"""),7677.0)</f>
        <v>7677</v>
      </c>
      <c r="AA656" s="320">
        <f>IFERROR(__xludf.DUMMYFUNCTION("""COMPUTED_VALUE"""),49.4606)</f>
        <v>49.4606</v>
      </c>
      <c r="AB656" s="320">
        <f>IFERROR(__xludf.DUMMYFUNCTION("""COMPUTED_VALUE"""),0.5115)</f>
        <v>0.5115</v>
      </c>
      <c r="AC656" s="106"/>
      <c r="AD656" s="106"/>
      <c r="AE656" s="106"/>
      <c r="AF656" s="106"/>
      <c r="AG656" s="106"/>
      <c r="AH656" s="320">
        <f>IFERROR(__xludf.DUMMYFUNCTION("""COMPUTED_VALUE"""),0.0)</f>
        <v>0</v>
      </c>
      <c r="AI656" s="320">
        <f>IFERROR(__xludf.DUMMYFUNCTION("""COMPUTED_VALUE"""),0.0)</f>
        <v>0</v>
      </c>
      <c r="AJ656" s="320">
        <f>IFERROR(__xludf.DUMMYFUNCTION("""COMPUTED_VALUE"""),0.0)</f>
        <v>0</v>
      </c>
      <c r="AK656" s="320">
        <f>IFERROR(__xludf.DUMMYFUNCTION("""COMPUTED_VALUE"""),0.2768)</f>
        <v>0.2768</v>
      </c>
      <c r="AL656" s="320">
        <f>IFERROR(__xludf.DUMMYFUNCTION("""COMPUTED_VALUE"""),17.44)</f>
        <v>17.44</v>
      </c>
      <c r="AM656" s="320">
        <f>IFERROR(__xludf.DUMMYFUNCTION("""COMPUTED_VALUE"""),6.07)</f>
        <v>6.07</v>
      </c>
      <c r="AN656" s="331"/>
      <c r="AO656" s="331"/>
    </row>
    <row r="657" ht="15.0" customHeight="1">
      <c r="A657" s="328">
        <f>IFERROR(__xludf.DUMMYFUNCTION("""COMPUTED_VALUE"""),46159.0)</f>
        <v>46159</v>
      </c>
      <c r="B657" s="319" t="str">
        <f>IFERROR(__xludf.DUMMYFUNCTION("""COMPUTED_VALUE"""),"B. 1-9")</f>
        <v>B. 1-9</v>
      </c>
      <c r="C657" s="320">
        <f>IFERROR(__xludf.DUMMYFUNCTION("""COMPUTED_VALUE"""),30563.0)</f>
        <v>30563</v>
      </c>
      <c r="D657" s="320">
        <f>IFERROR(__xludf.DUMMYFUNCTION("""COMPUTED_VALUE"""),43.52)</f>
        <v>43.52</v>
      </c>
      <c r="E657" s="320">
        <f>IFERROR(__xludf.DUMMYFUNCTION("""COMPUTED_VALUE"""),7515.78)</f>
        <v>7515.78</v>
      </c>
      <c r="F657" s="320">
        <f>IFERROR(__xludf.DUMMYFUNCTION("""COMPUTED_VALUE"""),0.2459)</f>
        <v>0.2459</v>
      </c>
      <c r="G657" s="320">
        <f>IFERROR(__xludf.DUMMYFUNCTION("""COMPUTED_VALUE"""),7.16)</f>
        <v>7.16</v>
      </c>
      <c r="H657" s="320">
        <f>IFERROR(__xludf.DUMMYFUNCTION("""COMPUTED_VALUE"""),3.435)</f>
        <v>3.435</v>
      </c>
      <c r="I657" s="320">
        <f>IFERROR(__xludf.DUMMYFUNCTION("""COMPUTED_VALUE"""),35.56)</f>
        <v>35.56</v>
      </c>
      <c r="J657" s="320">
        <f>IFERROR(__xludf.DUMMYFUNCTION("""COMPUTED_VALUE"""),19.58)</f>
        <v>19.58</v>
      </c>
      <c r="K657" s="320">
        <f>IFERROR(__xludf.DUMMYFUNCTION("""COMPUTED_VALUE"""),5.45)</f>
        <v>5.45</v>
      </c>
      <c r="L657" s="320">
        <f>IFERROR(__xludf.DUMMYFUNCTION("""COMPUTED_VALUE"""),0.2785)</f>
        <v>0.2785</v>
      </c>
      <c r="M657" s="320">
        <f>IFERROR(__xludf.DUMMYFUNCTION("""COMPUTED_VALUE"""),0.7825)</f>
        <v>0.7825</v>
      </c>
      <c r="N657" s="320">
        <f>IFERROR(__xludf.DUMMYFUNCTION("""COMPUTED_VALUE"""),0.5231)</f>
        <v>0.5231</v>
      </c>
      <c r="O657" s="320">
        <f>IFERROR(__xludf.DUMMYFUNCTION("""COMPUTED_VALUE"""),3.5905)</f>
        <v>3.5905</v>
      </c>
      <c r="P657" s="320">
        <f>IFERROR(__xludf.DUMMYFUNCTION("""COMPUTED_VALUE"""),66.62)</f>
        <v>66.62</v>
      </c>
      <c r="Q657" s="320">
        <f>IFERROR(__xludf.DUMMYFUNCTION("""COMPUTED_VALUE"""),57.3)</f>
        <v>57.3</v>
      </c>
      <c r="R657" s="320">
        <f>IFERROR(__xludf.DUMMYFUNCTION("""COMPUTED_VALUE"""),9.33)</f>
        <v>9.33</v>
      </c>
      <c r="S657" s="320">
        <f>IFERROR(__xludf.DUMMYFUNCTION("""COMPUTED_VALUE"""),17.55)</f>
        <v>17.55</v>
      </c>
      <c r="T657" s="320">
        <f>IFERROR(__xludf.DUMMYFUNCTION("""COMPUTED_VALUE"""),49.08)</f>
        <v>49.08</v>
      </c>
      <c r="U657" s="320">
        <f>IFERROR(__xludf.DUMMYFUNCTION("""COMPUTED_VALUE"""),74.6)</f>
        <v>74.6</v>
      </c>
      <c r="V657" s="320">
        <f>IFERROR(__xludf.DUMMYFUNCTION("""COMPUTED_VALUE"""),3.8096)</f>
        <v>3.8096</v>
      </c>
      <c r="W657" s="320">
        <f>IFERROR(__xludf.DUMMYFUNCTION("""COMPUTED_VALUE"""),26.34)</f>
        <v>26.34</v>
      </c>
      <c r="X657" s="320">
        <f>IFERROR(__xludf.DUMMYFUNCTION("""COMPUTED_VALUE"""),84.0)</f>
        <v>84</v>
      </c>
      <c r="Y657" s="320">
        <f>IFERROR(__xludf.DUMMYFUNCTION("""COMPUTED_VALUE"""),199.0)</f>
        <v>199</v>
      </c>
      <c r="Z657" s="320">
        <f>IFERROR(__xludf.DUMMYFUNCTION("""COMPUTED_VALUE"""),884.0)</f>
        <v>884</v>
      </c>
      <c r="AA657" s="320">
        <f>IFERROR(__xludf.DUMMYFUNCTION("""COMPUTED_VALUE"""),49.4696)</f>
        <v>49.4696</v>
      </c>
      <c r="AB657" s="320">
        <f>IFERROR(__xludf.DUMMYFUNCTION("""COMPUTED_VALUE"""),0.4457)</f>
        <v>0.4457</v>
      </c>
      <c r="AC657" s="320">
        <f>IFERROR(__xludf.DUMMYFUNCTION("""COMPUTED_VALUE"""),3.5)</f>
        <v>3.5</v>
      </c>
      <c r="AD657" s="320">
        <f>IFERROR(__xludf.DUMMYFUNCTION("""COMPUTED_VALUE"""),1.0)</f>
        <v>1</v>
      </c>
      <c r="AE657" s="320">
        <f>IFERROR(__xludf.DUMMYFUNCTION("""COMPUTED_VALUE"""),2.0)</f>
        <v>2</v>
      </c>
      <c r="AF657" s="320">
        <f>IFERROR(__xludf.DUMMYFUNCTION("""COMPUTED_VALUE"""),4.0)</f>
        <v>4</v>
      </c>
      <c r="AG657" s="320">
        <f>IFERROR(__xludf.DUMMYFUNCTION("""COMPUTED_VALUE"""),8.0)</f>
        <v>8</v>
      </c>
      <c r="AH657" s="320">
        <f>IFERROR(__xludf.DUMMYFUNCTION("""COMPUTED_VALUE"""),66.46)</f>
        <v>66.46</v>
      </c>
      <c r="AI657" s="320">
        <f>IFERROR(__xludf.DUMMYFUNCTION("""COMPUTED_VALUE"""),24.37)</f>
        <v>24.37</v>
      </c>
      <c r="AJ657" s="320">
        <f>IFERROR(__xludf.DUMMYFUNCTION("""COMPUTED_VALUE"""),6.48)</f>
        <v>6.48</v>
      </c>
      <c r="AK657" s="320">
        <f>IFERROR(__xludf.DUMMYFUNCTION("""COMPUTED_VALUE"""),0.2345)</f>
        <v>0.2345</v>
      </c>
      <c r="AL657" s="320">
        <f>IFERROR(__xludf.DUMMYFUNCTION("""COMPUTED_VALUE"""),22.05)</f>
        <v>22.05</v>
      </c>
      <c r="AM657" s="320">
        <f>IFERROR(__xludf.DUMMYFUNCTION("""COMPUTED_VALUE"""),35.24)</f>
        <v>35.24</v>
      </c>
      <c r="AN657" s="320">
        <f>IFERROR(__xludf.DUMMYFUNCTION("""COMPUTED_VALUE"""),67.54)</f>
        <v>67.54</v>
      </c>
      <c r="AO657" s="320">
        <f>IFERROR(__xludf.DUMMYFUNCTION("""COMPUTED_VALUE"""),14.89)</f>
        <v>14.89</v>
      </c>
    </row>
    <row r="658" ht="15.0" customHeight="1">
      <c r="A658" s="328">
        <f>IFERROR(__xludf.DUMMYFUNCTION("""COMPUTED_VALUE"""),46159.0)</f>
        <v>46159</v>
      </c>
      <c r="B658" s="319" t="str">
        <f>IFERROR(__xludf.DUMMYFUNCTION("""COMPUTED_VALUE"""),"C. 10-19")</f>
        <v>C. 10-19</v>
      </c>
      <c r="C658" s="320">
        <f>IFERROR(__xludf.DUMMYFUNCTION("""COMPUTED_VALUE"""),13919.0)</f>
        <v>13919</v>
      </c>
      <c r="D658" s="320">
        <f>IFERROR(__xludf.DUMMYFUNCTION("""COMPUTED_VALUE"""),19.82)</f>
        <v>19.82</v>
      </c>
      <c r="E658" s="320">
        <f>IFERROR(__xludf.DUMMYFUNCTION("""COMPUTED_VALUE"""),14782.0)</f>
        <v>14782</v>
      </c>
      <c r="F658" s="320">
        <f>IFERROR(__xludf.DUMMYFUNCTION("""COMPUTED_VALUE"""),1.062)</f>
        <v>1.062</v>
      </c>
      <c r="G658" s="320">
        <f>IFERROR(__xludf.DUMMYFUNCTION("""COMPUTED_VALUE"""),22.39)</f>
        <v>22.39</v>
      </c>
      <c r="H658" s="320">
        <f>IFERROR(__xludf.DUMMYFUNCTION("""COMPUTED_VALUE"""),4.7424)</f>
        <v>4.7424</v>
      </c>
      <c r="I658" s="320">
        <f>IFERROR(__xludf.DUMMYFUNCTION("""COMPUTED_VALUE"""),63.53)</f>
        <v>63.53</v>
      </c>
      <c r="J658" s="320">
        <f>IFERROR(__xludf.DUMMYFUNCTION("""COMPUTED_VALUE"""),36.92)</f>
        <v>36.92</v>
      </c>
      <c r="K658" s="320">
        <f>IFERROR(__xludf.DUMMYFUNCTION("""COMPUTED_VALUE"""),13.74)</f>
        <v>13.74</v>
      </c>
      <c r="L658" s="320">
        <f>IFERROR(__xludf.DUMMYFUNCTION("""COMPUTED_VALUE"""),0.3723)</f>
        <v>0.3723</v>
      </c>
      <c r="M658" s="320">
        <f>IFERROR(__xludf.DUMMYFUNCTION("""COMPUTED_VALUE"""),0.6828)</f>
        <v>0.6828</v>
      </c>
      <c r="N658" s="320">
        <f>IFERROR(__xludf.DUMMYFUNCTION("""COMPUTED_VALUE"""),0.3852)</f>
        <v>0.3852</v>
      </c>
      <c r="O658" s="320">
        <f>IFERROR(__xludf.DUMMYFUNCTION("""COMPUTED_VALUE"""),2.6862)</f>
        <v>2.6862</v>
      </c>
      <c r="P658" s="320">
        <f>IFERROR(__xludf.DUMMYFUNCTION("""COMPUTED_VALUE"""),155.16)</f>
        <v>155.16</v>
      </c>
      <c r="Q658" s="320">
        <f>IFERROR(__xludf.DUMMYFUNCTION("""COMPUTED_VALUE"""),131.54)</f>
        <v>131.54</v>
      </c>
      <c r="R658" s="320">
        <f>IFERROR(__xludf.DUMMYFUNCTION("""COMPUTED_VALUE"""),23.62)</f>
        <v>23.62</v>
      </c>
      <c r="S658" s="320">
        <f>IFERROR(__xludf.DUMMYFUNCTION("""COMPUTED_VALUE"""),71.47)</f>
        <v>71.47</v>
      </c>
      <c r="T658" s="320">
        <f>IFERROR(__xludf.DUMMYFUNCTION("""COMPUTED_VALUE"""),83.69)</f>
        <v>83.69</v>
      </c>
      <c r="U658" s="320">
        <f>IFERROR(__xludf.DUMMYFUNCTION("""COMPUTED_VALUE"""),171.0)</f>
        <v>171</v>
      </c>
      <c r="V658" s="320">
        <f>IFERROR(__xludf.DUMMYFUNCTION("""COMPUTED_VALUE"""),4.6321)</f>
        <v>4.6321</v>
      </c>
      <c r="W658" s="320">
        <f>IFERROR(__xludf.DUMMYFUNCTION("""COMPUTED_VALUE"""),46.06)</f>
        <v>46.06</v>
      </c>
      <c r="X658" s="320">
        <f>IFERROR(__xludf.DUMMYFUNCTION("""COMPUTED_VALUE"""),80.0)</f>
        <v>80</v>
      </c>
      <c r="Y658" s="320">
        <f>IFERROR(__xludf.DUMMYFUNCTION("""COMPUTED_VALUE"""),172.0)</f>
        <v>172</v>
      </c>
      <c r="Z658" s="320">
        <f>IFERROR(__xludf.DUMMYFUNCTION("""COMPUTED_VALUE"""),562.0)</f>
        <v>562</v>
      </c>
      <c r="AA658" s="320">
        <f>IFERROR(__xludf.DUMMYFUNCTION("""COMPUTED_VALUE"""),52.4239)</f>
        <v>52.4239</v>
      </c>
      <c r="AB658" s="320">
        <f>IFERROR(__xludf.DUMMYFUNCTION("""COMPUTED_VALUE"""),0.5454)</f>
        <v>0.5454</v>
      </c>
      <c r="AC658" s="320">
        <f>IFERROR(__xludf.DUMMYFUNCTION("""COMPUTED_VALUE"""),8.74)</f>
        <v>8.74</v>
      </c>
      <c r="AD658" s="320">
        <f>IFERROR(__xludf.DUMMYFUNCTION("""COMPUTED_VALUE"""),3.0)</f>
        <v>3</v>
      </c>
      <c r="AE658" s="320">
        <f>IFERROR(__xludf.DUMMYFUNCTION("""COMPUTED_VALUE"""),6.0)</f>
        <v>6</v>
      </c>
      <c r="AF658" s="320">
        <f>IFERROR(__xludf.DUMMYFUNCTION("""COMPUTED_VALUE"""),12.0)</f>
        <v>12</v>
      </c>
      <c r="AG658" s="320">
        <f>IFERROR(__xludf.DUMMYFUNCTION("""COMPUTED_VALUE"""),19.0)</f>
        <v>19</v>
      </c>
      <c r="AH658" s="320">
        <f>IFERROR(__xludf.DUMMYFUNCTION("""COMPUTED_VALUE"""),52.85)</f>
        <v>52.85</v>
      </c>
      <c r="AI658" s="320">
        <f>IFERROR(__xludf.DUMMYFUNCTION("""COMPUTED_VALUE"""),24.49)</f>
        <v>24.49</v>
      </c>
      <c r="AJ658" s="320">
        <f>IFERROR(__xludf.DUMMYFUNCTION("""COMPUTED_VALUE"""),4.77)</f>
        <v>4.77</v>
      </c>
      <c r="AK658" s="320">
        <f>IFERROR(__xludf.DUMMYFUNCTION("""COMPUTED_VALUE"""),0.2097)</f>
        <v>0.2097</v>
      </c>
      <c r="AL658" s="320">
        <f>IFERROR(__xludf.DUMMYFUNCTION("""COMPUTED_VALUE"""),22.3)</f>
        <v>22.3</v>
      </c>
      <c r="AM658" s="320">
        <f>IFERROR(__xludf.DUMMYFUNCTION("""COMPUTED_VALUE"""),109.24)</f>
        <v>109.24</v>
      </c>
      <c r="AN658" s="320">
        <f>IFERROR(__xludf.DUMMYFUNCTION("""COMPUTED_VALUE"""),73.5)</f>
        <v>73.5</v>
      </c>
      <c r="AO658" s="320">
        <f>IFERROR(__xludf.DUMMYFUNCTION("""COMPUTED_VALUE"""),16.39)</f>
        <v>16.39</v>
      </c>
    </row>
    <row r="659" ht="15.0" customHeight="1">
      <c r="A659" s="328">
        <f>IFERROR(__xludf.DUMMYFUNCTION("""COMPUTED_VALUE"""),46159.0)</f>
        <v>46159</v>
      </c>
      <c r="B659" s="319" t="str">
        <f>IFERROR(__xludf.DUMMYFUNCTION("""COMPUTED_VALUE"""),"D. 20-39")</f>
        <v>D. 20-39</v>
      </c>
      <c r="C659" s="320">
        <f>IFERROR(__xludf.DUMMYFUNCTION("""COMPUTED_VALUE"""),7106.0)</f>
        <v>7106</v>
      </c>
      <c r="D659" s="320">
        <f>IFERROR(__xludf.DUMMYFUNCTION("""COMPUTED_VALUE"""),10.12)</f>
        <v>10.12</v>
      </c>
      <c r="E659" s="320">
        <f>IFERROR(__xludf.DUMMYFUNCTION("""COMPUTED_VALUE"""),19936.76)</f>
        <v>19936.76</v>
      </c>
      <c r="F659" s="320">
        <f>IFERROR(__xludf.DUMMYFUNCTION("""COMPUTED_VALUE"""),2.8056)</f>
        <v>2.8056</v>
      </c>
      <c r="G659" s="320">
        <f>IFERROR(__xludf.DUMMYFUNCTION("""COMPUTED_VALUE"""),35.76)</f>
        <v>35.76</v>
      </c>
      <c r="H659" s="320">
        <f>IFERROR(__xludf.DUMMYFUNCTION("""COMPUTED_VALUE"""),7.846)</f>
        <v>7.846</v>
      </c>
      <c r="I659" s="320">
        <f>IFERROR(__xludf.DUMMYFUNCTION("""COMPUTED_VALUE"""),87.0)</f>
        <v>87</v>
      </c>
      <c r="J659" s="320">
        <f>IFERROR(__xludf.DUMMYFUNCTION("""COMPUTED_VALUE"""),52.19)</f>
        <v>52.19</v>
      </c>
      <c r="K659" s="320">
        <f>IFERROR(__xludf.DUMMYFUNCTION("""COMPUTED_VALUE"""),26.26)</f>
        <v>26.26</v>
      </c>
      <c r="L659" s="320">
        <f>IFERROR(__xludf.DUMMYFUNCTION("""COMPUTED_VALUE"""),0.5032)</f>
        <v>0.5032</v>
      </c>
      <c r="M659" s="320">
        <f>IFERROR(__xludf.DUMMYFUNCTION("""COMPUTED_VALUE"""),0.563)</f>
        <v>0.563</v>
      </c>
      <c r="N659" s="320">
        <f>IFERROR(__xludf.DUMMYFUNCTION("""COMPUTED_VALUE"""),0.2975)</f>
        <v>0.2975</v>
      </c>
      <c r="O659" s="320">
        <f>IFERROR(__xludf.DUMMYFUNCTION("""COMPUTED_VALUE"""),1.9872)</f>
        <v>1.9872</v>
      </c>
      <c r="P659" s="320">
        <f>IFERROR(__xludf.DUMMYFUNCTION("""COMPUTED_VALUE"""),310.59)</f>
        <v>310.59</v>
      </c>
      <c r="Q659" s="320">
        <f>IFERROR(__xludf.DUMMYFUNCTION("""COMPUTED_VALUE"""),264.81)</f>
        <v>264.81</v>
      </c>
      <c r="R659" s="320">
        <f>IFERROR(__xludf.DUMMYFUNCTION("""COMPUTED_VALUE"""),45.79)</f>
        <v>45.79</v>
      </c>
      <c r="S659" s="320">
        <f>IFERROR(__xludf.DUMMYFUNCTION("""COMPUTED_VALUE"""),180.39)</f>
        <v>180.39</v>
      </c>
      <c r="T659" s="320">
        <f>IFERROR(__xludf.DUMMYFUNCTION("""COMPUTED_VALUE"""),130.2)</f>
        <v>130.2</v>
      </c>
      <c r="U659" s="320">
        <f>IFERROR(__xludf.DUMMYFUNCTION("""COMPUTED_VALUE"""),336.13)</f>
        <v>336.13</v>
      </c>
      <c r="V659" s="320">
        <f>IFERROR(__xludf.DUMMYFUNCTION("""COMPUTED_VALUE"""),6.4411)</f>
        <v>6.4411</v>
      </c>
      <c r="W659" s="320">
        <f>IFERROR(__xludf.DUMMYFUNCTION("""COMPUTED_VALUE"""),58.08)</f>
        <v>58.08</v>
      </c>
      <c r="X659" s="320">
        <f>IFERROR(__xludf.DUMMYFUNCTION("""COMPUTED_VALUE"""),80.0)</f>
        <v>80</v>
      </c>
      <c r="Y659" s="320">
        <f>IFERROR(__xludf.DUMMYFUNCTION("""COMPUTED_VALUE"""),186.0)</f>
        <v>186</v>
      </c>
      <c r="Z659" s="320">
        <f>IFERROR(__xludf.DUMMYFUNCTION("""COMPUTED_VALUE"""),620.0)</f>
        <v>620</v>
      </c>
      <c r="AA659" s="320">
        <f>IFERROR(__xludf.DUMMYFUNCTION("""COMPUTED_VALUE"""),54.5149)</f>
        <v>54.5149</v>
      </c>
      <c r="AB659" s="320">
        <f>IFERROR(__xludf.DUMMYFUNCTION("""COMPUTED_VALUE"""),0.6595)</f>
        <v>0.6595</v>
      </c>
      <c r="AC659" s="320">
        <f>IFERROR(__xludf.DUMMYFUNCTION("""COMPUTED_VALUE"""),17.25)</f>
        <v>17.25</v>
      </c>
      <c r="AD659" s="320">
        <f>IFERROR(__xludf.DUMMYFUNCTION("""COMPUTED_VALUE"""),6.0)</f>
        <v>6</v>
      </c>
      <c r="AE659" s="320">
        <f>IFERROR(__xludf.DUMMYFUNCTION("""COMPUTED_VALUE"""),13.0)</f>
        <v>13</v>
      </c>
      <c r="AF659" s="320">
        <f>IFERROR(__xludf.DUMMYFUNCTION("""COMPUTED_VALUE"""),25.0)</f>
        <v>25</v>
      </c>
      <c r="AG659" s="320">
        <f>IFERROR(__xludf.DUMMYFUNCTION("""COMPUTED_VALUE"""),37.0)</f>
        <v>37</v>
      </c>
      <c r="AH659" s="320">
        <f>IFERROR(__xludf.DUMMYFUNCTION("""COMPUTED_VALUE"""),55.19)</f>
        <v>55.19</v>
      </c>
      <c r="AI659" s="320">
        <f>IFERROR(__xludf.DUMMYFUNCTION("""COMPUTED_VALUE"""),23.19)</f>
        <v>23.19</v>
      </c>
      <c r="AJ659" s="320">
        <f>IFERROR(__xludf.DUMMYFUNCTION("""COMPUTED_VALUE"""),7.54)</f>
        <v>7.54</v>
      </c>
      <c r="AK659" s="320">
        <f>IFERROR(__xludf.DUMMYFUNCTION("""COMPUTED_VALUE"""),0.2226)</f>
        <v>0.2226</v>
      </c>
      <c r="AL659" s="320">
        <f>IFERROR(__xludf.DUMMYFUNCTION("""COMPUTED_VALUE"""),21.72)</f>
        <v>21.72</v>
      </c>
      <c r="AM659" s="320">
        <f>IFERROR(__xludf.DUMMYFUNCTION("""COMPUTED_VALUE"""),243.09)</f>
        <v>243.09</v>
      </c>
      <c r="AN659" s="320">
        <f>IFERROR(__xludf.DUMMYFUNCTION("""COMPUTED_VALUE"""),73.25)</f>
        <v>73.25</v>
      </c>
      <c r="AO659" s="320">
        <f>IFERROR(__xludf.DUMMYFUNCTION("""COMPUTED_VALUE"""),15.91)</f>
        <v>15.91</v>
      </c>
    </row>
    <row r="660" ht="15.0" customHeight="1">
      <c r="A660" s="328">
        <f>IFERROR(__xludf.DUMMYFUNCTION("""COMPUTED_VALUE"""),46159.0)</f>
        <v>46159</v>
      </c>
      <c r="B660" s="319" t="str">
        <f>IFERROR(__xludf.DUMMYFUNCTION("""COMPUTED_VALUE"""),"E. 40-99")</f>
        <v>E. 40-99</v>
      </c>
      <c r="C660" s="320">
        <f>IFERROR(__xludf.DUMMYFUNCTION("""COMPUTED_VALUE"""),2618.0)</f>
        <v>2618</v>
      </c>
      <c r="D660" s="320">
        <f>IFERROR(__xludf.DUMMYFUNCTION("""COMPUTED_VALUE"""),3.73)</f>
        <v>3.73</v>
      </c>
      <c r="E660" s="320">
        <f>IFERROR(__xludf.DUMMYFUNCTION("""COMPUTED_VALUE"""),17197.63)</f>
        <v>17197.63</v>
      </c>
      <c r="F660" s="320">
        <f>IFERROR(__xludf.DUMMYFUNCTION("""COMPUTED_VALUE"""),6.569)</f>
        <v>6.569</v>
      </c>
      <c r="G660" s="320">
        <f>IFERROR(__xludf.DUMMYFUNCTION("""COMPUTED_VALUE"""),45.26)</f>
        <v>45.26</v>
      </c>
      <c r="H660" s="320">
        <f>IFERROR(__xludf.DUMMYFUNCTION("""COMPUTED_VALUE"""),14.5128)</f>
        <v>14.5128</v>
      </c>
      <c r="I660" s="320">
        <f>IFERROR(__xludf.DUMMYFUNCTION("""COMPUTED_VALUE"""),126.06)</f>
        <v>126.06</v>
      </c>
      <c r="J660" s="320">
        <f>IFERROR(__xludf.DUMMYFUNCTION("""COMPUTED_VALUE"""),78.07)</f>
        <v>78.07</v>
      </c>
      <c r="K660" s="320">
        <f>IFERROR(__xludf.DUMMYFUNCTION("""COMPUTED_VALUE"""),52.62)</f>
        <v>52.62</v>
      </c>
      <c r="L660" s="320">
        <f>IFERROR(__xludf.DUMMYFUNCTION("""COMPUTED_VALUE"""),0.6741)</f>
        <v>0.6741</v>
      </c>
      <c r="M660" s="320">
        <f>IFERROR(__xludf.DUMMYFUNCTION("""COMPUTED_VALUE"""),0.41)</f>
        <v>0.41</v>
      </c>
      <c r="N660" s="320">
        <f>IFERROR(__xludf.DUMMYFUNCTION("""COMPUTED_VALUE"""),0.2248)</f>
        <v>0.2248</v>
      </c>
      <c r="O660" s="320">
        <f>IFERROR(__xludf.DUMMYFUNCTION("""COMPUTED_VALUE"""),1.4836)</f>
        <v>1.4836</v>
      </c>
      <c r="P660" s="320">
        <f>IFERROR(__xludf.DUMMYFUNCTION("""COMPUTED_VALUE"""),621.01)</f>
        <v>621.01</v>
      </c>
      <c r="Q660" s="320">
        <f>IFERROR(__xludf.DUMMYFUNCTION("""COMPUTED_VALUE"""),530.04)</f>
        <v>530.04</v>
      </c>
      <c r="R660" s="320">
        <f>IFERROR(__xludf.DUMMYFUNCTION("""COMPUTED_VALUE"""),90.96)</f>
        <v>90.96</v>
      </c>
      <c r="S660" s="320">
        <f>IFERROR(__xludf.DUMMYFUNCTION("""COMPUTED_VALUE"""),407.17)</f>
        <v>407.17</v>
      </c>
      <c r="T660" s="320">
        <f>IFERROR(__xludf.DUMMYFUNCTION("""COMPUTED_VALUE"""),213.84)</f>
        <v>213.84</v>
      </c>
      <c r="U660" s="320">
        <f>IFERROR(__xludf.DUMMYFUNCTION("""COMPUTED_VALUE"""),668.12)</f>
        <v>668.12</v>
      </c>
      <c r="V660" s="320">
        <f>IFERROR(__xludf.DUMMYFUNCTION("""COMPUTED_VALUE"""),8.558)</f>
        <v>8.558</v>
      </c>
      <c r="W660" s="320">
        <f>IFERROR(__xludf.DUMMYFUNCTION("""COMPUTED_VALUE"""),65.57)</f>
        <v>65.57</v>
      </c>
      <c r="X660" s="320">
        <f>IFERROR(__xludf.DUMMYFUNCTION("""COMPUTED_VALUE"""),94.0)</f>
        <v>94</v>
      </c>
      <c r="Y660" s="320">
        <f>IFERROR(__xludf.DUMMYFUNCTION("""COMPUTED_VALUE"""),279.0)</f>
        <v>279</v>
      </c>
      <c r="Z660" s="320">
        <f>IFERROR(__xludf.DUMMYFUNCTION("""COMPUTED_VALUE"""),967.0)</f>
        <v>967</v>
      </c>
      <c r="AA660" s="320">
        <f>IFERROR(__xludf.DUMMYFUNCTION("""COMPUTED_VALUE"""),57.6966)</f>
        <v>57.6966</v>
      </c>
      <c r="AB660" s="320">
        <f>IFERROR(__xludf.DUMMYFUNCTION("""COMPUTED_VALUE"""),0.7664)</f>
        <v>0.7664</v>
      </c>
      <c r="AC660" s="320">
        <f>IFERROR(__xludf.DUMMYFUNCTION("""COMPUTED_VALUE"""),36.29)</f>
        <v>36.29</v>
      </c>
      <c r="AD660" s="320">
        <f>IFERROR(__xludf.DUMMYFUNCTION("""COMPUTED_VALUE"""),12.0)</f>
        <v>12</v>
      </c>
      <c r="AE660" s="320">
        <f>IFERROR(__xludf.DUMMYFUNCTION("""COMPUTED_VALUE"""),26.0)</f>
        <v>26</v>
      </c>
      <c r="AF660" s="320">
        <f>IFERROR(__xludf.DUMMYFUNCTION("""COMPUTED_VALUE"""),51.0)</f>
        <v>51</v>
      </c>
      <c r="AG660" s="320">
        <f>IFERROR(__xludf.DUMMYFUNCTION("""COMPUTED_VALUE"""),80.0)</f>
        <v>80</v>
      </c>
      <c r="AH660" s="320">
        <f>IFERROR(__xludf.DUMMYFUNCTION("""COMPUTED_VALUE"""),48.93)</f>
        <v>48.93</v>
      </c>
      <c r="AI660" s="320">
        <f>IFERROR(__xludf.DUMMYFUNCTION("""COMPUTED_VALUE"""),19.56)</f>
        <v>19.56</v>
      </c>
      <c r="AJ660" s="320">
        <f>IFERROR(__xludf.DUMMYFUNCTION("""COMPUTED_VALUE"""),4.81)</f>
        <v>4.81</v>
      </c>
      <c r="AK660" s="320">
        <f>IFERROR(__xludf.DUMMYFUNCTION("""COMPUTED_VALUE"""),0.1967)</f>
        <v>0.1967</v>
      </c>
      <c r="AL660" s="320">
        <f>IFERROR(__xludf.DUMMYFUNCTION("""COMPUTED_VALUE"""),21.11)</f>
        <v>21.11</v>
      </c>
      <c r="AM660" s="320">
        <f>IFERROR(__xludf.DUMMYFUNCTION("""COMPUTED_VALUE"""),508.94)</f>
        <v>508.94</v>
      </c>
      <c r="AN660" s="320">
        <f>IFERROR(__xludf.DUMMYFUNCTION("""COMPUTED_VALUE"""),72.72)</f>
        <v>72.72</v>
      </c>
      <c r="AO660" s="320">
        <f>IFERROR(__xludf.DUMMYFUNCTION("""COMPUTED_VALUE"""),15.35)</f>
        <v>15.35</v>
      </c>
    </row>
    <row r="661" ht="15.0" customHeight="1">
      <c r="A661" s="328">
        <f>IFERROR(__xludf.DUMMYFUNCTION("""COMPUTED_VALUE"""),46159.0)</f>
        <v>46159</v>
      </c>
      <c r="B661" s="319" t="str">
        <f>IFERROR(__xludf.DUMMYFUNCTION("""COMPUTED_VALUE"""),"F. 100+")</f>
        <v>F. 100+</v>
      </c>
      <c r="C661" s="320">
        <f>IFERROR(__xludf.DUMMYFUNCTION("""COMPUTED_VALUE"""),286.0)</f>
        <v>286</v>
      </c>
      <c r="D661" s="320">
        <f>IFERROR(__xludf.DUMMYFUNCTION("""COMPUTED_VALUE"""),0.41)</f>
        <v>0.41</v>
      </c>
      <c r="E661" s="320">
        <f>IFERROR(__xludf.DUMMYFUNCTION("""COMPUTED_VALUE"""),3352.89)</f>
        <v>3352.89</v>
      </c>
      <c r="F661" s="320">
        <f>IFERROR(__xludf.DUMMYFUNCTION("""COMPUTED_VALUE"""),11.7234)</f>
        <v>11.7234</v>
      </c>
      <c r="G661" s="320">
        <f>IFERROR(__xludf.DUMMYFUNCTION("""COMPUTED_VALUE"""),52.45)</f>
        <v>52.45</v>
      </c>
      <c r="H661" s="320">
        <f>IFERROR(__xludf.DUMMYFUNCTION("""COMPUTED_VALUE"""),22.3526)</f>
        <v>22.3526</v>
      </c>
      <c r="I661" s="320">
        <f>IFERROR(__xludf.DUMMYFUNCTION("""COMPUTED_VALUE"""),246.13)</f>
        <v>246.13</v>
      </c>
      <c r="J661" s="320">
        <f>IFERROR(__xludf.DUMMYFUNCTION("""COMPUTED_VALUE"""),161.06)</f>
        <v>161.06</v>
      </c>
      <c r="K661" s="320">
        <f>IFERROR(__xludf.DUMMYFUNCTION("""COMPUTED_VALUE"""),126.05)</f>
        <v>126.05</v>
      </c>
      <c r="L661" s="320">
        <f>IFERROR(__xludf.DUMMYFUNCTION("""COMPUTED_VALUE"""),0.7826)</f>
        <v>0.7826</v>
      </c>
      <c r="M661" s="320">
        <f>IFERROR(__xludf.DUMMYFUNCTION("""COMPUTED_VALUE"""),0.298)</f>
        <v>0.298</v>
      </c>
      <c r="N661" s="320">
        <f>IFERROR(__xludf.DUMMYFUNCTION("""COMPUTED_VALUE"""),0.1697)</f>
        <v>0.1697</v>
      </c>
      <c r="O661" s="320">
        <f>IFERROR(__xludf.DUMMYFUNCTION("""COMPUTED_VALUE"""),1.2778)</f>
        <v>1.2778</v>
      </c>
      <c r="P661" s="320">
        <f>IFERROR(__xludf.DUMMYFUNCTION("""COMPUTED_VALUE"""),1170.2)</f>
        <v>1170.2</v>
      </c>
      <c r="Q661" s="320">
        <f>IFERROR(__xludf.DUMMYFUNCTION("""COMPUTED_VALUE"""),947.51)</f>
        <v>947.51</v>
      </c>
      <c r="R661" s="320">
        <f>IFERROR(__xludf.DUMMYFUNCTION("""COMPUTED_VALUE"""),222.69)</f>
        <v>222.69</v>
      </c>
      <c r="S661" s="320">
        <f>IFERROR(__xludf.DUMMYFUNCTION("""COMPUTED_VALUE"""),758.99)</f>
        <v>758.99</v>
      </c>
      <c r="T661" s="320">
        <f>IFERROR(__xludf.DUMMYFUNCTION("""COMPUTED_VALUE"""),411.21)</f>
        <v>411.21</v>
      </c>
      <c r="U661" s="320">
        <f>IFERROR(__xludf.DUMMYFUNCTION("""COMPUTED_VALUE"""),1419.76)</f>
        <v>1419.76</v>
      </c>
      <c r="V661" s="320">
        <f>IFERROR(__xludf.DUMMYFUNCTION("""COMPUTED_VALUE"""),8.8149)</f>
        <v>8.8149</v>
      </c>
      <c r="W661" s="320">
        <f>IFERROR(__xludf.DUMMYFUNCTION("""COMPUTED_VALUE"""),64.86)</f>
        <v>64.86</v>
      </c>
      <c r="X661" s="320">
        <f>IFERROR(__xludf.DUMMYFUNCTION("""COMPUTED_VALUE"""),99.0)</f>
        <v>99</v>
      </c>
      <c r="Y661" s="320">
        <f>IFERROR(__xludf.DUMMYFUNCTION("""COMPUTED_VALUE"""),426.0)</f>
        <v>426</v>
      </c>
      <c r="Z661" s="320">
        <f>IFERROR(__xludf.DUMMYFUNCTION("""COMPUTED_VALUE"""),1852.0)</f>
        <v>1852</v>
      </c>
      <c r="AA661" s="320">
        <f>IFERROR(__xludf.DUMMYFUNCTION("""COMPUTED_VALUE"""),61.2065)</f>
        <v>61.2065</v>
      </c>
      <c r="AB661" s="320">
        <f>IFERROR(__xludf.DUMMYFUNCTION("""COMPUTED_VALUE"""),0.8429)</f>
        <v>0.8429</v>
      </c>
      <c r="AC661" s="320">
        <f>IFERROR(__xludf.DUMMYFUNCTION("""COMPUTED_VALUE"""),80.78)</f>
        <v>80.78</v>
      </c>
      <c r="AD661" s="320">
        <f>IFERROR(__xludf.DUMMYFUNCTION("""COMPUTED_VALUE"""),27.0)</f>
        <v>27</v>
      </c>
      <c r="AE661" s="320">
        <f>IFERROR(__xludf.DUMMYFUNCTION("""COMPUTED_VALUE"""),63.0)</f>
        <v>63</v>
      </c>
      <c r="AF661" s="320">
        <f>IFERROR(__xludf.DUMMYFUNCTION("""COMPUTED_VALUE"""),117.0)</f>
        <v>117</v>
      </c>
      <c r="AG661" s="320">
        <f>IFERROR(__xludf.DUMMYFUNCTION("""COMPUTED_VALUE"""),156.0)</f>
        <v>156</v>
      </c>
      <c r="AH661" s="320">
        <f>IFERROR(__xludf.DUMMYFUNCTION("""COMPUTED_VALUE"""),43.36)</f>
        <v>43.36</v>
      </c>
      <c r="AI661" s="320">
        <f>IFERROR(__xludf.DUMMYFUNCTION("""COMPUTED_VALUE"""),8.74)</f>
        <v>8.74</v>
      </c>
      <c r="AJ661" s="320">
        <f>IFERROR(__xludf.DUMMYFUNCTION("""COMPUTED_VALUE"""),1.75)</f>
        <v>1.75</v>
      </c>
      <c r="AK661" s="320">
        <f>IFERROR(__xludf.DUMMYFUNCTION("""COMPUTED_VALUE"""),0.1399)</f>
        <v>0.1399</v>
      </c>
      <c r="AL661" s="320">
        <f>IFERROR(__xludf.DUMMYFUNCTION("""COMPUTED_VALUE"""),23.46)</f>
        <v>23.46</v>
      </c>
      <c r="AM661" s="320">
        <f>IFERROR(__xludf.DUMMYFUNCTION("""COMPUTED_VALUE"""),924.05)</f>
        <v>924.05</v>
      </c>
      <c r="AN661" s="320">
        <f>IFERROR(__xludf.DUMMYFUNCTION("""COMPUTED_VALUE"""),69.28)</f>
        <v>69.28</v>
      </c>
      <c r="AO661" s="320">
        <f>IFERROR(__xludf.DUMMYFUNCTION("""COMPUTED_VALUE"""),16.25)</f>
        <v>16.25</v>
      </c>
    </row>
    <row r="662" ht="15.0" customHeight="1">
      <c r="A662" s="328">
        <f>IFERROR(__xludf.DUMMYFUNCTION("""COMPUTED_VALUE"""),46160.0)</f>
        <v>46160</v>
      </c>
      <c r="B662" s="319" t="str">
        <f>IFERROR(__xludf.DUMMYFUNCTION("""COMPUTED_VALUE"""),"A. 0")</f>
        <v>A. 0</v>
      </c>
      <c r="C662" s="320">
        <f>IFERROR(__xludf.DUMMYFUNCTION("""COMPUTED_VALUE"""),15025.0)</f>
        <v>15025</v>
      </c>
      <c r="D662" s="320">
        <f>IFERROR(__xludf.DUMMYFUNCTION("""COMPUTED_VALUE"""),20.55)</f>
        <v>20.55</v>
      </c>
      <c r="E662" s="320">
        <f>IFERROR(__xludf.DUMMYFUNCTION("""COMPUTED_VALUE"""),169.58)</f>
        <v>169.58</v>
      </c>
      <c r="F662" s="320">
        <f>IFERROR(__xludf.DUMMYFUNCTION("""COMPUTED_VALUE"""),0.0113)</f>
        <v>0.0113</v>
      </c>
      <c r="G662" s="320">
        <f>IFERROR(__xludf.DUMMYFUNCTION("""COMPUTED_VALUE"""),0.19)</f>
        <v>0.19</v>
      </c>
      <c r="H662" s="320">
        <f>IFERROR(__xludf.DUMMYFUNCTION("""COMPUTED_VALUE"""),6.0564)</f>
        <v>6.0564</v>
      </c>
      <c r="I662" s="320">
        <f>IFERROR(__xludf.DUMMYFUNCTION("""COMPUTED_VALUE"""),5.96)</f>
        <v>5.96</v>
      </c>
      <c r="J662" s="320">
        <f>IFERROR(__xludf.DUMMYFUNCTION("""COMPUTED_VALUE"""),2.7)</f>
        <v>2.7</v>
      </c>
      <c r="K662" s="320">
        <f>IFERROR(__xludf.DUMMYFUNCTION("""COMPUTED_VALUE"""),0.07)</f>
        <v>0.07</v>
      </c>
      <c r="L662" s="320">
        <f>IFERROR(__xludf.DUMMYFUNCTION("""COMPUTED_VALUE"""),0.0263)</f>
        <v>0.0263</v>
      </c>
      <c r="M662" s="320">
        <f>IFERROR(__xludf.DUMMYFUNCTION("""COMPUTED_VALUE"""),0.9774)</f>
        <v>0.9774</v>
      </c>
      <c r="N662" s="320">
        <f>IFERROR(__xludf.DUMMYFUNCTION("""COMPUTED_VALUE"""),0.7265)</f>
        <v>0.7265</v>
      </c>
      <c r="O662" s="320">
        <f>IFERROR(__xludf.DUMMYFUNCTION("""COMPUTED_VALUE"""),38.0817)</f>
        <v>38.0817</v>
      </c>
      <c r="P662" s="320">
        <f>IFERROR(__xludf.DUMMYFUNCTION("""COMPUTED_VALUE"""),34.8)</f>
        <v>34.8</v>
      </c>
      <c r="Q662" s="320">
        <f>IFERROR(__xludf.DUMMYFUNCTION("""COMPUTED_VALUE"""),34.74)</f>
        <v>34.74</v>
      </c>
      <c r="R662" s="320">
        <f>IFERROR(__xludf.DUMMYFUNCTION("""COMPUTED_VALUE"""),0.06)</f>
        <v>0.06</v>
      </c>
      <c r="S662" s="320">
        <f>IFERROR(__xludf.DUMMYFUNCTION("""COMPUTED_VALUE"""),0.93)</f>
        <v>0.93</v>
      </c>
      <c r="T662" s="320">
        <f>IFERROR(__xludf.DUMMYFUNCTION("""COMPUTED_VALUE"""),33.86)</f>
        <v>33.86</v>
      </c>
      <c r="U662" s="320">
        <f>IFERROR(__xludf.DUMMYFUNCTION("""COMPUTED_VALUE"""),2.63)</f>
        <v>2.63</v>
      </c>
      <c r="V662" s="320">
        <f>IFERROR(__xludf.DUMMYFUNCTION("""COMPUTED_VALUE"""),0.9727)</f>
        <v>0.9727</v>
      </c>
      <c r="W662" s="320">
        <f>IFERROR(__xludf.DUMMYFUNCTION("""COMPUTED_VALUE"""),2.68)</f>
        <v>2.68</v>
      </c>
      <c r="X662" s="320">
        <f>IFERROR(__xludf.DUMMYFUNCTION("""COMPUTED_VALUE"""),174.0)</f>
        <v>174</v>
      </c>
      <c r="Y662" s="320">
        <f>IFERROR(__xludf.DUMMYFUNCTION("""COMPUTED_VALUE"""),1329.0)</f>
        <v>1329</v>
      </c>
      <c r="Z662" s="320">
        <f>IFERROR(__xludf.DUMMYFUNCTION("""COMPUTED_VALUE"""),8353.0)</f>
        <v>8353</v>
      </c>
      <c r="AA662" s="320">
        <f>IFERROR(__xludf.DUMMYFUNCTION("""COMPUTED_VALUE"""),49.6661)</f>
        <v>49.6661</v>
      </c>
      <c r="AB662" s="320">
        <f>IFERROR(__xludf.DUMMYFUNCTION("""COMPUTED_VALUE"""),0.5201)</f>
        <v>0.5201</v>
      </c>
      <c r="AC662" s="106"/>
      <c r="AD662" s="106"/>
      <c r="AE662" s="106"/>
      <c r="AF662" s="106"/>
      <c r="AG662" s="106"/>
      <c r="AH662" s="320">
        <f>IFERROR(__xludf.DUMMYFUNCTION("""COMPUTED_VALUE"""),0.0)</f>
        <v>0</v>
      </c>
      <c r="AI662" s="320">
        <f>IFERROR(__xludf.DUMMYFUNCTION("""COMPUTED_VALUE"""),0.0)</f>
        <v>0</v>
      </c>
      <c r="AJ662" s="320">
        <f>IFERROR(__xludf.DUMMYFUNCTION("""COMPUTED_VALUE"""),0.0)</f>
        <v>0</v>
      </c>
      <c r="AK662" s="320">
        <f>IFERROR(__xludf.DUMMYFUNCTION("""COMPUTED_VALUE"""),0.2746)</f>
        <v>0.2746</v>
      </c>
      <c r="AL662" s="320">
        <f>IFERROR(__xludf.DUMMYFUNCTION("""COMPUTED_VALUE"""),15.7)</f>
        <v>15.7</v>
      </c>
      <c r="AM662" s="320">
        <f>IFERROR(__xludf.DUMMYFUNCTION("""COMPUTED_VALUE"""),19.04)</f>
        <v>19.04</v>
      </c>
      <c r="AN662" s="331"/>
      <c r="AO662" s="331"/>
    </row>
    <row r="663" ht="15.0" customHeight="1">
      <c r="A663" s="328">
        <f>IFERROR(__xludf.DUMMYFUNCTION("""COMPUTED_VALUE"""),46160.0)</f>
        <v>46160</v>
      </c>
      <c r="B663" s="319" t="str">
        <f>IFERROR(__xludf.DUMMYFUNCTION("""COMPUTED_VALUE"""),"B. 1-9")</f>
        <v>B. 1-9</v>
      </c>
      <c r="C663" s="320">
        <f>IFERROR(__xludf.DUMMYFUNCTION("""COMPUTED_VALUE"""),31924.0)</f>
        <v>31924</v>
      </c>
      <c r="D663" s="320">
        <f>IFERROR(__xludf.DUMMYFUNCTION("""COMPUTED_VALUE"""),43.67)</f>
        <v>43.67</v>
      </c>
      <c r="E663" s="320">
        <f>IFERROR(__xludf.DUMMYFUNCTION("""COMPUTED_VALUE"""),5996.42)</f>
        <v>5996.42</v>
      </c>
      <c r="F663" s="320">
        <f>IFERROR(__xludf.DUMMYFUNCTION("""COMPUTED_VALUE"""),0.1878)</f>
        <v>0.1878</v>
      </c>
      <c r="G663" s="320">
        <f>IFERROR(__xludf.DUMMYFUNCTION("""COMPUTED_VALUE"""),5.87)</f>
        <v>5.87</v>
      </c>
      <c r="H663" s="320">
        <f>IFERROR(__xludf.DUMMYFUNCTION("""COMPUTED_VALUE"""),3.2015)</f>
        <v>3.2015</v>
      </c>
      <c r="I663" s="320">
        <f>IFERROR(__xludf.DUMMYFUNCTION("""COMPUTED_VALUE"""),35.46)</f>
        <v>35.46</v>
      </c>
      <c r="J663" s="320">
        <f>IFERROR(__xludf.DUMMYFUNCTION("""COMPUTED_VALUE"""),19.23)</f>
        <v>19.23</v>
      </c>
      <c r="K663" s="320">
        <f>IFERROR(__xludf.DUMMYFUNCTION("""COMPUTED_VALUE"""),5.53)</f>
        <v>5.53</v>
      </c>
      <c r="L663" s="320">
        <f>IFERROR(__xludf.DUMMYFUNCTION("""COMPUTED_VALUE"""),0.2876)</f>
        <v>0.2876</v>
      </c>
      <c r="M663" s="320">
        <f>IFERROR(__xludf.DUMMYFUNCTION("""COMPUTED_VALUE"""),0.7796)</f>
        <v>0.7796</v>
      </c>
      <c r="N663" s="320">
        <f>IFERROR(__xludf.DUMMYFUNCTION("""COMPUTED_VALUE"""),0.5367)</f>
        <v>0.5367</v>
      </c>
      <c r="O663" s="320">
        <f>IFERROR(__xludf.DUMMYFUNCTION("""COMPUTED_VALUE"""),3.4771)</f>
        <v>3.4771</v>
      </c>
      <c r="P663" s="320">
        <f>IFERROR(__xludf.DUMMYFUNCTION("""COMPUTED_VALUE"""),95.55)</f>
        <v>95.55</v>
      </c>
      <c r="Q663" s="320">
        <f>IFERROR(__xludf.DUMMYFUNCTION("""COMPUTED_VALUE"""),85.39)</f>
        <v>85.39</v>
      </c>
      <c r="R663" s="320">
        <f>IFERROR(__xludf.DUMMYFUNCTION("""COMPUTED_VALUE"""),10.17)</f>
        <v>10.17</v>
      </c>
      <c r="S663" s="320">
        <f>IFERROR(__xludf.DUMMYFUNCTION("""COMPUTED_VALUE"""),14.31)</f>
        <v>14.31</v>
      </c>
      <c r="T663" s="320">
        <f>IFERROR(__xludf.DUMMYFUNCTION("""COMPUTED_VALUE"""),81.24)</f>
        <v>81.24</v>
      </c>
      <c r="U663" s="320">
        <f>IFERROR(__xludf.DUMMYFUNCTION("""COMPUTED_VALUE"""),86.32)</f>
        <v>86.32</v>
      </c>
      <c r="V663" s="320">
        <f>IFERROR(__xludf.DUMMYFUNCTION("""COMPUTED_VALUE"""),4.4891)</f>
        <v>4.4891</v>
      </c>
      <c r="W663" s="320">
        <f>IFERROR(__xludf.DUMMYFUNCTION("""COMPUTED_VALUE"""),14.98)</f>
        <v>14.98</v>
      </c>
      <c r="X663" s="320">
        <f>IFERROR(__xludf.DUMMYFUNCTION("""COMPUTED_VALUE"""),90.0)</f>
        <v>90</v>
      </c>
      <c r="Y663" s="320">
        <f>IFERROR(__xludf.DUMMYFUNCTION("""COMPUTED_VALUE"""),218.0)</f>
        <v>218</v>
      </c>
      <c r="Z663" s="320">
        <f>IFERROR(__xludf.DUMMYFUNCTION("""COMPUTED_VALUE"""),841.0)</f>
        <v>841</v>
      </c>
      <c r="AA663" s="320">
        <f>IFERROR(__xludf.DUMMYFUNCTION("""COMPUTED_VALUE"""),49.4334)</f>
        <v>49.4334</v>
      </c>
      <c r="AB663" s="320">
        <f>IFERROR(__xludf.DUMMYFUNCTION("""COMPUTED_VALUE"""),0.4336)</f>
        <v>0.4336</v>
      </c>
      <c r="AC663" s="320">
        <f>IFERROR(__xludf.DUMMYFUNCTION("""COMPUTED_VALUE"""),3.51)</f>
        <v>3.51</v>
      </c>
      <c r="AD663" s="320">
        <f>IFERROR(__xludf.DUMMYFUNCTION("""COMPUTED_VALUE"""),1.0)</f>
        <v>1</v>
      </c>
      <c r="AE663" s="320">
        <f>IFERROR(__xludf.DUMMYFUNCTION("""COMPUTED_VALUE"""),2.0)</f>
        <v>2</v>
      </c>
      <c r="AF663" s="320">
        <f>IFERROR(__xludf.DUMMYFUNCTION("""COMPUTED_VALUE"""),4.0)</f>
        <v>4</v>
      </c>
      <c r="AG663" s="320">
        <f>IFERROR(__xludf.DUMMYFUNCTION("""COMPUTED_VALUE"""),8.0)</f>
        <v>8</v>
      </c>
      <c r="AH663" s="320">
        <f>IFERROR(__xludf.DUMMYFUNCTION("""COMPUTED_VALUE"""),67.94)</f>
        <v>67.94</v>
      </c>
      <c r="AI663" s="320">
        <f>IFERROR(__xludf.DUMMYFUNCTION("""COMPUTED_VALUE"""),24.27)</f>
        <v>24.27</v>
      </c>
      <c r="AJ663" s="320">
        <f>IFERROR(__xludf.DUMMYFUNCTION("""COMPUTED_VALUE"""),6.39)</f>
        <v>6.39</v>
      </c>
      <c r="AK663" s="320">
        <f>IFERROR(__xludf.DUMMYFUNCTION("""COMPUTED_VALUE"""),0.2059)</f>
        <v>0.2059</v>
      </c>
      <c r="AL663" s="320">
        <f>IFERROR(__xludf.DUMMYFUNCTION("""COMPUTED_VALUE"""),18.94)</f>
        <v>18.94</v>
      </c>
      <c r="AM663" s="320">
        <f>IFERROR(__xludf.DUMMYFUNCTION("""COMPUTED_VALUE"""),66.44)</f>
        <v>66.44</v>
      </c>
      <c r="AN663" s="320">
        <f>IFERROR(__xludf.DUMMYFUNCTION("""COMPUTED_VALUE"""),67.85)</f>
        <v>67.85</v>
      </c>
      <c r="AO663" s="320">
        <f>IFERROR(__xludf.DUMMYFUNCTION("""COMPUTED_VALUE"""),12.85)</f>
        <v>12.85</v>
      </c>
    </row>
    <row r="664" ht="15.0" customHeight="1">
      <c r="A664" s="328">
        <f>IFERROR(__xludf.DUMMYFUNCTION("""COMPUTED_VALUE"""),46160.0)</f>
        <v>46160</v>
      </c>
      <c r="B664" s="319" t="str">
        <f>IFERROR(__xludf.DUMMYFUNCTION("""COMPUTED_VALUE"""),"C. 10-19")</f>
        <v>C. 10-19</v>
      </c>
      <c r="C664" s="320">
        <f>IFERROR(__xludf.DUMMYFUNCTION("""COMPUTED_VALUE"""),15172.0)</f>
        <v>15172</v>
      </c>
      <c r="D664" s="320">
        <f>IFERROR(__xludf.DUMMYFUNCTION("""COMPUTED_VALUE"""),20.75)</f>
        <v>20.75</v>
      </c>
      <c r="E664" s="320">
        <f>IFERROR(__xludf.DUMMYFUNCTION("""COMPUTED_VALUE"""),16129.15)</f>
        <v>16129.15</v>
      </c>
      <c r="F664" s="320">
        <f>IFERROR(__xludf.DUMMYFUNCTION("""COMPUTED_VALUE"""),1.0631)</f>
        <v>1.0631</v>
      </c>
      <c r="G664" s="320">
        <f>IFERROR(__xludf.DUMMYFUNCTION("""COMPUTED_VALUE"""),21.23)</f>
        <v>21.23</v>
      </c>
      <c r="H664" s="320">
        <f>IFERROR(__xludf.DUMMYFUNCTION("""COMPUTED_VALUE"""),5.0075)</f>
        <v>5.0075</v>
      </c>
      <c r="I664" s="320">
        <f>IFERROR(__xludf.DUMMYFUNCTION("""COMPUTED_VALUE"""),65.36)</f>
        <v>65.36</v>
      </c>
      <c r="J664" s="320">
        <f>IFERROR(__xludf.DUMMYFUNCTION("""COMPUTED_VALUE"""),37.58)</f>
        <v>37.58</v>
      </c>
      <c r="K664" s="320">
        <f>IFERROR(__xludf.DUMMYFUNCTION("""COMPUTED_VALUE"""),14.73)</f>
        <v>14.73</v>
      </c>
      <c r="L664" s="320">
        <f>IFERROR(__xludf.DUMMYFUNCTION("""COMPUTED_VALUE"""),0.392)</f>
        <v>0.392</v>
      </c>
      <c r="M664" s="320">
        <f>IFERROR(__xludf.DUMMYFUNCTION("""COMPUTED_VALUE"""),0.6702)</f>
        <v>0.6702</v>
      </c>
      <c r="N664" s="320">
        <f>IFERROR(__xludf.DUMMYFUNCTION("""COMPUTED_VALUE"""),0.3904)</f>
        <v>0.3904</v>
      </c>
      <c r="O664" s="320">
        <f>IFERROR(__xludf.DUMMYFUNCTION("""COMPUTED_VALUE"""),2.5507)</f>
        <v>2.5507</v>
      </c>
      <c r="P664" s="320">
        <f>IFERROR(__xludf.DUMMYFUNCTION("""COMPUTED_VALUE"""),211.31)</f>
        <v>211.31</v>
      </c>
      <c r="Q664" s="320">
        <f>IFERROR(__xludf.DUMMYFUNCTION("""COMPUTED_VALUE"""),185.21)</f>
        <v>185.21</v>
      </c>
      <c r="R664" s="320">
        <f>IFERROR(__xludf.DUMMYFUNCTION("""COMPUTED_VALUE"""),26.1)</f>
        <v>26.1</v>
      </c>
      <c r="S664" s="320">
        <f>IFERROR(__xludf.DUMMYFUNCTION("""COMPUTED_VALUE"""),71.66)</f>
        <v>71.66</v>
      </c>
      <c r="T664" s="320">
        <f>IFERROR(__xludf.DUMMYFUNCTION("""COMPUTED_VALUE"""),139.65)</f>
        <v>139.65</v>
      </c>
      <c r="U664" s="320">
        <f>IFERROR(__xludf.DUMMYFUNCTION("""COMPUTED_VALUE"""),205.33)</f>
        <v>205.33</v>
      </c>
      <c r="V664" s="320">
        <f>IFERROR(__xludf.DUMMYFUNCTION("""COMPUTED_VALUE"""),5.4639)</f>
        <v>5.4639</v>
      </c>
      <c r="W664" s="320">
        <f>IFERROR(__xludf.DUMMYFUNCTION("""COMPUTED_VALUE"""),33.91)</f>
        <v>33.91</v>
      </c>
      <c r="X664" s="320">
        <f>IFERROR(__xludf.DUMMYFUNCTION("""COMPUTED_VALUE"""),85.0)</f>
        <v>85</v>
      </c>
      <c r="Y664" s="320">
        <f>IFERROR(__xludf.DUMMYFUNCTION("""COMPUTED_VALUE"""),199.0)</f>
        <v>199</v>
      </c>
      <c r="Z664" s="320">
        <f>IFERROR(__xludf.DUMMYFUNCTION("""COMPUTED_VALUE"""),611.0)</f>
        <v>611</v>
      </c>
      <c r="AA664" s="320">
        <f>IFERROR(__xludf.DUMMYFUNCTION("""COMPUTED_VALUE"""),52.2292)</f>
        <v>52.2292</v>
      </c>
      <c r="AB664" s="320">
        <f>IFERROR(__xludf.DUMMYFUNCTION("""COMPUTED_VALUE"""),0.4995)</f>
        <v>0.4995</v>
      </c>
      <c r="AC664" s="320">
        <f>IFERROR(__xludf.DUMMYFUNCTION("""COMPUTED_VALUE"""),8.94)</f>
        <v>8.94</v>
      </c>
      <c r="AD664" s="320">
        <f>IFERROR(__xludf.DUMMYFUNCTION("""COMPUTED_VALUE"""),3.0)</f>
        <v>3</v>
      </c>
      <c r="AE664" s="320">
        <f>IFERROR(__xludf.DUMMYFUNCTION("""COMPUTED_VALUE"""),6.0)</f>
        <v>6</v>
      </c>
      <c r="AF664" s="320">
        <f>IFERROR(__xludf.DUMMYFUNCTION("""COMPUTED_VALUE"""),12.0)</f>
        <v>12</v>
      </c>
      <c r="AG664" s="320">
        <f>IFERROR(__xludf.DUMMYFUNCTION("""COMPUTED_VALUE"""),20.0)</f>
        <v>20</v>
      </c>
      <c r="AH664" s="320">
        <f>IFERROR(__xludf.DUMMYFUNCTION("""COMPUTED_VALUE"""),53.91)</f>
        <v>53.91</v>
      </c>
      <c r="AI664" s="320">
        <f>IFERROR(__xludf.DUMMYFUNCTION("""COMPUTED_VALUE"""),24.92)</f>
        <v>24.92</v>
      </c>
      <c r="AJ664" s="320">
        <f>IFERROR(__xludf.DUMMYFUNCTION("""COMPUTED_VALUE"""),5.18)</f>
        <v>5.18</v>
      </c>
      <c r="AK664" s="320">
        <f>IFERROR(__xludf.DUMMYFUNCTION("""COMPUTED_VALUE"""),0.1696)</f>
        <v>0.1696</v>
      </c>
      <c r="AL664" s="320">
        <f>IFERROR(__xludf.DUMMYFUNCTION("""COMPUTED_VALUE"""),19.49)</f>
        <v>19.49</v>
      </c>
      <c r="AM664" s="320">
        <f>IFERROR(__xludf.DUMMYFUNCTION("""COMPUTED_VALUE"""),165.72)</f>
        <v>165.72</v>
      </c>
      <c r="AN664" s="320">
        <f>IFERROR(__xludf.DUMMYFUNCTION("""COMPUTED_VALUE"""),72.15)</f>
        <v>72.15</v>
      </c>
      <c r="AO664" s="320">
        <f>IFERROR(__xludf.DUMMYFUNCTION("""COMPUTED_VALUE"""),14.06)</f>
        <v>14.06</v>
      </c>
    </row>
    <row r="665" ht="15.0" customHeight="1">
      <c r="A665" s="328">
        <f>IFERROR(__xludf.DUMMYFUNCTION("""COMPUTED_VALUE"""),46160.0)</f>
        <v>46160</v>
      </c>
      <c r="B665" s="319" t="str">
        <f>IFERROR(__xludf.DUMMYFUNCTION("""COMPUTED_VALUE"""),"D. 20-39")</f>
        <v>D. 20-39</v>
      </c>
      <c r="C665" s="320">
        <f>IFERROR(__xludf.DUMMYFUNCTION("""COMPUTED_VALUE"""),7779.0)</f>
        <v>7779</v>
      </c>
      <c r="D665" s="320">
        <f>IFERROR(__xludf.DUMMYFUNCTION("""COMPUTED_VALUE"""),10.64)</f>
        <v>10.64</v>
      </c>
      <c r="E665" s="320">
        <f>IFERROR(__xludf.DUMMYFUNCTION("""COMPUTED_VALUE"""),21049.53)</f>
        <v>21049.53</v>
      </c>
      <c r="F665" s="320">
        <f>IFERROR(__xludf.DUMMYFUNCTION("""COMPUTED_VALUE"""),2.7059)</f>
        <v>2.7059</v>
      </c>
      <c r="G665" s="320">
        <f>IFERROR(__xludf.DUMMYFUNCTION("""COMPUTED_VALUE"""),33.73)</f>
        <v>33.73</v>
      </c>
      <c r="H665" s="320">
        <f>IFERROR(__xludf.DUMMYFUNCTION("""COMPUTED_VALUE"""),8.0219)</f>
        <v>8.0219</v>
      </c>
      <c r="I665" s="320">
        <f>IFERROR(__xludf.DUMMYFUNCTION("""COMPUTED_VALUE"""),89.77)</f>
        <v>89.77</v>
      </c>
      <c r="J665" s="320">
        <f>IFERROR(__xludf.DUMMYFUNCTION("""COMPUTED_VALUE"""),53.19)</f>
        <v>53.19</v>
      </c>
      <c r="K665" s="320">
        <f>IFERROR(__xludf.DUMMYFUNCTION("""COMPUTED_VALUE"""),28.91)</f>
        <v>28.91</v>
      </c>
      <c r="L665" s="320">
        <f>IFERROR(__xludf.DUMMYFUNCTION("""COMPUTED_VALUE"""),0.5434)</f>
        <v>0.5434</v>
      </c>
      <c r="M665" s="320">
        <f>IFERROR(__xludf.DUMMYFUNCTION("""COMPUTED_VALUE"""),0.5317)</f>
        <v>0.5317</v>
      </c>
      <c r="N665" s="320">
        <f>IFERROR(__xludf.DUMMYFUNCTION("""COMPUTED_VALUE"""),0.2884)</f>
        <v>0.2884</v>
      </c>
      <c r="O665" s="320">
        <f>IFERROR(__xludf.DUMMYFUNCTION("""COMPUTED_VALUE"""),1.8401)</f>
        <v>1.8401</v>
      </c>
      <c r="P665" s="320">
        <f>IFERROR(__xludf.DUMMYFUNCTION("""COMPUTED_VALUE"""),391.88)</f>
        <v>391.88</v>
      </c>
      <c r="Q665" s="320">
        <f>IFERROR(__xludf.DUMMYFUNCTION("""COMPUTED_VALUE"""),340.12)</f>
        <v>340.12</v>
      </c>
      <c r="R665" s="320">
        <f>IFERROR(__xludf.DUMMYFUNCTION("""COMPUTED_VALUE"""),51.76)</f>
        <v>51.76</v>
      </c>
      <c r="S665" s="320">
        <f>IFERROR(__xludf.DUMMYFUNCTION("""COMPUTED_VALUE"""),174.5)</f>
        <v>174.5</v>
      </c>
      <c r="T665" s="320">
        <f>IFERROR(__xludf.DUMMYFUNCTION("""COMPUTED_VALUE"""),217.38)</f>
        <v>217.38</v>
      </c>
      <c r="U665" s="320">
        <f>IFERROR(__xludf.DUMMYFUNCTION("""COMPUTED_VALUE"""),396.82)</f>
        <v>396.82</v>
      </c>
      <c r="V665" s="320">
        <f>IFERROR(__xludf.DUMMYFUNCTION("""COMPUTED_VALUE"""),7.4606)</f>
        <v>7.4606</v>
      </c>
      <c r="W665" s="320">
        <f>IFERROR(__xludf.DUMMYFUNCTION("""COMPUTED_VALUE"""),44.53)</f>
        <v>44.53</v>
      </c>
      <c r="X665" s="320">
        <f>IFERROR(__xludf.DUMMYFUNCTION("""COMPUTED_VALUE"""),90.0)</f>
        <v>90</v>
      </c>
      <c r="Y665" s="320">
        <f>IFERROR(__xludf.DUMMYFUNCTION("""COMPUTED_VALUE"""),232.0)</f>
        <v>232</v>
      </c>
      <c r="Z665" s="320">
        <f>IFERROR(__xludf.DUMMYFUNCTION("""COMPUTED_VALUE"""),747.0)</f>
        <v>747</v>
      </c>
      <c r="AA665" s="320">
        <f>IFERROR(__xludf.DUMMYFUNCTION("""COMPUTED_VALUE"""),54.5249)</f>
        <v>54.5249</v>
      </c>
      <c r="AB665" s="320">
        <f>IFERROR(__xludf.DUMMYFUNCTION("""COMPUTED_VALUE"""),0.6012)</f>
        <v>0.6012</v>
      </c>
      <c r="AC665" s="320">
        <f>IFERROR(__xludf.DUMMYFUNCTION("""COMPUTED_VALUE"""),18.16)</f>
        <v>18.16</v>
      </c>
      <c r="AD665" s="320">
        <f>IFERROR(__xludf.DUMMYFUNCTION("""COMPUTED_VALUE"""),6.0)</f>
        <v>6</v>
      </c>
      <c r="AE665" s="320">
        <f>IFERROR(__xludf.DUMMYFUNCTION("""COMPUTED_VALUE"""),14.0)</f>
        <v>14</v>
      </c>
      <c r="AF665" s="320">
        <f>IFERROR(__xludf.DUMMYFUNCTION("""COMPUTED_VALUE"""),26.0)</f>
        <v>26</v>
      </c>
      <c r="AG665" s="320">
        <f>IFERROR(__xludf.DUMMYFUNCTION("""COMPUTED_VALUE"""),38.0)</f>
        <v>38</v>
      </c>
      <c r="AH665" s="320">
        <f>IFERROR(__xludf.DUMMYFUNCTION("""COMPUTED_VALUE"""),58.93)</f>
        <v>58.93</v>
      </c>
      <c r="AI665" s="320">
        <f>IFERROR(__xludf.DUMMYFUNCTION("""COMPUTED_VALUE"""),25.9)</f>
        <v>25.9</v>
      </c>
      <c r="AJ665" s="320">
        <f>IFERROR(__xludf.DUMMYFUNCTION("""COMPUTED_VALUE"""),7.01)</f>
        <v>7.01</v>
      </c>
      <c r="AK665" s="320">
        <f>IFERROR(__xludf.DUMMYFUNCTION("""COMPUTED_VALUE"""),0.184)</f>
        <v>0.184</v>
      </c>
      <c r="AL665" s="320">
        <f>IFERROR(__xludf.DUMMYFUNCTION("""COMPUTED_VALUE"""),19.85)</f>
        <v>19.85</v>
      </c>
      <c r="AM665" s="320">
        <f>IFERROR(__xludf.DUMMYFUNCTION("""COMPUTED_VALUE"""),320.28)</f>
        <v>320.28</v>
      </c>
      <c r="AN665" s="320">
        <f>IFERROR(__xludf.DUMMYFUNCTION("""COMPUTED_VALUE"""),69.73)</f>
        <v>69.73</v>
      </c>
      <c r="AO665" s="320">
        <f>IFERROR(__xludf.DUMMYFUNCTION("""COMPUTED_VALUE"""),13.84)</f>
        <v>13.84</v>
      </c>
    </row>
    <row r="666" ht="15.0" customHeight="1">
      <c r="A666" s="328">
        <f>IFERROR(__xludf.DUMMYFUNCTION("""COMPUTED_VALUE"""),46160.0)</f>
        <v>46160</v>
      </c>
      <c r="B666" s="319" t="str">
        <f>IFERROR(__xludf.DUMMYFUNCTION("""COMPUTED_VALUE"""),"E. 40-99")</f>
        <v>E. 40-99</v>
      </c>
      <c r="C666" s="320">
        <f>IFERROR(__xludf.DUMMYFUNCTION("""COMPUTED_VALUE"""),2910.0)</f>
        <v>2910</v>
      </c>
      <c r="D666" s="320">
        <f>IFERROR(__xludf.DUMMYFUNCTION("""COMPUTED_VALUE"""),3.98)</f>
        <v>3.98</v>
      </c>
      <c r="E666" s="320">
        <f>IFERROR(__xludf.DUMMYFUNCTION("""COMPUTED_VALUE"""),18696.93)</f>
        <v>18696.93</v>
      </c>
      <c r="F666" s="320">
        <f>IFERROR(__xludf.DUMMYFUNCTION("""COMPUTED_VALUE"""),6.4251)</f>
        <v>6.4251</v>
      </c>
      <c r="G666" s="320">
        <f>IFERROR(__xludf.DUMMYFUNCTION("""COMPUTED_VALUE"""),45.67)</f>
        <v>45.67</v>
      </c>
      <c r="H666" s="320">
        <f>IFERROR(__xludf.DUMMYFUNCTION("""COMPUTED_VALUE"""),14.0684)</f>
        <v>14.0684</v>
      </c>
      <c r="I666" s="320">
        <f>IFERROR(__xludf.DUMMYFUNCTION("""COMPUTED_VALUE"""),138.33)</f>
        <v>138.33</v>
      </c>
      <c r="J666" s="320">
        <f>IFERROR(__xludf.DUMMYFUNCTION("""COMPUTED_VALUE"""),84.47)</f>
        <v>84.47</v>
      </c>
      <c r="K666" s="320">
        <f>IFERROR(__xludf.DUMMYFUNCTION("""COMPUTED_VALUE"""),58.49)</f>
        <v>58.49</v>
      </c>
      <c r="L666" s="320">
        <f>IFERROR(__xludf.DUMMYFUNCTION("""COMPUTED_VALUE"""),0.6924)</f>
        <v>0.6924</v>
      </c>
      <c r="M666" s="320">
        <f>IFERROR(__xludf.DUMMYFUNCTION("""COMPUTED_VALUE"""),0.399)</f>
        <v>0.399</v>
      </c>
      <c r="N666" s="320">
        <f>IFERROR(__xludf.DUMMYFUNCTION("""COMPUTED_VALUE"""),0.2281)</f>
        <v>0.2281</v>
      </c>
      <c r="O666" s="320">
        <f>IFERROR(__xludf.DUMMYFUNCTION("""COMPUTED_VALUE"""),1.4442)</f>
        <v>1.4442</v>
      </c>
      <c r="P666" s="320">
        <f>IFERROR(__xludf.DUMMYFUNCTION("""COMPUTED_VALUE"""),774.27)</f>
        <v>774.27</v>
      </c>
      <c r="Q666" s="320">
        <f>IFERROR(__xludf.DUMMYFUNCTION("""COMPUTED_VALUE"""),672.45)</f>
        <v>672.45</v>
      </c>
      <c r="R666" s="320">
        <f>IFERROR(__xludf.DUMMYFUNCTION("""COMPUTED_VALUE"""),101.82)</f>
        <v>101.82</v>
      </c>
      <c r="S666" s="320">
        <f>IFERROR(__xludf.DUMMYFUNCTION("""COMPUTED_VALUE"""),410.62)</f>
        <v>410.62</v>
      </c>
      <c r="T666" s="320">
        <f>IFERROR(__xludf.DUMMYFUNCTION("""COMPUTED_VALUE"""),363.65)</f>
        <v>363.65</v>
      </c>
      <c r="U666" s="320">
        <f>IFERROR(__xludf.DUMMYFUNCTION("""COMPUTED_VALUE"""),809.05)</f>
        <v>809.05</v>
      </c>
      <c r="V666" s="320">
        <f>IFERROR(__xludf.DUMMYFUNCTION("""COMPUTED_VALUE"""),9.5776)</f>
        <v>9.5776</v>
      </c>
      <c r="W666" s="320">
        <f>IFERROR(__xludf.DUMMYFUNCTION("""COMPUTED_VALUE"""),53.03)</f>
        <v>53.03</v>
      </c>
      <c r="X666" s="320">
        <f>IFERROR(__xludf.DUMMYFUNCTION("""COMPUTED_VALUE"""),101.0)</f>
        <v>101</v>
      </c>
      <c r="Y666" s="320">
        <f>IFERROR(__xludf.DUMMYFUNCTION("""COMPUTED_VALUE"""),340.0)</f>
        <v>340</v>
      </c>
      <c r="Z666" s="320">
        <f>IFERROR(__xludf.DUMMYFUNCTION("""COMPUTED_VALUE"""),1176.0)</f>
        <v>1176</v>
      </c>
      <c r="AA666" s="320">
        <f>IFERROR(__xludf.DUMMYFUNCTION("""COMPUTED_VALUE"""),57.6275)</f>
        <v>57.6275</v>
      </c>
      <c r="AB666" s="320">
        <f>IFERROR(__xludf.DUMMYFUNCTION("""COMPUTED_VALUE"""),0.6847)</f>
        <v>0.6847</v>
      </c>
      <c r="AC666" s="320">
        <f>IFERROR(__xludf.DUMMYFUNCTION("""COMPUTED_VALUE"""),36.75)</f>
        <v>36.75</v>
      </c>
      <c r="AD666" s="320">
        <f>IFERROR(__xludf.DUMMYFUNCTION("""COMPUTED_VALUE"""),14.0)</f>
        <v>14</v>
      </c>
      <c r="AE666" s="320">
        <f>IFERROR(__xludf.DUMMYFUNCTION("""COMPUTED_VALUE"""),30.0)</f>
        <v>30</v>
      </c>
      <c r="AF666" s="320">
        <f>IFERROR(__xludf.DUMMYFUNCTION("""COMPUTED_VALUE"""),49.0)</f>
        <v>49</v>
      </c>
      <c r="AG666" s="320">
        <f>IFERROR(__xludf.DUMMYFUNCTION("""COMPUTED_VALUE"""),76.0)</f>
        <v>76</v>
      </c>
      <c r="AH666" s="320">
        <f>IFERROR(__xludf.DUMMYFUNCTION("""COMPUTED_VALUE"""),53.44)</f>
        <v>53.44</v>
      </c>
      <c r="AI666" s="320">
        <f>IFERROR(__xludf.DUMMYFUNCTION("""COMPUTED_VALUE"""),18.56)</f>
        <v>18.56</v>
      </c>
      <c r="AJ666" s="320">
        <f>IFERROR(__xludf.DUMMYFUNCTION("""COMPUTED_VALUE"""),4.81)</f>
        <v>4.81</v>
      </c>
      <c r="AK666" s="320">
        <f>IFERROR(__xludf.DUMMYFUNCTION("""COMPUTED_VALUE"""),0.1639)</f>
        <v>0.1639</v>
      </c>
      <c r="AL666" s="320">
        <f>IFERROR(__xludf.DUMMYFUNCTION("""COMPUTED_VALUE"""),20.02)</f>
        <v>20.02</v>
      </c>
      <c r="AM666" s="320">
        <f>IFERROR(__xludf.DUMMYFUNCTION("""COMPUTED_VALUE"""),652.43)</f>
        <v>652.43</v>
      </c>
      <c r="AN666" s="320">
        <f>IFERROR(__xludf.DUMMYFUNCTION("""COMPUTED_VALUE"""),67.34)</f>
        <v>67.34</v>
      </c>
      <c r="AO666" s="320">
        <f>IFERROR(__xludf.DUMMYFUNCTION("""COMPUTED_VALUE"""),13.48)</f>
        <v>13.48</v>
      </c>
    </row>
    <row r="667" ht="15.0" customHeight="1">
      <c r="A667" s="328">
        <f>IFERROR(__xludf.DUMMYFUNCTION("""COMPUTED_VALUE"""),46160.0)</f>
        <v>46160</v>
      </c>
      <c r="B667" s="319" t="str">
        <f>IFERROR(__xludf.DUMMYFUNCTION("""COMPUTED_VALUE"""),"F. 100+")</f>
        <v>F. 100+</v>
      </c>
      <c r="C667" s="320">
        <f>IFERROR(__xludf.DUMMYFUNCTION("""COMPUTED_VALUE"""),300.0)</f>
        <v>300</v>
      </c>
      <c r="D667" s="320">
        <f>IFERROR(__xludf.DUMMYFUNCTION("""COMPUTED_VALUE"""),0.41)</f>
        <v>0.41</v>
      </c>
      <c r="E667" s="320">
        <f>IFERROR(__xludf.DUMMYFUNCTION("""COMPUTED_VALUE"""),3388.24)</f>
        <v>3388.24</v>
      </c>
      <c r="F667" s="320">
        <f>IFERROR(__xludf.DUMMYFUNCTION("""COMPUTED_VALUE"""),11.2941)</f>
        <v>11.2941</v>
      </c>
      <c r="G667" s="320">
        <f>IFERROR(__xludf.DUMMYFUNCTION("""COMPUTED_VALUE"""),51.0)</f>
        <v>51</v>
      </c>
      <c r="H667" s="320">
        <f>IFERROR(__xludf.DUMMYFUNCTION("""COMPUTED_VALUE"""),22.1454)</f>
        <v>22.1454</v>
      </c>
      <c r="I667" s="320">
        <f>IFERROR(__xludf.DUMMYFUNCTION("""COMPUTED_VALUE"""),251.19)</f>
        <v>251.19</v>
      </c>
      <c r="J667" s="320">
        <f>IFERROR(__xludf.DUMMYFUNCTION("""COMPUTED_VALUE"""),157.96)</f>
        <v>157.96</v>
      </c>
      <c r="K667" s="320">
        <f>IFERROR(__xludf.DUMMYFUNCTION("""COMPUTED_VALUE"""),126.44)</f>
        <v>126.44</v>
      </c>
      <c r="L667" s="320">
        <f>IFERROR(__xludf.DUMMYFUNCTION("""COMPUTED_VALUE"""),0.8005)</f>
        <v>0.8005</v>
      </c>
      <c r="M667" s="320">
        <f>IFERROR(__xludf.DUMMYFUNCTION("""COMPUTED_VALUE"""),0.2838)</f>
        <v>0.2838</v>
      </c>
      <c r="N667" s="320">
        <f>IFERROR(__xludf.DUMMYFUNCTION("""COMPUTED_VALUE"""),0.1703)</f>
        <v>0.1703</v>
      </c>
      <c r="O667" s="320">
        <f>IFERROR(__xludf.DUMMYFUNCTION("""COMPUTED_VALUE"""),1.2493)</f>
        <v>1.2493</v>
      </c>
      <c r="P667" s="320">
        <f>IFERROR(__xludf.DUMMYFUNCTION("""COMPUTED_VALUE"""),1359.33)</f>
        <v>1359.33</v>
      </c>
      <c r="Q667" s="320">
        <f>IFERROR(__xludf.DUMMYFUNCTION("""COMPUTED_VALUE"""),1118.13)</f>
        <v>1118.13</v>
      </c>
      <c r="R667" s="320">
        <f>IFERROR(__xludf.DUMMYFUNCTION("""COMPUTED_VALUE"""),241.2)</f>
        <v>241.2</v>
      </c>
      <c r="S667" s="320">
        <f>IFERROR(__xludf.DUMMYFUNCTION("""COMPUTED_VALUE"""),710.65)</f>
        <v>710.65</v>
      </c>
      <c r="T667" s="320">
        <f>IFERROR(__xludf.DUMMYFUNCTION("""COMPUTED_VALUE"""),648.68)</f>
        <v>648.68</v>
      </c>
      <c r="U667" s="320">
        <f>IFERROR(__xludf.DUMMYFUNCTION("""COMPUTED_VALUE"""),1362.5)</f>
        <v>1362.5</v>
      </c>
      <c r="V667" s="320">
        <f>IFERROR(__xludf.DUMMYFUNCTION("""COMPUTED_VALUE"""),8.6258)</f>
        <v>8.6258</v>
      </c>
      <c r="W667" s="320">
        <f>IFERROR(__xludf.DUMMYFUNCTION("""COMPUTED_VALUE"""),52.28)</f>
        <v>52.28</v>
      </c>
      <c r="X667" s="320">
        <f>IFERROR(__xludf.DUMMYFUNCTION("""COMPUTED_VALUE"""),135.0)</f>
        <v>135</v>
      </c>
      <c r="Y667" s="320">
        <f>IFERROR(__xludf.DUMMYFUNCTION("""COMPUTED_VALUE"""),637.0)</f>
        <v>637</v>
      </c>
      <c r="Z667" s="320">
        <f>IFERROR(__xludf.DUMMYFUNCTION("""COMPUTED_VALUE"""),1848.0)</f>
        <v>1848</v>
      </c>
      <c r="AA667" s="320">
        <f>IFERROR(__xludf.DUMMYFUNCTION("""COMPUTED_VALUE"""),61.4446)</f>
        <v>61.4446</v>
      </c>
      <c r="AB667" s="320">
        <f>IFERROR(__xludf.DUMMYFUNCTION("""COMPUTED_VALUE"""),0.83)</f>
        <v>0.83</v>
      </c>
      <c r="AC667" s="320">
        <f>IFERROR(__xludf.DUMMYFUNCTION("""COMPUTED_VALUE"""),84.17)</f>
        <v>84.17</v>
      </c>
      <c r="AD667" s="320">
        <f>IFERROR(__xludf.DUMMYFUNCTION("""COMPUTED_VALUE"""),31.0)</f>
        <v>31</v>
      </c>
      <c r="AE667" s="320">
        <f>IFERROR(__xludf.DUMMYFUNCTION("""COMPUTED_VALUE"""),67.0)</f>
        <v>67</v>
      </c>
      <c r="AF667" s="320">
        <f>IFERROR(__xludf.DUMMYFUNCTION("""COMPUTED_VALUE"""),122.0)</f>
        <v>122</v>
      </c>
      <c r="AG667" s="320">
        <f>IFERROR(__xludf.DUMMYFUNCTION("""COMPUTED_VALUE"""),177.0)</f>
        <v>177</v>
      </c>
      <c r="AH667" s="320">
        <f>IFERROR(__xludf.DUMMYFUNCTION("""COMPUTED_VALUE"""),44.0)</f>
        <v>44</v>
      </c>
      <c r="AI667" s="320">
        <f>IFERROR(__xludf.DUMMYFUNCTION("""COMPUTED_VALUE"""),11.0)</f>
        <v>11</v>
      </c>
      <c r="AJ667" s="320">
        <f>IFERROR(__xludf.DUMMYFUNCTION("""COMPUTED_VALUE"""),1.33)</f>
        <v>1.33</v>
      </c>
      <c r="AK667" s="320">
        <f>IFERROR(__xludf.DUMMYFUNCTION("""COMPUTED_VALUE"""),0.1533)</f>
        <v>0.1533</v>
      </c>
      <c r="AL667" s="320">
        <f>IFERROR(__xludf.DUMMYFUNCTION("""COMPUTED_VALUE"""),20.15)</f>
        <v>20.15</v>
      </c>
      <c r="AM667" s="320">
        <f>IFERROR(__xludf.DUMMYFUNCTION("""COMPUTED_VALUE"""),1097.98)</f>
        <v>1097.98</v>
      </c>
      <c r="AN667" s="320">
        <f>IFERROR(__xludf.DUMMYFUNCTION("""COMPUTED_VALUE"""),69.95)</f>
        <v>69.95</v>
      </c>
      <c r="AO667" s="320">
        <f>IFERROR(__xludf.DUMMYFUNCTION("""COMPUTED_VALUE"""),14.09)</f>
        <v>14.09</v>
      </c>
    </row>
    <row r="668" ht="15.0" customHeight="1">
      <c r="A668" s="328">
        <f>IFERROR(__xludf.DUMMYFUNCTION("""COMPUTED_VALUE"""),46161.0)</f>
        <v>46161</v>
      </c>
      <c r="B668" s="319" t="str">
        <f>IFERROR(__xludf.DUMMYFUNCTION("""COMPUTED_VALUE"""),"A. 0")</f>
        <v>A. 0</v>
      </c>
      <c r="C668" s="320">
        <f>IFERROR(__xludf.DUMMYFUNCTION("""COMPUTED_VALUE"""),16198.0)</f>
        <v>16198</v>
      </c>
      <c r="D668" s="320">
        <f>IFERROR(__xludf.DUMMYFUNCTION("""COMPUTED_VALUE"""),22.2)</f>
        <v>22.2</v>
      </c>
      <c r="E668" s="320">
        <f>IFERROR(__xludf.DUMMYFUNCTION("""COMPUTED_VALUE"""),256.58)</f>
        <v>256.58</v>
      </c>
      <c r="F668" s="320">
        <f>IFERROR(__xludf.DUMMYFUNCTION("""COMPUTED_VALUE"""),0.0158)</f>
        <v>0.0158</v>
      </c>
      <c r="G668" s="320">
        <f>IFERROR(__xludf.DUMMYFUNCTION("""COMPUTED_VALUE"""),0.17)</f>
        <v>0.17</v>
      </c>
      <c r="H668" s="320">
        <f>IFERROR(__xludf.DUMMYFUNCTION("""COMPUTED_VALUE"""),9.503)</f>
        <v>9.503</v>
      </c>
      <c r="I668" s="320">
        <f>IFERROR(__xludf.DUMMYFUNCTION("""COMPUTED_VALUE"""),6.61)</f>
        <v>6.61</v>
      </c>
      <c r="J668" s="320">
        <f>IFERROR(__xludf.DUMMYFUNCTION("""COMPUTED_VALUE"""),3.07)</f>
        <v>3.07</v>
      </c>
      <c r="K668" s="320">
        <f>IFERROR(__xludf.DUMMYFUNCTION("""COMPUTED_VALUE"""),0.04)</f>
        <v>0.04</v>
      </c>
      <c r="L668" s="320">
        <f>IFERROR(__xludf.DUMMYFUNCTION("""COMPUTED_VALUE"""),0.0132)</f>
        <v>0.0132</v>
      </c>
      <c r="M668" s="320">
        <f>IFERROR(__xludf.DUMMYFUNCTION("""COMPUTED_VALUE"""),0.9884)</f>
        <v>0.9884</v>
      </c>
      <c r="N668" s="320">
        <f>IFERROR(__xludf.DUMMYFUNCTION("""COMPUTED_VALUE"""),0.8298)</f>
        <v>0.8298</v>
      </c>
      <c r="O668" s="320">
        <f>IFERROR(__xludf.DUMMYFUNCTION("""COMPUTED_VALUE"""),76.0322)</f>
        <v>76.0322</v>
      </c>
      <c r="P668" s="320">
        <f>IFERROR(__xludf.DUMMYFUNCTION("""COMPUTED_VALUE"""),25.94)</f>
        <v>25.94</v>
      </c>
      <c r="Q668" s="320">
        <f>IFERROR(__xludf.DUMMYFUNCTION("""COMPUTED_VALUE"""),25.89)</f>
        <v>25.89</v>
      </c>
      <c r="R668" s="320">
        <f>IFERROR(__xludf.DUMMYFUNCTION("""COMPUTED_VALUE"""),0.05)</f>
        <v>0.05</v>
      </c>
      <c r="S668" s="320">
        <f>IFERROR(__xludf.DUMMYFUNCTION("""COMPUTED_VALUE"""),1.11)</f>
        <v>1.11</v>
      </c>
      <c r="T668" s="320">
        <f>IFERROR(__xludf.DUMMYFUNCTION("""COMPUTED_VALUE"""),24.82)</f>
        <v>24.82</v>
      </c>
      <c r="U668" s="320">
        <f>IFERROR(__xludf.DUMMYFUNCTION("""COMPUTED_VALUE"""),2.71)</f>
        <v>2.71</v>
      </c>
      <c r="V668" s="320">
        <f>IFERROR(__xludf.DUMMYFUNCTION("""COMPUTED_VALUE"""),0.8852)</f>
        <v>0.8852</v>
      </c>
      <c r="W668" s="320">
        <f>IFERROR(__xludf.DUMMYFUNCTION("""COMPUTED_VALUE"""),4.3)</f>
        <v>4.3</v>
      </c>
      <c r="X668" s="320">
        <f>IFERROR(__xludf.DUMMYFUNCTION("""COMPUTED_VALUE"""),151.0)</f>
        <v>151</v>
      </c>
      <c r="Y668" s="320">
        <f>IFERROR(__xludf.DUMMYFUNCTION("""COMPUTED_VALUE"""),1088.0)</f>
        <v>1088</v>
      </c>
      <c r="Z668" s="320">
        <f>IFERROR(__xludf.DUMMYFUNCTION("""COMPUTED_VALUE"""),7634.0)</f>
        <v>7634</v>
      </c>
      <c r="AA668" s="320">
        <f>IFERROR(__xludf.DUMMYFUNCTION("""COMPUTED_VALUE"""),49.3746)</f>
        <v>49.3746</v>
      </c>
      <c r="AB668" s="320">
        <f>IFERROR(__xludf.DUMMYFUNCTION("""COMPUTED_VALUE"""),0.5019)</f>
        <v>0.5019</v>
      </c>
      <c r="AC668" s="106"/>
      <c r="AD668" s="106"/>
      <c r="AE668" s="106"/>
      <c r="AF668" s="106"/>
      <c r="AG668" s="106"/>
      <c r="AH668" s="320">
        <f>IFERROR(__xludf.DUMMYFUNCTION("""COMPUTED_VALUE"""),0.0)</f>
        <v>0</v>
      </c>
      <c r="AI668" s="320">
        <f>IFERROR(__xludf.DUMMYFUNCTION("""COMPUTED_VALUE"""),0.0)</f>
        <v>0</v>
      </c>
      <c r="AJ668" s="320">
        <f>IFERROR(__xludf.DUMMYFUNCTION("""COMPUTED_VALUE"""),0.0)</f>
        <v>0</v>
      </c>
      <c r="AK668" s="320">
        <f>IFERROR(__xludf.DUMMYFUNCTION("""COMPUTED_VALUE"""),0.2582)</f>
        <v>0.2582</v>
      </c>
      <c r="AL668" s="320">
        <f>IFERROR(__xludf.DUMMYFUNCTION("""COMPUTED_VALUE"""),14.29)</f>
        <v>14.29</v>
      </c>
      <c r="AM668" s="320">
        <f>IFERROR(__xludf.DUMMYFUNCTION("""COMPUTED_VALUE"""),11.6)</f>
        <v>11.6</v>
      </c>
      <c r="AN668" s="331"/>
      <c r="AO668" s="331"/>
    </row>
    <row r="669" ht="15.0" customHeight="1">
      <c r="A669" s="328">
        <f>IFERROR(__xludf.DUMMYFUNCTION("""COMPUTED_VALUE"""),46161.0)</f>
        <v>46161</v>
      </c>
      <c r="B669" s="319" t="str">
        <f>IFERROR(__xludf.DUMMYFUNCTION("""COMPUTED_VALUE"""),"B. 1-9")</f>
        <v>B. 1-9</v>
      </c>
      <c r="C669" s="320">
        <f>IFERROR(__xludf.DUMMYFUNCTION("""COMPUTED_VALUE"""),31384.0)</f>
        <v>31384</v>
      </c>
      <c r="D669" s="320">
        <f>IFERROR(__xludf.DUMMYFUNCTION("""COMPUTED_VALUE"""),43.01)</f>
        <v>43.01</v>
      </c>
      <c r="E669" s="320">
        <f>IFERROR(__xludf.DUMMYFUNCTION("""COMPUTED_VALUE"""),6716.59)</f>
        <v>6716.59</v>
      </c>
      <c r="F669" s="320">
        <f>IFERROR(__xludf.DUMMYFUNCTION("""COMPUTED_VALUE"""),0.214)</f>
        <v>0.214</v>
      </c>
      <c r="G669" s="320">
        <f>IFERROR(__xludf.DUMMYFUNCTION("""COMPUTED_VALUE"""),6.5)</f>
        <v>6.5</v>
      </c>
      <c r="H669" s="320">
        <f>IFERROR(__xludf.DUMMYFUNCTION("""COMPUTED_VALUE"""),3.2941)</f>
        <v>3.2941</v>
      </c>
      <c r="I669" s="320">
        <f>IFERROR(__xludf.DUMMYFUNCTION("""COMPUTED_VALUE"""),29.94)</f>
        <v>29.94</v>
      </c>
      <c r="J669" s="320">
        <f>IFERROR(__xludf.DUMMYFUNCTION("""COMPUTED_VALUE"""),16.04)</f>
        <v>16.04</v>
      </c>
      <c r="K669" s="320">
        <f>IFERROR(__xludf.DUMMYFUNCTION("""COMPUTED_VALUE"""),5.06)</f>
        <v>5.06</v>
      </c>
      <c r="L669" s="320">
        <f>IFERROR(__xludf.DUMMYFUNCTION("""COMPUTED_VALUE"""),0.3156)</f>
        <v>0.3156</v>
      </c>
      <c r="M669" s="320">
        <f>IFERROR(__xludf.DUMMYFUNCTION("""COMPUTED_VALUE"""),0.7586)</f>
        <v>0.7586</v>
      </c>
      <c r="N669" s="320">
        <f>IFERROR(__xludf.DUMMYFUNCTION("""COMPUTED_VALUE"""),0.5234)</f>
        <v>0.5234</v>
      </c>
      <c r="O669" s="320">
        <f>IFERROR(__xludf.DUMMYFUNCTION("""COMPUTED_VALUE"""),3.1685)</f>
        <v>3.1685</v>
      </c>
      <c r="P669" s="320">
        <f>IFERROR(__xludf.DUMMYFUNCTION("""COMPUTED_VALUE"""),71.34)</f>
        <v>71.34</v>
      </c>
      <c r="Q669" s="320">
        <f>IFERROR(__xludf.DUMMYFUNCTION("""COMPUTED_VALUE"""),61.38)</f>
        <v>61.38</v>
      </c>
      <c r="R669" s="320">
        <f>IFERROR(__xludf.DUMMYFUNCTION("""COMPUTED_VALUE"""),9.96)</f>
        <v>9.96</v>
      </c>
      <c r="S669" s="320">
        <f>IFERROR(__xludf.DUMMYFUNCTION("""COMPUTED_VALUE"""),15.87)</f>
        <v>15.87</v>
      </c>
      <c r="T669" s="320">
        <f>IFERROR(__xludf.DUMMYFUNCTION("""COMPUTED_VALUE"""),55.47)</f>
        <v>55.47</v>
      </c>
      <c r="U669" s="320">
        <f>IFERROR(__xludf.DUMMYFUNCTION("""COMPUTED_VALUE"""),75.71)</f>
        <v>75.71</v>
      </c>
      <c r="V669" s="320">
        <f>IFERROR(__xludf.DUMMYFUNCTION("""COMPUTED_VALUE"""),4.7209)</f>
        <v>4.7209</v>
      </c>
      <c r="W669" s="320">
        <f>IFERROR(__xludf.DUMMYFUNCTION("""COMPUTED_VALUE"""),22.24)</f>
        <v>22.24</v>
      </c>
      <c r="X669" s="320">
        <f>IFERROR(__xludf.DUMMYFUNCTION("""COMPUTED_VALUE"""),89.0)</f>
        <v>89</v>
      </c>
      <c r="Y669" s="320">
        <f>IFERROR(__xludf.DUMMYFUNCTION("""COMPUTED_VALUE"""),217.0)</f>
        <v>217</v>
      </c>
      <c r="Z669" s="320">
        <f>IFERROR(__xludf.DUMMYFUNCTION("""COMPUTED_VALUE"""),879.0)</f>
        <v>879</v>
      </c>
      <c r="AA669" s="320">
        <f>IFERROR(__xludf.DUMMYFUNCTION("""COMPUTED_VALUE"""),49.4741)</f>
        <v>49.4741</v>
      </c>
      <c r="AB669" s="320">
        <f>IFERROR(__xludf.DUMMYFUNCTION("""COMPUTED_VALUE"""),0.4383)</f>
        <v>0.4383</v>
      </c>
      <c r="AC669" s="320">
        <f>IFERROR(__xludf.DUMMYFUNCTION("""COMPUTED_VALUE"""),3.46)</f>
        <v>3.46</v>
      </c>
      <c r="AD669" s="320">
        <f>IFERROR(__xludf.DUMMYFUNCTION("""COMPUTED_VALUE"""),1.0)</f>
        <v>1</v>
      </c>
      <c r="AE669" s="320">
        <f>IFERROR(__xludf.DUMMYFUNCTION("""COMPUTED_VALUE"""),2.0)</f>
        <v>2</v>
      </c>
      <c r="AF669" s="320">
        <f>IFERROR(__xludf.DUMMYFUNCTION("""COMPUTED_VALUE"""),4.0)</f>
        <v>4</v>
      </c>
      <c r="AG669" s="320">
        <f>IFERROR(__xludf.DUMMYFUNCTION("""COMPUTED_VALUE"""),8.0)</f>
        <v>8</v>
      </c>
      <c r="AH669" s="320">
        <f>IFERROR(__xludf.DUMMYFUNCTION("""COMPUTED_VALUE"""),65.06)</f>
        <v>65.06</v>
      </c>
      <c r="AI669" s="320">
        <f>IFERROR(__xludf.DUMMYFUNCTION("""COMPUTED_VALUE"""),23.45)</f>
        <v>23.45</v>
      </c>
      <c r="AJ669" s="320">
        <f>IFERROR(__xludf.DUMMYFUNCTION("""COMPUTED_VALUE"""),6.83)</f>
        <v>6.83</v>
      </c>
      <c r="AK669" s="320">
        <f>IFERROR(__xludf.DUMMYFUNCTION("""COMPUTED_VALUE"""),0.207)</f>
        <v>0.207</v>
      </c>
      <c r="AL669" s="320">
        <f>IFERROR(__xludf.DUMMYFUNCTION("""COMPUTED_VALUE"""),18.65)</f>
        <v>18.65</v>
      </c>
      <c r="AM669" s="320">
        <f>IFERROR(__xludf.DUMMYFUNCTION("""COMPUTED_VALUE"""),42.73)</f>
        <v>42.73</v>
      </c>
      <c r="AN669" s="320">
        <f>IFERROR(__xludf.DUMMYFUNCTION("""COMPUTED_VALUE"""),67.5)</f>
        <v>67.5</v>
      </c>
      <c r="AO669" s="320">
        <f>IFERROR(__xludf.DUMMYFUNCTION("""COMPUTED_VALUE"""),12.59)</f>
        <v>12.59</v>
      </c>
    </row>
    <row r="670" ht="15.0" customHeight="1">
      <c r="A670" s="328">
        <f>IFERROR(__xludf.DUMMYFUNCTION("""COMPUTED_VALUE"""),46161.0)</f>
        <v>46161</v>
      </c>
      <c r="B670" s="319" t="str">
        <f>IFERROR(__xludf.DUMMYFUNCTION("""COMPUTED_VALUE"""),"C. 10-19")</f>
        <v>C. 10-19</v>
      </c>
      <c r="C670" s="320">
        <f>IFERROR(__xludf.DUMMYFUNCTION("""COMPUTED_VALUE"""),15208.0)</f>
        <v>15208</v>
      </c>
      <c r="D670" s="320">
        <f>IFERROR(__xludf.DUMMYFUNCTION("""COMPUTED_VALUE"""),20.84)</f>
        <v>20.84</v>
      </c>
      <c r="E670" s="320">
        <f>IFERROR(__xludf.DUMMYFUNCTION("""COMPUTED_VALUE"""),16902.65)</f>
        <v>16902.65</v>
      </c>
      <c r="F670" s="320">
        <f>IFERROR(__xludf.DUMMYFUNCTION("""COMPUTED_VALUE"""),1.1114)</f>
        <v>1.1114</v>
      </c>
      <c r="G670" s="320">
        <f>IFERROR(__xludf.DUMMYFUNCTION("""COMPUTED_VALUE"""),22.01)</f>
        <v>22.01</v>
      </c>
      <c r="H670" s="320">
        <f>IFERROR(__xludf.DUMMYFUNCTION("""COMPUTED_VALUE"""),5.0486)</f>
        <v>5.0486</v>
      </c>
      <c r="I670" s="320">
        <f>IFERROR(__xludf.DUMMYFUNCTION("""COMPUTED_VALUE"""),57.1)</f>
        <v>57.1</v>
      </c>
      <c r="J670" s="320">
        <f>IFERROR(__xludf.DUMMYFUNCTION("""COMPUTED_VALUE"""),32.56)</f>
        <v>32.56</v>
      </c>
      <c r="K670" s="320">
        <f>IFERROR(__xludf.DUMMYFUNCTION("""COMPUTED_VALUE"""),13.82)</f>
        <v>13.82</v>
      </c>
      <c r="L670" s="320">
        <f>IFERROR(__xludf.DUMMYFUNCTION("""COMPUTED_VALUE"""),0.4245)</f>
        <v>0.4245</v>
      </c>
      <c r="M670" s="320">
        <f>IFERROR(__xludf.DUMMYFUNCTION("""COMPUTED_VALUE"""),0.6422)</f>
        <v>0.6422</v>
      </c>
      <c r="N670" s="320">
        <f>IFERROR(__xludf.DUMMYFUNCTION("""COMPUTED_VALUE"""),0.3685)</f>
        <v>0.3685</v>
      </c>
      <c r="O670" s="320">
        <f>IFERROR(__xludf.DUMMYFUNCTION("""COMPUTED_VALUE"""),2.3556)</f>
        <v>2.3556</v>
      </c>
      <c r="P670" s="320">
        <f>IFERROR(__xludf.DUMMYFUNCTION("""COMPUTED_VALUE"""),181.41)</f>
        <v>181.41</v>
      </c>
      <c r="Q670" s="320">
        <f>IFERROR(__xludf.DUMMYFUNCTION("""COMPUTED_VALUE"""),154.44)</f>
        <v>154.44</v>
      </c>
      <c r="R670" s="320">
        <f>IFERROR(__xludf.DUMMYFUNCTION("""COMPUTED_VALUE"""),26.97)</f>
        <v>26.97</v>
      </c>
      <c r="S670" s="320">
        <f>IFERROR(__xludf.DUMMYFUNCTION("""COMPUTED_VALUE"""),75.86)</f>
        <v>75.86</v>
      </c>
      <c r="T670" s="320">
        <f>IFERROR(__xludf.DUMMYFUNCTION("""COMPUTED_VALUE"""),105.55)</f>
        <v>105.55</v>
      </c>
      <c r="U670" s="320">
        <f>IFERROR(__xludf.DUMMYFUNCTION("""COMPUTED_VALUE"""),189.18)</f>
        <v>189.18</v>
      </c>
      <c r="V670" s="320">
        <f>IFERROR(__xludf.DUMMYFUNCTION("""COMPUTED_VALUE"""),5.8101)</f>
        <v>5.8101</v>
      </c>
      <c r="W670" s="320">
        <f>IFERROR(__xludf.DUMMYFUNCTION("""COMPUTED_VALUE"""),41.82)</f>
        <v>41.82</v>
      </c>
      <c r="X670" s="320">
        <f>IFERROR(__xludf.DUMMYFUNCTION("""COMPUTED_VALUE"""),84.0)</f>
        <v>84</v>
      </c>
      <c r="Y670" s="320">
        <f>IFERROR(__xludf.DUMMYFUNCTION("""COMPUTED_VALUE"""),191.0)</f>
        <v>191</v>
      </c>
      <c r="Z670" s="320">
        <f>IFERROR(__xludf.DUMMYFUNCTION("""COMPUTED_VALUE"""),637.0)</f>
        <v>637</v>
      </c>
      <c r="AA670" s="320">
        <f>IFERROR(__xludf.DUMMYFUNCTION("""COMPUTED_VALUE"""),52.4388)</f>
        <v>52.4388</v>
      </c>
      <c r="AB670" s="320">
        <f>IFERROR(__xludf.DUMMYFUNCTION("""COMPUTED_VALUE"""),0.5083)</f>
        <v>0.5083</v>
      </c>
      <c r="AC670" s="320">
        <f>IFERROR(__xludf.DUMMYFUNCTION("""COMPUTED_VALUE"""),8.94)</f>
        <v>8.94</v>
      </c>
      <c r="AD670" s="320">
        <f>IFERROR(__xludf.DUMMYFUNCTION("""COMPUTED_VALUE"""),3.0)</f>
        <v>3</v>
      </c>
      <c r="AE670" s="320">
        <f>IFERROR(__xludf.DUMMYFUNCTION("""COMPUTED_VALUE"""),6.0)</f>
        <v>6</v>
      </c>
      <c r="AF670" s="320">
        <f>IFERROR(__xludf.DUMMYFUNCTION("""COMPUTED_VALUE"""),12.0)</f>
        <v>12</v>
      </c>
      <c r="AG670" s="320">
        <f>IFERROR(__xludf.DUMMYFUNCTION("""COMPUTED_VALUE"""),20.0)</f>
        <v>20</v>
      </c>
      <c r="AH670" s="320">
        <f>IFERROR(__xludf.DUMMYFUNCTION("""COMPUTED_VALUE"""),53.69)</f>
        <v>53.69</v>
      </c>
      <c r="AI670" s="320">
        <f>IFERROR(__xludf.DUMMYFUNCTION("""COMPUTED_VALUE"""),25.12)</f>
        <v>25.12</v>
      </c>
      <c r="AJ670" s="320">
        <f>IFERROR(__xludf.DUMMYFUNCTION("""COMPUTED_VALUE"""),5.04)</f>
        <v>5.04</v>
      </c>
      <c r="AK670" s="320">
        <f>IFERROR(__xludf.DUMMYFUNCTION("""COMPUTED_VALUE"""),0.1692)</f>
        <v>0.1692</v>
      </c>
      <c r="AL670" s="320">
        <f>IFERROR(__xludf.DUMMYFUNCTION("""COMPUTED_VALUE"""),19.32)</f>
        <v>19.32</v>
      </c>
      <c r="AM670" s="320">
        <f>IFERROR(__xludf.DUMMYFUNCTION("""COMPUTED_VALUE"""),135.12)</f>
        <v>135.12</v>
      </c>
      <c r="AN670" s="320">
        <f>IFERROR(__xludf.DUMMYFUNCTION("""COMPUTED_VALUE"""),72.32)</f>
        <v>72.32</v>
      </c>
      <c r="AO670" s="320">
        <f>IFERROR(__xludf.DUMMYFUNCTION("""COMPUTED_VALUE"""),13.97)</f>
        <v>13.97</v>
      </c>
    </row>
    <row r="671" ht="15.0" customHeight="1">
      <c r="A671" s="328">
        <f>IFERROR(__xludf.DUMMYFUNCTION("""COMPUTED_VALUE"""),46161.0)</f>
        <v>46161</v>
      </c>
      <c r="B671" s="319" t="str">
        <f>IFERROR(__xludf.DUMMYFUNCTION("""COMPUTED_VALUE"""),"D. 20-39")</f>
        <v>D. 20-39</v>
      </c>
      <c r="C671" s="320">
        <f>IFERROR(__xludf.DUMMYFUNCTION("""COMPUTED_VALUE"""),7371.0)</f>
        <v>7371</v>
      </c>
      <c r="D671" s="320">
        <f>IFERROR(__xludf.DUMMYFUNCTION("""COMPUTED_VALUE"""),10.1)</f>
        <v>10.1</v>
      </c>
      <c r="E671" s="320">
        <f>IFERROR(__xludf.DUMMYFUNCTION("""COMPUTED_VALUE"""),20620.13)</f>
        <v>20620.13</v>
      </c>
      <c r="F671" s="320">
        <f>IFERROR(__xludf.DUMMYFUNCTION("""COMPUTED_VALUE"""),2.7975)</f>
        <v>2.7975</v>
      </c>
      <c r="G671" s="320">
        <f>IFERROR(__xludf.DUMMYFUNCTION("""COMPUTED_VALUE"""),34.69)</f>
        <v>34.69</v>
      </c>
      <c r="H671" s="320">
        <f>IFERROR(__xludf.DUMMYFUNCTION("""COMPUTED_VALUE"""),8.0642)</f>
        <v>8.0642</v>
      </c>
      <c r="I671" s="320">
        <f>IFERROR(__xludf.DUMMYFUNCTION("""COMPUTED_VALUE"""),80.43)</f>
        <v>80.43</v>
      </c>
      <c r="J671" s="320">
        <f>IFERROR(__xludf.DUMMYFUNCTION("""COMPUTED_VALUE"""),47.42)</f>
        <v>47.42</v>
      </c>
      <c r="K671" s="320">
        <f>IFERROR(__xludf.DUMMYFUNCTION("""COMPUTED_VALUE"""),27.29)</f>
        <v>27.29</v>
      </c>
      <c r="L671" s="320">
        <f>IFERROR(__xludf.DUMMYFUNCTION("""COMPUTED_VALUE"""),0.5754)</f>
        <v>0.5754</v>
      </c>
      <c r="M671" s="320">
        <f>IFERROR(__xludf.DUMMYFUNCTION("""COMPUTED_VALUE"""),0.5031)</f>
        <v>0.5031</v>
      </c>
      <c r="N671" s="320">
        <f>IFERROR(__xludf.DUMMYFUNCTION("""COMPUTED_VALUE"""),0.2736)</f>
        <v>0.2736</v>
      </c>
      <c r="O671" s="320">
        <f>IFERROR(__xludf.DUMMYFUNCTION("""COMPUTED_VALUE"""),1.7378)</f>
        <v>1.7378</v>
      </c>
      <c r="P671" s="320">
        <f>IFERROR(__xludf.DUMMYFUNCTION("""COMPUTED_VALUE"""),361.93)</f>
        <v>361.93</v>
      </c>
      <c r="Q671" s="320">
        <f>IFERROR(__xludf.DUMMYFUNCTION("""COMPUTED_VALUE"""),311.3)</f>
        <v>311.3</v>
      </c>
      <c r="R671" s="320">
        <f>IFERROR(__xludf.DUMMYFUNCTION("""COMPUTED_VALUE"""),50.64)</f>
        <v>50.64</v>
      </c>
      <c r="S671" s="320">
        <f>IFERROR(__xludf.DUMMYFUNCTION("""COMPUTED_VALUE"""),182.18)</f>
        <v>182.18</v>
      </c>
      <c r="T671" s="320">
        <f>IFERROR(__xludf.DUMMYFUNCTION("""COMPUTED_VALUE"""),179.75)</f>
        <v>179.75</v>
      </c>
      <c r="U671" s="320">
        <f>IFERROR(__xludf.DUMMYFUNCTION("""COMPUTED_VALUE"""),372.17)</f>
        <v>372.17</v>
      </c>
      <c r="V671" s="320">
        <f>IFERROR(__xludf.DUMMYFUNCTION("""COMPUTED_VALUE"""),7.8486)</f>
        <v>7.8486</v>
      </c>
      <c r="W671" s="320">
        <f>IFERROR(__xludf.DUMMYFUNCTION("""COMPUTED_VALUE"""),50.34)</f>
        <v>50.34</v>
      </c>
      <c r="X671" s="320">
        <f>IFERROR(__xludf.DUMMYFUNCTION("""COMPUTED_VALUE"""),91.0)</f>
        <v>91</v>
      </c>
      <c r="Y671" s="320">
        <f>IFERROR(__xludf.DUMMYFUNCTION("""COMPUTED_VALUE"""),261.0)</f>
        <v>261</v>
      </c>
      <c r="Z671" s="320">
        <f>IFERROR(__xludf.DUMMYFUNCTION("""COMPUTED_VALUE"""),813.0)</f>
        <v>813</v>
      </c>
      <c r="AA671" s="320">
        <f>IFERROR(__xludf.DUMMYFUNCTION("""COMPUTED_VALUE"""),54.7246)</f>
        <v>54.7246</v>
      </c>
      <c r="AB671" s="320">
        <f>IFERROR(__xludf.DUMMYFUNCTION("""COMPUTED_VALUE"""),0.6181)</f>
        <v>0.6181</v>
      </c>
      <c r="AC671" s="320">
        <f>IFERROR(__xludf.DUMMYFUNCTION("""COMPUTED_VALUE"""),17.2)</f>
        <v>17.2</v>
      </c>
      <c r="AD671" s="320">
        <f>IFERROR(__xludf.DUMMYFUNCTION("""COMPUTED_VALUE"""),6.0)</f>
        <v>6</v>
      </c>
      <c r="AE671" s="320">
        <f>IFERROR(__xludf.DUMMYFUNCTION("""COMPUTED_VALUE"""),13.0)</f>
        <v>13</v>
      </c>
      <c r="AF671" s="320">
        <f>IFERROR(__xludf.DUMMYFUNCTION("""COMPUTED_VALUE"""),25.0)</f>
        <v>25</v>
      </c>
      <c r="AG671" s="320">
        <f>IFERROR(__xludf.DUMMYFUNCTION("""COMPUTED_VALUE"""),37.0)</f>
        <v>37</v>
      </c>
      <c r="AH671" s="320">
        <f>IFERROR(__xludf.DUMMYFUNCTION("""COMPUTED_VALUE"""),56.52)</f>
        <v>56.52</v>
      </c>
      <c r="AI671" s="320">
        <f>IFERROR(__xludf.DUMMYFUNCTION("""COMPUTED_VALUE"""),23.4)</f>
        <v>23.4</v>
      </c>
      <c r="AJ671" s="320">
        <f>IFERROR(__xludf.DUMMYFUNCTION("""COMPUTED_VALUE"""),7.24)</f>
        <v>7.24</v>
      </c>
      <c r="AK671" s="320">
        <f>IFERROR(__xludf.DUMMYFUNCTION("""COMPUTED_VALUE"""),0.1718)</f>
        <v>0.1718</v>
      </c>
      <c r="AL671" s="320">
        <f>IFERROR(__xludf.DUMMYFUNCTION("""COMPUTED_VALUE"""),19.28)</f>
        <v>19.28</v>
      </c>
      <c r="AM671" s="320">
        <f>IFERROR(__xludf.DUMMYFUNCTION("""COMPUTED_VALUE"""),292.01)</f>
        <v>292.01</v>
      </c>
      <c r="AN671" s="320">
        <f>IFERROR(__xludf.DUMMYFUNCTION("""COMPUTED_VALUE"""),70.92)</f>
        <v>70.92</v>
      </c>
      <c r="AO671" s="320">
        <f>IFERROR(__xludf.DUMMYFUNCTION("""COMPUTED_VALUE"""),13.67)</f>
        <v>13.67</v>
      </c>
    </row>
    <row r="672" ht="15.0" customHeight="1">
      <c r="A672" s="328">
        <f>IFERROR(__xludf.DUMMYFUNCTION("""COMPUTED_VALUE"""),46161.0)</f>
        <v>46161</v>
      </c>
      <c r="B672" s="319" t="str">
        <f>IFERROR(__xludf.DUMMYFUNCTION("""COMPUTED_VALUE"""),"E. 40-99")</f>
        <v>E. 40-99</v>
      </c>
      <c r="C672" s="320">
        <f>IFERROR(__xludf.DUMMYFUNCTION("""COMPUTED_VALUE"""),2548.0)</f>
        <v>2548</v>
      </c>
      <c r="D672" s="320">
        <f>IFERROR(__xludf.DUMMYFUNCTION("""COMPUTED_VALUE"""),3.49)</f>
        <v>3.49</v>
      </c>
      <c r="E672" s="320">
        <f>IFERROR(__xludf.DUMMYFUNCTION("""COMPUTED_VALUE"""),14446.21)</f>
        <v>14446.21</v>
      </c>
      <c r="F672" s="320">
        <f>IFERROR(__xludf.DUMMYFUNCTION("""COMPUTED_VALUE"""),5.6696)</f>
        <v>5.6696</v>
      </c>
      <c r="G672" s="320">
        <f>IFERROR(__xludf.DUMMYFUNCTION("""COMPUTED_VALUE"""),43.76)</f>
        <v>43.76</v>
      </c>
      <c r="H672" s="320">
        <f>IFERROR(__xludf.DUMMYFUNCTION("""COMPUTED_VALUE"""),12.9562)</f>
        <v>12.9562</v>
      </c>
      <c r="I672" s="320">
        <f>IFERROR(__xludf.DUMMYFUNCTION("""COMPUTED_VALUE"""),123.35)</f>
        <v>123.35</v>
      </c>
      <c r="J672" s="320">
        <f>IFERROR(__xludf.DUMMYFUNCTION("""COMPUTED_VALUE"""),76.57)</f>
        <v>76.57</v>
      </c>
      <c r="K672" s="320">
        <f>IFERROR(__xludf.DUMMYFUNCTION("""COMPUTED_VALUE"""),52.93)</f>
        <v>52.93</v>
      </c>
      <c r="L672" s="320">
        <f>IFERROR(__xludf.DUMMYFUNCTION("""COMPUTED_VALUE"""),0.6913)</f>
        <v>0.6913</v>
      </c>
      <c r="M672" s="320">
        <f>IFERROR(__xludf.DUMMYFUNCTION("""COMPUTED_VALUE"""),0.3975)</f>
        <v>0.3975</v>
      </c>
      <c r="N672" s="320">
        <f>IFERROR(__xludf.DUMMYFUNCTION("""COMPUTED_VALUE"""),0.2236)</f>
        <v>0.2236</v>
      </c>
      <c r="O672" s="320">
        <f>IFERROR(__xludf.DUMMYFUNCTION("""COMPUTED_VALUE"""),1.4465)</f>
        <v>1.4465</v>
      </c>
      <c r="P672" s="320">
        <f>IFERROR(__xludf.DUMMYFUNCTION("""COMPUTED_VALUE"""),687.91)</f>
        <v>687.91</v>
      </c>
      <c r="Q672" s="320">
        <f>IFERROR(__xludf.DUMMYFUNCTION("""COMPUTED_VALUE"""),582.96)</f>
        <v>582.96</v>
      </c>
      <c r="R672" s="320">
        <f>IFERROR(__xludf.DUMMYFUNCTION("""COMPUTED_VALUE"""),104.95)</f>
        <v>104.95</v>
      </c>
      <c r="S672" s="320">
        <f>IFERROR(__xludf.DUMMYFUNCTION("""COMPUTED_VALUE"""),365.62)</f>
        <v>365.62</v>
      </c>
      <c r="T672" s="320">
        <f>IFERROR(__xludf.DUMMYFUNCTION("""COMPUTED_VALUE"""),322.29)</f>
        <v>322.29</v>
      </c>
      <c r="U672" s="320">
        <f>IFERROR(__xludf.DUMMYFUNCTION("""COMPUTED_VALUE"""),711.66)</f>
        <v>711.66</v>
      </c>
      <c r="V672" s="320">
        <f>IFERROR(__xludf.DUMMYFUNCTION("""COMPUTED_VALUE"""),9.2943)</f>
        <v>9.2943</v>
      </c>
      <c r="W672" s="320">
        <f>IFERROR(__xludf.DUMMYFUNCTION("""COMPUTED_VALUE"""),53.15)</f>
        <v>53.15</v>
      </c>
      <c r="X672" s="320">
        <f>IFERROR(__xludf.DUMMYFUNCTION("""COMPUTED_VALUE"""),99.0)</f>
        <v>99</v>
      </c>
      <c r="Y672" s="320">
        <f>IFERROR(__xludf.DUMMYFUNCTION("""COMPUTED_VALUE"""),334.0)</f>
        <v>334</v>
      </c>
      <c r="Z672" s="320">
        <f>IFERROR(__xludf.DUMMYFUNCTION("""COMPUTED_VALUE"""),910.0)</f>
        <v>910</v>
      </c>
      <c r="AA672" s="320">
        <f>IFERROR(__xludf.DUMMYFUNCTION("""COMPUTED_VALUE"""),58.1508)</f>
        <v>58.1508</v>
      </c>
      <c r="AB672" s="320">
        <f>IFERROR(__xludf.DUMMYFUNCTION("""COMPUTED_VALUE"""),0.7597)</f>
        <v>0.7597</v>
      </c>
      <c r="AC672" s="320">
        <f>IFERROR(__xludf.DUMMYFUNCTION("""COMPUTED_VALUE"""),36.63)</f>
        <v>36.63</v>
      </c>
      <c r="AD672" s="320">
        <f>IFERROR(__xludf.DUMMYFUNCTION("""COMPUTED_VALUE"""),12.0)</f>
        <v>12</v>
      </c>
      <c r="AE672" s="320">
        <f>IFERROR(__xludf.DUMMYFUNCTION("""COMPUTED_VALUE"""),28.0)</f>
        <v>28</v>
      </c>
      <c r="AF672" s="320">
        <f>IFERROR(__xludf.DUMMYFUNCTION("""COMPUTED_VALUE"""),51.0)</f>
        <v>51</v>
      </c>
      <c r="AG672" s="320">
        <f>IFERROR(__xludf.DUMMYFUNCTION("""COMPUTED_VALUE"""),79.0)</f>
        <v>79</v>
      </c>
      <c r="AH672" s="320">
        <f>IFERROR(__xludf.DUMMYFUNCTION("""COMPUTED_VALUE"""),51.22)</f>
        <v>51.22</v>
      </c>
      <c r="AI672" s="320">
        <f>IFERROR(__xludf.DUMMYFUNCTION("""COMPUTED_VALUE"""),19.23)</f>
        <v>19.23</v>
      </c>
      <c r="AJ672" s="320">
        <f>IFERROR(__xludf.DUMMYFUNCTION("""COMPUTED_VALUE"""),4.98)</f>
        <v>4.98</v>
      </c>
      <c r="AK672" s="320">
        <f>IFERROR(__xludf.DUMMYFUNCTION("""COMPUTED_VALUE"""),0.1617)</f>
        <v>0.1617</v>
      </c>
      <c r="AL672" s="320">
        <f>IFERROR(__xludf.DUMMYFUNCTION("""COMPUTED_VALUE"""),19.5)</f>
        <v>19.5</v>
      </c>
      <c r="AM672" s="320">
        <f>IFERROR(__xludf.DUMMYFUNCTION("""COMPUTED_VALUE"""),563.46)</f>
        <v>563.46</v>
      </c>
      <c r="AN672" s="320">
        <f>IFERROR(__xludf.DUMMYFUNCTION("""COMPUTED_VALUE"""),73.97)</f>
        <v>73.97</v>
      </c>
      <c r="AO672" s="320">
        <f>IFERROR(__xludf.DUMMYFUNCTION("""COMPUTED_VALUE"""),14.42)</f>
        <v>14.42</v>
      </c>
    </row>
    <row r="673" ht="15.0" customHeight="1">
      <c r="A673" s="328">
        <f>IFERROR(__xludf.DUMMYFUNCTION("""COMPUTED_VALUE"""),46161.0)</f>
        <v>46161</v>
      </c>
      <c r="B673" s="319" t="str">
        <f>IFERROR(__xludf.DUMMYFUNCTION("""COMPUTED_VALUE"""),"F. 100+")</f>
        <v>F. 100+</v>
      </c>
      <c r="C673" s="320">
        <f>IFERROR(__xludf.DUMMYFUNCTION("""COMPUTED_VALUE"""),265.0)</f>
        <v>265</v>
      </c>
      <c r="D673" s="320">
        <f>IFERROR(__xludf.DUMMYFUNCTION("""COMPUTED_VALUE"""),0.36)</f>
        <v>0.36</v>
      </c>
      <c r="E673" s="320">
        <f>IFERROR(__xludf.DUMMYFUNCTION("""COMPUTED_VALUE"""),2618.49)</f>
        <v>2618.49</v>
      </c>
      <c r="F673" s="320">
        <f>IFERROR(__xludf.DUMMYFUNCTION("""COMPUTED_VALUE"""),9.8811)</f>
        <v>9.8811</v>
      </c>
      <c r="G673" s="320">
        <f>IFERROR(__xludf.DUMMYFUNCTION("""COMPUTED_VALUE"""),44.53)</f>
        <v>44.53</v>
      </c>
      <c r="H673" s="320">
        <f>IFERROR(__xludf.DUMMYFUNCTION("""COMPUTED_VALUE"""),22.1906)</f>
        <v>22.1906</v>
      </c>
      <c r="I673" s="320">
        <f>IFERROR(__xludf.DUMMYFUNCTION("""COMPUTED_VALUE"""),234.91)</f>
        <v>234.91</v>
      </c>
      <c r="J673" s="320">
        <f>IFERROR(__xludf.DUMMYFUNCTION("""COMPUTED_VALUE"""),153.09)</f>
        <v>153.09</v>
      </c>
      <c r="K673" s="320">
        <f>IFERROR(__xludf.DUMMYFUNCTION("""COMPUTED_VALUE"""),121.8)</f>
        <v>121.8</v>
      </c>
      <c r="L673" s="320">
        <f>IFERROR(__xludf.DUMMYFUNCTION("""COMPUTED_VALUE"""),0.7956)</f>
        <v>0.7956</v>
      </c>
      <c r="M673" s="320">
        <f>IFERROR(__xludf.DUMMYFUNCTION("""COMPUTED_VALUE"""),0.2895)</f>
        <v>0.2895</v>
      </c>
      <c r="N673" s="320">
        <f>IFERROR(__xludf.DUMMYFUNCTION("""COMPUTED_VALUE"""),0.1718)</f>
        <v>0.1718</v>
      </c>
      <c r="O673" s="320">
        <f>IFERROR(__xludf.DUMMYFUNCTION("""COMPUTED_VALUE"""),1.2569)</f>
        <v>1.2569</v>
      </c>
      <c r="P673" s="320">
        <f>IFERROR(__xludf.DUMMYFUNCTION("""COMPUTED_VALUE"""),1283.11)</f>
        <v>1283.11</v>
      </c>
      <c r="Q673" s="320">
        <f>IFERROR(__xludf.DUMMYFUNCTION("""COMPUTED_VALUE"""),1043.02)</f>
        <v>1043.02</v>
      </c>
      <c r="R673" s="320">
        <f>IFERROR(__xludf.DUMMYFUNCTION("""COMPUTED_VALUE"""),240.09)</f>
        <v>240.09</v>
      </c>
      <c r="S673" s="320">
        <f>IFERROR(__xludf.DUMMYFUNCTION("""COMPUTED_VALUE"""),676.47)</f>
        <v>676.47</v>
      </c>
      <c r="T673" s="320">
        <f>IFERROR(__xludf.DUMMYFUNCTION("""COMPUTED_VALUE"""),606.64)</f>
        <v>606.64</v>
      </c>
      <c r="U673" s="320">
        <f>IFERROR(__xludf.DUMMYFUNCTION("""COMPUTED_VALUE"""),1369.43)</f>
        <v>1369.43</v>
      </c>
      <c r="V673" s="320">
        <f>IFERROR(__xludf.DUMMYFUNCTION("""COMPUTED_VALUE"""),8.9453)</f>
        <v>8.9453</v>
      </c>
      <c r="W673" s="320">
        <f>IFERROR(__xludf.DUMMYFUNCTION("""COMPUTED_VALUE"""),52.72)</f>
        <v>52.72</v>
      </c>
      <c r="X673" s="320">
        <f>IFERROR(__xludf.DUMMYFUNCTION("""COMPUTED_VALUE"""),171.0)</f>
        <v>171</v>
      </c>
      <c r="Y673" s="320">
        <f>IFERROR(__xludf.DUMMYFUNCTION("""COMPUTED_VALUE"""),581.0)</f>
        <v>581</v>
      </c>
      <c r="Z673" s="320">
        <f>IFERROR(__xludf.DUMMYFUNCTION("""COMPUTED_VALUE"""),1952.0)</f>
        <v>1952</v>
      </c>
      <c r="AA673" s="320">
        <f>IFERROR(__xludf.DUMMYFUNCTION("""COMPUTED_VALUE"""),61.798)</f>
        <v>61.798</v>
      </c>
      <c r="AB673" s="320">
        <f>IFERROR(__xludf.DUMMYFUNCTION("""COMPUTED_VALUE"""),0.8319)</f>
        <v>0.8319</v>
      </c>
      <c r="AC673" s="320">
        <f>IFERROR(__xludf.DUMMYFUNCTION("""COMPUTED_VALUE"""),79.83)</f>
        <v>79.83</v>
      </c>
      <c r="AD673" s="320">
        <f>IFERROR(__xludf.DUMMYFUNCTION("""COMPUTED_VALUE"""),30.0)</f>
        <v>30</v>
      </c>
      <c r="AE673" s="320">
        <f>IFERROR(__xludf.DUMMYFUNCTION("""COMPUTED_VALUE"""),71.0)</f>
        <v>71</v>
      </c>
      <c r="AF673" s="320">
        <f>IFERROR(__xludf.DUMMYFUNCTION("""COMPUTED_VALUE"""),112.0)</f>
        <v>112</v>
      </c>
      <c r="AG673" s="320">
        <f>IFERROR(__xludf.DUMMYFUNCTION("""COMPUTED_VALUE"""),153.0)</f>
        <v>153</v>
      </c>
      <c r="AH673" s="320">
        <f>IFERROR(__xludf.DUMMYFUNCTION("""COMPUTED_VALUE"""),44.53)</f>
        <v>44.53</v>
      </c>
      <c r="AI673" s="320">
        <f>IFERROR(__xludf.DUMMYFUNCTION("""COMPUTED_VALUE"""),5.28)</f>
        <v>5.28</v>
      </c>
      <c r="AJ673" s="320">
        <f>IFERROR(__xludf.DUMMYFUNCTION("""COMPUTED_VALUE"""),1.13)</f>
        <v>1.13</v>
      </c>
      <c r="AK673" s="320">
        <f>IFERROR(__xludf.DUMMYFUNCTION("""COMPUTED_VALUE"""),0.0943)</f>
        <v>0.0943</v>
      </c>
      <c r="AL673" s="320">
        <f>IFERROR(__xludf.DUMMYFUNCTION("""COMPUTED_VALUE"""),19.68)</f>
        <v>19.68</v>
      </c>
      <c r="AM673" s="320">
        <f>IFERROR(__xludf.DUMMYFUNCTION("""COMPUTED_VALUE"""),1023.34)</f>
        <v>1023.34</v>
      </c>
      <c r="AN673" s="320">
        <f>IFERROR(__xludf.DUMMYFUNCTION("""COMPUTED_VALUE"""),72.51)</f>
        <v>72.51</v>
      </c>
      <c r="AO673" s="320">
        <f>IFERROR(__xludf.DUMMYFUNCTION("""COMPUTED_VALUE"""),14.27)</f>
        <v>14.27</v>
      </c>
    </row>
    <row r="674" ht="15.0" customHeight="1">
      <c r="A674" s="328">
        <f>IFERROR(__xludf.DUMMYFUNCTION("""COMPUTED_VALUE"""),46162.0)</f>
        <v>46162</v>
      </c>
      <c r="B674" s="319" t="str">
        <f>IFERROR(__xludf.DUMMYFUNCTION("""COMPUTED_VALUE"""),"A. 0")</f>
        <v>A. 0</v>
      </c>
      <c r="C674" s="320">
        <f>IFERROR(__xludf.DUMMYFUNCTION("""COMPUTED_VALUE"""),16404.0)</f>
        <v>16404</v>
      </c>
      <c r="D674" s="320">
        <f>IFERROR(__xludf.DUMMYFUNCTION("""COMPUTED_VALUE"""),22.67)</f>
        <v>22.67</v>
      </c>
      <c r="E674" s="320">
        <f>IFERROR(__xludf.DUMMYFUNCTION("""COMPUTED_VALUE"""),113.28)</f>
        <v>113.28</v>
      </c>
      <c r="F674" s="320">
        <f>IFERROR(__xludf.DUMMYFUNCTION("""COMPUTED_VALUE"""),0.0069)</f>
        <v>0.0069</v>
      </c>
      <c r="G674" s="320">
        <f>IFERROR(__xludf.DUMMYFUNCTION("""COMPUTED_VALUE"""),0.15)</f>
        <v>0.15</v>
      </c>
      <c r="H674" s="320">
        <f>IFERROR(__xludf.DUMMYFUNCTION("""COMPUTED_VALUE"""),4.5312)</f>
        <v>4.5312</v>
      </c>
      <c r="I674" s="320">
        <f>IFERROR(__xludf.DUMMYFUNCTION("""COMPUTED_VALUE"""),7.15)</f>
        <v>7.15</v>
      </c>
      <c r="J674" s="320">
        <f>IFERROR(__xludf.DUMMYFUNCTION("""COMPUTED_VALUE"""),3.34)</f>
        <v>3.34</v>
      </c>
      <c r="K674" s="320">
        <f>IFERROR(__xludf.DUMMYFUNCTION("""COMPUTED_VALUE"""),0.02)</f>
        <v>0.02</v>
      </c>
      <c r="L674" s="320">
        <f>IFERROR(__xludf.DUMMYFUNCTION("""COMPUTED_VALUE"""),0.0049)</f>
        <v>0.0049</v>
      </c>
      <c r="M674" s="320">
        <f>IFERROR(__xludf.DUMMYFUNCTION("""COMPUTED_VALUE"""),0.9954)</f>
        <v>0.9954</v>
      </c>
      <c r="N674" s="320">
        <f>IFERROR(__xludf.DUMMYFUNCTION("""COMPUTED_VALUE"""),0.9143)</f>
        <v>0.9143</v>
      </c>
      <c r="O674" s="320">
        <f>IFERROR(__xludf.DUMMYFUNCTION("""COMPUTED_VALUE"""),206.1391)</f>
        <v>206.1391</v>
      </c>
      <c r="P674" s="320">
        <f>IFERROR(__xludf.DUMMYFUNCTION("""COMPUTED_VALUE"""),21.77)</f>
        <v>21.77</v>
      </c>
      <c r="Q674" s="320">
        <f>IFERROR(__xludf.DUMMYFUNCTION("""COMPUTED_VALUE"""),21.71)</f>
        <v>21.71</v>
      </c>
      <c r="R674" s="320">
        <f>IFERROR(__xludf.DUMMYFUNCTION("""COMPUTED_VALUE"""),0.06)</f>
        <v>0.06</v>
      </c>
      <c r="S674" s="320">
        <f>IFERROR(__xludf.DUMMYFUNCTION("""COMPUTED_VALUE"""),0.71)</f>
        <v>0.71</v>
      </c>
      <c r="T674" s="320">
        <f>IFERROR(__xludf.DUMMYFUNCTION("""COMPUTED_VALUE"""),21.06)</f>
        <v>21.06</v>
      </c>
      <c r="U674" s="320">
        <f>IFERROR(__xludf.DUMMYFUNCTION("""COMPUTED_VALUE"""),1.87)</f>
        <v>1.87</v>
      </c>
      <c r="V674" s="320">
        <f>IFERROR(__xludf.DUMMYFUNCTION("""COMPUTED_VALUE"""),0.5599)</f>
        <v>0.5599</v>
      </c>
      <c r="W674" s="320">
        <f>IFERROR(__xludf.DUMMYFUNCTION("""COMPUTED_VALUE"""),3.28)</f>
        <v>3.28</v>
      </c>
      <c r="X674" s="320">
        <f>IFERROR(__xludf.DUMMYFUNCTION("""COMPUTED_VALUE"""),144.0)</f>
        <v>144</v>
      </c>
      <c r="Y674" s="320">
        <f>IFERROR(__xludf.DUMMYFUNCTION("""COMPUTED_VALUE"""),1086.0)</f>
        <v>1086</v>
      </c>
      <c r="Z674" s="320">
        <f>IFERROR(__xludf.DUMMYFUNCTION("""COMPUTED_VALUE"""),7527.0)</f>
        <v>7527</v>
      </c>
      <c r="AA674" s="320">
        <f>IFERROR(__xludf.DUMMYFUNCTION("""COMPUTED_VALUE"""),49.4287)</f>
        <v>49.4287</v>
      </c>
      <c r="AB674" s="320">
        <f>IFERROR(__xludf.DUMMYFUNCTION("""COMPUTED_VALUE"""),0.5111)</f>
        <v>0.5111</v>
      </c>
      <c r="AC674" s="106"/>
      <c r="AD674" s="106"/>
      <c r="AE674" s="106"/>
      <c r="AF674" s="106"/>
      <c r="AG674" s="106"/>
      <c r="AH674" s="320">
        <f>IFERROR(__xludf.DUMMYFUNCTION("""COMPUTED_VALUE"""),0.0)</f>
        <v>0</v>
      </c>
      <c r="AI674" s="320">
        <f>IFERROR(__xludf.DUMMYFUNCTION("""COMPUTED_VALUE"""),0.0)</f>
        <v>0</v>
      </c>
      <c r="AJ674" s="320">
        <f>IFERROR(__xludf.DUMMYFUNCTION("""COMPUTED_VALUE"""),0.0)</f>
        <v>0</v>
      </c>
      <c r="AK674" s="320">
        <f>IFERROR(__xludf.DUMMYFUNCTION("""COMPUTED_VALUE"""),0.2692)</f>
        <v>0.2692</v>
      </c>
      <c r="AL674" s="320">
        <f>IFERROR(__xludf.DUMMYFUNCTION("""COMPUTED_VALUE"""),15.01)</f>
        <v>15.01</v>
      </c>
      <c r="AM674" s="320">
        <f>IFERROR(__xludf.DUMMYFUNCTION("""COMPUTED_VALUE"""),6.7)</f>
        <v>6.7</v>
      </c>
      <c r="AN674" s="331"/>
      <c r="AO674" s="331"/>
    </row>
    <row r="675" ht="15.0" customHeight="1">
      <c r="A675" s="328">
        <f>IFERROR(__xludf.DUMMYFUNCTION("""COMPUTED_VALUE"""),46162.0)</f>
        <v>46162</v>
      </c>
      <c r="B675" s="319" t="str">
        <f>IFERROR(__xludf.DUMMYFUNCTION("""COMPUTED_VALUE"""),"B. 1-9")</f>
        <v>B. 1-9</v>
      </c>
      <c r="C675" s="320">
        <f>IFERROR(__xludf.DUMMYFUNCTION("""COMPUTED_VALUE"""),31379.0)</f>
        <v>31379</v>
      </c>
      <c r="D675" s="320">
        <f>IFERROR(__xludf.DUMMYFUNCTION("""COMPUTED_VALUE"""),43.36)</f>
        <v>43.36</v>
      </c>
      <c r="E675" s="320">
        <f>IFERROR(__xludf.DUMMYFUNCTION("""COMPUTED_VALUE"""),7542.81)</f>
        <v>7542.81</v>
      </c>
      <c r="F675" s="320">
        <f>IFERROR(__xludf.DUMMYFUNCTION("""COMPUTED_VALUE"""),0.2404)</f>
        <v>0.2404</v>
      </c>
      <c r="G675" s="320">
        <f>IFERROR(__xludf.DUMMYFUNCTION("""COMPUTED_VALUE"""),7.01)</f>
        <v>7.01</v>
      </c>
      <c r="H675" s="320">
        <f>IFERROR(__xludf.DUMMYFUNCTION("""COMPUTED_VALUE"""),3.427)</f>
        <v>3.427</v>
      </c>
      <c r="I675" s="320">
        <f>IFERROR(__xludf.DUMMYFUNCTION("""COMPUTED_VALUE"""),33.44)</f>
        <v>33.44</v>
      </c>
      <c r="J675" s="320">
        <f>IFERROR(__xludf.DUMMYFUNCTION("""COMPUTED_VALUE"""),18.29)</f>
        <v>18.29</v>
      </c>
      <c r="K675" s="320">
        <f>IFERROR(__xludf.DUMMYFUNCTION("""COMPUTED_VALUE"""),5.16)</f>
        <v>5.16</v>
      </c>
      <c r="L675" s="320">
        <f>IFERROR(__xludf.DUMMYFUNCTION("""COMPUTED_VALUE"""),0.2819)</f>
        <v>0.2819</v>
      </c>
      <c r="M675" s="320">
        <f>IFERROR(__xludf.DUMMYFUNCTION("""COMPUTED_VALUE"""),0.7817)</f>
        <v>0.7817</v>
      </c>
      <c r="N675" s="320">
        <f>IFERROR(__xludf.DUMMYFUNCTION("""COMPUTED_VALUE"""),0.5323)</f>
        <v>0.5323</v>
      </c>
      <c r="O675" s="320">
        <f>IFERROR(__xludf.DUMMYFUNCTION("""COMPUTED_VALUE"""),3.5471)</f>
        <v>3.5471</v>
      </c>
      <c r="P675" s="320">
        <f>IFERROR(__xludf.DUMMYFUNCTION("""COMPUTED_VALUE"""),62.64)</f>
        <v>62.64</v>
      </c>
      <c r="Q675" s="320">
        <f>IFERROR(__xludf.DUMMYFUNCTION("""COMPUTED_VALUE"""),52.96)</f>
        <v>52.96</v>
      </c>
      <c r="R675" s="320">
        <f>IFERROR(__xludf.DUMMYFUNCTION("""COMPUTED_VALUE"""),9.68)</f>
        <v>9.68</v>
      </c>
      <c r="S675" s="320">
        <f>IFERROR(__xludf.DUMMYFUNCTION("""COMPUTED_VALUE"""),17.13)</f>
        <v>17.13</v>
      </c>
      <c r="T675" s="320">
        <f>IFERROR(__xludf.DUMMYFUNCTION("""COMPUTED_VALUE"""),45.51)</f>
        <v>45.51</v>
      </c>
      <c r="U675" s="320">
        <f>IFERROR(__xludf.DUMMYFUNCTION("""COMPUTED_VALUE"""),71.03)</f>
        <v>71.03</v>
      </c>
      <c r="V675" s="320">
        <f>IFERROR(__xludf.DUMMYFUNCTION("""COMPUTED_VALUE"""),3.8838)</f>
        <v>3.8838</v>
      </c>
      <c r="W675" s="320">
        <f>IFERROR(__xludf.DUMMYFUNCTION("""COMPUTED_VALUE"""),27.34)</f>
        <v>27.34</v>
      </c>
      <c r="X675" s="320">
        <f>IFERROR(__xludf.DUMMYFUNCTION("""COMPUTED_VALUE"""),84.0)</f>
        <v>84</v>
      </c>
      <c r="Y675" s="320">
        <f>IFERROR(__xludf.DUMMYFUNCTION("""COMPUTED_VALUE"""),196.0)</f>
        <v>196</v>
      </c>
      <c r="Z675" s="320">
        <f>IFERROR(__xludf.DUMMYFUNCTION("""COMPUTED_VALUE"""),823.0)</f>
        <v>823</v>
      </c>
      <c r="AA675" s="320">
        <f>IFERROR(__xludf.DUMMYFUNCTION("""COMPUTED_VALUE"""),49.435)</f>
        <v>49.435</v>
      </c>
      <c r="AB675" s="320">
        <f>IFERROR(__xludf.DUMMYFUNCTION("""COMPUTED_VALUE"""),0.4376)</f>
        <v>0.4376</v>
      </c>
      <c r="AC675" s="320">
        <f>IFERROR(__xludf.DUMMYFUNCTION("""COMPUTED_VALUE"""),3.41)</f>
        <v>3.41</v>
      </c>
      <c r="AD675" s="320">
        <f>IFERROR(__xludf.DUMMYFUNCTION("""COMPUTED_VALUE"""),1.0)</f>
        <v>1</v>
      </c>
      <c r="AE675" s="320">
        <f>IFERROR(__xludf.DUMMYFUNCTION("""COMPUTED_VALUE"""),2.0)</f>
        <v>2</v>
      </c>
      <c r="AF675" s="320">
        <f>IFERROR(__xludf.DUMMYFUNCTION("""COMPUTED_VALUE"""),4.0)</f>
        <v>4</v>
      </c>
      <c r="AG675" s="320">
        <f>IFERROR(__xludf.DUMMYFUNCTION("""COMPUTED_VALUE"""),8.0)</f>
        <v>8</v>
      </c>
      <c r="AH675" s="320">
        <f>IFERROR(__xludf.DUMMYFUNCTION("""COMPUTED_VALUE"""),64.98)</f>
        <v>64.98</v>
      </c>
      <c r="AI675" s="320">
        <f>IFERROR(__xludf.DUMMYFUNCTION("""COMPUTED_VALUE"""),23.05)</f>
        <v>23.05</v>
      </c>
      <c r="AJ675" s="320">
        <f>IFERROR(__xludf.DUMMYFUNCTION("""COMPUTED_VALUE"""),6.42)</f>
        <v>6.42</v>
      </c>
      <c r="AK675" s="320">
        <f>IFERROR(__xludf.DUMMYFUNCTION("""COMPUTED_VALUE"""),0.2074)</f>
        <v>0.2074</v>
      </c>
      <c r="AL675" s="320">
        <f>IFERROR(__xludf.DUMMYFUNCTION("""COMPUTED_VALUE"""),19.21)</f>
        <v>19.21</v>
      </c>
      <c r="AM675" s="320">
        <f>IFERROR(__xludf.DUMMYFUNCTION("""COMPUTED_VALUE"""),33.75)</f>
        <v>33.75</v>
      </c>
      <c r="AN675" s="320">
        <f>IFERROR(__xludf.DUMMYFUNCTION("""COMPUTED_VALUE"""),67.97)</f>
        <v>67.97</v>
      </c>
      <c r="AO675" s="320">
        <f>IFERROR(__xludf.DUMMYFUNCTION("""COMPUTED_VALUE"""),13.06)</f>
        <v>13.06</v>
      </c>
    </row>
    <row r="676" ht="15.0" customHeight="1">
      <c r="A676" s="328">
        <f>IFERROR(__xludf.DUMMYFUNCTION("""COMPUTED_VALUE"""),46162.0)</f>
        <v>46162</v>
      </c>
      <c r="B676" s="319" t="str">
        <f>IFERROR(__xludf.DUMMYFUNCTION("""COMPUTED_VALUE"""),"C. 10-19")</f>
        <v>C. 10-19</v>
      </c>
      <c r="C676" s="320">
        <f>IFERROR(__xludf.DUMMYFUNCTION("""COMPUTED_VALUE"""),14877.0)</f>
        <v>14877</v>
      </c>
      <c r="D676" s="320">
        <f>IFERROR(__xludf.DUMMYFUNCTION("""COMPUTED_VALUE"""),20.56)</f>
        <v>20.56</v>
      </c>
      <c r="E676" s="320">
        <f>IFERROR(__xludf.DUMMYFUNCTION("""COMPUTED_VALUE"""),17857.01)</f>
        <v>17857.01</v>
      </c>
      <c r="F676" s="320">
        <f>IFERROR(__xludf.DUMMYFUNCTION("""COMPUTED_VALUE"""),1.2003)</f>
        <v>1.2003</v>
      </c>
      <c r="G676" s="320">
        <f>IFERROR(__xludf.DUMMYFUNCTION("""COMPUTED_VALUE"""),23.24)</f>
        <v>23.24</v>
      </c>
      <c r="H676" s="320">
        <f>IFERROR(__xludf.DUMMYFUNCTION("""COMPUTED_VALUE"""),5.1655)</f>
        <v>5.1655</v>
      </c>
      <c r="I676" s="320">
        <f>IFERROR(__xludf.DUMMYFUNCTION("""COMPUTED_VALUE"""),61.34)</f>
        <v>61.34</v>
      </c>
      <c r="J676" s="320">
        <f>IFERROR(__xludf.DUMMYFUNCTION("""COMPUTED_VALUE"""),35.51)</f>
        <v>35.51</v>
      </c>
      <c r="K676" s="320">
        <f>IFERROR(__xludf.DUMMYFUNCTION("""COMPUTED_VALUE"""),13.86)</f>
        <v>13.86</v>
      </c>
      <c r="L676" s="320">
        <f>IFERROR(__xludf.DUMMYFUNCTION("""COMPUTED_VALUE"""),0.3904)</f>
        <v>0.3904</v>
      </c>
      <c r="M676" s="320">
        <f>IFERROR(__xludf.DUMMYFUNCTION("""COMPUTED_VALUE"""),0.6666)</f>
        <v>0.6666</v>
      </c>
      <c r="N676" s="320">
        <f>IFERROR(__xludf.DUMMYFUNCTION("""COMPUTED_VALUE"""),0.3714)</f>
        <v>0.3714</v>
      </c>
      <c r="O676" s="320">
        <f>IFERROR(__xludf.DUMMYFUNCTION("""COMPUTED_VALUE"""),2.5618)</f>
        <v>2.5618</v>
      </c>
      <c r="P676" s="320">
        <f>IFERROR(__xludf.DUMMYFUNCTION("""COMPUTED_VALUE"""),155.8)</f>
        <v>155.8</v>
      </c>
      <c r="Q676" s="320">
        <f>IFERROR(__xludf.DUMMYFUNCTION("""COMPUTED_VALUE"""),131.1)</f>
        <v>131.1</v>
      </c>
      <c r="R676" s="320">
        <f>IFERROR(__xludf.DUMMYFUNCTION("""COMPUTED_VALUE"""),24.7)</f>
        <v>24.7</v>
      </c>
      <c r="S676" s="320">
        <f>IFERROR(__xludf.DUMMYFUNCTION("""COMPUTED_VALUE"""),77.43)</f>
        <v>77.43</v>
      </c>
      <c r="T676" s="320">
        <f>IFERROR(__xludf.DUMMYFUNCTION("""COMPUTED_VALUE"""),78.37)</f>
        <v>78.37</v>
      </c>
      <c r="U676" s="320">
        <f>IFERROR(__xludf.DUMMYFUNCTION("""COMPUTED_VALUE"""),170.29)</f>
        <v>170.29</v>
      </c>
      <c r="V676" s="320">
        <f>IFERROR(__xludf.DUMMYFUNCTION("""COMPUTED_VALUE"""),4.7962)</f>
        <v>4.7962</v>
      </c>
      <c r="W676" s="320">
        <f>IFERROR(__xludf.DUMMYFUNCTION("""COMPUTED_VALUE"""),49.7)</f>
        <v>49.7</v>
      </c>
      <c r="X676" s="320">
        <f>IFERROR(__xludf.DUMMYFUNCTION("""COMPUTED_VALUE"""),80.0)</f>
        <v>80</v>
      </c>
      <c r="Y676" s="320">
        <f>IFERROR(__xludf.DUMMYFUNCTION("""COMPUTED_VALUE"""),178.0)</f>
        <v>178</v>
      </c>
      <c r="Z676" s="320">
        <f>IFERROR(__xludf.DUMMYFUNCTION("""COMPUTED_VALUE"""),619.0)</f>
        <v>619</v>
      </c>
      <c r="AA676" s="320">
        <f>IFERROR(__xludf.DUMMYFUNCTION("""COMPUTED_VALUE"""),52.4391)</f>
        <v>52.4391</v>
      </c>
      <c r="AB676" s="320">
        <f>IFERROR(__xludf.DUMMYFUNCTION("""COMPUTED_VALUE"""),0.5134)</f>
        <v>0.5134</v>
      </c>
      <c r="AC676" s="320">
        <f>IFERROR(__xludf.DUMMYFUNCTION("""COMPUTED_VALUE"""),8.39)</f>
        <v>8.39</v>
      </c>
      <c r="AD676" s="320">
        <f>IFERROR(__xludf.DUMMYFUNCTION("""COMPUTED_VALUE"""),2.0)</f>
        <v>2</v>
      </c>
      <c r="AE676" s="320">
        <f>IFERROR(__xludf.DUMMYFUNCTION("""COMPUTED_VALUE"""),6.0)</f>
        <v>6</v>
      </c>
      <c r="AF676" s="320">
        <f>IFERROR(__xludf.DUMMYFUNCTION("""COMPUTED_VALUE"""),12.0)</f>
        <v>12</v>
      </c>
      <c r="AG676" s="320">
        <f>IFERROR(__xludf.DUMMYFUNCTION("""COMPUTED_VALUE"""),19.0)</f>
        <v>19</v>
      </c>
      <c r="AH676" s="320">
        <f>IFERROR(__xludf.DUMMYFUNCTION("""COMPUTED_VALUE"""),50.72)</f>
        <v>50.72</v>
      </c>
      <c r="AI676" s="320">
        <f>IFERROR(__xludf.DUMMYFUNCTION("""COMPUTED_VALUE"""),22.95)</f>
        <v>22.95</v>
      </c>
      <c r="AJ676" s="320">
        <f>IFERROR(__xludf.DUMMYFUNCTION("""COMPUTED_VALUE"""),4.38)</f>
        <v>4.38</v>
      </c>
      <c r="AK676" s="320">
        <f>IFERROR(__xludf.DUMMYFUNCTION("""COMPUTED_VALUE"""),0.1785)</f>
        <v>0.1785</v>
      </c>
      <c r="AL676" s="320">
        <f>IFERROR(__xludf.DUMMYFUNCTION("""COMPUTED_VALUE"""),19.87)</f>
        <v>19.87</v>
      </c>
      <c r="AM676" s="320">
        <f>IFERROR(__xludf.DUMMYFUNCTION("""COMPUTED_VALUE"""),111.23)</f>
        <v>111.23</v>
      </c>
      <c r="AN676" s="320">
        <f>IFERROR(__xludf.DUMMYFUNCTION("""COMPUTED_VALUE"""),72.87)</f>
        <v>72.87</v>
      </c>
      <c r="AO676" s="320">
        <f>IFERROR(__xludf.DUMMYFUNCTION("""COMPUTED_VALUE"""),14.48)</f>
        <v>14.48</v>
      </c>
    </row>
    <row r="677" ht="15.0" customHeight="1">
      <c r="A677" s="328">
        <f>IFERROR(__xludf.DUMMYFUNCTION("""COMPUTED_VALUE"""),46162.0)</f>
        <v>46162</v>
      </c>
      <c r="B677" s="319" t="str">
        <f>IFERROR(__xludf.DUMMYFUNCTION("""COMPUTED_VALUE"""),"D. 20-39")</f>
        <v>D. 20-39</v>
      </c>
      <c r="C677" s="320">
        <f>IFERROR(__xludf.DUMMYFUNCTION("""COMPUTED_VALUE"""),6923.0)</f>
        <v>6923</v>
      </c>
      <c r="D677" s="320">
        <f>IFERROR(__xludf.DUMMYFUNCTION("""COMPUTED_VALUE"""),9.57)</f>
        <v>9.57</v>
      </c>
      <c r="E677" s="320">
        <f>IFERROR(__xludf.DUMMYFUNCTION("""COMPUTED_VALUE"""),20024.96)</f>
        <v>20024.96</v>
      </c>
      <c r="F677" s="320">
        <f>IFERROR(__xludf.DUMMYFUNCTION("""COMPUTED_VALUE"""),2.8925)</f>
        <v>2.8925</v>
      </c>
      <c r="G677" s="320">
        <f>IFERROR(__xludf.DUMMYFUNCTION("""COMPUTED_VALUE"""),35.59)</f>
        <v>35.59</v>
      </c>
      <c r="H677" s="320">
        <f>IFERROR(__xludf.DUMMYFUNCTION("""COMPUTED_VALUE"""),8.127)</f>
        <v>8.127</v>
      </c>
      <c r="I677" s="320">
        <f>IFERROR(__xludf.DUMMYFUNCTION("""COMPUTED_VALUE"""),79.24)</f>
        <v>79.24</v>
      </c>
      <c r="J677" s="320">
        <f>IFERROR(__xludf.DUMMYFUNCTION("""COMPUTED_VALUE"""),47.98)</f>
        <v>47.98</v>
      </c>
      <c r="K677" s="320">
        <f>IFERROR(__xludf.DUMMYFUNCTION("""COMPUTED_VALUE"""),25.47)</f>
        <v>25.47</v>
      </c>
      <c r="L677" s="320">
        <f>IFERROR(__xludf.DUMMYFUNCTION("""COMPUTED_VALUE"""),0.5308)</f>
        <v>0.5308</v>
      </c>
      <c r="M677" s="320">
        <f>IFERROR(__xludf.DUMMYFUNCTION("""COMPUTED_VALUE"""),0.5403)</f>
        <v>0.5403</v>
      </c>
      <c r="N677" s="320">
        <f>IFERROR(__xludf.DUMMYFUNCTION("""COMPUTED_VALUE"""),0.288)</f>
        <v>0.288</v>
      </c>
      <c r="O677" s="320">
        <f>IFERROR(__xludf.DUMMYFUNCTION("""COMPUTED_VALUE"""),1.8838)</f>
        <v>1.8838</v>
      </c>
      <c r="P677" s="320">
        <f>IFERROR(__xludf.DUMMYFUNCTION("""COMPUTED_VALUE"""),297.64)</f>
        <v>297.64</v>
      </c>
      <c r="Q677" s="320">
        <f>IFERROR(__xludf.DUMMYFUNCTION("""COMPUTED_VALUE"""),250.63)</f>
        <v>250.63</v>
      </c>
      <c r="R677" s="320">
        <f>IFERROR(__xludf.DUMMYFUNCTION("""COMPUTED_VALUE"""),47.01)</f>
        <v>47.01</v>
      </c>
      <c r="S677" s="320">
        <f>IFERROR(__xludf.DUMMYFUNCTION("""COMPUTED_VALUE"""),177.5)</f>
        <v>177.5</v>
      </c>
      <c r="T677" s="320">
        <f>IFERROR(__xludf.DUMMYFUNCTION("""COMPUTED_VALUE"""),120.14)</f>
        <v>120.14</v>
      </c>
      <c r="U677" s="320">
        <f>IFERROR(__xludf.DUMMYFUNCTION("""COMPUTED_VALUE"""),327.7)</f>
        <v>327.7</v>
      </c>
      <c r="V677" s="320">
        <f>IFERROR(__xludf.DUMMYFUNCTION("""COMPUTED_VALUE"""),6.8296)</f>
        <v>6.8296</v>
      </c>
      <c r="W677" s="320">
        <f>IFERROR(__xludf.DUMMYFUNCTION("""COMPUTED_VALUE"""),59.63)</f>
        <v>59.63</v>
      </c>
      <c r="X677" s="320">
        <f>IFERROR(__xludf.DUMMYFUNCTION("""COMPUTED_VALUE"""),84.0)</f>
        <v>84</v>
      </c>
      <c r="Y677" s="320">
        <f>IFERROR(__xludf.DUMMYFUNCTION("""COMPUTED_VALUE"""),208.0)</f>
        <v>208</v>
      </c>
      <c r="Z677" s="320">
        <f>IFERROR(__xludf.DUMMYFUNCTION("""COMPUTED_VALUE"""),716.0)</f>
        <v>716</v>
      </c>
      <c r="AA677" s="320">
        <f>IFERROR(__xludf.DUMMYFUNCTION("""COMPUTED_VALUE"""),55.0156)</f>
        <v>55.0156</v>
      </c>
      <c r="AB677" s="320">
        <f>IFERROR(__xludf.DUMMYFUNCTION("""COMPUTED_VALUE"""),0.6592)</f>
        <v>0.6592</v>
      </c>
      <c r="AC677" s="320">
        <f>IFERROR(__xludf.DUMMYFUNCTION("""COMPUTED_VALUE"""),16.95)</f>
        <v>16.95</v>
      </c>
      <c r="AD677" s="320">
        <f>IFERROR(__xludf.DUMMYFUNCTION("""COMPUTED_VALUE"""),5.0)</f>
        <v>5</v>
      </c>
      <c r="AE677" s="320">
        <f>IFERROR(__xludf.DUMMYFUNCTION("""COMPUTED_VALUE"""),13.0)</f>
        <v>13</v>
      </c>
      <c r="AF677" s="320">
        <f>IFERROR(__xludf.DUMMYFUNCTION("""COMPUTED_VALUE"""),25.0)</f>
        <v>25</v>
      </c>
      <c r="AG677" s="320">
        <f>IFERROR(__xludf.DUMMYFUNCTION("""COMPUTED_VALUE"""),37.0)</f>
        <v>37</v>
      </c>
      <c r="AH677" s="320">
        <f>IFERROR(__xludf.DUMMYFUNCTION("""COMPUTED_VALUE"""),55.18)</f>
        <v>55.18</v>
      </c>
      <c r="AI677" s="320">
        <f>IFERROR(__xludf.DUMMYFUNCTION("""COMPUTED_VALUE"""),23.02)</f>
        <v>23.02</v>
      </c>
      <c r="AJ677" s="320">
        <f>IFERROR(__xludf.DUMMYFUNCTION("""COMPUTED_VALUE"""),6.86)</f>
        <v>6.86</v>
      </c>
      <c r="AK677" s="320">
        <f>IFERROR(__xludf.DUMMYFUNCTION("""COMPUTED_VALUE"""),0.1996)</f>
        <v>0.1996</v>
      </c>
      <c r="AL677" s="320">
        <f>IFERROR(__xludf.DUMMYFUNCTION("""COMPUTED_VALUE"""),19.81)</f>
        <v>19.81</v>
      </c>
      <c r="AM677" s="320">
        <f>IFERROR(__xludf.DUMMYFUNCTION("""COMPUTED_VALUE"""),230.82)</f>
        <v>230.82</v>
      </c>
      <c r="AN677" s="320">
        <f>IFERROR(__xludf.DUMMYFUNCTION("""COMPUTED_VALUE"""),73.25)</f>
        <v>73.25</v>
      </c>
      <c r="AO677" s="320">
        <f>IFERROR(__xludf.DUMMYFUNCTION("""COMPUTED_VALUE"""),14.51)</f>
        <v>14.51</v>
      </c>
    </row>
    <row r="678" ht="15.0" customHeight="1">
      <c r="A678" s="328">
        <f>IFERROR(__xludf.DUMMYFUNCTION("""COMPUTED_VALUE"""),46162.0)</f>
        <v>46162</v>
      </c>
      <c r="B678" s="319" t="str">
        <f>IFERROR(__xludf.DUMMYFUNCTION("""COMPUTED_VALUE"""),"E. 40-99")</f>
        <v>E. 40-99</v>
      </c>
      <c r="C678" s="320">
        <f>IFERROR(__xludf.DUMMYFUNCTION("""COMPUTED_VALUE"""),2495.0)</f>
        <v>2495</v>
      </c>
      <c r="D678" s="320">
        <f>IFERROR(__xludf.DUMMYFUNCTION("""COMPUTED_VALUE"""),3.45)</f>
        <v>3.45</v>
      </c>
      <c r="E678" s="320">
        <f>IFERROR(__xludf.DUMMYFUNCTION("""COMPUTED_VALUE"""),16740.89)</f>
        <v>16740.89</v>
      </c>
      <c r="F678" s="320">
        <f>IFERROR(__xludf.DUMMYFUNCTION("""COMPUTED_VALUE"""),6.7098)</f>
        <v>6.7098</v>
      </c>
      <c r="G678" s="320">
        <f>IFERROR(__xludf.DUMMYFUNCTION("""COMPUTED_VALUE"""),46.97)</f>
        <v>46.97</v>
      </c>
      <c r="H678" s="320">
        <f>IFERROR(__xludf.DUMMYFUNCTION("""COMPUTED_VALUE"""),14.284)</f>
        <v>14.284</v>
      </c>
      <c r="I678" s="320">
        <f>IFERROR(__xludf.DUMMYFUNCTION("""COMPUTED_VALUE"""),121.78)</f>
        <v>121.78</v>
      </c>
      <c r="J678" s="320">
        <f>IFERROR(__xludf.DUMMYFUNCTION("""COMPUTED_VALUE"""),75.56)</f>
        <v>75.56</v>
      </c>
      <c r="K678" s="320">
        <f>IFERROR(__xludf.DUMMYFUNCTION("""COMPUTED_VALUE"""),51.79)</f>
        <v>51.79</v>
      </c>
      <c r="L678" s="320">
        <f>IFERROR(__xludf.DUMMYFUNCTION("""COMPUTED_VALUE"""),0.6854)</f>
        <v>0.6854</v>
      </c>
      <c r="M678" s="320">
        <f>IFERROR(__xludf.DUMMYFUNCTION("""COMPUTED_VALUE"""),0.4022)</f>
        <v>0.4022</v>
      </c>
      <c r="N678" s="320">
        <f>IFERROR(__xludf.DUMMYFUNCTION("""COMPUTED_VALUE"""),0.2242)</f>
        <v>0.2242</v>
      </c>
      <c r="O678" s="320">
        <f>IFERROR(__xludf.DUMMYFUNCTION("""COMPUTED_VALUE"""),1.459)</f>
        <v>1.459</v>
      </c>
      <c r="P678" s="320">
        <f>IFERROR(__xludf.DUMMYFUNCTION("""COMPUTED_VALUE"""),629.46)</f>
        <v>629.46</v>
      </c>
      <c r="Q678" s="320">
        <f>IFERROR(__xludf.DUMMYFUNCTION("""COMPUTED_VALUE"""),532.88)</f>
        <v>532.88</v>
      </c>
      <c r="R678" s="320">
        <f>IFERROR(__xludf.DUMMYFUNCTION("""COMPUTED_VALUE"""),96.58)</f>
        <v>96.58</v>
      </c>
      <c r="S678" s="320">
        <f>IFERROR(__xludf.DUMMYFUNCTION("""COMPUTED_VALUE"""),430.21)</f>
        <v>430.21</v>
      </c>
      <c r="T678" s="320">
        <f>IFERROR(__xludf.DUMMYFUNCTION("""COMPUTED_VALUE"""),199.25)</f>
        <v>199.25</v>
      </c>
      <c r="U678" s="320">
        <f>IFERROR(__xludf.DUMMYFUNCTION("""COMPUTED_VALUE"""),685.17)</f>
        <v>685.17</v>
      </c>
      <c r="V678" s="320">
        <f>IFERROR(__xludf.DUMMYFUNCTION("""COMPUTED_VALUE"""),9.0674)</f>
        <v>9.0674</v>
      </c>
      <c r="W678" s="320">
        <f>IFERROR(__xludf.DUMMYFUNCTION("""COMPUTED_VALUE"""),68.35)</f>
        <v>68.35</v>
      </c>
      <c r="X678" s="320">
        <f>IFERROR(__xludf.DUMMYFUNCTION("""COMPUTED_VALUE"""),90.0)</f>
        <v>90</v>
      </c>
      <c r="Y678" s="320">
        <f>IFERROR(__xludf.DUMMYFUNCTION("""COMPUTED_VALUE"""),265.0)</f>
        <v>265</v>
      </c>
      <c r="Z678" s="320">
        <f>IFERROR(__xludf.DUMMYFUNCTION("""COMPUTED_VALUE"""),962.0)</f>
        <v>962</v>
      </c>
      <c r="AA678" s="320">
        <f>IFERROR(__xludf.DUMMYFUNCTION("""COMPUTED_VALUE"""),58.4257)</f>
        <v>58.4257</v>
      </c>
      <c r="AB678" s="320">
        <f>IFERROR(__xludf.DUMMYFUNCTION("""COMPUTED_VALUE"""),0.7711)</f>
        <v>0.7711</v>
      </c>
      <c r="AC678" s="320">
        <f>IFERROR(__xludf.DUMMYFUNCTION("""COMPUTED_VALUE"""),35.86)</f>
        <v>35.86</v>
      </c>
      <c r="AD678" s="320">
        <f>IFERROR(__xludf.DUMMYFUNCTION("""COMPUTED_VALUE"""),12.0)</f>
        <v>12</v>
      </c>
      <c r="AE678" s="320">
        <f>IFERROR(__xludf.DUMMYFUNCTION("""COMPUTED_VALUE"""),28.0)</f>
        <v>28</v>
      </c>
      <c r="AF678" s="320">
        <f>IFERROR(__xludf.DUMMYFUNCTION("""COMPUTED_VALUE"""),51.0)</f>
        <v>51</v>
      </c>
      <c r="AG678" s="320">
        <f>IFERROR(__xludf.DUMMYFUNCTION("""COMPUTED_VALUE"""),78.0)</f>
        <v>78</v>
      </c>
      <c r="AH678" s="320">
        <f>IFERROR(__xludf.DUMMYFUNCTION("""COMPUTED_VALUE"""),49.74)</f>
        <v>49.74</v>
      </c>
      <c r="AI678" s="320">
        <f>IFERROR(__xludf.DUMMYFUNCTION("""COMPUTED_VALUE"""),19.36)</f>
        <v>19.36</v>
      </c>
      <c r="AJ678" s="320">
        <f>IFERROR(__xludf.DUMMYFUNCTION("""COMPUTED_VALUE"""),4.49)</f>
        <v>4.49</v>
      </c>
      <c r="AK678" s="320">
        <f>IFERROR(__xludf.DUMMYFUNCTION("""COMPUTED_VALUE"""),0.176)</f>
        <v>0.176</v>
      </c>
      <c r="AL678" s="320">
        <f>IFERROR(__xludf.DUMMYFUNCTION("""COMPUTED_VALUE"""),18.99)</f>
        <v>18.99</v>
      </c>
      <c r="AM678" s="320">
        <f>IFERROR(__xludf.DUMMYFUNCTION("""COMPUTED_VALUE"""),513.89)</f>
        <v>513.89</v>
      </c>
      <c r="AN678" s="320">
        <f>IFERROR(__xludf.DUMMYFUNCTION("""COMPUTED_VALUE"""),73.67)</f>
        <v>73.67</v>
      </c>
      <c r="AO678" s="320">
        <f>IFERROR(__xludf.DUMMYFUNCTION("""COMPUTED_VALUE"""),13.99)</f>
        <v>13.99</v>
      </c>
    </row>
    <row r="679" ht="15.0" customHeight="1">
      <c r="A679" s="328">
        <f>IFERROR(__xludf.DUMMYFUNCTION("""COMPUTED_VALUE"""),46162.0)</f>
        <v>46162</v>
      </c>
      <c r="B679" s="319" t="str">
        <f>IFERROR(__xludf.DUMMYFUNCTION("""COMPUTED_VALUE"""),"F. 100+")</f>
        <v>F. 100+</v>
      </c>
      <c r="C679" s="320">
        <f>IFERROR(__xludf.DUMMYFUNCTION("""COMPUTED_VALUE"""),290.0)</f>
        <v>290</v>
      </c>
      <c r="D679" s="320">
        <f>IFERROR(__xludf.DUMMYFUNCTION("""COMPUTED_VALUE"""),0.4)</f>
        <v>0.4</v>
      </c>
      <c r="E679" s="320">
        <f>IFERROR(__xludf.DUMMYFUNCTION("""COMPUTED_VALUE"""),3700.97)</f>
        <v>3700.97</v>
      </c>
      <c r="F679" s="320">
        <f>IFERROR(__xludf.DUMMYFUNCTION("""COMPUTED_VALUE"""),12.762)</f>
        <v>12.762</v>
      </c>
      <c r="G679" s="320">
        <f>IFERROR(__xludf.DUMMYFUNCTION("""COMPUTED_VALUE"""),53.1)</f>
        <v>53.1</v>
      </c>
      <c r="H679" s="320">
        <f>IFERROR(__xludf.DUMMYFUNCTION("""COMPUTED_VALUE"""),24.0323)</f>
        <v>24.0323</v>
      </c>
      <c r="I679" s="320">
        <f>IFERROR(__xludf.DUMMYFUNCTION("""COMPUTED_VALUE"""),222.38)</f>
        <v>222.38</v>
      </c>
      <c r="J679" s="320">
        <f>IFERROR(__xludf.DUMMYFUNCTION("""COMPUTED_VALUE"""),142.54)</f>
        <v>142.54</v>
      </c>
      <c r="K679" s="320">
        <f>IFERROR(__xludf.DUMMYFUNCTION("""COMPUTED_VALUE"""),116.94)</f>
        <v>116.94</v>
      </c>
      <c r="L679" s="320">
        <f>IFERROR(__xludf.DUMMYFUNCTION("""COMPUTED_VALUE"""),0.8204)</f>
        <v>0.8204</v>
      </c>
      <c r="M679" s="320">
        <f>IFERROR(__xludf.DUMMYFUNCTION("""COMPUTED_VALUE"""),0.271)</f>
        <v>0.271</v>
      </c>
      <c r="N679" s="320">
        <f>IFERROR(__xludf.DUMMYFUNCTION("""COMPUTED_VALUE"""),0.1646)</f>
        <v>0.1646</v>
      </c>
      <c r="O679" s="320">
        <f>IFERROR(__xludf.DUMMYFUNCTION("""COMPUTED_VALUE"""),1.2189)</f>
        <v>1.2189</v>
      </c>
      <c r="P679" s="320">
        <f>IFERROR(__xludf.DUMMYFUNCTION("""COMPUTED_VALUE"""),1200.99)</f>
        <v>1200.99</v>
      </c>
      <c r="Q679" s="320">
        <f>IFERROR(__xludf.DUMMYFUNCTION("""COMPUTED_VALUE"""),985.21)</f>
        <v>985.21</v>
      </c>
      <c r="R679" s="320">
        <f>IFERROR(__xludf.DUMMYFUNCTION("""COMPUTED_VALUE"""),215.78)</f>
        <v>215.78</v>
      </c>
      <c r="S679" s="320">
        <f>IFERROR(__xludf.DUMMYFUNCTION("""COMPUTED_VALUE"""),820.62)</f>
        <v>820.62</v>
      </c>
      <c r="T679" s="320">
        <f>IFERROR(__xludf.DUMMYFUNCTION("""COMPUTED_VALUE"""),380.37)</f>
        <v>380.37</v>
      </c>
      <c r="U679" s="320">
        <f>IFERROR(__xludf.DUMMYFUNCTION("""COMPUTED_VALUE"""),1288.28)</f>
        <v>1288.28</v>
      </c>
      <c r="V679" s="320">
        <f>IFERROR(__xludf.DUMMYFUNCTION("""COMPUTED_VALUE"""),9.0379)</f>
        <v>9.0379</v>
      </c>
      <c r="W679" s="320">
        <f>IFERROR(__xludf.DUMMYFUNCTION("""COMPUTED_VALUE"""),68.33)</f>
        <v>68.33</v>
      </c>
      <c r="X679" s="320">
        <f>IFERROR(__xludf.DUMMYFUNCTION("""COMPUTED_VALUE"""),102.0)</f>
        <v>102</v>
      </c>
      <c r="Y679" s="320">
        <f>IFERROR(__xludf.DUMMYFUNCTION("""COMPUTED_VALUE"""),502.0)</f>
        <v>502</v>
      </c>
      <c r="Z679" s="320">
        <f>IFERROR(__xludf.DUMMYFUNCTION("""COMPUTED_VALUE"""),2629.0)</f>
        <v>2629</v>
      </c>
      <c r="AA679" s="320">
        <f>IFERROR(__xludf.DUMMYFUNCTION("""COMPUTED_VALUE"""),61.561)</f>
        <v>61.561</v>
      </c>
      <c r="AB679" s="320">
        <f>IFERROR(__xludf.DUMMYFUNCTION("""COMPUTED_VALUE"""),0.8459)</f>
        <v>0.8459</v>
      </c>
      <c r="AC679" s="320">
        <f>IFERROR(__xludf.DUMMYFUNCTION("""COMPUTED_VALUE"""),84.26)</f>
        <v>84.26</v>
      </c>
      <c r="AD679" s="320">
        <f>IFERROR(__xludf.DUMMYFUNCTION("""COMPUTED_VALUE"""),28.0)</f>
        <v>28</v>
      </c>
      <c r="AE679" s="320">
        <f>IFERROR(__xludf.DUMMYFUNCTION("""COMPUTED_VALUE"""),68.0)</f>
        <v>68</v>
      </c>
      <c r="AF679" s="320">
        <f>IFERROR(__xludf.DUMMYFUNCTION("""COMPUTED_VALUE"""),115.0)</f>
        <v>115</v>
      </c>
      <c r="AG679" s="320">
        <f>IFERROR(__xludf.DUMMYFUNCTION("""COMPUTED_VALUE"""),172.0)</f>
        <v>172</v>
      </c>
      <c r="AH679" s="320">
        <f>IFERROR(__xludf.DUMMYFUNCTION("""COMPUTED_VALUE"""),46.55)</f>
        <v>46.55</v>
      </c>
      <c r="AI679" s="320">
        <f>IFERROR(__xludf.DUMMYFUNCTION("""COMPUTED_VALUE"""),9.66)</f>
        <v>9.66</v>
      </c>
      <c r="AJ679" s="320">
        <f>IFERROR(__xludf.DUMMYFUNCTION("""COMPUTED_VALUE"""),1.72)</f>
        <v>1.72</v>
      </c>
      <c r="AK679" s="320">
        <f>IFERROR(__xludf.DUMMYFUNCTION("""COMPUTED_VALUE"""),0.131)</f>
        <v>0.131</v>
      </c>
      <c r="AL679" s="320">
        <f>IFERROR(__xludf.DUMMYFUNCTION("""COMPUTED_VALUE"""),20.09)</f>
        <v>20.09</v>
      </c>
      <c r="AM679" s="320">
        <f>IFERROR(__xludf.DUMMYFUNCTION("""COMPUTED_VALUE"""),965.12)</f>
        <v>965.12</v>
      </c>
      <c r="AN679" s="320">
        <f>IFERROR(__xludf.DUMMYFUNCTION("""COMPUTED_VALUE"""),71.03)</f>
        <v>71.03</v>
      </c>
      <c r="AO679" s="320">
        <f>IFERROR(__xludf.DUMMYFUNCTION("""COMPUTED_VALUE"""),14.27)</f>
        <v>14.27</v>
      </c>
    </row>
    <row r="680" ht="15.0" customHeight="1">
      <c r="A680" s="328">
        <f>IFERROR(__xludf.DUMMYFUNCTION("""COMPUTED_VALUE"""),46163.0)</f>
        <v>46163</v>
      </c>
      <c r="B680" s="319" t="str">
        <f>IFERROR(__xludf.DUMMYFUNCTION("""COMPUTED_VALUE"""),"A. 0")</f>
        <v>A. 0</v>
      </c>
      <c r="C680" s="320">
        <f>IFERROR(__xludf.DUMMYFUNCTION("""COMPUTED_VALUE"""),16963.0)</f>
        <v>16963</v>
      </c>
      <c r="D680" s="320">
        <f>IFERROR(__xludf.DUMMYFUNCTION("""COMPUTED_VALUE"""),23.85)</f>
        <v>23.85</v>
      </c>
      <c r="E680" s="320">
        <f>IFERROR(__xludf.DUMMYFUNCTION("""COMPUTED_VALUE"""),89.78)</f>
        <v>89.78</v>
      </c>
      <c r="F680" s="320">
        <f>IFERROR(__xludf.DUMMYFUNCTION("""COMPUTED_VALUE"""),0.0053)</f>
        <v>0.0053</v>
      </c>
      <c r="G680" s="320">
        <f>IFERROR(__xludf.DUMMYFUNCTION("""COMPUTED_VALUE"""),0.16)</f>
        <v>0.16</v>
      </c>
      <c r="H680" s="320">
        <f>IFERROR(__xludf.DUMMYFUNCTION("""COMPUTED_VALUE"""),3.3252)</f>
        <v>3.3252</v>
      </c>
      <c r="I680" s="320">
        <f>IFERROR(__xludf.DUMMYFUNCTION("""COMPUTED_VALUE"""),6.45)</f>
        <v>6.45</v>
      </c>
      <c r="J680" s="320">
        <f>IFERROR(__xludf.DUMMYFUNCTION("""COMPUTED_VALUE"""),2.97)</f>
        <v>2.97</v>
      </c>
      <c r="K680" s="320">
        <f>IFERROR(__xludf.DUMMYFUNCTION("""COMPUTED_VALUE"""),0.05)</f>
        <v>0.05</v>
      </c>
      <c r="L680" s="320">
        <f>IFERROR(__xludf.DUMMYFUNCTION("""COMPUTED_VALUE"""),0.0154)</f>
        <v>0.0154</v>
      </c>
      <c r="M680" s="320">
        <f>IFERROR(__xludf.DUMMYFUNCTION("""COMPUTED_VALUE"""),0.9857)</f>
        <v>0.9857</v>
      </c>
      <c r="N680" s="320">
        <f>IFERROR(__xludf.DUMMYFUNCTION("""COMPUTED_VALUE"""),0.7961)</f>
        <v>0.7961</v>
      </c>
      <c r="O680" s="320">
        <f>IFERROR(__xludf.DUMMYFUNCTION("""COMPUTED_VALUE"""),64.7754)</f>
        <v>64.7754</v>
      </c>
      <c r="P680" s="320">
        <f>IFERROR(__xludf.DUMMYFUNCTION("""COMPUTED_VALUE"""),22.03)</f>
        <v>22.03</v>
      </c>
      <c r="Q680" s="320">
        <f>IFERROR(__xludf.DUMMYFUNCTION("""COMPUTED_VALUE"""),21.98)</f>
        <v>21.98</v>
      </c>
      <c r="R680" s="320">
        <f>IFERROR(__xludf.DUMMYFUNCTION("""COMPUTED_VALUE"""),0.05)</f>
        <v>0.05</v>
      </c>
      <c r="S680" s="320">
        <f>IFERROR(__xludf.DUMMYFUNCTION("""COMPUTED_VALUE"""),0.5)</f>
        <v>0.5</v>
      </c>
      <c r="T680" s="320">
        <f>IFERROR(__xludf.DUMMYFUNCTION("""COMPUTED_VALUE"""),21.53)</f>
        <v>21.53</v>
      </c>
      <c r="U680" s="320">
        <f>IFERROR(__xludf.DUMMYFUNCTION("""COMPUTED_VALUE"""),1.92)</f>
        <v>1.92</v>
      </c>
      <c r="V680" s="320">
        <f>IFERROR(__xludf.DUMMYFUNCTION("""COMPUTED_VALUE"""),0.6451)</f>
        <v>0.6451</v>
      </c>
      <c r="W680" s="320">
        <f>IFERROR(__xludf.DUMMYFUNCTION("""COMPUTED_VALUE"""),2.26)</f>
        <v>2.26</v>
      </c>
      <c r="X680" s="320">
        <f>IFERROR(__xludf.DUMMYFUNCTION("""COMPUTED_VALUE"""),123.0)</f>
        <v>123</v>
      </c>
      <c r="Y680" s="320">
        <f>IFERROR(__xludf.DUMMYFUNCTION("""COMPUTED_VALUE"""),910.0)</f>
        <v>910</v>
      </c>
      <c r="Z680" s="320">
        <f>IFERROR(__xludf.DUMMYFUNCTION("""COMPUTED_VALUE"""),7043.0)</f>
        <v>7043</v>
      </c>
      <c r="AA680" s="320">
        <f>IFERROR(__xludf.DUMMYFUNCTION("""COMPUTED_VALUE"""),49.3509)</f>
        <v>49.3509</v>
      </c>
      <c r="AB680" s="320">
        <f>IFERROR(__xludf.DUMMYFUNCTION("""COMPUTED_VALUE"""),0.5003)</f>
        <v>0.5003</v>
      </c>
      <c r="AC680" s="106"/>
      <c r="AD680" s="106"/>
      <c r="AE680" s="106"/>
      <c r="AF680" s="106"/>
      <c r="AG680" s="106"/>
      <c r="AH680" s="320">
        <f>IFERROR(__xludf.DUMMYFUNCTION("""COMPUTED_VALUE"""),0.0)</f>
        <v>0</v>
      </c>
      <c r="AI680" s="320">
        <f>IFERROR(__xludf.DUMMYFUNCTION("""COMPUTED_VALUE"""),0.0)</f>
        <v>0</v>
      </c>
      <c r="AJ680" s="320">
        <f>IFERROR(__xludf.DUMMYFUNCTION("""COMPUTED_VALUE"""),0.0)</f>
        <v>0</v>
      </c>
      <c r="AK680" s="320">
        <f>IFERROR(__xludf.DUMMYFUNCTION("""COMPUTED_VALUE"""),0.2848)</f>
        <v>0.2848</v>
      </c>
      <c r="AL680" s="320">
        <f>IFERROR(__xludf.DUMMYFUNCTION("""COMPUTED_VALUE"""),15.06)</f>
        <v>15.06</v>
      </c>
      <c r="AM680" s="320">
        <f>IFERROR(__xludf.DUMMYFUNCTION("""COMPUTED_VALUE"""),6.92)</f>
        <v>6.92</v>
      </c>
      <c r="AN680" s="331"/>
      <c r="AO680" s="331"/>
    </row>
    <row r="681" ht="15.0" customHeight="1">
      <c r="A681" s="328">
        <f>IFERROR(__xludf.DUMMYFUNCTION("""COMPUTED_VALUE"""),46163.0)</f>
        <v>46163</v>
      </c>
      <c r="B681" s="319" t="str">
        <f>IFERROR(__xludf.DUMMYFUNCTION("""COMPUTED_VALUE"""),"B. 1-9")</f>
        <v>B. 1-9</v>
      </c>
      <c r="C681" s="320">
        <f>IFERROR(__xludf.DUMMYFUNCTION("""COMPUTED_VALUE"""),30495.0)</f>
        <v>30495</v>
      </c>
      <c r="D681" s="320">
        <f>IFERROR(__xludf.DUMMYFUNCTION("""COMPUTED_VALUE"""),42.87)</f>
        <v>42.87</v>
      </c>
      <c r="E681" s="320">
        <f>IFERROR(__xludf.DUMMYFUNCTION("""COMPUTED_VALUE"""),7109.43)</f>
        <v>7109.43</v>
      </c>
      <c r="F681" s="320">
        <f>IFERROR(__xludf.DUMMYFUNCTION("""COMPUTED_VALUE"""),0.2331)</f>
        <v>0.2331</v>
      </c>
      <c r="G681" s="320">
        <f>IFERROR(__xludf.DUMMYFUNCTION("""COMPUTED_VALUE"""),6.67)</f>
        <v>6.67</v>
      </c>
      <c r="H681" s="320">
        <f>IFERROR(__xludf.DUMMYFUNCTION("""COMPUTED_VALUE"""),3.497)</f>
        <v>3.497</v>
      </c>
      <c r="I681" s="320">
        <f>IFERROR(__xludf.DUMMYFUNCTION("""COMPUTED_VALUE"""),29.68)</f>
        <v>29.68</v>
      </c>
      <c r="J681" s="320">
        <f>IFERROR(__xludf.DUMMYFUNCTION("""COMPUTED_VALUE"""),15.67)</f>
        <v>15.67</v>
      </c>
      <c r="K681" s="320">
        <f>IFERROR(__xludf.DUMMYFUNCTION("""COMPUTED_VALUE"""),4.95)</f>
        <v>4.95</v>
      </c>
      <c r="L681" s="320">
        <f>IFERROR(__xludf.DUMMYFUNCTION("""COMPUTED_VALUE"""),0.3157)</f>
        <v>0.3157</v>
      </c>
      <c r="M681" s="320">
        <f>IFERROR(__xludf.DUMMYFUNCTION("""COMPUTED_VALUE"""),0.7566)</f>
        <v>0.7566</v>
      </c>
      <c r="N681" s="320">
        <f>IFERROR(__xludf.DUMMYFUNCTION("""COMPUTED_VALUE"""),0.5146)</f>
        <v>0.5146</v>
      </c>
      <c r="O681" s="320">
        <f>IFERROR(__xludf.DUMMYFUNCTION("""COMPUTED_VALUE"""),3.1673)</f>
        <v>3.1673</v>
      </c>
      <c r="P681" s="320">
        <f>IFERROR(__xludf.DUMMYFUNCTION("""COMPUTED_VALUE"""),65.26)</f>
        <v>65.26</v>
      </c>
      <c r="Q681" s="320">
        <f>IFERROR(__xludf.DUMMYFUNCTION("""COMPUTED_VALUE"""),56.77)</f>
        <v>56.77</v>
      </c>
      <c r="R681" s="320">
        <f>IFERROR(__xludf.DUMMYFUNCTION("""COMPUTED_VALUE"""),8.49)</f>
        <v>8.49</v>
      </c>
      <c r="S681" s="320">
        <f>IFERROR(__xludf.DUMMYFUNCTION("""COMPUTED_VALUE"""),16.92)</f>
        <v>16.92</v>
      </c>
      <c r="T681" s="320">
        <f>IFERROR(__xludf.DUMMYFUNCTION("""COMPUTED_VALUE"""),48.34)</f>
        <v>48.34</v>
      </c>
      <c r="U681" s="320">
        <f>IFERROR(__xludf.DUMMYFUNCTION("""COMPUTED_VALUE"""),69.36)</f>
        <v>69.36</v>
      </c>
      <c r="V681" s="320">
        <f>IFERROR(__xludf.DUMMYFUNCTION("""COMPUTED_VALUE"""),4.4258)</f>
        <v>4.4258</v>
      </c>
      <c r="W681" s="320">
        <f>IFERROR(__xludf.DUMMYFUNCTION("""COMPUTED_VALUE"""),25.93)</f>
        <v>25.93</v>
      </c>
      <c r="X681" s="320">
        <f>IFERROR(__xludf.DUMMYFUNCTION("""COMPUTED_VALUE"""),86.0)</f>
        <v>86</v>
      </c>
      <c r="Y681" s="320">
        <f>IFERROR(__xludf.DUMMYFUNCTION("""COMPUTED_VALUE"""),204.0)</f>
        <v>204</v>
      </c>
      <c r="Z681" s="320">
        <f>IFERROR(__xludf.DUMMYFUNCTION("""COMPUTED_VALUE"""),879.0)</f>
        <v>879</v>
      </c>
      <c r="AA681" s="320">
        <f>IFERROR(__xludf.DUMMYFUNCTION("""COMPUTED_VALUE"""),49.4417)</f>
        <v>49.4417</v>
      </c>
      <c r="AB681" s="320">
        <f>IFERROR(__xludf.DUMMYFUNCTION("""COMPUTED_VALUE"""),0.4376)</f>
        <v>0.4376</v>
      </c>
      <c r="AC681" s="320">
        <f>IFERROR(__xludf.DUMMYFUNCTION("""COMPUTED_VALUE"""),3.39)</f>
        <v>3.39</v>
      </c>
      <c r="AD681" s="320">
        <f>IFERROR(__xludf.DUMMYFUNCTION("""COMPUTED_VALUE"""),1.0)</f>
        <v>1</v>
      </c>
      <c r="AE681" s="320">
        <f>IFERROR(__xludf.DUMMYFUNCTION("""COMPUTED_VALUE"""),2.0)</f>
        <v>2</v>
      </c>
      <c r="AF681" s="320">
        <f>IFERROR(__xludf.DUMMYFUNCTION("""COMPUTED_VALUE"""),4.0)</f>
        <v>4</v>
      </c>
      <c r="AG681" s="320">
        <f>IFERROR(__xludf.DUMMYFUNCTION("""COMPUTED_VALUE"""),8.0)</f>
        <v>8</v>
      </c>
      <c r="AH681" s="320">
        <f>IFERROR(__xludf.DUMMYFUNCTION("""COMPUTED_VALUE"""),63.67)</f>
        <v>63.67</v>
      </c>
      <c r="AI681" s="320">
        <f>IFERROR(__xludf.DUMMYFUNCTION("""COMPUTED_VALUE"""),22.68)</f>
        <v>22.68</v>
      </c>
      <c r="AJ681" s="320">
        <f>IFERROR(__xludf.DUMMYFUNCTION("""COMPUTED_VALUE"""),6.77)</f>
        <v>6.77</v>
      </c>
      <c r="AK681" s="320">
        <f>IFERROR(__xludf.DUMMYFUNCTION("""COMPUTED_VALUE"""),0.2268)</f>
        <v>0.2268</v>
      </c>
      <c r="AL681" s="320">
        <f>IFERROR(__xludf.DUMMYFUNCTION("""COMPUTED_VALUE"""),20.26)</f>
        <v>20.26</v>
      </c>
      <c r="AM681" s="320">
        <f>IFERROR(__xludf.DUMMYFUNCTION("""COMPUTED_VALUE"""),36.51)</f>
        <v>36.51</v>
      </c>
      <c r="AN681" s="320">
        <f>IFERROR(__xludf.DUMMYFUNCTION("""COMPUTED_VALUE"""),68.22)</f>
        <v>68.22</v>
      </c>
      <c r="AO681" s="320">
        <f>IFERROR(__xludf.DUMMYFUNCTION("""COMPUTED_VALUE"""),13.82)</f>
        <v>13.82</v>
      </c>
    </row>
    <row r="682" ht="15.0" customHeight="1">
      <c r="A682" s="328">
        <f>IFERROR(__xludf.DUMMYFUNCTION("""COMPUTED_VALUE"""),46163.0)</f>
        <v>46163</v>
      </c>
      <c r="B682" s="319" t="str">
        <f>IFERROR(__xludf.DUMMYFUNCTION("""COMPUTED_VALUE"""),"C. 10-19")</f>
        <v>C. 10-19</v>
      </c>
      <c r="C682" s="320">
        <f>IFERROR(__xludf.DUMMYFUNCTION("""COMPUTED_VALUE"""),14122.0)</f>
        <v>14122</v>
      </c>
      <c r="D682" s="320">
        <f>IFERROR(__xludf.DUMMYFUNCTION("""COMPUTED_VALUE"""),19.85)</f>
        <v>19.85</v>
      </c>
      <c r="E682" s="320">
        <f>IFERROR(__xludf.DUMMYFUNCTION("""COMPUTED_VALUE"""),15363.84)</f>
        <v>15363.84</v>
      </c>
      <c r="F682" s="320">
        <f>IFERROR(__xludf.DUMMYFUNCTION("""COMPUTED_VALUE"""),1.0879)</f>
        <v>1.0879</v>
      </c>
      <c r="G682" s="320">
        <f>IFERROR(__xludf.DUMMYFUNCTION("""COMPUTED_VALUE"""),22.58)</f>
        <v>22.58</v>
      </c>
      <c r="H682" s="320">
        <f>IFERROR(__xludf.DUMMYFUNCTION("""COMPUTED_VALUE"""),4.8178)</f>
        <v>4.8178</v>
      </c>
      <c r="I682" s="320">
        <f>IFERROR(__xludf.DUMMYFUNCTION("""COMPUTED_VALUE"""),54.87)</f>
        <v>54.87</v>
      </c>
      <c r="J682" s="320">
        <f>IFERROR(__xludf.DUMMYFUNCTION("""COMPUTED_VALUE"""),31.02)</f>
        <v>31.02</v>
      </c>
      <c r="K682" s="320">
        <f>IFERROR(__xludf.DUMMYFUNCTION("""COMPUTED_VALUE"""),13.69)</f>
        <v>13.69</v>
      </c>
      <c r="L682" s="320">
        <f>IFERROR(__xludf.DUMMYFUNCTION("""COMPUTED_VALUE"""),0.4414)</f>
        <v>0.4414</v>
      </c>
      <c r="M682" s="320">
        <f>IFERROR(__xludf.DUMMYFUNCTION("""COMPUTED_VALUE"""),0.6256)</f>
        <v>0.6256</v>
      </c>
      <c r="N682" s="320">
        <f>IFERROR(__xludf.DUMMYFUNCTION("""COMPUTED_VALUE"""),0.3493)</f>
        <v>0.3493</v>
      </c>
      <c r="O682" s="320">
        <f>IFERROR(__xludf.DUMMYFUNCTION("""COMPUTED_VALUE"""),2.2656)</f>
        <v>2.2656</v>
      </c>
      <c r="P682" s="320">
        <f>IFERROR(__xludf.DUMMYFUNCTION("""COMPUTED_VALUE"""),178.4)</f>
        <v>178.4</v>
      </c>
      <c r="Q682" s="320">
        <f>IFERROR(__xludf.DUMMYFUNCTION("""COMPUTED_VALUE"""),155.84)</f>
        <v>155.84</v>
      </c>
      <c r="R682" s="320">
        <f>IFERROR(__xludf.DUMMYFUNCTION("""COMPUTED_VALUE"""),22.55)</f>
        <v>22.55</v>
      </c>
      <c r="S682" s="320">
        <f>IFERROR(__xludf.DUMMYFUNCTION("""COMPUTED_VALUE"""),72.98)</f>
        <v>72.98</v>
      </c>
      <c r="T682" s="320">
        <f>IFERROR(__xludf.DUMMYFUNCTION("""COMPUTED_VALUE"""),105.42)</f>
        <v>105.42</v>
      </c>
      <c r="U682" s="320">
        <f>IFERROR(__xludf.DUMMYFUNCTION("""COMPUTED_VALUE"""),179.45)</f>
        <v>179.45</v>
      </c>
      <c r="V682" s="320">
        <f>IFERROR(__xludf.DUMMYFUNCTION("""COMPUTED_VALUE"""),5.7858)</f>
        <v>5.7858</v>
      </c>
      <c r="W682" s="320">
        <f>IFERROR(__xludf.DUMMYFUNCTION("""COMPUTED_VALUE"""),40.91)</f>
        <v>40.91</v>
      </c>
      <c r="X682" s="320">
        <f>IFERROR(__xludf.DUMMYFUNCTION("""COMPUTED_VALUE"""),84.0)</f>
        <v>84</v>
      </c>
      <c r="Y682" s="320">
        <f>IFERROR(__xludf.DUMMYFUNCTION("""COMPUTED_VALUE"""),194.0)</f>
        <v>194</v>
      </c>
      <c r="Z682" s="320">
        <f>IFERROR(__xludf.DUMMYFUNCTION("""COMPUTED_VALUE"""),644.0)</f>
        <v>644</v>
      </c>
      <c r="AA682" s="320">
        <f>IFERROR(__xludf.DUMMYFUNCTION("""COMPUTED_VALUE"""),52.555)</f>
        <v>52.555</v>
      </c>
      <c r="AB682" s="320">
        <f>IFERROR(__xludf.DUMMYFUNCTION("""COMPUTED_VALUE"""),0.5267)</f>
        <v>0.5267</v>
      </c>
      <c r="AC682" s="320">
        <f>IFERROR(__xludf.DUMMYFUNCTION("""COMPUTED_VALUE"""),8.81)</f>
        <v>8.81</v>
      </c>
      <c r="AD682" s="320">
        <f>IFERROR(__xludf.DUMMYFUNCTION("""COMPUTED_VALUE"""),2.0)</f>
        <v>2</v>
      </c>
      <c r="AE682" s="320">
        <f>IFERROR(__xludf.DUMMYFUNCTION("""COMPUTED_VALUE"""),6.0)</f>
        <v>6</v>
      </c>
      <c r="AF682" s="320">
        <f>IFERROR(__xludf.DUMMYFUNCTION("""COMPUTED_VALUE"""),12.0)</f>
        <v>12</v>
      </c>
      <c r="AG682" s="320">
        <f>IFERROR(__xludf.DUMMYFUNCTION("""COMPUTED_VALUE"""),20.0)</f>
        <v>20</v>
      </c>
      <c r="AH682" s="320">
        <f>IFERROR(__xludf.DUMMYFUNCTION("""COMPUTED_VALUE"""),51.81)</f>
        <v>51.81</v>
      </c>
      <c r="AI682" s="320">
        <f>IFERROR(__xludf.DUMMYFUNCTION("""COMPUTED_VALUE"""),24.42)</f>
        <v>24.42</v>
      </c>
      <c r="AJ682" s="320">
        <f>IFERROR(__xludf.DUMMYFUNCTION("""COMPUTED_VALUE"""),5.27)</f>
        <v>5.27</v>
      </c>
      <c r="AK682" s="320">
        <f>IFERROR(__xludf.DUMMYFUNCTION("""COMPUTED_VALUE"""),0.1864)</f>
        <v>0.1864</v>
      </c>
      <c r="AL682" s="320">
        <f>IFERROR(__xludf.DUMMYFUNCTION("""COMPUTED_VALUE"""),20.75)</f>
        <v>20.75</v>
      </c>
      <c r="AM682" s="320">
        <f>IFERROR(__xludf.DUMMYFUNCTION("""COMPUTED_VALUE"""),135.09)</f>
        <v>135.09</v>
      </c>
      <c r="AN682" s="320">
        <f>IFERROR(__xludf.DUMMYFUNCTION("""COMPUTED_VALUE"""),74.19)</f>
        <v>74.19</v>
      </c>
      <c r="AO682" s="320">
        <f>IFERROR(__xludf.DUMMYFUNCTION("""COMPUTED_VALUE"""),15.39)</f>
        <v>15.39</v>
      </c>
    </row>
    <row r="683" ht="15.0" customHeight="1">
      <c r="A683" s="328">
        <f>IFERROR(__xludf.DUMMYFUNCTION("""COMPUTED_VALUE"""),46163.0)</f>
        <v>46163</v>
      </c>
      <c r="B683" s="319" t="str">
        <f>IFERROR(__xludf.DUMMYFUNCTION("""COMPUTED_VALUE"""),"D. 20-39")</f>
        <v>D. 20-39</v>
      </c>
      <c r="C683" s="320">
        <f>IFERROR(__xludf.DUMMYFUNCTION("""COMPUTED_VALUE"""),6676.0)</f>
        <v>6676</v>
      </c>
      <c r="D683" s="320">
        <f>IFERROR(__xludf.DUMMYFUNCTION("""COMPUTED_VALUE"""),9.38)</f>
        <v>9.38</v>
      </c>
      <c r="E683" s="320">
        <f>IFERROR(__xludf.DUMMYFUNCTION("""COMPUTED_VALUE"""),17436.93)</f>
        <v>17436.93</v>
      </c>
      <c r="F683" s="320">
        <f>IFERROR(__xludf.DUMMYFUNCTION("""COMPUTED_VALUE"""),2.6119)</f>
        <v>2.6119</v>
      </c>
      <c r="G683" s="320">
        <f>IFERROR(__xludf.DUMMYFUNCTION("""COMPUTED_VALUE"""),34.71)</f>
        <v>34.71</v>
      </c>
      <c r="H683" s="320">
        <f>IFERROR(__xludf.DUMMYFUNCTION("""COMPUTED_VALUE"""),7.5256)</f>
        <v>7.5256</v>
      </c>
      <c r="I683" s="320">
        <f>IFERROR(__xludf.DUMMYFUNCTION("""COMPUTED_VALUE"""),75.86)</f>
        <v>75.86</v>
      </c>
      <c r="J683" s="320">
        <f>IFERROR(__xludf.DUMMYFUNCTION("""COMPUTED_VALUE"""),45.07)</f>
        <v>45.07</v>
      </c>
      <c r="K683" s="320">
        <f>IFERROR(__xludf.DUMMYFUNCTION("""COMPUTED_VALUE"""),26.38)</f>
        <v>26.38</v>
      </c>
      <c r="L683" s="320">
        <f>IFERROR(__xludf.DUMMYFUNCTION("""COMPUTED_VALUE"""),0.5854)</f>
        <v>0.5854</v>
      </c>
      <c r="M683" s="320">
        <f>IFERROR(__xludf.DUMMYFUNCTION("""COMPUTED_VALUE"""),0.4948)</f>
        <v>0.4948</v>
      </c>
      <c r="N683" s="320">
        <f>IFERROR(__xludf.DUMMYFUNCTION("""COMPUTED_VALUE"""),0.2673)</f>
        <v>0.2673</v>
      </c>
      <c r="O683" s="320">
        <f>IFERROR(__xludf.DUMMYFUNCTION("""COMPUTED_VALUE"""),1.7083)</f>
        <v>1.7083</v>
      </c>
      <c r="P683" s="320">
        <f>IFERROR(__xludf.DUMMYFUNCTION("""COMPUTED_VALUE"""),364.32)</f>
        <v>364.32</v>
      </c>
      <c r="Q683" s="320">
        <f>IFERROR(__xludf.DUMMYFUNCTION("""COMPUTED_VALUE"""),318.88)</f>
        <v>318.88</v>
      </c>
      <c r="R683" s="320">
        <f>IFERROR(__xludf.DUMMYFUNCTION("""COMPUTED_VALUE"""),45.44)</f>
        <v>45.44</v>
      </c>
      <c r="S683" s="320">
        <f>IFERROR(__xludf.DUMMYFUNCTION("""COMPUTED_VALUE"""),166.99)</f>
        <v>166.99</v>
      </c>
      <c r="T683" s="320">
        <f>IFERROR(__xludf.DUMMYFUNCTION("""COMPUTED_VALUE"""),197.33)</f>
        <v>197.33</v>
      </c>
      <c r="U683" s="320">
        <f>IFERROR(__xludf.DUMMYFUNCTION("""COMPUTED_VALUE"""),360.93)</f>
        <v>360.93</v>
      </c>
      <c r="V683" s="320">
        <f>IFERROR(__xludf.DUMMYFUNCTION("""COMPUTED_VALUE"""),8.0081)</f>
        <v>8.0081</v>
      </c>
      <c r="W683" s="320">
        <f>IFERROR(__xludf.DUMMYFUNCTION("""COMPUTED_VALUE"""),45.84)</f>
        <v>45.84</v>
      </c>
      <c r="X683" s="320">
        <f>IFERROR(__xludf.DUMMYFUNCTION("""COMPUTED_VALUE"""),90.0)</f>
        <v>90</v>
      </c>
      <c r="Y683" s="320">
        <f>IFERROR(__xludf.DUMMYFUNCTION("""COMPUTED_VALUE"""),240.0)</f>
        <v>240</v>
      </c>
      <c r="Z683" s="320">
        <f>IFERROR(__xludf.DUMMYFUNCTION("""COMPUTED_VALUE"""),774.0)</f>
        <v>774</v>
      </c>
      <c r="AA683" s="320">
        <f>IFERROR(__xludf.DUMMYFUNCTION("""COMPUTED_VALUE"""),55.0842)</f>
        <v>55.0842</v>
      </c>
      <c r="AB683" s="320">
        <f>IFERROR(__xludf.DUMMYFUNCTION("""COMPUTED_VALUE"""),0.6636)</f>
        <v>0.6636</v>
      </c>
      <c r="AC683" s="320">
        <f>IFERROR(__xludf.DUMMYFUNCTION("""COMPUTED_VALUE"""),18.7)</f>
        <v>18.7</v>
      </c>
      <c r="AD683" s="320">
        <f>IFERROR(__xludf.DUMMYFUNCTION("""COMPUTED_VALUE"""),6.0)</f>
        <v>6</v>
      </c>
      <c r="AE683" s="320">
        <f>IFERROR(__xludf.DUMMYFUNCTION("""COMPUTED_VALUE"""),14.0)</f>
        <v>14</v>
      </c>
      <c r="AF683" s="320">
        <f>IFERROR(__xludf.DUMMYFUNCTION("""COMPUTED_VALUE"""),27.0)</f>
        <v>27</v>
      </c>
      <c r="AG683" s="320">
        <f>IFERROR(__xludf.DUMMYFUNCTION("""COMPUTED_VALUE"""),41.0)</f>
        <v>41</v>
      </c>
      <c r="AH683" s="320">
        <f>IFERROR(__xludf.DUMMYFUNCTION("""COMPUTED_VALUE"""),57.85)</f>
        <v>57.85</v>
      </c>
      <c r="AI683" s="320">
        <f>IFERROR(__xludf.DUMMYFUNCTION("""COMPUTED_VALUE"""),26.99)</f>
        <v>26.99</v>
      </c>
      <c r="AJ683" s="320">
        <f>IFERROR(__xludf.DUMMYFUNCTION("""COMPUTED_VALUE"""),9.39)</f>
        <v>9.39</v>
      </c>
      <c r="AK683" s="320">
        <f>IFERROR(__xludf.DUMMYFUNCTION("""COMPUTED_VALUE"""),0.2161)</f>
        <v>0.2161</v>
      </c>
      <c r="AL683" s="320">
        <f>IFERROR(__xludf.DUMMYFUNCTION("""COMPUTED_VALUE"""),19.81)</f>
        <v>19.81</v>
      </c>
      <c r="AM683" s="320">
        <f>IFERROR(__xludf.DUMMYFUNCTION("""COMPUTED_VALUE"""),299.07)</f>
        <v>299.07</v>
      </c>
      <c r="AN683" s="320">
        <f>IFERROR(__xludf.DUMMYFUNCTION("""COMPUTED_VALUE"""),73.94)</f>
        <v>73.94</v>
      </c>
      <c r="AO683" s="320">
        <f>IFERROR(__xludf.DUMMYFUNCTION("""COMPUTED_VALUE"""),14.65)</f>
        <v>14.65</v>
      </c>
    </row>
    <row r="684" ht="15.0" customHeight="1">
      <c r="A684" s="328">
        <f>IFERROR(__xludf.DUMMYFUNCTION("""COMPUTED_VALUE"""),46163.0)</f>
        <v>46163</v>
      </c>
      <c r="B684" s="319" t="str">
        <f>IFERROR(__xludf.DUMMYFUNCTION("""COMPUTED_VALUE"""),"E. 40-99")</f>
        <v>E. 40-99</v>
      </c>
      <c r="C684" s="320">
        <f>IFERROR(__xludf.DUMMYFUNCTION("""COMPUTED_VALUE"""),2593.0)</f>
        <v>2593</v>
      </c>
      <c r="D684" s="320">
        <f>IFERROR(__xludf.DUMMYFUNCTION("""COMPUTED_VALUE"""),3.65)</f>
        <v>3.65</v>
      </c>
      <c r="E684" s="320">
        <f>IFERROR(__xludf.DUMMYFUNCTION("""COMPUTED_VALUE"""),16138.25)</f>
        <v>16138.25</v>
      </c>
      <c r="F684" s="320">
        <f>IFERROR(__xludf.DUMMYFUNCTION("""COMPUTED_VALUE"""),6.2238)</f>
        <v>6.2238</v>
      </c>
      <c r="G684" s="320">
        <f>IFERROR(__xludf.DUMMYFUNCTION("""COMPUTED_VALUE"""),44.08)</f>
        <v>44.08</v>
      </c>
      <c r="H684" s="320">
        <f>IFERROR(__xludf.DUMMYFUNCTION("""COMPUTED_VALUE"""),14.1192)</f>
        <v>14.1192</v>
      </c>
      <c r="I684" s="320">
        <f>IFERROR(__xludf.DUMMYFUNCTION("""COMPUTED_VALUE"""),128.27)</f>
        <v>128.27</v>
      </c>
      <c r="J684" s="320">
        <f>IFERROR(__xludf.DUMMYFUNCTION("""COMPUTED_VALUE"""),79.6)</f>
        <v>79.6</v>
      </c>
      <c r="K684" s="320">
        <f>IFERROR(__xludf.DUMMYFUNCTION("""COMPUTED_VALUE"""),58.07)</f>
        <v>58.07</v>
      </c>
      <c r="L684" s="320">
        <f>IFERROR(__xludf.DUMMYFUNCTION("""COMPUTED_VALUE"""),0.7295)</f>
        <v>0.7295</v>
      </c>
      <c r="M684" s="320">
        <f>IFERROR(__xludf.DUMMYFUNCTION("""COMPUTED_VALUE"""),0.3642)</f>
        <v>0.3642</v>
      </c>
      <c r="N684" s="320">
        <f>IFERROR(__xludf.DUMMYFUNCTION("""COMPUTED_VALUE"""),0.2078)</f>
        <v>0.2078</v>
      </c>
      <c r="O684" s="320">
        <f>IFERROR(__xludf.DUMMYFUNCTION("""COMPUTED_VALUE"""),1.3708)</f>
        <v>1.3708</v>
      </c>
      <c r="P684" s="320">
        <f>IFERROR(__xludf.DUMMYFUNCTION("""COMPUTED_VALUE"""),819.06)</f>
        <v>819.06</v>
      </c>
      <c r="Q684" s="320">
        <f>IFERROR(__xludf.DUMMYFUNCTION("""COMPUTED_VALUE"""),719.26)</f>
        <v>719.26</v>
      </c>
      <c r="R684" s="320">
        <f>IFERROR(__xludf.DUMMYFUNCTION("""COMPUTED_VALUE"""),99.81)</f>
        <v>99.81</v>
      </c>
      <c r="S684" s="320">
        <f>IFERROR(__xludf.DUMMYFUNCTION("""COMPUTED_VALUE"""),390.42)</f>
        <v>390.42</v>
      </c>
      <c r="T684" s="320">
        <f>IFERROR(__xludf.DUMMYFUNCTION("""COMPUTED_VALUE"""),428.64)</f>
        <v>428.64</v>
      </c>
      <c r="U684" s="320">
        <f>IFERROR(__xludf.DUMMYFUNCTION("""COMPUTED_VALUE"""),786.89)</f>
        <v>786.89</v>
      </c>
      <c r="V684" s="320">
        <f>IFERROR(__xludf.DUMMYFUNCTION("""COMPUTED_VALUE"""),9.8852)</f>
        <v>9.8852</v>
      </c>
      <c r="W684" s="320">
        <f>IFERROR(__xludf.DUMMYFUNCTION("""COMPUTED_VALUE"""),47.67)</f>
        <v>47.67</v>
      </c>
      <c r="X684" s="320">
        <f>IFERROR(__xludf.DUMMYFUNCTION("""COMPUTED_VALUE"""),109.0)</f>
        <v>109</v>
      </c>
      <c r="Y684" s="320">
        <f>IFERROR(__xludf.DUMMYFUNCTION("""COMPUTED_VALUE"""),361.0)</f>
        <v>361</v>
      </c>
      <c r="Z684" s="320">
        <f>IFERROR(__xludf.DUMMYFUNCTION("""COMPUTED_VALUE"""),983.0)</f>
        <v>983</v>
      </c>
      <c r="AA684" s="320">
        <f>IFERROR(__xludf.DUMMYFUNCTION("""COMPUTED_VALUE"""),58.307)</f>
        <v>58.307</v>
      </c>
      <c r="AB684" s="320">
        <f>IFERROR(__xludf.DUMMYFUNCTION("""COMPUTED_VALUE"""),0.7643)</f>
        <v>0.7643</v>
      </c>
      <c r="AC684" s="320">
        <f>IFERROR(__xludf.DUMMYFUNCTION("""COMPUTED_VALUE"""),42.06)</f>
        <v>42.06</v>
      </c>
      <c r="AD684" s="320">
        <f>IFERROR(__xludf.DUMMYFUNCTION("""COMPUTED_VALUE"""),15.0)</f>
        <v>15</v>
      </c>
      <c r="AE684" s="320">
        <f>IFERROR(__xludf.DUMMYFUNCTION("""COMPUTED_VALUE"""),34.0)</f>
        <v>34</v>
      </c>
      <c r="AF684" s="320">
        <f>IFERROR(__xludf.DUMMYFUNCTION("""COMPUTED_VALUE"""),59.0)</f>
        <v>59</v>
      </c>
      <c r="AG684" s="320">
        <f>IFERROR(__xludf.DUMMYFUNCTION("""COMPUTED_VALUE"""),89.0)</f>
        <v>89</v>
      </c>
      <c r="AH684" s="320">
        <f>IFERROR(__xludf.DUMMYFUNCTION("""COMPUTED_VALUE"""),56.85)</f>
        <v>56.85</v>
      </c>
      <c r="AI684" s="320">
        <f>IFERROR(__xludf.DUMMYFUNCTION("""COMPUTED_VALUE"""),24.37)</f>
        <v>24.37</v>
      </c>
      <c r="AJ684" s="320">
        <f>IFERROR(__xludf.DUMMYFUNCTION("""COMPUTED_VALUE"""),7.29)</f>
        <v>7.29</v>
      </c>
      <c r="AK684" s="320">
        <f>IFERROR(__xludf.DUMMYFUNCTION("""COMPUTED_VALUE"""),0.1894)</f>
        <v>0.1894</v>
      </c>
      <c r="AL684" s="320">
        <f>IFERROR(__xludf.DUMMYFUNCTION("""COMPUTED_VALUE"""),20.78)</f>
        <v>20.78</v>
      </c>
      <c r="AM684" s="320">
        <f>IFERROR(__xludf.DUMMYFUNCTION("""COMPUTED_VALUE"""),698.47)</f>
        <v>698.47</v>
      </c>
      <c r="AN684" s="320">
        <f>IFERROR(__xludf.DUMMYFUNCTION("""COMPUTED_VALUE"""),72.84)</f>
        <v>72.84</v>
      </c>
      <c r="AO684" s="320">
        <f>IFERROR(__xludf.DUMMYFUNCTION("""COMPUTED_VALUE"""),15.14)</f>
        <v>15.14</v>
      </c>
    </row>
    <row r="685" ht="15.0" customHeight="1">
      <c r="A685" s="328">
        <f>IFERROR(__xludf.DUMMYFUNCTION("""COMPUTED_VALUE"""),46163.0)</f>
        <v>46163</v>
      </c>
      <c r="B685" s="319" t="str">
        <f>IFERROR(__xludf.DUMMYFUNCTION("""COMPUTED_VALUE"""),"F. 100+")</f>
        <v>F. 100+</v>
      </c>
      <c r="C685" s="320">
        <f>IFERROR(__xludf.DUMMYFUNCTION("""COMPUTED_VALUE"""),287.0)</f>
        <v>287</v>
      </c>
      <c r="D685" s="320">
        <f>IFERROR(__xludf.DUMMYFUNCTION("""COMPUTED_VALUE"""),0.4)</f>
        <v>0.4</v>
      </c>
      <c r="E685" s="320">
        <f>IFERROR(__xludf.DUMMYFUNCTION("""COMPUTED_VALUE"""),2577.03)</f>
        <v>2577.03</v>
      </c>
      <c r="F685" s="320">
        <f>IFERROR(__xludf.DUMMYFUNCTION("""COMPUTED_VALUE"""),8.9792)</f>
        <v>8.9792</v>
      </c>
      <c r="G685" s="320">
        <f>IFERROR(__xludf.DUMMYFUNCTION("""COMPUTED_VALUE"""),47.74)</f>
        <v>47.74</v>
      </c>
      <c r="H685" s="320">
        <f>IFERROR(__xludf.DUMMYFUNCTION("""COMPUTED_VALUE"""),18.8104)</f>
        <v>18.8104</v>
      </c>
      <c r="I685" s="320">
        <f>IFERROR(__xludf.DUMMYFUNCTION("""COMPUTED_VALUE"""),231.34)</f>
        <v>231.34</v>
      </c>
      <c r="J685" s="320">
        <f>IFERROR(__xludf.DUMMYFUNCTION("""COMPUTED_VALUE"""),152.0)</f>
        <v>152</v>
      </c>
      <c r="K685" s="320">
        <f>IFERROR(__xludf.DUMMYFUNCTION("""COMPUTED_VALUE"""),128.25)</f>
        <v>128.25</v>
      </c>
      <c r="L685" s="320">
        <f>IFERROR(__xludf.DUMMYFUNCTION("""COMPUTED_VALUE"""),0.8438)</f>
        <v>0.8438</v>
      </c>
      <c r="M685" s="320">
        <f>IFERROR(__xludf.DUMMYFUNCTION("""COMPUTED_VALUE"""),0.2412)</f>
        <v>0.2412</v>
      </c>
      <c r="N685" s="320">
        <f>IFERROR(__xludf.DUMMYFUNCTION("""COMPUTED_VALUE"""),0.1501)</f>
        <v>0.1501</v>
      </c>
      <c r="O685" s="320">
        <f>IFERROR(__xludf.DUMMYFUNCTION("""COMPUTED_VALUE"""),1.1852)</f>
        <v>1.1852</v>
      </c>
      <c r="P685" s="320">
        <f>IFERROR(__xludf.DUMMYFUNCTION("""COMPUTED_VALUE"""),1381.89)</f>
        <v>1381.89</v>
      </c>
      <c r="Q685" s="320">
        <f>IFERROR(__xludf.DUMMYFUNCTION("""COMPUTED_VALUE"""),1162.6)</f>
        <v>1162.6</v>
      </c>
      <c r="R685" s="320">
        <f>IFERROR(__xludf.DUMMYFUNCTION("""COMPUTED_VALUE"""),219.29)</f>
        <v>219.29</v>
      </c>
      <c r="S685" s="320">
        <f>IFERROR(__xludf.DUMMYFUNCTION("""COMPUTED_VALUE"""),568.38)</f>
        <v>568.38</v>
      </c>
      <c r="T685" s="320">
        <f>IFERROR(__xludf.DUMMYFUNCTION("""COMPUTED_VALUE"""),813.51)</f>
        <v>813.51</v>
      </c>
      <c r="U685" s="320">
        <f>IFERROR(__xludf.DUMMYFUNCTION("""COMPUTED_VALUE"""),1354.18)</f>
        <v>1354.18</v>
      </c>
      <c r="V685" s="320">
        <f>IFERROR(__xludf.DUMMYFUNCTION("""COMPUTED_VALUE"""),8.9093)</f>
        <v>8.9093</v>
      </c>
      <c r="W685" s="320">
        <f>IFERROR(__xludf.DUMMYFUNCTION("""COMPUTED_VALUE"""),41.13)</f>
        <v>41.13</v>
      </c>
      <c r="X685" s="320">
        <f>IFERROR(__xludf.DUMMYFUNCTION("""COMPUTED_VALUE"""),215.0)</f>
        <v>215</v>
      </c>
      <c r="Y685" s="320">
        <f>IFERROR(__xludf.DUMMYFUNCTION("""COMPUTED_VALUE"""),679.0)</f>
        <v>679</v>
      </c>
      <c r="Z685" s="320">
        <f>IFERROR(__xludf.DUMMYFUNCTION("""COMPUTED_VALUE"""),3023.0)</f>
        <v>3023</v>
      </c>
      <c r="AA685" s="320">
        <f>IFERROR(__xludf.DUMMYFUNCTION("""COMPUTED_VALUE"""),62.7599)</f>
        <v>62.7599</v>
      </c>
      <c r="AB685" s="320">
        <f>IFERROR(__xludf.DUMMYFUNCTION("""COMPUTED_VALUE"""),0.8255)</f>
        <v>0.8255</v>
      </c>
      <c r="AC685" s="320">
        <f>IFERROR(__xludf.DUMMYFUNCTION("""COMPUTED_VALUE"""),92.17)</f>
        <v>92.17</v>
      </c>
      <c r="AD685" s="320">
        <f>IFERROR(__xludf.DUMMYFUNCTION("""COMPUTED_VALUE"""),37.0)</f>
        <v>37</v>
      </c>
      <c r="AE685" s="320">
        <f>IFERROR(__xludf.DUMMYFUNCTION("""COMPUTED_VALUE"""),81.0)</f>
        <v>81</v>
      </c>
      <c r="AF685" s="320">
        <f>IFERROR(__xludf.DUMMYFUNCTION("""COMPUTED_VALUE"""),129.0)</f>
        <v>129</v>
      </c>
      <c r="AG685" s="320">
        <f>IFERROR(__xludf.DUMMYFUNCTION("""COMPUTED_VALUE"""),181.0)</f>
        <v>181</v>
      </c>
      <c r="AH685" s="320">
        <f>IFERROR(__xludf.DUMMYFUNCTION("""COMPUTED_VALUE"""),50.52)</f>
        <v>50.52</v>
      </c>
      <c r="AI685" s="320">
        <f>IFERROR(__xludf.DUMMYFUNCTION("""COMPUTED_VALUE"""),12.2)</f>
        <v>12.2</v>
      </c>
      <c r="AJ685" s="320">
        <f>IFERROR(__xludf.DUMMYFUNCTION("""COMPUTED_VALUE"""),1.39)</f>
        <v>1.39</v>
      </c>
      <c r="AK685" s="320">
        <f>IFERROR(__xludf.DUMMYFUNCTION("""COMPUTED_VALUE"""),0.1254)</f>
        <v>0.1254</v>
      </c>
      <c r="AL685" s="320">
        <f>IFERROR(__xludf.DUMMYFUNCTION("""COMPUTED_VALUE"""),24.02)</f>
        <v>24.02</v>
      </c>
      <c r="AM685" s="320">
        <f>IFERROR(__xludf.DUMMYFUNCTION("""COMPUTED_VALUE"""),1138.57)</f>
        <v>1138.57</v>
      </c>
      <c r="AN685" s="320">
        <f>IFERROR(__xludf.DUMMYFUNCTION("""COMPUTED_VALUE"""),71.38)</f>
        <v>71.38</v>
      </c>
      <c r="AO685" s="320">
        <f>IFERROR(__xludf.DUMMYFUNCTION("""COMPUTED_VALUE"""),17.15)</f>
        <v>17.15</v>
      </c>
    </row>
    <row r="686" ht="15.0" customHeight="1">
      <c r="A686" s="328">
        <f>IFERROR(__xludf.DUMMYFUNCTION("""COMPUTED_VALUE"""),46164.0)</f>
        <v>46164</v>
      </c>
      <c r="B686" s="319" t="str">
        <f>IFERROR(__xludf.DUMMYFUNCTION("""COMPUTED_VALUE"""),"A. 0")</f>
        <v>A. 0</v>
      </c>
      <c r="C686" s="320">
        <f>IFERROR(__xludf.DUMMYFUNCTION("""COMPUTED_VALUE"""),14754.0)</f>
        <v>14754</v>
      </c>
      <c r="D686" s="320">
        <f>IFERROR(__xludf.DUMMYFUNCTION("""COMPUTED_VALUE"""),21.31)</f>
        <v>21.31</v>
      </c>
      <c r="E686" s="320">
        <f>IFERROR(__xludf.DUMMYFUNCTION("""COMPUTED_VALUE"""),256.42)</f>
        <v>256.42</v>
      </c>
      <c r="F686" s="320">
        <f>IFERROR(__xludf.DUMMYFUNCTION("""COMPUTED_VALUE"""),0.0174)</f>
        <v>0.0174</v>
      </c>
      <c r="G686" s="320">
        <f>IFERROR(__xludf.DUMMYFUNCTION("""COMPUTED_VALUE"""),0.39)</f>
        <v>0.39</v>
      </c>
      <c r="H686" s="320">
        <f>IFERROR(__xludf.DUMMYFUNCTION("""COMPUTED_VALUE"""),4.421)</f>
        <v>4.421</v>
      </c>
      <c r="I686" s="320">
        <f>IFERROR(__xludf.DUMMYFUNCTION("""COMPUTED_VALUE"""),5.94)</f>
        <v>5.94</v>
      </c>
      <c r="J686" s="320">
        <f>IFERROR(__xludf.DUMMYFUNCTION("""COMPUTED_VALUE"""),2.6)</f>
        <v>2.6</v>
      </c>
      <c r="K686" s="320">
        <f>IFERROR(__xludf.DUMMYFUNCTION("""COMPUTED_VALUE"""),0.08)</f>
        <v>0.08</v>
      </c>
      <c r="L686" s="320">
        <f>IFERROR(__xludf.DUMMYFUNCTION("""COMPUTED_VALUE"""),0.0321)</f>
        <v>0.0321</v>
      </c>
      <c r="M686" s="320">
        <f>IFERROR(__xludf.DUMMYFUNCTION("""COMPUTED_VALUE"""),0.971)</f>
        <v>0.971</v>
      </c>
      <c r="N686" s="320">
        <f>IFERROR(__xludf.DUMMYFUNCTION("""COMPUTED_VALUE"""),0.6771)</f>
        <v>0.6771</v>
      </c>
      <c r="O686" s="320">
        <f>IFERROR(__xludf.DUMMYFUNCTION("""COMPUTED_VALUE"""),31.1599)</f>
        <v>31.1599</v>
      </c>
      <c r="P686" s="320">
        <f>IFERROR(__xludf.DUMMYFUNCTION("""COMPUTED_VALUE"""),29.85)</f>
        <v>29.85</v>
      </c>
      <c r="Q686" s="320">
        <f>IFERROR(__xludf.DUMMYFUNCTION("""COMPUTED_VALUE"""),29.78)</f>
        <v>29.78</v>
      </c>
      <c r="R686" s="320">
        <f>IFERROR(__xludf.DUMMYFUNCTION("""COMPUTED_VALUE"""),0.07)</f>
        <v>0.07</v>
      </c>
      <c r="S686" s="320">
        <f>IFERROR(__xludf.DUMMYFUNCTION("""COMPUTED_VALUE"""),1.4)</f>
        <v>1.4</v>
      </c>
      <c r="T686" s="320">
        <f>IFERROR(__xludf.DUMMYFUNCTION("""COMPUTED_VALUE"""),28.45)</f>
        <v>28.45</v>
      </c>
      <c r="U686" s="320">
        <f>IFERROR(__xludf.DUMMYFUNCTION("""COMPUTED_VALUE"""),2.58)</f>
        <v>2.58</v>
      </c>
      <c r="V686" s="320">
        <f>IFERROR(__xludf.DUMMYFUNCTION("""COMPUTED_VALUE"""),0.9912)</f>
        <v>0.9912</v>
      </c>
      <c r="W686" s="320">
        <f>IFERROR(__xludf.DUMMYFUNCTION("""COMPUTED_VALUE"""),4.68)</f>
        <v>4.68</v>
      </c>
      <c r="X686" s="320">
        <f>IFERROR(__xludf.DUMMYFUNCTION("""COMPUTED_VALUE"""),163.0)</f>
        <v>163</v>
      </c>
      <c r="Y686" s="320">
        <f>IFERROR(__xludf.DUMMYFUNCTION("""COMPUTED_VALUE"""),1241.0)</f>
        <v>1241</v>
      </c>
      <c r="Z686" s="320">
        <f>IFERROR(__xludf.DUMMYFUNCTION("""COMPUTED_VALUE"""),7725.0)</f>
        <v>7725</v>
      </c>
      <c r="AA686" s="320">
        <f>IFERROR(__xludf.DUMMYFUNCTION("""COMPUTED_VALUE"""),49.5888)</f>
        <v>49.5888</v>
      </c>
      <c r="AB686" s="320">
        <f>IFERROR(__xludf.DUMMYFUNCTION("""COMPUTED_VALUE"""),0.5072)</f>
        <v>0.5072</v>
      </c>
      <c r="AC686" s="106"/>
      <c r="AD686" s="106"/>
      <c r="AE686" s="106"/>
      <c r="AF686" s="106"/>
      <c r="AG686" s="106"/>
      <c r="AH686" s="320">
        <f>IFERROR(__xludf.DUMMYFUNCTION("""COMPUTED_VALUE"""),0.0)</f>
        <v>0</v>
      </c>
      <c r="AI686" s="320">
        <f>IFERROR(__xludf.DUMMYFUNCTION("""COMPUTED_VALUE"""),0.0)</f>
        <v>0</v>
      </c>
      <c r="AJ686" s="320">
        <f>IFERROR(__xludf.DUMMYFUNCTION("""COMPUTED_VALUE"""),0.0)</f>
        <v>0</v>
      </c>
      <c r="AK686" s="320">
        <f>IFERROR(__xludf.DUMMYFUNCTION("""COMPUTED_VALUE"""),0.302)</f>
        <v>0.302</v>
      </c>
      <c r="AL686" s="320">
        <f>IFERROR(__xludf.DUMMYFUNCTION("""COMPUTED_VALUE"""),16.11)</f>
        <v>16.11</v>
      </c>
      <c r="AM686" s="320">
        <f>IFERROR(__xludf.DUMMYFUNCTION("""COMPUTED_VALUE"""),13.67)</f>
        <v>13.67</v>
      </c>
      <c r="AN686" s="331"/>
      <c r="AO686" s="331"/>
    </row>
    <row r="687" ht="15.0" customHeight="1">
      <c r="A687" s="328">
        <f>IFERROR(__xludf.DUMMYFUNCTION("""COMPUTED_VALUE"""),46164.0)</f>
        <v>46164</v>
      </c>
      <c r="B687" s="319" t="str">
        <f>IFERROR(__xludf.DUMMYFUNCTION("""COMPUTED_VALUE"""),"B. 1-9")</f>
        <v>B. 1-9</v>
      </c>
      <c r="C687" s="320">
        <f>IFERROR(__xludf.DUMMYFUNCTION("""COMPUTED_VALUE"""),30836.0)</f>
        <v>30836</v>
      </c>
      <c r="D687" s="320">
        <f>IFERROR(__xludf.DUMMYFUNCTION("""COMPUTED_VALUE"""),44.54)</f>
        <v>44.54</v>
      </c>
      <c r="E687" s="320">
        <f>IFERROR(__xludf.DUMMYFUNCTION("""COMPUTED_VALUE"""),7884.77)</f>
        <v>7884.77</v>
      </c>
      <c r="F687" s="320">
        <f>IFERROR(__xludf.DUMMYFUNCTION("""COMPUTED_VALUE"""),0.2557)</f>
        <v>0.2557</v>
      </c>
      <c r="G687" s="320">
        <f>IFERROR(__xludf.DUMMYFUNCTION("""COMPUTED_VALUE"""),7.06)</f>
        <v>7.06</v>
      </c>
      <c r="H687" s="320">
        <f>IFERROR(__xludf.DUMMYFUNCTION("""COMPUTED_VALUE"""),3.6219)</f>
        <v>3.6219</v>
      </c>
      <c r="I687" s="320">
        <f>IFERROR(__xludf.DUMMYFUNCTION("""COMPUTED_VALUE"""),34.42)</f>
        <v>34.42</v>
      </c>
      <c r="J687" s="320">
        <f>IFERROR(__xludf.DUMMYFUNCTION("""COMPUTED_VALUE"""),18.32)</f>
        <v>18.32</v>
      </c>
      <c r="K687" s="320">
        <f>IFERROR(__xludf.DUMMYFUNCTION("""COMPUTED_VALUE"""),5.68)</f>
        <v>5.68</v>
      </c>
      <c r="L687" s="320">
        <f>IFERROR(__xludf.DUMMYFUNCTION("""COMPUTED_VALUE"""),0.3099)</f>
        <v>0.3099</v>
      </c>
      <c r="M687" s="320">
        <f>IFERROR(__xludf.DUMMYFUNCTION("""COMPUTED_VALUE"""),0.7588)</f>
        <v>0.7588</v>
      </c>
      <c r="N687" s="320">
        <f>IFERROR(__xludf.DUMMYFUNCTION("""COMPUTED_VALUE"""),0.5007)</f>
        <v>0.5007</v>
      </c>
      <c r="O687" s="320">
        <f>IFERROR(__xludf.DUMMYFUNCTION("""COMPUTED_VALUE"""),3.227)</f>
        <v>3.227</v>
      </c>
      <c r="P687" s="320">
        <f>IFERROR(__xludf.DUMMYFUNCTION("""COMPUTED_VALUE"""),90.11)</f>
        <v>90.11</v>
      </c>
      <c r="Q687" s="320">
        <f>IFERROR(__xludf.DUMMYFUNCTION("""COMPUTED_VALUE"""),80.54)</f>
        <v>80.54</v>
      </c>
      <c r="R687" s="320">
        <f>IFERROR(__xludf.DUMMYFUNCTION("""COMPUTED_VALUE"""),9.57)</f>
        <v>9.57</v>
      </c>
      <c r="S687" s="320">
        <f>IFERROR(__xludf.DUMMYFUNCTION("""COMPUTED_VALUE"""),18.25)</f>
        <v>18.25</v>
      </c>
      <c r="T687" s="320">
        <f>IFERROR(__xludf.DUMMYFUNCTION("""COMPUTED_VALUE"""),71.86)</f>
        <v>71.86</v>
      </c>
      <c r="U687" s="320">
        <f>IFERROR(__xludf.DUMMYFUNCTION("""COMPUTED_VALUE"""),82.75)</f>
        <v>82.75</v>
      </c>
      <c r="V687" s="320">
        <f>IFERROR(__xludf.DUMMYFUNCTION("""COMPUTED_VALUE"""),4.5177)</f>
        <v>4.5177</v>
      </c>
      <c r="W687" s="320">
        <f>IFERROR(__xludf.DUMMYFUNCTION("""COMPUTED_VALUE"""),20.25)</f>
        <v>20.25</v>
      </c>
      <c r="X687" s="320">
        <f>IFERROR(__xludf.DUMMYFUNCTION("""COMPUTED_VALUE"""),88.0)</f>
        <v>88</v>
      </c>
      <c r="Y687" s="320">
        <f>IFERROR(__xludf.DUMMYFUNCTION("""COMPUTED_VALUE"""),212.0)</f>
        <v>212</v>
      </c>
      <c r="Z687" s="320">
        <f>IFERROR(__xludf.DUMMYFUNCTION("""COMPUTED_VALUE"""),860.0)</f>
        <v>860</v>
      </c>
      <c r="AA687" s="320">
        <f>IFERROR(__xludf.DUMMYFUNCTION("""COMPUTED_VALUE"""),49.3903)</f>
        <v>49.3903</v>
      </c>
      <c r="AB687" s="320">
        <f>IFERROR(__xludf.DUMMYFUNCTION("""COMPUTED_VALUE"""),0.4347)</f>
        <v>0.4347</v>
      </c>
      <c r="AC687" s="320">
        <f>IFERROR(__xludf.DUMMYFUNCTION("""COMPUTED_VALUE"""),3.68)</f>
        <v>3.68</v>
      </c>
      <c r="AD687" s="320">
        <f>IFERROR(__xludf.DUMMYFUNCTION("""COMPUTED_VALUE"""),1.0)</f>
        <v>1</v>
      </c>
      <c r="AE687" s="320">
        <f>IFERROR(__xludf.DUMMYFUNCTION("""COMPUTED_VALUE"""),2.0)</f>
        <v>2</v>
      </c>
      <c r="AF687" s="320">
        <f>IFERROR(__xludf.DUMMYFUNCTION("""COMPUTED_VALUE"""),5.0)</f>
        <v>5</v>
      </c>
      <c r="AG687" s="320">
        <f>IFERROR(__xludf.DUMMYFUNCTION("""COMPUTED_VALUE"""),8.0)</f>
        <v>8</v>
      </c>
      <c r="AH687" s="320">
        <f>IFERROR(__xludf.DUMMYFUNCTION("""COMPUTED_VALUE"""),67.69)</f>
        <v>67.69</v>
      </c>
      <c r="AI687" s="320">
        <f>IFERROR(__xludf.DUMMYFUNCTION("""COMPUTED_VALUE"""),26.6)</f>
        <v>26.6</v>
      </c>
      <c r="AJ687" s="320">
        <f>IFERROR(__xludf.DUMMYFUNCTION("""COMPUTED_VALUE"""),7.66)</f>
        <v>7.66</v>
      </c>
      <c r="AK687" s="320">
        <f>IFERROR(__xludf.DUMMYFUNCTION("""COMPUTED_VALUE"""),0.2354)</f>
        <v>0.2354</v>
      </c>
      <c r="AL687" s="320">
        <f>IFERROR(__xludf.DUMMYFUNCTION("""COMPUTED_VALUE"""),21.27)</f>
        <v>21.27</v>
      </c>
      <c r="AM687" s="320">
        <f>IFERROR(__xludf.DUMMYFUNCTION("""COMPUTED_VALUE"""),59.27)</f>
        <v>59.27</v>
      </c>
      <c r="AN687" s="320">
        <f>IFERROR(__xludf.DUMMYFUNCTION("""COMPUTED_VALUE"""),68.3)</f>
        <v>68.3</v>
      </c>
      <c r="AO687" s="320">
        <f>IFERROR(__xludf.DUMMYFUNCTION("""COMPUTED_VALUE"""),14.53)</f>
        <v>14.53</v>
      </c>
    </row>
    <row r="688" ht="15.0" customHeight="1">
      <c r="A688" s="328">
        <f>IFERROR(__xludf.DUMMYFUNCTION("""COMPUTED_VALUE"""),46164.0)</f>
        <v>46164</v>
      </c>
      <c r="B688" s="319" t="str">
        <f>IFERROR(__xludf.DUMMYFUNCTION("""COMPUTED_VALUE"""),"C. 10-19")</f>
        <v>C. 10-19</v>
      </c>
      <c r="C688" s="320">
        <f>IFERROR(__xludf.DUMMYFUNCTION("""COMPUTED_VALUE"""),14144.0)</f>
        <v>14144</v>
      </c>
      <c r="D688" s="320">
        <f>IFERROR(__xludf.DUMMYFUNCTION("""COMPUTED_VALUE"""),20.43)</f>
        <v>20.43</v>
      </c>
      <c r="E688" s="320">
        <f>IFERROR(__xludf.DUMMYFUNCTION("""COMPUTED_VALUE"""),15458.04)</f>
        <v>15458.04</v>
      </c>
      <c r="F688" s="320">
        <f>IFERROR(__xludf.DUMMYFUNCTION("""COMPUTED_VALUE"""),1.0929)</f>
        <v>1.0929</v>
      </c>
      <c r="G688" s="320">
        <f>IFERROR(__xludf.DUMMYFUNCTION("""COMPUTED_VALUE"""),23.03)</f>
        <v>23.03</v>
      </c>
      <c r="H688" s="320">
        <f>IFERROR(__xludf.DUMMYFUNCTION("""COMPUTED_VALUE"""),4.7461)</f>
        <v>4.7461</v>
      </c>
      <c r="I688" s="320">
        <f>IFERROR(__xludf.DUMMYFUNCTION("""COMPUTED_VALUE"""),62.21)</f>
        <v>62.21</v>
      </c>
      <c r="J688" s="320">
        <f>IFERROR(__xludf.DUMMYFUNCTION("""COMPUTED_VALUE"""),35.43)</f>
        <v>35.43</v>
      </c>
      <c r="K688" s="320">
        <f>IFERROR(__xludf.DUMMYFUNCTION("""COMPUTED_VALUE"""),14.85)</f>
        <v>14.85</v>
      </c>
      <c r="L688" s="320">
        <f>IFERROR(__xludf.DUMMYFUNCTION("""COMPUTED_VALUE"""),0.4191)</f>
        <v>0.4191</v>
      </c>
      <c r="M688" s="320">
        <f>IFERROR(__xludf.DUMMYFUNCTION("""COMPUTED_VALUE"""),0.6442)</f>
        <v>0.6442</v>
      </c>
      <c r="N688" s="320">
        <f>IFERROR(__xludf.DUMMYFUNCTION("""COMPUTED_VALUE"""),0.3604)</f>
        <v>0.3604</v>
      </c>
      <c r="O688" s="320">
        <f>IFERROR(__xludf.DUMMYFUNCTION("""COMPUTED_VALUE"""),2.3858)</f>
        <v>2.3858</v>
      </c>
      <c r="P688" s="320">
        <f>IFERROR(__xludf.DUMMYFUNCTION("""COMPUTED_VALUE"""),197.66)</f>
        <v>197.66</v>
      </c>
      <c r="Q688" s="320">
        <f>IFERROR(__xludf.DUMMYFUNCTION("""COMPUTED_VALUE"""),172.7)</f>
        <v>172.7</v>
      </c>
      <c r="R688" s="320">
        <f>IFERROR(__xludf.DUMMYFUNCTION("""COMPUTED_VALUE"""),24.95)</f>
        <v>24.95</v>
      </c>
      <c r="S688" s="320">
        <f>IFERROR(__xludf.DUMMYFUNCTION("""COMPUTED_VALUE"""),74.5)</f>
        <v>74.5</v>
      </c>
      <c r="T688" s="320">
        <f>IFERROR(__xludf.DUMMYFUNCTION("""COMPUTED_VALUE"""),123.16)</f>
        <v>123.16</v>
      </c>
      <c r="U688" s="320">
        <f>IFERROR(__xludf.DUMMYFUNCTION("""COMPUTED_VALUE"""),195.68)</f>
        <v>195.68</v>
      </c>
      <c r="V688" s="320">
        <f>IFERROR(__xludf.DUMMYFUNCTION("""COMPUTED_VALUE"""),5.5233)</f>
        <v>5.5233</v>
      </c>
      <c r="W688" s="320">
        <f>IFERROR(__xludf.DUMMYFUNCTION("""COMPUTED_VALUE"""),37.69)</f>
        <v>37.69</v>
      </c>
      <c r="X688" s="320">
        <f>IFERROR(__xludf.DUMMYFUNCTION("""COMPUTED_VALUE"""),85.0)</f>
        <v>85</v>
      </c>
      <c r="Y688" s="320">
        <f>IFERROR(__xludf.DUMMYFUNCTION("""COMPUTED_VALUE"""),197.0)</f>
        <v>197</v>
      </c>
      <c r="Z688" s="320">
        <f>IFERROR(__xludf.DUMMYFUNCTION("""COMPUTED_VALUE"""),609.0)</f>
        <v>609</v>
      </c>
      <c r="AA688" s="320">
        <f>IFERROR(__xludf.DUMMYFUNCTION("""COMPUTED_VALUE"""),52.5826)</f>
        <v>52.5826</v>
      </c>
      <c r="AB688" s="320">
        <f>IFERROR(__xludf.DUMMYFUNCTION("""COMPUTED_VALUE"""),0.5373)</f>
        <v>0.5373</v>
      </c>
      <c r="AC688" s="320">
        <f>IFERROR(__xludf.DUMMYFUNCTION("""COMPUTED_VALUE"""),9.56)</f>
        <v>9.56</v>
      </c>
      <c r="AD688" s="320">
        <f>IFERROR(__xludf.DUMMYFUNCTION("""COMPUTED_VALUE"""),3.0)</f>
        <v>3</v>
      </c>
      <c r="AE688" s="320">
        <f>IFERROR(__xludf.DUMMYFUNCTION("""COMPUTED_VALUE"""),7.0)</f>
        <v>7</v>
      </c>
      <c r="AF688" s="320">
        <f>IFERROR(__xludf.DUMMYFUNCTION("""COMPUTED_VALUE"""),13.0)</f>
        <v>13</v>
      </c>
      <c r="AG688" s="320">
        <f>IFERROR(__xludf.DUMMYFUNCTION("""COMPUTED_VALUE"""),21.0)</f>
        <v>21</v>
      </c>
      <c r="AH688" s="320">
        <f>IFERROR(__xludf.DUMMYFUNCTION("""COMPUTED_VALUE"""),56.72)</f>
        <v>56.72</v>
      </c>
      <c r="AI688" s="320">
        <f>IFERROR(__xludf.DUMMYFUNCTION("""COMPUTED_VALUE"""),27.2)</f>
        <v>27.2</v>
      </c>
      <c r="AJ688" s="320">
        <f>IFERROR(__xludf.DUMMYFUNCTION("""COMPUTED_VALUE"""),6.2)</f>
        <v>6.2</v>
      </c>
      <c r="AK688" s="320">
        <f>IFERROR(__xludf.DUMMYFUNCTION("""COMPUTED_VALUE"""),0.2116)</f>
        <v>0.2116</v>
      </c>
      <c r="AL688" s="320">
        <f>IFERROR(__xludf.DUMMYFUNCTION("""COMPUTED_VALUE"""),22.27)</f>
        <v>22.27</v>
      </c>
      <c r="AM688" s="320">
        <f>IFERROR(__xludf.DUMMYFUNCTION("""COMPUTED_VALUE"""),150.43)</f>
        <v>150.43</v>
      </c>
      <c r="AN688" s="320">
        <f>IFERROR(__xludf.DUMMYFUNCTION("""COMPUTED_VALUE"""),74.14)</f>
        <v>74.14</v>
      </c>
      <c r="AO688" s="320">
        <f>IFERROR(__xludf.DUMMYFUNCTION("""COMPUTED_VALUE"""),16.51)</f>
        <v>16.51</v>
      </c>
    </row>
    <row r="689" ht="15.0" customHeight="1">
      <c r="A689" s="328">
        <f>IFERROR(__xludf.DUMMYFUNCTION("""COMPUTED_VALUE"""),46164.0)</f>
        <v>46164</v>
      </c>
      <c r="B689" s="319" t="str">
        <f>IFERROR(__xludf.DUMMYFUNCTION("""COMPUTED_VALUE"""),"D. 20-39")</f>
        <v>D. 20-39</v>
      </c>
      <c r="C689" s="320">
        <f>IFERROR(__xludf.DUMMYFUNCTION("""COMPUTED_VALUE"""),6674.0)</f>
        <v>6674</v>
      </c>
      <c r="D689" s="320">
        <f>IFERROR(__xludf.DUMMYFUNCTION("""COMPUTED_VALUE"""),9.64)</f>
        <v>9.64</v>
      </c>
      <c r="E689" s="320">
        <f>IFERROR(__xludf.DUMMYFUNCTION("""COMPUTED_VALUE"""),18200.46)</f>
        <v>18200.46</v>
      </c>
      <c r="F689" s="320">
        <f>IFERROR(__xludf.DUMMYFUNCTION("""COMPUTED_VALUE"""),2.7271)</f>
        <v>2.7271</v>
      </c>
      <c r="G689" s="320">
        <f>IFERROR(__xludf.DUMMYFUNCTION("""COMPUTED_VALUE"""),35.57)</f>
        <v>35.57</v>
      </c>
      <c r="H689" s="320">
        <f>IFERROR(__xludf.DUMMYFUNCTION("""COMPUTED_VALUE"""),7.6666)</f>
        <v>7.6666</v>
      </c>
      <c r="I689" s="320">
        <f>IFERROR(__xludf.DUMMYFUNCTION("""COMPUTED_VALUE"""),83.45)</f>
        <v>83.45</v>
      </c>
      <c r="J689" s="320">
        <f>IFERROR(__xludf.DUMMYFUNCTION("""COMPUTED_VALUE"""),49.19)</f>
        <v>49.19</v>
      </c>
      <c r="K689" s="320">
        <f>IFERROR(__xludf.DUMMYFUNCTION("""COMPUTED_VALUE"""),27.22)</f>
        <v>27.22</v>
      </c>
      <c r="L689" s="320">
        <f>IFERROR(__xludf.DUMMYFUNCTION("""COMPUTED_VALUE"""),0.5533)</f>
        <v>0.5533</v>
      </c>
      <c r="M689" s="320">
        <f>IFERROR(__xludf.DUMMYFUNCTION("""COMPUTED_VALUE"""),0.5209)</f>
        <v>0.5209</v>
      </c>
      <c r="N689" s="320">
        <f>IFERROR(__xludf.DUMMYFUNCTION("""COMPUTED_VALUE"""),0.2793)</f>
        <v>0.2793</v>
      </c>
      <c r="O689" s="320">
        <f>IFERROR(__xludf.DUMMYFUNCTION("""COMPUTED_VALUE"""),1.8072)</f>
        <v>1.8072</v>
      </c>
      <c r="P689" s="320">
        <f>IFERROR(__xludf.DUMMYFUNCTION("""COMPUTED_VALUE"""),357.41)</f>
        <v>357.41</v>
      </c>
      <c r="Q689" s="320">
        <f>IFERROR(__xludf.DUMMYFUNCTION("""COMPUTED_VALUE"""),310.85)</f>
        <v>310.85</v>
      </c>
      <c r="R689" s="320">
        <f>IFERROR(__xludf.DUMMYFUNCTION("""COMPUTED_VALUE"""),46.56)</f>
        <v>46.56</v>
      </c>
      <c r="S689" s="320">
        <f>IFERROR(__xludf.DUMMYFUNCTION("""COMPUTED_VALUE"""),173.35)</f>
        <v>173.35</v>
      </c>
      <c r="T689" s="320">
        <f>IFERROR(__xludf.DUMMYFUNCTION("""COMPUTED_VALUE"""),184.06)</f>
        <v>184.06</v>
      </c>
      <c r="U689" s="320">
        <f>IFERROR(__xludf.DUMMYFUNCTION("""COMPUTED_VALUE"""),361.55)</f>
        <v>361.55</v>
      </c>
      <c r="V689" s="320">
        <f>IFERROR(__xludf.DUMMYFUNCTION("""COMPUTED_VALUE"""),7.3507)</f>
        <v>7.3507</v>
      </c>
      <c r="W689" s="320">
        <f>IFERROR(__xludf.DUMMYFUNCTION("""COMPUTED_VALUE"""),48.5)</f>
        <v>48.5</v>
      </c>
      <c r="X689" s="320">
        <f>IFERROR(__xludf.DUMMYFUNCTION("""COMPUTED_VALUE"""),91.0)</f>
        <v>91</v>
      </c>
      <c r="Y689" s="320">
        <f>IFERROR(__xludf.DUMMYFUNCTION("""COMPUTED_VALUE"""),235.0)</f>
        <v>235</v>
      </c>
      <c r="Z689" s="320">
        <f>IFERROR(__xludf.DUMMYFUNCTION("""COMPUTED_VALUE"""),720.0)</f>
        <v>720</v>
      </c>
      <c r="AA689" s="320">
        <f>IFERROR(__xludf.DUMMYFUNCTION("""COMPUTED_VALUE"""),55.1786)</f>
        <v>55.1786</v>
      </c>
      <c r="AB689" s="320">
        <f>IFERROR(__xludf.DUMMYFUNCTION("""COMPUTED_VALUE"""),0.6701)</f>
        <v>0.6701</v>
      </c>
      <c r="AC689" s="320">
        <f>IFERROR(__xludf.DUMMYFUNCTION("""COMPUTED_VALUE"""),18.63)</f>
        <v>18.63</v>
      </c>
      <c r="AD689" s="320">
        <f>IFERROR(__xludf.DUMMYFUNCTION("""COMPUTED_VALUE"""),6.0)</f>
        <v>6</v>
      </c>
      <c r="AE689" s="320">
        <f>IFERROR(__xludf.DUMMYFUNCTION("""COMPUTED_VALUE"""),14.0)</f>
        <v>14</v>
      </c>
      <c r="AF689" s="320">
        <f>IFERROR(__xludf.DUMMYFUNCTION("""COMPUTED_VALUE"""),27.0)</f>
        <v>27</v>
      </c>
      <c r="AG689" s="320">
        <f>IFERROR(__xludf.DUMMYFUNCTION("""COMPUTED_VALUE"""),39.0)</f>
        <v>39</v>
      </c>
      <c r="AH689" s="320">
        <f>IFERROR(__xludf.DUMMYFUNCTION("""COMPUTED_VALUE"""),59.05)</f>
        <v>59.05</v>
      </c>
      <c r="AI689" s="320">
        <f>IFERROR(__xludf.DUMMYFUNCTION("""COMPUTED_VALUE"""),26.72)</f>
        <v>26.72</v>
      </c>
      <c r="AJ689" s="320">
        <f>IFERROR(__xludf.DUMMYFUNCTION("""COMPUTED_VALUE"""),9.05)</f>
        <v>9.05</v>
      </c>
      <c r="AK689" s="320">
        <f>IFERROR(__xludf.DUMMYFUNCTION("""COMPUTED_VALUE"""),0.2303)</f>
        <v>0.2303</v>
      </c>
      <c r="AL689" s="320">
        <f>IFERROR(__xludf.DUMMYFUNCTION("""COMPUTED_VALUE"""),21.29)</f>
        <v>21.29</v>
      </c>
      <c r="AM689" s="320">
        <f>IFERROR(__xludf.DUMMYFUNCTION("""COMPUTED_VALUE"""),289.56)</f>
        <v>289.56</v>
      </c>
      <c r="AN689" s="320">
        <f>IFERROR(__xludf.DUMMYFUNCTION("""COMPUTED_VALUE"""),73.47)</f>
        <v>73.47</v>
      </c>
      <c r="AO689" s="320">
        <f>IFERROR(__xludf.DUMMYFUNCTION("""COMPUTED_VALUE"""),15.64)</f>
        <v>15.64</v>
      </c>
    </row>
    <row r="690" ht="15.0" customHeight="1">
      <c r="A690" s="328">
        <f>IFERROR(__xludf.DUMMYFUNCTION("""COMPUTED_VALUE"""),46164.0)</f>
        <v>46164</v>
      </c>
      <c r="B690" s="319" t="str">
        <f>IFERROR(__xludf.DUMMYFUNCTION("""COMPUTED_VALUE"""),"E. 40-99")</f>
        <v>E. 40-99</v>
      </c>
      <c r="C690" s="320">
        <f>IFERROR(__xludf.DUMMYFUNCTION("""COMPUTED_VALUE"""),2550.0)</f>
        <v>2550</v>
      </c>
      <c r="D690" s="320">
        <f>IFERROR(__xludf.DUMMYFUNCTION("""COMPUTED_VALUE"""),3.68)</f>
        <v>3.68</v>
      </c>
      <c r="E690" s="320">
        <f>IFERROR(__xludf.DUMMYFUNCTION("""COMPUTED_VALUE"""),15403.93)</f>
        <v>15403.93</v>
      </c>
      <c r="F690" s="320">
        <f>IFERROR(__xludf.DUMMYFUNCTION("""COMPUTED_VALUE"""),6.0408)</f>
        <v>6.0408</v>
      </c>
      <c r="G690" s="320">
        <f>IFERROR(__xludf.DUMMYFUNCTION("""COMPUTED_VALUE"""),44.9)</f>
        <v>44.9</v>
      </c>
      <c r="H690" s="320">
        <f>IFERROR(__xludf.DUMMYFUNCTION("""COMPUTED_VALUE"""),13.4532)</f>
        <v>13.4532</v>
      </c>
      <c r="I690" s="320">
        <f>IFERROR(__xludf.DUMMYFUNCTION("""COMPUTED_VALUE"""),130.0)</f>
        <v>130</v>
      </c>
      <c r="J690" s="320">
        <f>IFERROR(__xludf.DUMMYFUNCTION("""COMPUTED_VALUE"""),79.84)</f>
        <v>79.84</v>
      </c>
      <c r="K690" s="320">
        <f>IFERROR(__xludf.DUMMYFUNCTION("""COMPUTED_VALUE"""),55.24)</f>
        <v>55.24</v>
      </c>
      <c r="L690" s="320">
        <f>IFERROR(__xludf.DUMMYFUNCTION("""COMPUTED_VALUE"""),0.6919)</f>
        <v>0.6919</v>
      </c>
      <c r="M690" s="320">
        <f>IFERROR(__xludf.DUMMYFUNCTION("""COMPUTED_VALUE"""),0.3928)</f>
        <v>0.3928</v>
      </c>
      <c r="N690" s="320">
        <f>IFERROR(__xludf.DUMMYFUNCTION("""COMPUTED_VALUE"""),0.216)</f>
        <v>0.216</v>
      </c>
      <c r="O690" s="320">
        <f>IFERROR(__xludf.DUMMYFUNCTION("""COMPUTED_VALUE"""),1.4453)</f>
        <v>1.4453</v>
      </c>
      <c r="P690" s="320">
        <f>IFERROR(__xludf.DUMMYFUNCTION("""COMPUTED_VALUE"""),696.8)</f>
        <v>696.8</v>
      </c>
      <c r="Q690" s="320">
        <f>IFERROR(__xludf.DUMMYFUNCTION("""COMPUTED_VALUE"""),601.87)</f>
        <v>601.87</v>
      </c>
      <c r="R690" s="320">
        <f>IFERROR(__xludf.DUMMYFUNCTION("""COMPUTED_VALUE"""),94.93)</f>
        <v>94.93</v>
      </c>
      <c r="S690" s="320">
        <f>IFERROR(__xludf.DUMMYFUNCTION("""COMPUTED_VALUE"""),380.95)</f>
        <v>380.95</v>
      </c>
      <c r="T690" s="320">
        <f>IFERROR(__xludf.DUMMYFUNCTION("""COMPUTED_VALUE"""),315.86)</f>
        <v>315.86</v>
      </c>
      <c r="U690" s="320">
        <f>IFERROR(__xludf.DUMMYFUNCTION("""COMPUTED_VALUE"""),708.82)</f>
        <v>708.82</v>
      </c>
      <c r="V690" s="320">
        <f>IFERROR(__xludf.DUMMYFUNCTION("""COMPUTED_VALUE"""),8.8779)</f>
        <v>8.8779</v>
      </c>
      <c r="W690" s="320">
        <f>IFERROR(__xludf.DUMMYFUNCTION("""COMPUTED_VALUE"""),54.67)</f>
        <v>54.67</v>
      </c>
      <c r="X690" s="320">
        <f>IFERROR(__xludf.DUMMYFUNCTION("""COMPUTED_VALUE"""),103.0)</f>
        <v>103</v>
      </c>
      <c r="Y690" s="320">
        <f>IFERROR(__xludf.DUMMYFUNCTION("""COMPUTED_VALUE"""),350.0)</f>
        <v>350</v>
      </c>
      <c r="Z690" s="320">
        <f>IFERROR(__xludf.DUMMYFUNCTION("""COMPUTED_VALUE"""),977.0)</f>
        <v>977</v>
      </c>
      <c r="AA690" s="320">
        <f>IFERROR(__xludf.DUMMYFUNCTION("""COMPUTED_VALUE"""),58.3292)</f>
        <v>58.3292</v>
      </c>
      <c r="AB690" s="320">
        <f>IFERROR(__xludf.DUMMYFUNCTION("""COMPUTED_VALUE"""),0.7713)</f>
        <v>0.7713</v>
      </c>
      <c r="AC690" s="320">
        <f>IFERROR(__xludf.DUMMYFUNCTION("""COMPUTED_VALUE"""),38.21)</f>
        <v>38.21</v>
      </c>
      <c r="AD690" s="320">
        <f>IFERROR(__xludf.DUMMYFUNCTION("""COMPUTED_VALUE"""),13.0)</f>
        <v>13</v>
      </c>
      <c r="AE690" s="320">
        <f>IFERROR(__xludf.DUMMYFUNCTION("""COMPUTED_VALUE"""),31.0)</f>
        <v>31</v>
      </c>
      <c r="AF690" s="320">
        <f>IFERROR(__xludf.DUMMYFUNCTION("""COMPUTED_VALUE"""),55.0)</f>
        <v>55</v>
      </c>
      <c r="AG690" s="320">
        <f>IFERROR(__xludf.DUMMYFUNCTION("""COMPUTED_VALUE"""),82.0)</f>
        <v>82</v>
      </c>
      <c r="AH690" s="320">
        <f>IFERROR(__xludf.DUMMYFUNCTION("""COMPUTED_VALUE"""),53.06)</f>
        <v>53.06</v>
      </c>
      <c r="AI690" s="320">
        <f>IFERROR(__xludf.DUMMYFUNCTION("""COMPUTED_VALUE"""),21.65)</f>
        <v>21.65</v>
      </c>
      <c r="AJ690" s="320">
        <f>IFERROR(__xludf.DUMMYFUNCTION("""COMPUTED_VALUE"""),5.57)</f>
        <v>5.57</v>
      </c>
      <c r="AK690" s="320">
        <f>IFERROR(__xludf.DUMMYFUNCTION("""COMPUTED_VALUE"""),0.2102)</f>
        <v>0.2102</v>
      </c>
      <c r="AL690" s="320">
        <f>IFERROR(__xludf.DUMMYFUNCTION("""COMPUTED_VALUE"""),20.69)</f>
        <v>20.69</v>
      </c>
      <c r="AM690" s="320">
        <f>IFERROR(__xludf.DUMMYFUNCTION("""COMPUTED_VALUE"""),581.18)</f>
        <v>581.18</v>
      </c>
      <c r="AN690" s="320">
        <f>IFERROR(__xludf.DUMMYFUNCTION("""COMPUTED_VALUE"""),74.28)</f>
        <v>74.28</v>
      </c>
      <c r="AO690" s="320">
        <f>IFERROR(__xludf.DUMMYFUNCTION("""COMPUTED_VALUE"""),15.37)</f>
        <v>15.37</v>
      </c>
    </row>
    <row r="691" ht="15.0" customHeight="1">
      <c r="A691" s="328">
        <f>IFERROR(__xludf.DUMMYFUNCTION("""COMPUTED_VALUE"""),46164.0)</f>
        <v>46164</v>
      </c>
      <c r="B691" s="319" t="str">
        <f>IFERROR(__xludf.DUMMYFUNCTION("""COMPUTED_VALUE"""),"F. 100+")</f>
        <v>F. 100+</v>
      </c>
      <c r="C691" s="320">
        <f>IFERROR(__xludf.DUMMYFUNCTION("""COMPUTED_VALUE"""),269.0)</f>
        <v>269</v>
      </c>
      <c r="D691" s="320">
        <f>IFERROR(__xludf.DUMMYFUNCTION("""COMPUTED_VALUE"""),0.39)</f>
        <v>0.39</v>
      </c>
      <c r="E691" s="320">
        <f>IFERROR(__xludf.DUMMYFUNCTION("""COMPUTED_VALUE"""),2309.78)</f>
        <v>2309.78</v>
      </c>
      <c r="F691" s="320">
        <f>IFERROR(__xludf.DUMMYFUNCTION("""COMPUTED_VALUE"""),8.5865)</f>
        <v>8.5865</v>
      </c>
      <c r="G691" s="320">
        <f>IFERROR(__xludf.DUMMYFUNCTION("""COMPUTED_VALUE"""),43.12)</f>
        <v>43.12</v>
      </c>
      <c r="H691" s="320">
        <f>IFERROR(__xludf.DUMMYFUNCTION("""COMPUTED_VALUE"""),19.9119)</f>
        <v>19.9119</v>
      </c>
      <c r="I691" s="320">
        <f>IFERROR(__xludf.DUMMYFUNCTION("""COMPUTED_VALUE"""),215.8)</f>
        <v>215.8</v>
      </c>
      <c r="J691" s="320">
        <f>IFERROR(__xludf.DUMMYFUNCTION("""COMPUTED_VALUE"""),136.96)</f>
        <v>136.96</v>
      </c>
      <c r="K691" s="320">
        <f>IFERROR(__xludf.DUMMYFUNCTION("""COMPUTED_VALUE"""),113.3)</f>
        <v>113.3</v>
      </c>
      <c r="L691" s="320">
        <f>IFERROR(__xludf.DUMMYFUNCTION("""COMPUTED_VALUE"""),0.8273)</f>
        <v>0.8273</v>
      </c>
      <c r="M691" s="320">
        <f>IFERROR(__xludf.DUMMYFUNCTION("""COMPUTED_VALUE"""),0.2598)</f>
        <v>0.2598</v>
      </c>
      <c r="N691" s="320">
        <f>IFERROR(__xludf.DUMMYFUNCTION("""COMPUTED_VALUE"""),0.1603)</f>
        <v>0.1603</v>
      </c>
      <c r="O691" s="320">
        <f>IFERROR(__xludf.DUMMYFUNCTION("""COMPUTED_VALUE"""),1.2088)</f>
        <v>1.2088</v>
      </c>
      <c r="P691" s="320">
        <f>IFERROR(__xludf.DUMMYFUNCTION("""COMPUTED_VALUE"""),1117.33)</f>
        <v>1117.33</v>
      </c>
      <c r="Q691" s="320">
        <f>IFERROR(__xludf.DUMMYFUNCTION("""COMPUTED_VALUE"""),923.14)</f>
        <v>923.14</v>
      </c>
      <c r="R691" s="320">
        <f>IFERROR(__xludf.DUMMYFUNCTION("""COMPUTED_VALUE"""),194.18)</f>
        <v>194.18</v>
      </c>
      <c r="S691" s="320">
        <f>IFERROR(__xludf.DUMMYFUNCTION("""COMPUTED_VALUE"""),553.79)</f>
        <v>553.79</v>
      </c>
      <c r="T691" s="320">
        <f>IFERROR(__xludf.DUMMYFUNCTION("""COMPUTED_VALUE"""),563.54)</f>
        <v>563.54</v>
      </c>
      <c r="U691" s="320">
        <f>IFERROR(__xludf.DUMMYFUNCTION("""COMPUTED_VALUE"""),1233.46)</f>
        <v>1233.46</v>
      </c>
      <c r="V691" s="320">
        <f>IFERROR(__xludf.DUMMYFUNCTION("""COMPUTED_VALUE"""),9.0058)</f>
        <v>9.0058</v>
      </c>
      <c r="W691" s="320">
        <f>IFERROR(__xludf.DUMMYFUNCTION("""COMPUTED_VALUE"""),49.56)</f>
        <v>49.56</v>
      </c>
      <c r="X691" s="320">
        <f>IFERROR(__xludf.DUMMYFUNCTION("""COMPUTED_VALUE"""),130.0)</f>
        <v>130</v>
      </c>
      <c r="Y691" s="320">
        <f>IFERROR(__xludf.DUMMYFUNCTION("""COMPUTED_VALUE"""),480.0)</f>
        <v>480</v>
      </c>
      <c r="Z691" s="320">
        <f>IFERROR(__xludf.DUMMYFUNCTION("""COMPUTED_VALUE"""),2918.0)</f>
        <v>2918</v>
      </c>
      <c r="AA691" s="320">
        <f>IFERROR(__xludf.DUMMYFUNCTION("""COMPUTED_VALUE"""),63.6694)</f>
        <v>63.6694</v>
      </c>
      <c r="AB691" s="320">
        <f>IFERROR(__xludf.DUMMYFUNCTION("""COMPUTED_VALUE"""),0.8744)</f>
        <v>0.8744</v>
      </c>
      <c r="AC691" s="320">
        <f>IFERROR(__xludf.DUMMYFUNCTION("""COMPUTED_VALUE"""),81.54)</f>
        <v>81.54</v>
      </c>
      <c r="AD691" s="320">
        <f>IFERROR(__xludf.DUMMYFUNCTION("""COMPUTED_VALUE"""),27.0)</f>
        <v>27</v>
      </c>
      <c r="AE691" s="320">
        <f>IFERROR(__xludf.DUMMYFUNCTION("""COMPUTED_VALUE"""),67.0)</f>
        <v>67</v>
      </c>
      <c r="AF691" s="320">
        <f>IFERROR(__xludf.DUMMYFUNCTION("""COMPUTED_VALUE"""),117.0)</f>
        <v>117</v>
      </c>
      <c r="AG691" s="320">
        <f>IFERROR(__xludf.DUMMYFUNCTION("""COMPUTED_VALUE"""),181.0)</f>
        <v>181</v>
      </c>
      <c r="AH691" s="320">
        <f>IFERROR(__xludf.DUMMYFUNCTION("""COMPUTED_VALUE"""),43.49)</f>
        <v>43.49</v>
      </c>
      <c r="AI691" s="320">
        <f>IFERROR(__xludf.DUMMYFUNCTION("""COMPUTED_VALUE"""),11.15)</f>
        <v>11.15</v>
      </c>
      <c r="AJ691" s="320">
        <f>IFERROR(__xludf.DUMMYFUNCTION("""COMPUTED_VALUE"""),1.12)</f>
        <v>1.12</v>
      </c>
      <c r="AK691" s="320">
        <f>IFERROR(__xludf.DUMMYFUNCTION("""COMPUTED_VALUE"""),0.145)</f>
        <v>0.145</v>
      </c>
      <c r="AL691" s="320">
        <f>IFERROR(__xludf.DUMMYFUNCTION("""COMPUTED_VALUE"""),19.48)</f>
        <v>19.48</v>
      </c>
      <c r="AM691" s="320">
        <f>IFERROR(__xludf.DUMMYFUNCTION("""COMPUTED_VALUE"""),903.67)</f>
        <v>903.67</v>
      </c>
      <c r="AN691" s="320">
        <f>IFERROR(__xludf.DUMMYFUNCTION("""COMPUTED_VALUE"""),72.01)</f>
        <v>72.01</v>
      </c>
      <c r="AO691" s="320">
        <f>IFERROR(__xludf.DUMMYFUNCTION("""COMPUTED_VALUE"""),14.03)</f>
        <v>14.03</v>
      </c>
    </row>
    <row r="692" ht="15.0" customHeight="1">
      <c r="A692" s="328">
        <f>IFERROR(__xludf.DUMMYFUNCTION("""COMPUTED_VALUE"""),46165.0)</f>
        <v>46165</v>
      </c>
      <c r="B692" s="319" t="str">
        <f>IFERROR(__xludf.DUMMYFUNCTION("""COMPUTED_VALUE"""),"A. 0")</f>
        <v>A. 0</v>
      </c>
      <c r="C692" s="320">
        <f>IFERROR(__xludf.DUMMYFUNCTION("""COMPUTED_VALUE"""),15287.0)</f>
        <v>15287</v>
      </c>
      <c r="D692" s="320">
        <f>IFERROR(__xludf.DUMMYFUNCTION("""COMPUTED_VALUE"""),22.57)</f>
        <v>22.57</v>
      </c>
      <c r="E692" s="320">
        <f>IFERROR(__xludf.DUMMYFUNCTION("""COMPUTED_VALUE"""),93.16)</f>
        <v>93.16</v>
      </c>
      <c r="F692" s="320">
        <f>IFERROR(__xludf.DUMMYFUNCTION("""COMPUTED_VALUE"""),0.0061)</f>
        <v>0.0061</v>
      </c>
      <c r="G692" s="320">
        <f>IFERROR(__xludf.DUMMYFUNCTION("""COMPUTED_VALUE"""),0.23)</f>
        <v>0.23</v>
      </c>
      <c r="H692" s="320">
        <f>IFERROR(__xludf.DUMMYFUNCTION("""COMPUTED_VALUE"""),2.6617)</f>
        <v>2.6617</v>
      </c>
      <c r="I692" s="320">
        <f>IFERROR(__xludf.DUMMYFUNCTION("""COMPUTED_VALUE"""),6.36)</f>
        <v>6.36</v>
      </c>
      <c r="J692" s="320">
        <f>IFERROR(__xludf.DUMMYFUNCTION("""COMPUTED_VALUE"""),2.76)</f>
        <v>2.76</v>
      </c>
      <c r="K692" s="320">
        <f>IFERROR(__xludf.DUMMYFUNCTION("""COMPUTED_VALUE"""),0.03)</f>
        <v>0.03</v>
      </c>
      <c r="L692" s="320">
        <f>IFERROR(__xludf.DUMMYFUNCTION("""COMPUTED_VALUE"""),0.0113)</f>
        <v>0.0113</v>
      </c>
      <c r="M692" s="320">
        <f>IFERROR(__xludf.DUMMYFUNCTION("""COMPUTED_VALUE"""),0.9897)</f>
        <v>0.9897</v>
      </c>
      <c r="N692" s="320">
        <f>IFERROR(__xludf.DUMMYFUNCTION("""COMPUTED_VALUE"""),0.8631)</f>
        <v>0.8631</v>
      </c>
      <c r="O692" s="320">
        <f>IFERROR(__xludf.DUMMYFUNCTION("""COMPUTED_VALUE"""),88.2956)</f>
        <v>88.2956</v>
      </c>
      <c r="P692" s="320">
        <f>IFERROR(__xludf.DUMMYFUNCTION("""COMPUTED_VALUE"""),25.7)</f>
        <v>25.7</v>
      </c>
      <c r="Q692" s="320">
        <f>IFERROR(__xludf.DUMMYFUNCTION("""COMPUTED_VALUE"""),25.64)</f>
        <v>25.64</v>
      </c>
      <c r="R692" s="320">
        <f>IFERROR(__xludf.DUMMYFUNCTION("""COMPUTED_VALUE"""),0.07)</f>
        <v>0.07</v>
      </c>
      <c r="S692" s="320">
        <f>IFERROR(__xludf.DUMMYFUNCTION("""COMPUTED_VALUE"""),0.56)</f>
        <v>0.56</v>
      </c>
      <c r="T692" s="320">
        <f>IFERROR(__xludf.DUMMYFUNCTION("""COMPUTED_VALUE"""),25.14)</f>
        <v>25.14</v>
      </c>
      <c r="U692" s="320">
        <f>IFERROR(__xludf.DUMMYFUNCTION("""COMPUTED_VALUE"""),2.42)</f>
        <v>2.42</v>
      </c>
      <c r="V692" s="320">
        <f>IFERROR(__xludf.DUMMYFUNCTION("""COMPUTED_VALUE"""),0.8797)</f>
        <v>0.8797</v>
      </c>
      <c r="W692" s="320">
        <f>IFERROR(__xludf.DUMMYFUNCTION("""COMPUTED_VALUE"""),2.19)</f>
        <v>2.19</v>
      </c>
      <c r="X692" s="320">
        <f>IFERROR(__xludf.DUMMYFUNCTION("""COMPUTED_VALUE"""),146.0)</f>
        <v>146</v>
      </c>
      <c r="Y692" s="320">
        <f>IFERROR(__xludf.DUMMYFUNCTION("""COMPUTED_VALUE"""),1089.0)</f>
        <v>1089</v>
      </c>
      <c r="Z692" s="320">
        <f>IFERROR(__xludf.DUMMYFUNCTION("""COMPUTED_VALUE"""),7578.0)</f>
        <v>7578</v>
      </c>
      <c r="AA692" s="320">
        <f>IFERROR(__xludf.DUMMYFUNCTION("""COMPUTED_VALUE"""),49.4562)</f>
        <v>49.4562</v>
      </c>
      <c r="AB692" s="320">
        <f>IFERROR(__xludf.DUMMYFUNCTION("""COMPUTED_VALUE"""),0.496)</f>
        <v>0.496</v>
      </c>
      <c r="AC692" s="106"/>
      <c r="AD692" s="106"/>
      <c r="AE692" s="106"/>
      <c r="AF692" s="106"/>
      <c r="AG692" s="106"/>
      <c r="AH692" s="320">
        <f>IFERROR(__xludf.DUMMYFUNCTION("""COMPUTED_VALUE"""),0.0)</f>
        <v>0</v>
      </c>
      <c r="AI692" s="320">
        <f>IFERROR(__xludf.DUMMYFUNCTION("""COMPUTED_VALUE"""),0.0)</f>
        <v>0</v>
      </c>
      <c r="AJ692" s="320">
        <f>IFERROR(__xludf.DUMMYFUNCTION("""COMPUTED_VALUE"""),0.0)</f>
        <v>0</v>
      </c>
      <c r="AK692" s="320">
        <f>IFERROR(__xludf.DUMMYFUNCTION("""COMPUTED_VALUE"""),0.2798)</f>
        <v>0.2798</v>
      </c>
      <c r="AL692" s="320">
        <f>IFERROR(__xludf.DUMMYFUNCTION("""COMPUTED_VALUE"""),17.2)</f>
        <v>17.2</v>
      </c>
      <c r="AM692" s="320">
        <f>IFERROR(__xludf.DUMMYFUNCTION("""COMPUTED_VALUE"""),8.44)</f>
        <v>8.44</v>
      </c>
      <c r="AN692" s="331"/>
      <c r="AO692" s="331"/>
    </row>
    <row r="693" ht="15.0" customHeight="1">
      <c r="A693" s="328">
        <f>IFERROR(__xludf.DUMMYFUNCTION("""COMPUTED_VALUE"""),46165.0)</f>
        <v>46165</v>
      </c>
      <c r="B693" s="319" t="str">
        <f>IFERROR(__xludf.DUMMYFUNCTION("""COMPUTED_VALUE"""),"B. 1-9")</f>
        <v>B. 1-9</v>
      </c>
      <c r="C693" s="320">
        <f>IFERROR(__xludf.DUMMYFUNCTION("""COMPUTED_VALUE"""),29498.0)</f>
        <v>29498</v>
      </c>
      <c r="D693" s="320">
        <f>IFERROR(__xludf.DUMMYFUNCTION("""COMPUTED_VALUE"""),43.55)</f>
        <v>43.55</v>
      </c>
      <c r="E693" s="320">
        <f>IFERROR(__xludf.DUMMYFUNCTION("""COMPUTED_VALUE"""),7123.29)</f>
        <v>7123.29</v>
      </c>
      <c r="F693" s="320">
        <f>IFERROR(__xludf.DUMMYFUNCTION("""COMPUTED_VALUE"""),0.2415)</f>
        <v>0.2415</v>
      </c>
      <c r="G693" s="320">
        <f>IFERROR(__xludf.DUMMYFUNCTION("""COMPUTED_VALUE"""),7.06)</f>
        <v>7.06</v>
      </c>
      <c r="H693" s="320">
        <f>IFERROR(__xludf.DUMMYFUNCTION("""COMPUTED_VALUE"""),3.4181)</f>
        <v>3.4181</v>
      </c>
      <c r="I693" s="320">
        <f>IFERROR(__xludf.DUMMYFUNCTION("""COMPUTED_VALUE"""),31.89)</f>
        <v>31.89</v>
      </c>
      <c r="J693" s="320">
        <f>IFERROR(__xludf.DUMMYFUNCTION("""COMPUTED_VALUE"""),17.0)</f>
        <v>17</v>
      </c>
      <c r="K693" s="320">
        <f>IFERROR(__xludf.DUMMYFUNCTION("""COMPUTED_VALUE"""),5.47)</f>
        <v>5.47</v>
      </c>
      <c r="L693" s="320">
        <f>IFERROR(__xludf.DUMMYFUNCTION("""COMPUTED_VALUE"""),0.3218)</f>
        <v>0.3218</v>
      </c>
      <c r="M693" s="320">
        <f>IFERROR(__xludf.DUMMYFUNCTION("""COMPUTED_VALUE"""),0.7507)</f>
        <v>0.7507</v>
      </c>
      <c r="N693" s="320">
        <f>IFERROR(__xludf.DUMMYFUNCTION("""COMPUTED_VALUE"""),0.4988)</f>
        <v>0.4988</v>
      </c>
      <c r="O693" s="320">
        <f>IFERROR(__xludf.DUMMYFUNCTION("""COMPUTED_VALUE"""),3.1072)</f>
        <v>3.1072</v>
      </c>
      <c r="P693" s="320">
        <f>IFERROR(__xludf.DUMMYFUNCTION("""COMPUTED_VALUE"""),76.71)</f>
        <v>76.71</v>
      </c>
      <c r="Q693" s="320">
        <f>IFERROR(__xludf.DUMMYFUNCTION("""COMPUTED_VALUE"""),67.51)</f>
        <v>67.51</v>
      </c>
      <c r="R693" s="320">
        <f>IFERROR(__xludf.DUMMYFUNCTION("""COMPUTED_VALUE"""),9.2)</f>
        <v>9.2</v>
      </c>
      <c r="S693" s="320">
        <f>IFERROR(__xludf.DUMMYFUNCTION("""COMPUTED_VALUE"""),17.55)</f>
        <v>17.55</v>
      </c>
      <c r="T693" s="320">
        <f>IFERROR(__xludf.DUMMYFUNCTION("""COMPUTED_VALUE"""),59.17)</f>
        <v>59.17</v>
      </c>
      <c r="U693" s="320">
        <f>IFERROR(__xludf.DUMMYFUNCTION("""COMPUTED_VALUE"""),80.41)</f>
        <v>80.41</v>
      </c>
      <c r="V693" s="320">
        <f>IFERROR(__xludf.DUMMYFUNCTION("""COMPUTED_VALUE"""),4.7308)</f>
        <v>4.7308</v>
      </c>
      <c r="W693" s="320">
        <f>IFERROR(__xludf.DUMMYFUNCTION("""COMPUTED_VALUE"""),22.87)</f>
        <v>22.87</v>
      </c>
      <c r="X693" s="320">
        <f>IFERROR(__xludf.DUMMYFUNCTION("""COMPUTED_VALUE"""),88.0)</f>
        <v>88</v>
      </c>
      <c r="Y693" s="320">
        <f>IFERROR(__xludf.DUMMYFUNCTION("""COMPUTED_VALUE"""),213.0)</f>
        <v>213</v>
      </c>
      <c r="Z693" s="320">
        <f>IFERROR(__xludf.DUMMYFUNCTION("""COMPUTED_VALUE"""),896.0)</f>
        <v>896</v>
      </c>
      <c r="AA693" s="320">
        <f>IFERROR(__xludf.DUMMYFUNCTION("""COMPUTED_VALUE"""),49.4181)</f>
        <v>49.4181</v>
      </c>
      <c r="AB693" s="320">
        <f>IFERROR(__xludf.DUMMYFUNCTION("""COMPUTED_VALUE"""),0.4414)</f>
        <v>0.4414</v>
      </c>
      <c r="AC693" s="320">
        <f>IFERROR(__xludf.DUMMYFUNCTION("""COMPUTED_VALUE"""),3.64)</f>
        <v>3.64</v>
      </c>
      <c r="AD693" s="320">
        <f>IFERROR(__xludf.DUMMYFUNCTION("""COMPUTED_VALUE"""),1.0)</f>
        <v>1</v>
      </c>
      <c r="AE693" s="320">
        <f>IFERROR(__xludf.DUMMYFUNCTION("""COMPUTED_VALUE"""),2.0)</f>
        <v>2</v>
      </c>
      <c r="AF693" s="320">
        <f>IFERROR(__xludf.DUMMYFUNCTION("""COMPUTED_VALUE"""),5.0)</f>
        <v>5</v>
      </c>
      <c r="AG693" s="320">
        <f>IFERROR(__xludf.DUMMYFUNCTION("""COMPUTED_VALUE"""),8.0)</f>
        <v>8</v>
      </c>
      <c r="AH693" s="320">
        <f>IFERROR(__xludf.DUMMYFUNCTION("""COMPUTED_VALUE"""),67.02)</f>
        <v>67.02</v>
      </c>
      <c r="AI693" s="320">
        <f>IFERROR(__xludf.DUMMYFUNCTION("""COMPUTED_VALUE"""),25.5)</f>
        <v>25.5</v>
      </c>
      <c r="AJ693" s="320">
        <f>IFERROR(__xludf.DUMMYFUNCTION("""COMPUTED_VALUE"""),7.5)</f>
        <v>7.5</v>
      </c>
      <c r="AK693" s="320">
        <f>IFERROR(__xludf.DUMMYFUNCTION("""COMPUTED_VALUE"""),0.2174)</f>
        <v>0.2174</v>
      </c>
      <c r="AL693" s="320">
        <f>IFERROR(__xludf.DUMMYFUNCTION("""COMPUTED_VALUE"""),23.27)</f>
        <v>23.27</v>
      </c>
      <c r="AM693" s="320">
        <f>IFERROR(__xludf.DUMMYFUNCTION("""COMPUTED_VALUE"""),44.24)</f>
        <v>44.24</v>
      </c>
      <c r="AN693" s="320">
        <f>IFERROR(__xludf.DUMMYFUNCTION("""COMPUTED_VALUE"""),67.95)</f>
        <v>67.95</v>
      </c>
      <c r="AO693" s="320">
        <f>IFERROR(__xludf.DUMMYFUNCTION("""COMPUTED_VALUE"""),15.81)</f>
        <v>15.81</v>
      </c>
    </row>
    <row r="694" ht="15.0" customHeight="1">
      <c r="A694" s="328">
        <f>IFERROR(__xludf.DUMMYFUNCTION("""COMPUTED_VALUE"""),46165.0)</f>
        <v>46165</v>
      </c>
      <c r="B694" s="319" t="str">
        <f>IFERROR(__xludf.DUMMYFUNCTION("""COMPUTED_VALUE"""),"C. 10-19")</f>
        <v>C. 10-19</v>
      </c>
      <c r="C694" s="320">
        <f>IFERROR(__xludf.DUMMYFUNCTION("""COMPUTED_VALUE"""),13522.0)</f>
        <v>13522</v>
      </c>
      <c r="D694" s="320">
        <f>IFERROR(__xludf.DUMMYFUNCTION("""COMPUTED_VALUE"""),19.96)</f>
        <v>19.96</v>
      </c>
      <c r="E694" s="320">
        <f>IFERROR(__xludf.DUMMYFUNCTION("""COMPUTED_VALUE"""),13944.21)</f>
        <v>13944.21</v>
      </c>
      <c r="F694" s="320">
        <f>IFERROR(__xludf.DUMMYFUNCTION("""COMPUTED_VALUE"""),1.0312)</f>
        <v>1.0312</v>
      </c>
      <c r="G694" s="320">
        <f>IFERROR(__xludf.DUMMYFUNCTION("""COMPUTED_VALUE"""),22.72)</f>
        <v>22.72</v>
      </c>
      <c r="H694" s="320">
        <f>IFERROR(__xludf.DUMMYFUNCTION("""COMPUTED_VALUE"""),4.5391)</f>
        <v>4.5391</v>
      </c>
      <c r="I694" s="320">
        <f>IFERROR(__xludf.DUMMYFUNCTION("""COMPUTED_VALUE"""),57.81)</f>
        <v>57.81</v>
      </c>
      <c r="J694" s="320">
        <f>IFERROR(__xludf.DUMMYFUNCTION("""COMPUTED_VALUE"""),32.63)</f>
        <v>32.63</v>
      </c>
      <c r="K694" s="320">
        <f>IFERROR(__xludf.DUMMYFUNCTION("""COMPUTED_VALUE"""),14.14)</f>
        <v>14.14</v>
      </c>
      <c r="L694" s="320">
        <f>IFERROR(__xludf.DUMMYFUNCTION("""COMPUTED_VALUE"""),0.4334)</f>
        <v>0.4334</v>
      </c>
      <c r="M694" s="320">
        <f>IFERROR(__xludf.DUMMYFUNCTION("""COMPUTED_VALUE"""),0.633)</f>
        <v>0.633</v>
      </c>
      <c r="N694" s="320">
        <f>IFERROR(__xludf.DUMMYFUNCTION("""COMPUTED_VALUE"""),0.3556)</f>
        <v>0.3556</v>
      </c>
      <c r="O694" s="320">
        <f>IFERROR(__xludf.DUMMYFUNCTION("""COMPUTED_VALUE"""),2.3074)</f>
        <v>2.3074</v>
      </c>
      <c r="P694" s="320">
        <f>IFERROR(__xludf.DUMMYFUNCTION("""COMPUTED_VALUE"""),182.99)</f>
        <v>182.99</v>
      </c>
      <c r="Q694" s="320">
        <f>IFERROR(__xludf.DUMMYFUNCTION("""COMPUTED_VALUE"""),158.95)</f>
        <v>158.95</v>
      </c>
      <c r="R694" s="320">
        <f>IFERROR(__xludf.DUMMYFUNCTION("""COMPUTED_VALUE"""),24.04)</f>
        <v>24.04</v>
      </c>
      <c r="S694" s="320">
        <f>IFERROR(__xludf.DUMMYFUNCTION("""COMPUTED_VALUE"""),70.79)</f>
        <v>70.79</v>
      </c>
      <c r="T694" s="320">
        <f>IFERROR(__xludf.DUMMYFUNCTION("""COMPUTED_VALUE"""),112.21)</f>
        <v>112.21</v>
      </c>
      <c r="U694" s="320">
        <f>IFERROR(__xludf.DUMMYFUNCTION("""COMPUTED_VALUE"""),189.34)</f>
        <v>189.34</v>
      </c>
      <c r="V694" s="320">
        <f>IFERROR(__xludf.DUMMYFUNCTION("""COMPUTED_VALUE"""),5.802)</f>
        <v>5.802</v>
      </c>
      <c r="W694" s="320">
        <f>IFERROR(__xludf.DUMMYFUNCTION("""COMPUTED_VALUE"""),38.68)</f>
        <v>38.68</v>
      </c>
      <c r="X694" s="320">
        <f>IFERROR(__xludf.DUMMYFUNCTION("""COMPUTED_VALUE"""),85.0)</f>
        <v>85</v>
      </c>
      <c r="Y694" s="320">
        <f>IFERROR(__xludf.DUMMYFUNCTION("""COMPUTED_VALUE"""),196.0)</f>
        <v>196</v>
      </c>
      <c r="Z694" s="320">
        <f>IFERROR(__xludf.DUMMYFUNCTION("""COMPUTED_VALUE"""),654.0)</f>
        <v>654</v>
      </c>
      <c r="AA694" s="320">
        <f>IFERROR(__xludf.DUMMYFUNCTION("""COMPUTED_VALUE"""),52.6573)</f>
        <v>52.6573</v>
      </c>
      <c r="AB694" s="320">
        <f>IFERROR(__xludf.DUMMYFUNCTION("""COMPUTED_VALUE"""),0.5489)</f>
        <v>0.5489</v>
      </c>
      <c r="AC694" s="320">
        <f>IFERROR(__xludf.DUMMYFUNCTION("""COMPUTED_VALUE"""),9.46)</f>
        <v>9.46</v>
      </c>
      <c r="AD694" s="320">
        <f>IFERROR(__xludf.DUMMYFUNCTION("""COMPUTED_VALUE"""),3.0)</f>
        <v>3</v>
      </c>
      <c r="AE694" s="320">
        <f>IFERROR(__xludf.DUMMYFUNCTION("""COMPUTED_VALUE"""),7.0)</f>
        <v>7</v>
      </c>
      <c r="AF694" s="320">
        <f>IFERROR(__xludf.DUMMYFUNCTION("""COMPUTED_VALUE"""),13.0)</f>
        <v>13</v>
      </c>
      <c r="AG694" s="320">
        <f>IFERROR(__xludf.DUMMYFUNCTION("""COMPUTED_VALUE"""),21.0)</f>
        <v>21</v>
      </c>
      <c r="AH694" s="320">
        <f>IFERROR(__xludf.DUMMYFUNCTION("""COMPUTED_VALUE"""),56.13)</f>
        <v>56.13</v>
      </c>
      <c r="AI694" s="320">
        <f>IFERROR(__xludf.DUMMYFUNCTION("""COMPUTED_VALUE"""),27.03)</f>
        <v>27.03</v>
      </c>
      <c r="AJ694" s="320">
        <f>IFERROR(__xludf.DUMMYFUNCTION("""COMPUTED_VALUE"""),6.09)</f>
        <v>6.09</v>
      </c>
      <c r="AK694" s="320">
        <f>IFERROR(__xludf.DUMMYFUNCTION("""COMPUTED_VALUE"""),0.1964)</f>
        <v>0.1964</v>
      </c>
      <c r="AL694" s="320">
        <f>IFERROR(__xludf.DUMMYFUNCTION("""COMPUTED_VALUE"""),24.12)</f>
        <v>24.12</v>
      </c>
      <c r="AM694" s="320">
        <f>IFERROR(__xludf.DUMMYFUNCTION("""COMPUTED_VALUE"""),134.83)</f>
        <v>134.83</v>
      </c>
      <c r="AN694" s="320">
        <f>IFERROR(__xludf.DUMMYFUNCTION("""COMPUTED_VALUE"""),74.01)</f>
        <v>74.01</v>
      </c>
      <c r="AO694" s="320">
        <f>IFERROR(__xludf.DUMMYFUNCTION("""COMPUTED_VALUE"""),17.85)</f>
        <v>17.85</v>
      </c>
    </row>
    <row r="695" ht="15.0" customHeight="1">
      <c r="A695" s="328">
        <f>IFERROR(__xludf.DUMMYFUNCTION("""COMPUTED_VALUE"""),46165.0)</f>
        <v>46165</v>
      </c>
      <c r="B695" s="319" t="str">
        <f>IFERROR(__xludf.DUMMYFUNCTION("""COMPUTED_VALUE"""),"D. 20-39")</f>
        <v>D. 20-39</v>
      </c>
      <c r="C695" s="320">
        <f>IFERROR(__xludf.DUMMYFUNCTION("""COMPUTED_VALUE"""),6666.0)</f>
        <v>6666</v>
      </c>
      <c r="D695" s="320">
        <f>IFERROR(__xludf.DUMMYFUNCTION("""COMPUTED_VALUE"""),9.84)</f>
        <v>9.84</v>
      </c>
      <c r="E695" s="320">
        <f>IFERROR(__xludf.DUMMYFUNCTION("""COMPUTED_VALUE"""),17779.87)</f>
        <v>17779.87</v>
      </c>
      <c r="F695" s="320">
        <f>IFERROR(__xludf.DUMMYFUNCTION("""COMPUTED_VALUE"""),2.6672)</f>
        <v>2.6672</v>
      </c>
      <c r="G695" s="320">
        <f>IFERROR(__xludf.DUMMYFUNCTION("""COMPUTED_VALUE"""),35.22)</f>
        <v>35.22</v>
      </c>
      <c r="H695" s="320">
        <f>IFERROR(__xludf.DUMMYFUNCTION("""COMPUTED_VALUE"""),7.5723)</f>
        <v>7.5723</v>
      </c>
      <c r="I695" s="320">
        <f>IFERROR(__xludf.DUMMYFUNCTION("""COMPUTED_VALUE"""),79.48)</f>
        <v>79.48</v>
      </c>
      <c r="J695" s="320">
        <f>IFERROR(__xludf.DUMMYFUNCTION("""COMPUTED_VALUE"""),46.72)</f>
        <v>46.72</v>
      </c>
      <c r="K695" s="320">
        <f>IFERROR(__xludf.DUMMYFUNCTION("""COMPUTED_VALUE"""),26.76)</f>
        <v>26.76</v>
      </c>
      <c r="L695" s="320">
        <f>IFERROR(__xludf.DUMMYFUNCTION("""COMPUTED_VALUE"""),0.5729)</f>
        <v>0.5729</v>
      </c>
      <c r="M695" s="320">
        <f>IFERROR(__xludf.DUMMYFUNCTION("""COMPUTED_VALUE"""),0.5052)</f>
        <v>0.5052</v>
      </c>
      <c r="N695" s="320">
        <f>IFERROR(__xludf.DUMMYFUNCTION("""COMPUTED_VALUE"""),0.2723)</f>
        <v>0.2723</v>
      </c>
      <c r="O695" s="320">
        <f>IFERROR(__xludf.DUMMYFUNCTION("""COMPUTED_VALUE"""),1.7456)</f>
        <v>1.7456</v>
      </c>
      <c r="P695" s="320">
        <f>IFERROR(__xludf.DUMMYFUNCTION("""COMPUTED_VALUE"""),356.26)</f>
        <v>356.26</v>
      </c>
      <c r="Q695" s="320">
        <f>IFERROR(__xludf.DUMMYFUNCTION("""COMPUTED_VALUE"""),310.7)</f>
        <v>310.7</v>
      </c>
      <c r="R695" s="320">
        <f>IFERROR(__xludf.DUMMYFUNCTION("""COMPUTED_VALUE"""),45.55)</f>
        <v>45.55</v>
      </c>
      <c r="S695" s="320">
        <f>IFERROR(__xludf.DUMMYFUNCTION("""COMPUTED_VALUE"""),169.81)</f>
        <v>169.81</v>
      </c>
      <c r="T695" s="320">
        <f>IFERROR(__xludf.DUMMYFUNCTION("""COMPUTED_VALUE"""),186.45)</f>
        <v>186.45</v>
      </c>
      <c r="U695" s="320">
        <f>IFERROR(__xludf.DUMMYFUNCTION("""COMPUTED_VALUE"""),365.66)</f>
        <v>365.66</v>
      </c>
      <c r="V695" s="320">
        <f>IFERROR(__xludf.DUMMYFUNCTION("""COMPUTED_VALUE"""),7.8267)</f>
        <v>7.8267</v>
      </c>
      <c r="W695" s="320">
        <f>IFERROR(__xludf.DUMMYFUNCTION("""COMPUTED_VALUE"""),47.66)</f>
        <v>47.66</v>
      </c>
      <c r="X695" s="320">
        <f>IFERROR(__xludf.DUMMYFUNCTION("""COMPUTED_VALUE"""),91.0)</f>
        <v>91</v>
      </c>
      <c r="Y695" s="320">
        <f>IFERROR(__xludf.DUMMYFUNCTION("""COMPUTED_VALUE"""),248.0)</f>
        <v>248</v>
      </c>
      <c r="Z695" s="320">
        <f>IFERROR(__xludf.DUMMYFUNCTION("""COMPUTED_VALUE"""),695.0)</f>
        <v>695</v>
      </c>
      <c r="AA695" s="320">
        <f>IFERROR(__xludf.DUMMYFUNCTION("""COMPUTED_VALUE"""),55.1801)</f>
        <v>55.1801</v>
      </c>
      <c r="AB695" s="320">
        <f>IFERROR(__xludf.DUMMYFUNCTION("""COMPUTED_VALUE"""),0.6772)</f>
        <v>0.6772</v>
      </c>
      <c r="AC695" s="320">
        <f>IFERROR(__xludf.DUMMYFUNCTION("""COMPUTED_VALUE"""),18.57)</f>
        <v>18.57</v>
      </c>
      <c r="AD695" s="320">
        <f>IFERROR(__xludf.DUMMYFUNCTION("""COMPUTED_VALUE"""),6.0)</f>
        <v>6</v>
      </c>
      <c r="AE695" s="320">
        <f>IFERROR(__xludf.DUMMYFUNCTION("""COMPUTED_VALUE"""),14.0)</f>
        <v>14</v>
      </c>
      <c r="AF695" s="320">
        <f>IFERROR(__xludf.DUMMYFUNCTION("""COMPUTED_VALUE"""),26.0)</f>
        <v>26</v>
      </c>
      <c r="AG695" s="320">
        <f>IFERROR(__xludf.DUMMYFUNCTION("""COMPUTED_VALUE"""),40.0)</f>
        <v>40</v>
      </c>
      <c r="AH695" s="320">
        <f>IFERROR(__xludf.DUMMYFUNCTION("""COMPUTED_VALUE"""),59.02)</f>
        <v>59.02</v>
      </c>
      <c r="AI695" s="320">
        <f>IFERROR(__xludf.DUMMYFUNCTION("""COMPUTED_VALUE"""),25.85)</f>
        <v>25.85</v>
      </c>
      <c r="AJ695" s="320">
        <f>IFERROR(__xludf.DUMMYFUNCTION("""COMPUTED_VALUE"""),8.69)</f>
        <v>8.69</v>
      </c>
      <c r="AK695" s="320">
        <f>IFERROR(__xludf.DUMMYFUNCTION("""COMPUTED_VALUE"""),0.2112)</f>
        <v>0.2112</v>
      </c>
      <c r="AL695" s="320">
        <f>IFERROR(__xludf.DUMMYFUNCTION("""COMPUTED_VALUE"""),23.22)</f>
        <v>23.22</v>
      </c>
      <c r="AM695" s="320">
        <f>IFERROR(__xludf.DUMMYFUNCTION("""COMPUTED_VALUE"""),287.49)</f>
        <v>287.49</v>
      </c>
      <c r="AN695" s="320">
        <f>IFERROR(__xludf.DUMMYFUNCTION("""COMPUTED_VALUE"""),72.73)</f>
        <v>72.73</v>
      </c>
      <c r="AO695" s="320">
        <f>IFERROR(__xludf.DUMMYFUNCTION("""COMPUTED_VALUE"""),16.89)</f>
        <v>16.89</v>
      </c>
    </row>
    <row r="696" ht="15.0" customHeight="1">
      <c r="A696" s="328">
        <f>IFERROR(__xludf.DUMMYFUNCTION("""COMPUTED_VALUE"""),46165.0)</f>
        <v>46165</v>
      </c>
      <c r="B696" s="319" t="str">
        <f>IFERROR(__xludf.DUMMYFUNCTION("""COMPUTED_VALUE"""),"E. 40-99")</f>
        <v>E. 40-99</v>
      </c>
      <c r="C696" s="320">
        <f>IFERROR(__xludf.DUMMYFUNCTION("""COMPUTED_VALUE"""),2485.0)</f>
        <v>2485</v>
      </c>
      <c r="D696" s="320">
        <f>IFERROR(__xludf.DUMMYFUNCTION("""COMPUTED_VALUE"""),3.67)</f>
        <v>3.67</v>
      </c>
      <c r="E696" s="320">
        <f>IFERROR(__xludf.DUMMYFUNCTION("""COMPUTED_VALUE"""),14355.19)</f>
        <v>14355.19</v>
      </c>
      <c r="F696" s="320">
        <f>IFERROR(__xludf.DUMMYFUNCTION("""COMPUTED_VALUE"""),5.7767)</f>
        <v>5.7767</v>
      </c>
      <c r="G696" s="320">
        <f>IFERROR(__xludf.DUMMYFUNCTION("""COMPUTED_VALUE"""),44.43)</f>
        <v>44.43</v>
      </c>
      <c r="H696" s="320">
        <f>IFERROR(__xludf.DUMMYFUNCTION("""COMPUTED_VALUE"""),13.0029)</f>
        <v>13.0029</v>
      </c>
      <c r="I696" s="320">
        <f>IFERROR(__xludf.DUMMYFUNCTION("""COMPUTED_VALUE"""),120.96)</f>
        <v>120.96</v>
      </c>
      <c r="J696" s="320">
        <f>IFERROR(__xludf.DUMMYFUNCTION("""COMPUTED_VALUE"""),74.34)</f>
        <v>74.34</v>
      </c>
      <c r="K696" s="320">
        <f>IFERROR(__xludf.DUMMYFUNCTION("""COMPUTED_VALUE"""),53.54)</f>
        <v>53.54</v>
      </c>
      <c r="L696" s="320">
        <f>IFERROR(__xludf.DUMMYFUNCTION("""COMPUTED_VALUE"""),0.7202)</f>
        <v>0.7202</v>
      </c>
      <c r="M696" s="320">
        <f>IFERROR(__xludf.DUMMYFUNCTION("""COMPUTED_VALUE"""),0.37)</f>
        <v>0.37</v>
      </c>
      <c r="N696" s="320">
        <f>IFERROR(__xludf.DUMMYFUNCTION("""COMPUTED_VALUE"""),0.2094)</f>
        <v>0.2094</v>
      </c>
      <c r="O696" s="320">
        <f>IFERROR(__xludf.DUMMYFUNCTION("""COMPUTED_VALUE"""),1.3886)</f>
        <v>1.3886</v>
      </c>
      <c r="P696" s="320">
        <f>IFERROR(__xludf.DUMMYFUNCTION("""COMPUTED_VALUE"""),711.4)</f>
        <v>711.4</v>
      </c>
      <c r="Q696" s="320">
        <f>IFERROR(__xludf.DUMMYFUNCTION("""COMPUTED_VALUE"""),619.3)</f>
        <v>619.3</v>
      </c>
      <c r="R696" s="320">
        <f>IFERROR(__xludf.DUMMYFUNCTION("""COMPUTED_VALUE"""),92.09)</f>
        <v>92.09</v>
      </c>
      <c r="S696" s="320">
        <f>IFERROR(__xludf.DUMMYFUNCTION("""COMPUTED_VALUE"""),363.09)</f>
        <v>363.09</v>
      </c>
      <c r="T696" s="320">
        <f>IFERROR(__xludf.DUMMYFUNCTION("""COMPUTED_VALUE"""),348.31)</f>
        <v>348.31</v>
      </c>
      <c r="U696" s="320">
        <f>IFERROR(__xludf.DUMMYFUNCTION("""COMPUTED_VALUE"""),708.89)</f>
        <v>708.89</v>
      </c>
      <c r="V696" s="320">
        <f>IFERROR(__xludf.DUMMYFUNCTION("""COMPUTED_VALUE"""),9.5356)</f>
        <v>9.5356</v>
      </c>
      <c r="W696" s="320">
        <f>IFERROR(__xludf.DUMMYFUNCTION("""COMPUTED_VALUE"""),51.04)</f>
        <v>51.04</v>
      </c>
      <c r="X696" s="320">
        <f>IFERROR(__xludf.DUMMYFUNCTION("""COMPUTED_VALUE"""),112.0)</f>
        <v>112</v>
      </c>
      <c r="Y696" s="320">
        <f>IFERROR(__xludf.DUMMYFUNCTION("""COMPUTED_VALUE"""),357.0)</f>
        <v>357</v>
      </c>
      <c r="Z696" s="320">
        <f>IFERROR(__xludf.DUMMYFUNCTION("""COMPUTED_VALUE"""),986.0)</f>
        <v>986</v>
      </c>
      <c r="AA696" s="320">
        <f>IFERROR(__xludf.DUMMYFUNCTION("""COMPUTED_VALUE"""),58.3101)</f>
        <v>58.3101</v>
      </c>
      <c r="AB696" s="320">
        <f>IFERROR(__xludf.DUMMYFUNCTION("""COMPUTED_VALUE"""),0.7846)</f>
        <v>0.7846</v>
      </c>
      <c r="AC696" s="320">
        <f>IFERROR(__xludf.DUMMYFUNCTION("""COMPUTED_VALUE"""),38.19)</f>
        <v>38.19</v>
      </c>
      <c r="AD696" s="320">
        <f>IFERROR(__xludf.DUMMYFUNCTION("""COMPUTED_VALUE"""),13.0)</f>
        <v>13</v>
      </c>
      <c r="AE696" s="320">
        <f>IFERROR(__xludf.DUMMYFUNCTION("""COMPUTED_VALUE"""),31.0)</f>
        <v>31</v>
      </c>
      <c r="AF696" s="320">
        <f>IFERROR(__xludf.DUMMYFUNCTION("""COMPUTED_VALUE"""),55.0)</f>
        <v>55</v>
      </c>
      <c r="AG696" s="320">
        <f>IFERROR(__xludf.DUMMYFUNCTION("""COMPUTED_VALUE"""),81.0)</f>
        <v>81</v>
      </c>
      <c r="AH696" s="320">
        <f>IFERROR(__xludf.DUMMYFUNCTION("""COMPUTED_VALUE"""),53.8)</f>
        <v>53.8</v>
      </c>
      <c r="AI696" s="320">
        <f>IFERROR(__xludf.DUMMYFUNCTION("""COMPUTED_VALUE"""),20.76)</f>
        <v>20.76</v>
      </c>
      <c r="AJ696" s="320">
        <f>IFERROR(__xludf.DUMMYFUNCTION("""COMPUTED_VALUE"""),4.91)</f>
        <v>4.91</v>
      </c>
      <c r="AK696" s="320">
        <f>IFERROR(__xludf.DUMMYFUNCTION("""COMPUTED_VALUE"""),0.2032)</f>
        <v>0.2032</v>
      </c>
      <c r="AL696" s="320">
        <f>IFERROR(__xludf.DUMMYFUNCTION("""COMPUTED_VALUE"""),22.3)</f>
        <v>22.3</v>
      </c>
      <c r="AM696" s="320">
        <f>IFERROR(__xludf.DUMMYFUNCTION("""COMPUTED_VALUE"""),597.0)</f>
        <v>597</v>
      </c>
      <c r="AN696" s="320">
        <f>IFERROR(__xludf.DUMMYFUNCTION("""COMPUTED_VALUE"""),72.99)</f>
        <v>72.99</v>
      </c>
      <c r="AO696" s="320">
        <f>IFERROR(__xludf.DUMMYFUNCTION("""COMPUTED_VALUE"""),16.28)</f>
        <v>16.28</v>
      </c>
    </row>
    <row r="697" ht="15.0" customHeight="1">
      <c r="A697" s="328">
        <f>IFERROR(__xludf.DUMMYFUNCTION("""COMPUTED_VALUE"""),46165.0)</f>
        <v>46165</v>
      </c>
      <c r="B697" s="319" t="str">
        <f>IFERROR(__xludf.DUMMYFUNCTION("""COMPUTED_VALUE"""),"F. 100+")</f>
        <v>F. 100+</v>
      </c>
      <c r="C697" s="320">
        <f>IFERROR(__xludf.DUMMYFUNCTION("""COMPUTED_VALUE"""),273.0)</f>
        <v>273</v>
      </c>
      <c r="D697" s="320">
        <f>IFERROR(__xludf.DUMMYFUNCTION("""COMPUTED_VALUE"""),0.4)</f>
        <v>0.4</v>
      </c>
      <c r="E697" s="320">
        <f>IFERROR(__xludf.DUMMYFUNCTION("""COMPUTED_VALUE"""),2394.06)</f>
        <v>2394.06</v>
      </c>
      <c r="F697" s="320">
        <f>IFERROR(__xludf.DUMMYFUNCTION("""COMPUTED_VALUE"""),8.7695)</f>
        <v>8.7695</v>
      </c>
      <c r="G697" s="320">
        <f>IFERROR(__xludf.DUMMYFUNCTION("""COMPUTED_VALUE"""),50.92)</f>
        <v>50.92</v>
      </c>
      <c r="H697" s="320">
        <f>IFERROR(__xludf.DUMMYFUNCTION("""COMPUTED_VALUE"""),17.2235)</f>
        <v>17.2235</v>
      </c>
      <c r="I697" s="320">
        <f>IFERROR(__xludf.DUMMYFUNCTION("""COMPUTED_VALUE"""),220.02)</f>
        <v>220.02</v>
      </c>
      <c r="J697" s="320">
        <f>IFERROR(__xludf.DUMMYFUNCTION("""COMPUTED_VALUE"""),142.13)</f>
        <v>142.13</v>
      </c>
      <c r="K697" s="320">
        <f>IFERROR(__xludf.DUMMYFUNCTION("""COMPUTED_VALUE"""),118.56)</f>
        <v>118.56</v>
      </c>
      <c r="L697" s="320">
        <f>IFERROR(__xludf.DUMMYFUNCTION("""COMPUTED_VALUE"""),0.8342)</f>
        <v>0.8342</v>
      </c>
      <c r="M697" s="320">
        <f>IFERROR(__xludf.DUMMYFUNCTION("""COMPUTED_VALUE"""),0.2508)</f>
        <v>0.2508</v>
      </c>
      <c r="N697" s="320">
        <f>IFERROR(__xludf.DUMMYFUNCTION("""COMPUTED_VALUE"""),0.1558)</f>
        <v>0.1558</v>
      </c>
      <c r="O697" s="320">
        <f>IFERROR(__xludf.DUMMYFUNCTION("""COMPUTED_VALUE"""),1.1987)</f>
        <v>1.1987</v>
      </c>
      <c r="P697" s="320">
        <f>IFERROR(__xludf.DUMMYFUNCTION("""COMPUTED_VALUE"""),1213.01)</f>
        <v>1213.01</v>
      </c>
      <c r="Q697" s="320">
        <f>IFERROR(__xludf.DUMMYFUNCTION("""COMPUTED_VALUE"""),1004.88)</f>
        <v>1004.88</v>
      </c>
      <c r="R697" s="320">
        <f>IFERROR(__xludf.DUMMYFUNCTION("""COMPUTED_VALUE"""),208.13)</f>
        <v>208.13</v>
      </c>
      <c r="S697" s="320">
        <f>IFERROR(__xludf.DUMMYFUNCTION("""COMPUTED_VALUE"""),552.31)</f>
        <v>552.31</v>
      </c>
      <c r="T697" s="320">
        <f>IFERROR(__xludf.DUMMYFUNCTION("""COMPUTED_VALUE"""),660.71)</f>
        <v>660.71</v>
      </c>
      <c r="U697" s="320">
        <f>IFERROR(__xludf.DUMMYFUNCTION("""COMPUTED_VALUE"""),1321.61)</f>
        <v>1321.61</v>
      </c>
      <c r="V697" s="320">
        <f>IFERROR(__xludf.DUMMYFUNCTION("""COMPUTED_VALUE"""),9.2987)</f>
        <v>9.2987</v>
      </c>
      <c r="W697" s="320">
        <f>IFERROR(__xludf.DUMMYFUNCTION("""COMPUTED_VALUE"""),45.53)</f>
        <v>45.53</v>
      </c>
      <c r="X697" s="320">
        <f>IFERROR(__xludf.DUMMYFUNCTION("""COMPUTED_VALUE"""),145.0)</f>
        <v>145</v>
      </c>
      <c r="Y697" s="320">
        <f>IFERROR(__xludf.DUMMYFUNCTION("""COMPUTED_VALUE"""),633.0)</f>
        <v>633</v>
      </c>
      <c r="Z697" s="320">
        <f>IFERROR(__xludf.DUMMYFUNCTION("""COMPUTED_VALUE"""),3306.0)</f>
        <v>3306</v>
      </c>
      <c r="AA697" s="320">
        <f>IFERROR(__xludf.DUMMYFUNCTION("""COMPUTED_VALUE"""),62.9835)</f>
        <v>62.9835</v>
      </c>
      <c r="AB697" s="320">
        <f>IFERROR(__xludf.DUMMYFUNCTION("""COMPUTED_VALUE"""),0.8561)</f>
        <v>0.8561</v>
      </c>
      <c r="AC697" s="320">
        <f>IFERROR(__xludf.DUMMYFUNCTION("""COMPUTED_VALUE"""),84.61)</f>
        <v>84.61</v>
      </c>
      <c r="AD697" s="320">
        <f>IFERROR(__xludf.DUMMYFUNCTION("""COMPUTED_VALUE"""),28.0)</f>
        <v>28</v>
      </c>
      <c r="AE697" s="320">
        <f>IFERROR(__xludf.DUMMYFUNCTION("""COMPUTED_VALUE"""),71.0)</f>
        <v>71</v>
      </c>
      <c r="AF697" s="320">
        <f>IFERROR(__xludf.DUMMYFUNCTION("""COMPUTED_VALUE"""),124.0)</f>
        <v>124</v>
      </c>
      <c r="AG697" s="320">
        <f>IFERROR(__xludf.DUMMYFUNCTION("""COMPUTED_VALUE"""),174.0)</f>
        <v>174</v>
      </c>
      <c r="AH697" s="320">
        <f>IFERROR(__xludf.DUMMYFUNCTION("""COMPUTED_VALUE"""),47.62)</f>
        <v>47.62</v>
      </c>
      <c r="AI697" s="320">
        <f>IFERROR(__xludf.DUMMYFUNCTION("""COMPUTED_VALUE"""),9.52)</f>
        <v>9.52</v>
      </c>
      <c r="AJ697" s="320">
        <f>IFERROR(__xludf.DUMMYFUNCTION("""COMPUTED_VALUE"""),0.73)</f>
        <v>0.73</v>
      </c>
      <c r="AK697" s="320">
        <f>IFERROR(__xludf.DUMMYFUNCTION("""COMPUTED_VALUE"""),0.1612)</f>
        <v>0.1612</v>
      </c>
      <c r="AL697" s="320">
        <f>IFERROR(__xludf.DUMMYFUNCTION("""COMPUTED_VALUE"""),22.07)</f>
        <v>22.07</v>
      </c>
      <c r="AM697" s="320">
        <f>IFERROR(__xludf.DUMMYFUNCTION("""COMPUTED_VALUE"""),982.81)</f>
        <v>982.81</v>
      </c>
      <c r="AN697" s="320">
        <f>IFERROR(__xludf.DUMMYFUNCTION("""COMPUTED_VALUE"""),69.23)</f>
        <v>69.23</v>
      </c>
      <c r="AO697" s="320">
        <f>IFERROR(__xludf.DUMMYFUNCTION("""COMPUTED_VALUE"""),15.28)</f>
        <v>15.28</v>
      </c>
    </row>
    <row r="698" ht="15.0" customHeight="1">
      <c r="A698" s="328">
        <f>IFERROR(__xludf.DUMMYFUNCTION("""COMPUTED_VALUE"""),46166.0)</f>
        <v>46166</v>
      </c>
      <c r="B698" s="319" t="str">
        <f>IFERROR(__xludf.DUMMYFUNCTION("""COMPUTED_VALUE"""),"A. 0")</f>
        <v>A. 0</v>
      </c>
      <c r="C698" s="320">
        <f>IFERROR(__xludf.DUMMYFUNCTION("""COMPUTED_VALUE"""),15387.0)</f>
        <v>15387</v>
      </c>
      <c r="D698" s="320">
        <f>IFERROR(__xludf.DUMMYFUNCTION("""COMPUTED_VALUE"""),22.4)</f>
        <v>22.4</v>
      </c>
      <c r="E698" s="320">
        <f>IFERROR(__xludf.DUMMYFUNCTION("""COMPUTED_VALUE"""),160.14)</f>
        <v>160.14</v>
      </c>
      <c r="F698" s="320">
        <f>IFERROR(__xludf.DUMMYFUNCTION("""COMPUTED_VALUE"""),0.0104)</f>
        <v>0.0104</v>
      </c>
      <c r="G698" s="320">
        <f>IFERROR(__xludf.DUMMYFUNCTION("""COMPUTED_VALUE"""),0.21)</f>
        <v>0.21</v>
      </c>
      <c r="H698" s="320">
        <f>IFERROR(__xludf.DUMMYFUNCTION("""COMPUTED_VALUE"""),4.8527)</f>
        <v>4.8527</v>
      </c>
      <c r="I698" s="320">
        <f>IFERROR(__xludf.DUMMYFUNCTION("""COMPUTED_VALUE"""),6.61)</f>
        <v>6.61</v>
      </c>
      <c r="J698" s="320">
        <f>IFERROR(__xludf.DUMMYFUNCTION("""COMPUTED_VALUE"""),3.05)</f>
        <v>3.05</v>
      </c>
      <c r="K698" s="320">
        <f>IFERROR(__xludf.DUMMYFUNCTION("""COMPUTED_VALUE"""),0.06)</f>
        <v>0.06</v>
      </c>
      <c r="L698" s="320">
        <f>IFERROR(__xludf.DUMMYFUNCTION("""COMPUTED_VALUE"""),0.0184)</f>
        <v>0.0184</v>
      </c>
      <c r="M698" s="320">
        <f>IFERROR(__xludf.DUMMYFUNCTION("""COMPUTED_VALUE"""),0.9828)</f>
        <v>0.9828</v>
      </c>
      <c r="N698" s="320">
        <f>IFERROR(__xludf.DUMMYFUNCTION("""COMPUTED_VALUE"""),0.7603)</f>
        <v>0.7603</v>
      </c>
      <c r="O698" s="320">
        <f>IFERROR(__xludf.DUMMYFUNCTION("""COMPUTED_VALUE"""),54.338)</f>
        <v>54.338</v>
      </c>
      <c r="P698" s="320">
        <f>IFERROR(__xludf.DUMMYFUNCTION("""COMPUTED_VALUE"""),23.49)</f>
        <v>23.49</v>
      </c>
      <c r="Q698" s="320">
        <f>IFERROR(__xludf.DUMMYFUNCTION("""COMPUTED_VALUE"""),23.42)</f>
        <v>23.42</v>
      </c>
      <c r="R698" s="320">
        <f>IFERROR(__xludf.DUMMYFUNCTION("""COMPUTED_VALUE"""),0.07)</f>
        <v>0.07</v>
      </c>
      <c r="S698" s="320">
        <f>IFERROR(__xludf.DUMMYFUNCTION("""COMPUTED_VALUE"""),0.86)</f>
        <v>0.86</v>
      </c>
      <c r="T698" s="320">
        <f>IFERROR(__xludf.DUMMYFUNCTION("""COMPUTED_VALUE"""),22.63)</f>
        <v>22.63</v>
      </c>
      <c r="U698" s="320">
        <f>IFERROR(__xludf.DUMMYFUNCTION("""COMPUTED_VALUE"""),2.26)</f>
        <v>2.26</v>
      </c>
      <c r="V698" s="320">
        <f>IFERROR(__xludf.DUMMYFUNCTION("""COMPUTED_VALUE"""),0.7391)</f>
        <v>0.7391</v>
      </c>
      <c r="W698" s="320">
        <f>IFERROR(__xludf.DUMMYFUNCTION("""COMPUTED_VALUE"""),3.65)</f>
        <v>3.65</v>
      </c>
      <c r="X698" s="320">
        <f>IFERROR(__xludf.DUMMYFUNCTION("""COMPUTED_VALUE"""),139.0)</f>
        <v>139</v>
      </c>
      <c r="Y698" s="320">
        <f>IFERROR(__xludf.DUMMYFUNCTION("""COMPUTED_VALUE"""),1151.0)</f>
        <v>1151</v>
      </c>
      <c r="Z698" s="320">
        <f>IFERROR(__xludf.DUMMYFUNCTION("""COMPUTED_VALUE"""),7768.0)</f>
        <v>7768</v>
      </c>
      <c r="AA698" s="320">
        <f>IFERROR(__xludf.DUMMYFUNCTION("""COMPUTED_VALUE"""),49.6757)</f>
        <v>49.6757</v>
      </c>
      <c r="AB698" s="320">
        <f>IFERROR(__xludf.DUMMYFUNCTION("""COMPUTED_VALUE"""),0.5111)</f>
        <v>0.5111</v>
      </c>
      <c r="AC698" s="106"/>
      <c r="AD698" s="106"/>
      <c r="AE698" s="106"/>
      <c r="AF698" s="106"/>
      <c r="AG698" s="106"/>
      <c r="AH698" s="320">
        <f>IFERROR(__xludf.DUMMYFUNCTION("""COMPUTED_VALUE"""),0.0)</f>
        <v>0</v>
      </c>
      <c r="AI698" s="320">
        <f>IFERROR(__xludf.DUMMYFUNCTION("""COMPUTED_VALUE"""),0.0)</f>
        <v>0</v>
      </c>
      <c r="AJ698" s="320">
        <f>IFERROR(__xludf.DUMMYFUNCTION("""COMPUTED_VALUE"""),0.0)</f>
        <v>0</v>
      </c>
      <c r="AK698" s="320">
        <f>IFERROR(__xludf.DUMMYFUNCTION("""COMPUTED_VALUE"""),0.2747)</f>
        <v>0.2747</v>
      </c>
      <c r="AL698" s="320">
        <f>IFERROR(__xludf.DUMMYFUNCTION("""COMPUTED_VALUE"""),17.1)</f>
        <v>17.1</v>
      </c>
      <c r="AM698" s="320">
        <f>IFERROR(__xludf.DUMMYFUNCTION("""COMPUTED_VALUE"""),6.32)</f>
        <v>6.32</v>
      </c>
      <c r="AN698" s="331"/>
      <c r="AO698" s="331"/>
    </row>
    <row r="699" ht="15.0" customHeight="1">
      <c r="A699" s="328">
        <f>IFERROR(__xludf.DUMMYFUNCTION("""COMPUTED_VALUE"""),46166.0)</f>
        <v>46166</v>
      </c>
      <c r="B699" s="319" t="str">
        <f>IFERROR(__xludf.DUMMYFUNCTION("""COMPUTED_VALUE"""),"B. 1-9")</f>
        <v>B. 1-9</v>
      </c>
      <c r="C699" s="320">
        <f>IFERROR(__xludf.DUMMYFUNCTION("""COMPUTED_VALUE"""),29819.0)</f>
        <v>29819</v>
      </c>
      <c r="D699" s="320">
        <f>IFERROR(__xludf.DUMMYFUNCTION("""COMPUTED_VALUE"""),43.41)</f>
        <v>43.41</v>
      </c>
      <c r="E699" s="320">
        <f>IFERROR(__xludf.DUMMYFUNCTION("""COMPUTED_VALUE"""),7060.4)</f>
        <v>7060.4</v>
      </c>
      <c r="F699" s="320">
        <f>IFERROR(__xludf.DUMMYFUNCTION("""COMPUTED_VALUE"""),0.2368)</f>
        <v>0.2368</v>
      </c>
      <c r="G699" s="320">
        <f>IFERROR(__xludf.DUMMYFUNCTION("""COMPUTED_VALUE"""),7.08)</f>
        <v>7.08</v>
      </c>
      <c r="H699" s="320">
        <f>IFERROR(__xludf.DUMMYFUNCTION("""COMPUTED_VALUE"""),3.3446)</f>
        <v>3.3446</v>
      </c>
      <c r="I699" s="320">
        <f>IFERROR(__xludf.DUMMYFUNCTION("""COMPUTED_VALUE"""),36.5)</f>
        <v>36.5</v>
      </c>
      <c r="J699" s="320">
        <f>IFERROR(__xludf.DUMMYFUNCTION("""COMPUTED_VALUE"""),19.81)</f>
        <v>19.81</v>
      </c>
      <c r="K699" s="320">
        <f>IFERROR(__xludf.DUMMYFUNCTION("""COMPUTED_VALUE"""),5.6)</f>
        <v>5.6</v>
      </c>
      <c r="L699" s="320">
        <f>IFERROR(__xludf.DUMMYFUNCTION("""COMPUTED_VALUE"""),0.283)</f>
        <v>0.283</v>
      </c>
      <c r="M699" s="320">
        <f>IFERROR(__xludf.DUMMYFUNCTION("""COMPUTED_VALUE"""),0.7778)</f>
        <v>0.7778</v>
      </c>
      <c r="N699" s="320">
        <f>IFERROR(__xludf.DUMMYFUNCTION("""COMPUTED_VALUE"""),0.5157)</f>
        <v>0.5157</v>
      </c>
      <c r="O699" s="320">
        <f>IFERROR(__xludf.DUMMYFUNCTION("""COMPUTED_VALUE"""),3.5341)</f>
        <v>3.5341</v>
      </c>
      <c r="P699" s="320">
        <f>IFERROR(__xludf.DUMMYFUNCTION("""COMPUTED_VALUE"""),68.45)</f>
        <v>68.45</v>
      </c>
      <c r="Q699" s="320">
        <f>IFERROR(__xludf.DUMMYFUNCTION("""COMPUTED_VALUE"""),59.03)</f>
        <v>59.03</v>
      </c>
      <c r="R699" s="320">
        <f>IFERROR(__xludf.DUMMYFUNCTION("""COMPUTED_VALUE"""),9.42)</f>
        <v>9.42</v>
      </c>
      <c r="S699" s="320">
        <f>IFERROR(__xludf.DUMMYFUNCTION("""COMPUTED_VALUE"""),17.32)</f>
        <v>17.32</v>
      </c>
      <c r="T699" s="320">
        <f>IFERROR(__xludf.DUMMYFUNCTION("""COMPUTED_VALUE"""),51.12)</f>
        <v>51.12</v>
      </c>
      <c r="U699" s="320">
        <f>IFERROR(__xludf.DUMMYFUNCTION("""COMPUTED_VALUE"""),76.53)</f>
        <v>76.53</v>
      </c>
      <c r="V699" s="320">
        <f>IFERROR(__xludf.DUMMYFUNCTION("""COMPUTED_VALUE"""),3.8637)</f>
        <v>3.8637</v>
      </c>
      <c r="W699" s="320">
        <f>IFERROR(__xludf.DUMMYFUNCTION("""COMPUTED_VALUE"""),25.31)</f>
        <v>25.31</v>
      </c>
      <c r="X699" s="320">
        <f>IFERROR(__xludf.DUMMYFUNCTION("""COMPUTED_VALUE"""),84.0)</f>
        <v>84</v>
      </c>
      <c r="Y699" s="320">
        <f>IFERROR(__xludf.DUMMYFUNCTION("""COMPUTED_VALUE"""),195.0)</f>
        <v>195</v>
      </c>
      <c r="Z699" s="320">
        <f>IFERROR(__xludf.DUMMYFUNCTION("""COMPUTED_VALUE"""),850.0)</f>
        <v>850</v>
      </c>
      <c r="AA699" s="320">
        <f>IFERROR(__xludf.DUMMYFUNCTION("""COMPUTED_VALUE"""),49.401)</f>
        <v>49.401</v>
      </c>
      <c r="AB699" s="320">
        <f>IFERROR(__xludf.DUMMYFUNCTION("""COMPUTED_VALUE"""),0.439)</f>
        <v>0.439</v>
      </c>
      <c r="AC699" s="320">
        <f>IFERROR(__xludf.DUMMYFUNCTION("""COMPUTED_VALUE"""),3.6)</f>
        <v>3.6</v>
      </c>
      <c r="AD699" s="320">
        <f>IFERROR(__xludf.DUMMYFUNCTION("""COMPUTED_VALUE"""),1.0)</f>
        <v>1</v>
      </c>
      <c r="AE699" s="320">
        <f>IFERROR(__xludf.DUMMYFUNCTION("""COMPUTED_VALUE"""),2.0)</f>
        <v>2</v>
      </c>
      <c r="AF699" s="320">
        <f>IFERROR(__xludf.DUMMYFUNCTION("""COMPUTED_VALUE"""),5.0)</f>
        <v>5</v>
      </c>
      <c r="AG699" s="320">
        <f>IFERROR(__xludf.DUMMYFUNCTION("""COMPUTED_VALUE"""),8.0)</f>
        <v>8</v>
      </c>
      <c r="AH699" s="320">
        <f>IFERROR(__xludf.DUMMYFUNCTION("""COMPUTED_VALUE"""),67.76)</f>
        <v>67.76</v>
      </c>
      <c r="AI699" s="320">
        <f>IFERROR(__xludf.DUMMYFUNCTION("""COMPUTED_VALUE"""),25.18)</f>
        <v>25.18</v>
      </c>
      <c r="AJ699" s="320">
        <f>IFERROR(__xludf.DUMMYFUNCTION("""COMPUTED_VALUE"""),7.11)</f>
        <v>7.11</v>
      </c>
      <c r="AK699" s="320">
        <f>IFERROR(__xludf.DUMMYFUNCTION("""COMPUTED_VALUE"""),0.2154)</f>
        <v>0.2154</v>
      </c>
      <c r="AL699" s="320">
        <f>IFERROR(__xludf.DUMMYFUNCTION("""COMPUTED_VALUE"""),21.87)</f>
        <v>21.87</v>
      </c>
      <c r="AM699" s="320">
        <f>IFERROR(__xludf.DUMMYFUNCTION("""COMPUTED_VALUE"""),37.16)</f>
        <v>37.16</v>
      </c>
      <c r="AN699" s="320">
        <f>IFERROR(__xludf.DUMMYFUNCTION("""COMPUTED_VALUE"""),67.72)</f>
        <v>67.72</v>
      </c>
      <c r="AO699" s="320">
        <f>IFERROR(__xludf.DUMMYFUNCTION("""COMPUTED_VALUE"""),14.81)</f>
        <v>14.81</v>
      </c>
    </row>
    <row r="700" ht="15.0" customHeight="1">
      <c r="A700" s="328">
        <f>IFERROR(__xludf.DUMMYFUNCTION("""COMPUTED_VALUE"""),46166.0)</f>
        <v>46166</v>
      </c>
      <c r="B700" s="319" t="str">
        <f>IFERROR(__xludf.DUMMYFUNCTION("""COMPUTED_VALUE"""),"C. 10-19")</f>
        <v>C. 10-19</v>
      </c>
      <c r="C700" s="320">
        <f>IFERROR(__xludf.DUMMYFUNCTION("""COMPUTED_VALUE"""),13718.0)</f>
        <v>13718</v>
      </c>
      <c r="D700" s="320">
        <f>IFERROR(__xludf.DUMMYFUNCTION("""COMPUTED_VALUE"""),19.97)</f>
        <v>19.97</v>
      </c>
      <c r="E700" s="320">
        <f>IFERROR(__xludf.DUMMYFUNCTION("""COMPUTED_VALUE"""),14372.61)</f>
        <v>14372.61</v>
      </c>
      <c r="F700" s="320">
        <f>IFERROR(__xludf.DUMMYFUNCTION("""COMPUTED_VALUE"""),1.0477)</f>
        <v>1.0477</v>
      </c>
      <c r="G700" s="320">
        <f>IFERROR(__xludf.DUMMYFUNCTION("""COMPUTED_VALUE"""),22.34)</f>
        <v>22.34</v>
      </c>
      <c r="H700" s="320">
        <f>IFERROR(__xludf.DUMMYFUNCTION("""COMPUTED_VALUE"""),4.6908)</f>
        <v>4.6908</v>
      </c>
      <c r="I700" s="320">
        <f>IFERROR(__xludf.DUMMYFUNCTION("""COMPUTED_VALUE"""),63.57)</f>
        <v>63.57</v>
      </c>
      <c r="J700" s="320">
        <f>IFERROR(__xludf.DUMMYFUNCTION("""COMPUTED_VALUE"""),36.59)</f>
        <v>36.59</v>
      </c>
      <c r="K700" s="320">
        <f>IFERROR(__xludf.DUMMYFUNCTION("""COMPUTED_VALUE"""),14.31)</f>
        <v>14.31</v>
      </c>
      <c r="L700" s="320">
        <f>IFERROR(__xludf.DUMMYFUNCTION("""COMPUTED_VALUE"""),0.391)</f>
        <v>0.391</v>
      </c>
      <c r="M700" s="320">
        <f>IFERROR(__xludf.DUMMYFUNCTION("""COMPUTED_VALUE"""),0.6656)</f>
        <v>0.6656</v>
      </c>
      <c r="N700" s="320">
        <f>IFERROR(__xludf.DUMMYFUNCTION("""COMPUTED_VALUE"""),0.3724)</f>
        <v>0.3724</v>
      </c>
      <c r="O700" s="320">
        <f>IFERROR(__xludf.DUMMYFUNCTION("""COMPUTED_VALUE"""),2.5574)</f>
        <v>2.5574</v>
      </c>
      <c r="P700" s="320">
        <f>IFERROR(__xludf.DUMMYFUNCTION("""COMPUTED_VALUE"""),161.82)</f>
        <v>161.82</v>
      </c>
      <c r="Q700" s="320">
        <f>IFERROR(__xludf.DUMMYFUNCTION("""COMPUTED_VALUE"""),137.54)</f>
        <v>137.54</v>
      </c>
      <c r="R700" s="320">
        <f>IFERROR(__xludf.DUMMYFUNCTION("""COMPUTED_VALUE"""),24.28)</f>
        <v>24.28</v>
      </c>
      <c r="S700" s="320">
        <f>IFERROR(__xludf.DUMMYFUNCTION("""COMPUTED_VALUE"""),71.31)</f>
        <v>71.31</v>
      </c>
      <c r="T700" s="320">
        <f>IFERROR(__xludf.DUMMYFUNCTION("""COMPUTED_VALUE"""),90.51)</f>
        <v>90.51</v>
      </c>
      <c r="U700" s="320">
        <f>IFERROR(__xludf.DUMMYFUNCTION("""COMPUTED_VALUE"""),175.51)</f>
        <v>175.51</v>
      </c>
      <c r="V700" s="320">
        <f>IFERROR(__xludf.DUMMYFUNCTION("""COMPUTED_VALUE"""),4.7968)</f>
        <v>4.7968</v>
      </c>
      <c r="W700" s="320">
        <f>IFERROR(__xludf.DUMMYFUNCTION("""COMPUTED_VALUE"""),44.07)</f>
        <v>44.07</v>
      </c>
      <c r="X700" s="320">
        <f>IFERROR(__xludf.DUMMYFUNCTION("""COMPUTED_VALUE"""),80.0)</f>
        <v>80</v>
      </c>
      <c r="Y700" s="320">
        <f>IFERROR(__xludf.DUMMYFUNCTION("""COMPUTED_VALUE"""),174.0)</f>
        <v>174</v>
      </c>
      <c r="Z700" s="320">
        <f>IFERROR(__xludf.DUMMYFUNCTION("""COMPUTED_VALUE"""),613.0)</f>
        <v>613</v>
      </c>
      <c r="AA700" s="320">
        <f>IFERROR(__xludf.DUMMYFUNCTION("""COMPUTED_VALUE"""),52.6966)</f>
        <v>52.6966</v>
      </c>
      <c r="AB700" s="320">
        <f>IFERROR(__xludf.DUMMYFUNCTION("""COMPUTED_VALUE"""),0.552)</f>
        <v>0.552</v>
      </c>
      <c r="AC700" s="320">
        <f>IFERROR(__xludf.DUMMYFUNCTION("""COMPUTED_VALUE"""),9.19)</f>
        <v>9.19</v>
      </c>
      <c r="AD700" s="320">
        <f>IFERROR(__xludf.DUMMYFUNCTION("""COMPUTED_VALUE"""),3.0)</f>
        <v>3</v>
      </c>
      <c r="AE700" s="320">
        <f>IFERROR(__xludf.DUMMYFUNCTION("""COMPUTED_VALUE"""),6.0)</f>
        <v>6</v>
      </c>
      <c r="AF700" s="320">
        <f>IFERROR(__xludf.DUMMYFUNCTION("""COMPUTED_VALUE"""),13.0)</f>
        <v>13</v>
      </c>
      <c r="AG700" s="320">
        <f>IFERROR(__xludf.DUMMYFUNCTION("""COMPUTED_VALUE"""),20.0)</f>
        <v>20</v>
      </c>
      <c r="AH700" s="320">
        <f>IFERROR(__xludf.DUMMYFUNCTION("""COMPUTED_VALUE"""),55.1)</f>
        <v>55.1</v>
      </c>
      <c r="AI700" s="320">
        <f>IFERROR(__xludf.DUMMYFUNCTION("""COMPUTED_VALUE"""),25.8)</f>
        <v>25.8</v>
      </c>
      <c r="AJ700" s="320">
        <f>IFERROR(__xludf.DUMMYFUNCTION("""COMPUTED_VALUE"""),5.43)</f>
        <v>5.43</v>
      </c>
      <c r="AK700" s="320">
        <f>IFERROR(__xludf.DUMMYFUNCTION("""COMPUTED_VALUE"""),0.1967)</f>
        <v>0.1967</v>
      </c>
      <c r="AL700" s="320">
        <f>IFERROR(__xludf.DUMMYFUNCTION("""COMPUTED_VALUE"""),22.2)</f>
        <v>22.2</v>
      </c>
      <c r="AM700" s="320">
        <f>IFERROR(__xludf.DUMMYFUNCTION("""COMPUTED_VALUE"""),115.34)</f>
        <v>115.34</v>
      </c>
      <c r="AN700" s="320">
        <f>IFERROR(__xludf.DUMMYFUNCTION("""COMPUTED_VALUE"""),73.69)</f>
        <v>73.69</v>
      </c>
      <c r="AO700" s="320">
        <f>IFERROR(__xludf.DUMMYFUNCTION("""COMPUTED_VALUE"""),16.36)</f>
        <v>16.36</v>
      </c>
    </row>
    <row r="701" ht="15.0" customHeight="1">
      <c r="A701" s="328">
        <f>IFERROR(__xludf.DUMMYFUNCTION("""COMPUTED_VALUE"""),46166.0)</f>
        <v>46166</v>
      </c>
      <c r="B701" s="319" t="str">
        <f>IFERROR(__xludf.DUMMYFUNCTION("""COMPUTED_VALUE"""),"D. 20-39")</f>
        <v>D. 20-39</v>
      </c>
      <c r="C701" s="320">
        <f>IFERROR(__xludf.DUMMYFUNCTION("""COMPUTED_VALUE"""),6835.0)</f>
        <v>6835</v>
      </c>
      <c r="D701" s="320">
        <f>IFERROR(__xludf.DUMMYFUNCTION("""COMPUTED_VALUE"""),9.95)</f>
        <v>9.95</v>
      </c>
      <c r="E701" s="320">
        <f>IFERROR(__xludf.DUMMYFUNCTION("""COMPUTED_VALUE"""),20259.08)</f>
        <v>20259.08</v>
      </c>
      <c r="F701" s="320">
        <f>IFERROR(__xludf.DUMMYFUNCTION("""COMPUTED_VALUE"""),2.964)</f>
        <v>2.964</v>
      </c>
      <c r="G701" s="320">
        <f>IFERROR(__xludf.DUMMYFUNCTION("""COMPUTED_VALUE"""),36.15)</f>
        <v>36.15</v>
      </c>
      <c r="H701" s="320">
        <f>IFERROR(__xludf.DUMMYFUNCTION("""COMPUTED_VALUE"""),8.1987)</f>
        <v>8.1987</v>
      </c>
      <c r="I701" s="320">
        <f>IFERROR(__xludf.DUMMYFUNCTION("""COMPUTED_VALUE"""),85.37)</f>
        <v>85.37</v>
      </c>
      <c r="J701" s="320">
        <f>IFERROR(__xludf.DUMMYFUNCTION("""COMPUTED_VALUE"""),51.01)</f>
        <v>51.01</v>
      </c>
      <c r="K701" s="320">
        <f>IFERROR(__xludf.DUMMYFUNCTION("""COMPUTED_VALUE"""),27.51)</f>
        <v>27.51</v>
      </c>
      <c r="L701" s="320">
        <f>IFERROR(__xludf.DUMMYFUNCTION("""COMPUTED_VALUE"""),0.5393)</f>
        <v>0.5393</v>
      </c>
      <c r="M701" s="320">
        <f>IFERROR(__xludf.DUMMYFUNCTION("""COMPUTED_VALUE"""),0.5307)</f>
        <v>0.5307</v>
      </c>
      <c r="N701" s="320">
        <f>IFERROR(__xludf.DUMMYFUNCTION("""COMPUTED_VALUE"""),0.2821)</f>
        <v>0.2821</v>
      </c>
      <c r="O701" s="320">
        <f>IFERROR(__xludf.DUMMYFUNCTION("""COMPUTED_VALUE"""),1.8541)</f>
        <v>1.8541</v>
      </c>
      <c r="P701" s="320">
        <f>IFERROR(__xludf.DUMMYFUNCTION("""COMPUTED_VALUE"""),335.11)</f>
        <v>335.11</v>
      </c>
      <c r="Q701" s="320">
        <f>IFERROR(__xludf.DUMMYFUNCTION("""COMPUTED_VALUE"""),288.25)</f>
        <v>288.25</v>
      </c>
      <c r="R701" s="320">
        <f>IFERROR(__xludf.DUMMYFUNCTION("""COMPUTED_VALUE"""),46.86)</f>
        <v>46.86</v>
      </c>
      <c r="S701" s="320">
        <f>IFERROR(__xludf.DUMMYFUNCTION("""COMPUTED_VALUE"""),187.69)</f>
        <v>187.69</v>
      </c>
      <c r="T701" s="320">
        <f>IFERROR(__xludf.DUMMYFUNCTION("""COMPUTED_VALUE"""),147.42)</f>
        <v>147.42</v>
      </c>
      <c r="U701" s="320">
        <f>IFERROR(__xludf.DUMMYFUNCTION("""COMPUTED_VALUE"""),353.86)</f>
        <v>353.86</v>
      </c>
      <c r="V701" s="320">
        <f>IFERROR(__xludf.DUMMYFUNCTION("""COMPUTED_VALUE"""),6.9375)</f>
        <v>6.9375</v>
      </c>
      <c r="W701" s="320">
        <f>IFERROR(__xludf.DUMMYFUNCTION("""COMPUTED_VALUE"""),56.01)</f>
        <v>56.01</v>
      </c>
      <c r="X701" s="320">
        <f>IFERROR(__xludf.DUMMYFUNCTION("""COMPUTED_VALUE"""),84.0)</f>
        <v>84</v>
      </c>
      <c r="Y701" s="320">
        <f>IFERROR(__xludf.DUMMYFUNCTION("""COMPUTED_VALUE"""),208.0)</f>
        <v>208</v>
      </c>
      <c r="Z701" s="320">
        <f>IFERROR(__xludf.DUMMYFUNCTION("""COMPUTED_VALUE"""),738.0)</f>
        <v>738</v>
      </c>
      <c r="AA701" s="320">
        <f>IFERROR(__xludf.DUMMYFUNCTION("""COMPUTED_VALUE"""),55.084)</f>
        <v>55.084</v>
      </c>
      <c r="AB701" s="320">
        <f>IFERROR(__xludf.DUMMYFUNCTION("""COMPUTED_VALUE"""),0.6789)</f>
        <v>0.6789</v>
      </c>
      <c r="AC701" s="320">
        <f>IFERROR(__xludf.DUMMYFUNCTION("""COMPUTED_VALUE"""),18.39)</f>
        <v>18.39</v>
      </c>
      <c r="AD701" s="320">
        <f>IFERROR(__xludf.DUMMYFUNCTION("""COMPUTED_VALUE"""),6.0)</f>
        <v>6</v>
      </c>
      <c r="AE701" s="320">
        <f>IFERROR(__xludf.DUMMYFUNCTION("""COMPUTED_VALUE"""),14.0)</f>
        <v>14</v>
      </c>
      <c r="AF701" s="320">
        <f>IFERROR(__xludf.DUMMYFUNCTION("""COMPUTED_VALUE"""),26.0)</f>
        <v>26</v>
      </c>
      <c r="AG701" s="320">
        <f>IFERROR(__xludf.DUMMYFUNCTION("""COMPUTED_VALUE"""),39.0)</f>
        <v>39</v>
      </c>
      <c r="AH701" s="320">
        <f>IFERROR(__xludf.DUMMYFUNCTION("""COMPUTED_VALUE"""),57.73)</f>
        <v>57.73</v>
      </c>
      <c r="AI701" s="320">
        <f>IFERROR(__xludf.DUMMYFUNCTION("""COMPUTED_VALUE"""),25.34)</f>
        <v>25.34</v>
      </c>
      <c r="AJ701" s="320">
        <f>IFERROR(__xludf.DUMMYFUNCTION("""COMPUTED_VALUE"""),8.5)</f>
        <v>8.5</v>
      </c>
      <c r="AK701" s="320">
        <f>IFERROR(__xludf.DUMMYFUNCTION("""COMPUTED_VALUE"""),0.2184)</f>
        <v>0.2184</v>
      </c>
      <c r="AL701" s="320">
        <f>IFERROR(__xludf.DUMMYFUNCTION("""COMPUTED_VALUE"""),21.35)</f>
        <v>21.35</v>
      </c>
      <c r="AM701" s="320">
        <f>IFERROR(__xludf.DUMMYFUNCTION("""COMPUTED_VALUE"""),266.9)</f>
        <v>266.9</v>
      </c>
      <c r="AN701" s="320">
        <f>IFERROR(__xludf.DUMMYFUNCTION("""COMPUTED_VALUE"""),71.84)</f>
        <v>71.84</v>
      </c>
      <c r="AO701" s="320">
        <f>IFERROR(__xludf.DUMMYFUNCTION("""COMPUTED_VALUE"""),15.34)</f>
        <v>15.34</v>
      </c>
    </row>
    <row r="702" ht="15.0" customHeight="1">
      <c r="A702" s="328">
        <f>IFERROR(__xludf.DUMMYFUNCTION("""COMPUTED_VALUE"""),46166.0)</f>
        <v>46166</v>
      </c>
      <c r="B702" s="319" t="str">
        <f>IFERROR(__xludf.DUMMYFUNCTION("""COMPUTED_VALUE"""),"E. 40-99")</f>
        <v>E. 40-99</v>
      </c>
      <c r="C702" s="320">
        <f>IFERROR(__xludf.DUMMYFUNCTION("""COMPUTED_VALUE"""),2659.0)</f>
        <v>2659</v>
      </c>
      <c r="D702" s="320">
        <f>IFERROR(__xludf.DUMMYFUNCTION("""COMPUTED_VALUE"""),3.87)</f>
        <v>3.87</v>
      </c>
      <c r="E702" s="320">
        <f>IFERROR(__xludf.DUMMYFUNCTION("""COMPUTED_VALUE"""),16041.35)</f>
        <v>16041.35</v>
      </c>
      <c r="F702" s="320">
        <f>IFERROR(__xludf.DUMMYFUNCTION("""COMPUTED_VALUE"""),6.0329)</f>
        <v>6.0329</v>
      </c>
      <c r="G702" s="320">
        <f>IFERROR(__xludf.DUMMYFUNCTION("""COMPUTED_VALUE"""),43.47)</f>
        <v>43.47</v>
      </c>
      <c r="H702" s="320">
        <f>IFERROR(__xludf.DUMMYFUNCTION("""COMPUTED_VALUE"""),13.8766)</f>
        <v>13.8766</v>
      </c>
      <c r="I702" s="320">
        <f>IFERROR(__xludf.DUMMYFUNCTION("""COMPUTED_VALUE"""),127.6)</f>
        <v>127.6</v>
      </c>
      <c r="J702" s="320">
        <f>IFERROR(__xludf.DUMMYFUNCTION("""COMPUTED_VALUE"""),78.71)</f>
        <v>78.71</v>
      </c>
      <c r="K702" s="320">
        <f>IFERROR(__xludf.DUMMYFUNCTION("""COMPUTED_VALUE"""),54.64)</f>
        <v>54.64</v>
      </c>
      <c r="L702" s="320">
        <f>IFERROR(__xludf.DUMMYFUNCTION("""COMPUTED_VALUE"""),0.6942)</f>
        <v>0.6942</v>
      </c>
      <c r="M702" s="320">
        <f>IFERROR(__xludf.DUMMYFUNCTION("""COMPUTED_VALUE"""),0.388)</f>
        <v>0.388</v>
      </c>
      <c r="N702" s="320">
        <f>IFERROR(__xludf.DUMMYFUNCTION("""COMPUTED_VALUE"""),0.2113)</f>
        <v>0.2113</v>
      </c>
      <c r="O702" s="320">
        <f>IFERROR(__xludf.DUMMYFUNCTION("""COMPUTED_VALUE"""),1.4404)</f>
        <v>1.4404</v>
      </c>
      <c r="P702" s="320">
        <f>IFERROR(__xludf.DUMMYFUNCTION("""COMPUTED_VALUE"""),644.6)</f>
        <v>644.6</v>
      </c>
      <c r="Q702" s="320">
        <f>IFERROR(__xludf.DUMMYFUNCTION("""COMPUTED_VALUE"""),550.72)</f>
        <v>550.72</v>
      </c>
      <c r="R702" s="320">
        <f>IFERROR(__xludf.DUMMYFUNCTION("""COMPUTED_VALUE"""),93.88)</f>
        <v>93.88</v>
      </c>
      <c r="S702" s="320">
        <f>IFERROR(__xludf.DUMMYFUNCTION("""COMPUTED_VALUE"""),378.7)</f>
        <v>378.7</v>
      </c>
      <c r="T702" s="320">
        <f>IFERROR(__xludf.DUMMYFUNCTION("""COMPUTED_VALUE"""),265.9)</f>
        <v>265.9</v>
      </c>
      <c r="U702" s="320">
        <f>IFERROR(__xludf.DUMMYFUNCTION("""COMPUTED_VALUE"""),682.87)</f>
        <v>682.87</v>
      </c>
      <c r="V702" s="320">
        <f>IFERROR(__xludf.DUMMYFUNCTION("""COMPUTED_VALUE"""),8.6758)</f>
        <v>8.6758</v>
      </c>
      <c r="W702" s="320">
        <f>IFERROR(__xludf.DUMMYFUNCTION("""COMPUTED_VALUE"""),58.75)</f>
        <v>58.75</v>
      </c>
      <c r="X702" s="320">
        <f>IFERROR(__xludf.DUMMYFUNCTION("""COMPUTED_VALUE"""),95.0)</f>
        <v>95</v>
      </c>
      <c r="Y702" s="320">
        <f>IFERROR(__xludf.DUMMYFUNCTION("""COMPUTED_VALUE"""),325.0)</f>
        <v>325</v>
      </c>
      <c r="Z702" s="320">
        <f>IFERROR(__xludf.DUMMYFUNCTION("""COMPUTED_VALUE"""),1009.0)</f>
        <v>1009</v>
      </c>
      <c r="AA702" s="320">
        <f>IFERROR(__xludf.DUMMYFUNCTION("""COMPUTED_VALUE"""),58.3589)</f>
        <v>58.3589</v>
      </c>
      <c r="AB702" s="320">
        <f>IFERROR(__xludf.DUMMYFUNCTION("""COMPUTED_VALUE"""),0.7873)</f>
        <v>0.7873</v>
      </c>
      <c r="AC702" s="320">
        <f>IFERROR(__xludf.DUMMYFUNCTION("""COMPUTED_VALUE"""),38.51)</f>
        <v>38.51</v>
      </c>
      <c r="AD702" s="320">
        <f>IFERROR(__xludf.DUMMYFUNCTION("""COMPUTED_VALUE"""),12.0)</f>
        <v>12</v>
      </c>
      <c r="AE702" s="320">
        <f>IFERROR(__xludf.DUMMYFUNCTION("""COMPUTED_VALUE"""),30.0)</f>
        <v>30</v>
      </c>
      <c r="AF702" s="320">
        <f>IFERROR(__xludf.DUMMYFUNCTION("""COMPUTED_VALUE"""),55.0)</f>
        <v>55</v>
      </c>
      <c r="AG702" s="320">
        <f>IFERROR(__xludf.DUMMYFUNCTION("""COMPUTED_VALUE"""),83.0)</f>
        <v>83</v>
      </c>
      <c r="AH702" s="320">
        <f>IFERROR(__xludf.DUMMYFUNCTION("""COMPUTED_VALUE"""),53.33)</f>
        <v>53.33</v>
      </c>
      <c r="AI702" s="320">
        <f>IFERROR(__xludf.DUMMYFUNCTION("""COMPUTED_VALUE"""),21.59)</f>
        <v>21.59</v>
      </c>
      <c r="AJ702" s="320">
        <f>IFERROR(__xludf.DUMMYFUNCTION("""COMPUTED_VALUE"""),5.34)</f>
        <v>5.34</v>
      </c>
      <c r="AK702" s="320">
        <f>IFERROR(__xludf.DUMMYFUNCTION("""COMPUTED_VALUE"""),0.2057)</f>
        <v>0.2057</v>
      </c>
      <c r="AL702" s="320">
        <f>IFERROR(__xludf.DUMMYFUNCTION("""COMPUTED_VALUE"""),21.86)</f>
        <v>21.86</v>
      </c>
      <c r="AM702" s="320">
        <f>IFERROR(__xludf.DUMMYFUNCTION("""COMPUTED_VALUE"""),528.86)</f>
        <v>528.86</v>
      </c>
      <c r="AN702" s="320">
        <f>IFERROR(__xludf.DUMMYFUNCTION("""COMPUTED_VALUE"""),69.69)</f>
        <v>69.69</v>
      </c>
      <c r="AO702" s="320">
        <f>IFERROR(__xludf.DUMMYFUNCTION("""COMPUTED_VALUE"""),15.23)</f>
        <v>15.23</v>
      </c>
    </row>
    <row r="703" ht="15.0" customHeight="1">
      <c r="A703" s="328">
        <f>IFERROR(__xludf.DUMMYFUNCTION("""COMPUTED_VALUE"""),46166.0)</f>
        <v>46166</v>
      </c>
      <c r="B703" s="319" t="str">
        <f>IFERROR(__xludf.DUMMYFUNCTION("""COMPUTED_VALUE"""),"F. 100+")</f>
        <v>F. 100+</v>
      </c>
      <c r="C703" s="320">
        <f>IFERROR(__xludf.DUMMYFUNCTION("""COMPUTED_VALUE"""),275.0)</f>
        <v>275</v>
      </c>
      <c r="D703" s="320">
        <f>IFERROR(__xludf.DUMMYFUNCTION("""COMPUTED_VALUE"""),0.4)</f>
        <v>0.4</v>
      </c>
      <c r="E703" s="320">
        <f>IFERROR(__xludf.DUMMYFUNCTION("""COMPUTED_VALUE"""),2999.61)</f>
        <v>2999.61</v>
      </c>
      <c r="F703" s="320">
        <f>IFERROR(__xludf.DUMMYFUNCTION("""COMPUTED_VALUE"""),10.9077)</f>
        <v>10.9077</v>
      </c>
      <c r="G703" s="320">
        <f>IFERROR(__xludf.DUMMYFUNCTION("""COMPUTED_VALUE"""),56.73)</f>
        <v>56.73</v>
      </c>
      <c r="H703" s="320">
        <f>IFERROR(__xludf.DUMMYFUNCTION("""COMPUTED_VALUE"""),19.2283)</f>
        <v>19.2283</v>
      </c>
      <c r="I703" s="320">
        <f>IFERROR(__xludf.DUMMYFUNCTION("""COMPUTED_VALUE"""),247.67)</f>
        <v>247.67</v>
      </c>
      <c r="J703" s="320">
        <f>IFERROR(__xludf.DUMMYFUNCTION("""COMPUTED_VALUE"""),158.86)</f>
        <v>158.86</v>
      </c>
      <c r="K703" s="320">
        <f>IFERROR(__xludf.DUMMYFUNCTION("""COMPUTED_VALUE"""),127.82)</f>
        <v>127.82</v>
      </c>
      <c r="L703" s="320">
        <f>IFERROR(__xludf.DUMMYFUNCTION("""COMPUTED_VALUE"""),0.8046)</f>
        <v>0.8046</v>
      </c>
      <c r="M703" s="320">
        <f>IFERROR(__xludf.DUMMYFUNCTION("""COMPUTED_VALUE"""),0.2736)</f>
        <v>0.2736</v>
      </c>
      <c r="N703" s="320">
        <f>IFERROR(__xludf.DUMMYFUNCTION("""COMPUTED_VALUE"""),0.16)</f>
        <v>0.16</v>
      </c>
      <c r="O703" s="320">
        <f>IFERROR(__xludf.DUMMYFUNCTION("""COMPUTED_VALUE"""),1.2428)</f>
        <v>1.2428</v>
      </c>
      <c r="P703" s="320">
        <f>IFERROR(__xludf.DUMMYFUNCTION("""COMPUTED_VALUE"""),1266.41)</f>
        <v>1266.41</v>
      </c>
      <c r="Q703" s="320">
        <f>IFERROR(__xludf.DUMMYFUNCTION("""COMPUTED_VALUE"""),1045.72)</f>
        <v>1045.72</v>
      </c>
      <c r="R703" s="320">
        <f>IFERROR(__xludf.DUMMYFUNCTION("""COMPUTED_VALUE"""),220.69)</f>
        <v>220.69</v>
      </c>
      <c r="S703" s="320">
        <f>IFERROR(__xludf.DUMMYFUNCTION("""COMPUTED_VALUE"""),725.62)</f>
        <v>725.62</v>
      </c>
      <c r="T703" s="320">
        <f>IFERROR(__xludf.DUMMYFUNCTION("""COMPUTED_VALUE"""),540.8)</f>
        <v>540.8</v>
      </c>
      <c r="U703" s="320">
        <f>IFERROR(__xludf.DUMMYFUNCTION("""COMPUTED_VALUE"""),1298.0)</f>
        <v>1298</v>
      </c>
      <c r="V703" s="320">
        <f>IFERROR(__xludf.DUMMYFUNCTION("""COMPUTED_VALUE"""),8.1706)</f>
        <v>8.1706</v>
      </c>
      <c r="W703" s="320">
        <f>IFERROR(__xludf.DUMMYFUNCTION("""COMPUTED_VALUE"""),57.3)</f>
        <v>57.3</v>
      </c>
      <c r="X703" s="320">
        <f>IFERROR(__xludf.DUMMYFUNCTION("""COMPUTED_VALUE"""),161.0)</f>
        <v>161</v>
      </c>
      <c r="Y703" s="320">
        <f>IFERROR(__xludf.DUMMYFUNCTION("""COMPUTED_VALUE"""),610.0)</f>
        <v>610</v>
      </c>
      <c r="Z703" s="320">
        <f>IFERROR(__xludf.DUMMYFUNCTION("""COMPUTED_VALUE"""),2548.0)</f>
        <v>2548</v>
      </c>
      <c r="AA703" s="320">
        <f>IFERROR(__xludf.DUMMYFUNCTION("""COMPUTED_VALUE"""),62.0626)</f>
        <v>62.0626</v>
      </c>
      <c r="AB703" s="320">
        <f>IFERROR(__xludf.DUMMYFUNCTION("""COMPUTED_VALUE"""),0.836)</f>
        <v>0.836</v>
      </c>
      <c r="AC703" s="320">
        <f>IFERROR(__xludf.DUMMYFUNCTION("""COMPUTED_VALUE"""),88.23)</f>
        <v>88.23</v>
      </c>
      <c r="AD703" s="320">
        <f>IFERROR(__xludf.DUMMYFUNCTION("""COMPUTED_VALUE"""),30.0)</f>
        <v>30</v>
      </c>
      <c r="AE703" s="320">
        <f>IFERROR(__xludf.DUMMYFUNCTION("""COMPUTED_VALUE"""),73.0)</f>
        <v>73</v>
      </c>
      <c r="AF703" s="320">
        <f>IFERROR(__xludf.DUMMYFUNCTION("""COMPUTED_VALUE"""),121.0)</f>
        <v>121</v>
      </c>
      <c r="AG703" s="320">
        <f>IFERROR(__xludf.DUMMYFUNCTION("""COMPUTED_VALUE"""),188.0)</f>
        <v>188</v>
      </c>
      <c r="AH703" s="320">
        <f>IFERROR(__xludf.DUMMYFUNCTION("""COMPUTED_VALUE"""),45.82)</f>
        <v>45.82</v>
      </c>
      <c r="AI703" s="320">
        <f>IFERROR(__xludf.DUMMYFUNCTION("""COMPUTED_VALUE"""),11.64)</f>
        <v>11.64</v>
      </c>
      <c r="AJ703" s="320">
        <f>IFERROR(__xludf.DUMMYFUNCTION("""COMPUTED_VALUE"""),2.91)</f>
        <v>2.91</v>
      </c>
      <c r="AK703" s="320">
        <f>IFERROR(__xludf.DUMMYFUNCTION("""COMPUTED_VALUE"""),0.1709)</f>
        <v>0.1709</v>
      </c>
      <c r="AL703" s="320">
        <f>IFERROR(__xludf.DUMMYFUNCTION("""COMPUTED_VALUE"""),23.93)</f>
        <v>23.93</v>
      </c>
      <c r="AM703" s="320">
        <f>IFERROR(__xludf.DUMMYFUNCTION("""COMPUTED_VALUE"""),1021.8)</f>
        <v>1021.8</v>
      </c>
      <c r="AN703" s="320">
        <f>IFERROR(__xludf.DUMMYFUNCTION("""COMPUTED_VALUE"""),65.45)</f>
        <v>65.45</v>
      </c>
      <c r="AO703" s="320">
        <f>IFERROR(__xludf.DUMMYFUNCTION("""COMPUTED_VALUE"""),15.66)</f>
        <v>15.66</v>
      </c>
    </row>
    <row r="704" ht="15.0" customHeight="1">
      <c r="A704" s="328">
        <f>IFERROR(__xludf.DUMMYFUNCTION("""COMPUTED_VALUE"""),46167.0)</f>
        <v>46167</v>
      </c>
      <c r="B704" s="319" t="str">
        <f>IFERROR(__xludf.DUMMYFUNCTION("""COMPUTED_VALUE"""),"A. 0")</f>
        <v>A. 0</v>
      </c>
      <c r="C704" s="320">
        <f>IFERROR(__xludf.DUMMYFUNCTION("""COMPUTED_VALUE"""),14655.0)</f>
        <v>14655</v>
      </c>
      <c r="D704" s="320">
        <f>IFERROR(__xludf.DUMMYFUNCTION("""COMPUTED_VALUE"""),20.2)</f>
        <v>20.2</v>
      </c>
      <c r="E704" s="320">
        <f>IFERROR(__xludf.DUMMYFUNCTION("""COMPUTED_VALUE"""),93.44)</f>
        <v>93.44</v>
      </c>
      <c r="F704" s="320">
        <f>IFERROR(__xludf.DUMMYFUNCTION("""COMPUTED_VALUE"""),0.0064)</f>
        <v>0.0064</v>
      </c>
      <c r="G704" s="320">
        <f>IFERROR(__xludf.DUMMYFUNCTION("""COMPUTED_VALUE"""),0.14)</f>
        <v>0.14</v>
      </c>
      <c r="H704" s="320">
        <f>IFERROR(__xludf.DUMMYFUNCTION("""COMPUTED_VALUE"""),4.4495)</f>
        <v>4.4495</v>
      </c>
      <c r="I704" s="320">
        <f>IFERROR(__xludf.DUMMYFUNCTION("""COMPUTED_VALUE"""),5.95)</f>
        <v>5.95</v>
      </c>
      <c r="J704" s="320">
        <f>IFERROR(__xludf.DUMMYFUNCTION("""COMPUTED_VALUE"""),2.54)</f>
        <v>2.54</v>
      </c>
      <c r="K704" s="320">
        <f>IFERROR(__xludf.DUMMYFUNCTION("""COMPUTED_VALUE"""),0.07)</f>
        <v>0.07</v>
      </c>
      <c r="L704" s="320">
        <f>IFERROR(__xludf.DUMMYFUNCTION("""COMPUTED_VALUE"""),0.0286)</f>
        <v>0.0286</v>
      </c>
      <c r="M704" s="320">
        <f>IFERROR(__xludf.DUMMYFUNCTION("""COMPUTED_VALUE"""),0.9737)</f>
        <v>0.9737</v>
      </c>
      <c r="N704" s="320">
        <f>IFERROR(__xludf.DUMMYFUNCTION("""COMPUTED_VALUE"""),0.714)</f>
        <v>0.714</v>
      </c>
      <c r="O704" s="320">
        <f>IFERROR(__xludf.DUMMYFUNCTION("""COMPUTED_VALUE"""),34.9128)</f>
        <v>34.9128</v>
      </c>
      <c r="P704" s="320">
        <f>IFERROR(__xludf.DUMMYFUNCTION("""COMPUTED_VALUE"""),35.91)</f>
        <v>35.91</v>
      </c>
      <c r="Q704" s="320">
        <f>IFERROR(__xludf.DUMMYFUNCTION("""COMPUTED_VALUE"""),35.84)</f>
        <v>35.84</v>
      </c>
      <c r="R704" s="320">
        <f>IFERROR(__xludf.DUMMYFUNCTION("""COMPUTED_VALUE"""),0.07)</f>
        <v>0.07</v>
      </c>
      <c r="S704" s="320">
        <f>IFERROR(__xludf.DUMMYFUNCTION("""COMPUTED_VALUE"""),0.57)</f>
        <v>0.57</v>
      </c>
      <c r="T704" s="320">
        <f>IFERROR(__xludf.DUMMYFUNCTION("""COMPUTED_VALUE"""),35.34)</f>
        <v>35.34</v>
      </c>
      <c r="U704" s="320">
        <f>IFERROR(__xludf.DUMMYFUNCTION("""COMPUTED_VALUE"""),2.18)</f>
        <v>2.18</v>
      </c>
      <c r="V704" s="320">
        <f>IFERROR(__xludf.DUMMYFUNCTION("""COMPUTED_VALUE"""),0.8577)</f>
        <v>0.8577</v>
      </c>
      <c r="W704" s="320">
        <f>IFERROR(__xludf.DUMMYFUNCTION("""COMPUTED_VALUE"""),1.58)</f>
        <v>1.58</v>
      </c>
      <c r="X704" s="320">
        <f>IFERROR(__xludf.DUMMYFUNCTION("""COMPUTED_VALUE"""),183.0)</f>
        <v>183</v>
      </c>
      <c r="Y704" s="320">
        <f>IFERROR(__xludf.DUMMYFUNCTION("""COMPUTED_VALUE"""),1433.0)</f>
        <v>1433</v>
      </c>
      <c r="Z704" s="320">
        <f>IFERROR(__xludf.DUMMYFUNCTION("""COMPUTED_VALUE"""),8761.0)</f>
        <v>8761</v>
      </c>
      <c r="AA704" s="320">
        <f>IFERROR(__xludf.DUMMYFUNCTION("""COMPUTED_VALUE"""),49.8953)</f>
        <v>49.8953</v>
      </c>
      <c r="AB704" s="320">
        <f>IFERROR(__xludf.DUMMYFUNCTION("""COMPUTED_VALUE"""),0.519)</f>
        <v>0.519</v>
      </c>
      <c r="AC704" s="106"/>
      <c r="AD704" s="106"/>
      <c r="AE704" s="106"/>
      <c r="AF704" s="106"/>
      <c r="AG704" s="106"/>
      <c r="AH704" s="320">
        <f>IFERROR(__xludf.DUMMYFUNCTION("""COMPUTED_VALUE"""),0.0)</f>
        <v>0</v>
      </c>
      <c r="AI704" s="320">
        <f>IFERROR(__xludf.DUMMYFUNCTION("""COMPUTED_VALUE"""),0.0)</f>
        <v>0</v>
      </c>
      <c r="AJ704" s="320">
        <f>IFERROR(__xludf.DUMMYFUNCTION("""COMPUTED_VALUE"""),0.0)</f>
        <v>0</v>
      </c>
      <c r="AK704" s="320">
        <f>IFERROR(__xludf.DUMMYFUNCTION("""COMPUTED_VALUE"""),0.2839)</f>
        <v>0.2839</v>
      </c>
      <c r="AL704" s="320">
        <f>IFERROR(__xludf.DUMMYFUNCTION("""COMPUTED_VALUE"""),15.97)</f>
        <v>15.97</v>
      </c>
      <c r="AM704" s="320">
        <f>IFERROR(__xludf.DUMMYFUNCTION("""COMPUTED_VALUE"""),19.87)</f>
        <v>19.87</v>
      </c>
      <c r="AN704" s="331"/>
      <c r="AO704" s="331"/>
    </row>
    <row r="705" ht="15.0" customHeight="1">
      <c r="A705" s="328">
        <f>IFERROR(__xludf.DUMMYFUNCTION("""COMPUTED_VALUE"""),46167.0)</f>
        <v>46167</v>
      </c>
      <c r="B705" s="319" t="str">
        <f>IFERROR(__xludf.DUMMYFUNCTION("""COMPUTED_VALUE"""),"B. 1-9")</f>
        <v>B. 1-9</v>
      </c>
      <c r="C705" s="320">
        <f>IFERROR(__xludf.DUMMYFUNCTION("""COMPUTED_VALUE"""),31252.0)</f>
        <v>31252</v>
      </c>
      <c r="D705" s="320">
        <f>IFERROR(__xludf.DUMMYFUNCTION("""COMPUTED_VALUE"""),43.07)</f>
        <v>43.07</v>
      </c>
      <c r="E705" s="320">
        <f>IFERROR(__xludf.DUMMYFUNCTION("""COMPUTED_VALUE"""),5911.06)</f>
        <v>5911.06</v>
      </c>
      <c r="F705" s="320">
        <f>IFERROR(__xludf.DUMMYFUNCTION("""COMPUTED_VALUE"""),0.1891)</f>
        <v>0.1891</v>
      </c>
      <c r="G705" s="320">
        <f>IFERROR(__xludf.DUMMYFUNCTION("""COMPUTED_VALUE"""),6.14)</f>
        <v>6.14</v>
      </c>
      <c r="H705" s="320">
        <f>IFERROR(__xludf.DUMMYFUNCTION("""COMPUTED_VALUE"""),3.0803)</f>
        <v>3.0803</v>
      </c>
      <c r="I705" s="320">
        <f>IFERROR(__xludf.DUMMYFUNCTION("""COMPUTED_VALUE"""),36.75)</f>
        <v>36.75</v>
      </c>
      <c r="J705" s="320">
        <f>IFERROR(__xludf.DUMMYFUNCTION("""COMPUTED_VALUE"""),19.84)</f>
        <v>19.84</v>
      </c>
      <c r="K705" s="320">
        <f>IFERROR(__xludf.DUMMYFUNCTION("""COMPUTED_VALUE"""),5.72)</f>
        <v>5.72</v>
      </c>
      <c r="L705" s="320">
        <f>IFERROR(__xludf.DUMMYFUNCTION("""COMPUTED_VALUE"""),0.2881)</f>
        <v>0.2881</v>
      </c>
      <c r="M705" s="320">
        <f>IFERROR(__xludf.DUMMYFUNCTION("""COMPUTED_VALUE"""),0.7781)</f>
        <v>0.7781</v>
      </c>
      <c r="N705" s="320">
        <f>IFERROR(__xludf.DUMMYFUNCTION("""COMPUTED_VALUE"""),0.5241)</f>
        <v>0.5241</v>
      </c>
      <c r="O705" s="320">
        <f>IFERROR(__xludf.DUMMYFUNCTION("""COMPUTED_VALUE"""),3.4712)</f>
        <v>3.4712</v>
      </c>
      <c r="P705" s="320">
        <f>IFERROR(__xludf.DUMMYFUNCTION("""COMPUTED_VALUE"""),97.23)</f>
        <v>97.23</v>
      </c>
      <c r="Q705" s="320">
        <f>IFERROR(__xludf.DUMMYFUNCTION("""COMPUTED_VALUE"""),87.83)</f>
        <v>87.83</v>
      </c>
      <c r="R705" s="320">
        <f>IFERROR(__xludf.DUMMYFUNCTION("""COMPUTED_VALUE"""),9.41)</f>
        <v>9.41</v>
      </c>
      <c r="S705" s="320">
        <f>IFERROR(__xludf.DUMMYFUNCTION("""COMPUTED_VALUE"""),14.22)</f>
        <v>14.22</v>
      </c>
      <c r="T705" s="320">
        <f>IFERROR(__xludf.DUMMYFUNCTION("""COMPUTED_VALUE"""),83.01)</f>
        <v>83.01</v>
      </c>
      <c r="U705" s="320">
        <f>IFERROR(__xludf.DUMMYFUNCTION("""COMPUTED_VALUE"""),89.42)</f>
        <v>89.42</v>
      </c>
      <c r="V705" s="320">
        <f>IFERROR(__xludf.DUMMYFUNCTION("""COMPUTED_VALUE"""),4.5067)</f>
        <v>4.5067</v>
      </c>
      <c r="W705" s="320">
        <f>IFERROR(__xludf.DUMMYFUNCTION("""COMPUTED_VALUE"""),14.63)</f>
        <v>14.63</v>
      </c>
      <c r="X705" s="320">
        <f>IFERROR(__xludf.DUMMYFUNCTION("""COMPUTED_VALUE"""),91.0)</f>
        <v>91</v>
      </c>
      <c r="Y705" s="320">
        <f>IFERROR(__xludf.DUMMYFUNCTION("""COMPUTED_VALUE"""),220.0)</f>
        <v>220</v>
      </c>
      <c r="Z705" s="320">
        <f>IFERROR(__xludf.DUMMYFUNCTION("""COMPUTED_VALUE"""),853.0)</f>
        <v>853</v>
      </c>
      <c r="AA705" s="320">
        <f>IFERROR(__xludf.DUMMYFUNCTION("""COMPUTED_VALUE"""),49.3264)</f>
        <v>49.3264</v>
      </c>
      <c r="AB705" s="320">
        <f>IFERROR(__xludf.DUMMYFUNCTION("""COMPUTED_VALUE"""),0.4269)</f>
        <v>0.4269</v>
      </c>
      <c r="AC705" s="320">
        <f>IFERROR(__xludf.DUMMYFUNCTION("""COMPUTED_VALUE"""),3.64)</f>
        <v>3.64</v>
      </c>
      <c r="AD705" s="320">
        <f>IFERROR(__xludf.DUMMYFUNCTION("""COMPUTED_VALUE"""),1.0)</f>
        <v>1</v>
      </c>
      <c r="AE705" s="320">
        <f>IFERROR(__xludf.DUMMYFUNCTION("""COMPUTED_VALUE"""),2.0)</f>
        <v>2</v>
      </c>
      <c r="AF705" s="320">
        <f>IFERROR(__xludf.DUMMYFUNCTION("""COMPUTED_VALUE"""),5.0)</f>
        <v>5</v>
      </c>
      <c r="AG705" s="320">
        <f>IFERROR(__xludf.DUMMYFUNCTION("""COMPUTED_VALUE"""),8.0)</f>
        <v>8</v>
      </c>
      <c r="AH705" s="320">
        <f>IFERROR(__xludf.DUMMYFUNCTION("""COMPUTED_VALUE"""),68.45)</f>
        <v>68.45</v>
      </c>
      <c r="AI705" s="320">
        <f>IFERROR(__xludf.DUMMYFUNCTION("""COMPUTED_VALUE"""),25.34)</f>
        <v>25.34</v>
      </c>
      <c r="AJ705" s="320">
        <f>IFERROR(__xludf.DUMMYFUNCTION("""COMPUTED_VALUE"""),7.17)</f>
        <v>7.17</v>
      </c>
      <c r="AK705" s="320">
        <f>IFERROR(__xludf.DUMMYFUNCTION("""COMPUTED_VALUE"""),0.2117)</f>
        <v>0.2117</v>
      </c>
      <c r="AL705" s="320">
        <f>IFERROR(__xludf.DUMMYFUNCTION("""COMPUTED_VALUE"""),19.28)</f>
        <v>19.28</v>
      </c>
      <c r="AM705" s="320">
        <f>IFERROR(__xludf.DUMMYFUNCTION("""COMPUTED_VALUE"""),68.55)</f>
        <v>68.55</v>
      </c>
      <c r="AN705" s="320">
        <f>IFERROR(__xludf.DUMMYFUNCTION("""COMPUTED_VALUE"""),67.73)</f>
        <v>67.73</v>
      </c>
      <c r="AO705" s="320">
        <f>IFERROR(__xludf.DUMMYFUNCTION("""COMPUTED_VALUE"""),13.06)</f>
        <v>13.06</v>
      </c>
    </row>
    <row r="706" ht="15.0" customHeight="1">
      <c r="A706" s="328">
        <f>IFERROR(__xludf.DUMMYFUNCTION("""COMPUTED_VALUE"""),46167.0)</f>
        <v>46167</v>
      </c>
      <c r="B706" s="319" t="str">
        <f>IFERROR(__xludf.DUMMYFUNCTION("""COMPUTED_VALUE"""),"C. 10-19")</f>
        <v>C. 10-19</v>
      </c>
      <c r="C706" s="320">
        <f>IFERROR(__xludf.DUMMYFUNCTION("""COMPUTED_VALUE"""),15460.0)</f>
        <v>15460</v>
      </c>
      <c r="D706" s="320">
        <f>IFERROR(__xludf.DUMMYFUNCTION("""COMPUTED_VALUE"""),21.31)</f>
        <v>21.31</v>
      </c>
      <c r="E706" s="320">
        <f>IFERROR(__xludf.DUMMYFUNCTION("""COMPUTED_VALUE"""),16409.84)</f>
        <v>16409.84</v>
      </c>
      <c r="F706" s="320">
        <f>IFERROR(__xludf.DUMMYFUNCTION("""COMPUTED_VALUE"""),1.0614)</f>
        <v>1.0614</v>
      </c>
      <c r="G706" s="320">
        <f>IFERROR(__xludf.DUMMYFUNCTION("""COMPUTED_VALUE"""),20.91)</f>
        <v>20.91</v>
      </c>
      <c r="H706" s="320">
        <f>IFERROR(__xludf.DUMMYFUNCTION("""COMPUTED_VALUE"""),5.0773)</f>
        <v>5.0773</v>
      </c>
      <c r="I706" s="320">
        <f>IFERROR(__xludf.DUMMYFUNCTION("""COMPUTED_VALUE"""),66.27)</f>
        <v>66.27</v>
      </c>
      <c r="J706" s="320">
        <f>IFERROR(__xludf.DUMMYFUNCTION("""COMPUTED_VALUE"""),37.87)</f>
        <v>37.87</v>
      </c>
      <c r="K706" s="320">
        <f>IFERROR(__xludf.DUMMYFUNCTION("""COMPUTED_VALUE"""),15.56)</f>
        <v>15.56</v>
      </c>
      <c r="L706" s="320">
        <f>IFERROR(__xludf.DUMMYFUNCTION("""COMPUTED_VALUE"""),0.4108)</f>
        <v>0.4108</v>
      </c>
      <c r="M706" s="320">
        <f>IFERROR(__xludf.DUMMYFUNCTION("""COMPUTED_VALUE"""),0.6522)</f>
        <v>0.6522</v>
      </c>
      <c r="N706" s="320">
        <f>IFERROR(__xludf.DUMMYFUNCTION("""COMPUTED_VALUE"""),0.3651)</f>
        <v>0.3651</v>
      </c>
      <c r="O706" s="320">
        <f>IFERROR(__xludf.DUMMYFUNCTION("""COMPUTED_VALUE"""),2.4342)</f>
        <v>2.4342</v>
      </c>
      <c r="P706" s="320">
        <f>IFERROR(__xludf.DUMMYFUNCTION("""COMPUTED_VALUE"""),216.3)</f>
        <v>216.3</v>
      </c>
      <c r="Q706" s="320">
        <f>IFERROR(__xludf.DUMMYFUNCTION("""COMPUTED_VALUE"""),192.21)</f>
        <v>192.21</v>
      </c>
      <c r="R706" s="320">
        <f>IFERROR(__xludf.DUMMYFUNCTION("""COMPUTED_VALUE"""),24.1)</f>
        <v>24.1</v>
      </c>
      <c r="S706" s="320">
        <f>IFERROR(__xludf.DUMMYFUNCTION("""COMPUTED_VALUE"""),71.03)</f>
        <v>71.03</v>
      </c>
      <c r="T706" s="320">
        <f>IFERROR(__xludf.DUMMYFUNCTION("""COMPUTED_VALUE"""),145.27)</f>
        <v>145.27</v>
      </c>
      <c r="U706" s="320">
        <f>IFERROR(__xludf.DUMMYFUNCTION("""COMPUTED_VALUE"""),211.13)</f>
        <v>211.13</v>
      </c>
      <c r="V706" s="320">
        <f>IFERROR(__xludf.DUMMYFUNCTION("""COMPUTED_VALUE"""),5.5759)</f>
        <v>5.5759</v>
      </c>
      <c r="W706" s="320">
        <f>IFERROR(__xludf.DUMMYFUNCTION("""COMPUTED_VALUE"""),32.84)</f>
        <v>32.84</v>
      </c>
      <c r="X706" s="320">
        <f>IFERROR(__xludf.DUMMYFUNCTION("""COMPUTED_VALUE"""),86.0)</f>
        <v>86</v>
      </c>
      <c r="Y706" s="320">
        <f>IFERROR(__xludf.DUMMYFUNCTION("""COMPUTED_VALUE"""),203.0)</f>
        <v>203</v>
      </c>
      <c r="Z706" s="320">
        <f>IFERROR(__xludf.DUMMYFUNCTION("""COMPUTED_VALUE"""),637.0)</f>
        <v>637</v>
      </c>
      <c r="AA706" s="320">
        <f>IFERROR(__xludf.DUMMYFUNCTION("""COMPUTED_VALUE"""),52.5408)</f>
        <v>52.5408</v>
      </c>
      <c r="AB706" s="320">
        <f>IFERROR(__xludf.DUMMYFUNCTION("""COMPUTED_VALUE"""),0.5097)</f>
        <v>0.5097</v>
      </c>
      <c r="AC706" s="320">
        <f>IFERROR(__xludf.DUMMYFUNCTION("""COMPUTED_VALUE"""),9.62)</f>
        <v>9.62</v>
      </c>
      <c r="AD706" s="320">
        <f>IFERROR(__xludf.DUMMYFUNCTION("""COMPUTED_VALUE"""),3.0)</f>
        <v>3</v>
      </c>
      <c r="AE706" s="320">
        <f>IFERROR(__xludf.DUMMYFUNCTION("""COMPUTED_VALUE"""),7.0)</f>
        <v>7</v>
      </c>
      <c r="AF706" s="320">
        <f>IFERROR(__xludf.DUMMYFUNCTION("""COMPUTED_VALUE"""),13.0)</f>
        <v>13</v>
      </c>
      <c r="AG706" s="320">
        <f>IFERROR(__xludf.DUMMYFUNCTION("""COMPUTED_VALUE"""),22.0)</f>
        <v>22</v>
      </c>
      <c r="AH706" s="320">
        <f>IFERROR(__xludf.DUMMYFUNCTION("""COMPUTED_VALUE"""),56.65)</f>
        <v>56.65</v>
      </c>
      <c r="AI706" s="320">
        <f>IFERROR(__xludf.DUMMYFUNCTION("""COMPUTED_VALUE"""),27.83)</f>
        <v>27.83</v>
      </c>
      <c r="AJ706" s="320">
        <f>IFERROR(__xludf.DUMMYFUNCTION("""COMPUTED_VALUE"""),6.57)</f>
        <v>6.57</v>
      </c>
      <c r="AK706" s="320">
        <f>IFERROR(__xludf.DUMMYFUNCTION("""COMPUTED_VALUE"""),0.1816)</f>
        <v>0.1816</v>
      </c>
      <c r="AL706" s="320">
        <f>IFERROR(__xludf.DUMMYFUNCTION("""COMPUTED_VALUE"""),19.59)</f>
        <v>19.59</v>
      </c>
      <c r="AM706" s="320">
        <f>IFERROR(__xludf.DUMMYFUNCTION("""COMPUTED_VALUE"""),172.62)</f>
        <v>172.62</v>
      </c>
      <c r="AN706" s="320">
        <f>IFERROR(__xludf.DUMMYFUNCTION("""COMPUTED_VALUE"""),71.92)</f>
        <v>71.92</v>
      </c>
      <c r="AO706" s="320">
        <f>IFERROR(__xludf.DUMMYFUNCTION("""COMPUTED_VALUE"""),14.09)</f>
        <v>14.09</v>
      </c>
    </row>
    <row r="707" ht="15.0" customHeight="1">
      <c r="A707" s="328">
        <f>IFERROR(__xludf.DUMMYFUNCTION("""COMPUTED_VALUE"""),46167.0)</f>
        <v>46167</v>
      </c>
      <c r="B707" s="319" t="str">
        <f>IFERROR(__xludf.DUMMYFUNCTION("""COMPUTED_VALUE"""),"D. 20-39")</f>
        <v>D. 20-39</v>
      </c>
      <c r="C707" s="320">
        <f>IFERROR(__xludf.DUMMYFUNCTION("""COMPUTED_VALUE"""),7858.0)</f>
        <v>7858</v>
      </c>
      <c r="D707" s="320">
        <f>IFERROR(__xludf.DUMMYFUNCTION("""COMPUTED_VALUE"""),10.83)</f>
        <v>10.83</v>
      </c>
      <c r="E707" s="320">
        <f>IFERROR(__xludf.DUMMYFUNCTION("""COMPUTED_VALUE"""),21381.61)</f>
        <v>21381.61</v>
      </c>
      <c r="F707" s="320">
        <f>IFERROR(__xludf.DUMMYFUNCTION("""COMPUTED_VALUE"""),2.721)</f>
        <v>2.721</v>
      </c>
      <c r="G707" s="320">
        <f>IFERROR(__xludf.DUMMYFUNCTION("""COMPUTED_VALUE"""),34.93)</f>
        <v>34.93</v>
      </c>
      <c r="H707" s="320">
        <f>IFERROR(__xludf.DUMMYFUNCTION("""COMPUTED_VALUE"""),7.7893)</f>
        <v>7.7893</v>
      </c>
      <c r="I707" s="320">
        <f>IFERROR(__xludf.DUMMYFUNCTION("""COMPUTED_VALUE"""),94.09)</f>
        <v>94.09</v>
      </c>
      <c r="J707" s="320">
        <f>IFERROR(__xludf.DUMMYFUNCTION("""COMPUTED_VALUE"""),56.34)</f>
        <v>56.34</v>
      </c>
      <c r="K707" s="320">
        <f>IFERROR(__xludf.DUMMYFUNCTION("""COMPUTED_VALUE"""),32.07)</f>
        <v>32.07</v>
      </c>
      <c r="L707" s="320">
        <f>IFERROR(__xludf.DUMMYFUNCTION("""COMPUTED_VALUE"""),0.5693)</f>
        <v>0.5693</v>
      </c>
      <c r="M707" s="320">
        <f>IFERROR(__xludf.DUMMYFUNCTION("""COMPUTED_VALUE"""),0.5063)</f>
        <v>0.5063</v>
      </c>
      <c r="N707" s="320">
        <f>IFERROR(__xludf.DUMMYFUNCTION("""COMPUTED_VALUE"""),0.2772)</f>
        <v>0.2772</v>
      </c>
      <c r="O707" s="320">
        <f>IFERROR(__xludf.DUMMYFUNCTION("""COMPUTED_VALUE"""),1.7567)</f>
        <v>1.7567</v>
      </c>
      <c r="P707" s="320">
        <f>IFERROR(__xludf.DUMMYFUNCTION("""COMPUTED_VALUE"""),421.01)</f>
        <v>421.01</v>
      </c>
      <c r="Q707" s="320">
        <f>IFERROR(__xludf.DUMMYFUNCTION("""COMPUTED_VALUE"""),371.64)</f>
        <v>371.64</v>
      </c>
      <c r="R707" s="320">
        <f>IFERROR(__xludf.DUMMYFUNCTION("""COMPUTED_VALUE"""),49.37)</f>
        <v>49.37</v>
      </c>
      <c r="S707" s="320">
        <f>IFERROR(__xludf.DUMMYFUNCTION("""COMPUTED_VALUE"""),174.59)</f>
        <v>174.59</v>
      </c>
      <c r="T707" s="320">
        <f>IFERROR(__xludf.DUMMYFUNCTION("""COMPUTED_VALUE"""),246.42)</f>
        <v>246.42</v>
      </c>
      <c r="U707" s="320">
        <f>IFERROR(__xludf.DUMMYFUNCTION("""COMPUTED_VALUE"""),426.03)</f>
        <v>426.03</v>
      </c>
      <c r="V707" s="320">
        <f>IFERROR(__xludf.DUMMYFUNCTION("""COMPUTED_VALUE"""),7.562)</f>
        <v>7.562</v>
      </c>
      <c r="W707" s="320">
        <f>IFERROR(__xludf.DUMMYFUNCTION("""COMPUTED_VALUE"""),41.47)</f>
        <v>41.47</v>
      </c>
      <c r="X707" s="320">
        <f>IFERROR(__xludf.DUMMYFUNCTION("""COMPUTED_VALUE"""),92.0)</f>
        <v>92</v>
      </c>
      <c r="Y707" s="320">
        <f>IFERROR(__xludf.DUMMYFUNCTION("""COMPUTED_VALUE"""),252.0)</f>
        <v>252</v>
      </c>
      <c r="Z707" s="320">
        <f>IFERROR(__xludf.DUMMYFUNCTION("""COMPUTED_VALUE"""),798.0)</f>
        <v>798</v>
      </c>
      <c r="AA707" s="320">
        <f>IFERROR(__xludf.DUMMYFUNCTION("""COMPUTED_VALUE"""),54.9316)</f>
        <v>54.9316</v>
      </c>
      <c r="AB707" s="320">
        <f>IFERROR(__xludf.DUMMYFUNCTION("""COMPUTED_VALUE"""),0.6117)</f>
        <v>0.6117</v>
      </c>
      <c r="AC707" s="320">
        <f>IFERROR(__xludf.DUMMYFUNCTION("""COMPUTED_VALUE"""),19.59)</f>
        <v>19.59</v>
      </c>
      <c r="AD707" s="320">
        <f>IFERROR(__xludf.DUMMYFUNCTION("""COMPUTED_VALUE"""),7.0)</f>
        <v>7</v>
      </c>
      <c r="AE707" s="320">
        <f>IFERROR(__xludf.DUMMYFUNCTION("""COMPUTED_VALUE"""),16.0)</f>
        <v>16</v>
      </c>
      <c r="AF707" s="320">
        <f>IFERROR(__xludf.DUMMYFUNCTION("""COMPUTED_VALUE"""),28.0)</f>
        <v>28</v>
      </c>
      <c r="AG707" s="320">
        <f>IFERROR(__xludf.DUMMYFUNCTION("""COMPUTED_VALUE"""),40.0)</f>
        <v>40</v>
      </c>
      <c r="AH707" s="320">
        <f>IFERROR(__xludf.DUMMYFUNCTION("""COMPUTED_VALUE"""),62.78)</f>
        <v>62.78</v>
      </c>
      <c r="AI707" s="320">
        <f>IFERROR(__xludf.DUMMYFUNCTION("""COMPUTED_VALUE"""),28.98)</f>
        <v>28.98</v>
      </c>
      <c r="AJ707" s="320">
        <f>IFERROR(__xludf.DUMMYFUNCTION("""COMPUTED_VALUE"""),8.21)</f>
        <v>8.21</v>
      </c>
      <c r="AK707" s="320">
        <f>IFERROR(__xludf.DUMMYFUNCTION("""COMPUTED_VALUE"""),0.2034)</f>
        <v>0.2034</v>
      </c>
      <c r="AL707" s="320">
        <f>IFERROR(__xludf.DUMMYFUNCTION("""COMPUTED_VALUE"""),19.36)</f>
        <v>19.36</v>
      </c>
      <c r="AM707" s="320">
        <f>IFERROR(__xludf.DUMMYFUNCTION("""COMPUTED_VALUE"""),352.27)</f>
        <v>352.27</v>
      </c>
      <c r="AN707" s="320">
        <f>IFERROR(__xludf.DUMMYFUNCTION("""COMPUTED_VALUE"""),68.16)</f>
        <v>68.16</v>
      </c>
      <c r="AO707" s="320">
        <f>IFERROR(__xludf.DUMMYFUNCTION("""COMPUTED_VALUE"""),13.2)</f>
        <v>13.2</v>
      </c>
    </row>
    <row r="708" ht="15.0" customHeight="1">
      <c r="A708" s="328">
        <f>IFERROR(__xludf.DUMMYFUNCTION("""COMPUTED_VALUE"""),46167.0)</f>
        <v>46167</v>
      </c>
      <c r="B708" s="319" t="str">
        <f>IFERROR(__xludf.DUMMYFUNCTION("""COMPUTED_VALUE"""),"E. 40-99")</f>
        <v>E. 40-99</v>
      </c>
      <c r="C708" s="320">
        <f>IFERROR(__xludf.DUMMYFUNCTION("""COMPUTED_VALUE"""),3061.0)</f>
        <v>3061</v>
      </c>
      <c r="D708" s="320">
        <f>IFERROR(__xludf.DUMMYFUNCTION("""COMPUTED_VALUE"""),4.22)</f>
        <v>4.22</v>
      </c>
      <c r="E708" s="320">
        <f>IFERROR(__xludf.DUMMYFUNCTION("""COMPUTED_VALUE"""),19412.81)</f>
        <v>19412.81</v>
      </c>
      <c r="F708" s="320">
        <f>IFERROR(__xludf.DUMMYFUNCTION("""COMPUTED_VALUE"""),6.342)</f>
        <v>6.342</v>
      </c>
      <c r="G708" s="320">
        <f>IFERROR(__xludf.DUMMYFUNCTION("""COMPUTED_VALUE"""),44.23)</f>
        <v>44.23</v>
      </c>
      <c r="H708" s="320">
        <f>IFERROR(__xludf.DUMMYFUNCTION("""COMPUTED_VALUE"""),14.3374)</f>
        <v>14.3374</v>
      </c>
      <c r="I708" s="320">
        <f>IFERROR(__xludf.DUMMYFUNCTION("""COMPUTED_VALUE"""),140.04)</f>
        <v>140.04</v>
      </c>
      <c r="J708" s="320">
        <f>IFERROR(__xludf.DUMMYFUNCTION("""COMPUTED_VALUE"""),87.72)</f>
        <v>87.72</v>
      </c>
      <c r="K708" s="320">
        <f>IFERROR(__xludf.DUMMYFUNCTION("""COMPUTED_VALUE"""),64.14)</f>
        <v>64.14</v>
      </c>
      <c r="L708" s="320">
        <f>IFERROR(__xludf.DUMMYFUNCTION("""COMPUTED_VALUE"""),0.7311)</f>
        <v>0.7311</v>
      </c>
      <c r="M708" s="320">
        <f>IFERROR(__xludf.DUMMYFUNCTION("""COMPUTED_VALUE"""),0.3577)</f>
        <v>0.3577</v>
      </c>
      <c r="N708" s="320">
        <f>IFERROR(__xludf.DUMMYFUNCTION("""COMPUTED_VALUE"""),0.2114)</f>
        <v>0.2114</v>
      </c>
      <c r="O708" s="320">
        <f>IFERROR(__xludf.DUMMYFUNCTION("""COMPUTED_VALUE"""),1.3677)</f>
        <v>1.3677</v>
      </c>
      <c r="P708" s="320">
        <f>IFERROR(__xludf.DUMMYFUNCTION("""COMPUTED_VALUE"""),837.72)</f>
        <v>837.72</v>
      </c>
      <c r="Q708" s="320">
        <f>IFERROR(__xludf.DUMMYFUNCTION("""COMPUTED_VALUE"""),741.1)</f>
        <v>741.1</v>
      </c>
      <c r="R708" s="320">
        <f>IFERROR(__xludf.DUMMYFUNCTION("""COMPUTED_VALUE"""),96.62)</f>
        <v>96.62</v>
      </c>
      <c r="S708" s="320">
        <f>IFERROR(__xludf.DUMMYFUNCTION("""COMPUTED_VALUE"""),404.81)</f>
        <v>404.81</v>
      </c>
      <c r="T708" s="320">
        <f>IFERROR(__xludf.DUMMYFUNCTION("""COMPUTED_VALUE"""),432.91)</f>
        <v>432.91</v>
      </c>
      <c r="U708" s="320">
        <f>IFERROR(__xludf.DUMMYFUNCTION("""COMPUTED_VALUE"""),831.97)</f>
        <v>831.97</v>
      </c>
      <c r="V708" s="320">
        <f>IFERROR(__xludf.DUMMYFUNCTION("""COMPUTED_VALUE"""),9.4841)</f>
        <v>9.4841</v>
      </c>
      <c r="W708" s="320">
        <f>IFERROR(__xludf.DUMMYFUNCTION("""COMPUTED_VALUE"""),48.32)</f>
        <v>48.32</v>
      </c>
      <c r="X708" s="320">
        <f>IFERROR(__xludf.DUMMYFUNCTION("""COMPUTED_VALUE"""),121.0)</f>
        <v>121</v>
      </c>
      <c r="Y708" s="320">
        <f>IFERROR(__xludf.DUMMYFUNCTION("""COMPUTED_VALUE"""),426.0)</f>
        <v>426</v>
      </c>
      <c r="Z708" s="320">
        <f>IFERROR(__xludf.DUMMYFUNCTION("""COMPUTED_VALUE"""),1322.0)</f>
        <v>1322</v>
      </c>
      <c r="AA708" s="320">
        <f>IFERROR(__xludf.DUMMYFUNCTION("""COMPUTED_VALUE"""),58.2392)</f>
        <v>58.2392</v>
      </c>
      <c r="AB708" s="320">
        <f>IFERROR(__xludf.DUMMYFUNCTION("""COMPUTED_VALUE"""),0.7094)</f>
        <v>0.7094</v>
      </c>
      <c r="AC708" s="320">
        <f>IFERROR(__xludf.DUMMYFUNCTION("""COMPUTED_VALUE"""),40.03)</f>
        <v>40.03</v>
      </c>
      <c r="AD708" s="320">
        <f>IFERROR(__xludf.DUMMYFUNCTION("""COMPUTED_VALUE"""),15.0)</f>
        <v>15</v>
      </c>
      <c r="AE708" s="320">
        <f>IFERROR(__xludf.DUMMYFUNCTION("""COMPUTED_VALUE"""),33.0)</f>
        <v>33</v>
      </c>
      <c r="AF708" s="320">
        <f>IFERROR(__xludf.DUMMYFUNCTION("""COMPUTED_VALUE"""),53.0)</f>
        <v>53</v>
      </c>
      <c r="AG708" s="320">
        <f>IFERROR(__xludf.DUMMYFUNCTION("""COMPUTED_VALUE"""),84.0)</f>
        <v>84</v>
      </c>
      <c r="AH708" s="320">
        <f>IFERROR(__xludf.DUMMYFUNCTION("""COMPUTED_VALUE"""),56.39)</f>
        <v>56.39</v>
      </c>
      <c r="AI708" s="320">
        <f>IFERROR(__xludf.DUMMYFUNCTION("""COMPUTED_VALUE"""),21.14)</f>
        <v>21.14</v>
      </c>
      <c r="AJ708" s="320">
        <f>IFERROR(__xludf.DUMMYFUNCTION("""COMPUTED_VALUE"""),6.27)</f>
        <v>6.27</v>
      </c>
      <c r="AK708" s="320">
        <f>IFERROR(__xludf.DUMMYFUNCTION("""COMPUTED_VALUE"""),0.1927)</f>
        <v>0.1927</v>
      </c>
      <c r="AL708" s="320">
        <f>IFERROR(__xludf.DUMMYFUNCTION("""COMPUTED_VALUE"""),19.82)</f>
        <v>19.82</v>
      </c>
      <c r="AM708" s="320">
        <f>IFERROR(__xludf.DUMMYFUNCTION("""COMPUTED_VALUE"""),721.28)</f>
        <v>721.28</v>
      </c>
      <c r="AN708" s="320">
        <f>IFERROR(__xludf.DUMMYFUNCTION("""COMPUTED_VALUE"""),66.37)</f>
        <v>66.37</v>
      </c>
      <c r="AO708" s="320">
        <f>IFERROR(__xludf.DUMMYFUNCTION("""COMPUTED_VALUE"""),13.15)</f>
        <v>13.15</v>
      </c>
    </row>
    <row r="709" ht="15.0" customHeight="1">
      <c r="A709" s="328">
        <f>IFERROR(__xludf.DUMMYFUNCTION("""COMPUTED_VALUE"""),46167.0)</f>
        <v>46167</v>
      </c>
      <c r="B709" s="319" t="str">
        <f>IFERROR(__xludf.DUMMYFUNCTION("""COMPUTED_VALUE"""),"F. 100+")</f>
        <v>F. 100+</v>
      </c>
      <c r="C709" s="320">
        <f>IFERROR(__xludf.DUMMYFUNCTION("""COMPUTED_VALUE"""),275.0)</f>
        <v>275</v>
      </c>
      <c r="D709" s="320">
        <f>IFERROR(__xludf.DUMMYFUNCTION("""COMPUTED_VALUE"""),0.38)</f>
        <v>0.38</v>
      </c>
      <c r="E709" s="320">
        <f>IFERROR(__xludf.DUMMYFUNCTION("""COMPUTED_VALUE"""),2990.47)</f>
        <v>2990.47</v>
      </c>
      <c r="F709" s="320">
        <f>IFERROR(__xludf.DUMMYFUNCTION("""COMPUTED_VALUE"""),10.8744)</f>
        <v>10.8744</v>
      </c>
      <c r="G709" s="320">
        <f>IFERROR(__xludf.DUMMYFUNCTION("""COMPUTED_VALUE"""),52.36)</f>
        <v>52.36</v>
      </c>
      <c r="H709" s="320">
        <f>IFERROR(__xludf.DUMMYFUNCTION("""COMPUTED_VALUE"""),20.7672)</f>
        <v>20.7672</v>
      </c>
      <c r="I709" s="320">
        <f>IFERROR(__xludf.DUMMYFUNCTION("""COMPUTED_VALUE"""),249.0)</f>
        <v>249</v>
      </c>
      <c r="J709" s="320">
        <f>IFERROR(__xludf.DUMMYFUNCTION("""COMPUTED_VALUE"""),159.62)</f>
        <v>159.62</v>
      </c>
      <c r="K709" s="320">
        <f>IFERROR(__xludf.DUMMYFUNCTION("""COMPUTED_VALUE"""),134.63)</f>
        <v>134.63</v>
      </c>
      <c r="L709" s="320">
        <f>IFERROR(__xludf.DUMMYFUNCTION("""COMPUTED_VALUE"""),0.8434)</f>
        <v>0.8434</v>
      </c>
      <c r="M709" s="320">
        <f>IFERROR(__xludf.DUMMYFUNCTION("""COMPUTED_VALUE"""),0.248)</f>
        <v>0.248</v>
      </c>
      <c r="N709" s="320">
        <f>IFERROR(__xludf.DUMMYFUNCTION("""COMPUTED_VALUE"""),0.1544)</f>
        <v>0.1544</v>
      </c>
      <c r="O709" s="320">
        <f>IFERROR(__xludf.DUMMYFUNCTION("""COMPUTED_VALUE"""),1.1856)</f>
        <v>1.1856</v>
      </c>
      <c r="P709" s="320">
        <f>IFERROR(__xludf.DUMMYFUNCTION("""COMPUTED_VALUE"""),1507.83)</f>
        <v>1507.83</v>
      </c>
      <c r="Q709" s="320">
        <f>IFERROR(__xludf.DUMMYFUNCTION("""COMPUTED_VALUE"""),1267.65)</f>
        <v>1267.65</v>
      </c>
      <c r="R709" s="320">
        <f>IFERROR(__xludf.DUMMYFUNCTION("""COMPUTED_VALUE"""),240.18)</f>
        <v>240.18</v>
      </c>
      <c r="S709" s="320">
        <f>IFERROR(__xludf.DUMMYFUNCTION("""COMPUTED_VALUE"""),703.35)</f>
        <v>703.35</v>
      </c>
      <c r="T709" s="320">
        <f>IFERROR(__xludf.DUMMYFUNCTION("""COMPUTED_VALUE"""),804.49)</f>
        <v>804.49</v>
      </c>
      <c r="U709" s="320">
        <f>IFERROR(__xludf.DUMMYFUNCTION("""COMPUTED_VALUE"""),1606.73)</f>
        <v>1606.73</v>
      </c>
      <c r="V709" s="320">
        <f>IFERROR(__xludf.DUMMYFUNCTION("""COMPUTED_VALUE"""),10.0658)</f>
        <v>10.0658</v>
      </c>
      <c r="W709" s="320">
        <f>IFERROR(__xludf.DUMMYFUNCTION("""COMPUTED_VALUE"""),46.65)</f>
        <v>46.65</v>
      </c>
      <c r="X709" s="320">
        <f>IFERROR(__xludf.DUMMYFUNCTION("""COMPUTED_VALUE"""),211.0)</f>
        <v>211</v>
      </c>
      <c r="Y709" s="320">
        <f>IFERROR(__xludf.DUMMYFUNCTION("""COMPUTED_VALUE"""),574.0)</f>
        <v>574</v>
      </c>
      <c r="Z709" s="320">
        <f>IFERROR(__xludf.DUMMYFUNCTION("""COMPUTED_VALUE"""),2897.0)</f>
        <v>2897</v>
      </c>
      <c r="AA709" s="320">
        <f>IFERROR(__xludf.DUMMYFUNCTION("""COMPUTED_VALUE"""),62.4408)</f>
        <v>62.4408</v>
      </c>
      <c r="AB709" s="320">
        <f>IFERROR(__xludf.DUMMYFUNCTION("""COMPUTED_VALUE"""),0.8392)</f>
        <v>0.8392</v>
      </c>
      <c r="AC709" s="320">
        <f>IFERROR(__xludf.DUMMYFUNCTION("""COMPUTED_VALUE"""),97.27)</f>
        <v>97.27</v>
      </c>
      <c r="AD709" s="320">
        <f>IFERROR(__xludf.DUMMYFUNCTION("""COMPUTED_VALUE"""),32.0)</f>
        <v>32</v>
      </c>
      <c r="AE709" s="320">
        <f>IFERROR(__xludf.DUMMYFUNCTION("""COMPUTED_VALUE"""),82.0)</f>
        <v>82</v>
      </c>
      <c r="AF709" s="320">
        <f>IFERROR(__xludf.DUMMYFUNCTION("""COMPUTED_VALUE"""),138.0)</f>
        <v>138</v>
      </c>
      <c r="AG709" s="320">
        <f>IFERROR(__xludf.DUMMYFUNCTION("""COMPUTED_VALUE"""),208.0)</f>
        <v>208</v>
      </c>
      <c r="AH709" s="320">
        <f>IFERROR(__xludf.DUMMYFUNCTION("""COMPUTED_VALUE"""),51.64)</f>
        <v>51.64</v>
      </c>
      <c r="AI709" s="320">
        <f>IFERROR(__xludf.DUMMYFUNCTION("""COMPUTED_VALUE"""),14.18)</f>
        <v>14.18</v>
      </c>
      <c r="AJ709" s="320">
        <f>IFERROR(__xludf.DUMMYFUNCTION("""COMPUTED_VALUE"""),2.55)</f>
        <v>2.55</v>
      </c>
      <c r="AK709" s="320">
        <f>IFERROR(__xludf.DUMMYFUNCTION("""COMPUTED_VALUE"""),0.1345)</f>
        <v>0.1345</v>
      </c>
      <c r="AL709" s="320">
        <f>IFERROR(__xludf.DUMMYFUNCTION("""COMPUTED_VALUE"""),20.4)</f>
        <v>20.4</v>
      </c>
      <c r="AM709" s="320">
        <f>IFERROR(__xludf.DUMMYFUNCTION("""COMPUTED_VALUE"""),1247.25)</f>
        <v>1247.25</v>
      </c>
      <c r="AN709" s="320">
        <f>IFERROR(__xludf.DUMMYFUNCTION("""COMPUTED_VALUE"""),67.01)</f>
        <v>67.01</v>
      </c>
      <c r="AO709" s="320">
        <f>IFERROR(__xludf.DUMMYFUNCTION("""COMPUTED_VALUE"""),13.67)</f>
        <v>13.67</v>
      </c>
    </row>
    <row r="710" ht="15.0" customHeight="1">
      <c r="A710" s="328">
        <f>IFERROR(__xludf.DUMMYFUNCTION("""COMPUTED_VALUE"""),46168.0)</f>
        <v>46168</v>
      </c>
      <c r="B710" s="319" t="str">
        <f>IFERROR(__xludf.DUMMYFUNCTION("""COMPUTED_VALUE"""),"A. 0")</f>
        <v>A. 0</v>
      </c>
      <c r="C710" s="320">
        <f>IFERROR(__xludf.DUMMYFUNCTION("""COMPUTED_VALUE"""),14328.0)</f>
        <v>14328</v>
      </c>
      <c r="D710" s="320">
        <f>IFERROR(__xludf.DUMMYFUNCTION("""COMPUTED_VALUE"""),20.03)</f>
        <v>20.03</v>
      </c>
      <c r="E710" s="320">
        <f>IFERROR(__xludf.DUMMYFUNCTION("""COMPUTED_VALUE"""),272.09)</f>
        <v>272.09</v>
      </c>
      <c r="F710" s="320">
        <f>IFERROR(__xludf.DUMMYFUNCTION("""COMPUTED_VALUE"""),0.019)</f>
        <v>0.019</v>
      </c>
      <c r="G710" s="320">
        <f>IFERROR(__xludf.DUMMYFUNCTION("""COMPUTED_VALUE"""),0.55)</f>
        <v>0.55</v>
      </c>
      <c r="H710" s="320">
        <f>IFERROR(__xludf.DUMMYFUNCTION("""COMPUTED_VALUE"""),3.4442)</f>
        <v>3.4442</v>
      </c>
      <c r="I710" s="320">
        <f>IFERROR(__xludf.DUMMYFUNCTION("""COMPUTED_VALUE"""),6.43)</f>
        <v>6.43</v>
      </c>
      <c r="J710" s="320">
        <f>IFERROR(__xludf.DUMMYFUNCTION("""COMPUTED_VALUE"""),2.85)</f>
        <v>2.85</v>
      </c>
      <c r="K710" s="320">
        <f>IFERROR(__xludf.DUMMYFUNCTION("""COMPUTED_VALUE"""),0.05)</f>
        <v>0.05</v>
      </c>
      <c r="L710" s="320">
        <f>IFERROR(__xludf.DUMMYFUNCTION("""COMPUTED_VALUE"""),0.0161)</f>
        <v>0.0161</v>
      </c>
      <c r="M710" s="320">
        <f>IFERROR(__xludf.DUMMYFUNCTION("""COMPUTED_VALUE"""),0.985)</f>
        <v>0.985</v>
      </c>
      <c r="N710" s="320">
        <f>IFERROR(__xludf.DUMMYFUNCTION("""COMPUTED_VALUE"""),0.7926)</f>
        <v>0.7926</v>
      </c>
      <c r="O710" s="320">
        <f>IFERROR(__xludf.DUMMYFUNCTION("""COMPUTED_VALUE"""),62.2458)</f>
        <v>62.2458</v>
      </c>
      <c r="P710" s="320">
        <f>IFERROR(__xludf.DUMMYFUNCTION("""COMPUTED_VALUE"""),35.19)</f>
        <v>35.19</v>
      </c>
      <c r="Q710" s="320">
        <f>IFERROR(__xludf.DUMMYFUNCTION("""COMPUTED_VALUE"""),35.11)</f>
        <v>35.11</v>
      </c>
      <c r="R710" s="320">
        <f>IFERROR(__xludf.DUMMYFUNCTION("""COMPUTED_VALUE"""),0.08)</f>
        <v>0.08</v>
      </c>
      <c r="S710" s="320">
        <f>IFERROR(__xludf.DUMMYFUNCTION("""COMPUTED_VALUE"""),0.97)</f>
        <v>0.97</v>
      </c>
      <c r="T710" s="320">
        <f>IFERROR(__xludf.DUMMYFUNCTION("""COMPUTED_VALUE"""),34.21)</f>
        <v>34.21</v>
      </c>
      <c r="U710" s="320">
        <f>IFERROR(__xludf.DUMMYFUNCTION("""COMPUTED_VALUE"""),2.74)</f>
        <v>2.74</v>
      </c>
      <c r="V710" s="320">
        <f>IFERROR(__xludf.DUMMYFUNCTION("""COMPUTED_VALUE"""),0.9615)</f>
        <v>0.9615</v>
      </c>
      <c r="W710" s="320">
        <f>IFERROR(__xludf.DUMMYFUNCTION("""COMPUTED_VALUE"""),2.77)</f>
        <v>2.77</v>
      </c>
      <c r="X710" s="320">
        <f>IFERROR(__xludf.DUMMYFUNCTION("""COMPUTED_VALUE"""),152.0)</f>
        <v>152</v>
      </c>
      <c r="Y710" s="320">
        <f>IFERROR(__xludf.DUMMYFUNCTION("""COMPUTED_VALUE"""),1151.0)</f>
        <v>1151</v>
      </c>
      <c r="Z710" s="320">
        <f>IFERROR(__xludf.DUMMYFUNCTION("""COMPUTED_VALUE"""),8193.0)</f>
        <v>8193</v>
      </c>
      <c r="AA710" s="320">
        <f>IFERROR(__xludf.DUMMYFUNCTION("""COMPUTED_VALUE"""),49.4295)</f>
        <v>49.4295</v>
      </c>
      <c r="AB710" s="320">
        <f>IFERROR(__xludf.DUMMYFUNCTION("""COMPUTED_VALUE"""),0.4917)</f>
        <v>0.4917</v>
      </c>
      <c r="AC710" s="106"/>
      <c r="AD710" s="106"/>
      <c r="AE710" s="106"/>
      <c r="AF710" s="106"/>
      <c r="AG710" s="106"/>
      <c r="AH710" s="320">
        <f>IFERROR(__xludf.DUMMYFUNCTION("""COMPUTED_VALUE"""),0.0)</f>
        <v>0</v>
      </c>
      <c r="AI710" s="320">
        <f>IFERROR(__xludf.DUMMYFUNCTION("""COMPUTED_VALUE"""),0.0)</f>
        <v>0</v>
      </c>
      <c r="AJ710" s="320">
        <f>IFERROR(__xludf.DUMMYFUNCTION("""COMPUTED_VALUE"""),0.0)</f>
        <v>0</v>
      </c>
      <c r="AK710" s="320">
        <f>IFERROR(__xludf.DUMMYFUNCTION("""COMPUTED_VALUE"""),0.2768)</f>
        <v>0.2768</v>
      </c>
      <c r="AL710" s="320">
        <f>IFERROR(__xludf.DUMMYFUNCTION("""COMPUTED_VALUE"""),20.99)</f>
        <v>20.99</v>
      </c>
      <c r="AM710" s="320">
        <f>IFERROR(__xludf.DUMMYFUNCTION("""COMPUTED_VALUE"""),14.12)</f>
        <v>14.12</v>
      </c>
      <c r="AN710" s="331"/>
      <c r="AO710" s="331"/>
    </row>
    <row r="711" ht="15.0" customHeight="1">
      <c r="A711" s="328">
        <f>IFERROR(__xludf.DUMMYFUNCTION("""COMPUTED_VALUE"""),46168.0)</f>
        <v>46168</v>
      </c>
      <c r="B711" s="319" t="str">
        <f>IFERROR(__xludf.DUMMYFUNCTION("""COMPUTED_VALUE"""),"B. 1-9")</f>
        <v>B. 1-9</v>
      </c>
      <c r="C711" s="320">
        <f>IFERROR(__xludf.DUMMYFUNCTION("""COMPUTED_VALUE"""),30206.0)</f>
        <v>30206</v>
      </c>
      <c r="D711" s="320">
        <f>IFERROR(__xludf.DUMMYFUNCTION("""COMPUTED_VALUE"""),42.23)</f>
        <v>42.23</v>
      </c>
      <c r="E711" s="320">
        <f>IFERROR(__xludf.DUMMYFUNCTION("""COMPUTED_VALUE"""),8813.66)</f>
        <v>8813.66</v>
      </c>
      <c r="F711" s="320">
        <f>IFERROR(__xludf.DUMMYFUNCTION("""COMPUTED_VALUE"""),0.2918)</f>
        <v>0.2918</v>
      </c>
      <c r="G711" s="320">
        <f>IFERROR(__xludf.DUMMYFUNCTION("""COMPUTED_VALUE"""),8.85)</f>
        <v>8.85</v>
      </c>
      <c r="H711" s="320">
        <f>IFERROR(__xludf.DUMMYFUNCTION("""COMPUTED_VALUE"""),3.2985)</f>
        <v>3.2985</v>
      </c>
      <c r="I711" s="320">
        <f>IFERROR(__xludf.DUMMYFUNCTION("""COMPUTED_VALUE"""),33.1)</f>
        <v>33.1</v>
      </c>
      <c r="J711" s="320">
        <f>IFERROR(__xludf.DUMMYFUNCTION("""COMPUTED_VALUE"""),17.69)</f>
        <v>17.69</v>
      </c>
      <c r="K711" s="320">
        <f>IFERROR(__xludf.DUMMYFUNCTION("""COMPUTED_VALUE"""),5.79)</f>
        <v>5.79</v>
      </c>
      <c r="L711" s="320">
        <f>IFERROR(__xludf.DUMMYFUNCTION("""COMPUTED_VALUE"""),0.3275)</f>
        <v>0.3275</v>
      </c>
      <c r="M711" s="320">
        <f>IFERROR(__xludf.DUMMYFUNCTION("""COMPUTED_VALUE"""),0.743)</f>
        <v>0.743</v>
      </c>
      <c r="N711" s="320">
        <f>IFERROR(__xludf.DUMMYFUNCTION("""COMPUTED_VALUE"""),0.4809)</f>
        <v>0.4809</v>
      </c>
      <c r="O711" s="320">
        <f>IFERROR(__xludf.DUMMYFUNCTION("""COMPUTED_VALUE"""),3.0533)</f>
        <v>3.0533</v>
      </c>
      <c r="P711" s="320">
        <f>IFERROR(__xludf.DUMMYFUNCTION("""COMPUTED_VALUE"""),89.69)</f>
        <v>89.69</v>
      </c>
      <c r="Q711" s="320">
        <f>IFERROR(__xludf.DUMMYFUNCTION("""COMPUTED_VALUE"""),79.81)</f>
        <v>79.81</v>
      </c>
      <c r="R711" s="320">
        <f>IFERROR(__xludf.DUMMYFUNCTION("""COMPUTED_VALUE"""),9.88)</f>
        <v>9.88</v>
      </c>
      <c r="S711" s="320">
        <f>IFERROR(__xludf.DUMMYFUNCTION("""COMPUTED_VALUE"""),14.97)</f>
        <v>14.97</v>
      </c>
      <c r="T711" s="320">
        <f>IFERROR(__xludf.DUMMYFUNCTION("""COMPUTED_VALUE"""),74.72)</f>
        <v>74.72</v>
      </c>
      <c r="U711" s="320">
        <f>IFERROR(__xludf.DUMMYFUNCTION("""COMPUTED_VALUE"""),80.92)</f>
        <v>80.92</v>
      </c>
      <c r="V711" s="320">
        <f>IFERROR(__xludf.DUMMYFUNCTION("""COMPUTED_VALUE"""),4.5744)</f>
        <v>4.5744</v>
      </c>
      <c r="W711" s="320">
        <f>IFERROR(__xludf.DUMMYFUNCTION("""COMPUTED_VALUE"""),16.7)</f>
        <v>16.7</v>
      </c>
      <c r="X711" s="320">
        <f>IFERROR(__xludf.DUMMYFUNCTION("""COMPUTED_VALUE"""),90.0)</f>
        <v>90</v>
      </c>
      <c r="Y711" s="320">
        <f>IFERROR(__xludf.DUMMYFUNCTION("""COMPUTED_VALUE"""),227.0)</f>
        <v>227</v>
      </c>
      <c r="Z711" s="320">
        <f>IFERROR(__xludf.DUMMYFUNCTION("""COMPUTED_VALUE"""),945.0)</f>
        <v>945</v>
      </c>
      <c r="AA711" s="320">
        <f>IFERROR(__xludf.DUMMYFUNCTION("""COMPUTED_VALUE"""),49.3584)</f>
        <v>49.3584</v>
      </c>
      <c r="AB711" s="320">
        <f>IFERROR(__xludf.DUMMYFUNCTION("""COMPUTED_VALUE"""),0.4336)</f>
        <v>0.4336</v>
      </c>
      <c r="AC711" s="320">
        <f>IFERROR(__xludf.DUMMYFUNCTION("""COMPUTED_VALUE"""),3.99)</f>
        <v>3.99</v>
      </c>
      <c r="AD711" s="320">
        <f>IFERROR(__xludf.DUMMYFUNCTION("""COMPUTED_VALUE"""),1.0)</f>
        <v>1</v>
      </c>
      <c r="AE711" s="320">
        <f>IFERROR(__xludf.DUMMYFUNCTION("""COMPUTED_VALUE"""),2.0)</f>
        <v>2</v>
      </c>
      <c r="AF711" s="320">
        <f>IFERROR(__xludf.DUMMYFUNCTION("""COMPUTED_VALUE"""),5.0)</f>
        <v>5</v>
      </c>
      <c r="AG711" s="320">
        <f>IFERROR(__xludf.DUMMYFUNCTION("""COMPUTED_VALUE"""),9.0)</f>
        <v>9</v>
      </c>
      <c r="AH711" s="320">
        <f>IFERROR(__xludf.DUMMYFUNCTION("""COMPUTED_VALUE"""),69.74)</f>
        <v>69.74</v>
      </c>
      <c r="AI711" s="320">
        <f>IFERROR(__xludf.DUMMYFUNCTION("""COMPUTED_VALUE"""),28.76)</f>
        <v>28.76</v>
      </c>
      <c r="AJ711" s="320">
        <f>IFERROR(__xludf.DUMMYFUNCTION("""COMPUTED_VALUE"""),9.29)</f>
        <v>9.29</v>
      </c>
      <c r="AK711" s="320">
        <f>IFERROR(__xludf.DUMMYFUNCTION("""COMPUTED_VALUE"""),0.206)</f>
        <v>0.206</v>
      </c>
      <c r="AL711" s="320">
        <f>IFERROR(__xludf.DUMMYFUNCTION("""COMPUTED_VALUE"""),29.0)</f>
        <v>29</v>
      </c>
      <c r="AM711" s="320">
        <f>IFERROR(__xludf.DUMMYFUNCTION("""COMPUTED_VALUE"""),50.81)</f>
        <v>50.81</v>
      </c>
      <c r="AN711" s="320">
        <f>IFERROR(__xludf.DUMMYFUNCTION("""COMPUTED_VALUE"""),67.42)</f>
        <v>67.42</v>
      </c>
      <c r="AO711" s="320">
        <f>IFERROR(__xludf.DUMMYFUNCTION("""COMPUTED_VALUE"""),19.55)</f>
        <v>19.55</v>
      </c>
    </row>
    <row r="712" ht="15.0" customHeight="1">
      <c r="A712" s="328">
        <f>IFERROR(__xludf.DUMMYFUNCTION("""COMPUTED_VALUE"""),46168.0)</f>
        <v>46168</v>
      </c>
      <c r="B712" s="319" t="str">
        <f>IFERROR(__xludf.DUMMYFUNCTION("""COMPUTED_VALUE"""),"C. 10-19")</f>
        <v>C. 10-19</v>
      </c>
      <c r="C712" s="320">
        <f>IFERROR(__xludf.DUMMYFUNCTION("""COMPUTED_VALUE"""),15831.0)</f>
        <v>15831</v>
      </c>
      <c r="D712" s="320">
        <f>IFERROR(__xludf.DUMMYFUNCTION("""COMPUTED_VALUE"""),22.13)</f>
        <v>22.13</v>
      </c>
      <c r="E712" s="320">
        <f>IFERROR(__xludf.DUMMYFUNCTION("""COMPUTED_VALUE"""),20407.45)</f>
        <v>20407.45</v>
      </c>
      <c r="F712" s="320">
        <f>IFERROR(__xludf.DUMMYFUNCTION("""COMPUTED_VALUE"""),1.2891)</f>
        <v>1.2891</v>
      </c>
      <c r="G712" s="320">
        <f>IFERROR(__xludf.DUMMYFUNCTION("""COMPUTED_VALUE"""),27.53)</f>
        <v>27.53</v>
      </c>
      <c r="H712" s="320">
        <f>IFERROR(__xludf.DUMMYFUNCTION("""COMPUTED_VALUE"""),4.6817)</f>
        <v>4.6817</v>
      </c>
      <c r="I712" s="320">
        <f>IFERROR(__xludf.DUMMYFUNCTION("""COMPUTED_VALUE"""),63.34)</f>
        <v>63.34</v>
      </c>
      <c r="J712" s="320">
        <f>IFERROR(__xludf.DUMMYFUNCTION("""COMPUTED_VALUE"""),36.24)</f>
        <v>36.24</v>
      </c>
      <c r="K712" s="320">
        <f>IFERROR(__xludf.DUMMYFUNCTION("""COMPUTED_VALUE"""),16.46)</f>
        <v>16.46</v>
      </c>
      <c r="L712" s="320">
        <f>IFERROR(__xludf.DUMMYFUNCTION("""COMPUTED_VALUE"""),0.4542)</f>
        <v>0.4542</v>
      </c>
      <c r="M712" s="320">
        <f>IFERROR(__xludf.DUMMYFUNCTION("""COMPUTED_VALUE"""),0.6107)</f>
        <v>0.6107</v>
      </c>
      <c r="N712" s="320">
        <f>IFERROR(__xludf.DUMMYFUNCTION("""COMPUTED_VALUE"""),0.3255)</f>
        <v>0.3255</v>
      </c>
      <c r="O712" s="320">
        <f>IFERROR(__xludf.DUMMYFUNCTION("""COMPUTED_VALUE"""),2.2017)</f>
        <v>2.2017</v>
      </c>
      <c r="P712" s="320">
        <f>IFERROR(__xludf.DUMMYFUNCTION("""COMPUTED_VALUE"""),213.93)</f>
        <v>213.93</v>
      </c>
      <c r="Q712" s="320">
        <f>IFERROR(__xludf.DUMMYFUNCTION("""COMPUTED_VALUE"""),187.45)</f>
        <v>187.45</v>
      </c>
      <c r="R712" s="320">
        <f>IFERROR(__xludf.DUMMYFUNCTION("""COMPUTED_VALUE"""),26.49)</f>
        <v>26.49</v>
      </c>
      <c r="S712" s="320">
        <f>IFERROR(__xludf.DUMMYFUNCTION("""COMPUTED_VALUE"""),67.82)</f>
        <v>67.82</v>
      </c>
      <c r="T712" s="320">
        <f>IFERROR(__xludf.DUMMYFUNCTION("""COMPUTED_VALUE"""),146.12)</f>
        <v>146.12</v>
      </c>
      <c r="U712" s="320">
        <f>IFERROR(__xludf.DUMMYFUNCTION("""COMPUTED_VALUE"""),201.86)</f>
        <v>201.86</v>
      </c>
      <c r="V712" s="320">
        <f>IFERROR(__xludf.DUMMYFUNCTION("""COMPUTED_VALUE"""),5.5707)</f>
        <v>5.5707</v>
      </c>
      <c r="W712" s="320">
        <f>IFERROR(__xludf.DUMMYFUNCTION("""COMPUTED_VALUE"""),31.7)</f>
        <v>31.7</v>
      </c>
      <c r="X712" s="320">
        <f>IFERROR(__xludf.DUMMYFUNCTION("""COMPUTED_VALUE"""),87.0)</f>
        <v>87</v>
      </c>
      <c r="Y712" s="320">
        <f>IFERROR(__xludf.DUMMYFUNCTION("""COMPUTED_VALUE"""),225.0)</f>
        <v>225</v>
      </c>
      <c r="Z712" s="320">
        <f>IFERROR(__xludf.DUMMYFUNCTION("""COMPUTED_VALUE"""),740.0)</f>
        <v>740</v>
      </c>
      <c r="AA712" s="320">
        <f>IFERROR(__xludf.DUMMYFUNCTION("""COMPUTED_VALUE"""),52.4342)</f>
        <v>52.4342</v>
      </c>
      <c r="AB712" s="320">
        <f>IFERROR(__xludf.DUMMYFUNCTION("""COMPUTED_VALUE"""),0.5168)</f>
        <v>0.5168</v>
      </c>
      <c r="AC712" s="320">
        <f>IFERROR(__xludf.DUMMYFUNCTION("""COMPUTED_VALUE"""),10.44)</f>
        <v>10.44</v>
      </c>
      <c r="AD712" s="320">
        <f>IFERROR(__xludf.DUMMYFUNCTION("""COMPUTED_VALUE"""),3.0)</f>
        <v>3</v>
      </c>
      <c r="AE712" s="320">
        <f>IFERROR(__xludf.DUMMYFUNCTION("""COMPUTED_VALUE"""),8.0)</f>
        <v>8</v>
      </c>
      <c r="AF712" s="320">
        <f>IFERROR(__xludf.DUMMYFUNCTION("""COMPUTED_VALUE"""),14.0)</f>
        <v>14</v>
      </c>
      <c r="AG712" s="320">
        <f>IFERROR(__xludf.DUMMYFUNCTION("""COMPUTED_VALUE"""),23.0)</f>
        <v>23</v>
      </c>
      <c r="AH712" s="320">
        <f>IFERROR(__xludf.DUMMYFUNCTION("""COMPUTED_VALUE"""),61.88)</f>
        <v>61.88</v>
      </c>
      <c r="AI712" s="320">
        <f>IFERROR(__xludf.DUMMYFUNCTION("""COMPUTED_VALUE"""),30.91)</f>
        <v>30.91</v>
      </c>
      <c r="AJ712" s="320">
        <f>IFERROR(__xludf.DUMMYFUNCTION("""COMPUTED_VALUE"""),7.43)</f>
        <v>7.43</v>
      </c>
      <c r="AK712" s="320">
        <f>IFERROR(__xludf.DUMMYFUNCTION("""COMPUTED_VALUE"""),0.1689)</f>
        <v>0.1689</v>
      </c>
      <c r="AL712" s="320">
        <f>IFERROR(__xludf.DUMMYFUNCTION("""COMPUTED_VALUE"""),29.19)</f>
        <v>29.19</v>
      </c>
      <c r="AM712" s="320">
        <f>IFERROR(__xludf.DUMMYFUNCTION("""COMPUTED_VALUE"""),158.25)</f>
        <v>158.25</v>
      </c>
      <c r="AN712" s="320">
        <f>IFERROR(__xludf.DUMMYFUNCTION("""COMPUTED_VALUE"""),71.64)</f>
        <v>71.64</v>
      </c>
      <c r="AO712" s="320">
        <f>IFERROR(__xludf.DUMMYFUNCTION("""COMPUTED_VALUE"""),20.91)</f>
        <v>20.91</v>
      </c>
    </row>
    <row r="713" ht="15.0" customHeight="1">
      <c r="A713" s="328">
        <f>IFERROR(__xludf.DUMMYFUNCTION("""COMPUTED_VALUE"""),46168.0)</f>
        <v>46168</v>
      </c>
      <c r="B713" s="319" t="str">
        <f>IFERROR(__xludf.DUMMYFUNCTION("""COMPUTED_VALUE"""),"D. 20-39")</f>
        <v>D. 20-39</v>
      </c>
      <c r="C713" s="320">
        <f>IFERROR(__xludf.DUMMYFUNCTION("""COMPUTED_VALUE"""),7890.0)</f>
        <v>7890</v>
      </c>
      <c r="D713" s="320">
        <f>IFERROR(__xludf.DUMMYFUNCTION("""COMPUTED_VALUE"""),11.03)</f>
        <v>11.03</v>
      </c>
      <c r="E713" s="320">
        <f>IFERROR(__xludf.DUMMYFUNCTION("""COMPUTED_VALUE"""),22094.73)</f>
        <v>22094.73</v>
      </c>
      <c r="F713" s="320">
        <f>IFERROR(__xludf.DUMMYFUNCTION("""COMPUTED_VALUE"""),2.8003)</f>
        <v>2.8003</v>
      </c>
      <c r="G713" s="320">
        <f>IFERROR(__xludf.DUMMYFUNCTION("""COMPUTED_VALUE"""),40.16)</f>
        <v>40.16</v>
      </c>
      <c r="H713" s="320">
        <f>IFERROR(__xludf.DUMMYFUNCTION("""COMPUTED_VALUE"""),6.9721)</f>
        <v>6.9721</v>
      </c>
      <c r="I713" s="320">
        <f>IFERROR(__xludf.DUMMYFUNCTION("""COMPUTED_VALUE"""),90.41)</f>
        <v>90.41</v>
      </c>
      <c r="J713" s="320">
        <f>IFERROR(__xludf.DUMMYFUNCTION("""COMPUTED_VALUE"""),54.63)</f>
        <v>54.63</v>
      </c>
      <c r="K713" s="320">
        <f>IFERROR(__xludf.DUMMYFUNCTION("""COMPUTED_VALUE"""),32.24)</f>
        <v>32.24</v>
      </c>
      <c r="L713" s="320">
        <f>IFERROR(__xludf.DUMMYFUNCTION("""COMPUTED_VALUE"""),0.5901)</f>
        <v>0.5901</v>
      </c>
      <c r="M713" s="320">
        <f>IFERROR(__xludf.DUMMYFUNCTION("""COMPUTED_VALUE"""),0.4845)</f>
        <v>0.4845</v>
      </c>
      <c r="N713" s="320">
        <f>IFERROR(__xludf.DUMMYFUNCTION("""COMPUTED_VALUE"""),0.2499)</f>
        <v>0.2499</v>
      </c>
      <c r="O713" s="320">
        <f>IFERROR(__xludf.DUMMYFUNCTION("""COMPUTED_VALUE"""),1.6946)</f>
        <v>1.6946</v>
      </c>
      <c r="P713" s="320">
        <f>IFERROR(__xludf.DUMMYFUNCTION("""COMPUTED_VALUE"""),419.95)</f>
        <v>419.95</v>
      </c>
      <c r="Q713" s="320">
        <f>IFERROR(__xludf.DUMMYFUNCTION("""COMPUTED_VALUE"""),369.05)</f>
        <v>369.05</v>
      </c>
      <c r="R713" s="320">
        <f>IFERROR(__xludf.DUMMYFUNCTION("""COMPUTED_VALUE"""),50.9)</f>
        <v>50.9</v>
      </c>
      <c r="S713" s="320">
        <f>IFERROR(__xludf.DUMMYFUNCTION("""COMPUTED_VALUE"""),152.33)</f>
        <v>152.33</v>
      </c>
      <c r="T713" s="320">
        <f>IFERROR(__xludf.DUMMYFUNCTION("""COMPUTED_VALUE"""),267.62)</f>
        <v>267.62</v>
      </c>
      <c r="U713" s="320">
        <f>IFERROR(__xludf.DUMMYFUNCTION("""COMPUTED_VALUE"""),403.74)</f>
        <v>403.74</v>
      </c>
      <c r="V713" s="320">
        <f>IFERROR(__xludf.DUMMYFUNCTION("""COMPUTED_VALUE"""),7.3905)</f>
        <v>7.3905</v>
      </c>
      <c r="W713" s="320">
        <f>IFERROR(__xludf.DUMMYFUNCTION("""COMPUTED_VALUE"""),36.27)</f>
        <v>36.27</v>
      </c>
      <c r="X713" s="320">
        <f>IFERROR(__xludf.DUMMYFUNCTION("""COMPUTED_VALUE"""),94.0)</f>
        <v>94</v>
      </c>
      <c r="Y713" s="320">
        <f>IFERROR(__xludf.DUMMYFUNCTION("""COMPUTED_VALUE"""),280.0)</f>
        <v>280</v>
      </c>
      <c r="Z713" s="320">
        <f>IFERROR(__xludf.DUMMYFUNCTION("""COMPUTED_VALUE"""),811.0)</f>
        <v>811</v>
      </c>
      <c r="AA713" s="320">
        <f>IFERROR(__xludf.DUMMYFUNCTION("""COMPUTED_VALUE"""),54.9666)</f>
        <v>54.9666</v>
      </c>
      <c r="AB713" s="320">
        <f>IFERROR(__xludf.DUMMYFUNCTION("""COMPUTED_VALUE"""),0.6269)</f>
        <v>0.6269</v>
      </c>
      <c r="AC713" s="320">
        <f>IFERROR(__xludf.DUMMYFUNCTION("""COMPUTED_VALUE"""),19.78)</f>
        <v>19.78</v>
      </c>
      <c r="AD713" s="320">
        <f>IFERROR(__xludf.DUMMYFUNCTION("""COMPUTED_VALUE"""),8.0)</f>
        <v>8</v>
      </c>
      <c r="AE713" s="320">
        <f>IFERROR(__xludf.DUMMYFUNCTION("""COMPUTED_VALUE"""),16.0)</f>
        <v>16</v>
      </c>
      <c r="AF713" s="320">
        <f>IFERROR(__xludf.DUMMYFUNCTION("""COMPUTED_VALUE"""),28.0)</f>
        <v>28</v>
      </c>
      <c r="AG713" s="320">
        <f>IFERROR(__xludf.DUMMYFUNCTION("""COMPUTED_VALUE"""),40.0)</f>
        <v>40</v>
      </c>
      <c r="AH713" s="320">
        <f>IFERROR(__xludf.DUMMYFUNCTION("""COMPUTED_VALUE"""),64.12)</f>
        <v>64.12</v>
      </c>
      <c r="AI713" s="320">
        <f>IFERROR(__xludf.DUMMYFUNCTION("""COMPUTED_VALUE"""),28.53)</f>
        <v>28.53</v>
      </c>
      <c r="AJ713" s="320">
        <f>IFERROR(__xludf.DUMMYFUNCTION("""COMPUTED_VALUE"""),8.96)</f>
        <v>8.96</v>
      </c>
      <c r="AK713" s="320">
        <f>IFERROR(__xludf.DUMMYFUNCTION("""COMPUTED_VALUE"""),0.1847)</f>
        <v>0.1847</v>
      </c>
      <c r="AL713" s="320">
        <f>IFERROR(__xludf.DUMMYFUNCTION("""COMPUTED_VALUE"""),28.26)</f>
        <v>28.26</v>
      </c>
      <c r="AM713" s="320">
        <f>IFERROR(__xludf.DUMMYFUNCTION("""COMPUTED_VALUE"""),340.79)</f>
        <v>340.79</v>
      </c>
      <c r="AN713" s="320">
        <f>IFERROR(__xludf.DUMMYFUNCTION("""COMPUTED_VALUE"""),69.56)</f>
        <v>69.56</v>
      </c>
      <c r="AO713" s="320">
        <f>IFERROR(__xludf.DUMMYFUNCTION("""COMPUTED_VALUE"""),19.66)</f>
        <v>19.66</v>
      </c>
    </row>
    <row r="714" ht="15.0" customHeight="1">
      <c r="A714" s="328">
        <f>IFERROR(__xludf.DUMMYFUNCTION("""COMPUTED_VALUE"""),46168.0)</f>
        <v>46168</v>
      </c>
      <c r="B714" s="319" t="str">
        <f>IFERROR(__xludf.DUMMYFUNCTION("""COMPUTED_VALUE"""),"E. 40-99")</f>
        <v>E. 40-99</v>
      </c>
      <c r="C714" s="320">
        <f>IFERROR(__xludf.DUMMYFUNCTION("""COMPUTED_VALUE"""),2968.0)</f>
        <v>2968</v>
      </c>
      <c r="D714" s="320">
        <f>IFERROR(__xludf.DUMMYFUNCTION("""COMPUTED_VALUE"""),4.15)</f>
        <v>4.15</v>
      </c>
      <c r="E714" s="320">
        <f>IFERROR(__xludf.DUMMYFUNCTION("""COMPUTED_VALUE"""),16007.45)</f>
        <v>16007.45</v>
      </c>
      <c r="F714" s="320">
        <f>IFERROR(__xludf.DUMMYFUNCTION("""COMPUTED_VALUE"""),5.3933)</f>
        <v>5.3933</v>
      </c>
      <c r="G714" s="320">
        <f>IFERROR(__xludf.DUMMYFUNCTION("""COMPUTED_VALUE"""),45.75)</f>
        <v>45.75</v>
      </c>
      <c r="H714" s="320">
        <f>IFERROR(__xludf.DUMMYFUNCTION("""COMPUTED_VALUE"""),11.7875)</f>
        <v>11.7875</v>
      </c>
      <c r="I714" s="320">
        <f>IFERROR(__xludf.DUMMYFUNCTION("""COMPUTED_VALUE"""),134.72)</f>
        <v>134.72</v>
      </c>
      <c r="J714" s="320">
        <f>IFERROR(__xludf.DUMMYFUNCTION("""COMPUTED_VALUE"""),84.11)</f>
        <v>84.11</v>
      </c>
      <c r="K714" s="320">
        <f>IFERROR(__xludf.DUMMYFUNCTION("""COMPUTED_VALUE"""),60.41)</f>
        <v>60.41</v>
      </c>
      <c r="L714" s="320">
        <f>IFERROR(__xludf.DUMMYFUNCTION("""COMPUTED_VALUE"""),0.7183)</f>
        <v>0.7183</v>
      </c>
      <c r="M714" s="320">
        <f>IFERROR(__xludf.DUMMYFUNCTION("""COMPUTED_VALUE"""),0.37)</f>
        <v>0.37</v>
      </c>
      <c r="N714" s="320">
        <f>IFERROR(__xludf.DUMMYFUNCTION("""COMPUTED_VALUE"""),0.2057)</f>
        <v>0.2057</v>
      </c>
      <c r="O714" s="320">
        <f>IFERROR(__xludf.DUMMYFUNCTION("""COMPUTED_VALUE"""),1.3922)</f>
        <v>1.3922</v>
      </c>
      <c r="P714" s="320">
        <f>IFERROR(__xludf.DUMMYFUNCTION("""COMPUTED_VALUE"""),816.84)</f>
        <v>816.84</v>
      </c>
      <c r="Q714" s="320">
        <f>IFERROR(__xludf.DUMMYFUNCTION("""COMPUTED_VALUE"""),711.15)</f>
        <v>711.15</v>
      </c>
      <c r="R714" s="320">
        <f>IFERROR(__xludf.DUMMYFUNCTION("""COMPUTED_VALUE"""),105.7)</f>
        <v>105.7</v>
      </c>
      <c r="S714" s="320">
        <f>IFERROR(__xludf.DUMMYFUNCTION("""COMPUTED_VALUE"""),306.76)</f>
        <v>306.76</v>
      </c>
      <c r="T714" s="320">
        <f>IFERROR(__xludf.DUMMYFUNCTION("""COMPUTED_VALUE"""),510.09)</f>
        <v>510.09</v>
      </c>
      <c r="U714" s="320">
        <f>IFERROR(__xludf.DUMMYFUNCTION("""COMPUTED_VALUE"""),774.73)</f>
        <v>774.73</v>
      </c>
      <c r="V714" s="320">
        <f>IFERROR(__xludf.DUMMYFUNCTION("""COMPUTED_VALUE"""),9.211)</f>
        <v>9.211</v>
      </c>
      <c r="W714" s="320">
        <f>IFERROR(__xludf.DUMMYFUNCTION("""COMPUTED_VALUE"""),37.55)</f>
        <v>37.55</v>
      </c>
      <c r="X714" s="320">
        <f>IFERROR(__xludf.DUMMYFUNCTION("""COMPUTED_VALUE"""),129.0)</f>
        <v>129</v>
      </c>
      <c r="Y714" s="320">
        <f>IFERROR(__xludf.DUMMYFUNCTION("""COMPUTED_VALUE"""),436.0)</f>
        <v>436</v>
      </c>
      <c r="Z714" s="320">
        <f>IFERROR(__xludf.DUMMYFUNCTION("""COMPUTED_VALUE"""),1187.0)</f>
        <v>1187</v>
      </c>
      <c r="AA714" s="320">
        <f>IFERROR(__xludf.DUMMYFUNCTION("""COMPUTED_VALUE"""),58.4079)</f>
        <v>58.4079</v>
      </c>
      <c r="AB714" s="320">
        <f>IFERROR(__xludf.DUMMYFUNCTION("""COMPUTED_VALUE"""),0.7573)</f>
        <v>0.7573</v>
      </c>
      <c r="AC714" s="320">
        <f>IFERROR(__xludf.DUMMYFUNCTION("""COMPUTED_VALUE"""),42.23)</f>
        <v>42.23</v>
      </c>
      <c r="AD714" s="320">
        <f>IFERROR(__xludf.DUMMYFUNCTION("""COMPUTED_VALUE"""),17.0)</f>
        <v>17</v>
      </c>
      <c r="AE714" s="320">
        <f>IFERROR(__xludf.DUMMYFUNCTION("""COMPUTED_VALUE"""),35.0)</f>
        <v>35</v>
      </c>
      <c r="AF714" s="320">
        <f>IFERROR(__xludf.DUMMYFUNCTION("""COMPUTED_VALUE"""),58.0)</f>
        <v>58</v>
      </c>
      <c r="AG714" s="320">
        <f>IFERROR(__xludf.DUMMYFUNCTION("""COMPUTED_VALUE"""),86.0)</f>
        <v>86</v>
      </c>
      <c r="AH714" s="320">
        <f>IFERROR(__xludf.DUMMYFUNCTION("""COMPUTED_VALUE"""),59.16)</f>
        <v>59.16</v>
      </c>
      <c r="AI714" s="320">
        <f>IFERROR(__xludf.DUMMYFUNCTION("""COMPUTED_VALUE"""),24.12)</f>
        <v>24.12</v>
      </c>
      <c r="AJ714" s="320">
        <f>IFERROR(__xludf.DUMMYFUNCTION("""COMPUTED_VALUE"""),6.67)</f>
        <v>6.67</v>
      </c>
      <c r="AK714" s="320">
        <f>IFERROR(__xludf.DUMMYFUNCTION("""COMPUTED_VALUE"""),0.1796)</f>
        <v>0.1796</v>
      </c>
      <c r="AL714" s="320">
        <f>IFERROR(__xludf.DUMMYFUNCTION("""COMPUTED_VALUE"""),27.36)</f>
        <v>27.36</v>
      </c>
      <c r="AM714" s="320">
        <f>IFERROR(__xludf.DUMMYFUNCTION("""COMPUTED_VALUE"""),683.78)</f>
        <v>683.78</v>
      </c>
      <c r="AN714" s="320">
        <f>IFERROR(__xludf.DUMMYFUNCTION("""COMPUTED_VALUE"""),71.41)</f>
        <v>71.41</v>
      </c>
      <c r="AO714" s="320">
        <f>IFERROR(__xludf.DUMMYFUNCTION("""COMPUTED_VALUE"""),19.54)</f>
        <v>19.54</v>
      </c>
    </row>
    <row r="715" ht="15.0" customHeight="1">
      <c r="A715" s="328">
        <f>IFERROR(__xludf.DUMMYFUNCTION("""COMPUTED_VALUE"""),46168.0)</f>
        <v>46168</v>
      </c>
      <c r="B715" s="319" t="str">
        <f>IFERROR(__xludf.DUMMYFUNCTION("""COMPUTED_VALUE"""),"F. 100+")</f>
        <v>F. 100+</v>
      </c>
      <c r="C715" s="320">
        <f>IFERROR(__xludf.DUMMYFUNCTION("""COMPUTED_VALUE"""),300.0)</f>
        <v>300</v>
      </c>
      <c r="D715" s="320">
        <f>IFERROR(__xludf.DUMMYFUNCTION("""COMPUTED_VALUE"""),0.42)</f>
        <v>0.42</v>
      </c>
      <c r="E715" s="320">
        <f>IFERROR(__xludf.DUMMYFUNCTION("""COMPUTED_VALUE"""),2675.14)</f>
        <v>2675.14</v>
      </c>
      <c r="F715" s="320">
        <f>IFERROR(__xludf.DUMMYFUNCTION("""COMPUTED_VALUE"""),8.9171)</f>
        <v>8.9171</v>
      </c>
      <c r="G715" s="320">
        <f>IFERROR(__xludf.DUMMYFUNCTION("""COMPUTED_VALUE"""),52.0)</f>
        <v>52</v>
      </c>
      <c r="H715" s="320">
        <f>IFERROR(__xludf.DUMMYFUNCTION("""COMPUTED_VALUE"""),17.1483)</f>
        <v>17.1483</v>
      </c>
      <c r="I715" s="320">
        <f>IFERROR(__xludf.DUMMYFUNCTION("""COMPUTED_VALUE"""),245.72)</f>
        <v>245.72</v>
      </c>
      <c r="J715" s="320">
        <f>IFERROR(__xludf.DUMMYFUNCTION("""COMPUTED_VALUE"""),159.85)</f>
        <v>159.85</v>
      </c>
      <c r="K715" s="320">
        <f>IFERROR(__xludf.DUMMYFUNCTION("""COMPUTED_VALUE"""),136.58)</f>
        <v>136.58</v>
      </c>
      <c r="L715" s="320">
        <f>IFERROR(__xludf.DUMMYFUNCTION("""COMPUTED_VALUE"""),0.8544)</f>
        <v>0.8544</v>
      </c>
      <c r="M715" s="320">
        <f>IFERROR(__xludf.DUMMYFUNCTION("""COMPUTED_VALUE"""),0.2339)</f>
        <v>0.2339</v>
      </c>
      <c r="N715" s="320">
        <f>IFERROR(__xludf.DUMMYFUNCTION("""COMPUTED_VALUE"""),0.149)</f>
        <v>0.149</v>
      </c>
      <c r="O715" s="320">
        <f>IFERROR(__xludf.DUMMYFUNCTION("""COMPUTED_VALUE"""),1.1704)</f>
        <v>1.1704</v>
      </c>
      <c r="P715" s="320">
        <f>IFERROR(__xludf.DUMMYFUNCTION("""COMPUTED_VALUE"""),1615.96)</f>
        <v>1615.96</v>
      </c>
      <c r="Q715" s="320">
        <f>IFERROR(__xludf.DUMMYFUNCTION("""COMPUTED_VALUE"""),1363.63)</f>
        <v>1363.63</v>
      </c>
      <c r="R715" s="320">
        <f>IFERROR(__xludf.DUMMYFUNCTION("""COMPUTED_VALUE"""),252.33)</f>
        <v>252.33</v>
      </c>
      <c r="S715" s="320">
        <f>IFERROR(__xludf.DUMMYFUNCTION("""COMPUTED_VALUE"""),546.82)</f>
        <v>546.82</v>
      </c>
      <c r="T715" s="320">
        <f>IFERROR(__xludf.DUMMYFUNCTION("""COMPUTED_VALUE"""),1069.14)</f>
        <v>1069.14</v>
      </c>
      <c r="U715" s="320">
        <f>IFERROR(__xludf.DUMMYFUNCTION("""COMPUTED_VALUE"""),1577.67)</f>
        <v>1577.67</v>
      </c>
      <c r="V715" s="320">
        <f>IFERROR(__xludf.DUMMYFUNCTION("""COMPUTED_VALUE"""),9.8697)</f>
        <v>9.8697</v>
      </c>
      <c r="W715" s="320">
        <f>IFERROR(__xludf.DUMMYFUNCTION("""COMPUTED_VALUE"""),33.84)</f>
        <v>33.84</v>
      </c>
      <c r="X715" s="320">
        <f>IFERROR(__xludf.DUMMYFUNCTION("""COMPUTED_VALUE"""),201.0)</f>
        <v>201</v>
      </c>
      <c r="Y715" s="320">
        <f>IFERROR(__xludf.DUMMYFUNCTION("""COMPUTED_VALUE"""),810.0)</f>
        <v>810</v>
      </c>
      <c r="Z715" s="320">
        <f>IFERROR(__xludf.DUMMYFUNCTION("""COMPUTED_VALUE"""),2968.0)</f>
        <v>2968</v>
      </c>
      <c r="AA715" s="320">
        <f>IFERROR(__xludf.DUMMYFUNCTION("""COMPUTED_VALUE"""),62.1391)</f>
        <v>62.1391</v>
      </c>
      <c r="AB715" s="320">
        <f>IFERROR(__xludf.DUMMYFUNCTION("""COMPUTED_VALUE"""),0.8568)</f>
        <v>0.8568</v>
      </c>
      <c r="AC715" s="320">
        <f>IFERROR(__xludf.DUMMYFUNCTION("""COMPUTED_VALUE"""),99.96)</f>
        <v>99.96</v>
      </c>
      <c r="AD715" s="320">
        <f>IFERROR(__xludf.DUMMYFUNCTION("""COMPUTED_VALUE"""),44.0)</f>
        <v>44</v>
      </c>
      <c r="AE715" s="320">
        <f>IFERROR(__xludf.DUMMYFUNCTION("""COMPUTED_VALUE"""),88.0)</f>
        <v>88</v>
      </c>
      <c r="AF715" s="320">
        <f>IFERROR(__xludf.DUMMYFUNCTION("""COMPUTED_VALUE"""),133.0)</f>
        <v>133</v>
      </c>
      <c r="AG715" s="320">
        <f>IFERROR(__xludf.DUMMYFUNCTION("""COMPUTED_VALUE"""),187.0)</f>
        <v>187</v>
      </c>
      <c r="AH715" s="320">
        <f>IFERROR(__xludf.DUMMYFUNCTION("""COMPUTED_VALUE"""),55.0)</f>
        <v>55</v>
      </c>
      <c r="AI715" s="320">
        <f>IFERROR(__xludf.DUMMYFUNCTION("""COMPUTED_VALUE"""),13.33)</f>
        <v>13.33</v>
      </c>
      <c r="AJ715" s="320">
        <f>IFERROR(__xludf.DUMMYFUNCTION("""COMPUTED_VALUE"""),3.0)</f>
        <v>3</v>
      </c>
      <c r="AK715" s="320">
        <f>IFERROR(__xludf.DUMMYFUNCTION("""COMPUTED_VALUE"""),0.15)</f>
        <v>0.15</v>
      </c>
      <c r="AL715" s="320">
        <f>IFERROR(__xludf.DUMMYFUNCTION("""COMPUTED_VALUE"""),24.47)</f>
        <v>24.47</v>
      </c>
      <c r="AM715" s="320">
        <f>IFERROR(__xludf.DUMMYFUNCTION("""COMPUTED_VALUE"""),1339.16)</f>
        <v>1339.16</v>
      </c>
      <c r="AN715" s="320">
        <f>IFERROR(__xludf.DUMMYFUNCTION("""COMPUTED_VALUE"""),68.0)</f>
        <v>68</v>
      </c>
      <c r="AO715" s="320">
        <f>IFERROR(__xludf.DUMMYFUNCTION("""COMPUTED_VALUE"""),16.64)</f>
        <v>16.64</v>
      </c>
    </row>
    <row r="716" ht="15.0" customHeight="1">
      <c r="A716" s="328">
        <f>IFERROR(__xludf.DUMMYFUNCTION("""COMPUTED_VALUE"""),46169.0)</f>
        <v>46169</v>
      </c>
      <c r="B716" s="319" t="str">
        <f>IFERROR(__xludf.DUMMYFUNCTION("""COMPUTED_VALUE"""),"A. 0")</f>
        <v>A. 0</v>
      </c>
      <c r="C716" s="320">
        <f>IFERROR(__xludf.DUMMYFUNCTION("""COMPUTED_VALUE"""),14651.0)</f>
        <v>14651</v>
      </c>
      <c r="D716" s="320">
        <f>IFERROR(__xludf.DUMMYFUNCTION("""COMPUTED_VALUE"""),20.7)</f>
        <v>20.7</v>
      </c>
      <c r="E716" s="320">
        <f>IFERROR(__xludf.DUMMYFUNCTION("""COMPUTED_VALUE"""),267.14)</f>
        <v>267.14</v>
      </c>
      <c r="F716" s="320">
        <f>IFERROR(__xludf.DUMMYFUNCTION("""COMPUTED_VALUE"""),0.0182)</f>
        <v>0.0182</v>
      </c>
      <c r="G716" s="320">
        <f>IFERROR(__xludf.DUMMYFUNCTION("""COMPUTED_VALUE"""),0.47)</f>
        <v>0.47</v>
      </c>
      <c r="H716" s="320">
        <f>IFERROR(__xludf.DUMMYFUNCTION("""COMPUTED_VALUE"""),3.8716)</f>
        <v>3.8716</v>
      </c>
      <c r="I716" s="320">
        <f>IFERROR(__xludf.DUMMYFUNCTION("""COMPUTED_VALUE"""),7.48)</f>
        <v>7.48</v>
      </c>
      <c r="J716" s="320">
        <f>IFERROR(__xludf.DUMMYFUNCTION("""COMPUTED_VALUE"""),3.47)</f>
        <v>3.47</v>
      </c>
      <c r="K716" s="320">
        <f>IFERROR(__xludf.DUMMYFUNCTION("""COMPUTED_VALUE"""),0.09)</f>
        <v>0.09</v>
      </c>
      <c r="L716" s="320">
        <f>IFERROR(__xludf.DUMMYFUNCTION("""COMPUTED_VALUE"""),0.0249)</f>
        <v>0.0249</v>
      </c>
      <c r="M716" s="320">
        <f>IFERROR(__xludf.DUMMYFUNCTION("""COMPUTED_VALUE"""),0.9769)</f>
        <v>0.9769</v>
      </c>
      <c r="N716" s="320">
        <f>IFERROR(__xludf.DUMMYFUNCTION("""COMPUTED_VALUE"""),0.681)</f>
        <v>0.681</v>
      </c>
      <c r="O716" s="320">
        <f>IFERROR(__xludf.DUMMYFUNCTION("""COMPUTED_VALUE"""),40.1438)</f>
        <v>40.1438</v>
      </c>
      <c r="P716" s="320">
        <f>IFERROR(__xludf.DUMMYFUNCTION("""COMPUTED_VALUE"""),26.76)</f>
        <v>26.76</v>
      </c>
      <c r="Q716" s="320">
        <f>IFERROR(__xludf.DUMMYFUNCTION("""COMPUTED_VALUE"""),26.68)</f>
        <v>26.68</v>
      </c>
      <c r="R716" s="320">
        <f>IFERROR(__xludf.DUMMYFUNCTION("""COMPUTED_VALUE"""),0.08)</f>
        <v>0.08</v>
      </c>
      <c r="S716" s="320">
        <f>IFERROR(__xludf.DUMMYFUNCTION("""COMPUTED_VALUE"""),0.93)</f>
        <v>0.93</v>
      </c>
      <c r="T716" s="320">
        <f>IFERROR(__xludf.DUMMYFUNCTION("""COMPUTED_VALUE"""),25.83)</f>
        <v>25.83</v>
      </c>
      <c r="U716" s="320">
        <f>IFERROR(__xludf.DUMMYFUNCTION("""COMPUTED_VALUE"""),2.47)</f>
        <v>2.47</v>
      </c>
      <c r="V716" s="320">
        <f>IFERROR(__xludf.DUMMYFUNCTION("""COMPUTED_VALUE"""),0.7133)</f>
        <v>0.7133</v>
      </c>
      <c r="W716" s="320">
        <f>IFERROR(__xludf.DUMMYFUNCTION("""COMPUTED_VALUE"""),3.48)</f>
        <v>3.48</v>
      </c>
      <c r="X716" s="320">
        <f>IFERROR(__xludf.DUMMYFUNCTION("""COMPUTED_VALUE"""),135.0)</f>
        <v>135</v>
      </c>
      <c r="Y716" s="320">
        <f>IFERROR(__xludf.DUMMYFUNCTION("""COMPUTED_VALUE"""),1113.0)</f>
        <v>1113</v>
      </c>
      <c r="Z716" s="320">
        <f>IFERROR(__xludf.DUMMYFUNCTION("""COMPUTED_VALUE"""),8006.0)</f>
        <v>8006</v>
      </c>
      <c r="AA716" s="320">
        <f>IFERROR(__xludf.DUMMYFUNCTION("""COMPUTED_VALUE"""),49.5589)</f>
        <v>49.5589</v>
      </c>
      <c r="AB716" s="320">
        <f>IFERROR(__xludf.DUMMYFUNCTION("""COMPUTED_VALUE"""),0.496)</f>
        <v>0.496</v>
      </c>
      <c r="AC716" s="106"/>
      <c r="AD716" s="106"/>
      <c r="AE716" s="106"/>
      <c r="AF716" s="106"/>
      <c r="AG716" s="106"/>
      <c r="AH716" s="320">
        <f>IFERROR(__xludf.DUMMYFUNCTION("""COMPUTED_VALUE"""),0.0)</f>
        <v>0</v>
      </c>
      <c r="AI716" s="320">
        <f>IFERROR(__xludf.DUMMYFUNCTION("""COMPUTED_VALUE"""),0.0)</f>
        <v>0</v>
      </c>
      <c r="AJ716" s="320">
        <f>IFERROR(__xludf.DUMMYFUNCTION("""COMPUTED_VALUE"""),0.0)</f>
        <v>0</v>
      </c>
      <c r="AK716" s="106"/>
      <c r="AL716" s="320">
        <f>IFERROR(__xludf.DUMMYFUNCTION("""COMPUTED_VALUE"""),18.28)</f>
        <v>18.28</v>
      </c>
      <c r="AM716" s="320">
        <f>IFERROR(__xludf.DUMMYFUNCTION("""COMPUTED_VALUE"""),8.4)</f>
        <v>8.4</v>
      </c>
      <c r="AN716" s="106"/>
      <c r="AO716" s="106"/>
    </row>
    <row r="717" ht="15.0" customHeight="1">
      <c r="A717" s="328">
        <f>IFERROR(__xludf.DUMMYFUNCTION("""COMPUTED_VALUE"""),46169.0)</f>
        <v>46169</v>
      </c>
      <c r="B717" s="319" t="str">
        <f>IFERROR(__xludf.DUMMYFUNCTION("""COMPUTED_VALUE"""),"B. 1-9")</f>
        <v>B. 1-9</v>
      </c>
      <c r="C717" s="320">
        <f>IFERROR(__xludf.DUMMYFUNCTION("""COMPUTED_VALUE"""),29328.0)</f>
        <v>29328</v>
      </c>
      <c r="D717" s="320">
        <f>IFERROR(__xludf.DUMMYFUNCTION("""COMPUTED_VALUE"""),41.44)</f>
        <v>41.44</v>
      </c>
      <c r="E717" s="320">
        <f>IFERROR(__xludf.DUMMYFUNCTION("""COMPUTED_VALUE"""),8144.82)</f>
        <v>8144.82</v>
      </c>
      <c r="F717" s="320">
        <f>IFERROR(__xludf.DUMMYFUNCTION("""COMPUTED_VALUE"""),0.2777)</f>
        <v>0.2777</v>
      </c>
      <c r="G717" s="320">
        <f>IFERROR(__xludf.DUMMYFUNCTION("""COMPUTED_VALUE"""),7.97)</f>
        <v>7.97</v>
      </c>
      <c r="H717" s="320">
        <f>IFERROR(__xludf.DUMMYFUNCTION("""COMPUTED_VALUE"""),3.4852)</f>
        <v>3.4852</v>
      </c>
      <c r="I717" s="320">
        <f>IFERROR(__xludf.DUMMYFUNCTION("""COMPUTED_VALUE"""),35.6)</f>
        <v>35.6</v>
      </c>
      <c r="J717" s="320">
        <f>IFERROR(__xludf.DUMMYFUNCTION("""COMPUTED_VALUE"""),19.2)</f>
        <v>19.2</v>
      </c>
      <c r="K717" s="320">
        <f>IFERROR(__xludf.DUMMYFUNCTION("""COMPUTED_VALUE"""),5.72)</f>
        <v>5.72</v>
      </c>
      <c r="L717" s="320">
        <f>IFERROR(__xludf.DUMMYFUNCTION("""COMPUTED_VALUE"""),0.2979)</f>
        <v>0.2979</v>
      </c>
      <c r="M717" s="320">
        <f>IFERROR(__xludf.DUMMYFUNCTION("""COMPUTED_VALUE"""),0.7646)</f>
        <v>0.7646</v>
      </c>
      <c r="N717" s="320">
        <f>IFERROR(__xludf.DUMMYFUNCTION("""COMPUTED_VALUE"""),0.4933)</f>
        <v>0.4933</v>
      </c>
      <c r="O717" s="320">
        <f>IFERROR(__xludf.DUMMYFUNCTION("""COMPUTED_VALUE"""),3.357)</f>
        <v>3.357</v>
      </c>
      <c r="P717" s="320">
        <f>IFERROR(__xludf.DUMMYFUNCTION("""COMPUTED_VALUE"""),71.54)</f>
        <v>71.54</v>
      </c>
      <c r="Q717" s="320">
        <f>IFERROR(__xludf.DUMMYFUNCTION("""COMPUTED_VALUE"""),61.75)</f>
        <v>61.75</v>
      </c>
      <c r="R717" s="320">
        <f>IFERROR(__xludf.DUMMYFUNCTION("""COMPUTED_VALUE"""),9.78)</f>
        <v>9.78</v>
      </c>
      <c r="S717" s="320">
        <f>IFERROR(__xludf.DUMMYFUNCTION("""COMPUTED_VALUE"""),14.87)</f>
        <v>14.87</v>
      </c>
      <c r="T717" s="320">
        <f>IFERROR(__xludf.DUMMYFUNCTION("""COMPUTED_VALUE"""),56.67)</f>
        <v>56.67</v>
      </c>
      <c r="U717" s="320">
        <f>IFERROR(__xludf.DUMMYFUNCTION("""COMPUTED_VALUE"""),74.8)</f>
        <v>74.8</v>
      </c>
      <c r="V717" s="320">
        <f>IFERROR(__xludf.DUMMYFUNCTION("""COMPUTED_VALUE"""),3.8959)</f>
        <v>3.8959</v>
      </c>
      <c r="W717" s="320">
        <f>IFERROR(__xludf.DUMMYFUNCTION("""COMPUTED_VALUE"""),20.78)</f>
        <v>20.78</v>
      </c>
      <c r="X717" s="320">
        <f>IFERROR(__xludf.DUMMYFUNCTION("""COMPUTED_VALUE"""),86.0)</f>
        <v>86</v>
      </c>
      <c r="Y717" s="320">
        <f>IFERROR(__xludf.DUMMYFUNCTION("""COMPUTED_VALUE"""),217.0)</f>
        <v>217</v>
      </c>
      <c r="Z717" s="320">
        <f>IFERROR(__xludf.DUMMYFUNCTION("""COMPUTED_VALUE"""),944.0)</f>
        <v>944</v>
      </c>
      <c r="AA717" s="320">
        <f>IFERROR(__xludf.DUMMYFUNCTION("""COMPUTED_VALUE"""),49.4149)</f>
        <v>49.4149</v>
      </c>
      <c r="AB717" s="320">
        <f>IFERROR(__xludf.DUMMYFUNCTION("""COMPUTED_VALUE"""),0.4387)</f>
        <v>0.4387</v>
      </c>
      <c r="AC717" s="320">
        <f>IFERROR(__xludf.DUMMYFUNCTION("""COMPUTED_VALUE"""),3.81)</f>
        <v>3.81</v>
      </c>
      <c r="AD717" s="320">
        <f>IFERROR(__xludf.DUMMYFUNCTION("""COMPUTED_VALUE"""),1.0)</f>
        <v>1</v>
      </c>
      <c r="AE717" s="320">
        <f>IFERROR(__xludf.DUMMYFUNCTION("""COMPUTED_VALUE"""),2.0)</f>
        <v>2</v>
      </c>
      <c r="AF717" s="320">
        <f>IFERROR(__xludf.DUMMYFUNCTION("""COMPUTED_VALUE"""),5.0)</f>
        <v>5</v>
      </c>
      <c r="AG717" s="320">
        <f>IFERROR(__xludf.DUMMYFUNCTION("""COMPUTED_VALUE"""),9.0)</f>
        <v>9</v>
      </c>
      <c r="AH717" s="320">
        <f>IFERROR(__xludf.DUMMYFUNCTION("""COMPUTED_VALUE"""),68.68)</f>
        <v>68.68</v>
      </c>
      <c r="AI717" s="320">
        <f>IFERROR(__xludf.DUMMYFUNCTION("""COMPUTED_VALUE"""),27.39)</f>
        <v>27.39</v>
      </c>
      <c r="AJ717" s="320">
        <f>IFERROR(__xludf.DUMMYFUNCTION("""COMPUTED_VALUE"""),8.57)</f>
        <v>8.57</v>
      </c>
      <c r="AK717" s="106"/>
      <c r="AL717" s="320">
        <f>IFERROR(__xludf.DUMMYFUNCTION("""COMPUTED_VALUE"""),23.93)</f>
        <v>23.93</v>
      </c>
      <c r="AM717" s="320">
        <f>IFERROR(__xludf.DUMMYFUNCTION("""COMPUTED_VALUE"""),37.82)</f>
        <v>37.82</v>
      </c>
      <c r="AN717" s="320">
        <f>IFERROR(__xludf.DUMMYFUNCTION("""COMPUTED_VALUE"""),67.51)</f>
        <v>67.51</v>
      </c>
      <c r="AO717" s="320">
        <f>IFERROR(__xludf.DUMMYFUNCTION("""COMPUTED_VALUE"""),16.16)</f>
        <v>16.16</v>
      </c>
    </row>
    <row r="718" ht="15.0" customHeight="1">
      <c r="A718" s="328">
        <f>IFERROR(__xludf.DUMMYFUNCTION("""COMPUTED_VALUE"""),46169.0)</f>
        <v>46169</v>
      </c>
      <c r="B718" s="319" t="str">
        <f>IFERROR(__xludf.DUMMYFUNCTION("""COMPUTED_VALUE"""),"C. 10-19")</f>
        <v>C. 10-19</v>
      </c>
      <c r="C718" s="320">
        <f>IFERROR(__xludf.DUMMYFUNCTION("""COMPUTED_VALUE"""),15673.0)</f>
        <v>15673</v>
      </c>
      <c r="D718" s="320">
        <f>IFERROR(__xludf.DUMMYFUNCTION("""COMPUTED_VALUE"""),22.15)</f>
        <v>22.15</v>
      </c>
      <c r="E718" s="320">
        <f>IFERROR(__xludf.DUMMYFUNCTION("""COMPUTED_VALUE"""),18263.82)</f>
        <v>18263.82</v>
      </c>
      <c r="F718" s="320">
        <f>IFERROR(__xludf.DUMMYFUNCTION("""COMPUTED_VALUE"""),1.1653)</f>
        <v>1.1653</v>
      </c>
      <c r="G718" s="320">
        <f>IFERROR(__xludf.DUMMYFUNCTION("""COMPUTED_VALUE"""),23.48)</f>
        <v>23.48</v>
      </c>
      <c r="H718" s="320">
        <f>IFERROR(__xludf.DUMMYFUNCTION("""COMPUTED_VALUE"""),4.963)</f>
        <v>4.963</v>
      </c>
      <c r="I718" s="320">
        <f>IFERROR(__xludf.DUMMYFUNCTION("""COMPUTED_VALUE"""),64.37)</f>
        <v>64.37</v>
      </c>
      <c r="J718" s="320">
        <f>IFERROR(__xludf.DUMMYFUNCTION("""COMPUTED_VALUE"""),37.6)</f>
        <v>37.6</v>
      </c>
      <c r="K718" s="320">
        <f>IFERROR(__xludf.DUMMYFUNCTION("""COMPUTED_VALUE"""),15.29)</f>
        <v>15.29</v>
      </c>
      <c r="L718" s="320">
        <f>IFERROR(__xludf.DUMMYFUNCTION("""COMPUTED_VALUE"""),0.4066)</f>
        <v>0.4066</v>
      </c>
      <c r="M718" s="320">
        <f>IFERROR(__xludf.DUMMYFUNCTION("""COMPUTED_VALUE"""),0.6488)</f>
        <v>0.6488</v>
      </c>
      <c r="N718" s="320">
        <f>IFERROR(__xludf.DUMMYFUNCTION("""COMPUTED_VALUE"""),0.3414)</f>
        <v>0.3414</v>
      </c>
      <c r="O718" s="320">
        <f>IFERROR(__xludf.DUMMYFUNCTION("""COMPUTED_VALUE"""),2.4592)</f>
        <v>2.4592</v>
      </c>
      <c r="P718" s="320">
        <f>IFERROR(__xludf.DUMMYFUNCTION("""COMPUTED_VALUE"""),162.15)</f>
        <v>162.15</v>
      </c>
      <c r="Q718" s="320">
        <f>IFERROR(__xludf.DUMMYFUNCTION("""COMPUTED_VALUE"""),137.93)</f>
        <v>137.93</v>
      </c>
      <c r="R718" s="320">
        <f>IFERROR(__xludf.DUMMYFUNCTION("""COMPUTED_VALUE"""),24.22)</f>
        <v>24.22</v>
      </c>
      <c r="S718" s="320">
        <f>IFERROR(__xludf.DUMMYFUNCTION("""COMPUTED_VALUE"""),62.48)</f>
        <v>62.48</v>
      </c>
      <c r="T718" s="320">
        <f>IFERROR(__xludf.DUMMYFUNCTION("""COMPUTED_VALUE"""),99.67)</f>
        <v>99.67</v>
      </c>
      <c r="U718" s="320">
        <f>IFERROR(__xludf.DUMMYFUNCTION("""COMPUTED_VALUE"""),173.51)</f>
        <v>173.51</v>
      </c>
      <c r="V718" s="320">
        <f>IFERROR(__xludf.DUMMYFUNCTION("""COMPUTED_VALUE"""),4.6146)</f>
        <v>4.6146</v>
      </c>
      <c r="W718" s="320">
        <f>IFERROR(__xludf.DUMMYFUNCTION("""COMPUTED_VALUE"""),38.53)</f>
        <v>38.53</v>
      </c>
      <c r="X718" s="320">
        <f>IFERROR(__xludf.DUMMYFUNCTION("""COMPUTED_VALUE"""),80.0)</f>
        <v>80</v>
      </c>
      <c r="Y718" s="320">
        <f>IFERROR(__xludf.DUMMYFUNCTION("""COMPUTED_VALUE"""),185.0)</f>
        <v>185</v>
      </c>
      <c r="Z718" s="320">
        <f>IFERROR(__xludf.DUMMYFUNCTION("""COMPUTED_VALUE"""),683.0)</f>
        <v>683</v>
      </c>
      <c r="AA718" s="320">
        <f>IFERROR(__xludf.DUMMYFUNCTION("""COMPUTED_VALUE"""),52.5807)</f>
        <v>52.5807</v>
      </c>
      <c r="AB718" s="320">
        <f>IFERROR(__xludf.DUMMYFUNCTION("""COMPUTED_VALUE"""),0.5316)</f>
        <v>0.5316</v>
      </c>
      <c r="AC718" s="320">
        <f>IFERROR(__xludf.DUMMYFUNCTION("""COMPUTED_VALUE"""),9.16)</f>
        <v>9.16</v>
      </c>
      <c r="AD718" s="320">
        <f>IFERROR(__xludf.DUMMYFUNCTION("""COMPUTED_VALUE"""),3.0)</f>
        <v>3</v>
      </c>
      <c r="AE718" s="320">
        <f>IFERROR(__xludf.DUMMYFUNCTION("""COMPUTED_VALUE"""),6.0)</f>
        <v>6</v>
      </c>
      <c r="AF718" s="320">
        <f>IFERROR(__xludf.DUMMYFUNCTION("""COMPUTED_VALUE"""),13.0)</f>
        <v>13</v>
      </c>
      <c r="AG718" s="320">
        <f>IFERROR(__xludf.DUMMYFUNCTION("""COMPUTED_VALUE"""),20.0)</f>
        <v>20</v>
      </c>
      <c r="AH718" s="320">
        <f>IFERROR(__xludf.DUMMYFUNCTION("""COMPUTED_VALUE"""),55.57)</f>
        <v>55.57</v>
      </c>
      <c r="AI718" s="320">
        <f>IFERROR(__xludf.DUMMYFUNCTION("""COMPUTED_VALUE"""),25.62)</f>
        <v>25.62</v>
      </c>
      <c r="AJ718" s="320">
        <f>IFERROR(__xludf.DUMMYFUNCTION("""COMPUTED_VALUE"""),5.46)</f>
        <v>5.46</v>
      </c>
      <c r="AK718" s="106"/>
      <c r="AL718" s="320">
        <f>IFERROR(__xludf.DUMMYFUNCTION("""COMPUTED_VALUE"""),23.81)</f>
        <v>23.81</v>
      </c>
      <c r="AM718" s="320">
        <f>IFERROR(__xludf.DUMMYFUNCTION("""COMPUTED_VALUE"""),114.12)</f>
        <v>114.12</v>
      </c>
      <c r="AN718" s="320">
        <f>IFERROR(__xludf.DUMMYFUNCTION("""COMPUTED_VALUE"""),72.36)</f>
        <v>72.36</v>
      </c>
      <c r="AO718" s="320">
        <f>IFERROR(__xludf.DUMMYFUNCTION("""COMPUTED_VALUE"""),17.23)</f>
        <v>17.23</v>
      </c>
    </row>
    <row r="719" ht="15.0" customHeight="1">
      <c r="A719" s="328">
        <f>IFERROR(__xludf.DUMMYFUNCTION("""COMPUTED_VALUE"""),46169.0)</f>
        <v>46169</v>
      </c>
      <c r="B719" s="319" t="str">
        <f>IFERROR(__xludf.DUMMYFUNCTION("""COMPUTED_VALUE"""),"D. 20-39")</f>
        <v>D. 20-39</v>
      </c>
      <c r="C719" s="320">
        <f>IFERROR(__xludf.DUMMYFUNCTION("""COMPUTED_VALUE"""),7840.0)</f>
        <v>7840</v>
      </c>
      <c r="D719" s="320">
        <f>IFERROR(__xludf.DUMMYFUNCTION("""COMPUTED_VALUE"""),11.08)</f>
        <v>11.08</v>
      </c>
      <c r="E719" s="320">
        <f>IFERROR(__xludf.DUMMYFUNCTION("""COMPUTED_VALUE"""),20886.53)</f>
        <v>20886.53</v>
      </c>
      <c r="F719" s="320">
        <f>IFERROR(__xludf.DUMMYFUNCTION("""COMPUTED_VALUE"""),2.6641)</f>
        <v>2.6641</v>
      </c>
      <c r="G719" s="320">
        <f>IFERROR(__xludf.DUMMYFUNCTION("""COMPUTED_VALUE"""),37.41)</f>
        <v>37.41</v>
      </c>
      <c r="H719" s="320">
        <f>IFERROR(__xludf.DUMMYFUNCTION("""COMPUTED_VALUE"""),7.1212)</f>
        <v>7.1212</v>
      </c>
      <c r="I719" s="320">
        <f>IFERROR(__xludf.DUMMYFUNCTION("""COMPUTED_VALUE"""),85.36)</f>
        <v>85.36</v>
      </c>
      <c r="J719" s="320">
        <f>IFERROR(__xludf.DUMMYFUNCTION("""COMPUTED_VALUE"""),51.73)</f>
        <v>51.73</v>
      </c>
      <c r="K719" s="320">
        <f>IFERROR(__xludf.DUMMYFUNCTION("""COMPUTED_VALUE"""),27.94)</f>
        <v>27.94</v>
      </c>
      <c r="L719" s="320">
        <f>IFERROR(__xludf.DUMMYFUNCTION("""COMPUTED_VALUE"""),0.5402)</f>
        <v>0.5402</v>
      </c>
      <c r="M719" s="320">
        <f>IFERROR(__xludf.DUMMYFUNCTION("""COMPUTED_VALUE"""),0.5267)</f>
        <v>0.5267</v>
      </c>
      <c r="N719" s="320">
        <f>IFERROR(__xludf.DUMMYFUNCTION("""COMPUTED_VALUE"""),0.2683)</f>
        <v>0.2683</v>
      </c>
      <c r="O719" s="320">
        <f>IFERROR(__xludf.DUMMYFUNCTION("""COMPUTED_VALUE"""),1.8512)</f>
        <v>1.8512</v>
      </c>
      <c r="P719" s="320">
        <f>IFERROR(__xludf.DUMMYFUNCTION("""COMPUTED_VALUE"""),316.07)</f>
        <v>316.07</v>
      </c>
      <c r="Q719" s="320">
        <f>IFERROR(__xludf.DUMMYFUNCTION("""COMPUTED_VALUE"""),268.35)</f>
        <v>268.35</v>
      </c>
      <c r="R719" s="320">
        <f>IFERROR(__xludf.DUMMYFUNCTION("""COMPUTED_VALUE"""),47.73)</f>
        <v>47.73</v>
      </c>
      <c r="S719" s="320">
        <f>IFERROR(__xludf.DUMMYFUNCTION("""COMPUTED_VALUE"""),153.99)</f>
        <v>153.99</v>
      </c>
      <c r="T719" s="320">
        <f>IFERROR(__xludf.DUMMYFUNCTION("""COMPUTED_VALUE"""),162.08)</f>
        <v>162.08</v>
      </c>
      <c r="U719" s="320">
        <f>IFERROR(__xludf.DUMMYFUNCTION("""COMPUTED_VALUE"""),331.91)</f>
        <v>331.91</v>
      </c>
      <c r="V719" s="320">
        <f>IFERROR(__xludf.DUMMYFUNCTION("""COMPUTED_VALUE"""),6.4166)</f>
        <v>6.4166</v>
      </c>
      <c r="W719" s="320">
        <f>IFERROR(__xludf.DUMMYFUNCTION("""COMPUTED_VALUE"""),48.72)</f>
        <v>48.72</v>
      </c>
      <c r="X719" s="320">
        <f>IFERROR(__xludf.DUMMYFUNCTION("""COMPUTED_VALUE"""),85.0)</f>
        <v>85</v>
      </c>
      <c r="Y719" s="320">
        <f>IFERROR(__xludf.DUMMYFUNCTION("""COMPUTED_VALUE"""),216.0)</f>
        <v>216</v>
      </c>
      <c r="Z719" s="320">
        <f>IFERROR(__xludf.DUMMYFUNCTION("""COMPUTED_VALUE"""),673.0)</f>
        <v>673</v>
      </c>
      <c r="AA719" s="320">
        <f>IFERROR(__xludf.DUMMYFUNCTION("""COMPUTED_VALUE"""),55.2458)</f>
        <v>55.2458</v>
      </c>
      <c r="AB719" s="320">
        <f>IFERROR(__xludf.DUMMYFUNCTION("""COMPUTED_VALUE"""),0.6731)</f>
        <v>0.6731</v>
      </c>
      <c r="AC719" s="320">
        <f>IFERROR(__xludf.DUMMYFUNCTION("""COMPUTED_VALUE"""),18.49)</f>
        <v>18.49</v>
      </c>
      <c r="AD719" s="320">
        <f>IFERROR(__xludf.DUMMYFUNCTION("""COMPUTED_VALUE"""),6.0)</f>
        <v>6</v>
      </c>
      <c r="AE719" s="320">
        <f>IFERROR(__xludf.DUMMYFUNCTION("""COMPUTED_VALUE"""),14.0)</f>
        <v>14</v>
      </c>
      <c r="AF719" s="320">
        <f>IFERROR(__xludf.DUMMYFUNCTION("""COMPUTED_VALUE"""),26.0)</f>
        <v>26</v>
      </c>
      <c r="AG719" s="320">
        <f>IFERROR(__xludf.DUMMYFUNCTION("""COMPUTED_VALUE"""),40.0)</f>
        <v>40</v>
      </c>
      <c r="AH719" s="320">
        <f>IFERROR(__xludf.DUMMYFUNCTION("""COMPUTED_VALUE"""),58.53)</f>
        <v>58.53</v>
      </c>
      <c r="AI719" s="320">
        <f>IFERROR(__xludf.DUMMYFUNCTION("""COMPUTED_VALUE"""),26.22)</f>
        <v>26.22</v>
      </c>
      <c r="AJ719" s="320">
        <f>IFERROR(__xludf.DUMMYFUNCTION("""COMPUTED_VALUE"""),8.76)</f>
        <v>8.76</v>
      </c>
      <c r="AK719" s="106"/>
      <c r="AL719" s="320">
        <f>IFERROR(__xludf.DUMMYFUNCTION("""COMPUTED_VALUE"""),22.85)</f>
        <v>22.85</v>
      </c>
      <c r="AM719" s="320">
        <f>IFERROR(__xludf.DUMMYFUNCTION("""COMPUTED_VALUE"""),245.49)</f>
        <v>245.49</v>
      </c>
      <c r="AN719" s="320">
        <f>IFERROR(__xludf.DUMMYFUNCTION("""COMPUTED_VALUE"""),72.17)</f>
        <v>72.17</v>
      </c>
      <c r="AO719" s="320">
        <f>IFERROR(__xludf.DUMMYFUNCTION("""COMPUTED_VALUE"""),16.49)</f>
        <v>16.49</v>
      </c>
    </row>
    <row r="720" ht="15.0" customHeight="1">
      <c r="A720" s="328">
        <f>IFERROR(__xludf.DUMMYFUNCTION("""COMPUTED_VALUE"""),46169.0)</f>
        <v>46169</v>
      </c>
      <c r="B720" s="319" t="str">
        <f>IFERROR(__xludf.DUMMYFUNCTION("""COMPUTED_VALUE"""),"E. 40-99")</f>
        <v>E. 40-99</v>
      </c>
      <c r="C720" s="320">
        <f>IFERROR(__xludf.DUMMYFUNCTION("""COMPUTED_VALUE"""),2967.0)</f>
        <v>2967</v>
      </c>
      <c r="D720" s="320">
        <f>IFERROR(__xludf.DUMMYFUNCTION("""COMPUTED_VALUE"""),4.19)</f>
        <v>4.19</v>
      </c>
      <c r="E720" s="320">
        <f>IFERROR(__xludf.DUMMYFUNCTION("""COMPUTED_VALUE"""),16900.66)</f>
        <v>16900.66</v>
      </c>
      <c r="F720" s="320">
        <f>IFERROR(__xludf.DUMMYFUNCTION("""COMPUTED_VALUE"""),5.6962)</f>
        <v>5.6962</v>
      </c>
      <c r="G720" s="320">
        <f>IFERROR(__xludf.DUMMYFUNCTION("""COMPUTED_VALUE"""),45.67)</f>
        <v>45.67</v>
      </c>
      <c r="H720" s="320">
        <f>IFERROR(__xludf.DUMMYFUNCTION("""COMPUTED_VALUE"""),12.4728)</f>
        <v>12.4728</v>
      </c>
      <c r="I720" s="320">
        <f>IFERROR(__xludf.DUMMYFUNCTION("""COMPUTED_VALUE"""),132.27)</f>
        <v>132.27</v>
      </c>
      <c r="J720" s="320">
        <f>IFERROR(__xludf.DUMMYFUNCTION("""COMPUTED_VALUE"""),82.08)</f>
        <v>82.08</v>
      </c>
      <c r="K720" s="320">
        <f>IFERROR(__xludf.DUMMYFUNCTION("""COMPUTED_VALUE"""),56.06)</f>
        <v>56.06</v>
      </c>
      <c r="L720" s="320">
        <f>IFERROR(__xludf.DUMMYFUNCTION("""COMPUTED_VALUE"""),0.6831)</f>
        <v>0.6831</v>
      </c>
      <c r="M720" s="320">
        <f>IFERROR(__xludf.DUMMYFUNCTION("""COMPUTED_VALUE"""),0.3963)</f>
        <v>0.3963</v>
      </c>
      <c r="N720" s="320">
        <f>IFERROR(__xludf.DUMMYFUNCTION("""COMPUTED_VALUE"""),0.2099)</f>
        <v>0.2099</v>
      </c>
      <c r="O720" s="320">
        <f>IFERROR(__xludf.DUMMYFUNCTION("""COMPUTED_VALUE"""),1.464)</f>
        <v>1.464</v>
      </c>
      <c r="P720" s="320">
        <f>IFERROR(__xludf.DUMMYFUNCTION("""COMPUTED_VALUE"""),626.05)</f>
        <v>626.05</v>
      </c>
      <c r="Q720" s="320">
        <f>IFERROR(__xludf.DUMMYFUNCTION("""COMPUTED_VALUE"""),526.57)</f>
        <v>526.57</v>
      </c>
      <c r="R720" s="320">
        <f>IFERROR(__xludf.DUMMYFUNCTION("""COMPUTED_VALUE"""),99.49)</f>
        <v>99.49</v>
      </c>
      <c r="S720" s="320">
        <f>IFERROR(__xludf.DUMMYFUNCTION("""COMPUTED_VALUE"""),327.83)</f>
        <v>327.83</v>
      </c>
      <c r="T720" s="320">
        <f>IFERROR(__xludf.DUMMYFUNCTION("""COMPUTED_VALUE"""),298.23)</f>
        <v>298.23</v>
      </c>
      <c r="U720" s="320">
        <f>IFERROR(__xludf.DUMMYFUNCTION("""COMPUTED_VALUE"""),675.08)</f>
        <v>675.08</v>
      </c>
      <c r="V720" s="320">
        <f>IFERROR(__xludf.DUMMYFUNCTION("""COMPUTED_VALUE"""),8.2249)</f>
        <v>8.2249</v>
      </c>
      <c r="W720" s="320">
        <f>IFERROR(__xludf.DUMMYFUNCTION("""COMPUTED_VALUE"""),52.36)</f>
        <v>52.36</v>
      </c>
      <c r="X720" s="320">
        <f>IFERROR(__xludf.DUMMYFUNCTION("""COMPUTED_VALUE"""),102.0)</f>
        <v>102</v>
      </c>
      <c r="Y720" s="320">
        <f>IFERROR(__xludf.DUMMYFUNCTION("""COMPUTED_VALUE"""),352.0)</f>
        <v>352</v>
      </c>
      <c r="Z720" s="320">
        <f>IFERROR(__xludf.DUMMYFUNCTION("""COMPUTED_VALUE"""),980.0)</f>
        <v>980</v>
      </c>
      <c r="AA720" s="320">
        <f>IFERROR(__xludf.DUMMYFUNCTION("""COMPUTED_VALUE"""),58.5053)</f>
        <v>58.5053</v>
      </c>
      <c r="AB720" s="320">
        <f>IFERROR(__xludf.DUMMYFUNCTION("""COMPUTED_VALUE"""),0.781)</f>
        <v>0.781</v>
      </c>
      <c r="AC720" s="320">
        <f>IFERROR(__xludf.DUMMYFUNCTION("""COMPUTED_VALUE"""),38.6)</f>
        <v>38.6</v>
      </c>
      <c r="AD720" s="320">
        <f>IFERROR(__xludf.DUMMYFUNCTION("""COMPUTED_VALUE"""),14.0)</f>
        <v>14</v>
      </c>
      <c r="AE720" s="320">
        <f>IFERROR(__xludf.DUMMYFUNCTION("""COMPUTED_VALUE"""),30.0)</f>
        <v>30</v>
      </c>
      <c r="AF720" s="320">
        <f>IFERROR(__xludf.DUMMYFUNCTION("""COMPUTED_VALUE"""),53.0)</f>
        <v>53</v>
      </c>
      <c r="AG720" s="320">
        <f>IFERROR(__xludf.DUMMYFUNCTION("""COMPUTED_VALUE"""),82.0)</f>
        <v>82</v>
      </c>
      <c r="AH720" s="320">
        <f>IFERROR(__xludf.DUMMYFUNCTION("""COMPUTED_VALUE"""),52.95)</f>
        <v>52.95</v>
      </c>
      <c r="AI720" s="320">
        <f>IFERROR(__xludf.DUMMYFUNCTION("""COMPUTED_VALUE"""),20.32)</f>
        <v>20.32</v>
      </c>
      <c r="AJ720" s="320">
        <f>IFERROR(__xludf.DUMMYFUNCTION("""COMPUTED_VALUE"""),5.63)</f>
        <v>5.63</v>
      </c>
      <c r="AK720" s="106"/>
      <c r="AL720" s="320">
        <f>IFERROR(__xludf.DUMMYFUNCTION("""COMPUTED_VALUE"""),22.05)</f>
        <v>22.05</v>
      </c>
      <c r="AM720" s="320">
        <f>IFERROR(__xludf.DUMMYFUNCTION("""COMPUTED_VALUE"""),504.52)</f>
        <v>504.52</v>
      </c>
      <c r="AN720" s="320">
        <f>IFERROR(__xludf.DUMMYFUNCTION("""COMPUTED_VALUE"""),72.3)</f>
        <v>72.3</v>
      </c>
      <c r="AO720" s="320">
        <f>IFERROR(__xludf.DUMMYFUNCTION("""COMPUTED_VALUE"""),15.94)</f>
        <v>15.94</v>
      </c>
    </row>
    <row r="721" ht="15.0" customHeight="1">
      <c r="A721" s="328">
        <f>IFERROR(__xludf.DUMMYFUNCTION("""COMPUTED_VALUE"""),46169.0)</f>
        <v>46169</v>
      </c>
      <c r="B721" s="319" t="str">
        <f>IFERROR(__xludf.DUMMYFUNCTION("""COMPUTED_VALUE"""),"F. 100+")</f>
        <v>F. 100+</v>
      </c>
      <c r="C721" s="320">
        <f>IFERROR(__xludf.DUMMYFUNCTION("""COMPUTED_VALUE"""),312.0)</f>
        <v>312</v>
      </c>
      <c r="D721" s="320">
        <f>IFERROR(__xludf.DUMMYFUNCTION("""COMPUTED_VALUE"""),0.44)</f>
        <v>0.44</v>
      </c>
      <c r="E721" s="320">
        <f>IFERROR(__xludf.DUMMYFUNCTION("""COMPUTED_VALUE"""),2834.19)</f>
        <v>2834.19</v>
      </c>
      <c r="F721" s="320">
        <f>IFERROR(__xludf.DUMMYFUNCTION("""COMPUTED_VALUE"""),9.0839)</f>
        <v>9.0839</v>
      </c>
      <c r="G721" s="320">
        <f>IFERROR(__xludf.DUMMYFUNCTION("""COMPUTED_VALUE"""),54.49)</f>
        <v>54.49</v>
      </c>
      <c r="H721" s="320">
        <f>IFERROR(__xludf.DUMMYFUNCTION("""COMPUTED_VALUE"""),16.6717)</f>
        <v>16.6717</v>
      </c>
      <c r="I721" s="320">
        <f>IFERROR(__xludf.DUMMYFUNCTION("""COMPUTED_VALUE"""),243.43)</f>
        <v>243.43</v>
      </c>
      <c r="J721" s="320">
        <f>IFERROR(__xludf.DUMMYFUNCTION("""COMPUTED_VALUE"""),155.14)</f>
        <v>155.14</v>
      </c>
      <c r="K721" s="320">
        <f>IFERROR(__xludf.DUMMYFUNCTION("""COMPUTED_VALUE"""),126.35)</f>
        <v>126.35</v>
      </c>
      <c r="L721" s="320">
        <f>IFERROR(__xludf.DUMMYFUNCTION("""COMPUTED_VALUE"""),0.8144)</f>
        <v>0.8144</v>
      </c>
      <c r="M721" s="320">
        <f>IFERROR(__xludf.DUMMYFUNCTION("""COMPUTED_VALUE"""),0.2629)</f>
        <v>0.2629</v>
      </c>
      <c r="N721" s="320">
        <f>IFERROR(__xludf.DUMMYFUNCTION("""COMPUTED_VALUE"""),0.1505)</f>
        <v>0.1505</v>
      </c>
      <c r="O721" s="320">
        <f>IFERROR(__xludf.DUMMYFUNCTION("""COMPUTED_VALUE"""),1.2278)</f>
        <v>1.2278</v>
      </c>
      <c r="P721" s="320">
        <f>IFERROR(__xludf.DUMMYFUNCTION("""COMPUTED_VALUE"""),1165.04)</f>
        <v>1165.04</v>
      </c>
      <c r="Q721" s="320">
        <f>IFERROR(__xludf.DUMMYFUNCTION("""COMPUTED_VALUE"""),932.0)</f>
        <v>932</v>
      </c>
      <c r="R721" s="320">
        <f>IFERROR(__xludf.DUMMYFUNCTION("""COMPUTED_VALUE"""),233.04)</f>
        <v>233.04</v>
      </c>
      <c r="S721" s="320">
        <f>IFERROR(__xludf.DUMMYFUNCTION("""COMPUTED_VALUE"""),551.67)</f>
        <v>551.67</v>
      </c>
      <c r="T721" s="320">
        <f>IFERROR(__xludf.DUMMYFUNCTION("""COMPUTED_VALUE"""),613.38)</f>
        <v>613.38</v>
      </c>
      <c r="U721" s="320">
        <f>IFERROR(__xludf.DUMMYFUNCTION("""COMPUTED_VALUE"""),1261.06)</f>
        <v>1261.06</v>
      </c>
      <c r="V721" s="320">
        <f>IFERROR(__xludf.DUMMYFUNCTION("""COMPUTED_VALUE"""),8.1286)</f>
        <v>8.1286</v>
      </c>
      <c r="W721" s="320">
        <f>IFERROR(__xludf.DUMMYFUNCTION("""COMPUTED_VALUE"""),47.35)</f>
        <v>47.35</v>
      </c>
      <c r="X721" s="320">
        <f>IFERROR(__xludf.DUMMYFUNCTION("""COMPUTED_VALUE"""),162.0)</f>
        <v>162</v>
      </c>
      <c r="Y721" s="320">
        <f>IFERROR(__xludf.DUMMYFUNCTION("""COMPUTED_VALUE"""),740.0)</f>
        <v>740</v>
      </c>
      <c r="Z721" s="320">
        <f>IFERROR(__xludf.DUMMYFUNCTION("""COMPUTED_VALUE"""),2349.0)</f>
        <v>2349</v>
      </c>
      <c r="AA721" s="320">
        <f>IFERROR(__xludf.DUMMYFUNCTION("""COMPUTED_VALUE"""),62.0053)</f>
        <v>62.0053</v>
      </c>
      <c r="AB721" s="320">
        <f>IFERROR(__xludf.DUMMYFUNCTION("""COMPUTED_VALUE"""),0.8687)</f>
        <v>0.8687</v>
      </c>
      <c r="AC721" s="320">
        <f>IFERROR(__xludf.DUMMYFUNCTION("""COMPUTED_VALUE"""),93.33)</f>
        <v>93.33</v>
      </c>
      <c r="AD721" s="320">
        <f>IFERROR(__xludf.DUMMYFUNCTION("""COMPUTED_VALUE"""),34.0)</f>
        <v>34</v>
      </c>
      <c r="AE721" s="320">
        <f>IFERROR(__xludf.DUMMYFUNCTION("""COMPUTED_VALUE"""),83.0)</f>
        <v>83</v>
      </c>
      <c r="AF721" s="320">
        <f>IFERROR(__xludf.DUMMYFUNCTION("""COMPUTED_VALUE"""),130.0)</f>
        <v>130</v>
      </c>
      <c r="AG721" s="320">
        <f>IFERROR(__xludf.DUMMYFUNCTION("""COMPUTED_VALUE"""),182.0)</f>
        <v>182</v>
      </c>
      <c r="AH721" s="320">
        <f>IFERROR(__xludf.DUMMYFUNCTION("""COMPUTED_VALUE"""),51.6)</f>
        <v>51.6</v>
      </c>
      <c r="AI721" s="320">
        <f>IFERROR(__xludf.DUMMYFUNCTION("""COMPUTED_VALUE"""),11.86)</f>
        <v>11.86</v>
      </c>
      <c r="AJ721" s="320">
        <f>IFERROR(__xludf.DUMMYFUNCTION("""COMPUTED_VALUE"""),2.56)</f>
        <v>2.56</v>
      </c>
      <c r="AK721" s="106"/>
      <c r="AL721" s="320">
        <f>IFERROR(__xludf.DUMMYFUNCTION("""COMPUTED_VALUE"""),23.93)</f>
        <v>23.93</v>
      </c>
      <c r="AM721" s="320">
        <f>IFERROR(__xludf.DUMMYFUNCTION("""COMPUTED_VALUE"""),908.07)</f>
        <v>908.07</v>
      </c>
      <c r="AN721" s="320">
        <f>IFERROR(__xludf.DUMMYFUNCTION("""COMPUTED_VALUE"""),68.86)</f>
        <v>68.86</v>
      </c>
      <c r="AO721" s="320">
        <f>IFERROR(__xludf.DUMMYFUNCTION("""COMPUTED_VALUE"""),16.48)</f>
        <v>16.48</v>
      </c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5.29"/>
    <col customWidth="1" min="3" max="3" width="20.43"/>
    <col customWidth="1" min="4" max="4" width="13.71"/>
    <col customWidth="1" min="5" max="5" width="17.0"/>
    <col customWidth="1" min="6" max="6" width="28.14"/>
    <col customWidth="1" min="7" max="7" width="16.71"/>
  </cols>
  <sheetData>
    <row r="1" ht="15.0" customHeight="1">
      <c r="A1" s="311" t="s">
        <v>153</v>
      </c>
      <c r="B1" s="311" t="s">
        <v>259</v>
      </c>
      <c r="C1" s="311" t="s">
        <v>260</v>
      </c>
      <c r="D1" s="311" t="s">
        <v>261</v>
      </c>
      <c r="E1" s="311" t="s">
        <v>232</v>
      </c>
      <c r="F1" s="311" t="s">
        <v>233</v>
      </c>
      <c r="G1" s="311" t="s">
        <v>234</v>
      </c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  <c r="V1" s="332"/>
      <c r="W1" s="332"/>
      <c r="X1" s="332"/>
      <c r="Y1" s="332"/>
      <c r="Z1" s="332"/>
    </row>
    <row r="2" ht="15.0" customHeight="1">
      <c r="A2" s="333" t="s">
        <v>43</v>
      </c>
      <c r="B2" s="333" t="s">
        <v>262</v>
      </c>
      <c r="C2" s="334">
        <v>0.0</v>
      </c>
      <c r="D2" s="334">
        <v>4302417.0</v>
      </c>
      <c r="E2" s="334">
        <v>26.48</v>
      </c>
      <c r="F2" s="334">
        <v>26.37</v>
      </c>
      <c r="G2" s="334">
        <v>0.11</v>
      </c>
    </row>
    <row r="3" ht="15.0" customHeight="1">
      <c r="A3" s="333" t="s">
        <v>43</v>
      </c>
      <c r="B3" s="333" t="s">
        <v>263</v>
      </c>
      <c r="C3" s="334">
        <v>1.0</v>
      </c>
      <c r="D3" s="334">
        <v>8675679.0</v>
      </c>
      <c r="E3" s="334">
        <v>35.4</v>
      </c>
      <c r="F3" s="334">
        <v>32.68</v>
      </c>
      <c r="G3" s="334">
        <v>2.72</v>
      </c>
    </row>
    <row r="4" ht="15.0" customHeight="1">
      <c r="A4" s="333" t="s">
        <v>43</v>
      </c>
      <c r="B4" s="333" t="s">
        <v>264</v>
      </c>
      <c r="C4" s="334">
        <v>3.0</v>
      </c>
      <c r="D4" s="334">
        <v>7040042.0</v>
      </c>
      <c r="E4" s="334">
        <v>53.87</v>
      </c>
      <c r="F4" s="334">
        <v>45.73</v>
      </c>
      <c r="G4" s="334">
        <v>8.14</v>
      </c>
    </row>
    <row r="5" ht="15.0" customHeight="1">
      <c r="A5" s="333" t="s">
        <v>43</v>
      </c>
      <c r="B5" s="333" t="s">
        <v>265</v>
      </c>
      <c r="C5" s="334">
        <v>7.0</v>
      </c>
      <c r="D5" s="334">
        <v>4039474.0</v>
      </c>
      <c r="E5" s="334">
        <v>86.75</v>
      </c>
      <c r="F5" s="334">
        <v>69.98</v>
      </c>
      <c r="G5" s="334">
        <v>16.77</v>
      </c>
    </row>
    <row r="6" ht="15.0" customHeight="1">
      <c r="A6" s="333" t="s">
        <v>44</v>
      </c>
      <c r="B6" s="333" t="s">
        <v>262</v>
      </c>
      <c r="C6" s="334">
        <v>3.0</v>
      </c>
      <c r="D6" s="334">
        <v>2416631.0</v>
      </c>
      <c r="E6" s="334">
        <v>81.76</v>
      </c>
      <c r="F6" s="334">
        <v>65.87</v>
      </c>
      <c r="G6" s="334">
        <v>15.89</v>
      </c>
    </row>
    <row r="7" ht="15.0" customHeight="1">
      <c r="A7" s="333" t="s">
        <v>44</v>
      </c>
      <c r="B7" s="333" t="s">
        <v>263</v>
      </c>
      <c r="C7" s="334">
        <v>7.0</v>
      </c>
      <c r="D7" s="334">
        <v>2793752.0</v>
      </c>
      <c r="E7" s="334">
        <v>112.67</v>
      </c>
      <c r="F7" s="334">
        <v>87.64</v>
      </c>
      <c r="G7" s="334">
        <v>25.03</v>
      </c>
    </row>
    <row r="8" ht="15.0" customHeight="1">
      <c r="A8" s="333" t="s">
        <v>44</v>
      </c>
      <c r="B8" s="333" t="s">
        <v>264</v>
      </c>
      <c r="C8" s="334">
        <v>13.0</v>
      </c>
      <c r="D8" s="334">
        <v>2131667.0</v>
      </c>
      <c r="E8" s="334">
        <v>145.54</v>
      </c>
      <c r="F8" s="334">
        <v>112.88</v>
      </c>
      <c r="G8" s="334">
        <v>32.66</v>
      </c>
    </row>
    <row r="9" ht="15.0" customHeight="1">
      <c r="A9" s="333" t="s">
        <v>44</v>
      </c>
      <c r="B9" s="333" t="s">
        <v>265</v>
      </c>
      <c r="C9" s="334">
        <v>20.0</v>
      </c>
      <c r="D9" s="334">
        <v>1294415.0</v>
      </c>
      <c r="E9" s="334">
        <v>214.84</v>
      </c>
      <c r="F9" s="334">
        <v>168.05</v>
      </c>
      <c r="G9" s="334">
        <v>46.79</v>
      </c>
    </row>
    <row r="10" ht="15.0" customHeight="1">
      <c r="A10" s="333" t="s">
        <v>45</v>
      </c>
      <c r="B10" s="333" t="s">
        <v>262</v>
      </c>
      <c r="C10" s="334">
        <v>7.0</v>
      </c>
      <c r="D10" s="334">
        <v>1364733.0</v>
      </c>
      <c r="E10" s="334">
        <v>147.41</v>
      </c>
      <c r="F10" s="334">
        <v>113.23</v>
      </c>
      <c r="G10" s="334">
        <v>34.18</v>
      </c>
    </row>
    <row r="11" ht="15.0" customHeight="1">
      <c r="A11" s="333" t="s">
        <v>45</v>
      </c>
      <c r="B11" s="333" t="s">
        <v>263</v>
      </c>
      <c r="C11" s="334">
        <v>14.0</v>
      </c>
      <c r="D11" s="334">
        <v>1391278.0</v>
      </c>
      <c r="E11" s="334">
        <v>209.17</v>
      </c>
      <c r="F11" s="334">
        <v>157.89</v>
      </c>
      <c r="G11" s="334">
        <v>51.29</v>
      </c>
    </row>
    <row r="12" ht="15.0" customHeight="1">
      <c r="A12" s="333" t="s">
        <v>45</v>
      </c>
      <c r="B12" s="333" t="s">
        <v>264</v>
      </c>
      <c r="C12" s="334">
        <v>25.0</v>
      </c>
      <c r="D12" s="334">
        <v>1101063.0</v>
      </c>
      <c r="E12" s="334">
        <v>266.7</v>
      </c>
      <c r="F12" s="334">
        <v>204.67</v>
      </c>
      <c r="G12" s="334">
        <v>62.03</v>
      </c>
    </row>
    <row r="13" ht="15.0" customHeight="1">
      <c r="A13" s="333" t="s">
        <v>45</v>
      </c>
      <c r="B13" s="333" t="s">
        <v>265</v>
      </c>
      <c r="C13" s="334">
        <v>37.0</v>
      </c>
      <c r="D13" s="334">
        <v>696099.0</v>
      </c>
      <c r="E13" s="334">
        <v>390.85</v>
      </c>
      <c r="F13" s="334">
        <v>304.79</v>
      </c>
      <c r="G13" s="334">
        <v>86.07</v>
      </c>
    </row>
    <row r="14" ht="15.0" customHeight="1">
      <c r="A14" s="96" t="s">
        <v>46</v>
      </c>
      <c r="B14" s="96" t="s">
        <v>262</v>
      </c>
      <c r="C14" s="96">
        <v>14.0</v>
      </c>
      <c r="D14" s="96">
        <v>535043.0</v>
      </c>
      <c r="E14" s="96">
        <v>281.72</v>
      </c>
      <c r="F14" s="96">
        <v>207.26</v>
      </c>
      <c r="G14" s="96">
        <v>74.46</v>
      </c>
    </row>
    <row r="15" ht="15.0" customHeight="1">
      <c r="A15" s="96" t="s">
        <v>46</v>
      </c>
      <c r="B15" s="96" t="s">
        <v>263</v>
      </c>
      <c r="C15" s="96">
        <v>29.0</v>
      </c>
      <c r="D15" s="96">
        <v>552355.0</v>
      </c>
      <c r="E15" s="96">
        <v>410.02</v>
      </c>
      <c r="F15" s="96">
        <v>308.59</v>
      </c>
      <c r="G15" s="96">
        <v>101.44</v>
      </c>
    </row>
    <row r="16" ht="15.0" customHeight="1">
      <c r="A16" s="96" t="s">
        <v>46</v>
      </c>
      <c r="B16" s="96" t="s">
        <v>264</v>
      </c>
      <c r="C16" s="96">
        <v>51.0</v>
      </c>
      <c r="D16" s="96">
        <v>439138.0</v>
      </c>
      <c r="E16" s="96">
        <v>522.83</v>
      </c>
      <c r="F16" s="96">
        <v>401.17</v>
      </c>
      <c r="G16" s="96">
        <v>121.66</v>
      </c>
    </row>
    <row r="17" ht="15.0" customHeight="1">
      <c r="A17" s="312" t="s">
        <v>46</v>
      </c>
      <c r="B17" s="312" t="s">
        <v>265</v>
      </c>
      <c r="C17" s="312">
        <v>78.0</v>
      </c>
      <c r="D17" s="312">
        <v>275281.0</v>
      </c>
      <c r="E17" s="312">
        <v>735.24</v>
      </c>
      <c r="F17" s="312">
        <v>560.54</v>
      </c>
      <c r="G17" s="312">
        <v>174.7</v>
      </c>
      <c r="H17" s="332"/>
      <c r="I17" s="332"/>
      <c r="J17" s="332"/>
      <c r="K17" s="332"/>
      <c r="L17" s="332"/>
      <c r="M17" s="332"/>
      <c r="N17" s="332"/>
      <c r="O17" s="332"/>
      <c r="P17" s="332"/>
      <c r="Q17" s="332"/>
      <c r="R17" s="332"/>
      <c r="S17" s="332"/>
      <c r="T17" s="332"/>
      <c r="U17" s="332"/>
      <c r="V17" s="332"/>
      <c r="W17" s="332"/>
      <c r="X17" s="332"/>
      <c r="Y17" s="332"/>
      <c r="Z17" s="332"/>
    </row>
    <row r="18" ht="15.0" customHeight="1">
      <c r="A18" s="333" t="s">
        <v>47</v>
      </c>
      <c r="B18" s="333" t="s">
        <v>262</v>
      </c>
      <c r="C18" s="334">
        <v>34.0</v>
      </c>
      <c r="D18" s="334">
        <v>60093.0</v>
      </c>
      <c r="E18" s="334">
        <v>595.81</v>
      </c>
      <c r="F18" s="334">
        <v>406.65</v>
      </c>
      <c r="G18" s="334">
        <v>189.17</v>
      </c>
    </row>
    <row r="19" ht="15.0" customHeight="1">
      <c r="A19" s="333" t="s">
        <v>47</v>
      </c>
      <c r="B19" s="333" t="s">
        <v>263</v>
      </c>
      <c r="C19" s="334">
        <v>72.0</v>
      </c>
      <c r="D19" s="334">
        <v>59935.0</v>
      </c>
      <c r="E19" s="334">
        <v>809.3</v>
      </c>
      <c r="F19" s="334">
        <v>576.27</v>
      </c>
      <c r="G19" s="334">
        <v>233.03</v>
      </c>
    </row>
    <row r="20" ht="15.0" customHeight="1">
      <c r="A20" s="333" t="s">
        <v>47</v>
      </c>
      <c r="B20" s="333" t="s">
        <v>264</v>
      </c>
      <c r="C20" s="334">
        <v>123.0</v>
      </c>
      <c r="D20" s="334">
        <v>47857.0</v>
      </c>
      <c r="E20" s="334">
        <v>995.25</v>
      </c>
      <c r="F20" s="334">
        <v>718.87</v>
      </c>
      <c r="G20" s="334">
        <v>276.38</v>
      </c>
    </row>
    <row r="21" ht="15.0" customHeight="1">
      <c r="A21" s="333" t="s">
        <v>47</v>
      </c>
      <c r="B21" s="333" t="s">
        <v>265</v>
      </c>
      <c r="C21" s="334">
        <v>177.0</v>
      </c>
      <c r="D21" s="334">
        <v>30105.0</v>
      </c>
      <c r="E21" s="334">
        <v>1369.87</v>
      </c>
      <c r="F21" s="334">
        <v>981.76</v>
      </c>
      <c r="G21" s="334">
        <v>388.11</v>
      </c>
    </row>
    <row r="22" ht="15.0" customHeight="1">
      <c r="A22" s="335"/>
      <c r="B22" s="335"/>
      <c r="C22" s="316"/>
      <c r="D22" s="316"/>
      <c r="E22" s="316"/>
      <c r="F22" s="316"/>
      <c r="G22" s="316"/>
    </row>
    <row r="23" ht="15.0" customHeight="1">
      <c r="A23" s="335" t="s">
        <v>266</v>
      </c>
      <c r="B23" s="335"/>
      <c r="C23" s="316"/>
      <c r="D23" s="316"/>
      <c r="E23" s="316"/>
      <c r="F23" s="316"/>
      <c r="G23" s="316"/>
    </row>
    <row r="24" ht="15.0" customHeight="1">
      <c r="A24" s="311" t="s">
        <v>153</v>
      </c>
      <c r="B24" s="311" t="s">
        <v>259</v>
      </c>
      <c r="C24" s="336" t="s">
        <v>260</v>
      </c>
      <c r="D24" s="336" t="s">
        <v>261</v>
      </c>
      <c r="E24" s="336" t="s">
        <v>232</v>
      </c>
      <c r="F24" s="336" t="s">
        <v>233</v>
      </c>
      <c r="G24" s="336" t="s">
        <v>234</v>
      </c>
      <c r="H24" s="337"/>
      <c r="I24" s="337"/>
      <c r="J24" s="337"/>
      <c r="K24" s="337"/>
      <c r="L24" s="337"/>
      <c r="M24" s="337"/>
      <c r="N24" s="337"/>
      <c r="O24" s="337"/>
      <c r="P24" s="337"/>
      <c r="Q24" s="337"/>
      <c r="R24" s="337"/>
      <c r="S24" s="337"/>
      <c r="T24" s="337"/>
      <c r="U24" s="337"/>
      <c r="V24" s="337"/>
      <c r="W24" s="337"/>
      <c r="X24" s="337"/>
      <c r="Y24" s="337"/>
      <c r="Z24" s="337"/>
    </row>
    <row r="25" ht="15.0" customHeight="1">
      <c r="A25" s="333" t="s">
        <v>43</v>
      </c>
      <c r="B25" s="333" t="s">
        <v>262</v>
      </c>
      <c r="C25" s="334">
        <v>0.0</v>
      </c>
      <c r="D25" s="334">
        <v>1895586.0</v>
      </c>
      <c r="E25" s="334">
        <v>27.59</v>
      </c>
      <c r="F25" s="334">
        <v>27.52</v>
      </c>
      <c r="G25" s="334">
        <v>0.07</v>
      </c>
    </row>
    <row r="26" ht="15.0" customHeight="1">
      <c r="A26" s="333" t="s">
        <v>43</v>
      </c>
      <c r="B26" s="333" t="s">
        <v>263</v>
      </c>
      <c r="C26" s="334">
        <v>1.0</v>
      </c>
      <c r="D26" s="334">
        <v>4086246.0</v>
      </c>
      <c r="E26" s="334">
        <v>38.94</v>
      </c>
      <c r="F26" s="334">
        <v>35.98</v>
      </c>
      <c r="G26" s="334">
        <v>2.96</v>
      </c>
    </row>
    <row r="27" ht="15.0" customHeight="1">
      <c r="A27" s="333" t="s">
        <v>43</v>
      </c>
      <c r="B27" s="333" t="s">
        <v>264</v>
      </c>
      <c r="C27" s="334">
        <v>3.0</v>
      </c>
      <c r="D27" s="334">
        <v>3148842.0</v>
      </c>
      <c r="E27" s="334">
        <v>58.44</v>
      </c>
      <c r="F27" s="334">
        <v>50.88</v>
      </c>
      <c r="G27" s="334">
        <v>7.56</v>
      </c>
    </row>
    <row r="28" ht="15.0" customHeight="1">
      <c r="A28" s="333" t="s">
        <v>43</v>
      </c>
      <c r="B28" s="333" t="s">
        <v>265</v>
      </c>
      <c r="C28" s="334">
        <v>6.0</v>
      </c>
      <c r="D28" s="334">
        <v>1683012.0</v>
      </c>
      <c r="E28" s="334">
        <v>110.87</v>
      </c>
      <c r="F28" s="334">
        <v>93.93</v>
      </c>
      <c r="G28" s="334">
        <v>16.94</v>
      </c>
    </row>
    <row r="29" ht="15.0" customHeight="1">
      <c r="A29" s="333" t="s">
        <v>44</v>
      </c>
      <c r="B29" s="333" t="s">
        <v>262</v>
      </c>
      <c r="C29" s="334">
        <v>3.0</v>
      </c>
      <c r="D29" s="334">
        <v>870499.0</v>
      </c>
      <c r="E29" s="334">
        <v>93.5</v>
      </c>
      <c r="F29" s="334">
        <v>78.72</v>
      </c>
      <c r="G29" s="334">
        <v>14.79</v>
      </c>
    </row>
    <row r="30" ht="15.0" customHeight="1">
      <c r="A30" s="96" t="s">
        <v>44</v>
      </c>
      <c r="B30" s="96" t="s">
        <v>263</v>
      </c>
      <c r="C30" s="96">
        <v>6.0</v>
      </c>
      <c r="D30" s="96">
        <v>938485.0</v>
      </c>
      <c r="E30" s="96">
        <v>148.23</v>
      </c>
      <c r="F30" s="96">
        <v>123.16</v>
      </c>
      <c r="G30" s="96">
        <v>25.07</v>
      </c>
    </row>
    <row r="31" ht="15.0" customHeight="1">
      <c r="A31" s="96" t="s">
        <v>44</v>
      </c>
      <c r="B31" s="96" t="s">
        <v>264</v>
      </c>
      <c r="C31" s="96">
        <v>12.0</v>
      </c>
      <c r="D31" s="96">
        <v>843342.0</v>
      </c>
      <c r="E31" s="96">
        <v>200.4</v>
      </c>
      <c r="F31" s="96">
        <v>168.35</v>
      </c>
      <c r="G31" s="96">
        <v>32.05</v>
      </c>
    </row>
    <row r="32" ht="15.0" customHeight="1">
      <c r="A32" s="96" t="s">
        <v>44</v>
      </c>
      <c r="B32" s="96" t="s">
        <v>265</v>
      </c>
      <c r="C32" s="96">
        <v>20.0</v>
      </c>
      <c r="D32" s="96">
        <v>521359.0</v>
      </c>
      <c r="E32" s="96">
        <v>315.99</v>
      </c>
      <c r="F32" s="96">
        <v>269.98</v>
      </c>
      <c r="G32" s="96">
        <v>46.02</v>
      </c>
    </row>
    <row r="33" ht="15.0" customHeight="1">
      <c r="A33" s="96" t="s">
        <v>45</v>
      </c>
      <c r="B33" s="96" t="s">
        <v>262</v>
      </c>
      <c r="C33" s="96">
        <v>6.0</v>
      </c>
      <c r="D33" s="96">
        <v>492985.0</v>
      </c>
      <c r="E33" s="96">
        <v>186.81</v>
      </c>
      <c r="F33" s="96">
        <v>153.81</v>
      </c>
      <c r="G33" s="96">
        <v>33.0</v>
      </c>
    </row>
    <row r="34" ht="15.0" customHeight="1">
      <c r="A34" s="96" t="s">
        <v>45</v>
      </c>
      <c r="B34" s="96" t="s">
        <v>263</v>
      </c>
      <c r="C34" s="96">
        <v>13.0</v>
      </c>
      <c r="D34" s="96">
        <v>493092.0</v>
      </c>
      <c r="E34" s="96">
        <v>292.33</v>
      </c>
      <c r="F34" s="96">
        <v>241.97</v>
      </c>
      <c r="G34" s="96">
        <v>50.36</v>
      </c>
    </row>
    <row r="35" ht="15.0" customHeight="1">
      <c r="A35" s="96" t="s">
        <v>45</v>
      </c>
      <c r="B35" s="96" t="s">
        <v>264</v>
      </c>
      <c r="C35" s="96">
        <v>24.0</v>
      </c>
      <c r="D35" s="96">
        <v>397082.0</v>
      </c>
      <c r="E35" s="96">
        <v>400.43</v>
      </c>
      <c r="F35" s="96">
        <v>338.9</v>
      </c>
      <c r="G35" s="96">
        <v>61.53</v>
      </c>
    </row>
    <row r="36" ht="15.0" customHeight="1">
      <c r="A36" s="96" t="s">
        <v>45</v>
      </c>
      <c r="B36" s="96" t="s">
        <v>265</v>
      </c>
      <c r="C36" s="96">
        <v>37.0</v>
      </c>
      <c r="D36" s="96">
        <v>262891.0</v>
      </c>
      <c r="E36" s="96">
        <v>625.07</v>
      </c>
      <c r="F36" s="96">
        <v>539.38</v>
      </c>
      <c r="G36" s="96">
        <v>85.68</v>
      </c>
    </row>
    <row r="37" ht="15.0" customHeight="1">
      <c r="A37" s="96" t="s">
        <v>46</v>
      </c>
      <c r="B37" s="96" t="s">
        <v>262</v>
      </c>
      <c r="C37" s="96">
        <v>12.0</v>
      </c>
      <c r="D37" s="96">
        <v>191578.0</v>
      </c>
      <c r="E37" s="96">
        <v>364.39</v>
      </c>
      <c r="F37" s="96">
        <v>293.18</v>
      </c>
      <c r="G37" s="96">
        <v>71.21</v>
      </c>
    </row>
    <row r="38" ht="15.0" customHeight="1">
      <c r="A38" s="96" t="s">
        <v>46</v>
      </c>
      <c r="B38" s="96" t="s">
        <v>263</v>
      </c>
      <c r="C38" s="96">
        <v>27.0</v>
      </c>
      <c r="D38" s="96">
        <v>194475.0</v>
      </c>
      <c r="E38" s="96">
        <v>607.99</v>
      </c>
      <c r="F38" s="96">
        <v>507.76</v>
      </c>
      <c r="G38" s="96">
        <v>100.23</v>
      </c>
    </row>
    <row r="39" ht="15.0" customHeight="1">
      <c r="A39" s="96" t="s">
        <v>46</v>
      </c>
      <c r="B39" s="96" t="s">
        <v>264</v>
      </c>
      <c r="C39" s="96">
        <v>50.0</v>
      </c>
      <c r="D39" s="96">
        <v>156361.0</v>
      </c>
      <c r="E39" s="96">
        <v>828.58</v>
      </c>
      <c r="F39" s="96">
        <v>707.88</v>
      </c>
      <c r="G39" s="96">
        <v>120.7</v>
      </c>
    </row>
    <row r="40" ht="15.0" customHeight="1">
      <c r="A40" s="96" t="s">
        <v>46</v>
      </c>
      <c r="B40" s="96" t="s">
        <v>265</v>
      </c>
      <c r="C40" s="96">
        <v>77.0</v>
      </c>
      <c r="D40" s="96">
        <v>98931.0</v>
      </c>
      <c r="E40" s="96">
        <v>1242.63</v>
      </c>
      <c r="F40" s="96">
        <v>1066.41</v>
      </c>
      <c r="G40" s="96">
        <v>176.22</v>
      </c>
    </row>
    <row r="41" ht="15.0" customHeight="1">
      <c r="A41" s="96" t="s">
        <v>47</v>
      </c>
      <c r="B41" s="96" t="s">
        <v>262</v>
      </c>
      <c r="C41" s="96">
        <v>29.0</v>
      </c>
      <c r="D41" s="96">
        <v>21495.0</v>
      </c>
      <c r="E41" s="96">
        <v>773.66</v>
      </c>
      <c r="F41" s="96">
        <v>590.03</v>
      </c>
      <c r="G41" s="96">
        <v>183.63</v>
      </c>
    </row>
    <row r="42" ht="15.0" customHeight="1">
      <c r="A42" s="96" t="s">
        <v>47</v>
      </c>
      <c r="B42" s="96" t="s">
        <v>263</v>
      </c>
      <c r="C42" s="96">
        <v>67.0</v>
      </c>
      <c r="D42" s="96">
        <v>21782.0</v>
      </c>
      <c r="E42" s="96">
        <v>1213.14</v>
      </c>
      <c r="F42" s="96">
        <v>979.47</v>
      </c>
      <c r="G42" s="96">
        <v>233.68</v>
      </c>
    </row>
    <row r="43" ht="15.0" customHeight="1">
      <c r="A43" s="96" t="s">
        <v>47</v>
      </c>
      <c r="B43" s="96" t="s">
        <v>264</v>
      </c>
      <c r="C43" s="96">
        <v>121.0</v>
      </c>
      <c r="D43" s="96">
        <v>17369.0</v>
      </c>
      <c r="E43" s="96">
        <v>1602.6</v>
      </c>
      <c r="F43" s="96">
        <v>1322.11</v>
      </c>
      <c r="G43" s="96">
        <v>280.49</v>
      </c>
    </row>
    <row r="44" ht="15.0" customHeight="1">
      <c r="A44" s="96" t="s">
        <v>47</v>
      </c>
      <c r="B44" s="96" t="s">
        <v>265</v>
      </c>
      <c r="C44" s="96">
        <v>179.0</v>
      </c>
      <c r="D44" s="96">
        <v>10917.0</v>
      </c>
      <c r="E44" s="96">
        <v>2269.96</v>
      </c>
      <c r="F44" s="96">
        <v>1869.53</v>
      </c>
      <c r="G44" s="96">
        <v>400.43</v>
      </c>
    </row>
    <row r="45" ht="15.75" customHeight="1">
      <c r="A45" s="85"/>
      <c r="B45" s="85"/>
      <c r="C45" s="85"/>
      <c r="D45" s="85"/>
      <c r="E45" s="85"/>
      <c r="F45" s="85"/>
      <c r="G45" s="85"/>
    </row>
    <row r="46" ht="15.0" customHeight="1">
      <c r="A46" s="85" t="s">
        <v>267</v>
      </c>
      <c r="B46" s="85"/>
      <c r="C46" s="85"/>
      <c r="D46" s="85"/>
      <c r="E46" s="85"/>
      <c r="F46" s="85"/>
      <c r="G46" s="85"/>
    </row>
    <row r="47" ht="15.0" customHeight="1">
      <c r="A47" s="85" t="s">
        <v>153</v>
      </c>
      <c r="B47" s="85" t="s">
        <v>259</v>
      </c>
      <c r="C47" s="85" t="s">
        <v>260</v>
      </c>
      <c r="D47" s="85" t="s">
        <v>261</v>
      </c>
      <c r="E47" s="85" t="s">
        <v>232</v>
      </c>
      <c r="F47" s="85" t="s">
        <v>233</v>
      </c>
      <c r="G47" s="85" t="s">
        <v>234</v>
      </c>
    </row>
    <row r="48" ht="15.0" customHeight="1">
      <c r="A48" s="85" t="s">
        <v>43</v>
      </c>
      <c r="B48" s="85" t="s">
        <v>262</v>
      </c>
      <c r="C48" s="85">
        <v>0.0</v>
      </c>
      <c r="D48" s="85">
        <v>3663462.0</v>
      </c>
      <c r="E48" s="85">
        <v>22.0</v>
      </c>
      <c r="F48" s="85">
        <v>21.83</v>
      </c>
      <c r="G48" s="85">
        <v>0.16</v>
      </c>
    </row>
    <row r="49" ht="15.0" customHeight="1">
      <c r="A49" s="85" t="s">
        <v>43</v>
      </c>
      <c r="B49" s="85" t="s">
        <v>263</v>
      </c>
      <c r="C49" s="85">
        <v>1.0</v>
      </c>
      <c r="D49" s="85">
        <v>6567956.0</v>
      </c>
      <c r="E49" s="85">
        <v>28.55</v>
      </c>
      <c r="F49" s="85">
        <v>26.34</v>
      </c>
      <c r="G49" s="85">
        <v>2.2</v>
      </c>
    </row>
    <row r="50" ht="15.0" customHeight="1">
      <c r="A50" s="85" t="s">
        <v>43</v>
      </c>
      <c r="B50" s="85" t="s">
        <v>264</v>
      </c>
      <c r="C50" s="85">
        <v>3.0</v>
      </c>
      <c r="D50" s="85">
        <v>5166074.0</v>
      </c>
      <c r="E50" s="85">
        <v>46.44</v>
      </c>
      <c r="F50" s="85">
        <v>38.4</v>
      </c>
      <c r="G50" s="85">
        <v>8.05</v>
      </c>
    </row>
    <row r="51" ht="15.0" customHeight="1">
      <c r="A51" s="85" t="s">
        <v>43</v>
      </c>
      <c r="B51" s="85" t="s">
        <v>265</v>
      </c>
      <c r="C51" s="85">
        <v>7.0</v>
      </c>
      <c r="D51" s="85">
        <v>3136507.0</v>
      </c>
      <c r="E51" s="85">
        <v>64.94</v>
      </c>
      <c r="F51" s="85">
        <v>49.31</v>
      </c>
      <c r="G51" s="85">
        <v>15.63</v>
      </c>
    </row>
    <row r="52" ht="15.0" customHeight="1">
      <c r="A52" s="85" t="s">
        <v>44</v>
      </c>
      <c r="B52" s="85" t="s">
        <v>262</v>
      </c>
      <c r="C52" s="85">
        <v>3.0</v>
      </c>
      <c r="D52" s="85">
        <v>1861326.0</v>
      </c>
      <c r="E52" s="85">
        <v>73.44</v>
      </c>
      <c r="F52" s="85">
        <v>57.07</v>
      </c>
      <c r="G52" s="85">
        <v>16.36</v>
      </c>
    </row>
    <row r="53" ht="15.0" customHeight="1">
      <c r="A53" s="85" t="s">
        <v>44</v>
      </c>
      <c r="B53" s="85" t="s">
        <v>263</v>
      </c>
      <c r="C53" s="85">
        <v>7.0</v>
      </c>
      <c r="D53" s="85">
        <v>2363158.0</v>
      </c>
      <c r="E53" s="85">
        <v>92.78</v>
      </c>
      <c r="F53" s="85">
        <v>67.93</v>
      </c>
      <c r="G53" s="85">
        <v>24.86</v>
      </c>
    </row>
    <row r="54" ht="15.0" customHeight="1">
      <c r="A54" s="85" t="s">
        <v>44</v>
      </c>
      <c r="B54" s="85" t="s">
        <v>264</v>
      </c>
      <c r="C54" s="85">
        <v>13.0</v>
      </c>
      <c r="D54" s="85">
        <v>1727797.0</v>
      </c>
      <c r="E54" s="85">
        <v>104.9</v>
      </c>
      <c r="F54" s="85">
        <v>73.39</v>
      </c>
      <c r="G54" s="85">
        <v>31.52</v>
      </c>
    </row>
    <row r="55" ht="15.0" customHeight="1">
      <c r="A55" s="85" t="s">
        <v>44</v>
      </c>
      <c r="B55" s="85" t="s">
        <v>265</v>
      </c>
      <c r="C55" s="85">
        <v>19.0</v>
      </c>
      <c r="D55" s="85">
        <v>1034300.0</v>
      </c>
      <c r="E55" s="85">
        <v>142.33</v>
      </c>
      <c r="F55" s="85">
        <v>96.88</v>
      </c>
      <c r="G55" s="85">
        <v>45.45</v>
      </c>
    </row>
    <row r="56" ht="15.0" customHeight="1">
      <c r="A56" s="85" t="s">
        <v>45</v>
      </c>
      <c r="B56" s="85" t="s">
        <v>262</v>
      </c>
      <c r="C56" s="85">
        <v>7.0</v>
      </c>
      <c r="D56" s="85">
        <v>1161855.0</v>
      </c>
      <c r="E56" s="85">
        <v>122.95</v>
      </c>
      <c r="F56" s="85">
        <v>88.66</v>
      </c>
      <c r="G56" s="85">
        <v>34.28</v>
      </c>
    </row>
    <row r="57" ht="15.0" customHeight="1">
      <c r="A57" s="85" t="s">
        <v>45</v>
      </c>
      <c r="B57" s="85" t="s">
        <v>263</v>
      </c>
      <c r="C57" s="85">
        <v>14.0</v>
      </c>
      <c r="D57" s="85">
        <v>1249705.0</v>
      </c>
      <c r="E57" s="85">
        <v>163.46</v>
      </c>
      <c r="F57" s="85">
        <v>112.05</v>
      </c>
      <c r="G57" s="85">
        <v>51.4</v>
      </c>
    </row>
    <row r="58" ht="15.0" customHeight="1">
      <c r="A58" s="85" t="s">
        <v>45</v>
      </c>
      <c r="B58" s="85" t="s">
        <v>264</v>
      </c>
      <c r="C58" s="85">
        <v>25.0</v>
      </c>
      <c r="D58" s="85">
        <v>987286.0</v>
      </c>
      <c r="E58" s="85">
        <v>184.96</v>
      </c>
      <c r="F58" s="85">
        <v>124.52</v>
      </c>
      <c r="G58" s="85">
        <v>60.44</v>
      </c>
    </row>
    <row r="59" ht="15.0" customHeight="1">
      <c r="A59" s="85" t="s">
        <v>45</v>
      </c>
      <c r="B59" s="85" t="s">
        <v>265</v>
      </c>
      <c r="C59" s="85">
        <v>36.0</v>
      </c>
      <c r="D59" s="85">
        <v>598979.0</v>
      </c>
      <c r="E59" s="85">
        <v>247.92</v>
      </c>
      <c r="F59" s="85">
        <v>163.85</v>
      </c>
      <c r="G59" s="85">
        <v>84.07</v>
      </c>
    </row>
    <row r="60" ht="15.0" customHeight="1">
      <c r="A60" s="85" t="s">
        <v>46</v>
      </c>
      <c r="B60" s="85" t="s">
        <v>262</v>
      </c>
      <c r="C60" s="85">
        <v>14.0</v>
      </c>
      <c r="D60" s="85">
        <v>525647.0</v>
      </c>
      <c r="E60" s="85">
        <v>237.49</v>
      </c>
      <c r="F60" s="85">
        <v>162.14</v>
      </c>
      <c r="G60" s="85">
        <v>75.36</v>
      </c>
    </row>
    <row r="61" ht="15.0" customHeight="1">
      <c r="A61" s="85" t="s">
        <v>46</v>
      </c>
      <c r="B61" s="85" t="s">
        <v>263</v>
      </c>
      <c r="C61" s="85">
        <v>29.0</v>
      </c>
      <c r="D61" s="85">
        <v>532896.0</v>
      </c>
      <c r="E61" s="85">
        <v>303.92</v>
      </c>
      <c r="F61" s="85">
        <v>201.52</v>
      </c>
      <c r="G61" s="85">
        <v>102.38</v>
      </c>
    </row>
    <row r="62" ht="15.0" customHeight="1">
      <c r="A62" s="85" t="s">
        <v>46</v>
      </c>
      <c r="B62" s="85" t="s">
        <v>264</v>
      </c>
      <c r="C62" s="85">
        <v>50.0</v>
      </c>
      <c r="D62" s="85">
        <v>423741.0</v>
      </c>
      <c r="E62" s="85">
        <v>352.42</v>
      </c>
      <c r="F62" s="85">
        <v>231.45</v>
      </c>
      <c r="G62" s="85">
        <v>120.97</v>
      </c>
    </row>
    <row r="63" ht="15.0" customHeight="1">
      <c r="A63" s="85" t="s">
        <v>46</v>
      </c>
      <c r="B63" s="85" t="s">
        <v>265</v>
      </c>
      <c r="C63" s="85">
        <v>76.0</v>
      </c>
      <c r="D63" s="85">
        <v>271490.0</v>
      </c>
      <c r="E63" s="85">
        <v>466.06</v>
      </c>
      <c r="F63" s="85">
        <v>295.7</v>
      </c>
      <c r="G63" s="85">
        <v>170.37</v>
      </c>
    </row>
    <row r="64" ht="15.0" customHeight="1">
      <c r="A64" s="85" t="s">
        <v>47</v>
      </c>
      <c r="B64" s="85" t="s">
        <v>262</v>
      </c>
      <c r="C64" s="85">
        <v>33.0</v>
      </c>
      <c r="D64" s="85">
        <v>66422.0</v>
      </c>
      <c r="E64" s="85">
        <v>518.1</v>
      </c>
      <c r="F64" s="85">
        <v>317.13</v>
      </c>
      <c r="G64" s="85">
        <v>200.98</v>
      </c>
    </row>
    <row r="65" ht="15.0" customHeight="1">
      <c r="A65" s="85" t="s">
        <v>47</v>
      </c>
      <c r="B65" s="85" t="s">
        <v>263</v>
      </c>
      <c r="C65" s="85">
        <v>68.0</v>
      </c>
      <c r="D65" s="85">
        <v>66219.0</v>
      </c>
      <c r="E65" s="85">
        <v>624.31</v>
      </c>
      <c r="F65" s="85">
        <v>377.14</v>
      </c>
      <c r="G65" s="85">
        <v>247.18</v>
      </c>
    </row>
    <row r="66" ht="15.0" customHeight="1">
      <c r="A66" s="85" t="s">
        <v>47</v>
      </c>
      <c r="B66" s="85" t="s">
        <v>264</v>
      </c>
      <c r="C66" s="85">
        <v>118.0</v>
      </c>
      <c r="D66" s="85">
        <v>54088.0</v>
      </c>
      <c r="E66" s="85">
        <v>687.28</v>
      </c>
      <c r="F66" s="85">
        <v>407.68</v>
      </c>
      <c r="G66" s="85">
        <v>279.6</v>
      </c>
    </row>
    <row r="67" ht="15.0" customHeight="1">
      <c r="A67" s="85" t="s">
        <v>47</v>
      </c>
      <c r="B67" s="85" t="s">
        <v>265</v>
      </c>
      <c r="C67" s="85">
        <v>172.0</v>
      </c>
      <c r="D67" s="85">
        <v>34498.0</v>
      </c>
      <c r="E67" s="85">
        <v>912.86</v>
      </c>
      <c r="F67" s="85">
        <v>531.07</v>
      </c>
      <c r="G67" s="85">
        <v>381.8</v>
      </c>
    </row>
    <row r="68" ht="15.75" customHeight="1">
      <c r="A68" s="85"/>
      <c r="B68" s="85"/>
      <c r="C68" s="85"/>
      <c r="D68" s="85"/>
      <c r="E68" s="85"/>
      <c r="F68" s="85"/>
      <c r="G68" s="85"/>
    </row>
    <row r="69" ht="15.75" customHeight="1">
      <c r="A69" s="85"/>
      <c r="B69" s="85"/>
      <c r="C69" s="85"/>
      <c r="D69" s="85"/>
      <c r="E69" s="85"/>
      <c r="F69" s="85"/>
      <c r="G69" s="85"/>
    </row>
    <row r="70" ht="15.75" customHeight="1">
      <c r="A70" s="85"/>
      <c r="B70" s="85"/>
      <c r="C70" s="85"/>
      <c r="D70" s="85"/>
      <c r="E70" s="85"/>
      <c r="F70" s="85"/>
      <c r="G70" s="85"/>
    </row>
    <row r="71" ht="15.75" customHeight="1">
      <c r="A71" s="85"/>
      <c r="B71" s="85"/>
      <c r="C71" s="85"/>
      <c r="D71" s="85"/>
      <c r="E71" s="85"/>
      <c r="F71" s="85"/>
      <c r="G71" s="85"/>
    </row>
    <row r="72" ht="15.75" customHeight="1">
      <c r="A72" s="85"/>
      <c r="B72" s="85"/>
      <c r="C72" s="85"/>
      <c r="D72" s="85"/>
      <c r="E72" s="85"/>
      <c r="F72" s="85"/>
      <c r="G72" s="85"/>
    </row>
    <row r="73" ht="15.75" customHeight="1">
      <c r="A73" s="85"/>
      <c r="B73" s="85"/>
      <c r="C73" s="85"/>
      <c r="D73" s="85"/>
      <c r="E73" s="85"/>
      <c r="F73" s="85"/>
      <c r="G73" s="85"/>
    </row>
    <row r="74" ht="15.75" customHeight="1">
      <c r="A74" s="85"/>
      <c r="B74" s="85"/>
      <c r="C74" s="85"/>
      <c r="D74" s="85"/>
      <c r="E74" s="85"/>
      <c r="F74" s="85"/>
      <c r="G74" s="85"/>
    </row>
    <row r="75" ht="15.75" customHeight="1">
      <c r="A75" s="85"/>
      <c r="B75" s="85"/>
      <c r="C75" s="85"/>
      <c r="D75" s="85"/>
      <c r="E75" s="85"/>
      <c r="F75" s="85"/>
      <c r="G75" s="85"/>
    </row>
    <row r="76" ht="15.75" customHeight="1">
      <c r="A76" s="85"/>
      <c r="B76" s="85"/>
      <c r="C76" s="85"/>
      <c r="D76" s="85"/>
      <c r="E76" s="85"/>
      <c r="F76" s="85"/>
      <c r="G76" s="85"/>
    </row>
    <row r="77" ht="15.75" customHeight="1">
      <c r="A77" s="85"/>
      <c r="B77" s="85"/>
      <c r="C77" s="85"/>
      <c r="D77" s="85"/>
      <c r="E77" s="85"/>
      <c r="F77" s="85"/>
      <c r="G77" s="85"/>
    </row>
    <row r="78" ht="15.75" customHeight="1">
      <c r="A78" s="85"/>
      <c r="B78" s="85"/>
      <c r="C78" s="85"/>
      <c r="D78" s="85"/>
      <c r="E78" s="85"/>
      <c r="F78" s="85"/>
      <c r="G78" s="85"/>
    </row>
    <row r="79" ht="15.75" customHeight="1">
      <c r="A79" s="85"/>
      <c r="B79" s="85"/>
      <c r="C79" s="85"/>
      <c r="D79" s="85"/>
      <c r="E79" s="85"/>
      <c r="F79" s="85"/>
      <c r="G79" s="85"/>
    </row>
    <row r="80" ht="15.75" customHeight="1">
      <c r="A80" s="85"/>
      <c r="B80" s="85"/>
      <c r="C80" s="85"/>
      <c r="D80" s="85"/>
      <c r="E80" s="85"/>
      <c r="F80" s="85"/>
      <c r="G80" s="85"/>
    </row>
    <row r="81" ht="15.75" customHeight="1">
      <c r="A81" s="85"/>
      <c r="B81" s="85"/>
      <c r="C81" s="85"/>
      <c r="D81" s="85"/>
      <c r="E81" s="85"/>
      <c r="F81" s="85"/>
      <c r="G81" s="85"/>
    </row>
    <row r="82" ht="15.75" customHeight="1">
      <c r="A82" s="85"/>
      <c r="B82" s="85"/>
      <c r="C82" s="85"/>
      <c r="D82" s="85"/>
      <c r="E82" s="85"/>
      <c r="F82" s="85"/>
      <c r="G82" s="85"/>
    </row>
    <row r="83" ht="15.75" customHeight="1">
      <c r="A83" s="85"/>
      <c r="B83" s="85"/>
      <c r="C83" s="85"/>
      <c r="D83" s="85"/>
      <c r="E83" s="85"/>
      <c r="F83" s="85"/>
      <c r="G83" s="85"/>
    </row>
    <row r="84" ht="15.75" customHeight="1">
      <c r="A84" s="85"/>
      <c r="B84" s="85"/>
      <c r="C84" s="85"/>
      <c r="D84" s="85"/>
      <c r="E84" s="85"/>
      <c r="F84" s="85"/>
      <c r="G84" s="85"/>
    </row>
    <row r="85" ht="15.75" customHeight="1">
      <c r="A85" s="85"/>
      <c r="B85" s="85"/>
      <c r="C85" s="85"/>
      <c r="D85" s="85"/>
      <c r="E85" s="85"/>
      <c r="F85" s="85"/>
      <c r="G85" s="85"/>
    </row>
    <row r="86" ht="15.75" customHeight="1">
      <c r="A86" s="85"/>
      <c r="B86" s="85"/>
      <c r="C86" s="85"/>
      <c r="D86" s="85"/>
      <c r="E86" s="85"/>
      <c r="F86" s="85"/>
      <c r="G86" s="85"/>
    </row>
    <row r="87" ht="15.75" customHeight="1">
      <c r="A87" s="85"/>
      <c r="B87" s="85"/>
      <c r="C87" s="85"/>
      <c r="D87" s="85"/>
      <c r="E87" s="85"/>
      <c r="F87" s="85"/>
      <c r="G87" s="85"/>
    </row>
    <row r="88" ht="15.75" customHeight="1">
      <c r="A88" s="85"/>
      <c r="B88" s="85"/>
      <c r="C88" s="85"/>
      <c r="D88" s="85"/>
      <c r="E88" s="85"/>
      <c r="F88" s="85"/>
      <c r="G88" s="85"/>
    </row>
    <row r="89" ht="15.75" customHeight="1">
      <c r="A89" s="85"/>
      <c r="B89" s="85"/>
      <c r="C89" s="85"/>
      <c r="D89" s="85"/>
      <c r="E89" s="85"/>
      <c r="F89" s="85"/>
      <c r="G89" s="85"/>
    </row>
    <row r="90" ht="15.75" customHeight="1">
      <c r="A90" s="85"/>
      <c r="B90" s="85"/>
      <c r="C90" s="85"/>
      <c r="D90" s="85"/>
      <c r="E90" s="85"/>
      <c r="F90" s="85"/>
      <c r="G90" s="85"/>
    </row>
    <row r="91" ht="15.75" customHeight="1">
      <c r="A91" s="85"/>
      <c r="B91" s="85"/>
      <c r="C91" s="85"/>
      <c r="D91" s="85"/>
      <c r="E91" s="85"/>
      <c r="F91" s="85"/>
      <c r="G91" s="85"/>
    </row>
    <row r="92" ht="15.75" customHeight="1">
      <c r="A92" s="85"/>
      <c r="B92" s="85"/>
      <c r="C92" s="85"/>
      <c r="D92" s="85"/>
      <c r="E92" s="85"/>
      <c r="F92" s="85"/>
      <c r="G92" s="85"/>
    </row>
    <row r="93" ht="15.75" customHeight="1">
      <c r="A93" s="85"/>
      <c r="B93" s="85"/>
      <c r="C93" s="85"/>
      <c r="D93" s="85"/>
      <c r="E93" s="85"/>
      <c r="F93" s="85"/>
      <c r="G93" s="85"/>
    </row>
    <row r="94" ht="15.75" customHeight="1">
      <c r="A94" s="85"/>
      <c r="B94" s="85"/>
      <c r="C94" s="85"/>
      <c r="D94" s="85"/>
      <c r="E94" s="85"/>
      <c r="F94" s="85"/>
      <c r="G94" s="85"/>
    </row>
    <row r="95" ht="15.75" customHeight="1">
      <c r="A95" s="85"/>
      <c r="B95" s="85"/>
      <c r="C95" s="85"/>
      <c r="D95" s="85"/>
      <c r="E95" s="85"/>
      <c r="F95" s="85"/>
      <c r="G95" s="85"/>
    </row>
    <row r="96" ht="15.75" customHeight="1">
      <c r="A96" s="85"/>
      <c r="B96" s="85"/>
      <c r="C96" s="85"/>
      <c r="D96" s="85"/>
      <c r="E96" s="85"/>
      <c r="F96" s="85"/>
      <c r="G96" s="85"/>
    </row>
    <row r="97" ht="15.75" customHeight="1">
      <c r="A97" s="85"/>
      <c r="B97" s="85"/>
      <c r="C97" s="85"/>
      <c r="D97" s="85"/>
      <c r="E97" s="85"/>
      <c r="F97" s="85"/>
      <c r="G97" s="85"/>
    </row>
    <row r="98" ht="15.75" customHeight="1">
      <c r="A98" s="85"/>
      <c r="B98" s="85"/>
      <c r="C98" s="85"/>
      <c r="D98" s="85"/>
      <c r="E98" s="85"/>
      <c r="F98" s="85"/>
      <c r="G98" s="85"/>
    </row>
    <row r="99" ht="15.75" customHeight="1">
      <c r="A99" s="85"/>
      <c r="B99" s="85"/>
      <c r="C99" s="85"/>
      <c r="D99" s="85"/>
      <c r="E99" s="85"/>
      <c r="F99" s="85"/>
      <c r="G99" s="85"/>
    </row>
    <row r="100" ht="15.75" customHeight="1">
      <c r="A100" s="85"/>
      <c r="B100" s="85"/>
      <c r="C100" s="85"/>
      <c r="D100" s="85"/>
      <c r="E100" s="85"/>
      <c r="F100" s="85"/>
      <c r="G100" s="85"/>
    </row>
    <row r="101" ht="15.75" customHeight="1">
      <c r="A101" s="85"/>
      <c r="B101" s="85"/>
      <c r="C101" s="85"/>
      <c r="D101" s="85"/>
      <c r="E101" s="85"/>
      <c r="F101" s="85"/>
      <c r="G101" s="85"/>
    </row>
    <row r="102" ht="15.75" customHeight="1">
      <c r="A102" s="85"/>
      <c r="B102" s="85"/>
      <c r="C102" s="85"/>
      <c r="D102" s="85"/>
      <c r="E102" s="85"/>
      <c r="F102" s="85"/>
      <c r="G102" s="85"/>
    </row>
    <row r="103" ht="15.75" customHeight="1">
      <c r="A103" s="85"/>
      <c r="B103" s="85"/>
      <c r="C103" s="85"/>
      <c r="D103" s="85"/>
      <c r="E103" s="85"/>
      <c r="F103" s="85"/>
      <c r="G103" s="85"/>
    </row>
    <row r="104" ht="15.75" customHeight="1">
      <c r="A104" s="85"/>
      <c r="B104" s="85"/>
      <c r="C104" s="85"/>
      <c r="D104" s="85"/>
      <c r="E104" s="85"/>
      <c r="F104" s="85"/>
      <c r="G104" s="85"/>
    </row>
    <row r="105" ht="15.75" customHeight="1">
      <c r="A105" s="85"/>
      <c r="B105" s="85"/>
      <c r="C105" s="85"/>
      <c r="D105" s="85"/>
      <c r="E105" s="85"/>
      <c r="F105" s="85"/>
      <c r="G105" s="85"/>
    </row>
    <row r="106" ht="15.75" customHeight="1">
      <c r="A106" s="85"/>
      <c r="B106" s="85"/>
      <c r="C106" s="85"/>
      <c r="D106" s="85"/>
      <c r="E106" s="85"/>
      <c r="F106" s="85"/>
      <c r="G106" s="85"/>
    </row>
    <row r="107" ht="15.75" customHeight="1">
      <c r="A107" s="85"/>
      <c r="B107" s="85"/>
      <c r="C107" s="85"/>
      <c r="D107" s="85"/>
      <c r="E107" s="85"/>
      <c r="F107" s="85"/>
      <c r="G107" s="85"/>
    </row>
    <row r="108" ht="15.75" customHeight="1">
      <c r="A108" s="85"/>
      <c r="B108" s="85"/>
      <c r="C108" s="85"/>
      <c r="D108" s="85"/>
      <c r="E108" s="85"/>
      <c r="F108" s="85"/>
      <c r="G108" s="85"/>
    </row>
    <row r="109" ht="15.75" customHeight="1">
      <c r="A109" s="85"/>
      <c r="B109" s="85"/>
      <c r="C109" s="85"/>
      <c r="D109" s="85"/>
      <c r="E109" s="85"/>
      <c r="F109" s="85"/>
      <c r="G109" s="85"/>
    </row>
    <row r="110" ht="15.75" customHeight="1">
      <c r="A110" s="85"/>
      <c r="B110" s="85"/>
      <c r="C110" s="85"/>
      <c r="D110" s="85"/>
      <c r="E110" s="85"/>
      <c r="F110" s="85"/>
      <c r="G110" s="85"/>
    </row>
    <row r="111" ht="15.75" customHeight="1">
      <c r="A111" s="85"/>
      <c r="B111" s="85"/>
      <c r="C111" s="85"/>
      <c r="D111" s="85"/>
      <c r="E111" s="85"/>
      <c r="F111" s="85"/>
      <c r="G111" s="85"/>
    </row>
    <row r="112" ht="15.75" customHeight="1">
      <c r="A112" s="85"/>
      <c r="B112" s="85"/>
      <c r="C112" s="85"/>
      <c r="D112" s="85"/>
      <c r="E112" s="85"/>
      <c r="F112" s="85"/>
      <c r="G112" s="85"/>
    </row>
    <row r="113" ht="15.75" customHeight="1">
      <c r="A113" s="85"/>
      <c r="B113" s="85"/>
      <c r="C113" s="85"/>
      <c r="D113" s="85"/>
      <c r="E113" s="85"/>
      <c r="F113" s="85"/>
      <c r="G113" s="85"/>
    </row>
    <row r="114" ht="15.75" customHeight="1">
      <c r="A114" s="85"/>
      <c r="B114" s="85"/>
      <c r="C114" s="85"/>
      <c r="D114" s="85"/>
      <c r="E114" s="85"/>
      <c r="F114" s="85"/>
      <c r="G114" s="85"/>
    </row>
    <row r="115" ht="15.75" customHeight="1">
      <c r="A115" s="85"/>
      <c r="B115" s="85"/>
      <c r="C115" s="85"/>
      <c r="D115" s="85"/>
      <c r="E115" s="85"/>
      <c r="F115" s="85"/>
      <c r="G115" s="85"/>
    </row>
    <row r="116" ht="15.75" customHeight="1">
      <c r="A116" s="85"/>
      <c r="B116" s="85"/>
      <c r="C116" s="85"/>
      <c r="D116" s="85"/>
      <c r="E116" s="85"/>
      <c r="F116" s="85"/>
      <c r="G116" s="85"/>
    </row>
    <row r="117" ht="15.75" customHeight="1">
      <c r="A117" s="85"/>
      <c r="B117" s="85"/>
      <c r="C117" s="85"/>
      <c r="D117" s="85"/>
      <c r="E117" s="85"/>
      <c r="F117" s="85"/>
      <c r="G117" s="85"/>
    </row>
    <row r="118" ht="15.75" customHeight="1">
      <c r="A118" s="85"/>
      <c r="B118" s="85"/>
      <c r="C118" s="85"/>
      <c r="D118" s="85"/>
      <c r="E118" s="85"/>
      <c r="F118" s="85"/>
      <c r="G118" s="85"/>
    </row>
    <row r="119" ht="15.75" customHeight="1">
      <c r="A119" s="85"/>
      <c r="B119" s="85"/>
      <c r="C119" s="85"/>
      <c r="D119" s="85"/>
      <c r="E119" s="85"/>
      <c r="F119" s="85"/>
      <c r="G119" s="85"/>
    </row>
    <row r="120" ht="15.75" customHeight="1">
      <c r="A120" s="85"/>
      <c r="B120" s="85"/>
      <c r="C120" s="85"/>
      <c r="D120" s="85"/>
      <c r="E120" s="85"/>
      <c r="F120" s="85"/>
      <c r="G120" s="85"/>
    </row>
    <row r="121" ht="15.75" customHeight="1">
      <c r="A121" s="85"/>
      <c r="B121" s="85"/>
      <c r="C121" s="85"/>
      <c r="D121" s="85"/>
      <c r="E121" s="85"/>
      <c r="F121" s="85"/>
      <c r="G121" s="85"/>
    </row>
    <row r="122" ht="15.75" customHeight="1">
      <c r="A122" s="85"/>
      <c r="B122" s="85"/>
      <c r="C122" s="85"/>
      <c r="D122" s="85"/>
      <c r="E122" s="85"/>
      <c r="F122" s="85"/>
      <c r="G122" s="85"/>
    </row>
    <row r="123" ht="15.75" customHeight="1">
      <c r="A123" s="85"/>
      <c r="B123" s="85"/>
      <c r="C123" s="85"/>
      <c r="D123" s="85"/>
      <c r="E123" s="85"/>
      <c r="F123" s="85"/>
      <c r="G123" s="85"/>
    </row>
    <row r="124" ht="15.75" customHeight="1">
      <c r="A124" s="85"/>
      <c r="B124" s="85"/>
      <c r="C124" s="85"/>
      <c r="D124" s="85"/>
      <c r="E124" s="85"/>
      <c r="F124" s="85"/>
      <c r="G124" s="85"/>
    </row>
    <row r="125" ht="15.75" customHeight="1">
      <c r="A125" s="85"/>
      <c r="B125" s="85"/>
      <c r="C125" s="85"/>
      <c r="D125" s="85"/>
      <c r="E125" s="85"/>
      <c r="F125" s="85"/>
      <c r="G125" s="85"/>
    </row>
    <row r="126" ht="15.75" customHeight="1">
      <c r="A126" s="85"/>
      <c r="B126" s="85"/>
      <c r="C126" s="85"/>
      <c r="D126" s="85"/>
      <c r="E126" s="85"/>
      <c r="F126" s="85"/>
      <c r="G126" s="85"/>
    </row>
    <row r="127" ht="15.75" customHeight="1">
      <c r="A127" s="85"/>
      <c r="B127" s="85"/>
      <c r="C127" s="85"/>
      <c r="D127" s="85"/>
      <c r="E127" s="85"/>
      <c r="F127" s="85"/>
      <c r="G127" s="85"/>
    </row>
    <row r="128" ht="15.75" customHeight="1">
      <c r="A128" s="85"/>
      <c r="B128" s="85"/>
      <c r="C128" s="85"/>
      <c r="D128" s="85"/>
      <c r="E128" s="85"/>
      <c r="F128" s="85"/>
      <c r="G128" s="85"/>
    </row>
    <row r="129" ht="15.75" customHeight="1">
      <c r="A129" s="85"/>
      <c r="B129" s="85"/>
      <c r="C129" s="85"/>
      <c r="D129" s="85"/>
      <c r="E129" s="85"/>
      <c r="F129" s="85"/>
      <c r="G129" s="85"/>
    </row>
    <row r="130" ht="15.75" customHeight="1">
      <c r="A130" s="85"/>
      <c r="B130" s="85"/>
      <c r="C130" s="85"/>
      <c r="D130" s="85"/>
      <c r="E130" s="85"/>
      <c r="F130" s="85"/>
      <c r="G130" s="85"/>
    </row>
    <row r="131" ht="15.75" customHeight="1">
      <c r="A131" s="85"/>
      <c r="B131" s="85"/>
      <c r="C131" s="85"/>
      <c r="D131" s="85"/>
      <c r="E131" s="85"/>
      <c r="F131" s="85"/>
      <c r="G131" s="85"/>
    </row>
    <row r="132" ht="15.75" customHeight="1">
      <c r="A132" s="85"/>
      <c r="B132" s="85"/>
      <c r="C132" s="85"/>
      <c r="D132" s="85"/>
      <c r="E132" s="85"/>
      <c r="F132" s="85"/>
      <c r="G132" s="85"/>
    </row>
    <row r="133" ht="15.75" customHeight="1">
      <c r="A133" s="85"/>
      <c r="B133" s="85"/>
      <c r="C133" s="85"/>
      <c r="D133" s="85"/>
      <c r="E133" s="85"/>
      <c r="F133" s="85"/>
      <c r="G133" s="85"/>
    </row>
    <row r="134" ht="15.75" customHeight="1">
      <c r="A134" s="85"/>
      <c r="B134" s="85"/>
      <c r="C134" s="85"/>
      <c r="D134" s="85"/>
      <c r="E134" s="85"/>
      <c r="F134" s="85"/>
      <c r="G134" s="85"/>
    </row>
    <row r="135" ht="15.75" customHeight="1">
      <c r="A135" s="85"/>
      <c r="B135" s="85"/>
      <c r="C135" s="85"/>
      <c r="D135" s="85"/>
      <c r="E135" s="85"/>
      <c r="F135" s="85"/>
      <c r="G135" s="85"/>
    </row>
    <row r="136" ht="15.75" customHeight="1">
      <c r="A136" s="85"/>
      <c r="B136" s="85"/>
      <c r="C136" s="85"/>
      <c r="D136" s="85"/>
      <c r="E136" s="85"/>
      <c r="F136" s="85"/>
      <c r="G136" s="85"/>
    </row>
    <row r="137" ht="15.75" customHeight="1">
      <c r="A137" s="85"/>
      <c r="B137" s="85"/>
      <c r="C137" s="85"/>
      <c r="D137" s="85"/>
      <c r="E137" s="85"/>
      <c r="F137" s="85"/>
      <c r="G137" s="85"/>
    </row>
    <row r="138" ht="15.75" customHeight="1">
      <c r="A138" s="85"/>
      <c r="B138" s="85"/>
      <c r="C138" s="85"/>
      <c r="D138" s="85"/>
      <c r="E138" s="85"/>
      <c r="F138" s="85"/>
      <c r="G138" s="85"/>
    </row>
    <row r="139" ht="15.75" customHeight="1">
      <c r="A139" s="85"/>
      <c r="B139" s="85"/>
      <c r="C139" s="85"/>
      <c r="D139" s="85"/>
      <c r="E139" s="85"/>
      <c r="F139" s="85"/>
      <c r="G139" s="85"/>
    </row>
    <row r="140" ht="15.75" customHeight="1">
      <c r="A140" s="85"/>
      <c r="B140" s="85"/>
      <c r="C140" s="85"/>
      <c r="D140" s="85"/>
      <c r="E140" s="85"/>
      <c r="F140" s="85"/>
      <c r="G140" s="85"/>
    </row>
    <row r="141" ht="15.75" customHeight="1">
      <c r="A141" s="85"/>
      <c r="B141" s="85"/>
      <c r="C141" s="85"/>
      <c r="D141" s="85"/>
      <c r="E141" s="85"/>
      <c r="F141" s="85"/>
      <c r="G141" s="85"/>
    </row>
    <row r="142" ht="15.75" customHeight="1">
      <c r="A142" s="85"/>
      <c r="B142" s="85"/>
      <c r="C142" s="85"/>
      <c r="D142" s="85"/>
      <c r="E142" s="85"/>
      <c r="F142" s="85"/>
      <c r="G142" s="85"/>
    </row>
    <row r="143" ht="15.75" customHeight="1">
      <c r="A143" s="85"/>
      <c r="B143" s="85"/>
      <c r="C143" s="85"/>
      <c r="D143" s="85"/>
      <c r="E143" s="85"/>
      <c r="F143" s="85"/>
      <c r="G143" s="85"/>
    </row>
    <row r="144" ht="15.75" customHeight="1">
      <c r="A144" s="85"/>
      <c r="B144" s="85"/>
      <c r="C144" s="85"/>
      <c r="D144" s="85"/>
      <c r="E144" s="85"/>
      <c r="F144" s="85"/>
      <c r="G144" s="85"/>
    </row>
    <row r="145" ht="15.75" customHeight="1">
      <c r="A145" s="85"/>
      <c r="B145" s="85"/>
      <c r="C145" s="85"/>
      <c r="D145" s="85"/>
      <c r="E145" s="85"/>
      <c r="F145" s="85"/>
      <c r="G145" s="85"/>
    </row>
    <row r="146" ht="15.75" customHeight="1">
      <c r="A146" s="85"/>
      <c r="B146" s="85"/>
      <c r="C146" s="85"/>
      <c r="D146" s="85"/>
      <c r="E146" s="85"/>
      <c r="F146" s="85"/>
      <c r="G146" s="85"/>
    </row>
    <row r="147" ht="15.75" customHeight="1">
      <c r="A147" s="85"/>
      <c r="B147" s="85"/>
      <c r="C147" s="85"/>
      <c r="D147" s="85"/>
      <c r="E147" s="85"/>
      <c r="F147" s="85"/>
      <c r="G147" s="85"/>
    </row>
    <row r="148" ht="15.75" customHeight="1">
      <c r="A148" s="85"/>
      <c r="B148" s="85"/>
      <c r="C148" s="85"/>
      <c r="D148" s="85"/>
      <c r="E148" s="85"/>
      <c r="F148" s="85"/>
      <c r="G148" s="85"/>
    </row>
    <row r="149" ht="15.75" customHeight="1">
      <c r="A149" s="85"/>
      <c r="B149" s="85"/>
      <c r="C149" s="85"/>
      <c r="D149" s="85"/>
      <c r="E149" s="85"/>
      <c r="F149" s="85"/>
      <c r="G149" s="85"/>
    </row>
    <row r="150" ht="15.75" customHeight="1">
      <c r="A150" s="85"/>
      <c r="B150" s="85"/>
      <c r="C150" s="85"/>
      <c r="D150" s="85"/>
      <c r="E150" s="85"/>
      <c r="F150" s="85"/>
      <c r="G150" s="85"/>
    </row>
    <row r="151" ht="15.75" customHeight="1">
      <c r="A151" s="85"/>
      <c r="B151" s="85"/>
      <c r="C151" s="85"/>
      <c r="D151" s="85"/>
      <c r="E151" s="85"/>
      <c r="F151" s="85"/>
      <c r="G151" s="85"/>
    </row>
    <row r="152" ht="15.75" customHeight="1">
      <c r="A152" s="85"/>
      <c r="B152" s="85"/>
      <c r="C152" s="85"/>
      <c r="D152" s="85"/>
      <c r="E152" s="85"/>
      <c r="F152" s="85"/>
      <c r="G152" s="85"/>
    </row>
    <row r="153" ht="15.75" customHeight="1">
      <c r="A153" s="85"/>
      <c r="B153" s="85"/>
      <c r="C153" s="85"/>
      <c r="D153" s="85"/>
      <c r="E153" s="85"/>
      <c r="F153" s="85"/>
      <c r="G153" s="85"/>
    </row>
    <row r="154" ht="15.75" customHeight="1">
      <c r="A154" s="85"/>
      <c r="B154" s="85"/>
      <c r="C154" s="85"/>
      <c r="D154" s="85"/>
      <c r="E154" s="85"/>
      <c r="F154" s="85"/>
      <c r="G154" s="85"/>
    </row>
    <row r="155" ht="15.75" customHeight="1">
      <c r="A155" s="85"/>
      <c r="B155" s="85"/>
      <c r="C155" s="85"/>
      <c r="D155" s="85"/>
      <c r="E155" s="85"/>
      <c r="F155" s="85"/>
      <c r="G155" s="85"/>
    </row>
    <row r="156" ht="15.75" customHeight="1">
      <c r="A156" s="85"/>
      <c r="B156" s="85"/>
      <c r="C156" s="85"/>
      <c r="D156" s="85"/>
      <c r="E156" s="85"/>
      <c r="F156" s="85"/>
      <c r="G156" s="85"/>
    </row>
    <row r="157" ht="15.75" customHeight="1">
      <c r="A157" s="85"/>
      <c r="B157" s="85"/>
      <c r="C157" s="85"/>
      <c r="D157" s="85"/>
      <c r="E157" s="85"/>
      <c r="F157" s="85"/>
      <c r="G157" s="85"/>
    </row>
    <row r="158" ht="15.75" customHeight="1">
      <c r="A158" s="85"/>
      <c r="B158" s="85"/>
      <c r="C158" s="85"/>
      <c r="D158" s="85"/>
      <c r="E158" s="85"/>
      <c r="F158" s="85"/>
      <c r="G158" s="85"/>
    </row>
    <row r="159" ht="15.75" customHeight="1">
      <c r="A159" s="85"/>
      <c r="B159" s="85"/>
      <c r="C159" s="85"/>
      <c r="D159" s="85"/>
      <c r="E159" s="85"/>
      <c r="F159" s="85"/>
      <c r="G159" s="85"/>
    </row>
    <row r="160" ht="15.75" customHeight="1">
      <c r="A160" s="85"/>
      <c r="B160" s="85"/>
      <c r="C160" s="85"/>
      <c r="D160" s="85"/>
      <c r="E160" s="85"/>
      <c r="F160" s="85"/>
      <c r="G160" s="85"/>
    </row>
    <row r="161" ht="15.75" customHeight="1">
      <c r="A161" s="85"/>
      <c r="B161" s="85"/>
      <c r="C161" s="85"/>
      <c r="D161" s="85"/>
      <c r="E161" s="85"/>
      <c r="F161" s="85"/>
      <c r="G161" s="85"/>
    </row>
    <row r="162" ht="15.75" customHeight="1">
      <c r="A162" s="85"/>
      <c r="B162" s="85"/>
      <c r="C162" s="85"/>
      <c r="D162" s="85"/>
      <c r="E162" s="85"/>
      <c r="F162" s="85"/>
      <c r="G162" s="85"/>
    </row>
    <row r="163" ht="15.75" customHeight="1">
      <c r="A163" s="85"/>
      <c r="B163" s="85"/>
      <c r="C163" s="85"/>
      <c r="D163" s="85"/>
      <c r="E163" s="85"/>
      <c r="F163" s="85"/>
      <c r="G163" s="85"/>
    </row>
    <row r="164" ht="15.75" customHeight="1">
      <c r="A164" s="85"/>
      <c r="B164" s="85"/>
      <c r="C164" s="85"/>
      <c r="D164" s="85"/>
      <c r="E164" s="85"/>
      <c r="F164" s="85"/>
      <c r="G164" s="85"/>
    </row>
    <row r="165" ht="15.75" customHeight="1">
      <c r="A165" s="85"/>
      <c r="B165" s="85"/>
      <c r="C165" s="85"/>
      <c r="D165" s="85"/>
      <c r="E165" s="85"/>
      <c r="F165" s="85"/>
      <c r="G165" s="85"/>
    </row>
    <row r="166" ht="15.75" customHeight="1">
      <c r="A166" s="85"/>
      <c r="B166" s="85"/>
      <c r="C166" s="85"/>
      <c r="D166" s="85"/>
      <c r="E166" s="85"/>
      <c r="F166" s="85"/>
      <c r="G166" s="85"/>
    </row>
    <row r="167" ht="15.75" customHeight="1">
      <c r="A167" s="85"/>
      <c r="B167" s="85"/>
      <c r="C167" s="85"/>
      <c r="D167" s="85"/>
      <c r="E167" s="85"/>
      <c r="F167" s="85"/>
      <c r="G167" s="85"/>
    </row>
    <row r="168" ht="15.75" customHeight="1">
      <c r="A168" s="85"/>
      <c r="B168" s="85"/>
      <c r="C168" s="85"/>
      <c r="D168" s="85"/>
      <c r="E168" s="85"/>
      <c r="F168" s="85"/>
      <c r="G168" s="85"/>
    </row>
    <row r="169" ht="15.75" customHeight="1">
      <c r="A169" s="85"/>
      <c r="B169" s="85"/>
      <c r="C169" s="85"/>
      <c r="D169" s="85"/>
      <c r="E169" s="85"/>
      <c r="F169" s="85"/>
      <c r="G169" s="85"/>
    </row>
    <row r="170" ht="15.75" customHeight="1">
      <c r="A170" s="85"/>
      <c r="B170" s="85"/>
      <c r="C170" s="85"/>
      <c r="D170" s="85"/>
      <c r="E170" s="85"/>
      <c r="F170" s="85"/>
      <c r="G170" s="85"/>
    </row>
    <row r="171" ht="15.75" customHeight="1">
      <c r="A171" s="85"/>
      <c r="B171" s="85"/>
      <c r="C171" s="85"/>
      <c r="D171" s="85"/>
      <c r="E171" s="85"/>
      <c r="F171" s="85"/>
      <c r="G171" s="85"/>
    </row>
    <row r="172" ht="15.75" customHeight="1">
      <c r="A172" s="85"/>
      <c r="B172" s="85"/>
      <c r="C172" s="85"/>
      <c r="D172" s="85"/>
      <c r="E172" s="85"/>
      <c r="F172" s="85"/>
      <c r="G172" s="85"/>
    </row>
    <row r="173" ht="15.75" customHeight="1">
      <c r="A173" s="85"/>
      <c r="B173" s="85"/>
      <c r="C173" s="85"/>
      <c r="D173" s="85"/>
      <c r="E173" s="85"/>
      <c r="F173" s="85"/>
      <c r="G173" s="85"/>
    </row>
    <row r="174" ht="15.75" customHeight="1">
      <c r="A174" s="85"/>
      <c r="B174" s="85"/>
      <c r="C174" s="85"/>
      <c r="D174" s="85"/>
      <c r="E174" s="85"/>
      <c r="F174" s="85"/>
      <c r="G174" s="85"/>
    </row>
    <row r="175" ht="15.75" customHeight="1">
      <c r="A175" s="85"/>
      <c r="B175" s="85"/>
      <c r="C175" s="85"/>
      <c r="D175" s="85"/>
      <c r="E175" s="85"/>
      <c r="F175" s="85"/>
      <c r="G175" s="85"/>
    </row>
    <row r="176" ht="15.75" customHeight="1">
      <c r="A176" s="85"/>
      <c r="B176" s="85"/>
      <c r="C176" s="85"/>
      <c r="D176" s="85"/>
      <c r="E176" s="85"/>
      <c r="F176" s="85"/>
      <c r="G176" s="85"/>
    </row>
    <row r="177" ht="15.75" customHeight="1">
      <c r="A177" s="85"/>
      <c r="B177" s="85"/>
      <c r="C177" s="85"/>
      <c r="D177" s="85"/>
      <c r="E177" s="85"/>
      <c r="F177" s="85"/>
      <c r="G177" s="85"/>
    </row>
    <row r="178" ht="15.75" customHeight="1">
      <c r="A178" s="85"/>
      <c r="B178" s="85"/>
      <c r="C178" s="85"/>
      <c r="D178" s="85"/>
      <c r="E178" s="85"/>
      <c r="F178" s="85"/>
      <c r="G178" s="85"/>
    </row>
    <row r="179" ht="15.75" customHeight="1">
      <c r="A179" s="85"/>
      <c r="B179" s="85"/>
      <c r="C179" s="85"/>
      <c r="D179" s="85"/>
      <c r="E179" s="85"/>
      <c r="F179" s="85"/>
      <c r="G179" s="85"/>
    </row>
    <row r="180" ht="15.75" customHeight="1">
      <c r="A180" s="85"/>
      <c r="B180" s="85"/>
      <c r="C180" s="85"/>
      <c r="D180" s="85"/>
      <c r="E180" s="85"/>
      <c r="F180" s="85"/>
      <c r="G180" s="85"/>
    </row>
    <row r="181" ht="15.75" customHeight="1">
      <c r="A181" s="85"/>
      <c r="B181" s="85"/>
      <c r="C181" s="85"/>
      <c r="D181" s="85"/>
      <c r="E181" s="85"/>
      <c r="F181" s="85"/>
      <c r="G181" s="85"/>
    </row>
    <row r="182" ht="15.75" customHeight="1">
      <c r="A182" s="85"/>
      <c r="B182" s="85"/>
      <c r="C182" s="85"/>
      <c r="D182" s="85"/>
      <c r="E182" s="85"/>
      <c r="F182" s="85"/>
      <c r="G182" s="85"/>
    </row>
    <row r="183" ht="15.75" customHeight="1">
      <c r="A183" s="85"/>
      <c r="B183" s="85"/>
      <c r="C183" s="85"/>
      <c r="D183" s="85"/>
      <c r="E183" s="85"/>
      <c r="F183" s="85"/>
      <c r="G183" s="85"/>
    </row>
    <row r="184" ht="15.75" customHeight="1">
      <c r="A184" s="85"/>
      <c r="B184" s="85"/>
      <c r="C184" s="85"/>
      <c r="D184" s="85"/>
      <c r="E184" s="85"/>
      <c r="F184" s="85"/>
      <c r="G184" s="85"/>
    </row>
    <row r="185" ht="15.75" customHeight="1">
      <c r="A185" s="85"/>
      <c r="B185" s="85"/>
      <c r="C185" s="85"/>
      <c r="D185" s="85"/>
      <c r="E185" s="85"/>
      <c r="F185" s="85"/>
      <c r="G185" s="85"/>
    </row>
    <row r="186" ht="15.75" customHeight="1">
      <c r="A186" s="85"/>
      <c r="B186" s="85"/>
      <c r="C186" s="85"/>
      <c r="D186" s="85"/>
      <c r="E186" s="85"/>
      <c r="F186" s="85"/>
      <c r="G186" s="85"/>
    </row>
    <row r="187" ht="15.75" customHeight="1">
      <c r="A187" s="85"/>
      <c r="B187" s="85"/>
      <c r="C187" s="85"/>
      <c r="D187" s="85"/>
      <c r="E187" s="85"/>
      <c r="F187" s="85"/>
      <c r="G187" s="85"/>
    </row>
    <row r="188" ht="15.75" customHeight="1">
      <c r="A188" s="85"/>
      <c r="B188" s="85"/>
      <c r="C188" s="85"/>
      <c r="D188" s="85"/>
      <c r="E188" s="85"/>
      <c r="F188" s="85"/>
      <c r="G188" s="85"/>
    </row>
    <row r="189" ht="15.75" customHeight="1">
      <c r="A189" s="85"/>
      <c r="B189" s="85"/>
      <c r="C189" s="85"/>
      <c r="D189" s="85"/>
      <c r="E189" s="85"/>
      <c r="F189" s="85"/>
      <c r="G189" s="85"/>
    </row>
    <row r="190" ht="15.75" customHeight="1">
      <c r="A190" s="85"/>
      <c r="B190" s="85"/>
      <c r="C190" s="85"/>
      <c r="D190" s="85"/>
      <c r="E190" s="85"/>
      <c r="F190" s="85"/>
      <c r="G190" s="85"/>
    </row>
    <row r="191" ht="15.75" customHeight="1">
      <c r="A191" s="85"/>
      <c r="B191" s="85"/>
      <c r="C191" s="85"/>
      <c r="D191" s="85"/>
      <c r="E191" s="85"/>
      <c r="F191" s="85"/>
      <c r="G191" s="85"/>
    </row>
    <row r="192" ht="15.75" customHeight="1">
      <c r="A192" s="85"/>
      <c r="B192" s="85"/>
      <c r="C192" s="85"/>
      <c r="D192" s="85"/>
      <c r="E192" s="85"/>
      <c r="F192" s="85"/>
      <c r="G192" s="85"/>
    </row>
    <row r="193" ht="15.75" customHeight="1">
      <c r="A193" s="85"/>
      <c r="B193" s="85"/>
      <c r="C193" s="85"/>
      <c r="D193" s="85"/>
      <c r="E193" s="85"/>
      <c r="F193" s="85"/>
      <c r="G193" s="85"/>
    </row>
    <row r="194" ht="15.75" customHeight="1">
      <c r="A194" s="85"/>
      <c r="B194" s="85"/>
      <c r="C194" s="85"/>
      <c r="D194" s="85"/>
      <c r="E194" s="85"/>
      <c r="F194" s="85"/>
      <c r="G194" s="85"/>
    </row>
    <row r="195" ht="15.75" customHeight="1">
      <c r="A195" s="85"/>
      <c r="B195" s="85"/>
      <c r="C195" s="85"/>
      <c r="D195" s="85"/>
      <c r="E195" s="85"/>
      <c r="F195" s="85"/>
      <c r="G195" s="85"/>
    </row>
    <row r="196" ht="15.75" customHeight="1">
      <c r="A196" s="85"/>
      <c r="B196" s="85"/>
      <c r="C196" s="85"/>
      <c r="D196" s="85"/>
      <c r="E196" s="85"/>
      <c r="F196" s="85"/>
      <c r="G196" s="85"/>
    </row>
    <row r="197" ht="15.75" customHeight="1">
      <c r="A197" s="85"/>
      <c r="B197" s="85"/>
      <c r="C197" s="85"/>
      <c r="D197" s="85"/>
      <c r="E197" s="85"/>
      <c r="F197" s="85"/>
      <c r="G197" s="85"/>
    </row>
    <row r="198" ht="15.75" customHeight="1">
      <c r="A198" s="85"/>
      <c r="B198" s="85"/>
      <c r="C198" s="85"/>
      <c r="D198" s="85"/>
      <c r="E198" s="85"/>
      <c r="F198" s="85"/>
      <c r="G198" s="85"/>
    </row>
    <row r="199" ht="15.75" customHeight="1">
      <c r="A199" s="85"/>
      <c r="B199" s="85"/>
      <c r="C199" s="85"/>
      <c r="D199" s="85"/>
      <c r="E199" s="85"/>
      <c r="F199" s="85"/>
      <c r="G199" s="85"/>
    </row>
    <row r="200" ht="15.75" customHeight="1">
      <c r="A200" s="85"/>
      <c r="B200" s="85"/>
      <c r="C200" s="85"/>
      <c r="D200" s="85"/>
      <c r="E200" s="85"/>
      <c r="F200" s="85"/>
      <c r="G200" s="85"/>
    </row>
    <row r="201" ht="15.75" customHeight="1">
      <c r="A201" s="85"/>
      <c r="B201" s="85"/>
      <c r="C201" s="85"/>
      <c r="D201" s="85"/>
      <c r="E201" s="85"/>
      <c r="F201" s="85"/>
      <c r="G201" s="85"/>
    </row>
    <row r="202" ht="15.75" customHeight="1">
      <c r="A202" s="85"/>
      <c r="B202" s="85"/>
      <c r="C202" s="85"/>
      <c r="D202" s="85"/>
      <c r="E202" s="85"/>
      <c r="F202" s="85"/>
      <c r="G202" s="85"/>
    </row>
    <row r="203" ht="15.75" customHeight="1">
      <c r="A203" s="85"/>
      <c r="B203" s="85"/>
      <c r="C203" s="85"/>
      <c r="D203" s="85"/>
      <c r="E203" s="85"/>
      <c r="F203" s="85"/>
      <c r="G203" s="85"/>
    </row>
    <row r="204" ht="15.75" customHeight="1">
      <c r="A204" s="85"/>
      <c r="B204" s="85"/>
      <c r="C204" s="85"/>
      <c r="D204" s="85"/>
      <c r="E204" s="85"/>
      <c r="F204" s="85"/>
      <c r="G204" s="85"/>
    </row>
    <row r="205" ht="15.75" customHeight="1">
      <c r="A205" s="85"/>
      <c r="B205" s="85"/>
      <c r="C205" s="85"/>
      <c r="D205" s="85"/>
      <c r="E205" s="85"/>
      <c r="F205" s="85"/>
      <c r="G205" s="85"/>
    </row>
    <row r="206" ht="15.75" customHeight="1">
      <c r="A206" s="85"/>
      <c r="B206" s="85"/>
      <c r="C206" s="85"/>
      <c r="D206" s="85"/>
      <c r="E206" s="85"/>
      <c r="F206" s="85"/>
      <c r="G206" s="85"/>
    </row>
    <row r="207" ht="15.75" customHeight="1">
      <c r="A207" s="85"/>
      <c r="B207" s="85"/>
      <c r="C207" s="85"/>
      <c r="D207" s="85"/>
      <c r="E207" s="85"/>
      <c r="F207" s="85"/>
      <c r="G207" s="85"/>
    </row>
    <row r="208" ht="15.75" customHeight="1">
      <c r="A208" s="85"/>
      <c r="B208" s="85"/>
      <c r="C208" s="85"/>
      <c r="D208" s="85"/>
      <c r="E208" s="85"/>
      <c r="F208" s="85"/>
      <c r="G208" s="85"/>
    </row>
    <row r="209" ht="15.75" customHeight="1">
      <c r="A209" s="85"/>
      <c r="B209" s="85"/>
      <c r="C209" s="85"/>
      <c r="D209" s="85"/>
      <c r="E209" s="85"/>
      <c r="F209" s="85"/>
      <c r="G209" s="85"/>
    </row>
    <row r="210" ht="15.75" customHeight="1">
      <c r="A210" s="85"/>
      <c r="B210" s="85"/>
      <c r="C210" s="85"/>
      <c r="D210" s="85"/>
      <c r="E210" s="85"/>
      <c r="F210" s="85"/>
      <c r="G210" s="85"/>
    </row>
    <row r="211" ht="15.75" customHeight="1">
      <c r="A211" s="85"/>
      <c r="B211" s="85"/>
      <c r="C211" s="85"/>
      <c r="D211" s="85"/>
      <c r="E211" s="85"/>
      <c r="F211" s="85"/>
      <c r="G211" s="85"/>
    </row>
    <row r="212" ht="15.75" customHeight="1">
      <c r="A212" s="85"/>
      <c r="B212" s="85"/>
      <c r="C212" s="85"/>
      <c r="D212" s="85"/>
      <c r="E212" s="85"/>
      <c r="F212" s="85"/>
      <c r="G212" s="85"/>
    </row>
    <row r="213" ht="15.75" customHeight="1">
      <c r="A213" s="85"/>
      <c r="B213" s="85"/>
      <c r="C213" s="85"/>
      <c r="D213" s="85"/>
      <c r="E213" s="85"/>
      <c r="F213" s="85"/>
      <c r="G213" s="85"/>
    </row>
    <row r="214" ht="15.75" customHeight="1">
      <c r="A214" s="85"/>
      <c r="B214" s="85"/>
      <c r="C214" s="85"/>
      <c r="D214" s="85"/>
      <c r="E214" s="85"/>
      <c r="F214" s="85"/>
      <c r="G214" s="85"/>
    </row>
    <row r="215" ht="15.75" customHeight="1">
      <c r="A215" s="85"/>
      <c r="B215" s="85"/>
      <c r="C215" s="85"/>
      <c r="D215" s="85"/>
      <c r="E215" s="85"/>
      <c r="F215" s="85"/>
      <c r="G215" s="85"/>
    </row>
    <row r="216" ht="15.75" customHeight="1">
      <c r="A216" s="85"/>
      <c r="B216" s="85"/>
      <c r="C216" s="85"/>
      <c r="D216" s="85"/>
      <c r="E216" s="85"/>
      <c r="F216" s="85"/>
      <c r="G216" s="85"/>
    </row>
    <row r="217" ht="15.75" customHeight="1">
      <c r="A217" s="85"/>
      <c r="B217" s="85"/>
      <c r="C217" s="85"/>
      <c r="D217" s="85"/>
      <c r="E217" s="85"/>
      <c r="F217" s="85"/>
      <c r="G217" s="85"/>
    </row>
    <row r="218" ht="15.75" customHeight="1">
      <c r="A218" s="85"/>
      <c r="B218" s="85"/>
      <c r="C218" s="85"/>
      <c r="D218" s="85"/>
      <c r="E218" s="85"/>
      <c r="F218" s="85"/>
      <c r="G218" s="85"/>
    </row>
    <row r="219" ht="15.75" customHeight="1">
      <c r="A219" s="85"/>
      <c r="B219" s="85"/>
      <c r="C219" s="85"/>
      <c r="D219" s="85"/>
      <c r="E219" s="85"/>
      <c r="F219" s="85"/>
      <c r="G219" s="85"/>
    </row>
    <row r="220" ht="15.75" customHeight="1">
      <c r="A220" s="85"/>
      <c r="B220" s="85"/>
      <c r="C220" s="85"/>
      <c r="D220" s="85"/>
      <c r="E220" s="85"/>
      <c r="F220" s="85"/>
      <c r="G220" s="85"/>
    </row>
    <row r="221" ht="15.75" customHeight="1">
      <c r="A221" s="85"/>
      <c r="B221" s="85"/>
      <c r="C221" s="85"/>
      <c r="D221" s="85"/>
      <c r="E221" s="85"/>
      <c r="F221" s="85"/>
      <c r="G221" s="85"/>
    </row>
    <row r="222" ht="15.75" customHeight="1">
      <c r="A222" s="85"/>
      <c r="B222" s="85"/>
      <c r="C222" s="85"/>
      <c r="D222" s="85"/>
      <c r="E222" s="85"/>
      <c r="F222" s="85"/>
      <c r="G222" s="85"/>
    </row>
    <row r="223" ht="15.75" customHeight="1">
      <c r="A223" s="85"/>
      <c r="B223" s="85"/>
      <c r="C223" s="85"/>
      <c r="D223" s="85"/>
      <c r="E223" s="85"/>
      <c r="F223" s="85"/>
      <c r="G223" s="85"/>
    </row>
    <row r="224" ht="15.75" customHeight="1">
      <c r="A224" s="85"/>
      <c r="B224" s="85"/>
      <c r="C224" s="85"/>
      <c r="D224" s="85"/>
      <c r="E224" s="85"/>
      <c r="F224" s="85"/>
      <c r="G224" s="85"/>
    </row>
    <row r="225" ht="15.75" customHeight="1">
      <c r="A225" s="85"/>
      <c r="B225" s="85"/>
      <c r="C225" s="85"/>
      <c r="D225" s="85"/>
      <c r="E225" s="85"/>
      <c r="F225" s="85"/>
      <c r="G225" s="85"/>
    </row>
    <row r="226" ht="15.75" customHeight="1">
      <c r="A226" s="85"/>
      <c r="B226" s="85"/>
      <c r="C226" s="85"/>
      <c r="D226" s="85"/>
      <c r="E226" s="85"/>
      <c r="F226" s="85"/>
      <c r="G226" s="85"/>
    </row>
    <row r="227" ht="15.75" customHeight="1">
      <c r="A227" s="85"/>
      <c r="B227" s="85"/>
      <c r="C227" s="85"/>
      <c r="D227" s="85"/>
      <c r="E227" s="85"/>
      <c r="F227" s="85"/>
      <c r="G227" s="85"/>
    </row>
    <row r="228" ht="15.75" customHeight="1">
      <c r="A228" s="85"/>
      <c r="B228" s="85"/>
      <c r="C228" s="85"/>
      <c r="D228" s="85"/>
      <c r="E228" s="85"/>
      <c r="F228" s="85"/>
      <c r="G228" s="85"/>
    </row>
    <row r="229" ht="15.75" customHeight="1">
      <c r="A229" s="85"/>
      <c r="B229" s="85"/>
      <c r="C229" s="85"/>
      <c r="D229" s="85"/>
      <c r="E229" s="85"/>
      <c r="F229" s="85"/>
      <c r="G229" s="85"/>
    </row>
    <row r="230" ht="15.75" customHeight="1">
      <c r="A230" s="85"/>
      <c r="B230" s="85"/>
      <c r="C230" s="85"/>
      <c r="D230" s="85"/>
      <c r="E230" s="85"/>
      <c r="F230" s="85"/>
      <c r="G230" s="85"/>
    </row>
    <row r="231" ht="15.75" customHeight="1">
      <c r="A231" s="85"/>
      <c r="B231" s="85"/>
      <c r="C231" s="85"/>
      <c r="D231" s="85"/>
      <c r="E231" s="85"/>
      <c r="F231" s="85"/>
      <c r="G231" s="85"/>
    </row>
    <row r="232" ht="15.75" customHeight="1">
      <c r="A232" s="85"/>
      <c r="B232" s="85"/>
      <c r="C232" s="85"/>
      <c r="D232" s="85"/>
      <c r="E232" s="85"/>
      <c r="F232" s="85"/>
      <c r="G232" s="85"/>
    </row>
    <row r="233" ht="15.75" customHeight="1">
      <c r="A233" s="85"/>
      <c r="B233" s="85"/>
      <c r="C233" s="85"/>
      <c r="D233" s="85"/>
      <c r="E233" s="85"/>
      <c r="F233" s="85"/>
      <c r="G233" s="85"/>
    </row>
    <row r="234" ht="15.75" customHeight="1">
      <c r="A234" s="85"/>
      <c r="B234" s="85"/>
      <c r="C234" s="85"/>
      <c r="D234" s="85"/>
      <c r="E234" s="85"/>
      <c r="F234" s="85"/>
      <c r="G234" s="85"/>
    </row>
    <row r="235" ht="15.75" customHeight="1">
      <c r="A235" s="85"/>
      <c r="B235" s="85"/>
      <c r="C235" s="85"/>
      <c r="D235" s="85"/>
      <c r="E235" s="85"/>
      <c r="F235" s="85"/>
      <c r="G235" s="85"/>
    </row>
    <row r="236" ht="15.75" customHeight="1">
      <c r="A236" s="85"/>
      <c r="B236" s="85"/>
      <c r="C236" s="85"/>
      <c r="D236" s="85"/>
      <c r="E236" s="85"/>
      <c r="F236" s="85"/>
      <c r="G236" s="85"/>
    </row>
    <row r="237" ht="15.75" customHeight="1">
      <c r="A237" s="85"/>
      <c r="B237" s="85"/>
      <c r="C237" s="85"/>
      <c r="D237" s="85"/>
      <c r="E237" s="85"/>
      <c r="F237" s="85"/>
      <c r="G237" s="85"/>
    </row>
    <row r="238" ht="15.75" customHeight="1">
      <c r="A238" s="85"/>
      <c r="B238" s="85"/>
      <c r="C238" s="85"/>
      <c r="D238" s="85"/>
      <c r="E238" s="85"/>
      <c r="F238" s="85"/>
      <c r="G238" s="85"/>
    </row>
    <row r="239" ht="15.75" customHeight="1">
      <c r="A239" s="85"/>
      <c r="B239" s="85"/>
      <c r="C239" s="85"/>
      <c r="D239" s="85"/>
      <c r="E239" s="85"/>
      <c r="F239" s="85"/>
      <c r="G239" s="85"/>
    </row>
    <row r="240" ht="15.75" customHeight="1">
      <c r="A240" s="85"/>
      <c r="B240" s="85"/>
      <c r="C240" s="85"/>
      <c r="D240" s="85"/>
      <c r="E240" s="85"/>
      <c r="F240" s="85"/>
      <c r="G240" s="85"/>
    </row>
    <row r="241" ht="15.75" customHeight="1">
      <c r="A241" s="85"/>
      <c r="B241" s="85"/>
      <c r="C241" s="85"/>
      <c r="D241" s="85"/>
      <c r="E241" s="85"/>
      <c r="F241" s="85"/>
      <c r="G241" s="85"/>
    </row>
    <row r="242" ht="15.75" customHeight="1">
      <c r="A242" s="85"/>
      <c r="B242" s="85"/>
      <c r="C242" s="85"/>
      <c r="D242" s="85"/>
      <c r="E242" s="85"/>
      <c r="F242" s="85"/>
      <c r="G242" s="85"/>
    </row>
    <row r="243" ht="15.75" customHeight="1">
      <c r="A243" s="85"/>
      <c r="B243" s="85"/>
      <c r="C243" s="85"/>
      <c r="D243" s="85"/>
      <c r="E243" s="85"/>
      <c r="F243" s="85"/>
      <c r="G243" s="85"/>
    </row>
    <row r="244" ht="15.75" customHeight="1">
      <c r="A244" s="85"/>
      <c r="B244" s="85"/>
      <c r="C244" s="85"/>
      <c r="D244" s="85"/>
      <c r="E244" s="85"/>
      <c r="F244" s="85"/>
      <c r="G244" s="85"/>
    </row>
    <row r="245" ht="15.75" customHeight="1">
      <c r="A245" s="85"/>
      <c r="B245" s="85"/>
      <c r="C245" s="85"/>
      <c r="D245" s="85"/>
      <c r="E245" s="85"/>
      <c r="F245" s="85"/>
      <c r="G245" s="85"/>
    </row>
    <row r="246" ht="15.75" customHeight="1">
      <c r="A246" s="85"/>
      <c r="B246" s="85"/>
      <c r="C246" s="85"/>
      <c r="D246" s="85"/>
      <c r="E246" s="85"/>
      <c r="F246" s="85"/>
      <c r="G246" s="85"/>
    </row>
    <row r="247" ht="15.75" customHeight="1">
      <c r="A247" s="85"/>
      <c r="B247" s="85"/>
      <c r="C247" s="85"/>
      <c r="D247" s="85"/>
      <c r="E247" s="85"/>
      <c r="F247" s="85"/>
      <c r="G247" s="85"/>
    </row>
    <row r="248" ht="15.75" customHeight="1">
      <c r="A248" s="85"/>
      <c r="B248" s="85"/>
      <c r="C248" s="85"/>
      <c r="D248" s="85"/>
      <c r="E248" s="85"/>
      <c r="F248" s="85"/>
      <c r="G248" s="85"/>
    </row>
    <row r="249" ht="15.75" customHeight="1">
      <c r="A249" s="85"/>
      <c r="B249" s="85"/>
      <c r="C249" s="85"/>
      <c r="D249" s="85"/>
      <c r="E249" s="85"/>
      <c r="F249" s="85"/>
      <c r="G249" s="85"/>
    </row>
    <row r="250" ht="15.75" customHeight="1">
      <c r="A250" s="85"/>
      <c r="B250" s="85"/>
      <c r="C250" s="85"/>
      <c r="D250" s="85"/>
      <c r="E250" s="85"/>
      <c r="F250" s="85"/>
      <c r="G250" s="85"/>
    </row>
    <row r="251" ht="15.75" customHeight="1">
      <c r="A251" s="85"/>
      <c r="B251" s="85"/>
      <c r="C251" s="85"/>
      <c r="D251" s="85"/>
      <c r="E251" s="85"/>
      <c r="F251" s="85"/>
      <c r="G251" s="85"/>
    </row>
    <row r="252" ht="15.75" customHeight="1">
      <c r="A252" s="85"/>
      <c r="B252" s="85"/>
      <c r="C252" s="85"/>
      <c r="D252" s="85"/>
      <c r="E252" s="85"/>
      <c r="F252" s="85"/>
      <c r="G252" s="85"/>
    </row>
    <row r="253" ht="15.75" customHeight="1">
      <c r="A253" s="85"/>
      <c r="B253" s="85"/>
      <c r="C253" s="85"/>
      <c r="D253" s="85"/>
      <c r="E253" s="85"/>
      <c r="F253" s="85"/>
      <c r="G253" s="85"/>
    </row>
    <row r="254" ht="15.75" customHeight="1">
      <c r="A254" s="85"/>
      <c r="B254" s="85"/>
      <c r="C254" s="85"/>
      <c r="D254" s="85"/>
      <c r="E254" s="85"/>
      <c r="F254" s="85"/>
      <c r="G254" s="85"/>
    </row>
    <row r="255" ht="15.75" customHeight="1">
      <c r="A255" s="85"/>
      <c r="B255" s="85"/>
      <c r="C255" s="85"/>
      <c r="D255" s="85"/>
      <c r="E255" s="85"/>
      <c r="F255" s="85"/>
      <c r="G255" s="85"/>
    </row>
    <row r="256" ht="15.75" customHeight="1">
      <c r="A256" s="85"/>
      <c r="B256" s="85"/>
      <c r="C256" s="85"/>
      <c r="D256" s="85"/>
      <c r="E256" s="85"/>
      <c r="F256" s="85"/>
      <c r="G256" s="85"/>
    </row>
    <row r="257" ht="15.75" customHeight="1">
      <c r="A257" s="85"/>
      <c r="B257" s="85"/>
      <c r="C257" s="85"/>
      <c r="D257" s="85"/>
      <c r="E257" s="85"/>
      <c r="F257" s="85"/>
      <c r="G257" s="85"/>
    </row>
    <row r="258" ht="15.75" customHeight="1">
      <c r="A258" s="85"/>
      <c r="B258" s="85"/>
      <c r="C258" s="85"/>
      <c r="D258" s="85"/>
      <c r="E258" s="85"/>
      <c r="F258" s="85"/>
      <c r="G258" s="85"/>
    </row>
    <row r="259" ht="15.75" customHeight="1">
      <c r="A259" s="85"/>
      <c r="B259" s="85"/>
      <c r="C259" s="85"/>
      <c r="D259" s="85"/>
      <c r="E259" s="85"/>
      <c r="F259" s="85"/>
      <c r="G259" s="85"/>
    </row>
    <row r="260" ht="15.75" customHeight="1">
      <c r="A260" s="85"/>
      <c r="B260" s="85"/>
      <c r="C260" s="85"/>
      <c r="D260" s="85"/>
      <c r="E260" s="85"/>
      <c r="F260" s="85"/>
      <c r="G260" s="85"/>
    </row>
    <row r="261" ht="15.75" customHeight="1">
      <c r="A261" s="85"/>
      <c r="B261" s="85"/>
      <c r="C261" s="85"/>
      <c r="D261" s="85"/>
      <c r="E261" s="85"/>
      <c r="F261" s="85"/>
      <c r="G261" s="85"/>
    </row>
    <row r="262" ht="15.75" customHeight="1">
      <c r="A262" s="85"/>
      <c r="B262" s="85"/>
      <c r="C262" s="85"/>
      <c r="D262" s="85"/>
      <c r="E262" s="85"/>
      <c r="F262" s="85"/>
      <c r="G262" s="85"/>
    </row>
    <row r="263" ht="15.75" customHeight="1">
      <c r="A263" s="85"/>
      <c r="B263" s="85"/>
      <c r="C263" s="85"/>
      <c r="D263" s="85"/>
      <c r="E263" s="85"/>
      <c r="F263" s="85"/>
      <c r="G263" s="85"/>
    </row>
    <row r="264" ht="15.75" customHeight="1">
      <c r="A264" s="85"/>
      <c r="B264" s="85"/>
      <c r="C264" s="85"/>
      <c r="D264" s="85"/>
      <c r="E264" s="85"/>
      <c r="F264" s="85"/>
      <c r="G264" s="85"/>
    </row>
    <row r="265" ht="15.75" customHeight="1">
      <c r="A265" s="85"/>
      <c r="B265" s="85"/>
      <c r="C265" s="85"/>
      <c r="D265" s="85"/>
      <c r="E265" s="85"/>
      <c r="F265" s="85"/>
      <c r="G265" s="85"/>
    </row>
    <row r="266" ht="15.75" customHeight="1">
      <c r="A266" s="85"/>
      <c r="B266" s="85"/>
      <c r="C266" s="85"/>
      <c r="D266" s="85"/>
      <c r="E266" s="85"/>
      <c r="F266" s="85"/>
      <c r="G266" s="85"/>
    </row>
    <row r="267" ht="15.75" customHeight="1">
      <c r="A267" s="85"/>
      <c r="B267" s="85"/>
      <c r="C267" s="85"/>
      <c r="D267" s="85"/>
      <c r="E267" s="85"/>
      <c r="F267" s="85"/>
      <c r="G267" s="85"/>
    </row>
    <row r="268" ht="15.75" customHeight="1">
      <c r="A268" s="85"/>
      <c r="B268" s="85"/>
      <c r="C268" s="85"/>
      <c r="D268" s="85"/>
      <c r="E268" s="85"/>
      <c r="F268" s="85"/>
      <c r="G268" s="85"/>
    </row>
    <row r="269" ht="15.75" customHeight="1">
      <c r="A269" s="85"/>
      <c r="B269" s="85"/>
      <c r="C269" s="85"/>
      <c r="D269" s="85"/>
      <c r="E269" s="85"/>
      <c r="F269" s="85"/>
      <c r="G269" s="85"/>
    </row>
    <row r="270" ht="15.75" customHeight="1">
      <c r="A270" s="85"/>
      <c r="B270" s="85"/>
      <c r="C270" s="85"/>
      <c r="D270" s="85"/>
      <c r="E270" s="85"/>
      <c r="F270" s="85"/>
      <c r="G270" s="85"/>
    </row>
    <row r="271" ht="15.75" customHeight="1">
      <c r="A271" s="85"/>
      <c r="B271" s="85"/>
      <c r="C271" s="85"/>
      <c r="D271" s="85"/>
      <c r="E271" s="85"/>
      <c r="F271" s="85"/>
      <c r="G271" s="85"/>
    </row>
    <row r="272" ht="15.75" customHeight="1">
      <c r="A272" s="85"/>
      <c r="B272" s="85"/>
      <c r="C272" s="85"/>
      <c r="D272" s="85"/>
      <c r="E272" s="85"/>
      <c r="F272" s="85"/>
      <c r="G272" s="85"/>
    </row>
    <row r="273" ht="15.75" customHeight="1">
      <c r="A273" s="85"/>
      <c r="B273" s="85"/>
      <c r="C273" s="85"/>
      <c r="D273" s="85"/>
      <c r="E273" s="85"/>
      <c r="F273" s="85"/>
      <c r="G273" s="85"/>
    </row>
    <row r="274" ht="15.75" customHeight="1">
      <c r="A274" s="85"/>
      <c r="B274" s="85"/>
      <c r="C274" s="85"/>
      <c r="D274" s="85"/>
      <c r="E274" s="85"/>
      <c r="F274" s="85"/>
      <c r="G274" s="85"/>
    </row>
    <row r="275" ht="15.75" customHeight="1">
      <c r="A275" s="85"/>
      <c r="B275" s="85"/>
      <c r="C275" s="85"/>
      <c r="D275" s="85"/>
      <c r="E275" s="85"/>
      <c r="F275" s="85"/>
      <c r="G275" s="85"/>
    </row>
    <row r="276" ht="15.75" customHeight="1">
      <c r="A276" s="85"/>
      <c r="B276" s="85"/>
      <c r="C276" s="85"/>
      <c r="D276" s="85"/>
      <c r="E276" s="85"/>
      <c r="F276" s="85"/>
      <c r="G276" s="85"/>
    </row>
    <row r="277" ht="15.75" customHeight="1">
      <c r="A277" s="85"/>
      <c r="B277" s="85"/>
      <c r="C277" s="85"/>
      <c r="D277" s="85"/>
      <c r="E277" s="85"/>
      <c r="F277" s="85"/>
      <c r="G277" s="85"/>
    </row>
    <row r="278" ht="15.75" customHeight="1">
      <c r="A278" s="85"/>
      <c r="B278" s="85"/>
      <c r="C278" s="85"/>
      <c r="D278" s="85"/>
      <c r="E278" s="85"/>
      <c r="F278" s="85"/>
      <c r="G278" s="85"/>
    </row>
    <row r="279" ht="15.75" customHeight="1">
      <c r="A279" s="85"/>
      <c r="B279" s="85"/>
      <c r="C279" s="85"/>
      <c r="D279" s="85"/>
      <c r="E279" s="85"/>
      <c r="F279" s="85"/>
      <c r="G279" s="85"/>
    </row>
    <row r="280" ht="15.75" customHeight="1">
      <c r="A280" s="85"/>
      <c r="B280" s="85"/>
      <c r="C280" s="85"/>
      <c r="D280" s="85"/>
      <c r="E280" s="85"/>
      <c r="F280" s="85"/>
      <c r="G280" s="85"/>
    </row>
    <row r="281" ht="15.75" customHeight="1">
      <c r="A281" s="85"/>
      <c r="B281" s="85"/>
      <c r="C281" s="85"/>
      <c r="D281" s="85"/>
      <c r="E281" s="85"/>
      <c r="F281" s="85"/>
      <c r="G281" s="85"/>
    </row>
    <row r="282" ht="15.75" customHeight="1">
      <c r="A282" s="85"/>
      <c r="B282" s="85"/>
      <c r="C282" s="85"/>
      <c r="D282" s="85"/>
      <c r="E282" s="85"/>
      <c r="F282" s="85"/>
      <c r="G282" s="85"/>
    </row>
    <row r="283" ht="15.75" customHeight="1">
      <c r="A283" s="85"/>
      <c r="B283" s="85"/>
      <c r="C283" s="85"/>
      <c r="D283" s="85"/>
      <c r="E283" s="85"/>
      <c r="F283" s="85"/>
      <c r="G283" s="85"/>
    </row>
    <row r="284" ht="15.75" customHeight="1">
      <c r="A284" s="85"/>
      <c r="B284" s="85"/>
      <c r="C284" s="85"/>
      <c r="D284" s="85"/>
      <c r="E284" s="85"/>
      <c r="F284" s="85"/>
      <c r="G284" s="85"/>
    </row>
    <row r="285" ht="15.75" customHeight="1">
      <c r="A285" s="85"/>
      <c r="B285" s="85"/>
      <c r="C285" s="85"/>
      <c r="D285" s="85"/>
      <c r="E285" s="85"/>
      <c r="F285" s="85"/>
      <c r="G285" s="85"/>
    </row>
    <row r="286" ht="15.75" customHeight="1">
      <c r="A286" s="85"/>
      <c r="B286" s="85"/>
      <c r="C286" s="85"/>
      <c r="D286" s="85"/>
      <c r="E286" s="85"/>
      <c r="F286" s="85"/>
      <c r="G286" s="85"/>
    </row>
    <row r="287" ht="15.75" customHeight="1">
      <c r="A287" s="85"/>
      <c r="B287" s="85"/>
      <c r="C287" s="85"/>
      <c r="D287" s="85"/>
      <c r="E287" s="85"/>
      <c r="F287" s="85"/>
      <c r="G287" s="85"/>
    </row>
    <row r="288" ht="15.75" customHeight="1">
      <c r="A288" s="85"/>
      <c r="B288" s="85"/>
      <c r="C288" s="85"/>
      <c r="D288" s="85"/>
      <c r="E288" s="85"/>
      <c r="F288" s="85"/>
      <c r="G288" s="85"/>
    </row>
    <row r="289" ht="15.75" customHeight="1">
      <c r="A289" s="85"/>
      <c r="B289" s="85"/>
      <c r="C289" s="85"/>
      <c r="D289" s="85"/>
      <c r="E289" s="85"/>
      <c r="F289" s="85"/>
      <c r="G289" s="85"/>
    </row>
    <row r="290" ht="15.75" customHeight="1">
      <c r="A290" s="85"/>
      <c r="B290" s="85"/>
      <c r="C290" s="85"/>
      <c r="D290" s="85"/>
      <c r="E290" s="85"/>
      <c r="F290" s="85"/>
      <c r="G290" s="85"/>
    </row>
    <row r="291" ht="15.75" customHeight="1">
      <c r="A291" s="85"/>
      <c r="B291" s="85"/>
      <c r="C291" s="85"/>
      <c r="D291" s="85"/>
      <c r="E291" s="85"/>
      <c r="F291" s="85"/>
      <c r="G291" s="85"/>
    </row>
    <row r="292" ht="15.75" customHeight="1">
      <c r="A292" s="85"/>
      <c r="B292" s="85"/>
      <c r="C292" s="85"/>
      <c r="D292" s="85"/>
      <c r="E292" s="85"/>
      <c r="F292" s="85"/>
      <c r="G292" s="85"/>
    </row>
    <row r="293" ht="15.75" customHeight="1">
      <c r="A293" s="85"/>
      <c r="B293" s="85"/>
      <c r="C293" s="85"/>
      <c r="D293" s="85"/>
      <c r="E293" s="85"/>
      <c r="F293" s="85"/>
      <c r="G293" s="85"/>
    </row>
    <row r="294" ht="15.75" customHeight="1">
      <c r="A294" s="85"/>
      <c r="B294" s="85"/>
      <c r="C294" s="85"/>
      <c r="D294" s="85"/>
      <c r="E294" s="85"/>
      <c r="F294" s="85"/>
      <c r="G294" s="85"/>
    </row>
    <row r="295" ht="15.75" customHeight="1">
      <c r="A295" s="85"/>
      <c r="B295" s="85"/>
      <c r="C295" s="85"/>
      <c r="D295" s="85"/>
      <c r="E295" s="85"/>
      <c r="F295" s="85"/>
      <c r="G295" s="85"/>
    </row>
    <row r="296" ht="15.75" customHeight="1">
      <c r="A296" s="85"/>
      <c r="B296" s="85"/>
      <c r="C296" s="85"/>
      <c r="D296" s="85"/>
      <c r="E296" s="85"/>
      <c r="F296" s="85"/>
      <c r="G296" s="85"/>
    </row>
    <row r="297" ht="15.75" customHeight="1">
      <c r="A297" s="85"/>
      <c r="B297" s="85"/>
      <c r="C297" s="85"/>
      <c r="D297" s="85"/>
      <c r="E297" s="85"/>
      <c r="F297" s="85"/>
      <c r="G297" s="85"/>
    </row>
    <row r="298" ht="15.75" customHeight="1">
      <c r="A298" s="85"/>
      <c r="B298" s="85"/>
      <c r="C298" s="85"/>
      <c r="D298" s="85"/>
      <c r="E298" s="85"/>
      <c r="F298" s="85"/>
      <c r="G298" s="85"/>
    </row>
    <row r="299" ht="15.75" customHeight="1">
      <c r="A299" s="85"/>
      <c r="B299" s="85"/>
      <c r="C299" s="85"/>
      <c r="D299" s="85"/>
      <c r="E299" s="85"/>
      <c r="F299" s="85"/>
      <c r="G299" s="85"/>
    </row>
    <row r="300" ht="15.75" customHeight="1">
      <c r="A300" s="85"/>
      <c r="B300" s="85"/>
      <c r="C300" s="85"/>
      <c r="D300" s="85"/>
      <c r="E300" s="85"/>
      <c r="F300" s="85"/>
      <c r="G300" s="85"/>
    </row>
    <row r="301" ht="15.75" customHeight="1">
      <c r="A301" s="85"/>
      <c r="B301" s="85"/>
      <c r="C301" s="85"/>
      <c r="D301" s="85"/>
      <c r="E301" s="85"/>
      <c r="F301" s="85"/>
      <c r="G301" s="85"/>
    </row>
    <row r="302" ht="15.75" customHeight="1">
      <c r="A302" s="85"/>
      <c r="B302" s="85"/>
      <c r="C302" s="85"/>
      <c r="D302" s="85"/>
      <c r="E302" s="85"/>
      <c r="F302" s="85"/>
      <c r="G302" s="85"/>
    </row>
    <row r="303" ht="15.75" customHeight="1">
      <c r="A303" s="85"/>
      <c r="B303" s="85"/>
      <c r="C303" s="85"/>
      <c r="D303" s="85"/>
      <c r="E303" s="85"/>
      <c r="F303" s="85"/>
      <c r="G303" s="85"/>
    </row>
    <row r="304" ht="15.75" customHeight="1">
      <c r="A304" s="85"/>
      <c r="B304" s="85"/>
      <c r="C304" s="85"/>
      <c r="D304" s="85"/>
      <c r="E304" s="85"/>
      <c r="F304" s="85"/>
      <c r="G304" s="85"/>
    </row>
    <row r="305" ht="15.75" customHeight="1">
      <c r="A305" s="85"/>
      <c r="B305" s="85"/>
      <c r="C305" s="85"/>
      <c r="D305" s="85"/>
      <c r="E305" s="85"/>
      <c r="F305" s="85"/>
      <c r="G305" s="85"/>
    </row>
    <row r="306" ht="15.75" customHeight="1">
      <c r="A306" s="85"/>
      <c r="B306" s="85"/>
      <c r="C306" s="85"/>
      <c r="D306" s="85"/>
      <c r="E306" s="85"/>
      <c r="F306" s="85"/>
      <c r="G306" s="85"/>
    </row>
    <row r="307" ht="15.75" customHeight="1">
      <c r="A307" s="85"/>
      <c r="B307" s="85"/>
      <c r="C307" s="85"/>
      <c r="D307" s="85"/>
      <c r="E307" s="85"/>
      <c r="F307" s="85"/>
      <c r="G307" s="85"/>
    </row>
    <row r="308" ht="15.75" customHeight="1">
      <c r="A308" s="85"/>
      <c r="B308" s="85"/>
      <c r="C308" s="85"/>
      <c r="D308" s="85"/>
      <c r="E308" s="85"/>
      <c r="F308" s="85"/>
      <c r="G308" s="85"/>
    </row>
    <row r="309" ht="15.75" customHeight="1">
      <c r="A309" s="85"/>
      <c r="B309" s="85"/>
      <c r="C309" s="85"/>
      <c r="D309" s="85"/>
      <c r="E309" s="85"/>
      <c r="F309" s="85"/>
      <c r="G309" s="85"/>
    </row>
    <row r="310" ht="15.75" customHeight="1">
      <c r="A310" s="85"/>
      <c r="B310" s="85"/>
      <c r="C310" s="85"/>
      <c r="D310" s="85"/>
      <c r="E310" s="85"/>
      <c r="F310" s="85"/>
      <c r="G310" s="85"/>
    </row>
    <row r="311" ht="15.75" customHeight="1">
      <c r="A311" s="85"/>
      <c r="B311" s="85"/>
      <c r="C311" s="85"/>
      <c r="D311" s="85"/>
      <c r="E311" s="85"/>
      <c r="F311" s="85"/>
      <c r="G311" s="85"/>
    </row>
    <row r="312" ht="15.75" customHeight="1">
      <c r="A312" s="85"/>
      <c r="B312" s="85"/>
      <c r="C312" s="85"/>
      <c r="D312" s="85"/>
      <c r="E312" s="85"/>
      <c r="F312" s="85"/>
      <c r="G312" s="85"/>
    </row>
    <row r="313" ht="15.75" customHeight="1">
      <c r="A313" s="85"/>
      <c r="B313" s="85"/>
      <c r="C313" s="85"/>
      <c r="D313" s="85"/>
      <c r="E313" s="85"/>
      <c r="F313" s="85"/>
      <c r="G313" s="85"/>
    </row>
    <row r="314" ht="15.75" customHeight="1">
      <c r="A314" s="85"/>
      <c r="B314" s="85"/>
      <c r="C314" s="85"/>
      <c r="D314" s="85"/>
      <c r="E314" s="85"/>
      <c r="F314" s="85"/>
      <c r="G314" s="85"/>
    </row>
    <row r="315" ht="15.75" customHeight="1">
      <c r="A315" s="85"/>
      <c r="B315" s="85"/>
      <c r="C315" s="85"/>
      <c r="D315" s="85"/>
      <c r="E315" s="85"/>
      <c r="F315" s="85"/>
      <c r="G315" s="85"/>
    </row>
    <row r="316" ht="15.75" customHeight="1">
      <c r="A316" s="85"/>
      <c r="B316" s="85"/>
      <c r="C316" s="85"/>
      <c r="D316" s="85"/>
      <c r="E316" s="85"/>
      <c r="F316" s="85"/>
      <c r="G316" s="85"/>
    </row>
    <row r="317" ht="15.75" customHeight="1">
      <c r="A317" s="85"/>
      <c r="B317" s="85"/>
      <c r="C317" s="85"/>
      <c r="D317" s="85"/>
      <c r="E317" s="85"/>
      <c r="F317" s="85"/>
      <c r="G317" s="85"/>
    </row>
    <row r="318" ht="15.75" customHeight="1">
      <c r="A318" s="85"/>
      <c r="B318" s="85"/>
      <c r="C318" s="85"/>
      <c r="D318" s="85"/>
      <c r="E318" s="85"/>
      <c r="F318" s="85"/>
      <c r="G318" s="85"/>
    </row>
    <row r="319" ht="15.75" customHeight="1">
      <c r="A319" s="85"/>
      <c r="B319" s="85"/>
      <c r="C319" s="85"/>
      <c r="D319" s="85"/>
      <c r="E319" s="85"/>
      <c r="F319" s="85"/>
      <c r="G319" s="85"/>
    </row>
    <row r="320" ht="15.75" customHeight="1">
      <c r="A320" s="85"/>
      <c r="B320" s="85"/>
      <c r="C320" s="85"/>
      <c r="D320" s="85"/>
      <c r="E320" s="85"/>
      <c r="F320" s="85"/>
      <c r="G320" s="85"/>
    </row>
    <row r="321" ht="15.75" customHeight="1">
      <c r="A321" s="85"/>
      <c r="B321" s="85"/>
      <c r="C321" s="85"/>
      <c r="D321" s="85"/>
      <c r="E321" s="85"/>
      <c r="F321" s="85"/>
      <c r="G321" s="85"/>
    </row>
    <row r="322" ht="15.75" customHeight="1">
      <c r="A322" s="85"/>
      <c r="B322" s="85"/>
      <c r="C322" s="85"/>
      <c r="D322" s="85"/>
      <c r="E322" s="85"/>
      <c r="F322" s="85"/>
      <c r="G322" s="85"/>
    </row>
    <row r="323" ht="15.75" customHeight="1">
      <c r="A323" s="85"/>
      <c r="B323" s="85"/>
      <c r="C323" s="85"/>
      <c r="D323" s="85"/>
      <c r="E323" s="85"/>
      <c r="F323" s="85"/>
      <c r="G323" s="85"/>
    </row>
    <row r="324" ht="15.75" customHeight="1">
      <c r="A324" s="85"/>
      <c r="B324" s="85"/>
      <c r="C324" s="85"/>
      <c r="D324" s="85"/>
      <c r="E324" s="85"/>
      <c r="F324" s="85"/>
      <c r="G324" s="85"/>
    </row>
    <row r="325" ht="15.75" customHeight="1">
      <c r="A325" s="85"/>
      <c r="B325" s="85"/>
      <c r="C325" s="85"/>
      <c r="D325" s="85"/>
      <c r="E325" s="85"/>
      <c r="F325" s="85"/>
      <c r="G325" s="85"/>
    </row>
    <row r="326" ht="15.75" customHeight="1">
      <c r="A326" s="85"/>
      <c r="B326" s="85"/>
      <c r="C326" s="85"/>
      <c r="D326" s="85"/>
      <c r="E326" s="85"/>
      <c r="F326" s="85"/>
      <c r="G326" s="85"/>
    </row>
    <row r="327" ht="15.75" customHeight="1">
      <c r="A327" s="85"/>
      <c r="B327" s="85"/>
      <c r="C327" s="85"/>
      <c r="D327" s="85"/>
      <c r="E327" s="85"/>
      <c r="F327" s="85"/>
      <c r="G327" s="85"/>
    </row>
    <row r="328" ht="15.75" customHeight="1">
      <c r="A328" s="85"/>
      <c r="B328" s="85"/>
      <c r="C328" s="85"/>
      <c r="D328" s="85"/>
      <c r="E328" s="85"/>
      <c r="F328" s="85"/>
      <c r="G328" s="85"/>
    </row>
    <row r="329" ht="15.75" customHeight="1">
      <c r="A329" s="85"/>
      <c r="B329" s="85"/>
      <c r="C329" s="85"/>
      <c r="D329" s="85"/>
      <c r="E329" s="85"/>
      <c r="F329" s="85"/>
      <c r="G329" s="85"/>
    </row>
    <row r="330" ht="15.75" customHeight="1">
      <c r="A330" s="85"/>
      <c r="B330" s="85"/>
      <c r="C330" s="85"/>
      <c r="D330" s="85"/>
      <c r="E330" s="85"/>
      <c r="F330" s="85"/>
      <c r="G330" s="85"/>
    </row>
    <row r="331" ht="15.75" customHeight="1">
      <c r="A331" s="85"/>
      <c r="B331" s="85"/>
      <c r="C331" s="85"/>
      <c r="D331" s="85"/>
      <c r="E331" s="85"/>
      <c r="F331" s="85"/>
      <c r="G331" s="85"/>
    </row>
    <row r="332" ht="15.75" customHeight="1">
      <c r="A332" s="85"/>
      <c r="B332" s="85"/>
      <c r="C332" s="85"/>
      <c r="D332" s="85"/>
      <c r="E332" s="85"/>
      <c r="F332" s="85"/>
      <c r="G332" s="85"/>
    </row>
    <row r="333" ht="15.75" customHeight="1">
      <c r="A333" s="85"/>
      <c r="B333" s="85"/>
      <c r="C333" s="85"/>
      <c r="D333" s="85"/>
      <c r="E333" s="85"/>
      <c r="F333" s="85"/>
      <c r="G333" s="85"/>
    </row>
    <row r="334" ht="15.75" customHeight="1">
      <c r="A334" s="85"/>
      <c r="B334" s="85"/>
      <c r="C334" s="85"/>
      <c r="D334" s="85"/>
      <c r="E334" s="85"/>
      <c r="F334" s="85"/>
      <c r="G334" s="85"/>
    </row>
    <row r="335" ht="15.75" customHeight="1">
      <c r="A335" s="85"/>
      <c r="B335" s="85"/>
      <c r="C335" s="85"/>
      <c r="D335" s="85"/>
      <c r="E335" s="85"/>
      <c r="F335" s="85"/>
      <c r="G335" s="85"/>
    </row>
    <row r="336" ht="15.75" customHeight="1">
      <c r="A336" s="85"/>
      <c r="B336" s="85"/>
      <c r="C336" s="85"/>
      <c r="D336" s="85"/>
      <c r="E336" s="85"/>
      <c r="F336" s="85"/>
      <c r="G336" s="85"/>
    </row>
    <row r="337" ht="15.75" customHeight="1">
      <c r="A337" s="85"/>
      <c r="B337" s="85"/>
      <c r="C337" s="85"/>
      <c r="D337" s="85"/>
      <c r="E337" s="85"/>
      <c r="F337" s="85"/>
      <c r="G337" s="85"/>
    </row>
    <row r="338" ht="15.75" customHeight="1">
      <c r="A338" s="85"/>
      <c r="B338" s="85"/>
      <c r="C338" s="85"/>
      <c r="D338" s="85"/>
      <c r="E338" s="85"/>
      <c r="F338" s="85"/>
      <c r="G338" s="85"/>
    </row>
    <row r="339" ht="15.75" customHeight="1">
      <c r="A339" s="85"/>
      <c r="B339" s="85"/>
      <c r="C339" s="85"/>
      <c r="D339" s="85"/>
      <c r="E339" s="85"/>
      <c r="F339" s="85"/>
      <c r="G339" s="85"/>
    </row>
    <row r="340" ht="15.75" customHeight="1">
      <c r="A340" s="85"/>
      <c r="B340" s="85"/>
      <c r="C340" s="85"/>
      <c r="D340" s="85"/>
      <c r="E340" s="85"/>
      <c r="F340" s="85"/>
      <c r="G340" s="85"/>
    </row>
    <row r="341" ht="15.75" customHeight="1">
      <c r="A341" s="85"/>
      <c r="B341" s="85"/>
      <c r="C341" s="85"/>
      <c r="D341" s="85"/>
      <c r="E341" s="85"/>
      <c r="F341" s="85"/>
      <c r="G341" s="85"/>
    </row>
    <row r="342" ht="15.75" customHeight="1">
      <c r="A342" s="85"/>
      <c r="B342" s="85"/>
      <c r="C342" s="85"/>
      <c r="D342" s="85"/>
      <c r="E342" s="85"/>
      <c r="F342" s="85"/>
      <c r="G342" s="85"/>
    </row>
    <row r="343" ht="15.75" customHeight="1">
      <c r="A343" s="85"/>
      <c r="B343" s="85"/>
      <c r="C343" s="85"/>
      <c r="D343" s="85"/>
      <c r="E343" s="85"/>
      <c r="F343" s="85"/>
      <c r="G343" s="85"/>
    </row>
    <row r="344" ht="15.75" customHeight="1">
      <c r="A344" s="85"/>
      <c r="B344" s="85"/>
      <c r="C344" s="85"/>
      <c r="D344" s="85"/>
      <c r="E344" s="85"/>
      <c r="F344" s="85"/>
      <c r="G344" s="85"/>
    </row>
    <row r="345" ht="15.75" customHeight="1">
      <c r="A345" s="85"/>
      <c r="B345" s="85"/>
      <c r="C345" s="85"/>
      <c r="D345" s="85"/>
      <c r="E345" s="85"/>
      <c r="F345" s="85"/>
      <c r="G345" s="85"/>
    </row>
    <row r="346" ht="15.75" customHeight="1">
      <c r="A346" s="85"/>
      <c r="B346" s="85"/>
      <c r="C346" s="85"/>
      <c r="D346" s="85"/>
      <c r="E346" s="85"/>
      <c r="F346" s="85"/>
      <c r="G346" s="85"/>
    </row>
    <row r="347" ht="15.75" customHeight="1">
      <c r="A347" s="85"/>
      <c r="B347" s="85"/>
      <c r="C347" s="85"/>
      <c r="D347" s="85"/>
      <c r="E347" s="85"/>
      <c r="F347" s="85"/>
      <c r="G347" s="85"/>
    </row>
    <row r="348" ht="15.75" customHeight="1">
      <c r="A348" s="85"/>
      <c r="B348" s="85"/>
      <c r="C348" s="85"/>
      <c r="D348" s="85"/>
      <c r="E348" s="85"/>
      <c r="F348" s="85"/>
      <c r="G348" s="85"/>
    </row>
    <row r="349" ht="15.75" customHeight="1">
      <c r="A349" s="85"/>
      <c r="B349" s="85"/>
      <c r="C349" s="85"/>
      <c r="D349" s="85"/>
      <c r="E349" s="85"/>
      <c r="F349" s="85"/>
      <c r="G349" s="85"/>
    </row>
    <row r="350" ht="15.75" customHeight="1">
      <c r="A350" s="85"/>
      <c r="B350" s="85"/>
      <c r="C350" s="85"/>
      <c r="D350" s="85"/>
      <c r="E350" s="85"/>
      <c r="F350" s="85"/>
      <c r="G350" s="85"/>
    </row>
    <row r="351" ht="15.75" customHeight="1">
      <c r="A351" s="85"/>
      <c r="B351" s="85"/>
      <c r="C351" s="85"/>
      <c r="D351" s="85"/>
      <c r="E351" s="85"/>
      <c r="F351" s="85"/>
      <c r="G351" s="85"/>
    </row>
    <row r="352" ht="15.75" customHeight="1">
      <c r="A352" s="85"/>
      <c r="B352" s="85"/>
      <c r="C352" s="85"/>
      <c r="D352" s="85"/>
      <c r="E352" s="85"/>
      <c r="F352" s="85"/>
      <c r="G352" s="85"/>
    </row>
    <row r="353" ht="15.75" customHeight="1">
      <c r="A353" s="85"/>
      <c r="B353" s="85"/>
      <c r="C353" s="85"/>
      <c r="D353" s="85"/>
      <c r="E353" s="85"/>
      <c r="F353" s="85"/>
      <c r="G353" s="85"/>
    </row>
    <row r="354" ht="15.75" customHeight="1">
      <c r="A354" s="85"/>
      <c r="B354" s="85"/>
      <c r="C354" s="85"/>
      <c r="D354" s="85"/>
      <c r="E354" s="85"/>
      <c r="F354" s="85"/>
      <c r="G354" s="85"/>
    </row>
    <row r="355" ht="15.75" customHeight="1">
      <c r="A355" s="85"/>
      <c r="B355" s="85"/>
      <c r="C355" s="85"/>
      <c r="D355" s="85"/>
      <c r="E355" s="85"/>
      <c r="F355" s="85"/>
      <c r="G355" s="85"/>
    </row>
    <row r="356" ht="15.75" customHeight="1">
      <c r="A356" s="85"/>
      <c r="B356" s="85"/>
      <c r="C356" s="85"/>
      <c r="D356" s="85"/>
      <c r="E356" s="85"/>
      <c r="F356" s="85"/>
      <c r="G356" s="85"/>
    </row>
    <row r="357" ht="15.75" customHeight="1">
      <c r="A357" s="85"/>
      <c r="B357" s="85"/>
      <c r="C357" s="85"/>
      <c r="D357" s="85"/>
      <c r="E357" s="85"/>
      <c r="F357" s="85"/>
      <c r="G357" s="85"/>
    </row>
    <row r="358" ht="15.75" customHeight="1">
      <c r="A358" s="85"/>
      <c r="B358" s="85"/>
      <c r="C358" s="85"/>
      <c r="D358" s="85"/>
      <c r="E358" s="85"/>
      <c r="F358" s="85"/>
      <c r="G358" s="85"/>
    </row>
    <row r="359" ht="15.75" customHeight="1">
      <c r="A359" s="85"/>
      <c r="B359" s="85"/>
      <c r="C359" s="85"/>
      <c r="D359" s="85"/>
      <c r="E359" s="85"/>
      <c r="F359" s="85"/>
      <c r="G359" s="85"/>
    </row>
    <row r="360" ht="15.75" customHeight="1">
      <c r="A360" s="85"/>
      <c r="B360" s="85"/>
      <c r="C360" s="85"/>
      <c r="D360" s="85"/>
      <c r="E360" s="85"/>
      <c r="F360" s="85"/>
      <c r="G360" s="85"/>
    </row>
    <row r="361" ht="15.75" customHeight="1">
      <c r="A361" s="85"/>
      <c r="B361" s="85"/>
      <c r="C361" s="85"/>
      <c r="D361" s="85"/>
      <c r="E361" s="85"/>
      <c r="F361" s="85"/>
      <c r="G361" s="85"/>
    </row>
    <row r="362" ht="15.75" customHeight="1">
      <c r="A362" s="85"/>
      <c r="B362" s="85"/>
      <c r="C362" s="85"/>
      <c r="D362" s="85"/>
      <c r="E362" s="85"/>
      <c r="F362" s="85"/>
      <c r="G362" s="85"/>
    </row>
    <row r="363" ht="15.75" customHeight="1">
      <c r="A363" s="85"/>
      <c r="B363" s="85"/>
      <c r="C363" s="85"/>
      <c r="D363" s="85"/>
      <c r="E363" s="85"/>
      <c r="F363" s="85"/>
      <c r="G363" s="85"/>
    </row>
    <row r="364" ht="15.75" customHeight="1">
      <c r="A364" s="85"/>
      <c r="B364" s="85"/>
      <c r="C364" s="85"/>
      <c r="D364" s="85"/>
      <c r="E364" s="85"/>
      <c r="F364" s="85"/>
      <c r="G364" s="85"/>
    </row>
    <row r="365" ht="15.75" customHeight="1">
      <c r="A365" s="85"/>
      <c r="B365" s="85"/>
      <c r="C365" s="85"/>
      <c r="D365" s="85"/>
      <c r="E365" s="85"/>
      <c r="F365" s="85"/>
      <c r="G365" s="85"/>
    </row>
    <row r="366" ht="15.75" customHeight="1">
      <c r="A366" s="85"/>
      <c r="B366" s="85"/>
      <c r="C366" s="85"/>
      <c r="D366" s="85"/>
      <c r="E366" s="85"/>
      <c r="F366" s="85"/>
      <c r="G366" s="85"/>
    </row>
    <row r="367" ht="15.75" customHeight="1">
      <c r="A367" s="85"/>
      <c r="B367" s="85"/>
      <c r="C367" s="85"/>
      <c r="D367" s="85"/>
      <c r="E367" s="85"/>
      <c r="F367" s="85"/>
      <c r="G367" s="85"/>
    </row>
    <row r="368" ht="15.75" customHeight="1">
      <c r="A368" s="85"/>
      <c r="B368" s="85"/>
      <c r="C368" s="85"/>
      <c r="D368" s="85"/>
      <c r="E368" s="85"/>
      <c r="F368" s="85"/>
      <c r="G368" s="85"/>
    </row>
    <row r="369" ht="15.75" customHeight="1">
      <c r="A369" s="85"/>
      <c r="B369" s="85"/>
      <c r="C369" s="85"/>
      <c r="D369" s="85"/>
      <c r="E369" s="85"/>
      <c r="F369" s="85"/>
      <c r="G369" s="85"/>
    </row>
    <row r="370" ht="15.75" customHeight="1">
      <c r="A370" s="85"/>
      <c r="B370" s="85"/>
      <c r="C370" s="85"/>
      <c r="D370" s="85"/>
      <c r="E370" s="85"/>
      <c r="F370" s="85"/>
      <c r="G370" s="85"/>
    </row>
    <row r="371" ht="15.75" customHeight="1">
      <c r="A371" s="85"/>
      <c r="B371" s="85"/>
      <c r="C371" s="85"/>
      <c r="D371" s="85"/>
      <c r="E371" s="85"/>
      <c r="F371" s="85"/>
      <c r="G371" s="85"/>
    </row>
    <row r="372" ht="15.75" customHeight="1">
      <c r="A372" s="85"/>
      <c r="B372" s="85"/>
      <c r="C372" s="85"/>
      <c r="D372" s="85"/>
      <c r="E372" s="85"/>
      <c r="F372" s="85"/>
      <c r="G372" s="85"/>
    </row>
    <row r="373" ht="15.75" customHeight="1">
      <c r="A373" s="85"/>
      <c r="B373" s="85"/>
      <c r="C373" s="85"/>
      <c r="D373" s="85"/>
      <c r="E373" s="85"/>
      <c r="F373" s="85"/>
      <c r="G373" s="85"/>
    </row>
    <row r="374" ht="15.75" customHeight="1">
      <c r="A374" s="85"/>
      <c r="B374" s="85"/>
      <c r="C374" s="85"/>
      <c r="D374" s="85"/>
      <c r="E374" s="85"/>
      <c r="F374" s="85"/>
      <c r="G374" s="85"/>
    </row>
    <row r="375" ht="15.75" customHeight="1">
      <c r="A375" s="85"/>
      <c r="B375" s="85"/>
      <c r="C375" s="85"/>
      <c r="D375" s="85"/>
      <c r="E375" s="85"/>
      <c r="F375" s="85"/>
      <c r="G375" s="85"/>
    </row>
    <row r="376" ht="15.75" customHeight="1">
      <c r="A376" s="85"/>
      <c r="B376" s="85"/>
      <c r="C376" s="85"/>
      <c r="D376" s="85"/>
      <c r="E376" s="85"/>
      <c r="F376" s="85"/>
      <c r="G376" s="85"/>
    </row>
    <row r="377" ht="15.75" customHeight="1">
      <c r="A377" s="85"/>
      <c r="B377" s="85"/>
      <c r="C377" s="85"/>
      <c r="D377" s="85"/>
      <c r="E377" s="85"/>
      <c r="F377" s="85"/>
      <c r="G377" s="85"/>
    </row>
    <row r="378" ht="15.75" customHeight="1">
      <c r="A378" s="85"/>
      <c r="B378" s="85"/>
      <c r="C378" s="85"/>
      <c r="D378" s="85"/>
      <c r="E378" s="85"/>
      <c r="F378" s="85"/>
      <c r="G378" s="85"/>
    </row>
    <row r="379" ht="15.75" customHeight="1">
      <c r="A379" s="85"/>
      <c r="B379" s="85"/>
      <c r="C379" s="85"/>
      <c r="D379" s="85"/>
      <c r="E379" s="85"/>
      <c r="F379" s="85"/>
      <c r="G379" s="85"/>
    </row>
    <row r="380" ht="15.75" customHeight="1">
      <c r="A380" s="85"/>
      <c r="B380" s="85"/>
      <c r="C380" s="85"/>
      <c r="D380" s="85"/>
      <c r="E380" s="85"/>
      <c r="F380" s="85"/>
      <c r="G380" s="85"/>
    </row>
    <row r="381" ht="15.75" customHeight="1">
      <c r="A381" s="85"/>
      <c r="B381" s="85"/>
      <c r="C381" s="85"/>
      <c r="D381" s="85"/>
      <c r="E381" s="85"/>
      <c r="F381" s="85"/>
      <c r="G381" s="85"/>
    </row>
    <row r="382" ht="15.75" customHeight="1">
      <c r="A382" s="85"/>
      <c r="B382" s="85"/>
      <c r="C382" s="85"/>
      <c r="D382" s="85"/>
      <c r="E382" s="85"/>
      <c r="F382" s="85"/>
      <c r="G382" s="85"/>
    </row>
    <row r="383" ht="15.75" customHeight="1">
      <c r="A383" s="85"/>
      <c r="B383" s="85"/>
      <c r="C383" s="85"/>
      <c r="D383" s="85"/>
      <c r="E383" s="85"/>
      <c r="F383" s="85"/>
      <c r="G383" s="85"/>
    </row>
    <row r="384" ht="15.75" customHeight="1">
      <c r="A384" s="85"/>
      <c r="B384" s="85"/>
      <c r="C384" s="85"/>
      <c r="D384" s="85"/>
      <c r="E384" s="85"/>
      <c r="F384" s="85"/>
      <c r="G384" s="85"/>
    </row>
    <row r="385" ht="15.75" customHeight="1">
      <c r="A385" s="85"/>
      <c r="B385" s="85"/>
      <c r="C385" s="85"/>
      <c r="D385" s="85"/>
      <c r="E385" s="85"/>
      <c r="F385" s="85"/>
      <c r="G385" s="85"/>
    </row>
    <row r="386" ht="15.75" customHeight="1">
      <c r="A386" s="85"/>
      <c r="B386" s="85"/>
      <c r="C386" s="85"/>
      <c r="D386" s="85"/>
      <c r="E386" s="85"/>
      <c r="F386" s="85"/>
      <c r="G386" s="85"/>
    </row>
    <row r="387" ht="15.75" customHeight="1">
      <c r="A387" s="85"/>
      <c r="B387" s="85"/>
      <c r="C387" s="85"/>
      <c r="D387" s="85"/>
      <c r="E387" s="85"/>
      <c r="F387" s="85"/>
      <c r="G387" s="85"/>
    </row>
    <row r="388" ht="15.75" customHeight="1">
      <c r="A388" s="85"/>
      <c r="B388" s="85"/>
      <c r="C388" s="85"/>
      <c r="D388" s="85"/>
      <c r="E388" s="85"/>
      <c r="F388" s="85"/>
      <c r="G388" s="85"/>
    </row>
    <row r="389" ht="15.75" customHeight="1">
      <c r="A389" s="85"/>
      <c r="B389" s="85"/>
      <c r="C389" s="85"/>
      <c r="D389" s="85"/>
      <c r="E389" s="85"/>
      <c r="F389" s="85"/>
      <c r="G389" s="85"/>
    </row>
    <row r="390" ht="15.75" customHeight="1">
      <c r="A390" s="85"/>
      <c r="B390" s="85"/>
      <c r="C390" s="85"/>
      <c r="D390" s="85"/>
      <c r="E390" s="85"/>
      <c r="F390" s="85"/>
      <c r="G390" s="85"/>
    </row>
    <row r="391" ht="15.75" customHeight="1">
      <c r="A391" s="85"/>
      <c r="B391" s="85"/>
      <c r="C391" s="85"/>
      <c r="D391" s="85"/>
      <c r="E391" s="85"/>
      <c r="F391" s="85"/>
      <c r="G391" s="85"/>
    </row>
    <row r="392" ht="15.75" customHeight="1">
      <c r="A392" s="85"/>
      <c r="B392" s="85"/>
      <c r="C392" s="85"/>
      <c r="D392" s="85"/>
      <c r="E392" s="85"/>
      <c r="F392" s="85"/>
      <c r="G392" s="85"/>
    </row>
    <row r="393" ht="15.75" customHeight="1">
      <c r="A393" s="85"/>
      <c r="B393" s="85"/>
      <c r="C393" s="85"/>
      <c r="D393" s="85"/>
      <c r="E393" s="85"/>
      <c r="F393" s="85"/>
      <c r="G393" s="85"/>
    </row>
    <row r="394" ht="15.75" customHeight="1">
      <c r="A394" s="85"/>
      <c r="B394" s="85"/>
      <c r="C394" s="85"/>
      <c r="D394" s="85"/>
      <c r="E394" s="85"/>
      <c r="F394" s="85"/>
      <c r="G394" s="85"/>
    </row>
    <row r="395" ht="15.75" customHeight="1">
      <c r="A395" s="85"/>
      <c r="B395" s="85"/>
      <c r="C395" s="85"/>
      <c r="D395" s="85"/>
      <c r="E395" s="85"/>
      <c r="F395" s="85"/>
      <c r="G395" s="85"/>
    </row>
    <row r="396" ht="15.75" customHeight="1">
      <c r="A396" s="85"/>
      <c r="B396" s="85"/>
      <c r="C396" s="85"/>
      <c r="D396" s="85"/>
      <c r="E396" s="85"/>
      <c r="F396" s="85"/>
      <c r="G396" s="85"/>
    </row>
    <row r="397" ht="15.75" customHeight="1">
      <c r="A397" s="85"/>
      <c r="B397" s="85"/>
      <c r="C397" s="85"/>
      <c r="D397" s="85"/>
      <c r="E397" s="85"/>
      <c r="F397" s="85"/>
      <c r="G397" s="85"/>
    </row>
    <row r="398" ht="15.75" customHeight="1">
      <c r="A398" s="85"/>
      <c r="B398" s="85"/>
      <c r="C398" s="85"/>
      <c r="D398" s="85"/>
      <c r="E398" s="85"/>
      <c r="F398" s="85"/>
      <c r="G398" s="85"/>
    </row>
    <row r="399" ht="15.75" customHeight="1">
      <c r="A399" s="85"/>
      <c r="B399" s="85"/>
      <c r="C399" s="85"/>
      <c r="D399" s="85"/>
      <c r="E399" s="85"/>
      <c r="F399" s="85"/>
      <c r="G399" s="85"/>
    </row>
    <row r="400" ht="15.75" customHeight="1">
      <c r="A400" s="85"/>
      <c r="B400" s="85"/>
      <c r="C400" s="85"/>
      <c r="D400" s="85"/>
      <c r="E400" s="85"/>
      <c r="F400" s="85"/>
      <c r="G400" s="85"/>
    </row>
    <row r="401" ht="15.75" customHeight="1">
      <c r="A401" s="85"/>
      <c r="B401" s="85"/>
      <c r="C401" s="85"/>
      <c r="D401" s="85"/>
      <c r="E401" s="85"/>
      <c r="F401" s="85"/>
      <c r="G401" s="85"/>
    </row>
    <row r="402" ht="15.75" customHeight="1">
      <c r="A402" s="85"/>
      <c r="B402" s="85"/>
      <c r="C402" s="85"/>
      <c r="D402" s="85"/>
      <c r="E402" s="85"/>
      <c r="F402" s="85"/>
      <c r="G402" s="85"/>
    </row>
    <row r="403" ht="15.75" customHeight="1">
      <c r="A403" s="85"/>
      <c r="B403" s="85"/>
      <c r="C403" s="85"/>
      <c r="D403" s="85"/>
      <c r="E403" s="85"/>
      <c r="F403" s="85"/>
      <c r="G403" s="85"/>
    </row>
    <row r="404" ht="15.75" customHeight="1">
      <c r="A404" s="85"/>
      <c r="B404" s="85"/>
      <c r="C404" s="85"/>
      <c r="D404" s="85"/>
      <c r="E404" s="85"/>
      <c r="F404" s="85"/>
      <c r="G404" s="85"/>
    </row>
    <row r="405" ht="15.75" customHeight="1">
      <c r="A405" s="85"/>
      <c r="B405" s="85"/>
      <c r="C405" s="85"/>
      <c r="D405" s="85"/>
      <c r="E405" s="85"/>
      <c r="F405" s="85"/>
      <c r="G405" s="85"/>
    </row>
    <row r="406" ht="15.75" customHeight="1">
      <c r="A406" s="85"/>
      <c r="B406" s="85"/>
      <c r="C406" s="85"/>
      <c r="D406" s="85"/>
      <c r="E406" s="85"/>
      <c r="F406" s="85"/>
      <c r="G406" s="85"/>
    </row>
    <row r="407" ht="15.75" customHeight="1">
      <c r="A407" s="85"/>
      <c r="B407" s="85"/>
      <c r="C407" s="85"/>
      <c r="D407" s="85"/>
      <c r="E407" s="85"/>
      <c r="F407" s="85"/>
      <c r="G407" s="85"/>
    </row>
    <row r="408" ht="15.75" customHeight="1">
      <c r="A408" s="85"/>
      <c r="B408" s="85"/>
      <c r="C408" s="85"/>
      <c r="D408" s="85"/>
      <c r="E408" s="85"/>
      <c r="F408" s="85"/>
      <c r="G408" s="85"/>
    </row>
    <row r="409" ht="15.75" customHeight="1">
      <c r="A409" s="85"/>
      <c r="B409" s="85"/>
      <c r="C409" s="85"/>
      <c r="D409" s="85"/>
      <c r="E409" s="85"/>
      <c r="F409" s="85"/>
      <c r="G409" s="85"/>
    </row>
    <row r="410" ht="15.75" customHeight="1">
      <c r="A410" s="85"/>
      <c r="B410" s="85"/>
      <c r="C410" s="85"/>
      <c r="D410" s="85"/>
      <c r="E410" s="85"/>
      <c r="F410" s="85"/>
      <c r="G410" s="85"/>
    </row>
    <row r="411" ht="15.75" customHeight="1">
      <c r="A411" s="85"/>
      <c r="B411" s="85"/>
      <c r="C411" s="85"/>
      <c r="D411" s="85"/>
      <c r="E411" s="85"/>
      <c r="F411" s="85"/>
      <c r="G411" s="85"/>
    </row>
    <row r="412" ht="15.75" customHeight="1">
      <c r="A412" s="85"/>
      <c r="B412" s="85"/>
      <c r="C412" s="85"/>
      <c r="D412" s="85"/>
      <c r="E412" s="85"/>
      <c r="F412" s="85"/>
      <c r="G412" s="85"/>
    </row>
    <row r="413" ht="15.75" customHeight="1">
      <c r="A413" s="85"/>
      <c r="B413" s="85"/>
      <c r="C413" s="85"/>
      <c r="D413" s="85"/>
      <c r="E413" s="85"/>
      <c r="F413" s="85"/>
      <c r="G413" s="85"/>
    </row>
    <row r="414" ht="15.75" customHeight="1">
      <c r="A414" s="85"/>
      <c r="B414" s="85"/>
      <c r="C414" s="85"/>
      <c r="D414" s="85"/>
      <c r="E414" s="85"/>
      <c r="F414" s="85"/>
      <c r="G414" s="85"/>
    </row>
    <row r="415" ht="15.75" customHeight="1">
      <c r="A415" s="85"/>
      <c r="B415" s="85"/>
      <c r="C415" s="85"/>
      <c r="D415" s="85"/>
      <c r="E415" s="85"/>
      <c r="F415" s="85"/>
      <c r="G415" s="85"/>
    </row>
    <row r="416" ht="15.75" customHeight="1">
      <c r="A416" s="85"/>
      <c r="B416" s="85"/>
      <c r="C416" s="85"/>
      <c r="D416" s="85"/>
      <c r="E416" s="85"/>
      <c r="F416" s="85"/>
      <c r="G416" s="85"/>
    </row>
    <row r="417" ht="15.75" customHeight="1">
      <c r="A417" s="85"/>
      <c r="B417" s="85"/>
      <c r="C417" s="85"/>
      <c r="D417" s="85"/>
      <c r="E417" s="85"/>
      <c r="F417" s="85"/>
      <c r="G417" s="85"/>
    </row>
    <row r="418" ht="15.75" customHeight="1">
      <c r="A418" s="85"/>
      <c r="B418" s="85"/>
      <c r="C418" s="85"/>
      <c r="D418" s="85"/>
      <c r="E418" s="85"/>
      <c r="F418" s="85"/>
      <c r="G418" s="85"/>
    </row>
    <row r="419" ht="15.75" customHeight="1">
      <c r="A419" s="85"/>
      <c r="B419" s="85"/>
      <c r="C419" s="85"/>
      <c r="D419" s="85"/>
      <c r="E419" s="85"/>
      <c r="F419" s="85"/>
      <c r="G419" s="85"/>
    </row>
    <row r="420" ht="15.75" customHeight="1">
      <c r="A420" s="85"/>
      <c r="B420" s="85"/>
      <c r="C420" s="85"/>
      <c r="D420" s="85"/>
      <c r="E420" s="85"/>
      <c r="F420" s="85"/>
      <c r="G420" s="85"/>
    </row>
    <row r="421" ht="15.75" customHeight="1">
      <c r="A421" s="85"/>
      <c r="B421" s="85"/>
      <c r="C421" s="85"/>
      <c r="D421" s="85"/>
      <c r="E421" s="85"/>
      <c r="F421" s="85"/>
      <c r="G421" s="85"/>
    </row>
    <row r="422" ht="15.75" customHeight="1">
      <c r="A422" s="85"/>
      <c r="B422" s="85"/>
      <c r="C422" s="85"/>
      <c r="D422" s="85"/>
      <c r="E422" s="85"/>
      <c r="F422" s="85"/>
      <c r="G422" s="85"/>
    </row>
    <row r="423" ht="15.75" customHeight="1">
      <c r="A423" s="85"/>
      <c r="B423" s="85"/>
      <c r="C423" s="85"/>
      <c r="D423" s="85"/>
      <c r="E423" s="85"/>
      <c r="F423" s="85"/>
      <c r="G423" s="85"/>
    </row>
    <row r="424" ht="15.75" customHeight="1">
      <c r="A424" s="85"/>
      <c r="B424" s="85"/>
      <c r="C424" s="85"/>
      <c r="D424" s="85"/>
      <c r="E424" s="85"/>
      <c r="F424" s="85"/>
      <c r="G424" s="85"/>
    </row>
    <row r="425" ht="15.75" customHeight="1">
      <c r="A425" s="85"/>
      <c r="B425" s="85"/>
      <c r="C425" s="85"/>
      <c r="D425" s="85"/>
      <c r="E425" s="85"/>
      <c r="F425" s="85"/>
      <c r="G425" s="85"/>
    </row>
    <row r="426" ht="15.75" customHeight="1">
      <c r="A426" s="85"/>
      <c r="B426" s="85"/>
      <c r="C426" s="85"/>
      <c r="D426" s="85"/>
      <c r="E426" s="85"/>
      <c r="F426" s="85"/>
      <c r="G426" s="85"/>
    </row>
    <row r="427" ht="15.75" customHeight="1">
      <c r="A427" s="85"/>
      <c r="B427" s="85"/>
      <c r="C427" s="85"/>
      <c r="D427" s="85"/>
      <c r="E427" s="85"/>
      <c r="F427" s="85"/>
      <c r="G427" s="85"/>
    </row>
    <row r="428" ht="15.75" customHeight="1">
      <c r="A428" s="85"/>
      <c r="B428" s="85"/>
      <c r="C428" s="85"/>
      <c r="D428" s="85"/>
      <c r="E428" s="85"/>
      <c r="F428" s="85"/>
      <c r="G428" s="85"/>
    </row>
    <row r="429" ht="15.75" customHeight="1">
      <c r="A429" s="85"/>
      <c r="B429" s="85"/>
      <c r="C429" s="85"/>
      <c r="D429" s="85"/>
      <c r="E429" s="85"/>
      <c r="F429" s="85"/>
      <c r="G429" s="85"/>
    </row>
    <row r="430" ht="15.75" customHeight="1">
      <c r="A430" s="85"/>
      <c r="B430" s="85"/>
      <c r="C430" s="85"/>
      <c r="D430" s="85"/>
      <c r="E430" s="85"/>
      <c r="F430" s="85"/>
      <c r="G430" s="85"/>
    </row>
    <row r="431" ht="15.75" customHeight="1">
      <c r="A431" s="85"/>
      <c r="B431" s="85"/>
      <c r="C431" s="85"/>
      <c r="D431" s="85"/>
      <c r="E431" s="85"/>
      <c r="F431" s="85"/>
      <c r="G431" s="85"/>
    </row>
    <row r="432" ht="15.75" customHeight="1">
      <c r="A432" s="85"/>
      <c r="B432" s="85"/>
      <c r="C432" s="85"/>
      <c r="D432" s="85"/>
      <c r="E432" s="85"/>
      <c r="F432" s="85"/>
      <c r="G432" s="85"/>
    </row>
    <row r="433" ht="15.75" customHeight="1">
      <c r="A433" s="85"/>
      <c r="B433" s="85"/>
      <c r="C433" s="85"/>
      <c r="D433" s="85"/>
      <c r="E433" s="85"/>
      <c r="F433" s="85"/>
      <c r="G433" s="85"/>
    </row>
    <row r="434" ht="15.75" customHeight="1">
      <c r="A434" s="85"/>
      <c r="B434" s="85"/>
      <c r="C434" s="85"/>
      <c r="D434" s="85"/>
      <c r="E434" s="85"/>
      <c r="F434" s="85"/>
      <c r="G434" s="85"/>
    </row>
    <row r="435" ht="15.75" customHeight="1">
      <c r="A435" s="85"/>
      <c r="B435" s="85"/>
      <c r="C435" s="85"/>
      <c r="D435" s="85"/>
      <c r="E435" s="85"/>
      <c r="F435" s="85"/>
      <c r="G435" s="85"/>
    </row>
    <row r="436" ht="15.75" customHeight="1">
      <c r="A436" s="85"/>
      <c r="B436" s="85"/>
      <c r="C436" s="85"/>
      <c r="D436" s="85"/>
      <c r="E436" s="85"/>
      <c r="F436" s="85"/>
      <c r="G436" s="85"/>
    </row>
    <row r="437" ht="15.75" customHeight="1">
      <c r="A437" s="85"/>
      <c r="B437" s="85"/>
      <c r="C437" s="85"/>
      <c r="D437" s="85"/>
      <c r="E437" s="85"/>
      <c r="F437" s="85"/>
      <c r="G437" s="85"/>
    </row>
    <row r="438" ht="15.75" customHeight="1">
      <c r="A438" s="85"/>
      <c r="B438" s="85"/>
      <c r="C438" s="85"/>
      <c r="D438" s="85"/>
      <c r="E438" s="85"/>
      <c r="F438" s="85"/>
      <c r="G438" s="85"/>
    </row>
    <row r="439" ht="15.75" customHeight="1">
      <c r="A439" s="85"/>
      <c r="B439" s="85"/>
      <c r="C439" s="85"/>
      <c r="D439" s="85"/>
      <c r="E439" s="85"/>
      <c r="F439" s="85"/>
      <c r="G439" s="85"/>
    </row>
    <row r="440" ht="15.75" customHeight="1">
      <c r="A440" s="85"/>
      <c r="B440" s="85"/>
      <c r="C440" s="85"/>
      <c r="D440" s="85"/>
      <c r="E440" s="85"/>
      <c r="F440" s="85"/>
      <c r="G440" s="85"/>
    </row>
    <row r="441" ht="15.75" customHeight="1">
      <c r="A441" s="85"/>
      <c r="B441" s="85"/>
      <c r="C441" s="85"/>
      <c r="D441" s="85"/>
      <c r="E441" s="85"/>
      <c r="F441" s="85"/>
      <c r="G441" s="85"/>
    </row>
    <row r="442" ht="15.75" customHeight="1">
      <c r="A442" s="85"/>
      <c r="B442" s="85"/>
      <c r="C442" s="85"/>
      <c r="D442" s="85"/>
      <c r="E442" s="85"/>
      <c r="F442" s="85"/>
      <c r="G442" s="85"/>
    </row>
    <row r="443" ht="15.75" customHeight="1">
      <c r="A443" s="85"/>
      <c r="B443" s="85"/>
      <c r="C443" s="85"/>
      <c r="D443" s="85"/>
      <c r="E443" s="85"/>
      <c r="F443" s="85"/>
      <c r="G443" s="85"/>
    </row>
    <row r="444" ht="15.75" customHeight="1">
      <c r="A444" s="85"/>
      <c r="B444" s="85"/>
      <c r="C444" s="85"/>
      <c r="D444" s="85"/>
      <c r="E444" s="85"/>
      <c r="F444" s="85"/>
      <c r="G444" s="85"/>
    </row>
    <row r="445" ht="15.75" customHeight="1">
      <c r="A445" s="85"/>
      <c r="B445" s="85"/>
      <c r="C445" s="85"/>
      <c r="D445" s="85"/>
      <c r="E445" s="85"/>
      <c r="F445" s="85"/>
      <c r="G445" s="85"/>
    </row>
    <row r="446" ht="15.75" customHeight="1">
      <c r="A446" s="85"/>
      <c r="B446" s="85"/>
      <c r="C446" s="85"/>
      <c r="D446" s="85"/>
      <c r="E446" s="85"/>
      <c r="F446" s="85"/>
      <c r="G446" s="85"/>
    </row>
    <row r="447" ht="15.75" customHeight="1">
      <c r="A447" s="85"/>
      <c r="B447" s="85"/>
      <c r="C447" s="85"/>
      <c r="D447" s="85"/>
      <c r="E447" s="85"/>
      <c r="F447" s="85"/>
      <c r="G447" s="85"/>
    </row>
    <row r="448" ht="15.75" customHeight="1">
      <c r="A448" s="85"/>
      <c r="B448" s="85"/>
      <c r="C448" s="85"/>
      <c r="D448" s="85"/>
      <c r="E448" s="85"/>
      <c r="F448" s="85"/>
      <c r="G448" s="85"/>
    </row>
    <row r="449" ht="15.75" customHeight="1">
      <c r="A449" s="85"/>
      <c r="B449" s="85"/>
      <c r="C449" s="85"/>
      <c r="D449" s="85"/>
      <c r="E449" s="85"/>
      <c r="F449" s="85"/>
      <c r="G449" s="85"/>
    </row>
    <row r="450" ht="15.75" customHeight="1">
      <c r="A450" s="85"/>
      <c r="B450" s="85"/>
      <c r="C450" s="85"/>
      <c r="D450" s="85"/>
      <c r="E450" s="85"/>
      <c r="F450" s="85"/>
      <c r="G450" s="85"/>
    </row>
    <row r="451" ht="15.75" customHeight="1">
      <c r="A451" s="85"/>
      <c r="B451" s="85"/>
      <c r="C451" s="85"/>
      <c r="D451" s="85"/>
      <c r="E451" s="85"/>
      <c r="F451" s="85"/>
      <c r="G451" s="85"/>
    </row>
    <row r="452" ht="15.75" customHeight="1">
      <c r="A452" s="85"/>
      <c r="B452" s="85"/>
      <c r="C452" s="85"/>
      <c r="D452" s="85"/>
      <c r="E452" s="85"/>
      <c r="F452" s="85"/>
      <c r="G452" s="85"/>
    </row>
    <row r="453" ht="15.75" customHeight="1">
      <c r="A453" s="85"/>
      <c r="B453" s="85"/>
      <c r="C453" s="85"/>
      <c r="D453" s="85"/>
      <c r="E453" s="85"/>
      <c r="F453" s="85"/>
      <c r="G453" s="85"/>
    </row>
    <row r="454" ht="15.75" customHeight="1">
      <c r="A454" s="85"/>
      <c r="B454" s="85"/>
      <c r="C454" s="85"/>
      <c r="D454" s="85"/>
      <c r="E454" s="85"/>
      <c r="F454" s="85"/>
      <c r="G454" s="85"/>
    </row>
    <row r="455" ht="15.75" customHeight="1">
      <c r="A455" s="85"/>
      <c r="B455" s="85"/>
      <c r="C455" s="85"/>
      <c r="D455" s="85"/>
      <c r="E455" s="85"/>
      <c r="F455" s="85"/>
      <c r="G455" s="85"/>
    </row>
    <row r="456" ht="15.75" customHeight="1">
      <c r="A456" s="85"/>
      <c r="B456" s="85"/>
      <c r="C456" s="85"/>
      <c r="D456" s="85"/>
      <c r="E456" s="85"/>
      <c r="F456" s="85"/>
      <c r="G456" s="85"/>
    </row>
    <row r="457" ht="15.75" customHeight="1">
      <c r="A457" s="85"/>
      <c r="B457" s="85"/>
      <c r="C457" s="85"/>
      <c r="D457" s="85"/>
      <c r="E457" s="85"/>
      <c r="F457" s="85"/>
      <c r="G457" s="85"/>
    </row>
    <row r="458" ht="15.75" customHeight="1">
      <c r="A458" s="85"/>
      <c r="B458" s="85"/>
      <c r="C458" s="85"/>
      <c r="D458" s="85"/>
      <c r="E458" s="85"/>
      <c r="F458" s="85"/>
      <c r="G458" s="85"/>
    </row>
    <row r="459" ht="15.75" customHeight="1">
      <c r="A459" s="85"/>
      <c r="B459" s="85"/>
      <c r="C459" s="85"/>
      <c r="D459" s="85"/>
      <c r="E459" s="85"/>
      <c r="F459" s="85"/>
      <c r="G459" s="85"/>
    </row>
    <row r="460" ht="15.75" customHeight="1">
      <c r="A460" s="85"/>
      <c r="B460" s="85"/>
      <c r="C460" s="85"/>
      <c r="D460" s="85"/>
      <c r="E460" s="85"/>
      <c r="F460" s="85"/>
      <c r="G460" s="85"/>
    </row>
    <row r="461" ht="15.75" customHeight="1">
      <c r="A461" s="85"/>
      <c r="B461" s="85"/>
      <c r="C461" s="85"/>
      <c r="D461" s="85"/>
      <c r="E461" s="85"/>
      <c r="F461" s="85"/>
      <c r="G461" s="85"/>
    </row>
    <row r="462" ht="15.75" customHeight="1">
      <c r="A462" s="85"/>
      <c r="B462" s="85"/>
      <c r="C462" s="85"/>
      <c r="D462" s="85"/>
      <c r="E462" s="85"/>
      <c r="F462" s="85"/>
      <c r="G462" s="85"/>
    </row>
    <row r="463" ht="15.75" customHeight="1">
      <c r="A463" s="85"/>
      <c r="B463" s="85"/>
      <c r="C463" s="85"/>
      <c r="D463" s="85"/>
      <c r="E463" s="85"/>
      <c r="F463" s="85"/>
      <c r="G463" s="85"/>
    </row>
    <row r="464" ht="15.75" customHeight="1">
      <c r="A464" s="85"/>
      <c r="B464" s="85"/>
      <c r="C464" s="85"/>
      <c r="D464" s="85"/>
      <c r="E464" s="85"/>
      <c r="F464" s="85"/>
      <c r="G464" s="85"/>
    </row>
    <row r="465" ht="15.75" customHeight="1">
      <c r="A465" s="85"/>
      <c r="B465" s="85"/>
      <c r="C465" s="85"/>
      <c r="D465" s="85"/>
      <c r="E465" s="85"/>
      <c r="F465" s="85"/>
      <c r="G465" s="85"/>
    </row>
    <row r="466" ht="15.75" customHeight="1">
      <c r="A466" s="85"/>
      <c r="B466" s="85"/>
      <c r="C466" s="85"/>
      <c r="D466" s="85"/>
      <c r="E466" s="85"/>
      <c r="F466" s="85"/>
      <c r="G466" s="85"/>
    </row>
    <row r="467" ht="15.75" customHeight="1">
      <c r="A467" s="85"/>
      <c r="B467" s="85"/>
      <c r="C467" s="85"/>
      <c r="D467" s="85"/>
      <c r="E467" s="85"/>
      <c r="F467" s="85"/>
      <c r="G467" s="85"/>
    </row>
    <row r="468" ht="15.75" customHeight="1">
      <c r="A468" s="85"/>
      <c r="B468" s="85"/>
      <c r="C468" s="85"/>
      <c r="D468" s="85"/>
      <c r="E468" s="85"/>
      <c r="F468" s="85"/>
      <c r="G468" s="85"/>
    </row>
    <row r="469" ht="15.75" customHeight="1">
      <c r="A469" s="85"/>
      <c r="B469" s="85"/>
      <c r="C469" s="85"/>
      <c r="D469" s="85"/>
      <c r="E469" s="85"/>
      <c r="F469" s="85"/>
      <c r="G469" s="85"/>
    </row>
    <row r="470" ht="15.75" customHeight="1">
      <c r="A470" s="85"/>
      <c r="B470" s="85"/>
      <c r="C470" s="85"/>
      <c r="D470" s="85"/>
      <c r="E470" s="85"/>
      <c r="F470" s="85"/>
      <c r="G470" s="85"/>
    </row>
    <row r="471" ht="15.75" customHeight="1">
      <c r="A471" s="85"/>
      <c r="B471" s="85"/>
      <c r="C471" s="85"/>
      <c r="D471" s="85"/>
      <c r="E471" s="85"/>
      <c r="F471" s="85"/>
      <c r="G471" s="85"/>
    </row>
    <row r="472" ht="15.75" customHeight="1">
      <c r="A472" s="85"/>
      <c r="B472" s="85"/>
      <c r="C472" s="85"/>
      <c r="D472" s="85"/>
      <c r="E472" s="85"/>
      <c r="F472" s="85"/>
      <c r="G472" s="85"/>
    </row>
    <row r="473" ht="15.75" customHeight="1">
      <c r="A473" s="85"/>
      <c r="B473" s="85"/>
      <c r="C473" s="85"/>
      <c r="D473" s="85"/>
      <c r="E473" s="85"/>
      <c r="F473" s="85"/>
      <c r="G473" s="85"/>
    </row>
    <row r="474" ht="15.75" customHeight="1">
      <c r="A474" s="85"/>
      <c r="B474" s="85"/>
      <c r="C474" s="85"/>
      <c r="D474" s="85"/>
      <c r="E474" s="85"/>
      <c r="F474" s="85"/>
      <c r="G474" s="85"/>
    </row>
    <row r="475" ht="15.75" customHeight="1">
      <c r="A475" s="85"/>
      <c r="B475" s="85"/>
      <c r="C475" s="85"/>
      <c r="D475" s="85"/>
      <c r="E475" s="85"/>
      <c r="F475" s="85"/>
      <c r="G475" s="85"/>
    </row>
    <row r="476" ht="15.75" customHeight="1">
      <c r="A476" s="85"/>
      <c r="B476" s="85"/>
      <c r="C476" s="85"/>
      <c r="D476" s="85"/>
      <c r="E476" s="85"/>
      <c r="F476" s="85"/>
      <c r="G476" s="85"/>
    </row>
    <row r="477" ht="15.75" customHeight="1">
      <c r="A477" s="85"/>
      <c r="B477" s="85"/>
      <c r="C477" s="85"/>
      <c r="D477" s="85"/>
      <c r="E477" s="85"/>
      <c r="F477" s="85"/>
      <c r="G477" s="85"/>
    </row>
    <row r="478" ht="15.75" customHeight="1">
      <c r="A478" s="85"/>
      <c r="B478" s="85"/>
      <c r="C478" s="85"/>
      <c r="D478" s="85"/>
      <c r="E478" s="85"/>
      <c r="F478" s="85"/>
      <c r="G478" s="85"/>
    </row>
    <row r="479" ht="15.75" customHeight="1">
      <c r="A479" s="85"/>
      <c r="B479" s="85"/>
      <c r="C479" s="85"/>
      <c r="D479" s="85"/>
      <c r="E479" s="85"/>
      <c r="F479" s="85"/>
      <c r="G479" s="85"/>
    </row>
    <row r="480" ht="15.75" customHeight="1">
      <c r="A480" s="85"/>
      <c r="B480" s="85"/>
      <c r="C480" s="85"/>
      <c r="D480" s="85"/>
      <c r="E480" s="85"/>
      <c r="F480" s="85"/>
      <c r="G480" s="85"/>
    </row>
    <row r="481" ht="15.75" customHeight="1">
      <c r="A481" s="85"/>
      <c r="B481" s="85"/>
      <c r="C481" s="85"/>
      <c r="D481" s="85"/>
      <c r="E481" s="85"/>
      <c r="F481" s="85"/>
      <c r="G481" s="85"/>
    </row>
    <row r="482" ht="15.75" customHeight="1">
      <c r="A482" s="85"/>
      <c r="B482" s="85"/>
      <c r="C482" s="85"/>
      <c r="D482" s="85"/>
      <c r="E482" s="85"/>
      <c r="F482" s="85"/>
      <c r="G482" s="85"/>
    </row>
    <row r="483" ht="15.75" customHeight="1">
      <c r="A483" s="85"/>
      <c r="B483" s="85"/>
      <c r="C483" s="85"/>
      <c r="D483" s="85"/>
      <c r="E483" s="85"/>
      <c r="F483" s="85"/>
      <c r="G483" s="85"/>
    </row>
    <row r="484" ht="15.75" customHeight="1">
      <c r="A484" s="85"/>
      <c r="B484" s="85"/>
      <c r="C484" s="85"/>
      <c r="D484" s="85"/>
      <c r="E484" s="85"/>
      <c r="F484" s="85"/>
      <c r="G484" s="85"/>
    </row>
    <row r="485" ht="15.75" customHeight="1">
      <c r="A485" s="85"/>
      <c r="B485" s="85"/>
      <c r="C485" s="85"/>
      <c r="D485" s="85"/>
      <c r="E485" s="85"/>
      <c r="F485" s="85"/>
      <c r="G485" s="85"/>
    </row>
    <row r="486" ht="15.75" customHeight="1">
      <c r="A486" s="85"/>
      <c r="B486" s="85"/>
      <c r="C486" s="85"/>
      <c r="D486" s="85"/>
      <c r="E486" s="85"/>
      <c r="F486" s="85"/>
      <c r="G486" s="85"/>
    </row>
    <row r="487" ht="15.75" customHeight="1">
      <c r="A487" s="85"/>
      <c r="B487" s="85"/>
      <c r="C487" s="85"/>
      <c r="D487" s="85"/>
      <c r="E487" s="85"/>
      <c r="F487" s="85"/>
      <c r="G487" s="85"/>
    </row>
    <row r="488" ht="15.75" customHeight="1">
      <c r="A488" s="85"/>
      <c r="B488" s="85"/>
      <c r="C488" s="85"/>
      <c r="D488" s="85"/>
      <c r="E488" s="85"/>
      <c r="F488" s="85"/>
      <c r="G488" s="85"/>
    </row>
    <row r="489" ht="15.75" customHeight="1">
      <c r="A489" s="85"/>
      <c r="B489" s="85"/>
      <c r="C489" s="85"/>
      <c r="D489" s="85"/>
      <c r="E489" s="85"/>
      <c r="F489" s="85"/>
      <c r="G489" s="85"/>
    </row>
    <row r="490" ht="15.75" customHeight="1">
      <c r="A490" s="85"/>
      <c r="B490" s="85"/>
      <c r="C490" s="85"/>
      <c r="D490" s="85"/>
      <c r="E490" s="85"/>
      <c r="F490" s="85"/>
      <c r="G490" s="85"/>
    </row>
    <row r="491" ht="15.75" customHeight="1">
      <c r="A491" s="85"/>
      <c r="B491" s="85"/>
      <c r="C491" s="85"/>
      <c r="D491" s="85"/>
      <c r="E491" s="85"/>
      <c r="F491" s="85"/>
      <c r="G491" s="85"/>
    </row>
    <row r="492" ht="15.75" customHeight="1">
      <c r="A492" s="85"/>
      <c r="B492" s="85"/>
      <c r="C492" s="85"/>
      <c r="D492" s="85"/>
      <c r="E492" s="85"/>
      <c r="F492" s="85"/>
      <c r="G492" s="85"/>
    </row>
    <row r="493" ht="15.75" customHeight="1">
      <c r="A493" s="85"/>
      <c r="B493" s="85"/>
      <c r="C493" s="85"/>
      <c r="D493" s="85"/>
      <c r="E493" s="85"/>
      <c r="F493" s="85"/>
      <c r="G493" s="85"/>
    </row>
    <row r="494" ht="15.75" customHeight="1">
      <c r="A494" s="85"/>
      <c r="B494" s="85"/>
      <c r="C494" s="85"/>
      <c r="D494" s="85"/>
      <c r="E494" s="85"/>
      <c r="F494" s="85"/>
      <c r="G494" s="85"/>
    </row>
    <row r="495" ht="15.75" customHeight="1">
      <c r="A495" s="85"/>
      <c r="B495" s="85"/>
      <c r="C495" s="85"/>
      <c r="D495" s="85"/>
      <c r="E495" s="85"/>
      <c r="F495" s="85"/>
      <c r="G495" s="85"/>
    </row>
    <row r="496" ht="15.75" customHeight="1">
      <c r="A496" s="85"/>
      <c r="B496" s="85"/>
      <c r="C496" s="85"/>
      <c r="D496" s="85"/>
      <c r="E496" s="85"/>
      <c r="F496" s="85"/>
      <c r="G496" s="85"/>
    </row>
    <row r="497" ht="15.75" customHeight="1">
      <c r="A497" s="85"/>
      <c r="B497" s="85"/>
      <c r="C497" s="85"/>
      <c r="D497" s="85"/>
      <c r="E497" s="85"/>
      <c r="F497" s="85"/>
      <c r="G497" s="85"/>
    </row>
    <row r="498" ht="15.75" customHeight="1">
      <c r="A498" s="85"/>
      <c r="B498" s="85"/>
      <c r="C498" s="85"/>
      <c r="D498" s="85"/>
      <c r="E498" s="85"/>
      <c r="F498" s="85"/>
      <c r="G498" s="85"/>
    </row>
    <row r="499" ht="15.75" customHeight="1">
      <c r="A499" s="85"/>
      <c r="B499" s="85"/>
      <c r="C499" s="85"/>
      <c r="D499" s="85"/>
      <c r="E499" s="85"/>
      <c r="F499" s="85"/>
      <c r="G499" s="85"/>
    </row>
    <row r="500" ht="15.75" customHeight="1">
      <c r="A500" s="85"/>
      <c r="B500" s="85"/>
      <c r="C500" s="85"/>
      <c r="D500" s="85"/>
      <c r="E500" s="85"/>
      <c r="F500" s="85"/>
      <c r="G500" s="85"/>
    </row>
    <row r="501" ht="15.75" customHeight="1">
      <c r="A501" s="85"/>
      <c r="B501" s="85"/>
      <c r="C501" s="85"/>
      <c r="D501" s="85"/>
      <c r="E501" s="85"/>
      <c r="F501" s="85"/>
      <c r="G501" s="85"/>
    </row>
    <row r="502" ht="15.75" customHeight="1">
      <c r="A502" s="85"/>
      <c r="B502" s="85"/>
      <c r="C502" s="85"/>
      <c r="D502" s="85"/>
      <c r="E502" s="85"/>
      <c r="F502" s="85"/>
      <c r="G502" s="85"/>
    </row>
    <row r="503" ht="15.75" customHeight="1">
      <c r="A503" s="85"/>
      <c r="B503" s="85"/>
      <c r="C503" s="85"/>
      <c r="D503" s="85"/>
      <c r="E503" s="85"/>
      <c r="F503" s="85"/>
      <c r="G503" s="85"/>
    </row>
    <row r="504" ht="15.75" customHeight="1">
      <c r="A504" s="85"/>
      <c r="B504" s="85"/>
      <c r="C504" s="85"/>
      <c r="D504" s="85"/>
      <c r="E504" s="85"/>
      <c r="F504" s="85"/>
      <c r="G504" s="85"/>
    </row>
    <row r="505" ht="15.75" customHeight="1">
      <c r="A505" s="85"/>
      <c r="B505" s="85"/>
      <c r="C505" s="85"/>
      <c r="D505" s="85"/>
      <c r="E505" s="85"/>
      <c r="F505" s="85"/>
      <c r="G505" s="85"/>
    </row>
    <row r="506" ht="15.75" customHeight="1">
      <c r="A506" s="85"/>
      <c r="B506" s="85"/>
      <c r="C506" s="85"/>
      <c r="D506" s="85"/>
      <c r="E506" s="85"/>
      <c r="F506" s="85"/>
      <c r="G506" s="85"/>
    </row>
    <row r="507" ht="15.75" customHeight="1">
      <c r="A507" s="85"/>
      <c r="B507" s="85"/>
      <c r="C507" s="85"/>
      <c r="D507" s="85"/>
      <c r="E507" s="85"/>
      <c r="F507" s="85"/>
      <c r="G507" s="85"/>
    </row>
    <row r="508" ht="15.75" customHeight="1">
      <c r="A508" s="85"/>
      <c r="B508" s="85"/>
      <c r="C508" s="85"/>
      <c r="D508" s="85"/>
      <c r="E508" s="85"/>
      <c r="F508" s="85"/>
      <c r="G508" s="85"/>
    </row>
    <row r="509" ht="15.75" customHeight="1">
      <c r="A509" s="85"/>
      <c r="B509" s="85"/>
      <c r="C509" s="85"/>
      <c r="D509" s="85"/>
      <c r="E509" s="85"/>
      <c r="F509" s="85"/>
      <c r="G509" s="85"/>
    </row>
    <row r="510" ht="15.75" customHeight="1">
      <c r="A510" s="85"/>
      <c r="B510" s="85"/>
      <c r="C510" s="85"/>
      <c r="D510" s="85"/>
      <c r="E510" s="85"/>
      <c r="F510" s="85"/>
      <c r="G510" s="85"/>
    </row>
    <row r="511" ht="15.75" customHeight="1">
      <c r="A511" s="85"/>
      <c r="B511" s="85"/>
      <c r="C511" s="85"/>
      <c r="D511" s="85"/>
      <c r="E511" s="85"/>
      <c r="F511" s="85"/>
      <c r="G511" s="85"/>
    </row>
    <row r="512" ht="15.75" customHeight="1">
      <c r="A512" s="85"/>
      <c r="B512" s="85"/>
      <c r="C512" s="85"/>
      <c r="D512" s="85"/>
      <c r="E512" s="85"/>
      <c r="F512" s="85"/>
      <c r="G512" s="85"/>
    </row>
    <row r="513" ht="15.75" customHeight="1">
      <c r="A513" s="85"/>
      <c r="B513" s="85"/>
      <c r="C513" s="85"/>
      <c r="D513" s="85"/>
      <c r="E513" s="85"/>
      <c r="F513" s="85"/>
      <c r="G513" s="85"/>
    </row>
    <row r="514" ht="15.75" customHeight="1">
      <c r="A514" s="85"/>
      <c r="B514" s="85"/>
      <c r="C514" s="85"/>
      <c r="D514" s="85"/>
      <c r="E514" s="85"/>
      <c r="F514" s="85"/>
      <c r="G514" s="85"/>
    </row>
    <row r="515" ht="15.75" customHeight="1">
      <c r="A515" s="85"/>
      <c r="B515" s="85"/>
      <c r="C515" s="85"/>
      <c r="D515" s="85"/>
      <c r="E515" s="85"/>
      <c r="F515" s="85"/>
      <c r="G515" s="85"/>
    </row>
    <row r="516" ht="15.75" customHeight="1">
      <c r="A516" s="85"/>
      <c r="B516" s="85"/>
      <c r="C516" s="85"/>
      <c r="D516" s="85"/>
      <c r="E516" s="85"/>
      <c r="F516" s="85"/>
      <c r="G516" s="85"/>
    </row>
    <row r="517" ht="15.75" customHeight="1">
      <c r="A517" s="85"/>
      <c r="B517" s="85"/>
      <c r="C517" s="85"/>
      <c r="D517" s="85"/>
      <c r="E517" s="85"/>
      <c r="F517" s="85"/>
      <c r="G517" s="85"/>
    </row>
    <row r="518" ht="15.75" customHeight="1">
      <c r="A518" s="85"/>
      <c r="B518" s="85"/>
      <c r="C518" s="85"/>
      <c r="D518" s="85"/>
      <c r="E518" s="85"/>
      <c r="F518" s="85"/>
      <c r="G518" s="85"/>
    </row>
    <row r="519" ht="15.75" customHeight="1">
      <c r="A519" s="85"/>
      <c r="B519" s="85"/>
      <c r="C519" s="85"/>
      <c r="D519" s="85"/>
      <c r="E519" s="85"/>
      <c r="F519" s="85"/>
      <c r="G519" s="85"/>
    </row>
    <row r="520" ht="15.75" customHeight="1">
      <c r="A520" s="85"/>
      <c r="B520" s="85"/>
      <c r="C520" s="85"/>
      <c r="D520" s="85"/>
      <c r="E520" s="85"/>
      <c r="F520" s="85"/>
      <c r="G520" s="85"/>
    </row>
    <row r="521" ht="15.75" customHeight="1">
      <c r="A521" s="85"/>
      <c r="B521" s="85"/>
      <c r="C521" s="85"/>
      <c r="D521" s="85"/>
      <c r="E521" s="85"/>
      <c r="F521" s="85"/>
      <c r="G521" s="85"/>
    </row>
    <row r="522" ht="15.75" customHeight="1">
      <c r="A522" s="85"/>
      <c r="B522" s="85"/>
      <c r="C522" s="85"/>
      <c r="D522" s="85"/>
      <c r="E522" s="85"/>
      <c r="F522" s="85"/>
      <c r="G522" s="85"/>
    </row>
    <row r="523" ht="15.75" customHeight="1">
      <c r="A523" s="85"/>
      <c r="B523" s="85"/>
      <c r="C523" s="85"/>
      <c r="D523" s="85"/>
      <c r="E523" s="85"/>
      <c r="F523" s="85"/>
      <c r="G523" s="85"/>
    </row>
    <row r="524" ht="15.75" customHeight="1">
      <c r="A524" s="85"/>
      <c r="B524" s="85"/>
      <c r="C524" s="85"/>
      <c r="D524" s="85"/>
      <c r="E524" s="85"/>
      <c r="F524" s="85"/>
      <c r="G524" s="85"/>
    </row>
    <row r="525" ht="15.75" customHeight="1">
      <c r="A525" s="85"/>
      <c r="B525" s="85"/>
      <c r="C525" s="85"/>
      <c r="D525" s="85"/>
      <c r="E525" s="85"/>
      <c r="F525" s="85"/>
      <c r="G525" s="85"/>
    </row>
    <row r="526" ht="15.75" customHeight="1">
      <c r="A526" s="85"/>
      <c r="B526" s="85"/>
      <c r="C526" s="85"/>
      <c r="D526" s="85"/>
      <c r="E526" s="85"/>
      <c r="F526" s="85"/>
      <c r="G526" s="85"/>
    </row>
    <row r="527" ht="15.75" customHeight="1">
      <c r="A527" s="85"/>
      <c r="B527" s="85"/>
      <c r="C527" s="85"/>
      <c r="D527" s="85"/>
      <c r="E527" s="85"/>
      <c r="F527" s="85"/>
      <c r="G527" s="85"/>
    </row>
    <row r="528" ht="15.75" customHeight="1">
      <c r="A528" s="85"/>
      <c r="B528" s="85"/>
      <c r="C528" s="85"/>
      <c r="D528" s="85"/>
      <c r="E528" s="85"/>
      <c r="F528" s="85"/>
      <c r="G528" s="85"/>
    </row>
    <row r="529" ht="15.75" customHeight="1">
      <c r="A529" s="85"/>
      <c r="B529" s="85"/>
      <c r="C529" s="85"/>
      <c r="D529" s="85"/>
      <c r="E529" s="85"/>
      <c r="F529" s="85"/>
      <c r="G529" s="85"/>
    </row>
    <row r="530" ht="15.75" customHeight="1">
      <c r="A530" s="85"/>
      <c r="B530" s="85"/>
      <c r="C530" s="85"/>
      <c r="D530" s="85"/>
      <c r="E530" s="85"/>
      <c r="F530" s="85"/>
      <c r="G530" s="85"/>
    </row>
    <row r="531" ht="15.75" customHeight="1">
      <c r="A531" s="85"/>
      <c r="B531" s="85"/>
      <c r="C531" s="85"/>
      <c r="D531" s="85"/>
      <c r="E531" s="85"/>
      <c r="F531" s="85"/>
      <c r="G531" s="85"/>
    </row>
    <row r="532" ht="15.75" customHeight="1">
      <c r="A532" s="85"/>
      <c r="B532" s="85"/>
      <c r="C532" s="85"/>
      <c r="D532" s="85"/>
      <c r="E532" s="85"/>
      <c r="F532" s="85"/>
      <c r="G532" s="85"/>
    </row>
    <row r="533" ht="15.75" customHeight="1">
      <c r="A533" s="85"/>
      <c r="B533" s="85"/>
      <c r="C533" s="85"/>
      <c r="D533" s="85"/>
      <c r="E533" s="85"/>
      <c r="F533" s="85"/>
      <c r="G533" s="85"/>
    </row>
    <row r="534" ht="15.75" customHeight="1">
      <c r="A534" s="85"/>
      <c r="B534" s="85"/>
      <c r="C534" s="85"/>
      <c r="D534" s="85"/>
      <c r="E534" s="85"/>
      <c r="F534" s="85"/>
      <c r="G534" s="85"/>
    </row>
    <row r="535" ht="15.75" customHeight="1">
      <c r="A535" s="85"/>
      <c r="B535" s="85"/>
      <c r="C535" s="85"/>
      <c r="D535" s="85"/>
      <c r="E535" s="85"/>
      <c r="F535" s="85"/>
      <c r="G535" s="85"/>
    </row>
    <row r="536" ht="15.75" customHeight="1">
      <c r="A536" s="85"/>
      <c r="B536" s="85"/>
      <c r="C536" s="85"/>
      <c r="D536" s="85"/>
      <c r="E536" s="85"/>
      <c r="F536" s="85"/>
      <c r="G536" s="85"/>
    </row>
    <row r="537" ht="15.75" customHeight="1">
      <c r="A537" s="85"/>
      <c r="B537" s="85"/>
      <c r="C537" s="85"/>
      <c r="D537" s="85"/>
      <c r="E537" s="85"/>
      <c r="F537" s="85"/>
      <c r="G537" s="85"/>
    </row>
    <row r="538" ht="15.75" customHeight="1">
      <c r="A538" s="85"/>
      <c r="B538" s="85"/>
      <c r="C538" s="85"/>
      <c r="D538" s="85"/>
      <c r="E538" s="85"/>
      <c r="F538" s="85"/>
      <c r="G538" s="85"/>
    </row>
    <row r="539" ht="15.75" customHeight="1">
      <c r="A539" s="85"/>
      <c r="B539" s="85"/>
      <c r="C539" s="85"/>
      <c r="D539" s="85"/>
      <c r="E539" s="85"/>
      <c r="F539" s="85"/>
      <c r="G539" s="85"/>
    </row>
    <row r="540" ht="15.75" customHeight="1">
      <c r="A540" s="85"/>
      <c r="B540" s="85"/>
      <c r="C540" s="85"/>
      <c r="D540" s="85"/>
      <c r="E540" s="85"/>
      <c r="F540" s="85"/>
      <c r="G540" s="85"/>
    </row>
    <row r="541" ht="15.75" customHeight="1">
      <c r="A541" s="85"/>
      <c r="B541" s="85"/>
      <c r="C541" s="85"/>
      <c r="D541" s="85"/>
      <c r="E541" s="85"/>
      <c r="F541" s="85"/>
      <c r="G541" s="85"/>
    </row>
    <row r="542" ht="15.75" customHeight="1">
      <c r="A542" s="85"/>
      <c r="B542" s="85"/>
      <c r="C542" s="85"/>
      <c r="D542" s="85"/>
      <c r="E542" s="85"/>
      <c r="F542" s="85"/>
      <c r="G542" s="85"/>
    </row>
    <row r="543" ht="15.75" customHeight="1">
      <c r="A543" s="85"/>
      <c r="B543" s="85"/>
      <c r="C543" s="85"/>
      <c r="D543" s="85"/>
      <c r="E543" s="85"/>
      <c r="F543" s="85"/>
      <c r="G543" s="85"/>
    </row>
    <row r="544" ht="15.75" customHeight="1">
      <c r="A544" s="85"/>
      <c r="B544" s="85"/>
      <c r="C544" s="85"/>
      <c r="D544" s="85"/>
      <c r="E544" s="85"/>
      <c r="F544" s="85"/>
      <c r="G544" s="85"/>
    </row>
    <row r="545" ht="15.75" customHeight="1">
      <c r="A545" s="85"/>
      <c r="B545" s="85"/>
      <c r="C545" s="85"/>
      <c r="D545" s="85"/>
      <c r="E545" s="85"/>
      <c r="F545" s="85"/>
      <c r="G545" s="85"/>
    </row>
    <row r="546" ht="15.75" customHeight="1">
      <c r="A546" s="85"/>
      <c r="B546" s="85"/>
      <c r="C546" s="85"/>
      <c r="D546" s="85"/>
      <c r="E546" s="85"/>
      <c r="F546" s="85"/>
      <c r="G546" s="85"/>
    </row>
    <row r="547" ht="15.75" customHeight="1">
      <c r="A547" s="85"/>
      <c r="B547" s="85"/>
      <c r="C547" s="85"/>
      <c r="D547" s="85"/>
      <c r="E547" s="85"/>
      <c r="F547" s="85"/>
      <c r="G547" s="85"/>
    </row>
    <row r="548" ht="15.75" customHeight="1">
      <c r="A548" s="85"/>
      <c r="B548" s="85"/>
      <c r="C548" s="85"/>
      <c r="D548" s="85"/>
      <c r="E548" s="85"/>
      <c r="F548" s="85"/>
      <c r="G548" s="85"/>
    </row>
    <row r="549" ht="15.75" customHeight="1">
      <c r="A549" s="85"/>
      <c r="B549" s="85"/>
      <c r="C549" s="85"/>
      <c r="D549" s="85"/>
      <c r="E549" s="85"/>
      <c r="F549" s="85"/>
      <c r="G549" s="85"/>
    </row>
    <row r="550" ht="15.75" customHeight="1">
      <c r="A550" s="85"/>
      <c r="B550" s="85"/>
      <c r="C550" s="85"/>
      <c r="D550" s="85"/>
      <c r="E550" s="85"/>
      <c r="F550" s="85"/>
      <c r="G550" s="85"/>
    </row>
    <row r="551" ht="15.75" customHeight="1">
      <c r="A551" s="85"/>
      <c r="B551" s="85"/>
      <c r="C551" s="85"/>
      <c r="D551" s="85"/>
      <c r="E551" s="85"/>
      <c r="F551" s="85"/>
      <c r="G551" s="85"/>
    </row>
    <row r="552" ht="15.75" customHeight="1">
      <c r="A552" s="85"/>
      <c r="B552" s="85"/>
      <c r="C552" s="85"/>
      <c r="D552" s="85"/>
      <c r="E552" s="85"/>
      <c r="F552" s="85"/>
      <c r="G552" s="85"/>
    </row>
    <row r="553" ht="15.75" customHeight="1">
      <c r="A553" s="85"/>
      <c r="B553" s="85"/>
      <c r="C553" s="85"/>
      <c r="D553" s="85"/>
      <c r="E553" s="85"/>
      <c r="F553" s="85"/>
      <c r="G553" s="85"/>
    </row>
    <row r="554" ht="15.75" customHeight="1">
      <c r="A554" s="85"/>
      <c r="B554" s="85"/>
      <c r="C554" s="85"/>
      <c r="D554" s="85"/>
      <c r="E554" s="85"/>
      <c r="F554" s="85"/>
      <c r="G554" s="85"/>
    </row>
    <row r="555" ht="15.75" customHeight="1">
      <c r="A555" s="85"/>
      <c r="B555" s="85"/>
      <c r="C555" s="85"/>
      <c r="D555" s="85"/>
      <c r="E555" s="85"/>
      <c r="F555" s="85"/>
      <c r="G555" s="85"/>
    </row>
    <row r="556" ht="15.75" customHeight="1">
      <c r="A556" s="85"/>
      <c r="B556" s="85"/>
      <c r="C556" s="85"/>
      <c r="D556" s="85"/>
      <c r="E556" s="85"/>
      <c r="F556" s="85"/>
      <c r="G556" s="85"/>
    </row>
    <row r="557" ht="15.75" customHeight="1">
      <c r="A557" s="85"/>
      <c r="B557" s="85"/>
      <c r="C557" s="85"/>
      <c r="D557" s="85"/>
      <c r="E557" s="85"/>
      <c r="F557" s="85"/>
      <c r="G557" s="85"/>
    </row>
    <row r="558" ht="15.75" customHeight="1">
      <c r="A558" s="85"/>
      <c r="B558" s="85"/>
      <c r="C558" s="85"/>
      <c r="D558" s="85"/>
      <c r="E558" s="85"/>
      <c r="F558" s="85"/>
      <c r="G558" s="85"/>
    </row>
    <row r="559" ht="15.75" customHeight="1">
      <c r="A559" s="85"/>
      <c r="B559" s="85"/>
      <c r="C559" s="85"/>
      <c r="D559" s="85"/>
      <c r="E559" s="85"/>
      <c r="F559" s="85"/>
      <c r="G559" s="85"/>
    </row>
    <row r="560" ht="15.75" customHeight="1">
      <c r="A560" s="85"/>
      <c r="B560" s="85"/>
      <c r="C560" s="85"/>
      <c r="D560" s="85"/>
      <c r="E560" s="85"/>
      <c r="F560" s="85"/>
      <c r="G560" s="85"/>
    </row>
    <row r="561" ht="15.75" customHeight="1">
      <c r="A561" s="85"/>
      <c r="B561" s="85"/>
      <c r="C561" s="85"/>
      <c r="D561" s="85"/>
      <c r="E561" s="85"/>
      <c r="F561" s="85"/>
      <c r="G561" s="85"/>
    </row>
    <row r="562" ht="15.75" customHeight="1">
      <c r="A562" s="85"/>
      <c r="B562" s="85"/>
      <c r="C562" s="85"/>
      <c r="D562" s="85"/>
      <c r="E562" s="85"/>
      <c r="F562" s="85"/>
      <c r="G562" s="85"/>
    </row>
    <row r="563" ht="15.75" customHeight="1">
      <c r="A563" s="85"/>
      <c r="B563" s="85"/>
      <c r="C563" s="85"/>
      <c r="D563" s="85"/>
      <c r="E563" s="85"/>
      <c r="F563" s="85"/>
      <c r="G563" s="85"/>
    </row>
    <row r="564" ht="15.75" customHeight="1">
      <c r="A564" s="85"/>
      <c r="B564" s="85"/>
      <c r="C564" s="85"/>
      <c r="D564" s="85"/>
      <c r="E564" s="85"/>
      <c r="F564" s="85"/>
      <c r="G564" s="85"/>
    </row>
    <row r="565" ht="15.75" customHeight="1">
      <c r="A565" s="85"/>
      <c r="B565" s="85"/>
      <c r="C565" s="85"/>
      <c r="D565" s="85"/>
      <c r="E565" s="85"/>
      <c r="F565" s="85"/>
      <c r="G565" s="85"/>
    </row>
    <row r="566" ht="15.75" customHeight="1">
      <c r="A566" s="85"/>
      <c r="B566" s="85"/>
      <c r="C566" s="85"/>
      <c r="D566" s="85"/>
      <c r="E566" s="85"/>
      <c r="F566" s="85"/>
      <c r="G566" s="85"/>
    </row>
    <row r="567" ht="15.75" customHeight="1">
      <c r="A567" s="85"/>
      <c r="B567" s="85"/>
      <c r="C567" s="85"/>
      <c r="D567" s="85"/>
      <c r="E567" s="85"/>
      <c r="F567" s="85"/>
      <c r="G567" s="85"/>
    </row>
    <row r="568" ht="15.75" customHeight="1">
      <c r="A568" s="85"/>
      <c r="B568" s="85"/>
      <c r="C568" s="85"/>
      <c r="D568" s="85"/>
      <c r="E568" s="85"/>
      <c r="F568" s="85"/>
      <c r="G568" s="85"/>
    </row>
    <row r="569" ht="15.75" customHeight="1">
      <c r="A569" s="85"/>
      <c r="B569" s="85"/>
      <c r="C569" s="85"/>
      <c r="D569" s="85"/>
      <c r="E569" s="85"/>
      <c r="F569" s="85"/>
      <c r="G569" s="85"/>
    </row>
    <row r="570" ht="15.75" customHeight="1">
      <c r="A570" s="85"/>
      <c r="B570" s="85"/>
      <c r="C570" s="85"/>
      <c r="D570" s="85"/>
      <c r="E570" s="85"/>
      <c r="F570" s="85"/>
      <c r="G570" s="85"/>
    </row>
    <row r="571" ht="15.75" customHeight="1">
      <c r="A571" s="85"/>
      <c r="B571" s="85"/>
      <c r="C571" s="85"/>
      <c r="D571" s="85"/>
      <c r="E571" s="85"/>
      <c r="F571" s="85"/>
      <c r="G571" s="85"/>
    </row>
    <row r="572" ht="15.75" customHeight="1">
      <c r="A572" s="85"/>
      <c r="B572" s="85"/>
      <c r="C572" s="85"/>
      <c r="D572" s="85"/>
      <c r="E572" s="85"/>
      <c r="F572" s="85"/>
      <c r="G572" s="85"/>
    </row>
    <row r="573" ht="15.75" customHeight="1">
      <c r="A573" s="85"/>
      <c r="B573" s="85"/>
      <c r="C573" s="85"/>
      <c r="D573" s="85"/>
      <c r="E573" s="85"/>
      <c r="F573" s="85"/>
      <c r="G573" s="85"/>
    </row>
    <row r="574" ht="15.75" customHeight="1">
      <c r="A574" s="85"/>
      <c r="B574" s="85"/>
      <c r="C574" s="85"/>
      <c r="D574" s="85"/>
      <c r="E574" s="85"/>
      <c r="F574" s="85"/>
      <c r="G574" s="85"/>
    </row>
    <row r="575" ht="15.75" customHeight="1">
      <c r="A575" s="85"/>
      <c r="B575" s="85"/>
      <c r="C575" s="85"/>
      <c r="D575" s="85"/>
      <c r="E575" s="85"/>
      <c r="F575" s="85"/>
      <c r="G575" s="85"/>
    </row>
    <row r="576" ht="15.75" customHeight="1">
      <c r="A576" s="85"/>
      <c r="B576" s="85"/>
      <c r="C576" s="85"/>
      <c r="D576" s="85"/>
      <c r="E576" s="85"/>
      <c r="F576" s="85"/>
      <c r="G576" s="85"/>
    </row>
    <row r="577" ht="15.75" customHeight="1">
      <c r="A577" s="85"/>
      <c r="B577" s="85"/>
      <c r="C577" s="85"/>
      <c r="D577" s="85"/>
      <c r="E577" s="85"/>
      <c r="F577" s="85"/>
      <c r="G577" s="85"/>
    </row>
    <row r="578" ht="15.75" customHeight="1">
      <c r="A578" s="85"/>
      <c r="B578" s="85"/>
      <c r="C578" s="85"/>
      <c r="D578" s="85"/>
      <c r="E578" s="85"/>
      <c r="F578" s="85"/>
      <c r="G578" s="85"/>
    </row>
    <row r="579" ht="15.75" customHeight="1">
      <c r="A579" s="85"/>
      <c r="B579" s="85"/>
      <c r="C579" s="85"/>
      <c r="D579" s="85"/>
      <c r="E579" s="85"/>
      <c r="F579" s="85"/>
      <c r="G579" s="85"/>
    </row>
    <row r="580" ht="15.75" customHeight="1">
      <c r="A580" s="85"/>
      <c r="B580" s="85"/>
      <c r="C580" s="85"/>
      <c r="D580" s="85"/>
      <c r="E580" s="85"/>
      <c r="F580" s="85"/>
      <c r="G580" s="85"/>
    </row>
    <row r="581" ht="15.75" customHeight="1">
      <c r="A581" s="85"/>
      <c r="B581" s="85"/>
      <c r="C581" s="85"/>
      <c r="D581" s="85"/>
      <c r="E581" s="85"/>
      <c r="F581" s="85"/>
      <c r="G581" s="85"/>
    </row>
    <row r="582" ht="15.75" customHeight="1">
      <c r="A582" s="85"/>
      <c r="B582" s="85"/>
      <c r="C582" s="85"/>
      <c r="D582" s="85"/>
      <c r="E582" s="85"/>
      <c r="F582" s="85"/>
      <c r="G582" s="85"/>
    </row>
    <row r="583" ht="15.75" customHeight="1">
      <c r="A583" s="85"/>
      <c r="B583" s="85"/>
      <c r="C583" s="85"/>
      <c r="D583" s="85"/>
      <c r="E583" s="85"/>
      <c r="F583" s="85"/>
      <c r="G583" s="85"/>
    </row>
    <row r="584" ht="15.75" customHeight="1">
      <c r="A584" s="85"/>
      <c r="B584" s="85"/>
      <c r="C584" s="85"/>
      <c r="D584" s="85"/>
      <c r="E584" s="85"/>
      <c r="F584" s="85"/>
      <c r="G584" s="85"/>
    </row>
    <row r="585" ht="15.75" customHeight="1">
      <c r="A585" s="85"/>
      <c r="B585" s="85"/>
      <c r="C585" s="85"/>
      <c r="D585" s="85"/>
      <c r="E585" s="85"/>
      <c r="F585" s="85"/>
      <c r="G585" s="85"/>
    </row>
    <row r="586" ht="15.75" customHeight="1">
      <c r="A586" s="85"/>
      <c r="B586" s="85"/>
      <c r="C586" s="85"/>
      <c r="D586" s="85"/>
      <c r="E586" s="85"/>
      <c r="F586" s="85"/>
      <c r="G586" s="85"/>
    </row>
    <row r="587" ht="15.75" customHeight="1">
      <c r="A587" s="85"/>
      <c r="B587" s="85"/>
      <c r="C587" s="85"/>
      <c r="D587" s="85"/>
      <c r="E587" s="85"/>
      <c r="F587" s="85"/>
      <c r="G587" s="85"/>
    </row>
    <row r="588" ht="15.75" customHeight="1">
      <c r="A588" s="85"/>
      <c r="B588" s="85"/>
      <c r="C588" s="85"/>
      <c r="D588" s="85"/>
      <c r="E588" s="85"/>
      <c r="F588" s="85"/>
      <c r="G588" s="85"/>
    </row>
    <row r="589" ht="15.75" customHeight="1">
      <c r="A589" s="85"/>
      <c r="B589" s="85"/>
      <c r="C589" s="85"/>
      <c r="D589" s="85"/>
      <c r="E589" s="85"/>
      <c r="F589" s="85"/>
      <c r="G589" s="85"/>
    </row>
    <row r="590" ht="15.75" customHeight="1">
      <c r="A590" s="85"/>
      <c r="B590" s="85"/>
      <c r="C590" s="85"/>
      <c r="D590" s="85"/>
      <c r="E590" s="85"/>
      <c r="F590" s="85"/>
      <c r="G590" s="85"/>
    </row>
    <row r="591" ht="15.75" customHeight="1">
      <c r="A591" s="85"/>
      <c r="B591" s="85"/>
      <c r="C591" s="85"/>
      <c r="D591" s="85"/>
      <c r="E591" s="85"/>
      <c r="F591" s="85"/>
      <c r="G591" s="85"/>
    </row>
    <row r="592" ht="15.75" customHeight="1">
      <c r="A592" s="85"/>
      <c r="B592" s="85"/>
      <c r="C592" s="85"/>
      <c r="D592" s="85"/>
      <c r="E592" s="85"/>
      <c r="F592" s="85"/>
      <c r="G592" s="85"/>
    </row>
    <row r="593" ht="15.75" customHeight="1">
      <c r="A593" s="85"/>
      <c r="B593" s="85"/>
      <c r="C593" s="85"/>
      <c r="D593" s="85"/>
      <c r="E593" s="85"/>
      <c r="F593" s="85"/>
      <c r="G593" s="85"/>
    </row>
    <row r="594" ht="15.75" customHeight="1">
      <c r="A594" s="85"/>
      <c r="B594" s="85"/>
      <c r="C594" s="85"/>
      <c r="D594" s="85"/>
      <c r="E594" s="85"/>
      <c r="F594" s="85"/>
      <c r="G594" s="85"/>
    </row>
    <row r="595" ht="15.75" customHeight="1">
      <c r="A595" s="85"/>
      <c r="B595" s="85"/>
      <c r="C595" s="85"/>
      <c r="D595" s="85"/>
      <c r="E595" s="85"/>
      <c r="F595" s="85"/>
      <c r="G595" s="85"/>
    </row>
    <row r="596" ht="15.75" customHeight="1">
      <c r="A596" s="85"/>
      <c r="B596" s="85"/>
      <c r="C596" s="85"/>
      <c r="D596" s="85"/>
      <c r="E596" s="85"/>
      <c r="F596" s="85"/>
      <c r="G596" s="85"/>
    </row>
    <row r="597" ht="15.75" customHeight="1">
      <c r="A597" s="85"/>
      <c r="B597" s="85"/>
      <c r="C597" s="85"/>
      <c r="D597" s="85"/>
      <c r="E597" s="85"/>
      <c r="F597" s="85"/>
      <c r="G597" s="85"/>
    </row>
    <row r="598" ht="15.75" customHeight="1">
      <c r="A598" s="85"/>
      <c r="B598" s="85"/>
      <c r="C598" s="85"/>
      <c r="D598" s="85"/>
      <c r="E598" s="85"/>
      <c r="F598" s="85"/>
      <c r="G598" s="85"/>
    </row>
    <row r="599" ht="15.75" customHeight="1">
      <c r="A599" s="85"/>
      <c r="B599" s="85"/>
      <c r="C599" s="85"/>
      <c r="D599" s="85"/>
      <c r="E599" s="85"/>
      <c r="F599" s="85"/>
      <c r="G599" s="85"/>
    </row>
    <row r="600" ht="15.75" customHeight="1">
      <c r="A600" s="85"/>
      <c r="B600" s="85"/>
      <c r="C600" s="85"/>
      <c r="D600" s="85"/>
      <c r="E600" s="85"/>
      <c r="F600" s="85"/>
      <c r="G600" s="85"/>
    </row>
    <row r="601" ht="15.75" customHeight="1">
      <c r="A601" s="85"/>
      <c r="B601" s="85"/>
      <c r="C601" s="85"/>
      <c r="D601" s="85"/>
      <c r="E601" s="85"/>
      <c r="F601" s="85"/>
      <c r="G601" s="85"/>
    </row>
    <row r="602" ht="15.75" customHeight="1">
      <c r="A602" s="85"/>
      <c r="B602" s="85"/>
      <c r="C602" s="85"/>
      <c r="D602" s="85"/>
      <c r="E602" s="85"/>
      <c r="F602" s="85"/>
      <c r="G602" s="85"/>
    </row>
    <row r="603" ht="15.75" customHeight="1">
      <c r="A603" s="85"/>
      <c r="B603" s="85"/>
      <c r="C603" s="85"/>
      <c r="D603" s="85"/>
      <c r="E603" s="85"/>
      <c r="F603" s="85"/>
      <c r="G603" s="85"/>
    </row>
    <row r="604" ht="15.75" customHeight="1">
      <c r="A604" s="85"/>
      <c r="B604" s="85"/>
      <c r="C604" s="85"/>
      <c r="D604" s="85"/>
      <c r="E604" s="85"/>
      <c r="F604" s="85"/>
      <c r="G604" s="85"/>
    </row>
    <row r="605" ht="15.75" customHeight="1">
      <c r="A605" s="85"/>
      <c r="B605" s="85"/>
      <c r="C605" s="85"/>
      <c r="D605" s="85"/>
      <c r="E605" s="85"/>
      <c r="F605" s="85"/>
      <c r="G605" s="85"/>
    </row>
    <row r="606" ht="15.75" customHeight="1">
      <c r="A606" s="85"/>
      <c r="B606" s="85"/>
      <c r="C606" s="85"/>
      <c r="D606" s="85"/>
      <c r="E606" s="85"/>
      <c r="F606" s="85"/>
      <c r="G606" s="85"/>
    </row>
    <row r="607" ht="15.75" customHeight="1">
      <c r="A607" s="85"/>
      <c r="B607" s="85"/>
      <c r="C607" s="85"/>
      <c r="D607" s="85"/>
      <c r="E607" s="85"/>
      <c r="F607" s="85"/>
      <c r="G607" s="85"/>
    </row>
    <row r="608" ht="15.75" customHeight="1">
      <c r="A608" s="85"/>
      <c r="B608" s="85"/>
      <c r="C608" s="85"/>
      <c r="D608" s="85"/>
      <c r="E608" s="85"/>
      <c r="F608" s="85"/>
      <c r="G608" s="85"/>
    </row>
    <row r="609" ht="15.75" customHeight="1">
      <c r="A609" s="85"/>
      <c r="B609" s="85"/>
      <c r="C609" s="85"/>
      <c r="D609" s="85"/>
      <c r="E609" s="85"/>
      <c r="F609" s="85"/>
      <c r="G609" s="85"/>
    </row>
    <row r="610" ht="15.75" customHeight="1">
      <c r="A610" s="85"/>
      <c r="B610" s="85"/>
      <c r="C610" s="85"/>
      <c r="D610" s="85"/>
      <c r="E610" s="85"/>
      <c r="F610" s="85"/>
      <c r="G610" s="85"/>
    </row>
    <row r="611" ht="15.75" customHeight="1">
      <c r="A611" s="85"/>
      <c r="B611" s="85"/>
      <c r="C611" s="85"/>
      <c r="D611" s="85"/>
      <c r="E611" s="85"/>
      <c r="F611" s="85"/>
      <c r="G611" s="85"/>
    </row>
    <row r="612" ht="15.75" customHeight="1">
      <c r="A612" s="85"/>
      <c r="B612" s="85"/>
      <c r="C612" s="85"/>
      <c r="D612" s="85"/>
      <c r="E612" s="85"/>
      <c r="F612" s="85"/>
      <c r="G612" s="85"/>
    </row>
    <row r="613" ht="15.75" customHeight="1">
      <c r="A613" s="85"/>
      <c r="B613" s="85"/>
      <c r="C613" s="85"/>
      <c r="D613" s="85"/>
      <c r="E613" s="85"/>
      <c r="F613" s="85"/>
      <c r="G613" s="85"/>
    </row>
    <row r="614" ht="15.75" customHeight="1">
      <c r="A614" s="85"/>
      <c r="B614" s="85"/>
      <c r="C614" s="85"/>
      <c r="D614" s="85"/>
      <c r="E614" s="85"/>
      <c r="F614" s="85"/>
      <c r="G614" s="85"/>
    </row>
    <row r="615" ht="15.75" customHeight="1">
      <c r="A615" s="85"/>
      <c r="B615" s="85"/>
      <c r="C615" s="85"/>
      <c r="D615" s="85"/>
      <c r="E615" s="85"/>
      <c r="F615" s="85"/>
      <c r="G615" s="85"/>
    </row>
    <row r="616" ht="15.75" customHeight="1">
      <c r="A616" s="85"/>
      <c r="B616" s="85"/>
      <c r="C616" s="85"/>
      <c r="D616" s="85"/>
      <c r="E616" s="85"/>
      <c r="F616" s="85"/>
      <c r="G616" s="85"/>
    </row>
    <row r="617" ht="15.75" customHeight="1">
      <c r="A617" s="85"/>
      <c r="B617" s="85"/>
      <c r="C617" s="85"/>
      <c r="D617" s="85"/>
      <c r="E617" s="85"/>
      <c r="F617" s="85"/>
      <c r="G617" s="85"/>
    </row>
    <row r="618" ht="15.75" customHeight="1">
      <c r="A618" s="85"/>
      <c r="B618" s="85"/>
      <c r="C618" s="85"/>
      <c r="D618" s="85"/>
      <c r="E618" s="85"/>
      <c r="F618" s="85"/>
      <c r="G618" s="85"/>
    </row>
    <row r="619" ht="15.75" customHeight="1">
      <c r="A619" s="85"/>
      <c r="B619" s="85"/>
      <c r="C619" s="85"/>
      <c r="D619" s="85"/>
      <c r="E619" s="85"/>
      <c r="F619" s="85"/>
      <c r="G619" s="85"/>
    </row>
    <row r="620" ht="15.75" customHeight="1">
      <c r="A620" s="85"/>
      <c r="B620" s="85"/>
      <c r="C620" s="85"/>
      <c r="D620" s="85"/>
      <c r="E620" s="85"/>
      <c r="F620" s="85"/>
      <c r="G620" s="85"/>
    </row>
    <row r="621" ht="15.75" customHeight="1">
      <c r="A621" s="85"/>
      <c r="B621" s="85"/>
      <c r="C621" s="85"/>
      <c r="D621" s="85"/>
      <c r="E621" s="85"/>
      <c r="F621" s="85"/>
      <c r="G621" s="85"/>
    </row>
    <row r="622" ht="15.75" customHeight="1">
      <c r="A622" s="85"/>
      <c r="B622" s="85"/>
      <c r="C622" s="85"/>
      <c r="D622" s="85"/>
      <c r="E622" s="85"/>
      <c r="F622" s="85"/>
      <c r="G622" s="85"/>
    </row>
    <row r="623" ht="15.75" customHeight="1">
      <c r="A623" s="85"/>
      <c r="B623" s="85"/>
      <c r="C623" s="85"/>
      <c r="D623" s="85"/>
      <c r="E623" s="85"/>
      <c r="F623" s="85"/>
      <c r="G623" s="85"/>
    </row>
    <row r="624" ht="15.75" customHeight="1">
      <c r="A624" s="85"/>
      <c r="B624" s="85"/>
      <c r="C624" s="85"/>
      <c r="D624" s="85"/>
      <c r="E624" s="85"/>
      <c r="F624" s="85"/>
      <c r="G624" s="85"/>
    </row>
    <row r="625" ht="15.75" customHeight="1">
      <c r="A625" s="85"/>
      <c r="B625" s="85"/>
      <c r="C625" s="85"/>
      <c r="D625" s="85"/>
      <c r="E625" s="85"/>
      <c r="F625" s="85"/>
      <c r="G625" s="85"/>
    </row>
    <row r="626" ht="15.75" customHeight="1">
      <c r="A626" s="85"/>
      <c r="B626" s="85"/>
      <c r="C626" s="85"/>
      <c r="D626" s="85"/>
      <c r="E626" s="85"/>
      <c r="F626" s="85"/>
      <c r="G626" s="85"/>
    </row>
    <row r="627" ht="15.75" customHeight="1">
      <c r="A627" s="85"/>
      <c r="B627" s="85"/>
      <c r="C627" s="85"/>
      <c r="D627" s="85"/>
      <c r="E627" s="85"/>
      <c r="F627" s="85"/>
      <c r="G627" s="85"/>
    </row>
    <row r="628" ht="15.75" customHeight="1">
      <c r="A628" s="85"/>
      <c r="B628" s="85"/>
      <c r="C628" s="85"/>
      <c r="D628" s="85"/>
      <c r="E628" s="85"/>
      <c r="F628" s="85"/>
      <c r="G628" s="85"/>
    </row>
    <row r="629" ht="15.75" customHeight="1">
      <c r="A629" s="85"/>
      <c r="B629" s="85"/>
      <c r="C629" s="85"/>
      <c r="D629" s="85"/>
      <c r="E629" s="85"/>
      <c r="F629" s="85"/>
      <c r="G629" s="85"/>
    </row>
    <row r="630" ht="15.75" customHeight="1">
      <c r="A630" s="85"/>
      <c r="B630" s="85"/>
      <c r="C630" s="85"/>
      <c r="D630" s="85"/>
      <c r="E630" s="85"/>
      <c r="F630" s="85"/>
      <c r="G630" s="85"/>
    </row>
    <row r="631" ht="15.75" customHeight="1">
      <c r="A631" s="85"/>
      <c r="B631" s="85"/>
      <c r="C631" s="85"/>
      <c r="D631" s="85"/>
      <c r="E631" s="85"/>
      <c r="F631" s="85"/>
      <c r="G631" s="85"/>
    </row>
    <row r="632" ht="15.75" customHeight="1">
      <c r="A632" s="85"/>
      <c r="B632" s="85"/>
      <c r="C632" s="85"/>
      <c r="D632" s="85"/>
      <c r="E632" s="85"/>
      <c r="F632" s="85"/>
      <c r="G632" s="85"/>
    </row>
    <row r="633" ht="15.75" customHeight="1">
      <c r="A633" s="85"/>
      <c r="B633" s="85"/>
      <c r="C633" s="85"/>
      <c r="D633" s="85"/>
      <c r="E633" s="85"/>
      <c r="F633" s="85"/>
      <c r="G633" s="85"/>
    </row>
    <row r="634" ht="15.75" customHeight="1">
      <c r="A634" s="85"/>
      <c r="B634" s="85"/>
      <c r="C634" s="85"/>
      <c r="D634" s="85"/>
      <c r="E634" s="85"/>
      <c r="F634" s="85"/>
      <c r="G634" s="85"/>
    </row>
    <row r="635" ht="15.75" customHeight="1">
      <c r="A635" s="85"/>
      <c r="B635" s="85"/>
      <c r="C635" s="85"/>
      <c r="D635" s="85"/>
      <c r="E635" s="85"/>
      <c r="F635" s="85"/>
      <c r="G635" s="85"/>
    </row>
    <row r="636" ht="15.75" customHeight="1">
      <c r="A636" s="85"/>
      <c r="B636" s="85"/>
      <c r="C636" s="85"/>
      <c r="D636" s="85"/>
      <c r="E636" s="85"/>
      <c r="F636" s="85"/>
      <c r="G636" s="85"/>
    </row>
    <row r="637" ht="15.75" customHeight="1">
      <c r="A637" s="85"/>
      <c r="B637" s="85"/>
      <c r="C637" s="85"/>
      <c r="D637" s="85"/>
      <c r="E637" s="85"/>
      <c r="F637" s="85"/>
      <c r="G637" s="85"/>
    </row>
    <row r="638" ht="15.75" customHeight="1">
      <c r="A638" s="85"/>
      <c r="B638" s="85"/>
      <c r="C638" s="85"/>
      <c r="D638" s="85"/>
      <c r="E638" s="85"/>
      <c r="F638" s="85"/>
      <c r="G638" s="85"/>
    </row>
    <row r="639" ht="15.75" customHeight="1">
      <c r="A639" s="85"/>
      <c r="B639" s="85"/>
      <c r="C639" s="85"/>
      <c r="D639" s="85"/>
      <c r="E639" s="85"/>
      <c r="F639" s="85"/>
      <c r="G639" s="85"/>
    </row>
    <row r="640" ht="15.75" customHeight="1">
      <c r="A640" s="85"/>
      <c r="B640" s="85"/>
      <c r="C640" s="85"/>
      <c r="D640" s="85"/>
      <c r="E640" s="85"/>
      <c r="F640" s="85"/>
      <c r="G640" s="85"/>
    </row>
    <row r="641" ht="15.75" customHeight="1">
      <c r="A641" s="85"/>
      <c r="B641" s="85"/>
      <c r="C641" s="85"/>
      <c r="D641" s="85"/>
      <c r="E641" s="85"/>
      <c r="F641" s="85"/>
      <c r="G641" s="85"/>
    </row>
    <row r="642" ht="15.75" customHeight="1">
      <c r="A642" s="85"/>
      <c r="B642" s="85"/>
      <c r="C642" s="85"/>
      <c r="D642" s="85"/>
      <c r="E642" s="85"/>
      <c r="F642" s="85"/>
      <c r="G642" s="85"/>
    </row>
    <row r="643" ht="15.75" customHeight="1">
      <c r="A643" s="85"/>
      <c r="B643" s="85"/>
      <c r="C643" s="85"/>
      <c r="D643" s="85"/>
      <c r="E643" s="85"/>
      <c r="F643" s="85"/>
      <c r="G643" s="85"/>
    </row>
    <row r="644" ht="15.75" customHeight="1">
      <c r="A644" s="85"/>
      <c r="B644" s="85"/>
      <c r="C644" s="85"/>
      <c r="D644" s="85"/>
      <c r="E644" s="85"/>
      <c r="F644" s="85"/>
      <c r="G644" s="85"/>
    </row>
    <row r="645" ht="15.75" customHeight="1">
      <c r="A645" s="85"/>
      <c r="B645" s="85"/>
      <c r="C645" s="85"/>
      <c r="D645" s="85"/>
      <c r="E645" s="85"/>
      <c r="F645" s="85"/>
      <c r="G645" s="85"/>
    </row>
    <row r="646" ht="15.75" customHeight="1">
      <c r="A646" s="85"/>
      <c r="B646" s="85"/>
      <c r="C646" s="85"/>
      <c r="D646" s="85"/>
      <c r="E646" s="85"/>
      <c r="F646" s="85"/>
      <c r="G646" s="85"/>
    </row>
    <row r="647" ht="15.75" customHeight="1">
      <c r="A647" s="85"/>
      <c r="B647" s="85"/>
      <c r="C647" s="85"/>
      <c r="D647" s="85"/>
      <c r="E647" s="85"/>
      <c r="F647" s="85"/>
      <c r="G647" s="85"/>
    </row>
    <row r="648" ht="15.75" customHeight="1">
      <c r="A648" s="85"/>
      <c r="B648" s="85"/>
      <c r="C648" s="85"/>
      <c r="D648" s="85"/>
      <c r="E648" s="85"/>
      <c r="F648" s="85"/>
      <c r="G648" s="85"/>
    </row>
    <row r="649" ht="15.75" customHeight="1">
      <c r="A649" s="85"/>
      <c r="B649" s="85"/>
      <c r="C649" s="85"/>
      <c r="D649" s="85"/>
      <c r="E649" s="85"/>
      <c r="F649" s="85"/>
      <c r="G649" s="85"/>
    </row>
    <row r="650" ht="15.75" customHeight="1">
      <c r="A650" s="85"/>
      <c r="B650" s="85"/>
      <c r="C650" s="85"/>
      <c r="D650" s="85"/>
      <c r="E650" s="85"/>
      <c r="F650" s="85"/>
      <c r="G650" s="85"/>
    </row>
    <row r="651" ht="15.75" customHeight="1">
      <c r="A651" s="85"/>
      <c r="B651" s="85"/>
      <c r="C651" s="85"/>
      <c r="D651" s="85"/>
      <c r="E651" s="85"/>
      <c r="F651" s="85"/>
      <c r="G651" s="85"/>
    </row>
    <row r="652" ht="15.75" customHeight="1">
      <c r="A652" s="85"/>
      <c r="B652" s="85"/>
      <c r="C652" s="85"/>
      <c r="D652" s="85"/>
      <c r="E652" s="85"/>
      <c r="F652" s="85"/>
      <c r="G652" s="85"/>
    </row>
    <row r="653" ht="15.75" customHeight="1">
      <c r="A653" s="85"/>
      <c r="B653" s="85"/>
      <c r="C653" s="85"/>
      <c r="D653" s="85"/>
      <c r="E653" s="85"/>
      <c r="F653" s="85"/>
      <c r="G653" s="85"/>
    </row>
    <row r="654" ht="15.75" customHeight="1">
      <c r="A654" s="85"/>
      <c r="B654" s="85"/>
      <c r="C654" s="85"/>
      <c r="D654" s="85"/>
      <c r="E654" s="85"/>
      <c r="F654" s="85"/>
      <c r="G654" s="85"/>
    </row>
    <row r="655" ht="15.75" customHeight="1">
      <c r="A655" s="85"/>
      <c r="B655" s="85"/>
      <c r="C655" s="85"/>
      <c r="D655" s="85"/>
      <c r="E655" s="85"/>
      <c r="F655" s="85"/>
      <c r="G655" s="85"/>
    </row>
    <row r="656" ht="15.75" customHeight="1">
      <c r="A656" s="85"/>
      <c r="B656" s="85"/>
      <c r="C656" s="85"/>
      <c r="D656" s="85"/>
      <c r="E656" s="85"/>
      <c r="F656" s="85"/>
      <c r="G656" s="85"/>
    </row>
    <row r="657" ht="15.75" customHeight="1">
      <c r="A657" s="85"/>
      <c r="B657" s="85"/>
      <c r="C657" s="85"/>
      <c r="D657" s="85"/>
      <c r="E657" s="85"/>
      <c r="F657" s="85"/>
      <c r="G657" s="85"/>
    </row>
    <row r="658" ht="15.75" customHeight="1">
      <c r="A658" s="85"/>
      <c r="B658" s="85"/>
      <c r="C658" s="85"/>
      <c r="D658" s="85"/>
      <c r="E658" s="85"/>
      <c r="F658" s="85"/>
      <c r="G658" s="85"/>
    </row>
    <row r="659" ht="15.75" customHeight="1">
      <c r="A659" s="85"/>
      <c r="B659" s="85"/>
      <c r="C659" s="85"/>
      <c r="D659" s="85"/>
      <c r="E659" s="85"/>
      <c r="F659" s="85"/>
      <c r="G659" s="85"/>
    </row>
    <row r="660" ht="15.75" customHeight="1">
      <c r="A660" s="85"/>
      <c r="B660" s="85"/>
      <c r="C660" s="85"/>
      <c r="D660" s="85"/>
      <c r="E660" s="85"/>
      <c r="F660" s="85"/>
      <c r="G660" s="85"/>
    </row>
    <row r="661" ht="15.75" customHeight="1">
      <c r="A661" s="85"/>
      <c r="B661" s="85"/>
      <c r="C661" s="85"/>
      <c r="D661" s="85"/>
      <c r="E661" s="85"/>
      <c r="F661" s="85"/>
      <c r="G661" s="85"/>
    </row>
    <row r="662" ht="15.75" customHeight="1">
      <c r="A662" s="85"/>
      <c r="B662" s="85"/>
      <c r="C662" s="85"/>
      <c r="D662" s="85"/>
      <c r="E662" s="85"/>
      <c r="F662" s="85"/>
      <c r="G662" s="85"/>
    </row>
    <row r="663" ht="15.75" customHeight="1">
      <c r="A663" s="85"/>
      <c r="B663" s="85"/>
      <c r="C663" s="85"/>
      <c r="D663" s="85"/>
      <c r="E663" s="85"/>
      <c r="F663" s="85"/>
      <c r="G663" s="85"/>
    </row>
    <row r="664" ht="15.75" customHeight="1">
      <c r="A664" s="85"/>
      <c r="B664" s="85"/>
      <c r="C664" s="85"/>
      <c r="D664" s="85"/>
      <c r="E664" s="85"/>
      <c r="F664" s="85"/>
      <c r="G664" s="85"/>
    </row>
    <row r="665" ht="15.75" customHeight="1">
      <c r="A665" s="85"/>
      <c r="B665" s="85"/>
      <c r="C665" s="85"/>
      <c r="D665" s="85"/>
      <c r="E665" s="85"/>
      <c r="F665" s="85"/>
      <c r="G665" s="85"/>
    </row>
    <row r="666" ht="15.75" customHeight="1">
      <c r="A666" s="85"/>
      <c r="B666" s="85"/>
      <c r="C666" s="85"/>
      <c r="D666" s="85"/>
      <c r="E666" s="85"/>
      <c r="F666" s="85"/>
      <c r="G666" s="85"/>
    </row>
    <row r="667" ht="15.75" customHeight="1">
      <c r="A667" s="85"/>
      <c r="B667" s="85"/>
      <c r="C667" s="85"/>
      <c r="D667" s="85"/>
      <c r="E667" s="85"/>
      <c r="F667" s="85"/>
      <c r="G667" s="85"/>
    </row>
    <row r="668" ht="15.75" customHeight="1">
      <c r="A668" s="85"/>
      <c r="B668" s="85"/>
      <c r="C668" s="85"/>
      <c r="D668" s="85"/>
      <c r="E668" s="85"/>
      <c r="F668" s="85"/>
      <c r="G668" s="85"/>
    </row>
    <row r="669" ht="15.75" customHeight="1">
      <c r="A669" s="85"/>
      <c r="B669" s="85"/>
      <c r="C669" s="85"/>
      <c r="D669" s="85"/>
      <c r="E669" s="85"/>
      <c r="F669" s="85"/>
      <c r="G669" s="85"/>
    </row>
    <row r="670" ht="15.75" customHeight="1">
      <c r="A670" s="85"/>
      <c r="B670" s="85"/>
      <c r="C670" s="85"/>
      <c r="D670" s="85"/>
      <c r="E670" s="85"/>
      <c r="F670" s="85"/>
      <c r="G670" s="85"/>
    </row>
    <row r="671" ht="15.75" customHeight="1">
      <c r="A671" s="85"/>
      <c r="B671" s="85"/>
      <c r="C671" s="85"/>
      <c r="D671" s="85"/>
      <c r="E671" s="85"/>
      <c r="F671" s="85"/>
      <c r="G671" s="85"/>
    </row>
    <row r="672" ht="15.75" customHeight="1">
      <c r="A672" s="85"/>
      <c r="B672" s="85"/>
      <c r="C672" s="85"/>
      <c r="D672" s="85"/>
      <c r="E672" s="85"/>
      <c r="F672" s="85"/>
      <c r="G672" s="85"/>
    </row>
    <row r="673" ht="15.75" customHeight="1">
      <c r="A673" s="85"/>
      <c r="B673" s="85"/>
      <c r="C673" s="85"/>
      <c r="D673" s="85"/>
      <c r="E673" s="85"/>
      <c r="F673" s="85"/>
      <c r="G673" s="85"/>
    </row>
    <row r="674" ht="15.75" customHeight="1">
      <c r="A674" s="85"/>
      <c r="B674" s="85"/>
      <c r="C674" s="85"/>
      <c r="D674" s="85"/>
      <c r="E674" s="85"/>
      <c r="F674" s="85"/>
      <c r="G674" s="85"/>
    </row>
    <row r="675" ht="15.75" customHeight="1">
      <c r="A675" s="85"/>
      <c r="B675" s="85"/>
      <c r="C675" s="85"/>
      <c r="D675" s="85"/>
      <c r="E675" s="85"/>
      <c r="F675" s="85"/>
      <c r="G675" s="85"/>
    </row>
    <row r="676" ht="15.75" customHeight="1">
      <c r="A676" s="85"/>
      <c r="B676" s="85"/>
      <c r="C676" s="85"/>
      <c r="D676" s="85"/>
      <c r="E676" s="85"/>
      <c r="F676" s="85"/>
      <c r="G676" s="85"/>
    </row>
    <row r="677" ht="15.75" customHeight="1">
      <c r="A677" s="85"/>
      <c r="B677" s="85"/>
      <c r="C677" s="85"/>
      <c r="D677" s="85"/>
      <c r="E677" s="85"/>
      <c r="F677" s="85"/>
      <c r="G677" s="85"/>
    </row>
    <row r="678" ht="15.75" customHeight="1">
      <c r="A678" s="85"/>
      <c r="B678" s="85"/>
      <c r="C678" s="85"/>
      <c r="D678" s="85"/>
      <c r="E678" s="85"/>
      <c r="F678" s="85"/>
      <c r="G678" s="85"/>
    </row>
    <row r="679" ht="15.75" customHeight="1">
      <c r="A679" s="85"/>
      <c r="B679" s="85"/>
      <c r="C679" s="85"/>
      <c r="D679" s="85"/>
      <c r="E679" s="85"/>
      <c r="F679" s="85"/>
      <c r="G679" s="85"/>
    </row>
    <row r="680" ht="15.75" customHeight="1">
      <c r="A680" s="85"/>
      <c r="B680" s="85"/>
      <c r="C680" s="85"/>
      <c r="D680" s="85"/>
      <c r="E680" s="85"/>
      <c r="F680" s="85"/>
      <c r="G680" s="85"/>
    </row>
    <row r="681" ht="15.75" customHeight="1">
      <c r="A681" s="85"/>
      <c r="B681" s="85"/>
      <c r="C681" s="85"/>
      <c r="D681" s="85"/>
      <c r="E681" s="85"/>
      <c r="F681" s="85"/>
      <c r="G681" s="85"/>
    </row>
    <row r="682" ht="15.75" customHeight="1">
      <c r="A682" s="85"/>
      <c r="B682" s="85"/>
      <c r="C682" s="85"/>
      <c r="D682" s="85"/>
      <c r="E682" s="85"/>
      <c r="F682" s="85"/>
      <c r="G682" s="85"/>
    </row>
    <row r="683" ht="15.75" customHeight="1">
      <c r="A683" s="85"/>
      <c r="B683" s="85"/>
      <c r="C683" s="85"/>
      <c r="D683" s="85"/>
      <c r="E683" s="85"/>
      <c r="F683" s="85"/>
      <c r="G683" s="85"/>
    </row>
    <row r="684" ht="15.75" customHeight="1">
      <c r="A684" s="85"/>
      <c r="B684" s="85"/>
      <c r="C684" s="85"/>
      <c r="D684" s="85"/>
      <c r="E684" s="85"/>
      <c r="F684" s="85"/>
      <c r="G684" s="85"/>
    </row>
    <row r="685" ht="15.75" customHeight="1">
      <c r="A685" s="85"/>
      <c r="B685" s="85"/>
      <c r="C685" s="85"/>
      <c r="D685" s="85"/>
      <c r="E685" s="85"/>
      <c r="F685" s="85"/>
      <c r="G685" s="85"/>
    </row>
    <row r="686" ht="15.75" customHeight="1">
      <c r="A686" s="85"/>
      <c r="B686" s="85"/>
      <c r="C686" s="85"/>
      <c r="D686" s="85"/>
      <c r="E686" s="85"/>
      <c r="F686" s="85"/>
      <c r="G686" s="85"/>
    </row>
    <row r="687" ht="15.75" customHeight="1">
      <c r="A687" s="85"/>
      <c r="B687" s="85"/>
      <c r="C687" s="85"/>
      <c r="D687" s="85"/>
      <c r="E687" s="85"/>
      <c r="F687" s="85"/>
      <c r="G687" s="85"/>
    </row>
    <row r="688" ht="15.75" customHeight="1">
      <c r="A688" s="85"/>
      <c r="B688" s="85"/>
      <c r="C688" s="85"/>
      <c r="D688" s="85"/>
      <c r="E688" s="85"/>
      <c r="F688" s="85"/>
      <c r="G688" s="85"/>
    </row>
    <row r="689" ht="15.75" customHeight="1">
      <c r="A689" s="85"/>
      <c r="B689" s="85"/>
      <c r="C689" s="85"/>
      <c r="D689" s="85"/>
      <c r="E689" s="85"/>
      <c r="F689" s="85"/>
      <c r="G689" s="85"/>
    </row>
    <row r="690" ht="15.75" customHeight="1">
      <c r="A690" s="85"/>
      <c r="B690" s="85"/>
      <c r="C690" s="85"/>
      <c r="D690" s="85"/>
      <c r="E690" s="85"/>
      <c r="F690" s="85"/>
      <c r="G690" s="85"/>
    </row>
    <row r="691" ht="15.75" customHeight="1">
      <c r="A691" s="85"/>
      <c r="B691" s="85"/>
      <c r="C691" s="85"/>
      <c r="D691" s="85"/>
      <c r="E691" s="85"/>
      <c r="F691" s="85"/>
      <c r="G691" s="85"/>
    </row>
    <row r="692" ht="15.75" customHeight="1">
      <c r="A692" s="85"/>
      <c r="B692" s="85"/>
      <c r="C692" s="85"/>
      <c r="D692" s="85"/>
      <c r="E692" s="85"/>
      <c r="F692" s="85"/>
      <c r="G692" s="85"/>
    </row>
    <row r="693" ht="15.75" customHeight="1">
      <c r="A693" s="85"/>
      <c r="B693" s="85"/>
      <c r="C693" s="85"/>
      <c r="D693" s="85"/>
      <c r="E693" s="85"/>
      <c r="F693" s="85"/>
      <c r="G693" s="85"/>
    </row>
    <row r="694" ht="15.75" customHeight="1">
      <c r="A694" s="85"/>
      <c r="B694" s="85"/>
      <c r="C694" s="85"/>
      <c r="D694" s="85"/>
      <c r="E694" s="85"/>
      <c r="F694" s="85"/>
      <c r="G694" s="85"/>
    </row>
    <row r="695" ht="15.75" customHeight="1">
      <c r="A695" s="85"/>
      <c r="B695" s="85"/>
      <c r="C695" s="85"/>
      <c r="D695" s="85"/>
      <c r="E695" s="85"/>
      <c r="F695" s="85"/>
      <c r="G695" s="85"/>
    </row>
    <row r="696" ht="15.75" customHeight="1">
      <c r="A696" s="85"/>
      <c r="B696" s="85"/>
      <c r="C696" s="85"/>
      <c r="D696" s="85"/>
      <c r="E696" s="85"/>
      <c r="F696" s="85"/>
      <c r="G696" s="85"/>
    </row>
    <row r="697" ht="15.75" customHeight="1">
      <c r="A697" s="85"/>
      <c r="B697" s="85"/>
      <c r="C697" s="85"/>
      <c r="D697" s="85"/>
      <c r="E697" s="85"/>
      <c r="F697" s="85"/>
      <c r="G697" s="85"/>
    </row>
    <row r="698" ht="15.75" customHeight="1">
      <c r="A698" s="85"/>
      <c r="B698" s="85"/>
      <c r="C698" s="85"/>
      <c r="D698" s="85"/>
      <c r="E698" s="85"/>
      <c r="F698" s="85"/>
      <c r="G698" s="85"/>
    </row>
    <row r="699" ht="15.75" customHeight="1">
      <c r="A699" s="85"/>
      <c r="B699" s="85"/>
      <c r="C699" s="85"/>
      <c r="D699" s="85"/>
      <c r="E699" s="85"/>
      <c r="F699" s="85"/>
      <c r="G699" s="85"/>
    </row>
    <row r="700" ht="15.75" customHeight="1">
      <c r="A700" s="85"/>
      <c r="B700" s="85"/>
      <c r="C700" s="85"/>
      <c r="D700" s="85"/>
      <c r="E700" s="85"/>
      <c r="F700" s="85"/>
      <c r="G700" s="85"/>
    </row>
    <row r="701" ht="15.75" customHeight="1">
      <c r="A701" s="85"/>
      <c r="B701" s="85"/>
      <c r="C701" s="85"/>
      <c r="D701" s="85"/>
      <c r="E701" s="85"/>
      <c r="F701" s="85"/>
      <c r="G701" s="85"/>
    </row>
    <row r="702" ht="15.75" customHeight="1">
      <c r="A702" s="85"/>
      <c r="B702" s="85"/>
      <c r="C702" s="85"/>
      <c r="D702" s="85"/>
      <c r="E702" s="85"/>
      <c r="F702" s="85"/>
      <c r="G702" s="85"/>
    </row>
    <row r="703" ht="15.75" customHeight="1">
      <c r="A703" s="85"/>
      <c r="B703" s="85"/>
      <c r="C703" s="85"/>
      <c r="D703" s="85"/>
      <c r="E703" s="85"/>
      <c r="F703" s="85"/>
      <c r="G703" s="85"/>
    </row>
    <row r="704" ht="15.75" customHeight="1">
      <c r="A704" s="85"/>
      <c r="B704" s="85"/>
      <c r="C704" s="85"/>
      <c r="D704" s="85"/>
      <c r="E704" s="85"/>
      <c r="F704" s="85"/>
      <c r="G704" s="85"/>
    </row>
    <row r="705" ht="15.75" customHeight="1">
      <c r="A705" s="85"/>
      <c r="B705" s="85"/>
      <c r="C705" s="85"/>
      <c r="D705" s="85"/>
      <c r="E705" s="85"/>
      <c r="F705" s="85"/>
      <c r="G705" s="85"/>
    </row>
    <row r="706" ht="15.75" customHeight="1">
      <c r="A706" s="85"/>
      <c r="B706" s="85"/>
      <c r="C706" s="85"/>
      <c r="D706" s="85"/>
      <c r="E706" s="85"/>
      <c r="F706" s="85"/>
      <c r="G706" s="85"/>
    </row>
    <row r="707" ht="15.75" customHeight="1">
      <c r="A707" s="85"/>
      <c r="B707" s="85"/>
      <c r="C707" s="85"/>
      <c r="D707" s="85"/>
      <c r="E707" s="85"/>
      <c r="F707" s="85"/>
      <c r="G707" s="85"/>
    </row>
    <row r="708" ht="15.75" customHeight="1">
      <c r="A708" s="85"/>
      <c r="B708" s="85"/>
      <c r="C708" s="85"/>
      <c r="D708" s="85"/>
      <c r="E708" s="85"/>
      <c r="F708" s="85"/>
      <c r="G708" s="85"/>
    </row>
    <row r="709" ht="15.75" customHeight="1">
      <c r="A709" s="85"/>
      <c r="B709" s="85"/>
      <c r="C709" s="85"/>
      <c r="D709" s="85"/>
      <c r="E709" s="85"/>
      <c r="F709" s="85"/>
      <c r="G709" s="85"/>
    </row>
    <row r="710" ht="15.75" customHeight="1">
      <c r="A710" s="85"/>
      <c r="B710" s="85"/>
      <c r="C710" s="85"/>
      <c r="D710" s="85"/>
      <c r="E710" s="85"/>
      <c r="F710" s="85"/>
      <c r="G710" s="85"/>
    </row>
    <row r="711" ht="15.75" customHeight="1">
      <c r="A711" s="85"/>
      <c r="B711" s="85"/>
      <c r="C711" s="85"/>
      <c r="D711" s="85"/>
      <c r="E711" s="85"/>
      <c r="F711" s="85"/>
      <c r="G711" s="85"/>
    </row>
    <row r="712" ht="15.75" customHeight="1">
      <c r="A712" s="85"/>
      <c r="B712" s="85"/>
      <c r="C712" s="85"/>
      <c r="D712" s="85"/>
      <c r="E712" s="85"/>
      <c r="F712" s="85"/>
      <c r="G712" s="85"/>
    </row>
    <row r="713" ht="15.75" customHeight="1">
      <c r="A713" s="85"/>
      <c r="B713" s="85"/>
      <c r="C713" s="85"/>
      <c r="D713" s="85"/>
      <c r="E713" s="85"/>
      <c r="F713" s="85"/>
      <c r="G713" s="85"/>
    </row>
    <row r="714" ht="15.75" customHeight="1">
      <c r="A714" s="85"/>
      <c r="B714" s="85"/>
      <c r="C714" s="85"/>
      <c r="D714" s="85"/>
      <c r="E714" s="85"/>
      <c r="F714" s="85"/>
      <c r="G714" s="85"/>
    </row>
    <row r="715" ht="15.75" customHeight="1">
      <c r="A715" s="85"/>
      <c r="B715" s="85"/>
      <c r="C715" s="85"/>
      <c r="D715" s="85"/>
      <c r="E715" s="85"/>
      <c r="F715" s="85"/>
      <c r="G715" s="85"/>
    </row>
    <row r="716" ht="15.75" customHeight="1">
      <c r="A716" s="85"/>
      <c r="B716" s="85"/>
      <c r="C716" s="85"/>
      <c r="D716" s="85"/>
      <c r="E716" s="85"/>
      <c r="F716" s="85"/>
      <c r="G716" s="85"/>
    </row>
    <row r="717" ht="15.75" customHeight="1">
      <c r="A717" s="85"/>
      <c r="B717" s="85"/>
      <c r="C717" s="85"/>
      <c r="D717" s="85"/>
      <c r="E717" s="85"/>
      <c r="F717" s="85"/>
      <c r="G717" s="85"/>
    </row>
    <row r="718" ht="15.75" customHeight="1">
      <c r="A718" s="85"/>
      <c r="B718" s="85"/>
      <c r="C718" s="85"/>
      <c r="D718" s="85"/>
      <c r="E718" s="85"/>
      <c r="F718" s="85"/>
      <c r="G718" s="85"/>
    </row>
    <row r="719" ht="15.75" customHeight="1">
      <c r="A719" s="85"/>
      <c r="B719" s="85"/>
      <c r="C719" s="85"/>
      <c r="D719" s="85"/>
      <c r="E719" s="85"/>
      <c r="F719" s="85"/>
      <c r="G719" s="85"/>
    </row>
    <row r="720" ht="15.75" customHeight="1">
      <c r="A720" s="85"/>
      <c r="B720" s="85"/>
      <c r="C720" s="85"/>
      <c r="D720" s="85"/>
      <c r="E720" s="85"/>
      <c r="F720" s="85"/>
      <c r="G720" s="85"/>
    </row>
    <row r="721" ht="15.75" customHeight="1">
      <c r="A721" s="85"/>
      <c r="B721" s="85"/>
      <c r="C721" s="85"/>
      <c r="D721" s="85"/>
      <c r="E721" s="85"/>
      <c r="F721" s="85"/>
      <c r="G721" s="85"/>
    </row>
    <row r="722" ht="15.75" customHeight="1">
      <c r="A722" s="85"/>
      <c r="B722" s="85"/>
      <c r="C722" s="85"/>
      <c r="D722" s="85"/>
      <c r="E722" s="85"/>
      <c r="F722" s="85"/>
      <c r="G722" s="85"/>
    </row>
    <row r="723" ht="15.75" customHeight="1">
      <c r="A723" s="85"/>
      <c r="B723" s="85"/>
      <c r="C723" s="85"/>
      <c r="D723" s="85"/>
      <c r="E723" s="85"/>
      <c r="F723" s="85"/>
      <c r="G723" s="85"/>
    </row>
    <row r="724" ht="15.75" customHeight="1">
      <c r="A724" s="85"/>
      <c r="B724" s="85"/>
      <c r="C724" s="85"/>
      <c r="D724" s="85"/>
      <c r="E724" s="85"/>
      <c r="F724" s="85"/>
      <c r="G724" s="85"/>
    </row>
    <row r="725" ht="15.75" customHeight="1">
      <c r="A725" s="85"/>
      <c r="B725" s="85"/>
      <c r="C725" s="85"/>
      <c r="D725" s="85"/>
      <c r="E725" s="85"/>
      <c r="F725" s="85"/>
      <c r="G725" s="85"/>
    </row>
    <row r="726" ht="15.75" customHeight="1">
      <c r="A726" s="85"/>
      <c r="B726" s="85"/>
      <c r="C726" s="85"/>
      <c r="D726" s="85"/>
      <c r="E726" s="85"/>
      <c r="F726" s="85"/>
      <c r="G726" s="85"/>
    </row>
    <row r="727" ht="15.75" customHeight="1">
      <c r="A727" s="85"/>
      <c r="B727" s="85"/>
      <c r="C727" s="85"/>
      <c r="D727" s="85"/>
      <c r="E727" s="85"/>
      <c r="F727" s="85"/>
      <c r="G727" s="85"/>
    </row>
    <row r="728" ht="15.75" customHeight="1">
      <c r="A728" s="85"/>
      <c r="B728" s="85"/>
      <c r="C728" s="85"/>
      <c r="D728" s="85"/>
      <c r="E728" s="85"/>
      <c r="F728" s="85"/>
      <c r="G728" s="85"/>
    </row>
    <row r="729" ht="15.75" customHeight="1">
      <c r="A729" s="85"/>
      <c r="B729" s="85"/>
      <c r="C729" s="85"/>
      <c r="D729" s="85"/>
      <c r="E729" s="85"/>
      <c r="F729" s="85"/>
      <c r="G729" s="85"/>
    </row>
    <row r="730" ht="15.75" customHeight="1">
      <c r="A730" s="85"/>
      <c r="B730" s="85"/>
      <c r="C730" s="85"/>
      <c r="D730" s="85"/>
      <c r="E730" s="85"/>
      <c r="F730" s="85"/>
      <c r="G730" s="85"/>
    </row>
    <row r="731" ht="15.75" customHeight="1">
      <c r="A731" s="85"/>
      <c r="B731" s="85"/>
      <c r="C731" s="85"/>
      <c r="D731" s="85"/>
      <c r="E731" s="85"/>
      <c r="F731" s="85"/>
      <c r="G731" s="85"/>
    </row>
    <row r="732" ht="15.75" customHeight="1">
      <c r="A732" s="85"/>
      <c r="B732" s="85"/>
      <c r="C732" s="85"/>
      <c r="D732" s="85"/>
      <c r="E732" s="85"/>
      <c r="F732" s="85"/>
      <c r="G732" s="85"/>
    </row>
    <row r="733" ht="15.75" customHeight="1">
      <c r="A733" s="85"/>
      <c r="B733" s="85"/>
      <c r="C733" s="85"/>
      <c r="D733" s="85"/>
      <c r="E733" s="85"/>
      <c r="F733" s="85"/>
      <c r="G733" s="85"/>
    </row>
    <row r="734" ht="15.75" customHeight="1">
      <c r="A734" s="85"/>
      <c r="B734" s="85"/>
      <c r="C734" s="85"/>
      <c r="D734" s="85"/>
      <c r="E734" s="85"/>
      <c r="F734" s="85"/>
      <c r="G734" s="85"/>
    </row>
    <row r="735" ht="15.75" customHeight="1">
      <c r="A735" s="85"/>
      <c r="B735" s="85"/>
      <c r="C735" s="85"/>
      <c r="D735" s="85"/>
      <c r="E735" s="85"/>
      <c r="F735" s="85"/>
      <c r="G735" s="85"/>
    </row>
    <row r="736" ht="15.75" customHeight="1">
      <c r="A736" s="85"/>
      <c r="B736" s="85"/>
      <c r="C736" s="85"/>
      <c r="D736" s="85"/>
      <c r="E736" s="85"/>
      <c r="F736" s="85"/>
      <c r="G736" s="85"/>
    </row>
    <row r="737" ht="15.75" customHeight="1">
      <c r="A737" s="85"/>
      <c r="B737" s="85"/>
      <c r="C737" s="85"/>
      <c r="D737" s="85"/>
      <c r="E737" s="85"/>
      <c r="F737" s="85"/>
      <c r="G737" s="85"/>
    </row>
    <row r="738" ht="15.75" customHeight="1">
      <c r="A738" s="85"/>
      <c r="B738" s="85"/>
      <c r="C738" s="85"/>
      <c r="D738" s="85"/>
      <c r="E738" s="85"/>
      <c r="F738" s="85"/>
      <c r="G738" s="85"/>
    </row>
    <row r="739" ht="15.75" customHeight="1">
      <c r="A739" s="85"/>
      <c r="B739" s="85"/>
      <c r="C739" s="85"/>
      <c r="D739" s="85"/>
      <c r="E739" s="85"/>
      <c r="F739" s="85"/>
      <c r="G739" s="85"/>
    </row>
    <row r="740" ht="15.75" customHeight="1">
      <c r="A740" s="85"/>
      <c r="B740" s="85"/>
      <c r="C740" s="85"/>
      <c r="D740" s="85"/>
      <c r="E740" s="85"/>
      <c r="F740" s="85"/>
      <c r="G740" s="85"/>
    </row>
    <row r="741" ht="15.75" customHeight="1">
      <c r="A741" s="85"/>
      <c r="B741" s="85"/>
      <c r="C741" s="85"/>
      <c r="D741" s="85"/>
      <c r="E741" s="85"/>
      <c r="F741" s="85"/>
      <c r="G741" s="85"/>
    </row>
    <row r="742" ht="15.75" customHeight="1">
      <c r="A742" s="85"/>
      <c r="B742" s="85"/>
      <c r="C742" s="85"/>
      <c r="D742" s="85"/>
      <c r="E742" s="85"/>
      <c r="F742" s="85"/>
      <c r="G742" s="85"/>
    </row>
    <row r="743" ht="15.75" customHeight="1">
      <c r="A743" s="85"/>
      <c r="B743" s="85"/>
      <c r="C743" s="85"/>
      <c r="D743" s="85"/>
      <c r="E743" s="85"/>
      <c r="F743" s="85"/>
      <c r="G743" s="85"/>
    </row>
    <row r="744" ht="15.75" customHeight="1">
      <c r="A744" s="85"/>
      <c r="B744" s="85"/>
      <c r="C744" s="85"/>
      <c r="D744" s="85"/>
      <c r="E744" s="85"/>
      <c r="F744" s="85"/>
      <c r="G744" s="85"/>
    </row>
    <row r="745" ht="15.75" customHeight="1">
      <c r="A745" s="85"/>
      <c r="B745" s="85"/>
      <c r="C745" s="85"/>
      <c r="D745" s="85"/>
      <c r="E745" s="85"/>
      <c r="F745" s="85"/>
      <c r="G745" s="85"/>
    </row>
    <row r="746" ht="15.75" customHeight="1">
      <c r="A746" s="85"/>
      <c r="B746" s="85"/>
      <c r="C746" s="85"/>
      <c r="D746" s="85"/>
      <c r="E746" s="85"/>
      <c r="F746" s="85"/>
      <c r="G746" s="85"/>
    </row>
    <row r="747" ht="15.75" customHeight="1">
      <c r="A747" s="85"/>
      <c r="B747" s="85"/>
      <c r="C747" s="85"/>
      <c r="D747" s="85"/>
      <c r="E747" s="85"/>
      <c r="F747" s="85"/>
      <c r="G747" s="85"/>
    </row>
    <row r="748" ht="15.75" customHeight="1">
      <c r="A748" s="85"/>
      <c r="B748" s="85"/>
      <c r="C748" s="85"/>
      <c r="D748" s="85"/>
      <c r="E748" s="85"/>
      <c r="F748" s="85"/>
      <c r="G748" s="85"/>
    </row>
    <row r="749" ht="15.75" customHeight="1">
      <c r="A749" s="85"/>
      <c r="B749" s="85"/>
      <c r="C749" s="85"/>
      <c r="D749" s="85"/>
      <c r="E749" s="85"/>
      <c r="F749" s="85"/>
      <c r="G749" s="85"/>
    </row>
    <row r="750" ht="15.75" customHeight="1">
      <c r="A750" s="85"/>
      <c r="B750" s="85"/>
      <c r="C750" s="85"/>
      <c r="D750" s="85"/>
      <c r="E750" s="85"/>
      <c r="F750" s="85"/>
      <c r="G750" s="85"/>
    </row>
    <row r="751" ht="15.75" customHeight="1">
      <c r="A751" s="85"/>
      <c r="B751" s="85"/>
      <c r="C751" s="85"/>
      <c r="D751" s="85"/>
      <c r="E751" s="85"/>
      <c r="F751" s="85"/>
      <c r="G751" s="85"/>
    </row>
    <row r="752" ht="15.75" customHeight="1">
      <c r="A752" s="85"/>
      <c r="B752" s="85"/>
      <c r="C752" s="85"/>
      <c r="D752" s="85"/>
      <c r="E752" s="85"/>
      <c r="F752" s="85"/>
      <c r="G752" s="85"/>
    </row>
    <row r="753" ht="15.75" customHeight="1">
      <c r="A753" s="85"/>
      <c r="B753" s="85"/>
      <c r="C753" s="85"/>
      <c r="D753" s="85"/>
      <c r="E753" s="85"/>
      <c r="F753" s="85"/>
      <c r="G753" s="85"/>
    </row>
    <row r="754" ht="15.75" customHeight="1">
      <c r="A754" s="85"/>
      <c r="B754" s="85"/>
      <c r="C754" s="85"/>
      <c r="D754" s="85"/>
      <c r="E754" s="85"/>
      <c r="F754" s="85"/>
      <c r="G754" s="85"/>
    </row>
    <row r="755" ht="15.75" customHeight="1">
      <c r="A755" s="85"/>
      <c r="B755" s="85"/>
      <c r="C755" s="85"/>
      <c r="D755" s="85"/>
      <c r="E755" s="85"/>
      <c r="F755" s="85"/>
      <c r="G755" s="85"/>
    </row>
    <row r="756" ht="15.75" customHeight="1">
      <c r="A756" s="85"/>
      <c r="B756" s="85"/>
      <c r="C756" s="85"/>
      <c r="D756" s="85"/>
      <c r="E756" s="85"/>
      <c r="F756" s="85"/>
      <c r="G756" s="85"/>
    </row>
    <row r="757" ht="15.75" customHeight="1">
      <c r="A757" s="85"/>
      <c r="B757" s="85"/>
      <c r="C757" s="85"/>
      <c r="D757" s="85"/>
      <c r="E757" s="85"/>
      <c r="F757" s="85"/>
      <c r="G757" s="85"/>
    </row>
    <row r="758" ht="15.75" customHeight="1">
      <c r="A758" s="85"/>
      <c r="B758" s="85"/>
      <c r="C758" s="85"/>
      <c r="D758" s="85"/>
      <c r="E758" s="85"/>
      <c r="F758" s="85"/>
      <c r="G758" s="85"/>
    </row>
    <row r="759" ht="15.75" customHeight="1">
      <c r="A759" s="85"/>
      <c r="B759" s="85"/>
      <c r="C759" s="85"/>
      <c r="D759" s="85"/>
      <c r="E759" s="85"/>
      <c r="F759" s="85"/>
      <c r="G759" s="85"/>
    </row>
    <row r="760" ht="15.75" customHeight="1">
      <c r="A760" s="85"/>
      <c r="B760" s="85"/>
      <c r="C760" s="85"/>
      <c r="D760" s="85"/>
      <c r="E760" s="85"/>
      <c r="F760" s="85"/>
      <c r="G760" s="85"/>
    </row>
    <row r="761" ht="15.75" customHeight="1">
      <c r="A761" s="85"/>
      <c r="B761" s="85"/>
      <c r="C761" s="85"/>
      <c r="D761" s="85"/>
      <c r="E761" s="85"/>
      <c r="F761" s="85"/>
      <c r="G761" s="85"/>
    </row>
    <row r="762" ht="15.75" customHeight="1">
      <c r="A762" s="85"/>
      <c r="B762" s="85"/>
      <c r="C762" s="85"/>
      <c r="D762" s="85"/>
      <c r="E762" s="85"/>
      <c r="F762" s="85"/>
      <c r="G762" s="85"/>
    </row>
    <row r="763" ht="15.75" customHeight="1">
      <c r="A763" s="85"/>
      <c r="B763" s="85"/>
      <c r="C763" s="85"/>
      <c r="D763" s="85"/>
      <c r="E763" s="85"/>
      <c r="F763" s="85"/>
      <c r="G763" s="85"/>
    </row>
    <row r="764" ht="15.75" customHeight="1">
      <c r="A764" s="85"/>
      <c r="B764" s="85"/>
      <c r="C764" s="85"/>
      <c r="D764" s="85"/>
      <c r="E764" s="85"/>
      <c r="F764" s="85"/>
      <c r="G764" s="85"/>
    </row>
    <row r="765" ht="15.75" customHeight="1">
      <c r="A765" s="85"/>
      <c r="B765" s="85"/>
      <c r="C765" s="85"/>
      <c r="D765" s="85"/>
      <c r="E765" s="85"/>
      <c r="F765" s="85"/>
      <c r="G765" s="85"/>
    </row>
    <row r="766" ht="15.75" customHeight="1">
      <c r="A766" s="85"/>
      <c r="B766" s="85"/>
      <c r="C766" s="85"/>
      <c r="D766" s="85"/>
      <c r="E766" s="85"/>
      <c r="F766" s="85"/>
      <c r="G766" s="85"/>
    </row>
    <row r="767" ht="15.75" customHeight="1">
      <c r="A767" s="85"/>
      <c r="B767" s="85"/>
      <c r="C767" s="85"/>
      <c r="D767" s="85"/>
      <c r="E767" s="85"/>
      <c r="F767" s="85"/>
      <c r="G767" s="85"/>
    </row>
    <row r="768" ht="15.75" customHeight="1">
      <c r="A768" s="85"/>
      <c r="B768" s="85"/>
      <c r="C768" s="85"/>
      <c r="D768" s="85"/>
      <c r="E768" s="85"/>
      <c r="F768" s="85"/>
      <c r="G768" s="85"/>
    </row>
    <row r="769" ht="15.75" customHeight="1">
      <c r="A769" s="85"/>
      <c r="B769" s="85"/>
      <c r="C769" s="85"/>
      <c r="D769" s="85"/>
      <c r="E769" s="85"/>
      <c r="F769" s="85"/>
      <c r="G769" s="85"/>
    </row>
    <row r="770" ht="15.75" customHeight="1">
      <c r="A770" s="85"/>
      <c r="B770" s="85"/>
      <c r="C770" s="85"/>
      <c r="D770" s="85"/>
      <c r="E770" s="85"/>
      <c r="F770" s="85"/>
      <c r="G770" s="85"/>
    </row>
    <row r="771" ht="15.75" customHeight="1">
      <c r="A771" s="85"/>
      <c r="B771" s="85"/>
      <c r="C771" s="85"/>
      <c r="D771" s="85"/>
      <c r="E771" s="85"/>
      <c r="F771" s="85"/>
      <c r="G771" s="85"/>
    </row>
    <row r="772" ht="15.75" customHeight="1">
      <c r="A772" s="85"/>
      <c r="B772" s="85"/>
      <c r="C772" s="85"/>
      <c r="D772" s="85"/>
      <c r="E772" s="85"/>
      <c r="F772" s="85"/>
      <c r="G772" s="85"/>
    </row>
    <row r="773" ht="15.75" customHeight="1">
      <c r="A773" s="85"/>
      <c r="B773" s="85"/>
      <c r="C773" s="85"/>
      <c r="D773" s="85"/>
      <c r="E773" s="85"/>
      <c r="F773" s="85"/>
      <c r="G773" s="85"/>
    </row>
    <row r="774" ht="15.75" customHeight="1">
      <c r="A774" s="85"/>
      <c r="B774" s="85"/>
      <c r="C774" s="85"/>
      <c r="D774" s="85"/>
      <c r="E774" s="85"/>
      <c r="F774" s="85"/>
      <c r="G774" s="85"/>
    </row>
    <row r="775" ht="15.75" customHeight="1">
      <c r="A775" s="85"/>
      <c r="B775" s="85"/>
      <c r="C775" s="85"/>
      <c r="D775" s="85"/>
      <c r="E775" s="85"/>
      <c r="F775" s="85"/>
      <c r="G775" s="85"/>
    </row>
    <row r="776" ht="15.75" customHeight="1">
      <c r="A776" s="85"/>
      <c r="B776" s="85"/>
      <c r="C776" s="85"/>
      <c r="D776" s="85"/>
      <c r="E776" s="85"/>
      <c r="F776" s="85"/>
      <c r="G776" s="85"/>
    </row>
    <row r="777" ht="15.75" customHeight="1">
      <c r="A777" s="85"/>
      <c r="B777" s="85"/>
      <c r="C777" s="85"/>
      <c r="D777" s="85"/>
      <c r="E777" s="85"/>
      <c r="F777" s="85"/>
      <c r="G777" s="85"/>
    </row>
    <row r="778" ht="15.75" customHeight="1">
      <c r="A778" s="85"/>
      <c r="B778" s="85"/>
      <c r="C778" s="85"/>
      <c r="D778" s="85"/>
      <c r="E778" s="85"/>
      <c r="F778" s="85"/>
      <c r="G778" s="85"/>
    </row>
    <row r="779" ht="15.75" customHeight="1">
      <c r="A779" s="85"/>
      <c r="B779" s="85"/>
      <c r="C779" s="85"/>
      <c r="D779" s="85"/>
      <c r="E779" s="85"/>
      <c r="F779" s="85"/>
      <c r="G779" s="85"/>
    </row>
    <row r="780" ht="15.75" customHeight="1">
      <c r="A780" s="85"/>
      <c r="B780" s="85"/>
      <c r="C780" s="85"/>
      <c r="D780" s="85"/>
      <c r="E780" s="85"/>
      <c r="F780" s="85"/>
      <c r="G780" s="85"/>
    </row>
    <row r="781" ht="15.75" customHeight="1">
      <c r="A781" s="85"/>
      <c r="B781" s="85"/>
      <c r="C781" s="85"/>
      <c r="D781" s="85"/>
      <c r="E781" s="85"/>
      <c r="F781" s="85"/>
      <c r="G781" s="85"/>
    </row>
    <row r="782" ht="15.75" customHeight="1">
      <c r="A782" s="85"/>
      <c r="B782" s="85"/>
      <c r="C782" s="85"/>
      <c r="D782" s="85"/>
      <c r="E782" s="85"/>
      <c r="F782" s="85"/>
      <c r="G782" s="85"/>
    </row>
    <row r="783" ht="15.75" customHeight="1">
      <c r="A783" s="85"/>
      <c r="B783" s="85"/>
      <c r="C783" s="85"/>
      <c r="D783" s="85"/>
      <c r="E783" s="85"/>
      <c r="F783" s="85"/>
      <c r="G783" s="85"/>
    </row>
    <row r="784" ht="15.75" customHeight="1">
      <c r="A784" s="85"/>
      <c r="B784" s="85"/>
      <c r="C784" s="85"/>
      <c r="D784" s="85"/>
      <c r="E784" s="85"/>
      <c r="F784" s="85"/>
      <c r="G784" s="85"/>
    </row>
    <row r="785" ht="15.75" customHeight="1">
      <c r="A785" s="85"/>
      <c r="B785" s="85"/>
      <c r="C785" s="85"/>
      <c r="D785" s="85"/>
      <c r="E785" s="85"/>
      <c r="F785" s="85"/>
      <c r="G785" s="85"/>
    </row>
    <row r="786" ht="15.75" customHeight="1">
      <c r="A786" s="85"/>
      <c r="B786" s="85"/>
      <c r="C786" s="85"/>
      <c r="D786" s="85"/>
      <c r="E786" s="85"/>
      <c r="F786" s="85"/>
      <c r="G786" s="85"/>
    </row>
    <row r="787" ht="15.75" customHeight="1">
      <c r="A787" s="85"/>
      <c r="B787" s="85"/>
      <c r="C787" s="85"/>
      <c r="D787" s="85"/>
      <c r="E787" s="85"/>
      <c r="F787" s="85"/>
      <c r="G787" s="85"/>
    </row>
    <row r="788" ht="15.75" customHeight="1">
      <c r="A788" s="85"/>
      <c r="B788" s="85"/>
      <c r="C788" s="85"/>
      <c r="D788" s="85"/>
      <c r="E788" s="85"/>
      <c r="F788" s="85"/>
      <c r="G788" s="85"/>
    </row>
    <row r="789" ht="15.75" customHeight="1">
      <c r="A789" s="85"/>
      <c r="B789" s="85"/>
      <c r="C789" s="85"/>
      <c r="D789" s="85"/>
      <c r="E789" s="85"/>
      <c r="F789" s="85"/>
      <c r="G789" s="85"/>
    </row>
    <row r="790" ht="15.75" customHeight="1">
      <c r="A790" s="85"/>
      <c r="B790" s="85"/>
      <c r="C790" s="85"/>
      <c r="D790" s="85"/>
      <c r="E790" s="85"/>
      <c r="F790" s="85"/>
      <c r="G790" s="85"/>
    </row>
    <row r="791" ht="15.75" customHeight="1">
      <c r="A791" s="85"/>
      <c r="B791" s="85"/>
      <c r="C791" s="85"/>
      <c r="D791" s="85"/>
      <c r="E791" s="85"/>
      <c r="F791" s="85"/>
      <c r="G791" s="85"/>
    </row>
    <row r="792" ht="15.75" customHeight="1">
      <c r="A792" s="85"/>
      <c r="B792" s="85"/>
      <c r="C792" s="85"/>
      <c r="D792" s="85"/>
      <c r="E792" s="85"/>
      <c r="F792" s="85"/>
      <c r="G792" s="85"/>
    </row>
    <row r="793" ht="15.75" customHeight="1">
      <c r="A793" s="85"/>
      <c r="B793" s="85"/>
      <c r="C793" s="85"/>
      <c r="D793" s="85"/>
      <c r="E793" s="85"/>
      <c r="F793" s="85"/>
      <c r="G793" s="85"/>
    </row>
    <row r="794" ht="15.75" customHeight="1">
      <c r="A794" s="85"/>
      <c r="B794" s="85"/>
      <c r="C794" s="85"/>
      <c r="D794" s="85"/>
      <c r="E794" s="85"/>
      <c r="F794" s="85"/>
      <c r="G794" s="85"/>
    </row>
    <row r="795" ht="15.75" customHeight="1">
      <c r="A795" s="85"/>
      <c r="B795" s="85"/>
      <c r="C795" s="85"/>
      <c r="D795" s="85"/>
      <c r="E795" s="85"/>
      <c r="F795" s="85"/>
      <c r="G795" s="85"/>
    </row>
    <row r="796" ht="15.75" customHeight="1">
      <c r="A796" s="85"/>
      <c r="B796" s="85"/>
      <c r="C796" s="85"/>
      <c r="D796" s="85"/>
      <c r="E796" s="85"/>
      <c r="F796" s="85"/>
      <c r="G796" s="85"/>
    </row>
    <row r="797" ht="15.75" customHeight="1">
      <c r="A797" s="85"/>
      <c r="B797" s="85"/>
      <c r="C797" s="85"/>
      <c r="D797" s="85"/>
      <c r="E797" s="85"/>
      <c r="F797" s="85"/>
      <c r="G797" s="85"/>
    </row>
    <row r="798" ht="15.75" customHeight="1">
      <c r="A798" s="85"/>
      <c r="B798" s="85"/>
      <c r="C798" s="85"/>
      <c r="D798" s="85"/>
      <c r="E798" s="85"/>
      <c r="F798" s="85"/>
      <c r="G798" s="85"/>
    </row>
    <row r="799" ht="15.75" customHeight="1">
      <c r="A799" s="85"/>
      <c r="B799" s="85"/>
      <c r="C799" s="85"/>
      <c r="D799" s="85"/>
      <c r="E799" s="85"/>
      <c r="F799" s="85"/>
      <c r="G799" s="85"/>
    </row>
    <row r="800" ht="15.75" customHeight="1">
      <c r="A800" s="85"/>
      <c r="B800" s="85"/>
      <c r="C800" s="85"/>
      <c r="D800" s="85"/>
      <c r="E800" s="85"/>
      <c r="F800" s="85"/>
      <c r="G800" s="85"/>
    </row>
    <row r="801" ht="15.75" customHeight="1">
      <c r="A801" s="85"/>
      <c r="B801" s="85"/>
      <c r="C801" s="85"/>
      <c r="D801" s="85"/>
      <c r="E801" s="85"/>
      <c r="F801" s="85"/>
      <c r="G801" s="85"/>
    </row>
    <row r="802" ht="15.75" customHeight="1">
      <c r="A802" s="85"/>
      <c r="B802" s="85"/>
      <c r="C802" s="85"/>
      <c r="D802" s="85"/>
      <c r="E802" s="85"/>
      <c r="F802" s="85"/>
      <c r="G802" s="85"/>
    </row>
    <row r="803" ht="15.75" customHeight="1">
      <c r="A803" s="85"/>
      <c r="B803" s="85"/>
      <c r="C803" s="85"/>
      <c r="D803" s="85"/>
      <c r="E803" s="85"/>
      <c r="F803" s="85"/>
      <c r="G803" s="85"/>
    </row>
    <row r="804" ht="15.75" customHeight="1">
      <c r="A804" s="85"/>
      <c r="B804" s="85"/>
      <c r="C804" s="85"/>
      <c r="D804" s="85"/>
      <c r="E804" s="85"/>
      <c r="F804" s="85"/>
      <c r="G804" s="85"/>
    </row>
    <row r="805" ht="15.75" customHeight="1">
      <c r="A805" s="85"/>
      <c r="B805" s="85"/>
      <c r="C805" s="85"/>
      <c r="D805" s="85"/>
      <c r="E805" s="85"/>
      <c r="F805" s="85"/>
      <c r="G805" s="85"/>
    </row>
    <row r="806" ht="15.75" customHeight="1">
      <c r="A806" s="85"/>
      <c r="B806" s="85"/>
      <c r="C806" s="85"/>
      <c r="D806" s="85"/>
      <c r="E806" s="85"/>
      <c r="F806" s="85"/>
      <c r="G806" s="85"/>
    </row>
    <row r="807" ht="15.75" customHeight="1">
      <c r="A807" s="85"/>
      <c r="B807" s="85"/>
      <c r="C807" s="85"/>
      <c r="D807" s="85"/>
      <c r="E807" s="85"/>
      <c r="F807" s="85"/>
      <c r="G807" s="85"/>
    </row>
    <row r="808" ht="15.75" customHeight="1">
      <c r="A808" s="85"/>
      <c r="B808" s="85"/>
      <c r="C808" s="85"/>
      <c r="D808" s="85"/>
      <c r="E808" s="85"/>
      <c r="F808" s="85"/>
      <c r="G808" s="85"/>
    </row>
    <row r="809" ht="15.75" customHeight="1">
      <c r="A809" s="85"/>
      <c r="B809" s="85"/>
      <c r="C809" s="85"/>
      <c r="D809" s="85"/>
      <c r="E809" s="85"/>
      <c r="F809" s="85"/>
      <c r="G809" s="85"/>
    </row>
    <row r="810" ht="15.75" customHeight="1">
      <c r="A810" s="85"/>
      <c r="B810" s="85"/>
      <c r="C810" s="85"/>
      <c r="D810" s="85"/>
      <c r="E810" s="85"/>
      <c r="F810" s="85"/>
      <c r="G810" s="85"/>
    </row>
    <row r="811" ht="15.75" customHeight="1">
      <c r="A811" s="85"/>
      <c r="B811" s="85"/>
      <c r="C811" s="85"/>
      <c r="D811" s="85"/>
      <c r="E811" s="85"/>
      <c r="F811" s="85"/>
      <c r="G811" s="85"/>
    </row>
    <row r="812" ht="15.75" customHeight="1">
      <c r="A812" s="85"/>
      <c r="B812" s="85"/>
      <c r="C812" s="85"/>
      <c r="D812" s="85"/>
      <c r="E812" s="85"/>
      <c r="F812" s="85"/>
      <c r="G812" s="85"/>
    </row>
    <row r="813" ht="15.75" customHeight="1">
      <c r="A813" s="85"/>
      <c r="B813" s="85"/>
      <c r="C813" s="85"/>
      <c r="D813" s="85"/>
      <c r="E813" s="85"/>
      <c r="F813" s="85"/>
      <c r="G813" s="85"/>
    </row>
    <row r="814" ht="15.75" customHeight="1">
      <c r="A814" s="85"/>
      <c r="B814" s="85"/>
      <c r="C814" s="85"/>
      <c r="D814" s="85"/>
      <c r="E814" s="85"/>
      <c r="F814" s="85"/>
      <c r="G814" s="85"/>
    </row>
    <row r="815" ht="15.75" customHeight="1">
      <c r="A815" s="85"/>
      <c r="B815" s="85"/>
      <c r="C815" s="85"/>
      <c r="D815" s="85"/>
      <c r="E815" s="85"/>
      <c r="F815" s="85"/>
      <c r="G815" s="85"/>
    </row>
    <row r="816" ht="15.75" customHeight="1">
      <c r="A816" s="85"/>
      <c r="B816" s="85"/>
      <c r="C816" s="85"/>
      <c r="D816" s="85"/>
      <c r="E816" s="85"/>
      <c r="F816" s="85"/>
      <c r="G816" s="85"/>
    </row>
    <row r="817" ht="15.75" customHeight="1">
      <c r="A817" s="85"/>
      <c r="B817" s="85"/>
      <c r="C817" s="85"/>
      <c r="D817" s="85"/>
      <c r="E817" s="85"/>
      <c r="F817" s="85"/>
      <c r="G817" s="85"/>
    </row>
    <row r="818" ht="15.75" customHeight="1">
      <c r="A818" s="85"/>
      <c r="B818" s="85"/>
      <c r="C818" s="85"/>
      <c r="D818" s="85"/>
      <c r="E818" s="85"/>
      <c r="F818" s="85"/>
      <c r="G818" s="85"/>
    </row>
    <row r="819" ht="15.75" customHeight="1">
      <c r="A819" s="85"/>
      <c r="B819" s="85"/>
      <c r="C819" s="85"/>
      <c r="D819" s="85"/>
      <c r="E819" s="85"/>
      <c r="F819" s="85"/>
      <c r="G819" s="85"/>
    </row>
    <row r="820" ht="15.75" customHeight="1">
      <c r="A820" s="85"/>
      <c r="B820" s="85"/>
      <c r="C820" s="85"/>
      <c r="D820" s="85"/>
      <c r="E820" s="85"/>
      <c r="F820" s="85"/>
      <c r="G820" s="85"/>
    </row>
    <row r="821" ht="15.75" customHeight="1">
      <c r="A821" s="85"/>
      <c r="B821" s="85"/>
      <c r="C821" s="85"/>
      <c r="D821" s="85"/>
      <c r="E821" s="85"/>
      <c r="F821" s="85"/>
      <c r="G821" s="85"/>
    </row>
    <row r="822" ht="15.75" customHeight="1">
      <c r="A822" s="85"/>
      <c r="B822" s="85"/>
      <c r="C822" s="85"/>
      <c r="D822" s="85"/>
      <c r="E822" s="85"/>
      <c r="F822" s="85"/>
      <c r="G822" s="85"/>
    </row>
    <row r="823" ht="15.75" customHeight="1">
      <c r="A823" s="85"/>
      <c r="B823" s="85"/>
      <c r="C823" s="85"/>
      <c r="D823" s="85"/>
      <c r="E823" s="85"/>
      <c r="F823" s="85"/>
      <c r="G823" s="85"/>
    </row>
    <row r="824" ht="15.75" customHeight="1">
      <c r="A824" s="85"/>
      <c r="B824" s="85"/>
      <c r="C824" s="85"/>
      <c r="D824" s="85"/>
      <c r="E824" s="85"/>
      <c r="F824" s="85"/>
      <c r="G824" s="85"/>
    </row>
    <row r="825" ht="15.75" customHeight="1">
      <c r="A825" s="85"/>
      <c r="B825" s="85"/>
      <c r="C825" s="85"/>
      <c r="D825" s="85"/>
      <c r="E825" s="85"/>
      <c r="F825" s="85"/>
      <c r="G825" s="85"/>
    </row>
    <row r="826" ht="15.75" customHeight="1">
      <c r="A826" s="85"/>
      <c r="B826" s="85"/>
      <c r="C826" s="85"/>
      <c r="D826" s="85"/>
      <c r="E826" s="85"/>
      <c r="F826" s="85"/>
      <c r="G826" s="85"/>
    </row>
    <row r="827" ht="15.75" customHeight="1">
      <c r="A827" s="85"/>
      <c r="B827" s="85"/>
      <c r="C827" s="85"/>
      <c r="D827" s="85"/>
      <c r="E827" s="85"/>
      <c r="F827" s="85"/>
      <c r="G827" s="85"/>
    </row>
    <row r="828" ht="15.75" customHeight="1">
      <c r="A828" s="85"/>
      <c r="B828" s="85"/>
      <c r="C828" s="85"/>
      <c r="D828" s="85"/>
      <c r="E828" s="85"/>
      <c r="F828" s="85"/>
      <c r="G828" s="85"/>
    </row>
    <row r="829" ht="15.75" customHeight="1">
      <c r="A829" s="85"/>
      <c r="B829" s="85"/>
      <c r="C829" s="85"/>
      <c r="D829" s="85"/>
      <c r="E829" s="85"/>
      <c r="F829" s="85"/>
      <c r="G829" s="85"/>
    </row>
    <row r="830" ht="15.75" customHeight="1">
      <c r="A830" s="85"/>
      <c r="B830" s="85"/>
      <c r="C830" s="85"/>
      <c r="D830" s="85"/>
      <c r="E830" s="85"/>
      <c r="F830" s="85"/>
      <c r="G830" s="85"/>
    </row>
    <row r="831" ht="15.75" customHeight="1">
      <c r="A831" s="85"/>
      <c r="B831" s="85"/>
      <c r="C831" s="85"/>
      <c r="D831" s="85"/>
      <c r="E831" s="85"/>
      <c r="F831" s="85"/>
      <c r="G831" s="85"/>
    </row>
    <row r="832" ht="15.75" customHeight="1">
      <c r="A832" s="85"/>
      <c r="B832" s="85"/>
      <c r="C832" s="85"/>
      <c r="D832" s="85"/>
      <c r="E832" s="85"/>
      <c r="F832" s="85"/>
      <c r="G832" s="85"/>
    </row>
    <row r="833" ht="15.75" customHeight="1">
      <c r="A833" s="85"/>
      <c r="B833" s="85"/>
      <c r="C833" s="85"/>
      <c r="D833" s="85"/>
      <c r="E833" s="85"/>
      <c r="F833" s="85"/>
      <c r="G833" s="85"/>
    </row>
    <row r="834" ht="15.75" customHeight="1">
      <c r="A834" s="85"/>
      <c r="B834" s="85"/>
      <c r="C834" s="85"/>
      <c r="D834" s="85"/>
      <c r="E834" s="85"/>
      <c r="F834" s="85"/>
      <c r="G834" s="85"/>
    </row>
    <row r="835" ht="15.75" customHeight="1">
      <c r="A835" s="85"/>
      <c r="B835" s="85"/>
      <c r="C835" s="85"/>
      <c r="D835" s="85"/>
      <c r="E835" s="85"/>
      <c r="F835" s="85"/>
      <c r="G835" s="85"/>
    </row>
    <row r="836" ht="15.75" customHeight="1">
      <c r="A836" s="85"/>
      <c r="B836" s="85"/>
      <c r="C836" s="85"/>
      <c r="D836" s="85"/>
      <c r="E836" s="85"/>
      <c r="F836" s="85"/>
      <c r="G836" s="85"/>
    </row>
    <row r="837" ht="15.75" customHeight="1">
      <c r="A837" s="85"/>
      <c r="B837" s="85"/>
      <c r="C837" s="85"/>
      <c r="D837" s="85"/>
      <c r="E837" s="85"/>
      <c r="F837" s="85"/>
      <c r="G837" s="85"/>
    </row>
    <row r="838" ht="15.75" customHeight="1">
      <c r="A838" s="85"/>
      <c r="B838" s="85"/>
      <c r="C838" s="85"/>
      <c r="D838" s="85"/>
      <c r="E838" s="85"/>
      <c r="F838" s="85"/>
      <c r="G838" s="85"/>
    </row>
    <row r="839" ht="15.75" customHeight="1">
      <c r="A839" s="85"/>
      <c r="B839" s="85"/>
      <c r="C839" s="85"/>
      <c r="D839" s="85"/>
      <c r="E839" s="85"/>
      <c r="F839" s="85"/>
      <c r="G839" s="85"/>
    </row>
    <row r="840" ht="15.75" customHeight="1">
      <c r="A840" s="85"/>
      <c r="B840" s="85"/>
      <c r="C840" s="85"/>
      <c r="D840" s="85"/>
      <c r="E840" s="85"/>
      <c r="F840" s="85"/>
      <c r="G840" s="85"/>
    </row>
    <row r="841" ht="15.75" customHeight="1">
      <c r="A841" s="85"/>
      <c r="B841" s="85"/>
      <c r="C841" s="85"/>
      <c r="D841" s="85"/>
      <c r="E841" s="85"/>
      <c r="F841" s="85"/>
      <c r="G841" s="85"/>
    </row>
    <row r="842" ht="15.75" customHeight="1">
      <c r="A842" s="85"/>
      <c r="B842" s="85"/>
      <c r="C842" s="85"/>
      <c r="D842" s="85"/>
      <c r="E842" s="85"/>
      <c r="F842" s="85"/>
      <c r="G842" s="85"/>
    </row>
    <row r="843" ht="15.75" customHeight="1">
      <c r="A843" s="85"/>
      <c r="B843" s="85"/>
      <c r="C843" s="85"/>
      <c r="D843" s="85"/>
      <c r="E843" s="85"/>
      <c r="F843" s="85"/>
      <c r="G843" s="85"/>
    </row>
    <row r="844" ht="15.75" customHeight="1">
      <c r="A844" s="85"/>
      <c r="B844" s="85"/>
      <c r="C844" s="85"/>
      <c r="D844" s="85"/>
      <c r="E844" s="85"/>
      <c r="F844" s="85"/>
      <c r="G844" s="85"/>
    </row>
    <row r="845" ht="15.75" customHeight="1">
      <c r="A845" s="85"/>
      <c r="B845" s="85"/>
      <c r="C845" s="85"/>
      <c r="D845" s="85"/>
      <c r="E845" s="85"/>
      <c r="F845" s="85"/>
      <c r="G845" s="85"/>
    </row>
    <row r="846" ht="15.75" customHeight="1">
      <c r="A846" s="85"/>
      <c r="B846" s="85"/>
      <c r="C846" s="85"/>
      <c r="D846" s="85"/>
      <c r="E846" s="85"/>
      <c r="F846" s="85"/>
      <c r="G846" s="85"/>
    </row>
    <row r="847" ht="15.75" customHeight="1">
      <c r="A847" s="85"/>
      <c r="B847" s="85"/>
      <c r="C847" s="85"/>
      <c r="D847" s="85"/>
      <c r="E847" s="85"/>
      <c r="F847" s="85"/>
      <c r="G847" s="85"/>
    </row>
    <row r="848" ht="15.75" customHeight="1">
      <c r="A848" s="85"/>
      <c r="B848" s="85"/>
      <c r="C848" s="85"/>
      <c r="D848" s="85"/>
      <c r="E848" s="85"/>
      <c r="F848" s="85"/>
      <c r="G848" s="85"/>
    </row>
    <row r="849" ht="15.75" customHeight="1">
      <c r="A849" s="85"/>
      <c r="B849" s="85"/>
      <c r="C849" s="85"/>
      <c r="D849" s="85"/>
      <c r="E849" s="85"/>
      <c r="F849" s="85"/>
      <c r="G849" s="85"/>
    </row>
    <row r="850" ht="15.75" customHeight="1">
      <c r="A850" s="85"/>
      <c r="B850" s="85"/>
      <c r="C850" s="85"/>
      <c r="D850" s="85"/>
      <c r="E850" s="85"/>
      <c r="F850" s="85"/>
      <c r="G850" s="85"/>
    </row>
    <row r="851" ht="15.75" customHeight="1">
      <c r="A851" s="85"/>
      <c r="B851" s="85"/>
      <c r="C851" s="85"/>
      <c r="D851" s="85"/>
      <c r="E851" s="85"/>
      <c r="F851" s="85"/>
      <c r="G851" s="85"/>
    </row>
    <row r="852" ht="15.75" customHeight="1">
      <c r="A852" s="85"/>
      <c r="B852" s="85"/>
      <c r="C852" s="85"/>
      <c r="D852" s="85"/>
      <c r="E852" s="85"/>
      <c r="F852" s="85"/>
      <c r="G852" s="85"/>
    </row>
    <row r="853" ht="15.75" customHeight="1">
      <c r="A853" s="85"/>
      <c r="B853" s="85"/>
      <c r="C853" s="85"/>
      <c r="D853" s="85"/>
      <c r="E853" s="85"/>
      <c r="F853" s="85"/>
      <c r="G853" s="85"/>
    </row>
    <row r="854" ht="15.75" customHeight="1">
      <c r="A854" s="85"/>
      <c r="B854" s="85"/>
      <c r="C854" s="85"/>
      <c r="D854" s="85"/>
      <c r="E854" s="85"/>
      <c r="F854" s="85"/>
      <c r="G854" s="85"/>
    </row>
    <row r="855" ht="15.75" customHeight="1">
      <c r="A855" s="85"/>
      <c r="B855" s="85"/>
      <c r="C855" s="85"/>
      <c r="D855" s="85"/>
      <c r="E855" s="85"/>
      <c r="F855" s="85"/>
      <c r="G855" s="85"/>
    </row>
    <row r="856" ht="15.75" customHeight="1">
      <c r="A856" s="85"/>
      <c r="B856" s="85"/>
      <c r="C856" s="85"/>
      <c r="D856" s="85"/>
      <c r="E856" s="85"/>
      <c r="F856" s="85"/>
      <c r="G856" s="85"/>
    </row>
    <row r="857" ht="15.75" customHeight="1">
      <c r="A857" s="85"/>
      <c r="B857" s="85"/>
      <c r="C857" s="85"/>
      <c r="D857" s="85"/>
      <c r="E857" s="85"/>
      <c r="F857" s="85"/>
      <c r="G857" s="85"/>
    </row>
    <row r="858" ht="15.75" customHeight="1">
      <c r="A858" s="85"/>
      <c r="B858" s="85"/>
      <c r="C858" s="85"/>
      <c r="D858" s="85"/>
      <c r="E858" s="85"/>
      <c r="F858" s="85"/>
      <c r="G858" s="85"/>
    </row>
    <row r="859" ht="15.75" customHeight="1">
      <c r="A859" s="85"/>
      <c r="B859" s="85"/>
      <c r="C859" s="85"/>
      <c r="D859" s="85"/>
      <c r="E859" s="85"/>
      <c r="F859" s="85"/>
      <c r="G859" s="85"/>
    </row>
    <row r="860" ht="15.75" customHeight="1">
      <c r="A860" s="85"/>
      <c r="B860" s="85"/>
      <c r="C860" s="85"/>
      <c r="D860" s="85"/>
      <c r="E860" s="85"/>
      <c r="F860" s="85"/>
      <c r="G860" s="85"/>
    </row>
    <row r="861" ht="15.75" customHeight="1">
      <c r="A861" s="85"/>
      <c r="B861" s="85"/>
      <c r="C861" s="85"/>
      <c r="D861" s="85"/>
      <c r="E861" s="85"/>
      <c r="F861" s="85"/>
      <c r="G861" s="85"/>
    </row>
    <row r="862" ht="15.75" customHeight="1">
      <c r="A862" s="85"/>
      <c r="B862" s="85"/>
      <c r="C862" s="85"/>
      <c r="D862" s="85"/>
      <c r="E862" s="85"/>
      <c r="F862" s="85"/>
      <c r="G862" s="85"/>
    </row>
    <row r="863" ht="15.75" customHeight="1">
      <c r="A863" s="85"/>
      <c r="B863" s="85"/>
      <c r="C863" s="85"/>
      <c r="D863" s="85"/>
      <c r="E863" s="85"/>
      <c r="F863" s="85"/>
      <c r="G863" s="85"/>
    </row>
    <row r="864" ht="15.75" customHeight="1">
      <c r="A864" s="85"/>
      <c r="B864" s="85"/>
      <c r="C864" s="85"/>
      <c r="D864" s="85"/>
      <c r="E864" s="85"/>
      <c r="F864" s="85"/>
      <c r="G864" s="85"/>
    </row>
    <row r="865" ht="15.75" customHeight="1">
      <c r="A865" s="85"/>
      <c r="B865" s="85"/>
      <c r="C865" s="85"/>
      <c r="D865" s="85"/>
      <c r="E865" s="85"/>
      <c r="F865" s="85"/>
      <c r="G865" s="85"/>
    </row>
    <row r="866" ht="15.75" customHeight="1">
      <c r="A866" s="85"/>
      <c r="B866" s="85"/>
      <c r="C866" s="85"/>
      <c r="D866" s="85"/>
      <c r="E866" s="85"/>
      <c r="F866" s="85"/>
      <c r="G866" s="85"/>
    </row>
    <row r="867" ht="15.75" customHeight="1">
      <c r="A867" s="85"/>
      <c r="B867" s="85"/>
      <c r="C867" s="85"/>
      <c r="D867" s="85"/>
      <c r="E867" s="85"/>
      <c r="F867" s="85"/>
      <c r="G867" s="85"/>
    </row>
    <row r="868" ht="15.75" customHeight="1">
      <c r="A868" s="85"/>
      <c r="B868" s="85"/>
      <c r="C868" s="85"/>
      <c r="D868" s="85"/>
      <c r="E868" s="85"/>
      <c r="F868" s="85"/>
      <c r="G868" s="85"/>
    </row>
    <row r="869" ht="15.75" customHeight="1">
      <c r="A869" s="85"/>
      <c r="B869" s="85"/>
      <c r="C869" s="85"/>
      <c r="D869" s="85"/>
      <c r="E869" s="85"/>
      <c r="F869" s="85"/>
      <c r="G869" s="85"/>
    </row>
    <row r="870" ht="15.75" customHeight="1">
      <c r="A870" s="85"/>
      <c r="B870" s="85"/>
      <c r="C870" s="85"/>
      <c r="D870" s="85"/>
      <c r="E870" s="85"/>
      <c r="F870" s="85"/>
      <c r="G870" s="85"/>
    </row>
    <row r="871" ht="15.75" customHeight="1">
      <c r="A871" s="85"/>
      <c r="B871" s="85"/>
      <c r="C871" s="85"/>
      <c r="D871" s="85"/>
      <c r="E871" s="85"/>
      <c r="F871" s="85"/>
      <c r="G871" s="85"/>
    </row>
    <row r="872" ht="15.75" customHeight="1">
      <c r="A872" s="85"/>
      <c r="B872" s="85"/>
      <c r="C872" s="85"/>
      <c r="D872" s="85"/>
      <c r="E872" s="85"/>
      <c r="F872" s="85"/>
      <c r="G872" s="85"/>
    </row>
    <row r="873" ht="15.75" customHeight="1">
      <c r="A873" s="85"/>
      <c r="B873" s="85"/>
      <c r="C873" s="85"/>
      <c r="D873" s="85"/>
      <c r="E873" s="85"/>
      <c r="F873" s="85"/>
      <c r="G873" s="85"/>
    </row>
    <row r="874" ht="15.75" customHeight="1">
      <c r="A874" s="85"/>
      <c r="B874" s="85"/>
      <c r="C874" s="85"/>
      <c r="D874" s="85"/>
      <c r="E874" s="85"/>
      <c r="F874" s="85"/>
      <c r="G874" s="85"/>
    </row>
    <row r="875" ht="15.75" customHeight="1">
      <c r="A875" s="85"/>
      <c r="B875" s="85"/>
      <c r="C875" s="85"/>
      <c r="D875" s="85"/>
      <c r="E875" s="85"/>
      <c r="F875" s="85"/>
      <c r="G875" s="85"/>
    </row>
    <row r="876" ht="15.75" customHeight="1">
      <c r="A876" s="85"/>
      <c r="B876" s="85"/>
      <c r="C876" s="85"/>
      <c r="D876" s="85"/>
      <c r="E876" s="85"/>
      <c r="F876" s="85"/>
      <c r="G876" s="85"/>
    </row>
    <row r="877" ht="15.75" customHeight="1">
      <c r="A877" s="85"/>
      <c r="B877" s="85"/>
      <c r="C877" s="85"/>
      <c r="D877" s="85"/>
      <c r="E877" s="85"/>
      <c r="F877" s="85"/>
      <c r="G877" s="85"/>
    </row>
    <row r="878" ht="15.75" customHeight="1">
      <c r="A878" s="85"/>
      <c r="B878" s="85"/>
      <c r="C878" s="85"/>
      <c r="D878" s="85"/>
      <c r="E878" s="85"/>
      <c r="F878" s="85"/>
      <c r="G878" s="85"/>
    </row>
    <row r="879" ht="15.75" customHeight="1">
      <c r="A879" s="85"/>
      <c r="B879" s="85"/>
      <c r="C879" s="85"/>
      <c r="D879" s="85"/>
      <c r="E879" s="85"/>
      <c r="F879" s="85"/>
      <c r="G879" s="85"/>
    </row>
    <row r="880" ht="15.75" customHeight="1">
      <c r="A880" s="85"/>
      <c r="B880" s="85"/>
      <c r="C880" s="85"/>
      <c r="D880" s="85"/>
      <c r="E880" s="85"/>
      <c r="F880" s="85"/>
      <c r="G880" s="85"/>
    </row>
    <row r="881" ht="15.75" customHeight="1">
      <c r="A881" s="85"/>
      <c r="B881" s="85"/>
      <c r="C881" s="85"/>
      <c r="D881" s="85"/>
      <c r="E881" s="85"/>
      <c r="F881" s="85"/>
      <c r="G881" s="85"/>
    </row>
    <row r="882" ht="15.75" customHeight="1">
      <c r="A882" s="85"/>
      <c r="B882" s="85"/>
      <c r="C882" s="85"/>
      <c r="D882" s="85"/>
      <c r="E882" s="85"/>
      <c r="F882" s="85"/>
      <c r="G882" s="85"/>
    </row>
    <row r="883" ht="15.75" customHeight="1">
      <c r="A883" s="85"/>
      <c r="B883" s="85"/>
      <c r="C883" s="85"/>
      <c r="D883" s="85"/>
      <c r="E883" s="85"/>
      <c r="F883" s="85"/>
      <c r="G883" s="85"/>
    </row>
    <row r="884" ht="15.75" customHeight="1">
      <c r="A884" s="85"/>
      <c r="B884" s="85"/>
      <c r="C884" s="85"/>
      <c r="D884" s="85"/>
      <c r="E884" s="85"/>
      <c r="F884" s="85"/>
      <c r="G884" s="85"/>
    </row>
    <row r="885" ht="15.75" customHeight="1">
      <c r="A885" s="85"/>
      <c r="B885" s="85"/>
      <c r="C885" s="85"/>
      <c r="D885" s="85"/>
      <c r="E885" s="85"/>
      <c r="F885" s="85"/>
      <c r="G885" s="85"/>
    </row>
    <row r="886" ht="15.75" customHeight="1">
      <c r="A886" s="85"/>
      <c r="B886" s="85"/>
      <c r="C886" s="85"/>
      <c r="D886" s="85"/>
      <c r="E886" s="85"/>
      <c r="F886" s="85"/>
      <c r="G886" s="85"/>
    </row>
    <row r="887" ht="15.75" customHeight="1">
      <c r="A887" s="85"/>
      <c r="B887" s="85"/>
      <c r="C887" s="85"/>
      <c r="D887" s="85"/>
      <c r="E887" s="85"/>
      <c r="F887" s="85"/>
      <c r="G887" s="85"/>
    </row>
    <row r="888" ht="15.75" customHeight="1">
      <c r="A888" s="85"/>
      <c r="B888" s="85"/>
      <c r="C888" s="85"/>
      <c r="D888" s="85"/>
      <c r="E888" s="85"/>
      <c r="F888" s="85"/>
      <c r="G888" s="85"/>
    </row>
    <row r="889" ht="15.75" customHeight="1">
      <c r="A889" s="85"/>
      <c r="B889" s="85"/>
      <c r="C889" s="85"/>
      <c r="D889" s="85"/>
      <c r="E889" s="85"/>
      <c r="F889" s="85"/>
      <c r="G889" s="85"/>
    </row>
    <row r="890" ht="15.75" customHeight="1">
      <c r="A890" s="85"/>
      <c r="B890" s="85"/>
      <c r="C890" s="85"/>
      <c r="D890" s="85"/>
      <c r="E890" s="85"/>
      <c r="F890" s="85"/>
      <c r="G890" s="85"/>
    </row>
    <row r="891" ht="15.75" customHeight="1">
      <c r="A891" s="85"/>
      <c r="B891" s="85"/>
      <c r="C891" s="85"/>
      <c r="D891" s="85"/>
      <c r="E891" s="85"/>
      <c r="F891" s="85"/>
      <c r="G891" s="85"/>
    </row>
    <row r="892" ht="15.75" customHeight="1">
      <c r="A892" s="85"/>
      <c r="B892" s="85"/>
      <c r="C892" s="85"/>
      <c r="D892" s="85"/>
      <c r="E892" s="85"/>
      <c r="F892" s="85"/>
      <c r="G892" s="85"/>
    </row>
    <row r="893" ht="15.75" customHeight="1">
      <c r="A893" s="85"/>
      <c r="B893" s="85"/>
      <c r="C893" s="85"/>
      <c r="D893" s="85"/>
      <c r="E893" s="85"/>
      <c r="F893" s="85"/>
      <c r="G893" s="85"/>
    </row>
    <row r="894" ht="15.75" customHeight="1">
      <c r="A894" s="85"/>
      <c r="B894" s="85"/>
      <c r="C894" s="85"/>
      <c r="D894" s="85"/>
      <c r="E894" s="85"/>
      <c r="F894" s="85"/>
      <c r="G894" s="85"/>
    </row>
    <row r="895" ht="15.75" customHeight="1">
      <c r="A895" s="85"/>
      <c r="B895" s="85"/>
      <c r="C895" s="85"/>
      <c r="D895" s="85"/>
      <c r="E895" s="85"/>
      <c r="F895" s="85"/>
      <c r="G895" s="85"/>
    </row>
    <row r="896" ht="15.75" customHeight="1">
      <c r="A896" s="85"/>
      <c r="B896" s="85"/>
      <c r="C896" s="85"/>
      <c r="D896" s="85"/>
      <c r="E896" s="85"/>
      <c r="F896" s="85"/>
      <c r="G896" s="85"/>
    </row>
    <row r="897" ht="15.75" customHeight="1">
      <c r="A897" s="85"/>
      <c r="B897" s="85"/>
      <c r="C897" s="85"/>
      <c r="D897" s="85"/>
      <c r="E897" s="85"/>
      <c r="F897" s="85"/>
      <c r="G897" s="85"/>
    </row>
    <row r="898" ht="15.75" customHeight="1">
      <c r="A898" s="85"/>
      <c r="B898" s="85"/>
      <c r="C898" s="85"/>
      <c r="D898" s="85"/>
      <c r="E898" s="85"/>
      <c r="F898" s="85"/>
      <c r="G898" s="85"/>
    </row>
    <row r="899" ht="15.75" customHeight="1">
      <c r="A899" s="85"/>
      <c r="B899" s="85"/>
      <c r="C899" s="85"/>
      <c r="D899" s="85"/>
      <c r="E899" s="85"/>
      <c r="F899" s="85"/>
      <c r="G899" s="85"/>
    </row>
    <row r="900" ht="15.75" customHeight="1">
      <c r="A900" s="85"/>
      <c r="B900" s="85"/>
      <c r="C900" s="85"/>
      <c r="D900" s="85"/>
      <c r="E900" s="85"/>
      <c r="F900" s="85"/>
      <c r="G900" s="85"/>
    </row>
    <row r="901" ht="15.75" customHeight="1">
      <c r="A901" s="85"/>
      <c r="B901" s="85"/>
      <c r="C901" s="85"/>
      <c r="D901" s="85"/>
      <c r="E901" s="85"/>
      <c r="F901" s="85"/>
      <c r="G901" s="85"/>
    </row>
    <row r="902" ht="15.75" customHeight="1">
      <c r="A902" s="85"/>
      <c r="B902" s="85"/>
      <c r="C902" s="85"/>
      <c r="D902" s="85"/>
      <c r="E902" s="85"/>
      <c r="F902" s="85"/>
      <c r="G902" s="85"/>
    </row>
    <row r="903" ht="15.75" customHeight="1">
      <c r="A903" s="85"/>
      <c r="B903" s="85"/>
      <c r="C903" s="85"/>
      <c r="D903" s="85"/>
      <c r="E903" s="85"/>
      <c r="F903" s="85"/>
      <c r="G903" s="85"/>
    </row>
    <row r="904" ht="15.75" customHeight="1">
      <c r="A904" s="85"/>
      <c r="B904" s="85"/>
      <c r="C904" s="85"/>
      <c r="D904" s="85"/>
      <c r="E904" s="85"/>
      <c r="F904" s="85"/>
      <c r="G904" s="85"/>
    </row>
    <row r="905" ht="15.75" customHeight="1">
      <c r="A905" s="85"/>
      <c r="B905" s="85"/>
      <c r="C905" s="85"/>
      <c r="D905" s="85"/>
      <c r="E905" s="85"/>
      <c r="F905" s="85"/>
      <c r="G905" s="85"/>
    </row>
    <row r="906" ht="15.75" customHeight="1">
      <c r="A906" s="85"/>
      <c r="B906" s="85"/>
      <c r="C906" s="85"/>
      <c r="D906" s="85"/>
      <c r="E906" s="85"/>
      <c r="F906" s="85"/>
      <c r="G906" s="85"/>
    </row>
    <row r="907" ht="15.75" customHeight="1">
      <c r="A907" s="85"/>
      <c r="B907" s="85"/>
      <c r="C907" s="85"/>
      <c r="D907" s="85"/>
      <c r="E907" s="85"/>
      <c r="F907" s="85"/>
      <c r="G907" s="85"/>
    </row>
    <row r="908" ht="15.75" customHeight="1">
      <c r="A908" s="85"/>
      <c r="B908" s="85"/>
      <c r="C908" s="85"/>
      <c r="D908" s="85"/>
      <c r="E908" s="85"/>
      <c r="F908" s="85"/>
      <c r="G908" s="85"/>
    </row>
    <row r="909" ht="15.75" customHeight="1">
      <c r="A909" s="85"/>
      <c r="B909" s="85"/>
      <c r="C909" s="85"/>
      <c r="D909" s="85"/>
      <c r="E909" s="85"/>
      <c r="F909" s="85"/>
      <c r="G909" s="85"/>
    </row>
    <row r="910" ht="15.75" customHeight="1">
      <c r="A910" s="85"/>
      <c r="B910" s="85"/>
      <c r="C910" s="85"/>
      <c r="D910" s="85"/>
      <c r="E910" s="85"/>
      <c r="F910" s="85"/>
      <c r="G910" s="85"/>
    </row>
    <row r="911" ht="15.75" customHeight="1">
      <c r="A911" s="85"/>
      <c r="B911" s="85"/>
      <c r="C911" s="85"/>
      <c r="D911" s="85"/>
      <c r="E911" s="85"/>
      <c r="F911" s="85"/>
      <c r="G911" s="85"/>
    </row>
    <row r="912" ht="15.75" customHeight="1">
      <c r="A912" s="85"/>
      <c r="B912" s="85"/>
      <c r="C912" s="85"/>
      <c r="D912" s="85"/>
      <c r="E912" s="85"/>
      <c r="F912" s="85"/>
      <c r="G912" s="85"/>
    </row>
    <row r="913" ht="15.75" customHeight="1">
      <c r="A913" s="85"/>
      <c r="B913" s="85"/>
      <c r="C913" s="85"/>
      <c r="D913" s="85"/>
      <c r="E913" s="85"/>
      <c r="F913" s="85"/>
      <c r="G913" s="85"/>
    </row>
    <row r="914" ht="15.75" customHeight="1">
      <c r="A914" s="85"/>
      <c r="B914" s="85"/>
      <c r="C914" s="85"/>
      <c r="D914" s="85"/>
      <c r="E914" s="85"/>
      <c r="F914" s="85"/>
      <c r="G914" s="85"/>
    </row>
    <row r="915" ht="15.75" customHeight="1">
      <c r="A915" s="85"/>
      <c r="B915" s="85"/>
      <c r="C915" s="85"/>
      <c r="D915" s="85"/>
      <c r="E915" s="85"/>
      <c r="F915" s="85"/>
      <c r="G915" s="85"/>
    </row>
    <row r="916" ht="15.75" customHeight="1">
      <c r="A916" s="85"/>
      <c r="B916" s="85"/>
      <c r="C916" s="85"/>
      <c r="D916" s="85"/>
      <c r="E916" s="85"/>
      <c r="F916" s="85"/>
      <c r="G916" s="85"/>
    </row>
    <row r="917" ht="15.75" customHeight="1">
      <c r="A917" s="85"/>
      <c r="B917" s="85"/>
      <c r="C917" s="85"/>
      <c r="D917" s="85"/>
      <c r="E917" s="85"/>
      <c r="F917" s="85"/>
      <c r="G917" s="85"/>
    </row>
    <row r="918" ht="15.75" customHeight="1">
      <c r="A918" s="85"/>
      <c r="B918" s="85"/>
      <c r="C918" s="85"/>
      <c r="D918" s="85"/>
      <c r="E918" s="85"/>
      <c r="F918" s="85"/>
      <c r="G918" s="85"/>
    </row>
    <row r="919" ht="15.75" customHeight="1">
      <c r="A919" s="85"/>
      <c r="B919" s="85"/>
      <c r="C919" s="85"/>
      <c r="D919" s="85"/>
      <c r="E919" s="85"/>
      <c r="F919" s="85"/>
      <c r="G919" s="85"/>
    </row>
    <row r="920" ht="15.75" customHeight="1">
      <c r="A920" s="85"/>
      <c r="B920" s="85"/>
      <c r="C920" s="85"/>
      <c r="D920" s="85"/>
      <c r="E920" s="85"/>
      <c r="F920" s="85"/>
      <c r="G920" s="85"/>
    </row>
    <row r="921" ht="15.75" customHeight="1">
      <c r="A921" s="85"/>
      <c r="B921" s="85"/>
      <c r="C921" s="85"/>
      <c r="D921" s="85"/>
      <c r="E921" s="85"/>
      <c r="F921" s="85"/>
      <c r="G921" s="85"/>
    </row>
    <row r="922" ht="15.75" customHeight="1">
      <c r="A922" s="85"/>
      <c r="B922" s="85"/>
      <c r="C922" s="85"/>
      <c r="D922" s="85"/>
      <c r="E922" s="85"/>
      <c r="F922" s="85"/>
      <c r="G922" s="85"/>
    </row>
    <row r="923" ht="15.75" customHeight="1">
      <c r="A923" s="85"/>
      <c r="B923" s="85"/>
      <c r="C923" s="85"/>
      <c r="D923" s="85"/>
      <c r="E923" s="85"/>
      <c r="F923" s="85"/>
      <c r="G923" s="85"/>
    </row>
    <row r="924" ht="15.75" customHeight="1">
      <c r="A924" s="85"/>
      <c r="B924" s="85"/>
      <c r="C924" s="85"/>
      <c r="D924" s="85"/>
      <c r="E924" s="85"/>
      <c r="F924" s="85"/>
      <c r="G924" s="85"/>
    </row>
    <row r="925" ht="15.75" customHeight="1">
      <c r="A925" s="85"/>
      <c r="B925" s="85"/>
      <c r="C925" s="85"/>
      <c r="D925" s="85"/>
      <c r="E925" s="85"/>
      <c r="F925" s="85"/>
      <c r="G925" s="85"/>
    </row>
    <row r="926" ht="15.75" customHeight="1">
      <c r="A926" s="85"/>
      <c r="B926" s="85"/>
      <c r="C926" s="85"/>
      <c r="D926" s="85"/>
      <c r="E926" s="85"/>
      <c r="F926" s="85"/>
      <c r="G926" s="85"/>
    </row>
    <row r="927" ht="15.75" customHeight="1">
      <c r="A927" s="85"/>
      <c r="B927" s="85"/>
      <c r="C927" s="85"/>
      <c r="D927" s="85"/>
      <c r="E927" s="85"/>
      <c r="F927" s="85"/>
      <c r="G927" s="85"/>
    </row>
    <row r="928" ht="15.75" customHeight="1">
      <c r="A928" s="85"/>
      <c r="B928" s="85"/>
      <c r="C928" s="85"/>
      <c r="D928" s="85"/>
      <c r="E928" s="85"/>
      <c r="F928" s="85"/>
      <c r="G928" s="85"/>
    </row>
    <row r="929" ht="15.75" customHeight="1">
      <c r="A929" s="85"/>
      <c r="B929" s="85"/>
      <c r="C929" s="85"/>
      <c r="D929" s="85"/>
      <c r="E929" s="85"/>
      <c r="F929" s="85"/>
      <c r="G929" s="85"/>
    </row>
    <row r="930" ht="15.75" customHeight="1">
      <c r="A930" s="85"/>
      <c r="B930" s="85"/>
      <c r="C930" s="85"/>
      <c r="D930" s="85"/>
      <c r="E930" s="85"/>
      <c r="F930" s="85"/>
      <c r="G930" s="85"/>
    </row>
    <row r="931" ht="15.75" customHeight="1">
      <c r="A931" s="85"/>
      <c r="B931" s="85"/>
      <c r="C931" s="85"/>
      <c r="D931" s="85"/>
      <c r="E931" s="85"/>
      <c r="F931" s="85"/>
      <c r="G931" s="85"/>
    </row>
    <row r="932" ht="15.75" customHeight="1">
      <c r="A932" s="85"/>
      <c r="B932" s="85"/>
      <c r="C932" s="85"/>
      <c r="D932" s="85"/>
      <c r="E932" s="85"/>
      <c r="F932" s="85"/>
      <c r="G932" s="85"/>
    </row>
    <row r="933" ht="15.75" customHeight="1">
      <c r="A933" s="85"/>
      <c r="B933" s="85"/>
      <c r="C933" s="85"/>
      <c r="D933" s="85"/>
      <c r="E933" s="85"/>
      <c r="F933" s="85"/>
      <c r="G933" s="85"/>
    </row>
    <row r="934" ht="15.75" customHeight="1">
      <c r="A934" s="85"/>
      <c r="B934" s="85"/>
      <c r="C934" s="85"/>
      <c r="D934" s="85"/>
      <c r="E934" s="85"/>
      <c r="F934" s="85"/>
      <c r="G934" s="85"/>
    </row>
    <row r="935" ht="15.75" customHeight="1">
      <c r="A935" s="85"/>
      <c r="B935" s="85"/>
      <c r="C935" s="85"/>
      <c r="D935" s="85"/>
      <c r="E935" s="85"/>
      <c r="F935" s="85"/>
      <c r="G935" s="85"/>
    </row>
    <row r="936" ht="15.75" customHeight="1">
      <c r="A936" s="85"/>
      <c r="B936" s="85"/>
      <c r="C936" s="85"/>
      <c r="D936" s="85"/>
      <c r="E936" s="85"/>
      <c r="F936" s="85"/>
      <c r="G936" s="85"/>
    </row>
    <row r="937" ht="15.75" customHeight="1">
      <c r="A937" s="85"/>
      <c r="B937" s="85"/>
      <c r="C937" s="85"/>
      <c r="D937" s="85"/>
      <c r="E937" s="85"/>
      <c r="F937" s="85"/>
      <c r="G937" s="85"/>
    </row>
    <row r="938" ht="15.75" customHeight="1">
      <c r="A938" s="85"/>
      <c r="B938" s="85"/>
      <c r="C938" s="85"/>
      <c r="D938" s="85"/>
      <c r="E938" s="85"/>
      <c r="F938" s="85"/>
      <c r="G938" s="85"/>
    </row>
    <row r="939" ht="15.75" customHeight="1">
      <c r="A939" s="85"/>
      <c r="B939" s="85"/>
      <c r="C939" s="85"/>
      <c r="D939" s="85"/>
      <c r="E939" s="85"/>
      <c r="F939" s="85"/>
      <c r="G939" s="85"/>
    </row>
    <row r="940" ht="15.75" customHeight="1">
      <c r="A940" s="85"/>
      <c r="B940" s="85"/>
      <c r="C940" s="85"/>
      <c r="D940" s="85"/>
      <c r="E940" s="85"/>
      <c r="F940" s="85"/>
      <c r="G940" s="85"/>
    </row>
    <row r="941" ht="15.75" customHeight="1">
      <c r="A941" s="85"/>
      <c r="B941" s="85"/>
      <c r="C941" s="85"/>
      <c r="D941" s="85"/>
      <c r="E941" s="85"/>
      <c r="F941" s="85"/>
      <c r="G941" s="85"/>
    </row>
    <row r="942" ht="15.75" customHeight="1">
      <c r="A942" s="85"/>
      <c r="B942" s="85"/>
      <c r="C942" s="85"/>
      <c r="D942" s="85"/>
      <c r="E942" s="85"/>
      <c r="F942" s="85"/>
      <c r="G942" s="85"/>
    </row>
    <row r="943" ht="15.75" customHeight="1">
      <c r="A943" s="85"/>
      <c r="B943" s="85"/>
      <c r="C943" s="85"/>
      <c r="D943" s="85"/>
      <c r="E943" s="85"/>
      <c r="F943" s="85"/>
      <c r="G943" s="85"/>
    </row>
    <row r="944" ht="15.75" customHeight="1">
      <c r="A944" s="85"/>
      <c r="B944" s="85"/>
      <c r="C944" s="85"/>
      <c r="D944" s="85"/>
      <c r="E944" s="85"/>
      <c r="F944" s="85"/>
      <c r="G944" s="85"/>
    </row>
    <row r="945" ht="15.75" customHeight="1">
      <c r="A945" s="85"/>
      <c r="B945" s="85"/>
      <c r="C945" s="85"/>
      <c r="D945" s="85"/>
      <c r="E945" s="85"/>
      <c r="F945" s="85"/>
      <c r="G945" s="85"/>
    </row>
    <row r="946" ht="15.75" customHeight="1">
      <c r="A946" s="85"/>
      <c r="B946" s="85"/>
      <c r="C946" s="85"/>
      <c r="D946" s="85"/>
      <c r="E946" s="85"/>
      <c r="F946" s="85"/>
      <c r="G946" s="85"/>
    </row>
    <row r="947" ht="15.75" customHeight="1">
      <c r="A947" s="85"/>
      <c r="B947" s="85"/>
      <c r="C947" s="85"/>
      <c r="D947" s="85"/>
      <c r="E947" s="85"/>
      <c r="F947" s="85"/>
      <c r="G947" s="85"/>
    </row>
    <row r="948" ht="15.75" customHeight="1">
      <c r="A948" s="85"/>
      <c r="B948" s="85"/>
      <c r="C948" s="85"/>
      <c r="D948" s="85"/>
      <c r="E948" s="85"/>
      <c r="F948" s="85"/>
      <c r="G948" s="85"/>
    </row>
    <row r="949" ht="15.75" customHeight="1">
      <c r="A949" s="85"/>
      <c r="B949" s="85"/>
      <c r="C949" s="85"/>
      <c r="D949" s="85"/>
      <c r="E949" s="85"/>
      <c r="F949" s="85"/>
      <c r="G949" s="85"/>
    </row>
    <row r="950" ht="15.75" customHeight="1">
      <c r="A950" s="85"/>
      <c r="B950" s="85"/>
      <c r="C950" s="85"/>
      <c r="D950" s="85"/>
      <c r="E950" s="85"/>
      <c r="F950" s="85"/>
      <c r="G950" s="85"/>
    </row>
    <row r="951" ht="15.75" customHeight="1">
      <c r="A951" s="85"/>
      <c r="B951" s="85"/>
      <c r="C951" s="85"/>
      <c r="D951" s="85"/>
      <c r="E951" s="85"/>
      <c r="F951" s="85"/>
      <c r="G951" s="85"/>
    </row>
    <row r="952" ht="15.75" customHeight="1">
      <c r="A952" s="85"/>
      <c r="B952" s="85"/>
      <c r="C952" s="85"/>
      <c r="D952" s="85"/>
      <c r="E952" s="85"/>
      <c r="F952" s="85"/>
      <c r="G952" s="85"/>
    </row>
    <row r="953" ht="15.75" customHeight="1">
      <c r="A953" s="85"/>
      <c r="B953" s="85"/>
      <c r="C953" s="85"/>
      <c r="D953" s="85"/>
      <c r="E953" s="85"/>
      <c r="F953" s="85"/>
      <c r="G953" s="85"/>
    </row>
    <row r="954" ht="15.75" customHeight="1">
      <c r="A954" s="85"/>
      <c r="B954" s="85"/>
      <c r="C954" s="85"/>
      <c r="D954" s="85"/>
      <c r="E954" s="85"/>
      <c r="F954" s="85"/>
      <c r="G954" s="85"/>
    </row>
    <row r="955" ht="15.75" customHeight="1">
      <c r="A955" s="85"/>
      <c r="B955" s="85"/>
      <c r="C955" s="85"/>
      <c r="D955" s="85"/>
      <c r="E955" s="85"/>
      <c r="F955" s="85"/>
      <c r="G955" s="85"/>
    </row>
    <row r="956" ht="15.75" customHeight="1">
      <c r="A956" s="85"/>
      <c r="B956" s="85"/>
      <c r="C956" s="85"/>
      <c r="D956" s="85"/>
      <c r="E956" s="85"/>
      <c r="F956" s="85"/>
      <c r="G956" s="85"/>
    </row>
    <row r="957" ht="15.75" customHeight="1">
      <c r="A957" s="85"/>
      <c r="B957" s="85"/>
      <c r="C957" s="85"/>
      <c r="D957" s="85"/>
      <c r="E957" s="85"/>
      <c r="F957" s="85"/>
      <c r="G957" s="85"/>
    </row>
    <row r="958" ht="15.75" customHeight="1">
      <c r="A958" s="85"/>
      <c r="B958" s="85"/>
      <c r="C958" s="85"/>
      <c r="D958" s="85"/>
      <c r="E958" s="85"/>
      <c r="F958" s="85"/>
      <c r="G958" s="85"/>
    </row>
    <row r="959" ht="15.75" customHeight="1">
      <c r="A959" s="85"/>
      <c r="B959" s="85"/>
      <c r="C959" s="85"/>
      <c r="D959" s="85"/>
      <c r="E959" s="85"/>
      <c r="F959" s="85"/>
      <c r="G959" s="85"/>
    </row>
    <row r="960" ht="15.75" customHeight="1">
      <c r="A960" s="85"/>
      <c r="B960" s="85"/>
      <c r="C960" s="85"/>
      <c r="D960" s="85"/>
      <c r="E960" s="85"/>
      <c r="F960" s="85"/>
      <c r="G960" s="85"/>
    </row>
    <row r="961" ht="15.75" customHeight="1">
      <c r="A961" s="85"/>
      <c r="B961" s="85"/>
      <c r="C961" s="85"/>
      <c r="D961" s="85"/>
      <c r="E961" s="85"/>
      <c r="F961" s="85"/>
      <c r="G961" s="85"/>
    </row>
    <row r="962" ht="15.75" customHeight="1">
      <c r="A962" s="85"/>
      <c r="B962" s="85"/>
      <c r="C962" s="85"/>
      <c r="D962" s="85"/>
      <c r="E962" s="85"/>
      <c r="F962" s="85"/>
      <c r="G962" s="85"/>
    </row>
    <row r="963" ht="15.75" customHeight="1">
      <c r="A963" s="85"/>
      <c r="B963" s="85"/>
      <c r="C963" s="85"/>
      <c r="D963" s="85"/>
      <c r="E963" s="85"/>
      <c r="F963" s="85"/>
      <c r="G963" s="85"/>
    </row>
    <row r="964" ht="15.75" customHeight="1">
      <c r="A964" s="85"/>
      <c r="B964" s="85"/>
      <c r="C964" s="85"/>
      <c r="D964" s="85"/>
      <c r="E964" s="85"/>
      <c r="F964" s="85"/>
      <c r="G964" s="85"/>
    </row>
    <row r="965" ht="15.75" customHeight="1">
      <c r="A965" s="85"/>
      <c r="B965" s="85"/>
      <c r="C965" s="85"/>
      <c r="D965" s="85"/>
      <c r="E965" s="85"/>
      <c r="F965" s="85"/>
      <c r="G965" s="85"/>
    </row>
    <row r="966" ht="15.75" customHeight="1">
      <c r="A966" s="85"/>
      <c r="B966" s="85"/>
      <c r="C966" s="85"/>
      <c r="D966" s="85"/>
      <c r="E966" s="85"/>
      <c r="F966" s="85"/>
      <c r="G966" s="85"/>
    </row>
    <row r="967" ht="15.75" customHeight="1">
      <c r="A967" s="85"/>
      <c r="B967" s="85"/>
      <c r="C967" s="85"/>
      <c r="D967" s="85"/>
      <c r="E967" s="85"/>
      <c r="F967" s="85"/>
      <c r="G967" s="85"/>
    </row>
    <row r="968" ht="15.75" customHeight="1">
      <c r="A968" s="85"/>
      <c r="B968" s="85"/>
      <c r="C968" s="85"/>
      <c r="D968" s="85"/>
      <c r="E968" s="85"/>
      <c r="F968" s="85"/>
      <c r="G968" s="85"/>
    </row>
    <row r="969" ht="15.75" customHeight="1">
      <c r="A969" s="85"/>
      <c r="B969" s="85"/>
      <c r="C969" s="85"/>
      <c r="D969" s="85"/>
      <c r="E969" s="85"/>
      <c r="F969" s="85"/>
      <c r="G969" s="85"/>
    </row>
    <row r="970" ht="15.75" customHeight="1">
      <c r="A970" s="85"/>
      <c r="B970" s="85"/>
      <c r="C970" s="85"/>
      <c r="D970" s="85"/>
      <c r="E970" s="85"/>
      <c r="F970" s="85"/>
      <c r="G970" s="85"/>
    </row>
    <row r="971" ht="15.75" customHeight="1">
      <c r="A971" s="85"/>
      <c r="B971" s="85"/>
      <c r="C971" s="85"/>
      <c r="D971" s="85"/>
      <c r="E971" s="85"/>
      <c r="F971" s="85"/>
      <c r="G971" s="85"/>
    </row>
    <row r="972" ht="15.75" customHeight="1">
      <c r="A972" s="85"/>
      <c r="B972" s="85"/>
      <c r="C972" s="85"/>
      <c r="D972" s="85"/>
      <c r="E972" s="85"/>
      <c r="F972" s="85"/>
      <c r="G972" s="85"/>
    </row>
    <row r="973" ht="15.75" customHeight="1">
      <c r="A973" s="85"/>
      <c r="B973" s="85"/>
      <c r="C973" s="85"/>
      <c r="D973" s="85"/>
      <c r="E973" s="85"/>
      <c r="F973" s="85"/>
      <c r="G973" s="85"/>
    </row>
    <row r="974" ht="15.75" customHeight="1">
      <c r="A974" s="85"/>
      <c r="B974" s="85"/>
      <c r="C974" s="85"/>
      <c r="D974" s="85"/>
      <c r="E974" s="85"/>
      <c r="F974" s="85"/>
      <c r="G974" s="85"/>
    </row>
    <row r="975" ht="15.75" customHeight="1">
      <c r="A975" s="85"/>
      <c r="B975" s="85"/>
      <c r="C975" s="85"/>
      <c r="D975" s="85"/>
      <c r="E975" s="85"/>
      <c r="F975" s="85"/>
      <c r="G975" s="85"/>
    </row>
    <row r="976" ht="15.75" customHeight="1">
      <c r="A976" s="85"/>
      <c r="B976" s="85"/>
      <c r="C976" s="85"/>
      <c r="D976" s="85"/>
      <c r="E976" s="85"/>
      <c r="F976" s="85"/>
      <c r="G976" s="85"/>
    </row>
    <row r="977" ht="15.75" customHeight="1">
      <c r="A977" s="85"/>
      <c r="B977" s="85"/>
      <c r="C977" s="85"/>
      <c r="D977" s="85"/>
      <c r="E977" s="85"/>
      <c r="F977" s="85"/>
      <c r="G977" s="85"/>
    </row>
    <row r="978" ht="15.75" customHeight="1">
      <c r="A978" s="85"/>
      <c r="B978" s="85"/>
      <c r="C978" s="85"/>
      <c r="D978" s="85"/>
      <c r="E978" s="85"/>
      <c r="F978" s="85"/>
      <c r="G978" s="85"/>
    </row>
    <row r="979" ht="15.75" customHeight="1">
      <c r="A979" s="85"/>
      <c r="B979" s="85"/>
      <c r="C979" s="85"/>
      <c r="D979" s="85"/>
      <c r="E979" s="85"/>
      <c r="F979" s="85"/>
      <c r="G979" s="85"/>
    </row>
    <row r="980" ht="15.75" customHeight="1">
      <c r="A980" s="85"/>
      <c r="B980" s="85"/>
      <c r="C980" s="85"/>
      <c r="D980" s="85"/>
      <c r="E980" s="85"/>
      <c r="F980" s="85"/>
      <c r="G980" s="85"/>
    </row>
    <row r="981" ht="15.75" customHeight="1">
      <c r="A981" s="85"/>
      <c r="B981" s="85"/>
      <c r="C981" s="85"/>
      <c r="D981" s="85"/>
      <c r="E981" s="85"/>
      <c r="F981" s="85"/>
      <c r="G981" s="85"/>
    </row>
    <row r="982" ht="15.75" customHeight="1">
      <c r="A982" s="85"/>
      <c r="B982" s="85"/>
      <c r="C982" s="85"/>
      <c r="D982" s="85"/>
      <c r="E982" s="85"/>
      <c r="F982" s="85"/>
      <c r="G982" s="85"/>
    </row>
    <row r="983" ht="15.75" customHeight="1">
      <c r="A983" s="85"/>
      <c r="B983" s="85"/>
      <c r="C983" s="85"/>
      <c r="D983" s="85"/>
      <c r="E983" s="85"/>
      <c r="F983" s="85"/>
      <c r="G983" s="85"/>
    </row>
    <row r="984" ht="15.75" customHeight="1">
      <c r="A984" s="85"/>
      <c r="B984" s="85"/>
      <c r="C984" s="85"/>
      <c r="D984" s="85"/>
      <c r="E984" s="85"/>
      <c r="F984" s="85"/>
      <c r="G984" s="85"/>
    </row>
    <row r="985" ht="15.75" customHeight="1">
      <c r="A985" s="85"/>
      <c r="B985" s="85"/>
      <c r="C985" s="85"/>
      <c r="D985" s="85"/>
      <c r="E985" s="85"/>
      <c r="F985" s="85"/>
      <c r="G985" s="85"/>
    </row>
    <row r="986" ht="15.75" customHeight="1">
      <c r="A986" s="85"/>
      <c r="B986" s="85"/>
      <c r="C986" s="85"/>
      <c r="D986" s="85"/>
      <c r="E986" s="85"/>
      <c r="F986" s="85"/>
      <c r="G986" s="85"/>
    </row>
    <row r="987" ht="15.75" customHeight="1">
      <c r="A987" s="85"/>
      <c r="B987" s="85"/>
      <c r="C987" s="85"/>
      <c r="D987" s="85"/>
      <c r="E987" s="85"/>
      <c r="F987" s="85"/>
      <c r="G987" s="85"/>
    </row>
    <row r="988" ht="15.75" customHeight="1">
      <c r="A988" s="85"/>
      <c r="B988" s="85"/>
      <c r="C988" s="85"/>
      <c r="D988" s="85"/>
      <c r="E988" s="85"/>
      <c r="F988" s="85"/>
      <c r="G988" s="85"/>
    </row>
    <row r="989" ht="15.75" customHeight="1">
      <c r="A989" s="85"/>
      <c r="B989" s="85"/>
      <c r="C989" s="85"/>
      <c r="D989" s="85"/>
      <c r="E989" s="85"/>
      <c r="F989" s="85"/>
      <c r="G989" s="85"/>
    </row>
    <row r="990" ht="15.75" customHeight="1">
      <c r="A990" s="85"/>
      <c r="B990" s="85"/>
      <c r="C990" s="85"/>
      <c r="D990" s="85"/>
      <c r="E990" s="85"/>
      <c r="F990" s="85"/>
      <c r="G990" s="85"/>
    </row>
    <row r="991" ht="15.75" customHeight="1">
      <c r="A991" s="85"/>
      <c r="B991" s="85"/>
      <c r="C991" s="85"/>
      <c r="D991" s="85"/>
      <c r="E991" s="85"/>
      <c r="F991" s="85"/>
      <c r="G991" s="85"/>
    </row>
    <row r="992" ht="15.75" customHeight="1">
      <c r="A992" s="85"/>
      <c r="B992" s="85"/>
      <c r="C992" s="85"/>
      <c r="D992" s="85"/>
      <c r="E992" s="85"/>
      <c r="F992" s="85"/>
      <c r="G992" s="85"/>
    </row>
    <row r="993" ht="15.75" customHeight="1">
      <c r="A993" s="85"/>
      <c r="B993" s="85"/>
      <c r="C993" s="85"/>
      <c r="D993" s="85"/>
      <c r="E993" s="85"/>
      <c r="F993" s="85"/>
      <c r="G993" s="85"/>
    </row>
    <row r="994" ht="15.75" customHeight="1">
      <c r="A994" s="85"/>
      <c r="B994" s="85"/>
      <c r="C994" s="85"/>
      <c r="D994" s="85"/>
      <c r="E994" s="85"/>
      <c r="F994" s="85"/>
      <c r="G994" s="85"/>
    </row>
    <row r="995" ht="15.75" customHeight="1">
      <c r="A995" s="85"/>
      <c r="B995" s="85"/>
      <c r="C995" s="85"/>
      <c r="D995" s="85"/>
      <c r="E995" s="85"/>
      <c r="F995" s="85"/>
      <c r="G995" s="85"/>
    </row>
    <row r="996" ht="15.75" customHeight="1">
      <c r="A996" s="85"/>
      <c r="B996" s="85"/>
      <c r="C996" s="85"/>
      <c r="D996" s="85"/>
      <c r="E996" s="85"/>
      <c r="F996" s="85"/>
      <c r="G996" s="85"/>
    </row>
    <row r="997" ht="15.75" customHeight="1">
      <c r="A997" s="85"/>
      <c r="B997" s="85"/>
      <c r="C997" s="85"/>
      <c r="D997" s="85"/>
      <c r="E997" s="85"/>
      <c r="F997" s="85"/>
      <c r="G997" s="85"/>
    </row>
    <row r="998" ht="15.75" customHeight="1">
      <c r="A998" s="85"/>
      <c r="B998" s="85"/>
      <c r="C998" s="85"/>
      <c r="D998" s="85"/>
      <c r="E998" s="85"/>
      <c r="F998" s="85"/>
      <c r="G998" s="85"/>
    </row>
    <row r="999" ht="15.75" customHeight="1">
      <c r="A999" s="85"/>
      <c r="B999" s="85"/>
      <c r="C999" s="85"/>
      <c r="D999" s="85"/>
      <c r="E999" s="85"/>
      <c r="F999" s="85"/>
      <c r="G999" s="85"/>
    </row>
    <row r="1000" ht="15.75" customHeight="1">
      <c r="A1000" s="85"/>
      <c r="B1000" s="85"/>
      <c r="C1000" s="85"/>
      <c r="D1000" s="85"/>
      <c r="E1000" s="85"/>
      <c r="F1000" s="85"/>
      <c r="G1000" s="85"/>
    </row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9.14"/>
    <col customWidth="1" min="3" max="3" width="15.29"/>
    <col customWidth="1" min="4" max="4" width="20.43"/>
    <col customWidth="1" min="5" max="5" width="18.71"/>
    <col customWidth="1" min="6" max="6" width="8.0"/>
    <col customWidth="1" min="7" max="7" width="13.57"/>
    <col customWidth="1" min="8" max="8" width="13.71"/>
    <col customWidth="1" min="9" max="9" width="15.14"/>
  </cols>
  <sheetData>
    <row r="1" ht="15.0" customHeight="1">
      <c r="A1" s="338" t="s">
        <v>153</v>
      </c>
      <c r="B1" s="338" t="s">
        <v>193</v>
      </c>
      <c r="C1" s="338" t="s">
        <v>259</v>
      </c>
      <c r="D1" s="338" t="s">
        <v>260</v>
      </c>
      <c r="E1" s="338" t="s">
        <v>268</v>
      </c>
      <c r="F1" s="338" t="s">
        <v>25</v>
      </c>
      <c r="G1" s="338" t="s">
        <v>269</v>
      </c>
      <c r="H1" s="338" t="s">
        <v>261</v>
      </c>
      <c r="I1" s="338" t="s">
        <v>270</v>
      </c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ht="15.0" customHeight="1">
      <c r="A2" s="96" t="s">
        <v>43</v>
      </c>
      <c r="B2" s="96" t="s">
        <v>212</v>
      </c>
      <c r="C2" s="96" t="s">
        <v>262</v>
      </c>
      <c r="D2" s="96">
        <v>0.0</v>
      </c>
      <c r="E2" s="96">
        <v>2.03</v>
      </c>
      <c r="F2" s="85"/>
      <c r="G2" s="96">
        <v>18.4634</v>
      </c>
      <c r="H2" s="96">
        <v>2415400.0</v>
      </c>
      <c r="I2" s="96" t="s">
        <v>271</v>
      </c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ht="15.0" customHeight="1">
      <c r="A3" s="96" t="s">
        <v>43</v>
      </c>
      <c r="B3" s="96" t="s">
        <v>212</v>
      </c>
      <c r="C3" s="96" t="s">
        <v>263</v>
      </c>
      <c r="D3" s="96">
        <v>1.0</v>
      </c>
      <c r="E3" s="96">
        <v>20.5</v>
      </c>
      <c r="F3" s="96">
        <v>17.833</v>
      </c>
      <c r="G3" s="96">
        <v>7.735</v>
      </c>
      <c r="H3" s="96">
        <v>5117790.0</v>
      </c>
      <c r="I3" s="96" t="s">
        <v>272</v>
      </c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ht="15.0" customHeight="1">
      <c r="A4" s="96" t="s">
        <v>43</v>
      </c>
      <c r="B4" s="96" t="s">
        <v>212</v>
      </c>
      <c r="C4" s="96" t="s">
        <v>264</v>
      </c>
      <c r="D4" s="96">
        <v>4.0</v>
      </c>
      <c r="E4" s="96">
        <v>43.7</v>
      </c>
      <c r="F4" s="96">
        <v>8.6283</v>
      </c>
      <c r="G4" s="96">
        <v>11.8006</v>
      </c>
      <c r="H4" s="96">
        <v>3711666.0</v>
      </c>
      <c r="I4" s="96" t="s">
        <v>272</v>
      </c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ht="15.0" customHeight="1">
      <c r="A5" s="96" t="s">
        <v>43</v>
      </c>
      <c r="B5" s="96" t="s">
        <v>212</v>
      </c>
      <c r="C5" s="96" t="s">
        <v>265</v>
      </c>
      <c r="D5" s="96">
        <v>7.0</v>
      </c>
      <c r="E5" s="96">
        <v>79.1</v>
      </c>
      <c r="F5" s="96">
        <v>6.9925</v>
      </c>
      <c r="G5" s="85"/>
      <c r="H5" s="96">
        <v>1837473.0</v>
      </c>
      <c r="I5" s="96" t="s">
        <v>272</v>
      </c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ht="15.0" customHeight="1">
      <c r="A6" s="96" t="s">
        <v>43</v>
      </c>
      <c r="B6" s="96" t="s">
        <v>219</v>
      </c>
      <c r="C6" s="96" t="s">
        <v>262</v>
      </c>
      <c r="D6" s="96">
        <v>0.0</v>
      </c>
      <c r="E6" s="96">
        <v>2.25</v>
      </c>
      <c r="F6" s="85"/>
      <c r="G6" s="96">
        <v>22.4936</v>
      </c>
      <c r="H6" s="96">
        <v>1887017.0</v>
      </c>
      <c r="I6" s="96" t="s">
        <v>271</v>
      </c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ht="15.0" customHeight="1">
      <c r="A7" s="96" t="s">
        <v>43</v>
      </c>
      <c r="B7" s="96" t="s">
        <v>219</v>
      </c>
      <c r="C7" s="96" t="s">
        <v>263</v>
      </c>
      <c r="D7" s="96">
        <v>1.0</v>
      </c>
      <c r="E7" s="96">
        <v>24.74</v>
      </c>
      <c r="F7" s="96">
        <v>28.5464</v>
      </c>
      <c r="G7" s="96">
        <v>15.9167</v>
      </c>
      <c r="H7" s="96">
        <v>4060501.0</v>
      </c>
      <c r="I7" s="96" t="s">
        <v>272</v>
      </c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ht="15.0" customHeight="1">
      <c r="A8" s="96" t="s">
        <v>43</v>
      </c>
      <c r="B8" s="96" t="s">
        <v>219</v>
      </c>
      <c r="C8" s="96" t="s">
        <v>264</v>
      </c>
      <c r="D8" s="96">
        <v>3.0</v>
      </c>
      <c r="E8" s="96">
        <v>56.58</v>
      </c>
      <c r="F8" s="96">
        <v>17.3257</v>
      </c>
      <c r="G8" s="96">
        <v>21.5848</v>
      </c>
      <c r="H8" s="96">
        <v>3123331.0</v>
      </c>
      <c r="I8" s="96" t="s">
        <v>272</v>
      </c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ht="15.0" customHeight="1">
      <c r="A9" s="96" t="s">
        <v>43</v>
      </c>
      <c r="B9" s="96" t="s">
        <v>219</v>
      </c>
      <c r="C9" s="96" t="s">
        <v>265</v>
      </c>
      <c r="D9" s="96">
        <v>6.0</v>
      </c>
      <c r="E9" s="96">
        <v>121.33</v>
      </c>
      <c r="F9" s="96">
        <v>14.8668</v>
      </c>
      <c r="G9" s="85"/>
      <c r="H9" s="96">
        <v>1674190.0</v>
      </c>
      <c r="I9" s="96" t="s">
        <v>272</v>
      </c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ht="15.0" customHeight="1">
      <c r="A10" s="96" t="s">
        <v>44</v>
      </c>
      <c r="B10" s="96" t="s">
        <v>212</v>
      </c>
      <c r="C10" s="96" t="s">
        <v>262</v>
      </c>
      <c r="D10" s="96">
        <v>4.0</v>
      </c>
      <c r="E10" s="96">
        <v>60.89</v>
      </c>
      <c r="F10" s="96">
        <v>10.9869</v>
      </c>
      <c r="G10" s="96">
        <v>10.1883</v>
      </c>
      <c r="H10" s="96">
        <v>1461020.0</v>
      </c>
      <c r="I10" s="96" t="s">
        <v>272</v>
      </c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15.0" customHeight="1">
      <c r="A11" s="96" t="s">
        <v>44</v>
      </c>
      <c r="B11" s="96" t="s">
        <v>212</v>
      </c>
      <c r="C11" s="96" t="s">
        <v>263</v>
      </c>
      <c r="D11" s="96">
        <v>7.0</v>
      </c>
      <c r="E11" s="96">
        <v>91.46</v>
      </c>
      <c r="F11" s="96">
        <v>5.3655</v>
      </c>
      <c r="G11" s="96">
        <v>4.0075</v>
      </c>
      <c r="H11" s="96">
        <v>1584063.0</v>
      </c>
      <c r="I11" s="96" t="s">
        <v>272</v>
      </c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ht="15.0" customHeight="1">
      <c r="A12" s="96" t="s">
        <v>44</v>
      </c>
      <c r="B12" s="96" t="s">
        <v>212</v>
      </c>
      <c r="C12" s="96" t="s">
        <v>264</v>
      </c>
      <c r="D12" s="96">
        <v>13.0</v>
      </c>
      <c r="E12" s="96">
        <v>115.5</v>
      </c>
      <c r="F12" s="96">
        <v>5.9567</v>
      </c>
      <c r="G12" s="96">
        <v>7.8251</v>
      </c>
      <c r="H12" s="96">
        <v>1407909.0</v>
      </c>
      <c r="I12" s="96" t="s">
        <v>272</v>
      </c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ht="15.0" customHeight="1">
      <c r="A13" s="96" t="s">
        <v>44</v>
      </c>
      <c r="B13" s="96" t="s">
        <v>212</v>
      </c>
      <c r="C13" s="96" t="s">
        <v>265</v>
      </c>
      <c r="D13" s="96">
        <v>20.0</v>
      </c>
      <c r="E13" s="96">
        <v>170.28</v>
      </c>
      <c r="F13" s="96">
        <v>6.4777</v>
      </c>
      <c r="G13" s="85"/>
      <c r="H13" s="96">
        <v>839486.0</v>
      </c>
      <c r="I13" s="96" t="s">
        <v>272</v>
      </c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ht="15.0" customHeight="1">
      <c r="A14" s="96" t="s">
        <v>44</v>
      </c>
      <c r="B14" s="96" t="s">
        <v>219</v>
      </c>
      <c r="C14" s="96" t="s">
        <v>262</v>
      </c>
      <c r="D14" s="96">
        <v>3.0</v>
      </c>
      <c r="E14" s="96">
        <v>89.02</v>
      </c>
      <c r="F14" s="96">
        <v>23.1203</v>
      </c>
      <c r="G14" s="96">
        <v>20.7515</v>
      </c>
      <c r="H14" s="96">
        <v>869531.0</v>
      </c>
      <c r="I14" s="96" t="s">
        <v>272</v>
      </c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ht="15.0" customHeight="1">
      <c r="A15" s="96" t="s">
        <v>44</v>
      </c>
      <c r="B15" s="96" t="s">
        <v>219</v>
      </c>
      <c r="C15" s="96" t="s">
        <v>263</v>
      </c>
      <c r="D15" s="96">
        <v>6.0</v>
      </c>
      <c r="E15" s="96">
        <v>151.27</v>
      </c>
      <c r="F15" s="96">
        <v>13.3578</v>
      </c>
      <c r="G15" s="96">
        <v>9.8888</v>
      </c>
      <c r="H15" s="96">
        <v>926370.0</v>
      </c>
      <c r="I15" s="96" t="s">
        <v>272</v>
      </c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ht="15.0" customHeight="1">
      <c r="A16" s="96" t="s">
        <v>44</v>
      </c>
      <c r="B16" s="96" t="s">
        <v>219</v>
      </c>
      <c r="C16" s="96" t="s">
        <v>264</v>
      </c>
      <c r="D16" s="96">
        <v>12.0</v>
      </c>
      <c r="E16" s="96">
        <v>210.6</v>
      </c>
      <c r="F16" s="96">
        <v>12.1652</v>
      </c>
      <c r="G16" s="96">
        <v>16.6286</v>
      </c>
      <c r="H16" s="96">
        <v>827758.0</v>
      </c>
      <c r="I16" s="96" t="s">
        <v>272</v>
      </c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15.0" customHeight="1">
      <c r="A17" s="96" t="s">
        <v>44</v>
      </c>
      <c r="B17" s="96" t="s">
        <v>219</v>
      </c>
      <c r="C17" s="96" t="s">
        <v>265</v>
      </c>
      <c r="D17" s="96">
        <v>20.0</v>
      </c>
      <c r="E17" s="96">
        <v>343.63</v>
      </c>
      <c r="F17" s="96">
        <v>16.9029</v>
      </c>
      <c r="G17" s="85"/>
      <c r="H17" s="96">
        <v>514935.0</v>
      </c>
      <c r="I17" s="96" t="s">
        <v>272</v>
      </c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ht="15.0" customHeight="1">
      <c r="A18" s="96" t="s">
        <v>45</v>
      </c>
      <c r="B18" s="96" t="s">
        <v>212</v>
      </c>
      <c r="C18" s="96" t="s">
        <v>262</v>
      </c>
      <c r="D18" s="96">
        <v>7.0</v>
      </c>
      <c r="E18" s="96">
        <v>106.9</v>
      </c>
      <c r="F18" s="96">
        <v>9.5117</v>
      </c>
      <c r="G18" s="96">
        <v>7.3234</v>
      </c>
      <c r="H18" s="96">
        <v>864510.0</v>
      </c>
      <c r="I18" s="96" t="s">
        <v>272</v>
      </c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ht="15.0" customHeight="1">
      <c r="A19" s="96" t="s">
        <v>45</v>
      </c>
      <c r="B19" s="96" t="s">
        <v>212</v>
      </c>
      <c r="C19" s="96" t="s">
        <v>263</v>
      </c>
      <c r="D19" s="96">
        <v>14.0</v>
      </c>
      <c r="E19" s="96">
        <v>158.17</v>
      </c>
      <c r="F19" s="96">
        <v>5.6273</v>
      </c>
      <c r="G19" s="96">
        <v>4.3469</v>
      </c>
      <c r="H19" s="96">
        <v>937876.0</v>
      </c>
      <c r="I19" s="96" t="s">
        <v>272</v>
      </c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15.0" customHeight="1">
      <c r="A20" s="96" t="s">
        <v>45</v>
      </c>
      <c r="B20" s="96" t="s">
        <v>212</v>
      </c>
      <c r="C20" s="96" t="s">
        <v>264</v>
      </c>
      <c r="D20" s="96">
        <v>25.0</v>
      </c>
      <c r="E20" s="96">
        <v>205.98</v>
      </c>
      <c r="F20" s="96">
        <v>5.4463</v>
      </c>
      <c r="G20" s="96">
        <v>7.453</v>
      </c>
      <c r="H20" s="96">
        <v>733135.0</v>
      </c>
      <c r="I20" s="96" t="s">
        <v>272</v>
      </c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ht="15.75" customHeight="1">
      <c r="A21" s="96" t="s">
        <v>45</v>
      </c>
      <c r="B21" s="96" t="s">
        <v>212</v>
      </c>
      <c r="C21" s="96" t="s">
        <v>265</v>
      </c>
      <c r="D21" s="96">
        <v>37.0</v>
      </c>
      <c r="E21" s="96">
        <v>295.42</v>
      </c>
      <c r="F21" s="96">
        <v>5.5887</v>
      </c>
      <c r="G21" s="85"/>
      <c r="H21" s="96">
        <v>457636.0</v>
      </c>
      <c r="I21" s="96" t="s">
        <v>272</v>
      </c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15.75" customHeight="1">
      <c r="A22" s="96" t="s">
        <v>45</v>
      </c>
      <c r="B22" s="96" t="s">
        <v>219</v>
      </c>
      <c r="C22" s="96" t="s">
        <v>262</v>
      </c>
      <c r="D22" s="96">
        <v>6.0</v>
      </c>
      <c r="E22" s="96">
        <v>182.33</v>
      </c>
      <c r="F22" s="96">
        <v>21.3296</v>
      </c>
      <c r="G22" s="96">
        <v>16.9736</v>
      </c>
      <c r="H22" s="96">
        <v>485603.0</v>
      </c>
      <c r="I22" s="96" t="s">
        <v>272</v>
      </c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ht="15.75" customHeight="1">
      <c r="A23" s="96" t="s">
        <v>45</v>
      </c>
      <c r="B23" s="96" t="s">
        <v>219</v>
      </c>
      <c r="C23" s="96" t="s">
        <v>263</v>
      </c>
      <c r="D23" s="96">
        <v>13.0</v>
      </c>
      <c r="E23" s="96">
        <v>301.15</v>
      </c>
      <c r="F23" s="96">
        <v>12.7456</v>
      </c>
      <c r="G23" s="96">
        <v>11.2955</v>
      </c>
      <c r="H23" s="96">
        <v>477702.0</v>
      </c>
      <c r="I23" s="96" t="s">
        <v>272</v>
      </c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ht="15.75" customHeight="1">
      <c r="A24" s="96" t="s">
        <v>45</v>
      </c>
      <c r="B24" s="96" t="s">
        <v>219</v>
      </c>
      <c r="C24" s="96" t="s">
        <v>264</v>
      </c>
      <c r="D24" s="96">
        <v>24.0</v>
      </c>
      <c r="E24" s="96">
        <v>425.4</v>
      </c>
      <c r="F24" s="96">
        <v>13.2772</v>
      </c>
      <c r="G24" s="96">
        <v>19.4271</v>
      </c>
      <c r="H24" s="96">
        <v>382122.0</v>
      </c>
      <c r="I24" s="96" t="s">
        <v>272</v>
      </c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ht="15.75" customHeight="1">
      <c r="A25" s="96" t="s">
        <v>45</v>
      </c>
      <c r="B25" s="96" t="s">
        <v>219</v>
      </c>
      <c r="C25" s="96" t="s">
        <v>265</v>
      </c>
      <c r="D25" s="96">
        <v>37.0</v>
      </c>
      <c r="E25" s="96">
        <v>677.95</v>
      </c>
      <c r="F25" s="96">
        <v>17.2879</v>
      </c>
      <c r="G25" s="85"/>
      <c r="H25" s="96">
        <v>254455.0</v>
      </c>
      <c r="I25" s="96" t="s">
        <v>272</v>
      </c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ht="15.75" customHeight="1">
      <c r="A26" s="96" t="s">
        <v>46</v>
      </c>
      <c r="B26" s="96" t="s">
        <v>212</v>
      </c>
      <c r="C26" s="96" t="s">
        <v>262</v>
      </c>
      <c r="D26" s="96">
        <v>15.0</v>
      </c>
      <c r="E26" s="96">
        <v>208.48</v>
      </c>
      <c r="F26" s="96">
        <v>8.6335</v>
      </c>
      <c r="G26" s="96">
        <v>6.5702</v>
      </c>
      <c r="H26" s="96">
        <v>352532.0</v>
      </c>
      <c r="I26" s="96" t="s">
        <v>272</v>
      </c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ht="15.75" customHeight="1">
      <c r="A27" s="96" t="s">
        <v>46</v>
      </c>
      <c r="B27" s="96" t="s">
        <v>212</v>
      </c>
      <c r="C27" s="96" t="s">
        <v>263</v>
      </c>
      <c r="D27" s="96">
        <v>30.0</v>
      </c>
      <c r="E27" s="96">
        <v>307.03</v>
      </c>
      <c r="F27" s="96">
        <v>5.0627</v>
      </c>
      <c r="G27" s="96">
        <v>3.783</v>
      </c>
      <c r="H27" s="96">
        <v>365584.0</v>
      </c>
      <c r="I27" s="96" t="s">
        <v>272</v>
      </c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15.75" customHeight="1">
      <c r="A28" s="96" t="s">
        <v>46</v>
      </c>
      <c r="B28" s="96" t="s">
        <v>212</v>
      </c>
      <c r="C28" s="96" t="s">
        <v>264</v>
      </c>
      <c r="D28" s="96">
        <v>52.0</v>
      </c>
      <c r="E28" s="96">
        <v>390.26</v>
      </c>
      <c r="F28" s="96">
        <v>4.2011</v>
      </c>
      <c r="G28" s="96">
        <v>5.8149</v>
      </c>
      <c r="H28" s="96">
        <v>288299.0</v>
      </c>
      <c r="I28" s="96" t="s">
        <v>272</v>
      </c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5.75" customHeight="1">
      <c r="A29" s="96" t="s">
        <v>46</v>
      </c>
      <c r="B29" s="96" t="s">
        <v>212</v>
      </c>
      <c r="C29" s="96" t="s">
        <v>265</v>
      </c>
      <c r="D29" s="96">
        <v>79.0</v>
      </c>
      <c r="E29" s="96">
        <v>547.26</v>
      </c>
      <c r="F29" s="96">
        <v>5.5147</v>
      </c>
      <c r="G29" s="85"/>
      <c r="H29" s="96">
        <v>179835.0</v>
      </c>
      <c r="I29" s="96" t="s">
        <v>272</v>
      </c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ht="15.75" customHeight="1">
      <c r="A30" s="96" t="s">
        <v>46</v>
      </c>
      <c r="B30" s="96" t="s">
        <v>219</v>
      </c>
      <c r="C30" s="96" t="s">
        <v>262</v>
      </c>
      <c r="D30" s="96">
        <v>12.0</v>
      </c>
      <c r="E30" s="96">
        <v>363.51</v>
      </c>
      <c r="F30" s="96">
        <v>20.668</v>
      </c>
      <c r="G30" s="96">
        <v>18.5518</v>
      </c>
      <c r="H30" s="96">
        <v>183634.0</v>
      </c>
      <c r="I30" s="96" t="s">
        <v>272</v>
      </c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ht="15.75" customHeight="1">
      <c r="A31" s="96" t="s">
        <v>46</v>
      </c>
      <c r="B31" s="96" t="s">
        <v>219</v>
      </c>
      <c r="C31" s="96" t="s">
        <v>263</v>
      </c>
      <c r="D31" s="96">
        <v>27.0</v>
      </c>
      <c r="E31" s="96">
        <v>641.78</v>
      </c>
      <c r="F31" s="96">
        <v>15.4689</v>
      </c>
      <c r="G31" s="96">
        <v>10.9533</v>
      </c>
      <c r="H31" s="96">
        <v>182646.0</v>
      </c>
      <c r="I31" s="96" t="s">
        <v>272</v>
      </c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ht="15.75" customHeight="1">
      <c r="A32" s="96" t="s">
        <v>46</v>
      </c>
      <c r="B32" s="96" t="s">
        <v>219</v>
      </c>
      <c r="C32" s="96" t="s">
        <v>264</v>
      </c>
      <c r="D32" s="96">
        <v>50.0</v>
      </c>
      <c r="E32" s="96">
        <v>893.71</v>
      </c>
      <c r="F32" s="96">
        <v>11.8018</v>
      </c>
      <c r="G32" s="96">
        <v>17.0743</v>
      </c>
      <c r="H32" s="96">
        <v>146111.0</v>
      </c>
      <c r="I32" s="96" t="s">
        <v>272</v>
      </c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ht="15.75" customHeight="1">
      <c r="A33" s="96" t="s">
        <v>46</v>
      </c>
      <c r="B33" s="96" t="s">
        <v>219</v>
      </c>
      <c r="C33" s="96" t="s">
        <v>265</v>
      </c>
      <c r="D33" s="96">
        <v>77.0</v>
      </c>
      <c r="E33" s="96">
        <v>1354.72</v>
      </c>
      <c r="F33" s="96">
        <v>15.5223</v>
      </c>
      <c r="G33" s="85"/>
      <c r="H33" s="96">
        <v>92449.0</v>
      </c>
      <c r="I33" s="96" t="s">
        <v>272</v>
      </c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ht="15.75" customHeight="1">
      <c r="A34" s="96" t="s">
        <v>47</v>
      </c>
      <c r="B34" s="96" t="s">
        <v>212</v>
      </c>
      <c r="C34" s="96" t="s">
        <v>262</v>
      </c>
      <c r="D34" s="96">
        <v>36.0</v>
      </c>
      <c r="E34" s="96">
        <v>459.17</v>
      </c>
      <c r="F34" s="96">
        <v>5.8677</v>
      </c>
      <c r="G34" s="96">
        <v>4.6052</v>
      </c>
      <c r="H34" s="96">
        <v>40154.0</v>
      </c>
      <c r="I34" s="96" t="s">
        <v>272</v>
      </c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ht="15.75" customHeight="1">
      <c r="A35" s="96" t="s">
        <v>47</v>
      </c>
      <c r="B35" s="96" t="s">
        <v>212</v>
      </c>
      <c r="C35" s="96" t="s">
        <v>263</v>
      </c>
      <c r="D35" s="96">
        <v>74.0</v>
      </c>
      <c r="E35" s="96">
        <v>634.17</v>
      </c>
      <c r="F35" s="96">
        <v>3.9052</v>
      </c>
      <c r="G35" s="96">
        <v>3.1652</v>
      </c>
      <c r="H35" s="96">
        <v>40258.0</v>
      </c>
      <c r="I35" s="96" t="s">
        <v>272</v>
      </c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ht="15.75" customHeight="1">
      <c r="A36" s="96" t="s">
        <v>47</v>
      </c>
      <c r="B36" s="96" t="s">
        <v>212</v>
      </c>
      <c r="C36" s="96" t="s">
        <v>264</v>
      </c>
      <c r="D36" s="96">
        <v>124.0</v>
      </c>
      <c r="E36" s="96">
        <v>792.43</v>
      </c>
      <c r="F36" s="96">
        <v>4.0989</v>
      </c>
      <c r="G36" s="96">
        <v>5.8682</v>
      </c>
      <c r="H36" s="96">
        <v>31902.0</v>
      </c>
      <c r="I36" s="96" t="s">
        <v>272</v>
      </c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ht="15.75" customHeight="1">
      <c r="A37" s="96" t="s">
        <v>47</v>
      </c>
      <c r="B37" s="96" t="s">
        <v>212</v>
      </c>
      <c r="C37" s="96" t="s">
        <v>265</v>
      </c>
      <c r="D37" s="96">
        <v>177.0</v>
      </c>
      <c r="E37" s="96">
        <v>1103.44</v>
      </c>
      <c r="F37" s="96">
        <v>4.5044</v>
      </c>
      <c r="G37" s="85"/>
      <c r="H37" s="96">
        <v>20079.0</v>
      </c>
      <c r="I37" s="96" t="s">
        <v>272</v>
      </c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ht="15.75" customHeight="1">
      <c r="A38" s="96" t="s">
        <v>47</v>
      </c>
      <c r="B38" s="96" t="s">
        <v>219</v>
      </c>
      <c r="C38" s="96" t="s">
        <v>262</v>
      </c>
      <c r="D38" s="96">
        <v>28.0</v>
      </c>
      <c r="E38" s="96">
        <v>788.37</v>
      </c>
      <c r="F38" s="96">
        <v>17.6282</v>
      </c>
      <c r="G38" s="96">
        <v>13.7888</v>
      </c>
      <c r="H38" s="96">
        <v>19127.0</v>
      </c>
      <c r="I38" s="96" t="s">
        <v>272</v>
      </c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ht="15.75" customHeight="1">
      <c r="A39" s="96" t="s">
        <v>47</v>
      </c>
      <c r="B39" s="96" t="s">
        <v>219</v>
      </c>
      <c r="C39" s="96" t="s">
        <v>263</v>
      </c>
      <c r="D39" s="96">
        <v>66.0</v>
      </c>
      <c r="E39" s="96">
        <v>1312.35</v>
      </c>
      <c r="F39" s="96">
        <v>10.8686</v>
      </c>
      <c r="G39" s="96">
        <v>8.5431</v>
      </c>
      <c r="H39" s="96">
        <v>19412.0</v>
      </c>
      <c r="I39" s="96" t="s">
        <v>272</v>
      </c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ht="15.75" customHeight="1">
      <c r="A40" s="96" t="s">
        <v>47</v>
      </c>
      <c r="B40" s="96" t="s">
        <v>219</v>
      </c>
      <c r="C40" s="96" t="s">
        <v>264</v>
      </c>
      <c r="D40" s="96">
        <v>121.0</v>
      </c>
      <c r="E40" s="96">
        <v>1782.22</v>
      </c>
      <c r="F40" s="96">
        <v>9.4274</v>
      </c>
      <c r="G40" s="96">
        <v>13.5289</v>
      </c>
      <c r="H40" s="96">
        <v>15376.0</v>
      </c>
      <c r="I40" s="96" t="s">
        <v>272</v>
      </c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ht="15.75" customHeight="1">
      <c r="A41" s="96" t="s">
        <v>47</v>
      </c>
      <c r="B41" s="96" t="s">
        <v>219</v>
      </c>
      <c r="C41" s="96" t="s">
        <v>265</v>
      </c>
      <c r="D41" s="96">
        <v>179.0</v>
      </c>
      <c r="E41" s="96">
        <v>2566.89</v>
      </c>
      <c r="F41" s="96">
        <v>9.4098</v>
      </c>
      <c r="G41" s="85"/>
      <c r="H41" s="96">
        <v>9568.0</v>
      </c>
      <c r="I41" s="96" t="s">
        <v>272</v>
      </c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ht="15.75" customHeight="1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ht="15.75" customHeight="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ht="15.7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ht="15.75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ht="15.75" customHeight="1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ht="15.75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ht="15.75" customHeight="1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ht="15.75" customHeight="1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ht="15.75" customHeight="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ht="15.75" customHeight="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ht="15.75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ht="15.75" customHeight="1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ht="15.75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ht="15.75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ht="15.75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ht="15.7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ht="15.7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ht="15.7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ht="15.7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ht="15.7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ht="15.7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ht="15.7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ht="15.7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ht="15.7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ht="15.7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ht="15.7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ht="15.7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ht="15.7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ht="15.7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ht="15.7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ht="15.7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ht="15.7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ht="15.7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ht="15.7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ht="15.7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ht="15.7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ht="15.7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ht="15.7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ht="15.7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ht="15.7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ht="15.7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ht="15.7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ht="15.7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ht="15.7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ht="15.7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ht="15.7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ht="15.7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ht="15.7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ht="15.7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ht="15.7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ht="15.7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ht="15.7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ht="15.7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ht="15.7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ht="15.7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ht="15.7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ht="15.7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ht="15.7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ht="15.7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ht="15.7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ht="15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ht="15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ht="15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ht="15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ht="15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ht="15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ht="15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ht="15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ht="15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ht="15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ht="15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ht="15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ht="15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ht="15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ht="15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ht="15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ht="15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ht="15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ht="15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ht="15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ht="15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ht="15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ht="15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ht="15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ht="15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ht="15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ht="15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ht="15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ht="15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ht="15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ht="15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ht="15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ht="15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ht="15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ht="15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ht="15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ht="15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ht="15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ht="15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ht="15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ht="15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ht="15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ht="15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ht="15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ht="15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ht="15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ht="15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ht="15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ht="15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ht="15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ht="15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ht="15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ht="15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ht="15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ht="15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ht="15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ht="15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ht="15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ht="15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ht="15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ht="15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ht="15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ht="15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ht="15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ht="15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ht="15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ht="15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ht="15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ht="15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ht="15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ht="15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ht="15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ht="15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ht="15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ht="15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ht="15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ht="15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ht="15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ht="15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ht="15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ht="15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ht="15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ht="15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ht="15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ht="15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ht="15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ht="15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ht="15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ht="15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ht="15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ht="15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ht="15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ht="15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ht="15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ht="15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ht="15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ht="15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ht="15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ht="15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ht="15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ht="15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ht="15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ht="15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ht="15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ht="15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ht="15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ht="15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ht="15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ht="15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ht="15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ht="15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ht="15.7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ht="15.7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ht="15.7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ht="15.7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ht="15.7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ht="15.7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ht="15.7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ht="15.7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ht="15.7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ht="15.7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ht="15.7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ht="15.7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ht="15.7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ht="15.7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ht="15.7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ht="15.7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ht="15.7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ht="15.7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ht="15.7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ht="15.7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ht="15.7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ht="15.7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ht="15.7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ht="15.7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ht="15.7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ht="15.7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ht="15.7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ht="15.7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ht="15.7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ht="15.7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ht="15.7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ht="15.7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ht="15.7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ht="15.7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ht="15.7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ht="15.7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ht="15.7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ht="15.7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ht="15.7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ht="15.7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ht="15.7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ht="15.7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ht="15.7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ht="15.7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ht="15.7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ht="15.7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ht="15.7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ht="15.7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ht="15.7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ht="15.7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ht="15.7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ht="15.7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ht="15.7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ht="15.7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ht="15.7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ht="15.7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ht="15.7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ht="15.7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ht="15.7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ht="15.7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ht="15.7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ht="15.7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ht="15.7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ht="15.7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ht="15.7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ht="15.7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ht="15.7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ht="15.7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ht="15.7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ht="15.7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ht="15.7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ht="15.7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ht="15.7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ht="15.7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ht="15.7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ht="15.7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ht="15.7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ht="15.7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ht="15.7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ht="15.7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ht="15.7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ht="15.7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ht="15.7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ht="15.7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ht="15.7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ht="15.7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ht="15.7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ht="15.7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ht="15.7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ht="15.7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ht="15.7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ht="15.7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ht="15.7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ht="15.7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ht="15.7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ht="15.7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ht="15.7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ht="15.7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ht="15.7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ht="15.7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ht="15.7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ht="15.7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ht="15.7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ht="15.7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ht="15.7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ht="15.7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ht="15.7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ht="15.7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ht="15.7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ht="15.7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ht="15.7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ht="15.7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ht="15.7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ht="15.7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ht="15.7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ht="15.7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ht="15.7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ht="15.7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ht="15.7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ht="15.7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ht="15.7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ht="15.7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ht="15.7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ht="15.7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ht="15.7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ht="15.7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ht="15.7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ht="15.7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ht="15.7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ht="15.7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ht="15.7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ht="15.7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ht="15.7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ht="15.7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ht="15.7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ht="15.7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ht="15.7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ht="15.7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ht="15.7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ht="15.7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ht="15.7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ht="15.7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ht="15.7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ht="15.7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ht="15.7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ht="15.7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ht="15.7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ht="15.7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ht="15.7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ht="15.7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ht="15.7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ht="15.7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ht="15.7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ht="15.7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ht="15.7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ht="15.7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ht="15.7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ht="15.7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ht="15.7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ht="15.7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ht="15.7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ht="15.7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ht="15.7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ht="15.7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ht="15.7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ht="15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ht="15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ht="15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ht="15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ht="15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ht="15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ht="15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ht="15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ht="15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ht="15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ht="15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ht="15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ht="15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ht="15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ht="15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ht="15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ht="15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ht="15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ht="15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ht="15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ht="15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ht="15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ht="15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ht="15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ht="15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ht="15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ht="15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ht="15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ht="15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ht="15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ht="15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ht="15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ht="15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ht="15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ht="15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ht="15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ht="15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ht="15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ht="15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ht="15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ht="15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ht="15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ht="15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ht="15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ht="15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ht="15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ht="15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ht="15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ht="15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ht="15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ht="15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ht="15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ht="15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ht="15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ht="15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ht="15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ht="15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ht="15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ht="15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ht="15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ht="15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ht="15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ht="15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ht="15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ht="15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ht="15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ht="15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ht="15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ht="15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ht="15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ht="15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ht="15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ht="15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ht="15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ht="15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ht="15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ht="15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ht="15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ht="15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ht="15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ht="15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ht="15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ht="15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ht="15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ht="15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ht="15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ht="15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ht="15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ht="15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ht="15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ht="15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ht="15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ht="15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ht="15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ht="15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ht="15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ht="15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ht="15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ht="15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ht="15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ht="15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ht="15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ht="15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ht="15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ht="15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ht="15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ht="15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ht="15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ht="15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ht="15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ht="15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ht="15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ht="15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ht="15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ht="15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ht="15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ht="15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ht="15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ht="15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ht="15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ht="15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ht="15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ht="15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ht="15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ht="15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ht="15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ht="15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ht="15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ht="15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ht="15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ht="15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ht="15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ht="15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ht="15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ht="15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ht="15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ht="15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ht="15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ht="15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ht="15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ht="15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ht="15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ht="15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ht="15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ht="15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ht="15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ht="15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ht="15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ht="15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ht="15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ht="15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ht="15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ht="15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ht="15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ht="15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ht="15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ht="15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ht="15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ht="15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ht="15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ht="15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ht="15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ht="15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ht="15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ht="15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ht="15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ht="15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ht="15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ht="15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ht="15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ht="15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ht="15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ht="15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ht="15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ht="15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ht="15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ht="15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ht="15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ht="15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ht="15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ht="15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ht="15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ht="15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ht="15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ht="15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ht="15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ht="15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ht="15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ht="15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ht="15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ht="15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ht="15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ht="15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ht="15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ht="15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ht="15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ht="15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ht="15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ht="15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ht="15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ht="15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ht="15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ht="15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ht="15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ht="15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ht="15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ht="15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ht="15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ht="15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ht="15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ht="15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ht="15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ht="15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ht="15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ht="15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ht="15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ht="15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ht="15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ht="15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ht="15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ht="15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ht="15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ht="15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ht="15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ht="15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ht="15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ht="15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ht="15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ht="15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ht="15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ht="15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ht="15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ht="15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ht="15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ht="15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ht="15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ht="15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ht="15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ht="15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ht="15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ht="15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ht="15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ht="15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ht="15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ht="15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ht="15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ht="15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ht="15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ht="15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ht="15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ht="15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ht="15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ht="15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ht="15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ht="15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ht="15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ht="15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ht="15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ht="15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ht="15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ht="15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ht="15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ht="15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ht="15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ht="15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ht="15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ht="15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ht="15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ht="15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ht="15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ht="15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ht="15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ht="15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ht="15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ht="15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ht="15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ht="15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ht="15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ht="15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ht="15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ht="15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ht="15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ht="15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ht="15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ht="15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ht="15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ht="15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ht="15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ht="15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ht="15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ht="15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ht="15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ht="15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ht="15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ht="15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ht="15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ht="15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ht="15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ht="15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ht="15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ht="15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ht="15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ht="15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ht="15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ht="15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ht="15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ht="15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ht="15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ht="15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ht="15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ht="15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ht="15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ht="15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ht="15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ht="15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ht="15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ht="15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ht="15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ht="15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ht="15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ht="15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ht="15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ht="15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ht="15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ht="15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ht="15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ht="15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ht="15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ht="15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ht="15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ht="15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ht="15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ht="15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ht="15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ht="15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ht="15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ht="15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ht="15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ht="15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ht="15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ht="15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ht="15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ht="15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ht="15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ht="15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ht="15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ht="15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ht="15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ht="15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ht="15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ht="15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ht="15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ht="15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ht="15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ht="15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ht="15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ht="15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ht="15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ht="15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ht="15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ht="15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ht="15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ht="15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ht="15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ht="15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ht="15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ht="15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ht="15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ht="15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ht="15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ht="15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ht="15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ht="15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ht="15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ht="15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ht="15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ht="15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ht="15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ht="15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ht="15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ht="15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ht="15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ht="15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ht="15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ht="15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ht="15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ht="15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ht="15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ht="15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ht="15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ht="15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ht="15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ht="15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ht="15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ht="15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ht="15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ht="15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ht="15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ht="15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ht="15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ht="15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ht="15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ht="15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ht="15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ht="15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ht="15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ht="15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ht="15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ht="15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ht="15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ht="15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ht="15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ht="15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ht="15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ht="15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ht="15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ht="15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ht="15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ht="15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ht="15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ht="15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ht="15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ht="15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ht="15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ht="15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ht="15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ht="15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ht="15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ht="15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ht="15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ht="15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ht="15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ht="15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ht="15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ht="15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ht="15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ht="15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ht="15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ht="15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ht="15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ht="15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ht="15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ht="15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ht="15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ht="15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ht="15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ht="15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ht="15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ht="15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ht="15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ht="15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ht="15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ht="15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ht="15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ht="15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ht="15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ht="15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ht="15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ht="15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ht="15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ht="15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ht="15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ht="15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ht="15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ht="15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ht="15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ht="15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ht="15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ht="15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ht="15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ht="15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ht="15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ht="15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ht="15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ht="15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ht="15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ht="15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ht="15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ht="15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ht="15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ht="15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ht="15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ht="15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ht="15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ht="15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ht="15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ht="15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ht="15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ht="15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ht="15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ht="15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ht="15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ht="15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ht="15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ht="15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ht="15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ht="15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ht="15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ht="15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ht="15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ht="15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ht="15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ht="15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ht="15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ht="15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ht="15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ht="15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ht="15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ht="15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ht="15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ht="15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ht="15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ht="15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ht="15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ht="15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ht="15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ht="15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ht="15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ht="15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ht="15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ht="15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ht="15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ht="15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ht="15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ht="15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ht="15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ht="15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ht="15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ht="15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ht="15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ht="15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ht="15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ht="15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ht="15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ht="15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ht="15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ht="15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ht="15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ht="15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ht="15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ht="15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ht="15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ht="15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ht="15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ht="15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ht="15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ht="15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ht="15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ht="15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ht="15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ht="15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ht="15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ht="15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ht="15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ht="15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ht="15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ht="15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ht="15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ht="15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ht="15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ht="15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ht="15.7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ht="15.7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ht="15.7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ht="15.7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ht="15.7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ht="15.7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ht="15.7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ht="15.7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ht="15.7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ht="15.7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ht="15.7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ht="15.7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ht="15.7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ht="15.7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ht="15.7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ht="15.7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ht="15.7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ht="15.7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ht="15.7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ht="15.7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ht="15.7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ht="15.7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ht="15.7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ht="15.7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ht="15.7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ht="15.7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ht="15.7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ht="15.7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ht="15.7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ht="15.7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ht="15.7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ht="15.7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ht="15.7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ht="15.7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ht="15.7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ht="15.7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ht="15.7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ht="15.7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14"/>
    <col customWidth="1" min="2" max="3" width="14.43"/>
    <col customWidth="1" min="4" max="4" width="16.71"/>
    <col customWidth="1" min="5" max="5" width="14.43"/>
    <col customWidth="1" min="6" max="6" width="24.43"/>
  </cols>
  <sheetData>
    <row r="1">
      <c r="A1" s="85"/>
      <c r="D1" s="85"/>
      <c r="F1" s="85"/>
    </row>
    <row r="2" ht="15.0" customHeight="1">
      <c r="A2" s="332" t="s">
        <v>273</v>
      </c>
      <c r="D2" s="85"/>
      <c r="F2" s="85"/>
    </row>
    <row r="3">
      <c r="A3" s="85"/>
      <c r="D3" s="85"/>
      <c r="F3" s="85"/>
    </row>
    <row r="4" ht="15.0" customHeight="1">
      <c r="A4" s="339" t="s">
        <v>274</v>
      </c>
      <c r="B4" s="339" t="s">
        <v>275</v>
      </c>
      <c r="C4" s="339" t="s">
        <v>276</v>
      </c>
      <c r="D4" s="339" t="s">
        <v>277</v>
      </c>
      <c r="E4" s="339" t="s">
        <v>278</v>
      </c>
      <c r="F4" s="339" t="s">
        <v>279</v>
      </c>
      <c r="H4" s="85" t="s">
        <v>280</v>
      </c>
    </row>
    <row r="5" ht="15.0" customHeight="1">
      <c r="A5" s="3">
        <v>1.0</v>
      </c>
      <c r="B5" s="340">
        <v>0.0</v>
      </c>
      <c r="C5" s="340">
        <v>9.0</v>
      </c>
      <c r="D5" s="341">
        <f t="shared" ref="D5:D24" si="1">B5*C5</f>
        <v>0</v>
      </c>
      <c r="E5" s="341">
        <f t="shared" ref="E5:E24" si="2">B5^2</f>
        <v>0</v>
      </c>
      <c r="F5" s="342">
        <f>$B40+$B38*B5</f>
        <v>9.372884579</v>
      </c>
      <c r="H5" s="85">
        <f t="shared" ref="H5:H24" si="3">8.18*B5 + 9.37</f>
        <v>9.37</v>
      </c>
    </row>
    <row r="6" ht="15.0" customHeight="1">
      <c r="A6" s="3">
        <v>2.0</v>
      </c>
      <c r="B6" s="340">
        <v>0.0</v>
      </c>
      <c r="C6" s="340">
        <v>9.0</v>
      </c>
      <c r="D6" s="341">
        <f t="shared" si="1"/>
        <v>0</v>
      </c>
      <c r="E6" s="341">
        <f t="shared" si="2"/>
        <v>0</v>
      </c>
      <c r="F6" s="342">
        <f>$B40+$B38*B6</f>
        <v>9.372884579</v>
      </c>
      <c r="H6" s="85">
        <f t="shared" si="3"/>
        <v>9.37</v>
      </c>
    </row>
    <row r="7" ht="15.0" customHeight="1">
      <c r="A7" s="3">
        <v>3.0</v>
      </c>
      <c r="B7" s="340">
        <v>0.0</v>
      </c>
      <c r="C7" s="340">
        <v>9.0</v>
      </c>
      <c r="D7" s="341">
        <f t="shared" si="1"/>
        <v>0</v>
      </c>
      <c r="E7" s="341">
        <f t="shared" si="2"/>
        <v>0</v>
      </c>
      <c r="F7" s="342">
        <f>$B40+$B38*B7</f>
        <v>9.372884579</v>
      </c>
      <c r="H7" s="85">
        <f t="shared" si="3"/>
        <v>9.37</v>
      </c>
    </row>
    <row r="8" ht="15.0" customHeight="1">
      <c r="A8" s="3">
        <v>4.0</v>
      </c>
      <c r="B8" s="340">
        <v>1.0</v>
      </c>
      <c r="C8" s="340">
        <v>24.0</v>
      </c>
      <c r="D8" s="341">
        <f t="shared" si="1"/>
        <v>24</v>
      </c>
      <c r="E8" s="341">
        <f t="shared" si="2"/>
        <v>1</v>
      </c>
      <c r="F8" s="342">
        <f>$B40+$B38*B8</f>
        <v>17.55466819</v>
      </c>
      <c r="H8" s="85">
        <f t="shared" si="3"/>
        <v>17.55</v>
      </c>
    </row>
    <row r="9" ht="15.0" customHeight="1">
      <c r="A9" s="3">
        <v>5.0</v>
      </c>
      <c r="B9" s="340">
        <v>1.0</v>
      </c>
      <c r="C9" s="340">
        <v>17.0</v>
      </c>
      <c r="D9" s="341">
        <f t="shared" si="1"/>
        <v>17</v>
      </c>
      <c r="E9" s="341">
        <f t="shared" si="2"/>
        <v>1</v>
      </c>
      <c r="F9" s="342">
        <f>$B40+$B38*B9</f>
        <v>17.55466819</v>
      </c>
      <c r="H9" s="85">
        <f t="shared" si="3"/>
        <v>17.55</v>
      </c>
    </row>
    <row r="10" ht="15.0" customHeight="1">
      <c r="A10" s="3">
        <v>6.0</v>
      </c>
      <c r="B10" s="340">
        <v>2.0</v>
      </c>
      <c r="C10" s="340">
        <v>14.0</v>
      </c>
      <c r="D10" s="341">
        <f t="shared" si="1"/>
        <v>28</v>
      </c>
      <c r="E10" s="341">
        <f t="shared" si="2"/>
        <v>4</v>
      </c>
      <c r="F10" s="342">
        <f>$B40+$B38*B10</f>
        <v>25.7364518</v>
      </c>
      <c r="H10" s="85">
        <f t="shared" si="3"/>
        <v>25.73</v>
      </c>
    </row>
    <row r="11" ht="15.0" customHeight="1">
      <c r="A11" s="3">
        <v>7.0</v>
      </c>
      <c r="B11" s="340">
        <v>2.0</v>
      </c>
      <c r="C11" s="340">
        <v>29.0</v>
      </c>
      <c r="D11" s="341">
        <f t="shared" si="1"/>
        <v>58</v>
      </c>
      <c r="E11" s="341">
        <f t="shared" si="2"/>
        <v>4</v>
      </c>
      <c r="F11" s="342">
        <f>$B40+$B38*B11</f>
        <v>25.7364518</v>
      </c>
      <c r="H11" s="85">
        <f t="shared" si="3"/>
        <v>25.73</v>
      </c>
    </row>
    <row r="12" ht="15.0" customHeight="1">
      <c r="A12" s="3">
        <v>8.0</v>
      </c>
      <c r="B12" s="340">
        <v>2.0</v>
      </c>
      <c r="C12" s="340">
        <v>24.0</v>
      </c>
      <c r="D12" s="341">
        <f t="shared" si="1"/>
        <v>48</v>
      </c>
      <c r="E12" s="341">
        <f t="shared" si="2"/>
        <v>4</v>
      </c>
      <c r="F12" s="342">
        <f>$B40+$B38*B12</f>
        <v>25.7364518</v>
      </c>
      <c r="H12" s="85">
        <f t="shared" si="3"/>
        <v>25.73</v>
      </c>
    </row>
    <row r="13" ht="15.0" customHeight="1">
      <c r="A13" s="3">
        <v>9.0</v>
      </c>
      <c r="B13" s="340">
        <v>3.0</v>
      </c>
      <c r="C13" s="340">
        <v>32.0</v>
      </c>
      <c r="D13" s="341">
        <f t="shared" si="1"/>
        <v>96</v>
      </c>
      <c r="E13" s="341">
        <f t="shared" si="2"/>
        <v>9</v>
      </c>
      <c r="F13" s="342">
        <f>$B40+$B38*B13</f>
        <v>33.91823541</v>
      </c>
      <c r="H13" s="85">
        <f t="shared" si="3"/>
        <v>33.91</v>
      </c>
    </row>
    <row r="14" ht="15.0" customHeight="1">
      <c r="A14" s="3">
        <v>10.0</v>
      </c>
      <c r="B14" s="340">
        <v>4.0</v>
      </c>
      <c r="C14" s="340">
        <v>43.0</v>
      </c>
      <c r="D14" s="341">
        <f t="shared" si="1"/>
        <v>172</v>
      </c>
      <c r="E14" s="341">
        <f t="shared" si="2"/>
        <v>16</v>
      </c>
      <c r="F14" s="342">
        <f>$B40+$B38*B14</f>
        <v>42.10001902</v>
      </c>
      <c r="H14" s="85">
        <f t="shared" si="3"/>
        <v>42.09</v>
      </c>
    </row>
    <row r="15" ht="15.0" customHeight="1">
      <c r="A15" s="3">
        <v>11.0</v>
      </c>
      <c r="B15" s="340">
        <v>4.0</v>
      </c>
      <c r="C15" s="340">
        <v>44.0</v>
      </c>
      <c r="D15" s="341">
        <f t="shared" si="1"/>
        <v>176</v>
      </c>
      <c r="E15" s="341">
        <f t="shared" si="2"/>
        <v>16</v>
      </c>
      <c r="F15" s="342">
        <f>$B40+$B38*B15</f>
        <v>42.10001902</v>
      </c>
      <c r="H15" s="85">
        <f t="shared" si="3"/>
        <v>42.09</v>
      </c>
    </row>
    <row r="16" ht="15.0" customHeight="1">
      <c r="A16" s="3">
        <v>12.0</v>
      </c>
      <c r="B16" s="340">
        <v>5.0</v>
      </c>
      <c r="C16" s="340">
        <v>59.0</v>
      </c>
      <c r="D16" s="341">
        <f t="shared" si="1"/>
        <v>295</v>
      </c>
      <c r="E16" s="341">
        <f t="shared" si="2"/>
        <v>25</v>
      </c>
      <c r="F16" s="342">
        <f>$B40+$B38*B16</f>
        <v>50.28180262</v>
      </c>
      <c r="H16" s="85">
        <f t="shared" si="3"/>
        <v>50.27</v>
      </c>
    </row>
    <row r="17" ht="15.0" customHeight="1">
      <c r="A17" s="3">
        <v>13.0</v>
      </c>
      <c r="B17" s="340">
        <v>5.0</v>
      </c>
      <c r="C17" s="340">
        <v>55.0</v>
      </c>
      <c r="D17" s="341">
        <f t="shared" si="1"/>
        <v>275</v>
      </c>
      <c r="E17" s="341">
        <f t="shared" si="2"/>
        <v>25</v>
      </c>
      <c r="F17" s="342">
        <f>$B40+$B38*B17</f>
        <v>50.28180262</v>
      </c>
      <c r="H17" s="85">
        <f t="shared" si="3"/>
        <v>50.27</v>
      </c>
    </row>
    <row r="18" ht="15.0" customHeight="1">
      <c r="A18" s="3">
        <v>14.0</v>
      </c>
      <c r="B18" s="340">
        <v>6.0</v>
      </c>
      <c r="C18" s="340">
        <v>59.0</v>
      </c>
      <c r="D18" s="341">
        <f t="shared" si="1"/>
        <v>354</v>
      </c>
      <c r="E18" s="341">
        <f t="shared" si="2"/>
        <v>36</v>
      </c>
      <c r="F18" s="342">
        <f>$B40+$B38*B18</f>
        <v>58.46358623</v>
      </c>
      <c r="H18" s="85">
        <f t="shared" si="3"/>
        <v>58.45</v>
      </c>
    </row>
    <row r="19" ht="15.0" customHeight="1">
      <c r="A19" s="3">
        <v>15.0</v>
      </c>
      <c r="B19" s="340">
        <v>7.0</v>
      </c>
      <c r="C19" s="340">
        <v>60.0</v>
      </c>
      <c r="D19" s="341">
        <f t="shared" si="1"/>
        <v>420</v>
      </c>
      <c r="E19" s="341">
        <f t="shared" si="2"/>
        <v>49</v>
      </c>
      <c r="F19" s="342">
        <f>$B40+$B38*B19</f>
        <v>66.64536984</v>
      </c>
      <c r="H19" s="85">
        <f t="shared" si="3"/>
        <v>66.63</v>
      </c>
    </row>
    <row r="20" ht="15.0" customHeight="1">
      <c r="A20" s="3">
        <v>16.0</v>
      </c>
      <c r="B20" s="340">
        <v>8.0</v>
      </c>
      <c r="C20" s="340">
        <v>66.0</v>
      </c>
      <c r="D20" s="341">
        <f t="shared" si="1"/>
        <v>528</v>
      </c>
      <c r="E20" s="341">
        <f t="shared" si="2"/>
        <v>64</v>
      </c>
      <c r="F20" s="342">
        <f>$B40+$B38*B20</f>
        <v>74.82715345</v>
      </c>
      <c r="H20" s="85">
        <f t="shared" si="3"/>
        <v>74.81</v>
      </c>
    </row>
    <row r="21" ht="15.0" customHeight="1">
      <c r="A21" s="3">
        <v>17.0</v>
      </c>
      <c r="B21" s="340">
        <v>9.0</v>
      </c>
      <c r="C21" s="340">
        <v>84.0</v>
      </c>
      <c r="D21" s="341">
        <f t="shared" si="1"/>
        <v>756</v>
      </c>
      <c r="E21" s="341">
        <f t="shared" si="2"/>
        <v>81</v>
      </c>
      <c r="F21" s="342">
        <f>$B40+$B38*B21</f>
        <v>83.00893706</v>
      </c>
      <c r="H21" s="85">
        <f t="shared" si="3"/>
        <v>82.99</v>
      </c>
    </row>
    <row r="22" ht="15.0" customHeight="1">
      <c r="A22" s="3">
        <v>18.0</v>
      </c>
      <c r="B22" s="340">
        <v>10.0</v>
      </c>
      <c r="C22" s="340">
        <v>100.0</v>
      </c>
      <c r="D22" s="341">
        <f t="shared" si="1"/>
        <v>1000</v>
      </c>
      <c r="E22" s="341">
        <f t="shared" si="2"/>
        <v>100</v>
      </c>
      <c r="F22" s="342">
        <f>$B40+$B38*B22</f>
        <v>91.19072067</v>
      </c>
      <c r="H22" s="85">
        <f t="shared" si="3"/>
        <v>91.17</v>
      </c>
    </row>
    <row r="23" ht="15.0" customHeight="1">
      <c r="A23" s="3">
        <v>19.0</v>
      </c>
      <c r="B23" s="340">
        <v>11.0</v>
      </c>
      <c r="C23" s="340">
        <v>98.0</v>
      </c>
      <c r="D23" s="341">
        <f t="shared" si="1"/>
        <v>1078</v>
      </c>
      <c r="E23" s="341">
        <f t="shared" si="2"/>
        <v>121</v>
      </c>
      <c r="F23" s="342">
        <f>$B40+$B38*B23</f>
        <v>99.37250428</v>
      </c>
      <c r="H23" s="85">
        <f t="shared" si="3"/>
        <v>99.35</v>
      </c>
    </row>
    <row r="24" ht="15.0" customHeight="1">
      <c r="A24" s="3">
        <v>20.0</v>
      </c>
      <c r="B24" s="340">
        <v>11.0</v>
      </c>
      <c r="C24" s="340">
        <v>97.0</v>
      </c>
      <c r="D24" s="341">
        <f t="shared" si="1"/>
        <v>1067</v>
      </c>
      <c r="E24" s="341">
        <f t="shared" si="2"/>
        <v>121</v>
      </c>
      <c r="F24" s="342">
        <f>$B40+$B38*B24</f>
        <v>99.37250428</v>
      </c>
      <c r="H24" s="85">
        <f t="shared" si="3"/>
        <v>99.35</v>
      </c>
    </row>
    <row r="25" ht="15.75" customHeight="1">
      <c r="A25" s="85"/>
      <c r="D25" s="85"/>
      <c r="F25" s="85"/>
    </row>
    <row r="26" ht="15.0" customHeight="1">
      <c r="A26" s="343"/>
    </row>
    <row r="27" ht="15.0" customHeight="1">
      <c r="A27" s="1" t="s">
        <v>281</v>
      </c>
      <c r="B27" s="344">
        <f>COUNT(B5:B24)</f>
        <v>20</v>
      </c>
      <c r="D27" s="85"/>
      <c r="F27" s="85"/>
    </row>
    <row r="28" ht="15.0" customHeight="1">
      <c r="A28" s="1" t="s">
        <v>282</v>
      </c>
      <c r="B28" s="344">
        <f>SUM(B5:B24)</f>
        <v>91</v>
      </c>
      <c r="D28" s="85"/>
      <c r="F28" s="85"/>
    </row>
    <row r="29" ht="15.0" customHeight="1">
      <c r="A29" s="1" t="s">
        <v>283</v>
      </c>
      <c r="B29" s="344">
        <f>SUM(C5:C24)</f>
        <v>932</v>
      </c>
      <c r="D29" s="85"/>
      <c r="F29" s="85"/>
    </row>
    <row r="30" ht="15.0" customHeight="1">
      <c r="A30" s="1" t="s">
        <v>284</v>
      </c>
      <c r="B30" s="344">
        <f>SUM(D5:D24)</f>
        <v>6392</v>
      </c>
      <c r="D30" s="85"/>
      <c r="F30" s="85"/>
    </row>
    <row r="31" ht="15.0" customHeight="1">
      <c r="A31" s="1" t="s">
        <v>285</v>
      </c>
      <c r="B31" s="344">
        <f>SUM(E5:E24)</f>
        <v>677</v>
      </c>
      <c r="D31" s="85"/>
      <c r="F31" s="85"/>
    </row>
    <row r="32" ht="15.0" customHeight="1">
      <c r="A32" s="85"/>
      <c r="D32" s="85"/>
      <c r="F32" s="85"/>
    </row>
    <row r="33" ht="15.0" customHeight="1">
      <c r="A33" s="1" t="s">
        <v>286</v>
      </c>
      <c r="B33" s="345">
        <f>B28/B27</f>
        <v>4.55</v>
      </c>
      <c r="D33" s="85"/>
      <c r="F33" s="85"/>
    </row>
    <row r="34" ht="15.0" customHeight="1">
      <c r="A34" s="1" t="s">
        <v>287</v>
      </c>
      <c r="B34" s="345">
        <f>B29/B27</f>
        <v>46.6</v>
      </c>
      <c r="D34" s="85"/>
      <c r="F34" s="85"/>
    </row>
    <row r="35" ht="15.0" customHeight="1">
      <c r="A35" s="85"/>
      <c r="D35" s="85"/>
      <c r="F35" s="85"/>
    </row>
    <row r="36" ht="15.0" customHeight="1">
      <c r="A36" s="1" t="s">
        <v>288</v>
      </c>
      <c r="B36" s="344">
        <f>B27*B30 - B28*B29</f>
        <v>43028</v>
      </c>
      <c r="D36" s="85"/>
      <c r="F36" s="85"/>
    </row>
    <row r="37" ht="15.0" customHeight="1">
      <c r="A37" s="1" t="s">
        <v>289</v>
      </c>
      <c r="B37" s="344">
        <f>B27*B31 - B28^2</f>
        <v>5259</v>
      </c>
      <c r="D37" s="85"/>
      <c r="F37" s="85"/>
    </row>
    <row r="38" ht="15.0" customHeight="1">
      <c r="A38" s="346" t="s">
        <v>290</v>
      </c>
      <c r="B38" s="347">
        <f>B36/B37</f>
        <v>8.181783609</v>
      </c>
      <c r="D38" s="85"/>
      <c r="F38" s="85"/>
    </row>
    <row r="39" ht="15.0" customHeight="1">
      <c r="A39" s="343"/>
      <c r="B39" s="343"/>
      <c r="C39" s="343"/>
      <c r="D39" s="343"/>
      <c r="E39" s="343"/>
      <c r="F39" s="343"/>
    </row>
    <row r="40" ht="15.0" customHeight="1">
      <c r="A40" s="346" t="s">
        <v>291</v>
      </c>
      <c r="B40" s="347">
        <f>B34 - B38*B33</f>
        <v>9.372884579</v>
      </c>
      <c r="D40" s="85"/>
      <c r="F40" s="85"/>
    </row>
    <row r="41" ht="15.0" customHeight="1">
      <c r="A41" s="85"/>
      <c r="D41" s="85"/>
      <c r="F41" s="85"/>
    </row>
    <row r="42" ht="15.75" customHeight="1">
      <c r="A42" s="85"/>
      <c r="D42" s="85"/>
      <c r="F42" s="85"/>
    </row>
    <row r="43" ht="15.75" customHeight="1">
      <c r="A43" s="85"/>
      <c r="D43" s="85"/>
      <c r="F43" s="85"/>
    </row>
    <row r="44" ht="15.75" customHeight="1">
      <c r="A44" s="85"/>
      <c r="D44" s="85"/>
      <c r="F44" s="85"/>
    </row>
    <row r="45" ht="15.75" customHeight="1">
      <c r="A45" s="85"/>
      <c r="D45" s="85"/>
      <c r="F45" s="85"/>
    </row>
    <row r="46" ht="15.75" customHeight="1">
      <c r="A46" s="85"/>
      <c r="D46" s="85"/>
      <c r="F46" s="85"/>
    </row>
    <row r="47" ht="15.75" customHeight="1">
      <c r="A47" s="85"/>
      <c r="D47" s="85"/>
      <c r="F47" s="85"/>
    </row>
    <row r="48" ht="15.75" customHeight="1">
      <c r="A48" s="85"/>
      <c r="D48" s="85"/>
      <c r="F48" s="85"/>
    </row>
    <row r="49" ht="15.75" customHeight="1">
      <c r="A49" s="85"/>
      <c r="D49" s="85"/>
      <c r="F49" s="85"/>
    </row>
    <row r="50" ht="15.75" customHeight="1">
      <c r="A50" s="85"/>
      <c r="D50" s="85"/>
      <c r="F50" s="85"/>
    </row>
    <row r="51" ht="15.75" customHeight="1">
      <c r="A51" s="85"/>
      <c r="D51" s="85"/>
      <c r="F51" s="85"/>
    </row>
    <row r="52" ht="15.75" customHeight="1">
      <c r="A52" s="85"/>
      <c r="D52" s="85"/>
      <c r="F52" s="85"/>
    </row>
    <row r="53" ht="15.75" customHeight="1">
      <c r="A53" s="85"/>
      <c r="D53" s="85"/>
      <c r="F53" s="85"/>
    </row>
    <row r="54" ht="15.75" customHeight="1">
      <c r="A54" s="85"/>
      <c r="D54" s="85"/>
      <c r="F54" s="85"/>
    </row>
    <row r="55" ht="15.75" customHeight="1">
      <c r="A55" s="85"/>
      <c r="D55" s="85"/>
      <c r="F55" s="85"/>
    </row>
    <row r="56" ht="15.75" customHeight="1">
      <c r="A56" s="85"/>
      <c r="D56" s="85"/>
      <c r="F56" s="85"/>
    </row>
    <row r="57" ht="15.75" customHeight="1">
      <c r="A57" s="85"/>
      <c r="D57" s="85"/>
      <c r="F57" s="85"/>
    </row>
    <row r="58" ht="15.75" customHeight="1">
      <c r="A58" s="85"/>
      <c r="D58" s="85"/>
      <c r="F58" s="85"/>
    </row>
    <row r="59" ht="15.75" customHeight="1">
      <c r="A59" s="85"/>
      <c r="D59" s="85"/>
      <c r="F59" s="85"/>
    </row>
    <row r="60" ht="15.75" customHeight="1">
      <c r="A60" s="85"/>
      <c r="D60" s="85"/>
      <c r="F60" s="85"/>
    </row>
    <row r="61" ht="15.75" customHeight="1">
      <c r="A61" s="85"/>
      <c r="D61" s="85"/>
      <c r="F61" s="85"/>
    </row>
    <row r="62" ht="15.75" customHeight="1">
      <c r="A62" s="85"/>
      <c r="D62" s="85"/>
      <c r="F62" s="85"/>
    </row>
    <row r="63" ht="15.75" customHeight="1">
      <c r="A63" s="85"/>
      <c r="D63" s="85"/>
      <c r="F63" s="85"/>
    </row>
    <row r="64" ht="15.75" customHeight="1">
      <c r="A64" s="85"/>
      <c r="D64" s="85"/>
      <c r="F64" s="85"/>
    </row>
    <row r="65" ht="15.75" customHeight="1">
      <c r="A65" s="85"/>
      <c r="D65" s="85"/>
      <c r="F65" s="85"/>
    </row>
    <row r="66" ht="15.75" customHeight="1">
      <c r="A66" s="85"/>
      <c r="D66" s="85"/>
      <c r="F66" s="85"/>
    </row>
    <row r="67" ht="15.75" customHeight="1">
      <c r="A67" s="85"/>
      <c r="D67" s="85"/>
      <c r="F67" s="85"/>
    </row>
    <row r="68" ht="15.75" customHeight="1">
      <c r="A68" s="85"/>
      <c r="D68" s="85"/>
      <c r="F68" s="85"/>
    </row>
    <row r="69" ht="15.75" customHeight="1">
      <c r="A69" s="85"/>
      <c r="D69" s="85"/>
      <c r="F69" s="85"/>
    </row>
    <row r="70" ht="15.75" customHeight="1">
      <c r="A70" s="85"/>
      <c r="D70" s="85"/>
      <c r="F70" s="85"/>
    </row>
    <row r="71" ht="15.75" customHeight="1">
      <c r="A71" s="85"/>
      <c r="D71" s="85"/>
      <c r="F71" s="85"/>
    </row>
    <row r="72" ht="15.75" customHeight="1">
      <c r="A72" s="85"/>
      <c r="D72" s="85"/>
      <c r="F72" s="85"/>
    </row>
    <row r="73" ht="15.75" customHeight="1">
      <c r="A73" s="85"/>
      <c r="D73" s="85"/>
      <c r="F73" s="85"/>
    </row>
    <row r="74" ht="15.75" customHeight="1">
      <c r="A74" s="85"/>
      <c r="D74" s="85"/>
      <c r="F74" s="85"/>
    </row>
    <row r="75" ht="15.75" customHeight="1">
      <c r="A75" s="85"/>
      <c r="D75" s="85"/>
      <c r="F75" s="85"/>
    </row>
    <row r="76" ht="15.75" customHeight="1">
      <c r="A76" s="85"/>
      <c r="D76" s="85"/>
      <c r="F76" s="85"/>
    </row>
    <row r="77" ht="15.75" customHeight="1">
      <c r="A77" s="85"/>
      <c r="D77" s="85"/>
      <c r="F77" s="85"/>
    </row>
    <row r="78" ht="15.75" customHeight="1">
      <c r="A78" s="85"/>
      <c r="D78" s="85"/>
      <c r="F78" s="85"/>
    </row>
    <row r="79" ht="15.75" customHeight="1">
      <c r="A79" s="85"/>
      <c r="D79" s="85"/>
      <c r="F79" s="85"/>
    </row>
    <row r="80" ht="15.75" customHeight="1">
      <c r="A80" s="85"/>
      <c r="D80" s="85"/>
      <c r="F80" s="85"/>
    </row>
    <row r="81" ht="15.75" customHeight="1">
      <c r="A81" s="85"/>
      <c r="D81" s="85"/>
      <c r="F81" s="85"/>
    </row>
    <row r="82" ht="15.75" customHeight="1">
      <c r="A82" s="85"/>
      <c r="D82" s="85"/>
      <c r="F82" s="85"/>
    </row>
    <row r="83" ht="15.75" customHeight="1">
      <c r="A83" s="85"/>
      <c r="D83" s="85"/>
      <c r="F83" s="85"/>
    </row>
    <row r="84" ht="15.75" customHeight="1">
      <c r="A84" s="85"/>
      <c r="D84" s="85"/>
      <c r="F84" s="85"/>
    </row>
    <row r="85" ht="15.75" customHeight="1">
      <c r="A85" s="85"/>
      <c r="D85" s="85"/>
      <c r="F85" s="85"/>
    </row>
    <row r="86" ht="15.75" customHeight="1">
      <c r="A86" s="85"/>
      <c r="D86" s="85"/>
      <c r="F86" s="85"/>
    </row>
    <row r="87" ht="15.75" customHeight="1">
      <c r="A87" s="85"/>
      <c r="D87" s="85"/>
      <c r="F87" s="85"/>
    </row>
    <row r="88" ht="15.75" customHeight="1">
      <c r="A88" s="85"/>
      <c r="D88" s="85"/>
      <c r="F88" s="85"/>
    </row>
    <row r="89" ht="15.75" customHeight="1">
      <c r="A89" s="85"/>
      <c r="D89" s="85"/>
      <c r="F89" s="85"/>
    </row>
    <row r="90" ht="15.75" customHeight="1">
      <c r="A90" s="85"/>
      <c r="D90" s="85"/>
      <c r="F90" s="85"/>
    </row>
    <row r="91" ht="15.75" customHeight="1">
      <c r="A91" s="85"/>
      <c r="D91" s="85"/>
      <c r="F91" s="85"/>
    </row>
    <row r="92" ht="15.75" customHeight="1">
      <c r="A92" s="85"/>
      <c r="D92" s="85"/>
      <c r="F92" s="85"/>
    </row>
    <row r="93" ht="15.75" customHeight="1">
      <c r="A93" s="85"/>
      <c r="D93" s="85"/>
      <c r="F93" s="85"/>
    </row>
    <row r="94" ht="15.75" customHeight="1">
      <c r="A94" s="85"/>
      <c r="D94" s="85"/>
      <c r="F94" s="85"/>
    </row>
    <row r="95" ht="15.75" customHeight="1">
      <c r="A95" s="85"/>
      <c r="D95" s="85"/>
      <c r="F95" s="85"/>
    </row>
    <row r="96" ht="15.75" customHeight="1">
      <c r="A96" s="85"/>
      <c r="D96" s="85"/>
      <c r="F96" s="85"/>
    </row>
    <row r="97" ht="15.75" customHeight="1">
      <c r="A97" s="85"/>
      <c r="D97" s="85"/>
      <c r="F97" s="85"/>
    </row>
    <row r="98" ht="15.75" customHeight="1">
      <c r="A98" s="85"/>
      <c r="D98" s="85"/>
      <c r="F98" s="85"/>
    </row>
    <row r="99" ht="15.75" customHeight="1">
      <c r="A99" s="85"/>
      <c r="D99" s="85"/>
      <c r="F99" s="85"/>
    </row>
    <row r="100" ht="15.75" customHeight="1">
      <c r="A100" s="85"/>
      <c r="D100" s="85"/>
      <c r="F100" s="85"/>
    </row>
    <row r="101" ht="15.75" customHeight="1">
      <c r="A101" s="85"/>
      <c r="D101" s="85"/>
      <c r="F101" s="85"/>
    </row>
    <row r="102" ht="15.75" customHeight="1">
      <c r="A102" s="85"/>
      <c r="D102" s="85"/>
      <c r="F102" s="85"/>
    </row>
    <row r="103" ht="15.75" customHeight="1">
      <c r="A103" s="85"/>
      <c r="D103" s="85"/>
      <c r="F103" s="85"/>
    </row>
    <row r="104" ht="15.75" customHeight="1">
      <c r="A104" s="85"/>
      <c r="D104" s="85"/>
      <c r="F104" s="85"/>
    </row>
    <row r="105" ht="15.75" customHeight="1">
      <c r="A105" s="85"/>
      <c r="D105" s="85"/>
      <c r="F105" s="85"/>
    </row>
    <row r="106" ht="15.75" customHeight="1">
      <c r="A106" s="85"/>
      <c r="D106" s="85"/>
      <c r="F106" s="85"/>
    </row>
    <row r="107" ht="15.75" customHeight="1">
      <c r="A107" s="85"/>
      <c r="D107" s="85"/>
      <c r="F107" s="85"/>
    </row>
    <row r="108" ht="15.75" customHeight="1">
      <c r="A108" s="85"/>
      <c r="D108" s="85"/>
      <c r="F108" s="85"/>
    </row>
    <row r="109" ht="15.75" customHeight="1">
      <c r="A109" s="85"/>
      <c r="D109" s="85"/>
      <c r="F109" s="85"/>
    </row>
    <row r="110" ht="15.75" customHeight="1">
      <c r="A110" s="85"/>
      <c r="D110" s="85"/>
      <c r="F110" s="85"/>
    </row>
    <row r="111" ht="15.75" customHeight="1">
      <c r="A111" s="85"/>
      <c r="D111" s="85"/>
      <c r="F111" s="85"/>
    </row>
    <row r="112" ht="15.75" customHeight="1">
      <c r="A112" s="85"/>
      <c r="D112" s="85"/>
      <c r="F112" s="85"/>
    </row>
    <row r="113" ht="15.75" customHeight="1">
      <c r="A113" s="85"/>
      <c r="D113" s="85"/>
      <c r="F113" s="85"/>
    </row>
    <row r="114" ht="15.75" customHeight="1">
      <c r="A114" s="85"/>
      <c r="D114" s="85"/>
      <c r="F114" s="85"/>
    </row>
    <row r="115" ht="15.75" customHeight="1">
      <c r="A115" s="85"/>
      <c r="D115" s="85"/>
      <c r="F115" s="85"/>
    </row>
    <row r="116" ht="15.75" customHeight="1">
      <c r="A116" s="85"/>
      <c r="D116" s="85"/>
      <c r="F116" s="85"/>
    </row>
    <row r="117" ht="15.75" customHeight="1">
      <c r="A117" s="85"/>
      <c r="D117" s="85"/>
      <c r="F117" s="85"/>
    </row>
    <row r="118" ht="15.75" customHeight="1">
      <c r="A118" s="85"/>
      <c r="D118" s="85"/>
      <c r="F118" s="85"/>
    </row>
    <row r="119" ht="15.75" customHeight="1">
      <c r="A119" s="85"/>
      <c r="D119" s="85"/>
      <c r="F119" s="85"/>
    </row>
    <row r="120" ht="15.75" customHeight="1">
      <c r="A120" s="85"/>
      <c r="D120" s="85"/>
      <c r="F120" s="85"/>
    </row>
    <row r="121" ht="15.75" customHeight="1">
      <c r="A121" s="85"/>
      <c r="D121" s="85"/>
      <c r="F121" s="85"/>
    </row>
    <row r="122" ht="15.75" customHeight="1">
      <c r="A122" s="85"/>
      <c r="D122" s="85"/>
      <c r="F122" s="85"/>
    </row>
    <row r="123" ht="15.75" customHeight="1">
      <c r="A123" s="85"/>
      <c r="D123" s="85"/>
      <c r="F123" s="85"/>
    </row>
    <row r="124" ht="15.75" customHeight="1">
      <c r="A124" s="85"/>
      <c r="D124" s="85"/>
      <c r="F124" s="85"/>
    </row>
    <row r="125" ht="15.75" customHeight="1">
      <c r="A125" s="85"/>
      <c r="D125" s="85"/>
      <c r="F125" s="85"/>
    </row>
    <row r="126" ht="15.75" customHeight="1">
      <c r="A126" s="85"/>
      <c r="D126" s="85"/>
      <c r="F126" s="85"/>
    </row>
    <row r="127" ht="15.75" customHeight="1">
      <c r="A127" s="85"/>
      <c r="D127" s="85"/>
      <c r="F127" s="85"/>
    </row>
    <row r="128" ht="15.75" customHeight="1">
      <c r="A128" s="85"/>
      <c r="D128" s="85"/>
      <c r="F128" s="85"/>
    </row>
    <row r="129" ht="15.75" customHeight="1">
      <c r="A129" s="85"/>
      <c r="D129" s="85"/>
      <c r="F129" s="85"/>
    </row>
    <row r="130" ht="15.75" customHeight="1">
      <c r="A130" s="85"/>
      <c r="D130" s="85"/>
      <c r="F130" s="85"/>
    </row>
    <row r="131" ht="15.75" customHeight="1">
      <c r="A131" s="85"/>
      <c r="D131" s="85"/>
      <c r="F131" s="85"/>
    </row>
    <row r="132" ht="15.75" customHeight="1">
      <c r="A132" s="85"/>
      <c r="D132" s="85"/>
      <c r="F132" s="85"/>
    </row>
    <row r="133" ht="15.75" customHeight="1">
      <c r="A133" s="85"/>
      <c r="D133" s="85"/>
      <c r="F133" s="85"/>
    </row>
    <row r="134" ht="15.75" customHeight="1">
      <c r="A134" s="85"/>
      <c r="D134" s="85"/>
      <c r="F134" s="85"/>
    </row>
    <row r="135" ht="15.75" customHeight="1">
      <c r="A135" s="85"/>
      <c r="D135" s="85"/>
      <c r="F135" s="85"/>
    </row>
    <row r="136" ht="15.75" customHeight="1">
      <c r="A136" s="85"/>
      <c r="D136" s="85"/>
      <c r="F136" s="85"/>
    </row>
    <row r="137" ht="15.75" customHeight="1">
      <c r="A137" s="85"/>
      <c r="D137" s="85"/>
      <c r="F137" s="85"/>
    </row>
    <row r="138" ht="15.75" customHeight="1">
      <c r="A138" s="85"/>
      <c r="D138" s="85"/>
      <c r="F138" s="85"/>
    </row>
    <row r="139" ht="15.75" customHeight="1">
      <c r="A139" s="85"/>
      <c r="D139" s="85"/>
      <c r="F139" s="85"/>
    </row>
    <row r="140" ht="15.75" customHeight="1">
      <c r="A140" s="85"/>
      <c r="D140" s="85"/>
      <c r="F140" s="85"/>
    </row>
    <row r="141" ht="15.75" customHeight="1">
      <c r="A141" s="85"/>
      <c r="D141" s="85"/>
      <c r="F141" s="85"/>
    </row>
    <row r="142" ht="15.75" customHeight="1">
      <c r="A142" s="85"/>
      <c r="D142" s="85"/>
      <c r="F142" s="85"/>
    </row>
    <row r="143" ht="15.75" customHeight="1">
      <c r="A143" s="85"/>
      <c r="D143" s="85"/>
      <c r="F143" s="85"/>
    </row>
    <row r="144" ht="15.75" customHeight="1">
      <c r="A144" s="85"/>
      <c r="D144" s="85"/>
      <c r="F144" s="85"/>
    </row>
    <row r="145" ht="15.75" customHeight="1">
      <c r="A145" s="85"/>
      <c r="D145" s="85"/>
      <c r="F145" s="85"/>
    </row>
    <row r="146" ht="15.75" customHeight="1">
      <c r="A146" s="85"/>
      <c r="D146" s="85"/>
      <c r="F146" s="85"/>
    </row>
    <row r="147" ht="15.75" customHeight="1">
      <c r="A147" s="85"/>
      <c r="D147" s="85"/>
      <c r="F147" s="85"/>
    </row>
    <row r="148" ht="15.75" customHeight="1">
      <c r="A148" s="85"/>
      <c r="D148" s="85"/>
      <c r="F148" s="85"/>
    </row>
    <row r="149" ht="15.75" customHeight="1">
      <c r="A149" s="85"/>
      <c r="D149" s="85"/>
      <c r="F149" s="85"/>
    </row>
    <row r="150" ht="15.75" customHeight="1">
      <c r="A150" s="85"/>
      <c r="D150" s="85"/>
      <c r="F150" s="85"/>
    </row>
    <row r="151" ht="15.75" customHeight="1">
      <c r="A151" s="85"/>
      <c r="D151" s="85"/>
      <c r="F151" s="85"/>
    </row>
    <row r="152" ht="15.75" customHeight="1">
      <c r="A152" s="85"/>
      <c r="D152" s="85"/>
      <c r="F152" s="85"/>
    </row>
    <row r="153" ht="15.75" customHeight="1">
      <c r="A153" s="85"/>
      <c r="D153" s="85"/>
      <c r="F153" s="85"/>
    </row>
    <row r="154" ht="15.75" customHeight="1">
      <c r="A154" s="85"/>
      <c r="D154" s="85"/>
      <c r="F154" s="85"/>
    </row>
    <row r="155" ht="15.75" customHeight="1">
      <c r="A155" s="85"/>
      <c r="D155" s="85"/>
      <c r="F155" s="85"/>
    </row>
    <row r="156" ht="15.75" customHeight="1">
      <c r="A156" s="85"/>
      <c r="D156" s="85"/>
      <c r="F156" s="85"/>
    </row>
    <row r="157" ht="15.75" customHeight="1">
      <c r="A157" s="85"/>
      <c r="D157" s="85"/>
      <c r="F157" s="85"/>
    </row>
    <row r="158" ht="15.75" customHeight="1">
      <c r="A158" s="85"/>
      <c r="D158" s="85"/>
      <c r="F158" s="85"/>
    </row>
    <row r="159" ht="15.75" customHeight="1">
      <c r="A159" s="85"/>
      <c r="D159" s="85"/>
      <c r="F159" s="85"/>
    </row>
    <row r="160" ht="15.75" customHeight="1">
      <c r="A160" s="85"/>
      <c r="D160" s="85"/>
      <c r="F160" s="85"/>
    </row>
    <row r="161" ht="15.75" customHeight="1">
      <c r="A161" s="85"/>
      <c r="D161" s="85"/>
      <c r="F161" s="85"/>
    </row>
    <row r="162" ht="15.75" customHeight="1">
      <c r="A162" s="85"/>
      <c r="D162" s="85"/>
      <c r="F162" s="85"/>
    </row>
    <row r="163" ht="15.75" customHeight="1">
      <c r="A163" s="85"/>
      <c r="D163" s="85"/>
      <c r="F163" s="85"/>
    </row>
    <row r="164" ht="15.75" customHeight="1">
      <c r="A164" s="85"/>
      <c r="D164" s="85"/>
      <c r="F164" s="85"/>
    </row>
    <row r="165" ht="15.75" customHeight="1">
      <c r="A165" s="85"/>
      <c r="D165" s="85"/>
      <c r="F165" s="85"/>
    </row>
    <row r="166" ht="15.75" customHeight="1">
      <c r="A166" s="85"/>
      <c r="D166" s="85"/>
      <c r="F166" s="85"/>
    </row>
    <row r="167" ht="15.75" customHeight="1">
      <c r="A167" s="85"/>
      <c r="D167" s="85"/>
      <c r="F167" s="85"/>
    </row>
    <row r="168" ht="15.75" customHeight="1">
      <c r="A168" s="85"/>
      <c r="D168" s="85"/>
      <c r="F168" s="85"/>
    </row>
    <row r="169" ht="15.75" customHeight="1">
      <c r="A169" s="85"/>
      <c r="D169" s="85"/>
      <c r="F169" s="85"/>
    </row>
    <row r="170" ht="15.75" customHeight="1">
      <c r="A170" s="85"/>
      <c r="D170" s="85"/>
      <c r="F170" s="85"/>
    </row>
    <row r="171" ht="15.75" customHeight="1">
      <c r="A171" s="85"/>
      <c r="D171" s="85"/>
      <c r="F171" s="85"/>
    </row>
    <row r="172" ht="15.75" customHeight="1">
      <c r="A172" s="85"/>
      <c r="D172" s="85"/>
      <c r="F172" s="85"/>
    </row>
    <row r="173" ht="15.75" customHeight="1">
      <c r="A173" s="85"/>
      <c r="D173" s="85"/>
      <c r="F173" s="85"/>
    </row>
    <row r="174" ht="15.75" customHeight="1">
      <c r="A174" s="85"/>
      <c r="D174" s="85"/>
      <c r="F174" s="85"/>
    </row>
    <row r="175" ht="15.75" customHeight="1">
      <c r="A175" s="85"/>
      <c r="D175" s="85"/>
      <c r="F175" s="85"/>
    </row>
    <row r="176" ht="15.75" customHeight="1">
      <c r="A176" s="85"/>
      <c r="D176" s="85"/>
      <c r="F176" s="85"/>
    </row>
    <row r="177" ht="15.75" customHeight="1">
      <c r="A177" s="85"/>
      <c r="D177" s="85"/>
      <c r="F177" s="85"/>
    </row>
    <row r="178" ht="15.75" customHeight="1">
      <c r="A178" s="85"/>
      <c r="D178" s="85"/>
      <c r="F178" s="85"/>
    </row>
    <row r="179" ht="15.75" customHeight="1">
      <c r="A179" s="85"/>
      <c r="D179" s="85"/>
      <c r="F179" s="85"/>
    </row>
    <row r="180" ht="15.75" customHeight="1">
      <c r="A180" s="85"/>
      <c r="D180" s="85"/>
      <c r="F180" s="85"/>
    </row>
    <row r="181" ht="15.75" customHeight="1">
      <c r="A181" s="85"/>
      <c r="D181" s="85"/>
      <c r="F181" s="85"/>
    </row>
    <row r="182" ht="15.75" customHeight="1">
      <c r="A182" s="85"/>
      <c r="D182" s="85"/>
      <c r="F182" s="85"/>
    </row>
    <row r="183" ht="15.75" customHeight="1">
      <c r="A183" s="85"/>
      <c r="D183" s="85"/>
      <c r="F183" s="85"/>
    </row>
    <row r="184" ht="15.75" customHeight="1">
      <c r="A184" s="85"/>
      <c r="D184" s="85"/>
      <c r="F184" s="85"/>
    </row>
    <row r="185" ht="15.75" customHeight="1">
      <c r="A185" s="85"/>
      <c r="D185" s="85"/>
      <c r="F185" s="85"/>
    </row>
    <row r="186" ht="15.75" customHeight="1">
      <c r="A186" s="85"/>
      <c r="D186" s="85"/>
      <c r="F186" s="85"/>
    </row>
    <row r="187" ht="15.75" customHeight="1">
      <c r="A187" s="85"/>
      <c r="D187" s="85"/>
      <c r="F187" s="85"/>
    </row>
    <row r="188" ht="15.75" customHeight="1">
      <c r="A188" s="85"/>
      <c r="D188" s="85"/>
      <c r="F188" s="85"/>
    </row>
    <row r="189" ht="15.75" customHeight="1">
      <c r="A189" s="85"/>
      <c r="D189" s="85"/>
      <c r="F189" s="85"/>
    </row>
    <row r="190" ht="15.75" customHeight="1">
      <c r="A190" s="85"/>
      <c r="D190" s="85"/>
      <c r="F190" s="85"/>
    </row>
    <row r="191" ht="15.75" customHeight="1">
      <c r="A191" s="85"/>
      <c r="D191" s="85"/>
      <c r="F191" s="85"/>
    </row>
    <row r="192" ht="15.75" customHeight="1">
      <c r="A192" s="85"/>
      <c r="D192" s="85"/>
      <c r="F192" s="85"/>
    </row>
    <row r="193" ht="15.75" customHeight="1">
      <c r="A193" s="85"/>
      <c r="D193" s="85"/>
      <c r="F193" s="85"/>
    </row>
    <row r="194" ht="15.75" customHeight="1">
      <c r="A194" s="85"/>
      <c r="D194" s="85"/>
      <c r="F194" s="85"/>
    </row>
    <row r="195" ht="15.75" customHeight="1">
      <c r="A195" s="85"/>
      <c r="D195" s="85"/>
      <c r="F195" s="85"/>
    </row>
    <row r="196" ht="15.75" customHeight="1">
      <c r="A196" s="85"/>
      <c r="D196" s="85"/>
      <c r="F196" s="85"/>
    </row>
    <row r="197" ht="15.75" customHeight="1">
      <c r="A197" s="85"/>
      <c r="D197" s="85"/>
      <c r="F197" s="85"/>
    </row>
    <row r="198" ht="15.75" customHeight="1">
      <c r="A198" s="85"/>
      <c r="D198" s="85"/>
      <c r="F198" s="85"/>
    </row>
    <row r="199" ht="15.75" customHeight="1">
      <c r="A199" s="85"/>
      <c r="D199" s="85"/>
      <c r="F199" s="85"/>
    </row>
    <row r="200" ht="15.75" customHeight="1">
      <c r="A200" s="85"/>
      <c r="D200" s="85"/>
      <c r="F200" s="85"/>
    </row>
    <row r="201" ht="15.75" customHeight="1">
      <c r="A201" s="85"/>
      <c r="D201" s="85"/>
      <c r="F201" s="85"/>
    </row>
    <row r="202" ht="15.75" customHeight="1">
      <c r="A202" s="85"/>
      <c r="D202" s="85"/>
      <c r="F202" s="85"/>
    </row>
    <row r="203" ht="15.75" customHeight="1">
      <c r="A203" s="85"/>
      <c r="D203" s="85"/>
      <c r="F203" s="85"/>
    </row>
    <row r="204" ht="15.75" customHeight="1">
      <c r="A204" s="85"/>
      <c r="D204" s="85"/>
      <c r="F204" s="85"/>
    </row>
    <row r="205" ht="15.75" customHeight="1">
      <c r="A205" s="85"/>
      <c r="D205" s="85"/>
      <c r="F205" s="85"/>
    </row>
    <row r="206" ht="15.75" customHeight="1">
      <c r="A206" s="85"/>
      <c r="D206" s="85"/>
      <c r="F206" s="85"/>
    </row>
    <row r="207" ht="15.75" customHeight="1">
      <c r="A207" s="85"/>
      <c r="D207" s="85"/>
      <c r="F207" s="85"/>
    </row>
    <row r="208" ht="15.75" customHeight="1">
      <c r="A208" s="85"/>
      <c r="D208" s="85"/>
      <c r="F208" s="85"/>
    </row>
    <row r="209" ht="15.75" customHeight="1">
      <c r="A209" s="85"/>
      <c r="D209" s="85"/>
      <c r="F209" s="85"/>
    </row>
    <row r="210" ht="15.75" customHeight="1">
      <c r="A210" s="85"/>
      <c r="D210" s="85"/>
      <c r="F210" s="85"/>
    </row>
    <row r="211" ht="15.75" customHeight="1">
      <c r="A211" s="85"/>
      <c r="D211" s="85"/>
      <c r="F211" s="85"/>
    </row>
    <row r="212" ht="15.75" customHeight="1">
      <c r="A212" s="85"/>
      <c r="D212" s="85"/>
      <c r="F212" s="85"/>
    </row>
    <row r="213" ht="15.75" customHeight="1">
      <c r="A213" s="85"/>
      <c r="D213" s="85"/>
      <c r="F213" s="85"/>
    </row>
    <row r="214" ht="15.75" customHeight="1">
      <c r="A214" s="85"/>
      <c r="D214" s="85"/>
      <c r="F214" s="85"/>
    </row>
    <row r="215" ht="15.75" customHeight="1">
      <c r="A215" s="85"/>
      <c r="D215" s="85"/>
      <c r="F215" s="85"/>
    </row>
    <row r="216" ht="15.75" customHeight="1">
      <c r="A216" s="85"/>
      <c r="D216" s="85"/>
      <c r="F216" s="85"/>
    </row>
    <row r="217" ht="15.75" customHeight="1">
      <c r="A217" s="85"/>
      <c r="D217" s="85"/>
      <c r="F217" s="85"/>
    </row>
    <row r="218" ht="15.75" customHeight="1">
      <c r="A218" s="85"/>
      <c r="D218" s="85"/>
      <c r="F218" s="85"/>
    </row>
    <row r="219" ht="15.75" customHeight="1">
      <c r="A219" s="85"/>
      <c r="D219" s="85"/>
      <c r="F219" s="85"/>
    </row>
    <row r="220" ht="15.75" customHeight="1">
      <c r="A220" s="85"/>
      <c r="D220" s="85"/>
      <c r="F220" s="85"/>
    </row>
    <row r="221" ht="15.75" customHeight="1">
      <c r="A221" s="85"/>
      <c r="D221" s="85"/>
      <c r="F221" s="85"/>
    </row>
    <row r="222" ht="15.75" customHeight="1">
      <c r="A222" s="85"/>
      <c r="D222" s="85"/>
      <c r="F222" s="85"/>
    </row>
    <row r="223" ht="15.75" customHeight="1">
      <c r="A223" s="85"/>
      <c r="D223" s="85"/>
      <c r="F223" s="85"/>
    </row>
    <row r="224" ht="15.75" customHeight="1">
      <c r="A224" s="85"/>
      <c r="D224" s="85"/>
      <c r="F224" s="85"/>
    </row>
    <row r="225" ht="15.75" customHeight="1">
      <c r="A225" s="85"/>
      <c r="D225" s="85"/>
      <c r="F225" s="85"/>
    </row>
    <row r="226" ht="15.75" customHeight="1">
      <c r="A226" s="85"/>
      <c r="D226" s="85"/>
      <c r="F226" s="85"/>
    </row>
    <row r="227" ht="15.75" customHeight="1">
      <c r="A227" s="85"/>
      <c r="D227" s="85"/>
      <c r="F227" s="85"/>
    </row>
    <row r="228" ht="15.75" customHeight="1">
      <c r="A228" s="85"/>
      <c r="D228" s="85"/>
      <c r="F228" s="85"/>
    </row>
    <row r="229" ht="15.75" customHeight="1">
      <c r="A229" s="85"/>
      <c r="D229" s="85"/>
      <c r="F229" s="85"/>
    </row>
    <row r="230" ht="15.75" customHeight="1">
      <c r="A230" s="85"/>
      <c r="D230" s="85"/>
      <c r="F230" s="85"/>
    </row>
    <row r="231" ht="15.75" customHeight="1">
      <c r="A231" s="85"/>
      <c r="D231" s="85"/>
      <c r="F231" s="85"/>
    </row>
    <row r="232" ht="15.75" customHeight="1">
      <c r="A232" s="85"/>
      <c r="D232" s="85"/>
      <c r="F232" s="85"/>
    </row>
    <row r="233" ht="15.75" customHeight="1">
      <c r="A233" s="85"/>
      <c r="D233" s="85"/>
      <c r="F233" s="85"/>
    </row>
    <row r="234" ht="15.75" customHeight="1">
      <c r="A234" s="85"/>
      <c r="D234" s="85"/>
      <c r="F234" s="85"/>
    </row>
    <row r="235" ht="15.75" customHeight="1">
      <c r="A235" s="85"/>
      <c r="D235" s="85"/>
      <c r="F235" s="85"/>
    </row>
    <row r="236" ht="15.75" customHeight="1">
      <c r="A236" s="85"/>
      <c r="D236" s="85"/>
      <c r="F236" s="85"/>
    </row>
    <row r="237" ht="15.75" customHeight="1">
      <c r="A237" s="85"/>
      <c r="D237" s="85"/>
      <c r="F237" s="85"/>
    </row>
    <row r="238" ht="15.75" customHeight="1">
      <c r="A238" s="85"/>
      <c r="D238" s="85"/>
      <c r="F238" s="85"/>
    </row>
    <row r="239" ht="15.75" customHeight="1">
      <c r="A239" s="85"/>
      <c r="D239" s="85"/>
      <c r="F239" s="85"/>
    </row>
    <row r="240" ht="15.75" customHeight="1">
      <c r="A240" s="85"/>
      <c r="D240" s="85"/>
      <c r="F240" s="85"/>
    </row>
    <row r="241" ht="15.75" customHeight="1">
      <c r="A241" s="85"/>
      <c r="D241" s="85"/>
      <c r="F241" s="85"/>
    </row>
    <row r="242" ht="15.75" customHeight="1">
      <c r="A242" s="85"/>
      <c r="D242" s="85"/>
      <c r="F242" s="85"/>
    </row>
    <row r="243" ht="15.75" customHeight="1">
      <c r="A243" s="85"/>
      <c r="D243" s="85"/>
      <c r="F243" s="85"/>
    </row>
    <row r="244" ht="15.75" customHeight="1">
      <c r="A244" s="85"/>
      <c r="D244" s="85"/>
      <c r="F244" s="85"/>
    </row>
    <row r="245" ht="15.75" customHeight="1">
      <c r="A245" s="85"/>
      <c r="D245" s="85"/>
      <c r="F245" s="85"/>
    </row>
    <row r="246" ht="15.75" customHeight="1">
      <c r="A246" s="85"/>
      <c r="D246" s="85"/>
      <c r="F246" s="85"/>
    </row>
    <row r="247" ht="15.75" customHeight="1">
      <c r="A247" s="85"/>
      <c r="D247" s="85"/>
      <c r="F247" s="85"/>
    </row>
    <row r="248" ht="15.75" customHeight="1">
      <c r="A248" s="85"/>
      <c r="D248" s="85"/>
      <c r="F248" s="85"/>
    </row>
    <row r="249" ht="15.75" customHeight="1">
      <c r="A249" s="85"/>
      <c r="D249" s="85"/>
      <c r="F249" s="85"/>
    </row>
    <row r="250" ht="15.75" customHeight="1">
      <c r="A250" s="85"/>
      <c r="D250" s="85"/>
      <c r="F250" s="85"/>
    </row>
    <row r="251" ht="15.75" customHeight="1">
      <c r="A251" s="85"/>
      <c r="D251" s="85"/>
      <c r="F251" s="85"/>
    </row>
    <row r="252" ht="15.75" customHeight="1">
      <c r="A252" s="85"/>
      <c r="D252" s="85"/>
      <c r="F252" s="85"/>
    </row>
    <row r="253" ht="15.75" customHeight="1">
      <c r="A253" s="85"/>
      <c r="D253" s="85"/>
      <c r="F253" s="85"/>
    </row>
    <row r="254" ht="15.75" customHeight="1">
      <c r="A254" s="85"/>
      <c r="D254" s="85"/>
      <c r="F254" s="85"/>
    </row>
    <row r="255" ht="15.75" customHeight="1">
      <c r="A255" s="85"/>
      <c r="D255" s="85"/>
      <c r="F255" s="85"/>
    </row>
    <row r="256" ht="15.75" customHeight="1">
      <c r="A256" s="85"/>
      <c r="D256" s="85"/>
      <c r="F256" s="85"/>
    </row>
    <row r="257" ht="15.75" customHeight="1">
      <c r="A257" s="85"/>
      <c r="D257" s="85"/>
      <c r="F257" s="85"/>
    </row>
    <row r="258" ht="15.75" customHeight="1">
      <c r="A258" s="85"/>
      <c r="D258" s="85"/>
      <c r="F258" s="85"/>
    </row>
    <row r="259" ht="15.75" customHeight="1">
      <c r="A259" s="85"/>
      <c r="D259" s="85"/>
      <c r="F259" s="85"/>
    </row>
    <row r="260" ht="15.75" customHeight="1">
      <c r="A260" s="85"/>
      <c r="D260" s="85"/>
      <c r="F260" s="85"/>
    </row>
    <row r="261" ht="15.75" customHeight="1">
      <c r="A261" s="85"/>
      <c r="D261" s="85"/>
      <c r="F261" s="85"/>
    </row>
    <row r="262" ht="15.75" customHeight="1">
      <c r="A262" s="85"/>
      <c r="D262" s="85"/>
      <c r="F262" s="85"/>
    </row>
    <row r="263" ht="15.75" customHeight="1">
      <c r="A263" s="85"/>
      <c r="D263" s="85"/>
      <c r="F263" s="85"/>
    </row>
    <row r="264" ht="15.75" customHeight="1">
      <c r="A264" s="85"/>
      <c r="D264" s="85"/>
      <c r="F264" s="85"/>
    </row>
    <row r="265" ht="15.75" customHeight="1">
      <c r="A265" s="85"/>
      <c r="D265" s="85"/>
      <c r="F265" s="85"/>
    </row>
    <row r="266" ht="15.75" customHeight="1">
      <c r="A266" s="85"/>
      <c r="D266" s="85"/>
      <c r="F266" s="85"/>
    </row>
    <row r="267" ht="15.75" customHeight="1">
      <c r="A267" s="85"/>
      <c r="D267" s="85"/>
      <c r="F267" s="85"/>
    </row>
    <row r="268" ht="15.75" customHeight="1">
      <c r="A268" s="85"/>
      <c r="D268" s="85"/>
      <c r="F268" s="85"/>
    </row>
    <row r="269" ht="15.75" customHeight="1">
      <c r="A269" s="85"/>
      <c r="D269" s="85"/>
      <c r="F269" s="85"/>
    </row>
    <row r="270" ht="15.75" customHeight="1">
      <c r="A270" s="85"/>
      <c r="D270" s="85"/>
      <c r="F270" s="85"/>
    </row>
    <row r="271" ht="15.75" customHeight="1">
      <c r="A271" s="85"/>
      <c r="D271" s="85"/>
      <c r="F271" s="85"/>
    </row>
    <row r="272" ht="15.75" customHeight="1">
      <c r="A272" s="85"/>
      <c r="D272" s="85"/>
      <c r="F272" s="85"/>
    </row>
    <row r="273" ht="15.75" customHeight="1">
      <c r="A273" s="85"/>
      <c r="D273" s="85"/>
      <c r="F273" s="85"/>
    </row>
    <row r="274" ht="15.75" customHeight="1">
      <c r="A274" s="85"/>
      <c r="D274" s="85"/>
      <c r="F274" s="85"/>
    </row>
    <row r="275" ht="15.75" customHeight="1">
      <c r="A275" s="85"/>
      <c r="D275" s="85"/>
      <c r="F275" s="85"/>
    </row>
    <row r="276" ht="15.75" customHeight="1">
      <c r="A276" s="85"/>
      <c r="D276" s="85"/>
      <c r="F276" s="85"/>
    </row>
    <row r="277" ht="15.75" customHeight="1">
      <c r="A277" s="85"/>
      <c r="D277" s="85"/>
      <c r="F277" s="85"/>
    </row>
    <row r="278" ht="15.75" customHeight="1">
      <c r="A278" s="85"/>
      <c r="D278" s="85"/>
      <c r="F278" s="85"/>
    </row>
    <row r="279" ht="15.75" customHeight="1">
      <c r="A279" s="85"/>
      <c r="D279" s="85"/>
      <c r="F279" s="85"/>
    </row>
    <row r="280" ht="15.75" customHeight="1">
      <c r="A280" s="85"/>
      <c r="D280" s="85"/>
      <c r="F280" s="85"/>
    </row>
    <row r="281" ht="15.75" customHeight="1">
      <c r="A281" s="85"/>
      <c r="D281" s="85"/>
      <c r="F281" s="85"/>
    </row>
    <row r="282" ht="15.75" customHeight="1">
      <c r="A282" s="85"/>
      <c r="D282" s="85"/>
      <c r="F282" s="85"/>
    </row>
    <row r="283" ht="15.75" customHeight="1">
      <c r="A283" s="85"/>
      <c r="D283" s="85"/>
      <c r="F283" s="85"/>
    </row>
    <row r="284" ht="15.75" customHeight="1">
      <c r="A284" s="85"/>
      <c r="D284" s="85"/>
      <c r="F284" s="85"/>
    </row>
    <row r="285" ht="15.75" customHeight="1">
      <c r="A285" s="85"/>
      <c r="D285" s="85"/>
      <c r="F285" s="85"/>
    </row>
    <row r="286" ht="15.75" customHeight="1">
      <c r="A286" s="85"/>
      <c r="D286" s="85"/>
      <c r="F286" s="85"/>
    </row>
    <row r="287" ht="15.75" customHeight="1">
      <c r="A287" s="85"/>
      <c r="D287" s="85"/>
      <c r="F287" s="85"/>
    </row>
    <row r="288" ht="15.75" customHeight="1">
      <c r="A288" s="85"/>
      <c r="D288" s="85"/>
      <c r="F288" s="85"/>
    </row>
    <row r="289" ht="15.75" customHeight="1">
      <c r="A289" s="85"/>
      <c r="D289" s="85"/>
      <c r="F289" s="85"/>
    </row>
    <row r="290" ht="15.75" customHeight="1">
      <c r="A290" s="85"/>
      <c r="D290" s="85"/>
      <c r="F290" s="85"/>
    </row>
    <row r="291" ht="15.75" customHeight="1">
      <c r="A291" s="85"/>
      <c r="D291" s="85"/>
      <c r="F291" s="85"/>
    </row>
    <row r="292" ht="15.75" customHeight="1">
      <c r="A292" s="85"/>
      <c r="D292" s="85"/>
      <c r="F292" s="85"/>
    </row>
    <row r="293" ht="15.75" customHeight="1">
      <c r="A293" s="85"/>
      <c r="D293" s="85"/>
      <c r="F293" s="85"/>
    </row>
    <row r="294" ht="15.75" customHeight="1">
      <c r="A294" s="85"/>
      <c r="D294" s="85"/>
      <c r="F294" s="85"/>
    </row>
    <row r="295" ht="15.75" customHeight="1">
      <c r="A295" s="85"/>
      <c r="D295" s="85"/>
      <c r="F295" s="85"/>
    </row>
    <row r="296" ht="15.75" customHeight="1">
      <c r="A296" s="85"/>
      <c r="D296" s="85"/>
      <c r="F296" s="85"/>
    </row>
    <row r="297" ht="15.75" customHeight="1">
      <c r="A297" s="85"/>
      <c r="D297" s="85"/>
      <c r="F297" s="85"/>
    </row>
    <row r="298" ht="15.75" customHeight="1">
      <c r="A298" s="85"/>
      <c r="D298" s="85"/>
      <c r="F298" s="85"/>
    </row>
    <row r="299" ht="15.75" customHeight="1">
      <c r="A299" s="85"/>
      <c r="D299" s="85"/>
      <c r="F299" s="85"/>
    </row>
    <row r="300" ht="15.75" customHeight="1">
      <c r="A300" s="85"/>
      <c r="D300" s="85"/>
      <c r="F300" s="85"/>
    </row>
    <row r="301" ht="15.75" customHeight="1">
      <c r="A301" s="85"/>
      <c r="D301" s="85"/>
      <c r="F301" s="85"/>
    </row>
    <row r="302" ht="15.75" customHeight="1">
      <c r="A302" s="85"/>
      <c r="D302" s="85"/>
      <c r="F302" s="85"/>
    </row>
    <row r="303" ht="15.75" customHeight="1">
      <c r="A303" s="85"/>
      <c r="D303" s="85"/>
      <c r="F303" s="85"/>
    </row>
    <row r="304" ht="15.75" customHeight="1">
      <c r="A304" s="85"/>
      <c r="D304" s="85"/>
      <c r="F304" s="85"/>
    </row>
    <row r="305" ht="15.75" customHeight="1">
      <c r="A305" s="85"/>
      <c r="D305" s="85"/>
      <c r="F305" s="85"/>
    </row>
    <row r="306" ht="15.75" customHeight="1">
      <c r="A306" s="85"/>
      <c r="D306" s="85"/>
      <c r="F306" s="85"/>
    </row>
    <row r="307" ht="15.75" customHeight="1">
      <c r="A307" s="85"/>
      <c r="D307" s="85"/>
      <c r="F307" s="85"/>
    </row>
    <row r="308" ht="15.75" customHeight="1">
      <c r="A308" s="85"/>
      <c r="D308" s="85"/>
      <c r="F308" s="85"/>
    </row>
    <row r="309" ht="15.75" customHeight="1">
      <c r="A309" s="85"/>
      <c r="D309" s="85"/>
      <c r="F309" s="85"/>
    </row>
    <row r="310" ht="15.75" customHeight="1">
      <c r="A310" s="85"/>
      <c r="D310" s="85"/>
      <c r="F310" s="85"/>
    </row>
    <row r="311" ht="15.75" customHeight="1">
      <c r="A311" s="85"/>
      <c r="D311" s="85"/>
      <c r="F311" s="85"/>
    </row>
    <row r="312" ht="15.75" customHeight="1">
      <c r="A312" s="85"/>
      <c r="D312" s="85"/>
      <c r="F312" s="85"/>
    </row>
    <row r="313" ht="15.75" customHeight="1">
      <c r="A313" s="85"/>
      <c r="D313" s="85"/>
      <c r="F313" s="85"/>
    </row>
    <row r="314" ht="15.75" customHeight="1">
      <c r="A314" s="85"/>
      <c r="D314" s="85"/>
      <c r="F314" s="85"/>
    </row>
    <row r="315" ht="15.75" customHeight="1">
      <c r="A315" s="85"/>
      <c r="D315" s="85"/>
      <c r="F315" s="85"/>
    </row>
    <row r="316" ht="15.75" customHeight="1">
      <c r="A316" s="85"/>
      <c r="D316" s="85"/>
      <c r="F316" s="85"/>
    </row>
    <row r="317" ht="15.75" customHeight="1">
      <c r="A317" s="85"/>
      <c r="D317" s="85"/>
      <c r="F317" s="85"/>
    </row>
    <row r="318" ht="15.75" customHeight="1">
      <c r="A318" s="85"/>
      <c r="D318" s="85"/>
      <c r="F318" s="85"/>
    </row>
    <row r="319" ht="15.75" customHeight="1">
      <c r="A319" s="85"/>
      <c r="D319" s="85"/>
      <c r="F319" s="85"/>
    </row>
    <row r="320" ht="15.75" customHeight="1">
      <c r="A320" s="85"/>
      <c r="D320" s="85"/>
      <c r="F320" s="85"/>
    </row>
    <row r="321" ht="15.75" customHeight="1">
      <c r="A321" s="85"/>
      <c r="D321" s="85"/>
      <c r="F321" s="85"/>
    </row>
    <row r="322" ht="15.75" customHeight="1">
      <c r="A322" s="85"/>
      <c r="D322" s="85"/>
      <c r="F322" s="85"/>
    </row>
    <row r="323" ht="15.75" customHeight="1">
      <c r="A323" s="85"/>
      <c r="D323" s="85"/>
      <c r="F323" s="85"/>
    </row>
    <row r="324" ht="15.75" customHeight="1">
      <c r="A324" s="85"/>
      <c r="D324" s="85"/>
      <c r="F324" s="85"/>
    </row>
    <row r="325" ht="15.75" customHeight="1">
      <c r="A325" s="85"/>
      <c r="D325" s="85"/>
      <c r="F325" s="85"/>
    </row>
    <row r="326" ht="15.75" customHeight="1">
      <c r="A326" s="85"/>
      <c r="D326" s="85"/>
      <c r="F326" s="85"/>
    </row>
    <row r="327" ht="15.75" customHeight="1">
      <c r="A327" s="85"/>
      <c r="D327" s="85"/>
      <c r="F327" s="85"/>
    </row>
    <row r="328" ht="15.75" customHeight="1">
      <c r="A328" s="85"/>
      <c r="D328" s="85"/>
      <c r="F328" s="85"/>
    </row>
    <row r="329" ht="15.75" customHeight="1">
      <c r="A329" s="85"/>
      <c r="D329" s="85"/>
      <c r="F329" s="85"/>
    </row>
    <row r="330" ht="15.75" customHeight="1">
      <c r="A330" s="85"/>
      <c r="D330" s="85"/>
      <c r="F330" s="85"/>
    </row>
    <row r="331" ht="15.75" customHeight="1">
      <c r="A331" s="85"/>
      <c r="D331" s="85"/>
      <c r="F331" s="85"/>
    </row>
    <row r="332" ht="15.75" customHeight="1">
      <c r="A332" s="85"/>
      <c r="D332" s="85"/>
      <c r="F332" s="85"/>
    </row>
    <row r="333" ht="15.75" customHeight="1">
      <c r="A333" s="85"/>
      <c r="D333" s="85"/>
      <c r="F333" s="85"/>
    </row>
    <row r="334" ht="15.75" customHeight="1">
      <c r="A334" s="85"/>
      <c r="D334" s="85"/>
      <c r="F334" s="85"/>
    </row>
    <row r="335" ht="15.75" customHeight="1">
      <c r="A335" s="85"/>
      <c r="D335" s="85"/>
      <c r="F335" s="85"/>
    </row>
    <row r="336" ht="15.75" customHeight="1">
      <c r="A336" s="85"/>
      <c r="D336" s="85"/>
      <c r="F336" s="85"/>
    </row>
    <row r="337" ht="15.75" customHeight="1">
      <c r="A337" s="85"/>
      <c r="D337" s="85"/>
      <c r="F337" s="85"/>
    </row>
    <row r="338" ht="15.75" customHeight="1">
      <c r="A338" s="85"/>
      <c r="D338" s="85"/>
      <c r="F338" s="85"/>
    </row>
    <row r="339" ht="15.75" customHeight="1">
      <c r="A339" s="85"/>
      <c r="D339" s="85"/>
      <c r="F339" s="85"/>
    </row>
    <row r="340" ht="15.75" customHeight="1">
      <c r="A340" s="85"/>
      <c r="D340" s="85"/>
      <c r="F340" s="85"/>
    </row>
    <row r="341" ht="15.75" customHeight="1">
      <c r="A341" s="85"/>
      <c r="D341" s="85"/>
      <c r="F341" s="85"/>
    </row>
    <row r="342" ht="15.75" customHeight="1">
      <c r="A342" s="85"/>
      <c r="D342" s="85"/>
      <c r="F342" s="85"/>
    </row>
    <row r="343" ht="15.75" customHeight="1">
      <c r="A343" s="85"/>
      <c r="D343" s="85"/>
      <c r="F343" s="85"/>
    </row>
    <row r="344" ht="15.75" customHeight="1">
      <c r="A344" s="85"/>
      <c r="D344" s="85"/>
      <c r="F344" s="85"/>
    </row>
    <row r="345" ht="15.75" customHeight="1">
      <c r="A345" s="85"/>
      <c r="D345" s="85"/>
      <c r="F345" s="85"/>
    </row>
    <row r="346" ht="15.75" customHeight="1">
      <c r="A346" s="85"/>
      <c r="D346" s="85"/>
      <c r="F346" s="85"/>
    </row>
    <row r="347" ht="15.75" customHeight="1">
      <c r="A347" s="85"/>
      <c r="D347" s="85"/>
      <c r="F347" s="85"/>
    </row>
    <row r="348" ht="15.75" customHeight="1">
      <c r="A348" s="85"/>
      <c r="D348" s="85"/>
      <c r="F348" s="85"/>
    </row>
    <row r="349" ht="15.75" customHeight="1">
      <c r="A349" s="85"/>
      <c r="D349" s="85"/>
      <c r="F349" s="85"/>
    </row>
    <row r="350" ht="15.75" customHeight="1">
      <c r="A350" s="85"/>
      <c r="D350" s="85"/>
      <c r="F350" s="85"/>
    </row>
    <row r="351" ht="15.75" customHeight="1">
      <c r="A351" s="85"/>
      <c r="D351" s="85"/>
      <c r="F351" s="85"/>
    </row>
    <row r="352" ht="15.75" customHeight="1">
      <c r="A352" s="85"/>
      <c r="D352" s="85"/>
      <c r="F352" s="85"/>
    </row>
    <row r="353" ht="15.75" customHeight="1">
      <c r="A353" s="85"/>
      <c r="D353" s="85"/>
      <c r="F353" s="85"/>
    </row>
    <row r="354" ht="15.75" customHeight="1">
      <c r="A354" s="85"/>
      <c r="D354" s="85"/>
      <c r="F354" s="85"/>
    </row>
    <row r="355" ht="15.75" customHeight="1">
      <c r="A355" s="85"/>
      <c r="D355" s="85"/>
      <c r="F355" s="85"/>
    </row>
    <row r="356" ht="15.75" customHeight="1">
      <c r="A356" s="85"/>
      <c r="D356" s="85"/>
      <c r="F356" s="85"/>
    </row>
    <row r="357" ht="15.75" customHeight="1">
      <c r="A357" s="85"/>
      <c r="D357" s="85"/>
      <c r="F357" s="85"/>
    </row>
    <row r="358" ht="15.75" customHeight="1">
      <c r="A358" s="85"/>
      <c r="D358" s="85"/>
      <c r="F358" s="85"/>
    </row>
    <row r="359" ht="15.75" customHeight="1">
      <c r="A359" s="85"/>
      <c r="D359" s="85"/>
      <c r="F359" s="85"/>
    </row>
    <row r="360" ht="15.75" customHeight="1">
      <c r="A360" s="85"/>
      <c r="D360" s="85"/>
      <c r="F360" s="85"/>
    </row>
    <row r="361" ht="15.75" customHeight="1">
      <c r="A361" s="85"/>
      <c r="D361" s="85"/>
      <c r="F361" s="85"/>
    </row>
    <row r="362" ht="15.75" customHeight="1">
      <c r="A362" s="85"/>
      <c r="D362" s="85"/>
      <c r="F362" s="85"/>
    </row>
    <row r="363" ht="15.75" customHeight="1">
      <c r="A363" s="85"/>
      <c r="D363" s="85"/>
      <c r="F363" s="85"/>
    </row>
    <row r="364" ht="15.75" customHeight="1">
      <c r="A364" s="85"/>
      <c r="D364" s="85"/>
      <c r="F364" s="85"/>
    </row>
    <row r="365" ht="15.75" customHeight="1">
      <c r="A365" s="85"/>
      <c r="D365" s="85"/>
      <c r="F365" s="85"/>
    </row>
    <row r="366" ht="15.75" customHeight="1">
      <c r="A366" s="85"/>
      <c r="D366" s="85"/>
      <c r="F366" s="85"/>
    </row>
    <row r="367" ht="15.75" customHeight="1">
      <c r="A367" s="85"/>
      <c r="D367" s="85"/>
      <c r="F367" s="85"/>
    </row>
    <row r="368" ht="15.75" customHeight="1">
      <c r="A368" s="85"/>
      <c r="D368" s="85"/>
      <c r="F368" s="85"/>
    </row>
    <row r="369" ht="15.75" customHeight="1">
      <c r="A369" s="85"/>
      <c r="D369" s="85"/>
      <c r="F369" s="85"/>
    </row>
    <row r="370" ht="15.75" customHeight="1">
      <c r="A370" s="85"/>
      <c r="D370" s="85"/>
      <c r="F370" s="85"/>
    </row>
    <row r="371" ht="15.75" customHeight="1">
      <c r="A371" s="85"/>
      <c r="D371" s="85"/>
      <c r="F371" s="85"/>
    </row>
    <row r="372" ht="15.75" customHeight="1">
      <c r="A372" s="85"/>
      <c r="D372" s="85"/>
      <c r="F372" s="85"/>
    </row>
    <row r="373" ht="15.75" customHeight="1">
      <c r="A373" s="85"/>
      <c r="D373" s="85"/>
      <c r="F373" s="85"/>
    </row>
    <row r="374" ht="15.75" customHeight="1">
      <c r="A374" s="85"/>
      <c r="D374" s="85"/>
      <c r="F374" s="85"/>
    </row>
    <row r="375" ht="15.75" customHeight="1">
      <c r="A375" s="85"/>
      <c r="D375" s="85"/>
      <c r="F375" s="85"/>
    </row>
    <row r="376" ht="15.75" customHeight="1">
      <c r="A376" s="85"/>
      <c r="D376" s="85"/>
      <c r="F376" s="85"/>
    </row>
    <row r="377" ht="15.75" customHeight="1">
      <c r="A377" s="85"/>
      <c r="D377" s="85"/>
      <c r="F377" s="85"/>
    </row>
    <row r="378" ht="15.75" customHeight="1">
      <c r="A378" s="85"/>
      <c r="D378" s="85"/>
      <c r="F378" s="85"/>
    </row>
    <row r="379" ht="15.75" customHeight="1">
      <c r="A379" s="85"/>
      <c r="D379" s="85"/>
      <c r="F379" s="85"/>
    </row>
    <row r="380" ht="15.75" customHeight="1">
      <c r="A380" s="85"/>
      <c r="D380" s="85"/>
      <c r="F380" s="85"/>
    </row>
    <row r="381" ht="15.75" customHeight="1">
      <c r="A381" s="85"/>
      <c r="D381" s="85"/>
      <c r="F381" s="85"/>
    </row>
    <row r="382" ht="15.75" customHeight="1">
      <c r="A382" s="85"/>
      <c r="D382" s="85"/>
      <c r="F382" s="85"/>
    </row>
    <row r="383" ht="15.75" customHeight="1">
      <c r="A383" s="85"/>
      <c r="D383" s="85"/>
      <c r="F383" s="85"/>
    </row>
    <row r="384" ht="15.75" customHeight="1">
      <c r="A384" s="85"/>
      <c r="D384" s="85"/>
      <c r="F384" s="85"/>
    </row>
    <row r="385" ht="15.75" customHeight="1">
      <c r="A385" s="85"/>
      <c r="D385" s="85"/>
      <c r="F385" s="85"/>
    </row>
    <row r="386" ht="15.75" customHeight="1">
      <c r="A386" s="85"/>
      <c r="D386" s="85"/>
      <c r="F386" s="85"/>
    </row>
    <row r="387" ht="15.75" customHeight="1">
      <c r="A387" s="85"/>
      <c r="D387" s="85"/>
      <c r="F387" s="85"/>
    </row>
    <row r="388" ht="15.75" customHeight="1">
      <c r="A388" s="85"/>
      <c r="D388" s="85"/>
      <c r="F388" s="85"/>
    </row>
    <row r="389" ht="15.75" customHeight="1">
      <c r="A389" s="85"/>
      <c r="D389" s="85"/>
      <c r="F389" s="85"/>
    </row>
    <row r="390" ht="15.75" customHeight="1">
      <c r="A390" s="85"/>
      <c r="D390" s="85"/>
      <c r="F390" s="85"/>
    </row>
    <row r="391" ht="15.75" customHeight="1">
      <c r="A391" s="85"/>
      <c r="D391" s="85"/>
      <c r="F391" s="85"/>
    </row>
    <row r="392" ht="15.75" customHeight="1">
      <c r="A392" s="85"/>
      <c r="D392" s="85"/>
      <c r="F392" s="85"/>
    </row>
    <row r="393" ht="15.75" customHeight="1">
      <c r="A393" s="85"/>
      <c r="D393" s="85"/>
      <c r="F393" s="85"/>
    </row>
    <row r="394" ht="15.75" customHeight="1">
      <c r="A394" s="85"/>
      <c r="D394" s="85"/>
      <c r="F394" s="85"/>
    </row>
    <row r="395" ht="15.75" customHeight="1">
      <c r="A395" s="85"/>
      <c r="D395" s="85"/>
      <c r="F395" s="85"/>
    </row>
    <row r="396" ht="15.75" customHeight="1">
      <c r="A396" s="85"/>
      <c r="D396" s="85"/>
      <c r="F396" s="85"/>
    </row>
    <row r="397" ht="15.75" customHeight="1">
      <c r="A397" s="85"/>
      <c r="D397" s="85"/>
      <c r="F397" s="85"/>
    </row>
    <row r="398" ht="15.75" customHeight="1">
      <c r="A398" s="85"/>
      <c r="D398" s="85"/>
      <c r="F398" s="85"/>
    </row>
    <row r="399" ht="15.75" customHeight="1">
      <c r="A399" s="85"/>
      <c r="D399" s="85"/>
      <c r="F399" s="85"/>
    </row>
    <row r="400" ht="15.75" customHeight="1">
      <c r="A400" s="85"/>
      <c r="D400" s="85"/>
      <c r="F400" s="85"/>
    </row>
    <row r="401" ht="15.75" customHeight="1">
      <c r="A401" s="85"/>
      <c r="D401" s="85"/>
      <c r="F401" s="85"/>
    </row>
    <row r="402" ht="15.75" customHeight="1">
      <c r="A402" s="85"/>
      <c r="D402" s="85"/>
      <c r="F402" s="85"/>
    </row>
    <row r="403" ht="15.75" customHeight="1">
      <c r="A403" s="85"/>
      <c r="D403" s="85"/>
      <c r="F403" s="85"/>
    </row>
    <row r="404" ht="15.75" customHeight="1">
      <c r="A404" s="85"/>
      <c r="D404" s="85"/>
      <c r="F404" s="85"/>
    </row>
    <row r="405" ht="15.75" customHeight="1">
      <c r="A405" s="85"/>
      <c r="D405" s="85"/>
      <c r="F405" s="85"/>
    </row>
    <row r="406" ht="15.75" customHeight="1">
      <c r="A406" s="85"/>
      <c r="D406" s="85"/>
      <c r="F406" s="85"/>
    </row>
    <row r="407" ht="15.75" customHeight="1">
      <c r="A407" s="85"/>
      <c r="D407" s="85"/>
      <c r="F407" s="85"/>
    </row>
    <row r="408" ht="15.75" customHeight="1">
      <c r="A408" s="85"/>
      <c r="D408" s="85"/>
      <c r="F408" s="85"/>
    </row>
    <row r="409" ht="15.75" customHeight="1">
      <c r="A409" s="85"/>
      <c r="D409" s="85"/>
      <c r="F409" s="85"/>
    </row>
    <row r="410" ht="15.75" customHeight="1">
      <c r="A410" s="85"/>
      <c r="D410" s="85"/>
      <c r="F410" s="85"/>
    </row>
    <row r="411" ht="15.75" customHeight="1">
      <c r="A411" s="85"/>
      <c r="D411" s="85"/>
      <c r="F411" s="85"/>
    </row>
    <row r="412" ht="15.75" customHeight="1">
      <c r="A412" s="85"/>
      <c r="D412" s="85"/>
      <c r="F412" s="85"/>
    </row>
    <row r="413" ht="15.75" customHeight="1">
      <c r="A413" s="85"/>
      <c r="D413" s="85"/>
      <c r="F413" s="85"/>
    </row>
    <row r="414" ht="15.75" customHeight="1">
      <c r="A414" s="85"/>
      <c r="D414" s="85"/>
      <c r="F414" s="85"/>
    </row>
    <row r="415" ht="15.75" customHeight="1">
      <c r="A415" s="85"/>
      <c r="D415" s="85"/>
      <c r="F415" s="85"/>
    </row>
    <row r="416" ht="15.75" customHeight="1">
      <c r="A416" s="85"/>
      <c r="D416" s="85"/>
      <c r="F416" s="85"/>
    </row>
    <row r="417" ht="15.75" customHeight="1">
      <c r="A417" s="85"/>
      <c r="D417" s="85"/>
      <c r="F417" s="85"/>
    </row>
    <row r="418" ht="15.75" customHeight="1">
      <c r="A418" s="85"/>
      <c r="D418" s="85"/>
      <c r="F418" s="85"/>
    </row>
    <row r="419" ht="15.75" customHeight="1">
      <c r="A419" s="85"/>
      <c r="D419" s="85"/>
      <c r="F419" s="85"/>
    </row>
    <row r="420" ht="15.75" customHeight="1">
      <c r="A420" s="85"/>
      <c r="D420" s="85"/>
      <c r="F420" s="85"/>
    </row>
    <row r="421" ht="15.75" customHeight="1">
      <c r="A421" s="85"/>
      <c r="D421" s="85"/>
      <c r="F421" s="85"/>
    </row>
    <row r="422" ht="15.75" customHeight="1">
      <c r="A422" s="85"/>
      <c r="D422" s="85"/>
      <c r="F422" s="85"/>
    </row>
    <row r="423" ht="15.75" customHeight="1">
      <c r="A423" s="85"/>
      <c r="D423" s="85"/>
      <c r="F423" s="85"/>
    </row>
    <row r="424" ht="15.75" customHeight="1">
      <c r="A424" s="85"/>
      <c r="D424" s="85"/>
      <c r="F424" s="85"/>
    </row>
    <row r="425" ht="15.75" customHeight="1">
      <c r="A425" s="85"/>
      <c r="D425" s="85"/>
      <c r="F425" s="85"/>
    </row>
    <row r="426" ht="15.75" customHeight="1">
      <c r="A426" s="85"/>
      <c r="D426" s="85"/>
      <c r="F426" s="85"/>
    </row>
    <row r="427" ht="15.75" customHeight="1">
      <c r="A427" s="85"/>
      <c r="D427" s="85"/>
      <c r="F427" s="85"/>
    </row>
    <row r="428" ht="15.75" customHeight="1">
      <c r="A428" s="85"/>
      <c r="D428" s="85"/>
      <c r="F428" s="85"/>
    </row>
    <row r="429" ht="15.75" customHeight="1">
      <c r="A429" s="85"/>
      <c r="D429" s="85"/>
      <c r="F429" s="85"/>
    </row>
    <row r="430" ht="15.75" customHeight="1">
      <c r="A430" s="85"/>
      <c r="D430" s="85"/>
      <c r="F430" s="85"/>
    </row>
    <row r="431" ht="15.75" customHeight="1">
      <c r="A431" s="85"/>
      <c r="D431" s="85"/>
      <c r="F431" s="85"/>
    </row>
    <row r="432" ht="15.75" customHeight="1">
      <c r="A432" s="85"/>
      <c r="D432" s="85"/>
      <c r="F432" s="85"/>
    </row>
    <row r="433" ht="15.75" customHeight="1">
      <c r="A433" s="85"/>
      <c r="D433" s="85"/>
      <c r="F433" s="85"/>
    </row>
    <row r="434" ht="15.75" customHeight="1">
      <c r="A434" s="85"/>
      <c r="D434" s="85"/>
      <c r="F434" s="85"/>
    </row>
    <row r="435" ht="15.75" customHeight="1">
      <c r="A435" s="85"/>
      <c r="D435" s="85"/>
      <c r="F435" s="85"/>
    </row>
    <row r="436" ht="15.75" customHeight="1">
      <c r="A436" s="85"/>
      <c r="D436" s="85"/>
      <c r="F436" s="85"/>
    </row>
    <row r="437" ht="15.75" customHeight="1">
      <c r="A437" s="85"/>
      <c r="D437" s="85"/>
      <c r="F437" s="85"/>
    </row>
    <row r="438" ht="15.75" customHeight="1">
      <c r="A438" s="85"/>
      <c r="D438" s="85"/>
      <c r="F438" s="85"/>
    </row>
    <row r="439" ht="15.75" customHeight="1">
      <c r="A439" s="85"/>
      <c r="D439" s="85"/>
      <c r="F439" s="85"/>
    </row>
    <row r="440" ht="15.75" customHeight="1">
      <c r="A440" s="85"/>
      <c r="D440" s="85"/>
      <c r="F440" s="85"/>
    </row>
    <row r="441" ht="15.75" customHeight="1">
      <c r="A441" s="85"/>
      <c r="D441" s="85"/>
      <c r="F441" s="85"/>
    </row>
    <row r="442" ht="15.75" customHeight="1">
      <c r="A442" s="85"/>
      <c r="D442" s="85"/>
      <c r="F442" s="85"/>
    </row>
    <row r="443" ht="15.75" customHeight="1">
      <c r="A443" s="85"/>
      <c r="D443" s="85"/>
      <c r="F443" s="85"/>
    </row>
    <row r="444" ht="15.75" customHeight="1">
      <c r="A444" s="85"/>
      <c r="D444" s="85"/>
      <c r="F444" s="85"/>
    </row>
    <row r="445" ht="15.75" customHeight="1">
      <c r="A445" s="85"/>
      <c r="D445" s="85"/>
      <c r="F445" s="85"/>
    </row>
    <row r="446" ht="15.75" customHeight="1">
      <c r="A446" s="85"/>
      <c r="D446" s="85"/>
      <c r="F446" s="85"/>
    </row>
    <row r="447" ht="15.75" customHeight="1">
      <c r="A447" s="85"/>
      <c r="D447" s="85"/>
      <c r="F447" s="85"/>
    </row>
    <row r="448" ht="15.75" customHeight="1">
      <c r="A448" s="85"/>
      <c r="D448" s="85"/>
      <c r="F448" s="85"/>
    </row>
    <row r="449" ht="15.75" customHeight="1">
      <c r="A449" s="85"/>
      <c r="D449" s="85"/>
      <c r="F449" s="85"/>
    </row>
    <row r="450" ht="15.75" customHeight="1">
      <c r="A450" s="85"/>
      <c r="D450" s="85"/>
      <c r="F450" s="85"/>
    </row>
    <row r="451" ht="15.75" customHeight="1">
      <c r="A451" s="85"/>
      <c r="D451" s="85"/>
      <c r="F451" s="85"/>
    </row>
    <row r="452" ht="15.75" customHeight="1">
      <c r="A452" s="85"/>
      <c r="D452" s="85"/>
      <c r="F452" s="85"/>
    </row>
    <row r="453" ht="15.75" customHeight="1">
      <c r="A453" s="85"/>
      <c r="D453" s="85"/>
      <c r="F453" s="85"/>
    </row>
    <row r="454" ht="15.75" customHeight="1">
      <c r="A454" s="85"/>
      <c r="D454" s="85"/>
      <c r="F454" s="85"/>
    </row>
    <row r="455" ht="15.75" customHeight="1">
      <c r="A455" s="85"/>
      <c r="D455" s="85"/>
      <c r="F455" s="85"/>
    </row>
    <row r="456" ht="15.75" customHeight="1">
      <c r="A456" s="85"/>
      <c r="D456" s="85"/>
      <c r="F456" s="85"/>
    </row>
    <row r="457" ht="15.75" customHeight="1">
      <c r="A457" s="85"/>
      <c r="D457" s="85"/>
      <c r="F457" s="85"/>
    </row>
    <row r="458" ht="15.75" customHeight="1">
      <c r="A458" s="85"/>
      <c r="D458" s="85"/>
      <c r="F458" s="85"/>
    </row>
    <row r="459" ht="15.75" customHeight="1">
      <c r="A459" s="85"/>
      <c r="D459" s="85"/>
      <c r="F459" s="85"/>
    </row>
    <row r="460" ht="15.75" customHeight="1">
      <c r="A460" s="85"/>
      <c r="D460" s="85"/>
      <c r="F460" s="85"/>
    </row>
    <row r="461" ht="15.75" customHeight="1">
      <c r="A461" s="85"/>
      <c r="D461" s="85"/>
      <c r="F461" s="85"/>
    </row>
    <row r="462" ht="15.75" customHeight="1">
      <c r="A462" s="85"/>
      <c r="D462" s="85"/>
      <c r="F462" s="85"/>
    </row>
    <row r="463" ht="15.75" customHeight="1">
      <c r="A463" s="85"/>
      <c r="D463" s="85"/>
      <c r="F463" s="85"/>
    </row>
    <row r="464" ht="15.75" customHeight="1">
      <c r="A464" s="85"/>
      <c r="D464" s="85"/>
      <c r="F464" s="85"/>
    </row>
    <row r="465" ht="15.75" customHeight="1">
      <c r="A465" s="85"/>
      <c r="D465" s="85"/>
      <c r="F465" s="85"/>
    </row>
    <row r="466" ht="15.75" customHeight="1">
      <c r="A466" s="85"/>
      <c r="D466" s="85"/>
      <c r="F466" s="85"/>
    </row>
    <row r="467" ht="15.75" customHeight="1">
      <c r="A467" s="85"/>
      <c r="D467" s="85"/>
      <c r="F467" s="85"/>
    </row>
    <row r="468" ht="15.75" customHeight="1">
      <c r="A468" s="85"/>
      <c r="D468" s="85"/>
      <c r="F468" s="85"/>
    </row>
    <row r="469" ht="15.75" customHeight="1">
      <c r="A469" s="85"/>
      <c r="D469" s="85"/>
      <c r="F469" s="85"/>
    </row>
    <row r="470" ht="15.75" customHeight="1">
      <c r="A470" s="85"/>
      <c r="D470" s="85"/>
      <c r="F470" s="85"/>
    </row>
    <row r="471" ht="15.75" customHeight="1">
      <c r="A471" s="85"/>
      <c r="D471" s="85"/>
      <c r="F471" s="85"/>
    </row>
    <row r="472" ht="15.75" customHeight="1">
      <c r="A472" s="85"/>
      <c r="D472" s="85"/>
      <c r="F472" s="85"/>
    </row>
    <row r="473" ht="15.75" customHeight="1">
      <c r="A473" s="85"/>
      <c r="D473" s="85"/>
      <c r="F473" s="85"/>
    </row>
    <row r="474" ht="15.75" customHeight="1">
      <c r="A474" s="85"/>
      <c r="D474" s="85"/>
      <c r="F474" s="85"/>
    </row>
    <row r="475" ht="15.75" customHeight="1">
      <c r="A475" s="85"/>
      <c r="D475" s="85"/>
      <c r="F475" s="85"/>
    </row>
    <row r="476" ht="15.75" customHeight="1">
      <c r="A476" s="85"/>
      <c r="D476" s="85"/>
      <c r="F476" s="85"/>
    </row>
    <row r="477" ht="15.75" customHeight="1">
      <c r="A477" s="85"/>
      <c r="D477" s="85"/>
      <c r="F477" s="85"/>
    </row>
    <row r="478" ht="15.75" customHeight="1">
      <c r="A478" s="85"/>
      <c r="D478" s="85"/>
      <c r="F478" s="85"/>
    </row>
    <row r="479" ht="15.75" customHeight="1">
      <c r="A479" s="85"/>
      <c r="D479" s="85"/>
      <c r="F479" s="85"/>
    </row>
    <row r="480" ht="15.75" customHeight="1">
      <c r="A480" s="85"/>
      <c r="D480" s="85"/>
      <c r="F480" s="85"/>
    </row>
    <row r="481" ht="15.75" customHeight="1">
      <c r="A481" s="85"/>
      <c r="D481" s="85"/>
      <c r="F481" s="85"/>
    </row>
    <row r="482" ht="15.75" customHeight="1">
      <c r="A482" s="85"/>
      <c r="D482" s="85"/>
      <c r="F482" s="85"/>
    </row>
    <row r="483" ht="15.75" customHeight="1">
      <c r="A483" s="85"/>
      <c r="D483" s="85"/>
      <c r="F483" s="85"/>
    </row>
    <row r="484" ht="15.75" customHeight="1">
      <c r="A484" s="85"/>
      <c r="D484" s="85"/>
      <c r="F484" s="85"/>
    </row>
    <row r="485" ht="15.75" customHeight="1">
      <c r="A485" s="85"/>
      <c r="D485" s="85"/>
      <c r="F485" s="85"/>
    </row>
    <row r="486" ht="15.75" customHeight="1">
      <c r="A486" s="85"/>
      <c r="D486" s="85"/>
      <c r="F486" s="85"/>
    </row>
    <row r="487" ht="15.75" customHeight="1">
      <c r="A487" s="85"/>
      <c r="D487" s="85"/>
      <c r="F487" s="85"/>
    </row>
    <row r="488" ht="15.75" customHeight="1">
      <c r="A488" s="85"/>
      <c r="D488" s="85"/>
      <c r="F488" s="85"/>
    </row>
    <row r="489" ht="15.75" customHeight="1">
      <c r="A489" s="85"/>
      <c r="D489" s="85"/>
      <c r="F489" s="85"/>
    </row>
    <row r="490" ht="15.75" customHeight="1">
      <c r="A490" s="85"/>
      <c r="D490" s="85"/>
      <c r="F490" s="85"/>
    </row>
    <row r="491" ht="15.75" customHeight="1">
      <c r="A491" s="85"/>
      <c r="D491" s="85"/>
      <c r="F491" s="85"/>
    </row>
    <row r="492" ht="15.75" customHeight="1">
      <c r="A492" s="85"/>
      <c r="D492" s="85"/>
      <c r="F492" s="85"/>
    </row>
    <row r="493" ht="15.75" customHeight="1">
      <c r="A493" s="85"/>
      <c r="D493" s="85"/>
      <c r="F493" s="85"/>
    </row>
    <row r="494" ht="15.75" customHeight="1">
      <c r="A494" s="85"/>
      <c r="D494" s="85"/>
      <c r="F494" s="85"/>
    </row>
    <row r="495" ht="15.75" customHeight="1">
      <c r="A495" s="85"/>
      <c r="D495" s="85"/>
      <c r="F495" s="85"/>
    </row>
    <row r="496" ht="15.75" customHeight="1">
      <c r="A496" s="85"/>
      <c r="D496" s="85"/>
      <c r="F496" s="85"/>
    </row>
    <row r="497" ht="15.75" customHeight="1">
      <c r="A497" s="85"/>
      <c r="D497" s="85"/>
      <c r="F497" s="85"/>
    </row>
    <row r="498" ht="15.75" customHeight="1">
      <c r="A498" s="85"/>
      <c r="D498" s="85"/>
      <c r="F498" s="85"/>
    </row>
    <row r="499" ht="15.75" customHeight="1">
      <c r="A499" s="85"/>
      <c r="D499" s="85"/>
      <c r="F499" s="85"/>
    </row>
    <row r="500" ht="15.75" customHeight="1">
      <c r="A500" s="85"/>
      <c r="D500" s="85"/>
      <c r="F500" s="85"/>
    </row>
    <row r="501" ht="15.75" customHeight="1">
      <c r="A501" s="85"/>
      <c r="D501" s="85"/>
      <c r="F501" s="85"/>
    </row>
    <row r="502" ht="15.75" customHeight="1">
      <c r="A502" s="85"/>
      <c r="D502" s="85"/>
      <c r="F502" s="85"/>
    </row>
    <row r="503" ht="15.75" customHeight="1">
      <c r="A503" s="85"/>
      <c r="D503" s="85"/>
      <c r="F503" s="85"/>
    </row>
    <row r="504" ht="15.75" customHeight="1">
      <c r="A504" s="85"/>
      <c r="D504" s="85"/>
      <c r="F504" s="85"/>
    </row>
    <row r="505" ht="15.75" customHeight="1">
      <c r="A505" s="85"/>
      <c r="D505" s="85"/>
      <c r="F505" s="85"/>
    </row>
    <row r="506" ht="15.75" customHeight="1">
      <c r="A506" s="85"/>
      <c r="D506" s="85"/>
      <c r="F506" s="85"/>
    </row>
    <row r="507" ht="15.75" customHeight="1">
      <c r="A507" s="85"/>
      <c r="D507" s="85"/>
      <c r="F507" s="85"/>
    </row>
    <row r="508" ht="15.75" customHeight="1">
      <c r="A508" s="85"/>
      <c r="D508" s="85"/>
      <c r="F508" s="85"/>
    </row>
    <row r="509" ht="15.75" customHeight="1">
      <c r="A509" s="85"/>
      <c r="D509" s="85"/>
      <c r="F509" s="85"/>
    </row>
    <row r="510" ht="15.75" customHeight="1">
      <c r="A510" s="85"/>
      <c r="D510" s="85"/>
      <c r="F510" s="85"/>
    </row>
    <row r="511" ht="15.75" customHeight="1">
      <c r="A511" s="85"/>
      <c r="D511" s="85"/>
      <c r="F511" s="85"/>
    </row>
    <row r="512" ht="15.75" customHeight="1">
      <c r="A512" s="85"/>
      <c r="D512" s="85"/>
      <c r="F512" s="85"/>
    </row>
    <row r="513" ht="15.75" customHeight="1">
      <c r="A513" s="85"/>
      <c r="D513" s="85"/>
      <c r="F513" s="85"/>
    </row>
    <row r="514" ht="15.75" customHeight="1">
      <c r="A514" s="85"/>
      <c r="D514" s="85"/>
      <c r="F514" s="85"/>
    </row>
    <row r="515" ht="15.75" customHeight="1">
      <c r="A515" s="85"/>
      <c r="D515" s="85"/>
      <c r="F515" s="85"/>
    </row>
    <row r="516" ht="15.75" customHeight="1">
      <c r="A516" s="85"/>
      <c r="D516" s="85"/>
      <c r="F516" s="85"/>
    </row>
    <row r="517" ht="15.75" customHeight="1">
      <c r="A517" s="85"/>
      <c r="D517" s="85"/>
      <c r="F517" s="85"/>
    </row>
    <row r="518" ht="15.75" customHeight="1">
      <c r="A518" s="85"/>
      <c r="D518" s="85"/>
      <c r="F518" s="85"/>
    </row>
    <row r="519" ht="15.75" customHeight="1">
      <c r="A519" s="85"/>
      <c r="D519" s="85"/>
      <c r="F519" s="85"/>
    </row>
    <row r="520" ht="15.75" customHeight="1">
      <c r="A520" s="85"/>
      <c r="D520" s="85"/>
      <c r="F520" s="85"/>
    </row>
    <row r="521" ht="15.75" customHeight="1">
      <c r="A521" s="85"/>
      <c r="D521" s="85"/>
      <c r="F521" s="85"/>
    </row>
    <row r="522" ht="15.75" customHeight="1">
      <c r="A522" s="85"/>
      <c r="D522" s="85"/>
      <c r="F522" s="85"/>
    </row>
    <row r="523" ht="15.75" customHeight="1">
      <c r="A523" s="85"/>
      <c r="D523" s="85"/>
      <c r="F523" s="85"/>
    </row>
    <row r="524" ht="15.75" customHeight="1">
      <c r="A524" s="85"/>
      <c r="D524" s="85"/>
      <c r="F524" s="85"/>
    </row>
    <row r="525" ht="15.75" customHeight="1">
      <c r="A525" s="85"/>
      <c r="D525" s="85"/>
      <c r="F525" s="85"/>
    </row>
    <row r="526" ht="15.75" customHeight="1">
      <c r="A526" s="85"/>
      <c r="D526" s="85"/>
      <c r="F526" s="85"/>
    </row>
    <row r="527" ht="15.75" customHeight="1">
      <c r="A527" s="85"/>
      <c r="D527" s="85"/>
      <c r="F527" s="85"/>
    </row>
    <row r="528" ht="15.75" customHeight="1">
      <c r="A528" s="85"/>
      <c r="D528" s="85"/>
      <c r="F528" s="85"/>
    </row>
    <row r="529" ht="15.75" customHeight="1">
      <c r="A529" s="85"/>
      <c r="D529" s="85"/>
      <c r="F529" s="85"/>
    </row>
    <row r="530" ht="15.75" customHeight="1">
      <c r="A530" s="85"/>
      <c r="D530" s="85"/>
      <c r="F530" s="85"/>
    </row>
    <row r="531" ht="15.75" customHeight="1">
      <c r="A531" s="85"/>
      <c r="D531" s="85"/>
      <c r="F531" s="85"/>
    </row>
    <row r="532" ht="15.75" customHeight="1">
      <c r="A532" s="85"/>
      <c r="D532" s="85"/>
      <c r="F532" s="85"/>
    </row>
    <row r="533" ht="15.75" customHeight="1">
      <c r="A533" s="85"/>
      <c r="D533" s="85"/>
      <c r="F533" s="85"/>
    </row>
    <row r="534" ht="15.75" customHeight="1">
      <c r="A534" s="85"/>
      <c r="D534" s="85"/>
      <c r="F534" s="85"/>
    </row>
    <row r="535" ht="15.75" customHeight="1">
      <c r="A535" s="85"/>
      <c r="D535" s="85"/>
      <c r="F535" s="85"/>
    </row>
    <row r="536" ht="15.75" customHeight="1">
      <c r="A536" s="85"/>
      <c r="D536" s="85"/>
      <c r="F536" s="85"/>
    </row>
    <row r="537" ht="15.75" customHeight="1">
      <c r="A537" s="85"/>
      <c r="D537" s="85"/>
      <c r="F537" s="85"/>
    </row>
    <row r="538" ht="15.75" customHeight="1">
      <c r="A538" s="85"/>
      <c r="D538" s="85"/>
      <c r="F538" s="85"/>
    </row>
    <row r="539" ht="15.75" customHeight="1">
      <c r="A539" s="85"/>
      <c r="D539" s="85"/>
      <c r="F539" s="85"/>
    </row>
    <row r="540" ht="15.75" customHeight="1">
      <c r="A540" s="85"/>
      <c r="D540" s="85"/>
      <c r="F540" s="85"/>
    </row>
    <row r="541" ht="15.75" customHeight="1">
      <c r="A541" s="85"/>
      <c r="D541" s="85"/>
      <c r="F541" s="85"/>
    </row>
    <row r="542" ht="15.75" customHeight="1">
      <c r="A542" s="85"/>
      <c r="D542" s="85"/>
      <c r="F542" s="85"/>
    </row>
    <row r="543" ht="15.75" customHeight="1">
      <c r="A543" s="85"/>
      <c r="D543" s="85"/>
      <c r="F543" s="85"/>
    </row>
    <row r="544" ht="15.75" customHeight="1">
      <c r="A544" s="85"/>
      <c r="D544" s="85"/>
      <c r="F544" s="85"/>
    </row>
    <row r="545" ht="15.75" customHeight="1">
      <c r="A545" s="85"/>
      <c r="D545" s="85"/>
      <c r="F545" s="85"/>
    </row>
    <row r="546" ht="15.75" customHeight="1">
      <c r="A546" s="85"/>
      <c r="D546" s="85"/>
      <c r="F546" s="85"/>
    </row>
    <row r="547" ht="15.75" customHeight="1">
      <c r="A547" s="85"/>
      <c r="D547" s="85"/>
      <c r="F547" s="85"/>
    </row>
    <row r="548" ht="15.75" customHeight="1">
      <c r="A548" s="85"/>
      <c r="D548" s="85"/>
      <c r="F548" s="85"/>
    </row>
    <row r="549" ht="15.75" customHeight="1">
      <c r="A549" s="85"/>
      <c r="D549" s="85"/>
      <c r="F549" s="85"/>
    </row>
    <row r="550" ht="15.75" customHeight="1">
      <c r="A550" s="85"/>
      <c r="D550" s="85"/>
      <c r="F550" s="85"/>
    </row>
    <row r="551" ht="15.75" customHeight="1">
      <c r="A551" s="85"/>
      <c r="D551" s="85"/>
      <c r="F551" s="85"/>
    </row>
    <row r="552" ht="15.75" customHeight="1">
      <c r="A552" s="85"/>
      <c r="D552" s="85"/>
      <c r="F552" s="85"/>
    </row>
    <row r="553" ht="15.75" customHeight="1">
      <c r="A553" s="85"/>
      <c r="D553" s="85"/>
      <c r="F553" s="85"/>
    </row>
    <row r="554" ht="15.75" customHeight="1">
      <c r="A554" s="85"/>
      <c r="D554" s="85"/>
      <c r="F554" s="85"/>
    </row>
    <row r="555" ht="15.75" customHeight="1">
      <c r="A555" s="85"/>
      <c r="D555" s="85"/>
      <c r="F555" s="85"/>
    </row>
    <row r="556" ht="15.75" customHeight="1">
      <c r="A556" s="85"/>
      <c r="D556" s="85"/>
      <c r="F556" s="85"/>
    </row>
    <row r="557" ht="15.75" customHeight="1">
      <c r="A557" s="85"/>
      <c r="D557" s="85"/>
      <c r="F557" s="85"/>
    </row>
    <row r="558" ht="15.75" customHeight="1">
      <c r="A558" s="85"/>
      <c r="D558" s="85"/>
      <c r="F558" s="85"/>
    </row>
    <row r="559" ht="15.75" customHeight="1">
      <c r="A559" s="85"/>
      <c r="D559" s="85"/>
      <c r="F559" s="85"/>
    </row>
    <row r="560" ht="15.75" customHeight="1">
      <c r="A560" s="85"/>
      <c r="D560" s="85"/>
      <c r="F560" s="85"/>
    </row>
    <row r="561" ht="15.75" customHeight="1">
      <c r="A561" s="85"/>
      <c r="D561" s="85"/>
      <c r="F561" s="85"/>
    </row>
    <row r="562" ht="15.75" customHeight="1">
      <c r="A562" s="85"/>
      <c r="D562" s="85"/>
      <c r="F562" s="85"/>
    </row>
    <row r="563" ht="15.75" customHeight="1">
      <c r="A563" s="85"/>
      <c r="D563" s="85"/>
      <c r="F563" s="85"/>
    </row>
    <row r="564" ht="15.75" customHeight="1">
      <c r="A564" s="85"/>
      <c r="D564" s="85"/>
      <c r="F564" s="85"/>
    </row>
    <row r="565" ht="15.75" customHeight="1">
      <c r="A565" s="85"/>
      <c r="D565" s="85"/>
      <c r="F565" s="85"/>
    </row>
    <row r="566" ht="15.75" customHeight="1">
      <c r="A566" s="85"/>
      <c r="D566" s="85"/>
      <c r="F566" s="85"/>
    </row>
    <row r="567" ht="15.75" customHeight="1">
      <c r="A567" s="85"/>
      <c r="D567" s="85"/>
      <c r="F567" s="85"/>
    </row>
    <row r="568" ht="15.75" customHeight="1">
      <c r="A568" s="85"/>
      <c r="D568" s="85"/>
      <c r="F568" s="85"/>
    </row>
    <row r="569" ht="15.75" customHeight="1">
      <c r="A569" s="85"/>
      <c r="D569" s="85"/>
      <c r="F569" s="85"/>
    </row>
    <row r="570" ht="15.75" customHeight="1">
      <c r="A570" s="85"/>
      <c r="D570" s="85"/>
      <c r="F570" s="85"/>
    </row>
    <row r="571" ht="15.75" customHeight="1">
      <c r="A571" s="85"/>
      <c r="D571" s="85"/>
      <c r="F571" s="85"/>
    </row>
    <row r="572" ht="15.75" customHeight="1">
      <c r="A572" s="85"/>
      <c r="D572" s="85"/>
      <c r="F572" s="85"/>
    </row>
    <row r="573" ht="15.75" customHeight="1">
      <c r="A573" s="85"/>
      <c r="D573" s="85"/>
      <c r="F573" s="85"/>
    </row>
    <row r="574" ht="15.75" customHeight="1">
      <c r="A574" s="85"/>
      <c r="D574" s="85"/>
      <c r="F574" s="85"/>
    </row>
    <row r="575" ht="15.75" customHeight="1">
      <c r="A575" s="85"/>
      <c r="D575" s="85"/>
      <c r="F575" s="85"/>
    </row>
    <row r="576" ht="15.75" customHeight="1">
      <c r="A576" s="85"/>
      <c r="D576" s="85"/>
      <c r="F576" s="85"/>
    </row>
    <row r="577" ht="15.75" customHeight="1">
      <c r="A577" s="85"/>
      <c r="D577" s="85"/>
      <c r="F577" s="85"/>
    </row>
    <row r="578" ht="15.75" customHeight="1">
      <c r="A578" s="85"/>
      <c r="D578" s="85"/>
      <c r="F578" s="85"/>
    </row>
    <row r="579" ht="15.75" customHeight="1">
      <c r="A579" s="85"/>
      <c r="D579" s="85"/>
      <c r="F579" s="85"/>
    </row>
    <row r="580" ht="15.75" customHeight="1">
      <c r="A580" s="85"/>
      <c r="D580" s="85"/>
      <c r="F580" s="85"/>
    </row>
    <row r="581" ht="15.75" customHeight="1">
      <c r="A581" s="85"/>
      <c r="D581" s="85"/>
      <c r="F581" s="85"/>
    </row>
    <row r="582" ht="15.75" customHeight="1">
      <c r="A582" s="85"/>
      <c r="D582" s="85"/>
      <c r="F582" s="85"/>
    </row>
    <row r="583" ht="15.75" customHeight="1">
      <c r="A583" s="85"/>
      <c r="D583" s="85"/>
      <c r="F583" s="85"/>
    </row>
    <row r="584" ht="15.75" customHeight="1">
      <c r="A584" s="85"/>
      <c r="D584" s="85"/>
      <c r="F584" s="85"/>
    </row>
    <row r="585" ht="15.75" customHeight="1">
      <c r="A585" s="85"/>
      <c r="D585" s="85"/>
      <c r="F585" s="85"/>
    </row>
    <row r="586" ht="15.75" customHeight="1">
      <c r="A586" s="85"/>
      <c r="D586" s="85"/>
      <c r="F586" s="85"/>
    </row>
    <row r="587" ht="15.75" customHeight="1">
      <c r="A587" s="85"/>
      <c r="D587" s="85"/>
      <c r="F587" s="85"/>
    </row>
    <row r="588" ht="15.75" customHeight="1">
      <c r="A588" s="85"/>
      <c r="D588" s="85"/>
      <c r="F588" s="85"/>
    </row>
    <row r="589" ht="15.75" customHeight="1">
      <c r="A589" s="85"/>
      <c r="D589" s="85"/>
      <c r="F589" s="85"/>
    </row>
    <row r="590" ht="15.75" customHeight="1">
      <c r="A590" s="85"/>
      <c r="D590" s="85"/>
      <c r="F590" s="85"/>
    </row>
    <row r="591" ht="15.75" customHeight="1">
      <c r="A591" s="85"/>
      <c r="D591" s="85"/>
      <c r="F591" s="85"/>
    </row>
    <row r="592" ht="15.75" customHeight="1">
      <c r="A592" s="85"/>
      <c r="D592" s="85"/>
      <c r="F592" s="85"/>
    </row>
    <row r="593" ht="15.75" customHeight="1">
      <c r="A593" s="85"/>
      <c r="D593" s="85"/>
      <c r="F593" s="85"/>
    </row>
    <row r="594" ht="15.75" customHeight="1">
      <c r="A594" s="85"/>
      <c r="D594" s="85"/>
      <c r="F594" s="85"/>
    </row>
    <row r="595" ht="15.75" customHeight="1">
      <c r="A595" s="85"/>
      <c r="D595" s="85"/>
      <c r="F595" s="85"/>
    </row>
    <row r="596" ht="15.75" customHeight="1">
      <c r="A596" s="85"/>
      <c r="D596" s="85"/>
      <c r="F596" s="85"/>
    </row>
    <row r="597" ht="15.75" customHeight="1">
      <c r="A597" s="85"/>
      <c r="D597" s="85"/>
      <c r="F597" s="85"/>
    </row>
    <row r="598" ht="15.75" customHeight="1">
      <c r="A598" s="85"/>
      <c r="D598" s="85"/>
      <c r="F598" s="85"/>
    </row>
    <row r="599" ht="15.75" customHeight="1">
      <c r="A599" s="85"/>
      <c r="D599" s="85"/>
      <c r="F599" s="85"/>
    </row>
    <row r="600" ht="15.75" customHeight="1">
      <c r="A600" s="85"/>
      <c r="D600" s="85"/>
      <c r="F600" s="85"/>
    </row>
    <row r="601" ht="15.75" customHeight="1">
      <c r="A601" s="85"/>
      <c r="D601" s="85"/>
      <c r="F601" s="85"/>
    </row>
    <row r="602" ht="15.75" customHeight="1">
      <c r="A602" s="85"/>
      <c r="D602" s="85"/>
      <c r="F602" s="85"/>
    </row>
    <row r="603" ht="15.75" customHeight="1">
      <c r="A603" s="85"/>
      <c r="D603" s="85"/>
      <c r="F603" s="85"/>
    </row>
    <row r="604" ht="15.75" customHeight="1">
      <c r="A604" s="85"/>
      <c r="D604" s="85"/>
      <c r="F604" s="85"/>
    </row>
    <row r="605" ht="15.75" customHeight="1">
      <c r="A605" s="85"/>
      <c r="D605" s="85"/>
      <c r="F605" s="85"/>
    </row>
    <row r="606" ht="15.75" customHeight="1">
      <c r="A606" s="85"/>
      <c r="D606" s="85"/>
      <c r="F606" s="85"/>
    </row>
    <row r="607" ht="15.75" customHeight="1">
      <c r="A607" s="85"/>
      <c r="D607" s="85"/>
      <c r="F607" s="85"/>
    </row>
    <row r="608" ht="15.75" customHeight="1">
      <c r="A608" s="85"/>
      <c r="D608" s="85"/>
      <c r="F608" s="85"/>
    </row>
    <row r="609" ht="15.75" customHeight="1">
      <c r="A609" s="85"/>
      <c r="D609" s="85"/>
      <c r="F609" s="85"/>
    </row>
    <row r="610" ht="15.75" customHeight="1">
      <c r="A610" s="85"/>
      <c r="D610" s="85"/>
      <c r="F610" s="85"/>
    </row>
    <row r="611" ht="15.75" customHeight="1">
      <c r="A611" s="85"/>
      <c r="D611" s="85"/>
      <c r="F611" s="85"/>
    </row>
    <row r="612" ht="15.75" customHeight="1">
      <c r="A612" s="85"/>
      <c r="D612" s="85"/>
      <c r="F612" s="85"/>
    </row>
    <row r="613" ht="15.75" customHeight="1">
      <c r="A613" s="85"/>
      <c r="D613" s="85"/>
      <c r="F613" s="85"/>
    </row>
    <row r="614" ht="15.75" customHeight="1">
      <c r="A614" s="85"/>
      <c r="D614" s="85"/>
      <c r="F614" s="85"/>
    </row>
    <row r="615" ht="15.75" customHeight="1">
      <c r="A615" s="85"/>
      <c r="D615" s="85"/>
      <c r="F615" s="85"/>
    </row>
    <row r="616" ht="15.75" customHeight="1">
      <c r="A616" s="85"/>
      <c r="D616" s="85"/>
      <c r="F616" s="85"/>
    </row>
    <row r="617" ht="15.75" customHeight="1">
      <c r="A617" s="85"/>
      <c r="D617" s="85"/>
      <c r="F617" s="85"/>
    </row>
    <row r="618" ht="15.75" customHeight="1">
      <c r="A618" s="85"/>
      <c r="D618" s="85"/>
      <c r="F618" s="85"/>
    </row>
    <row r="619" ht="15.75" customHeight="1">
      <c r="A619" s="85"/>
      <c r="D619" s="85"/>
      <c r="F619" s="85"/>
    </row>
    <row r="620" ht="15.75" customHeight="1">
      <c r="A620" s="85"/>
      <c r="D620" s="85"/>
      <c r="F620" s="85"/>
    </row>
    <row r="621" ht="15.75" customHeight="1">
      <c r="A621" s="85"/>
      <c r="D621" s="85"/>
      <c r="F621" s="85"/>
    </row>
    <row r="622" ht="15.75" customHeight="1">
      <c r="A622" s="85"/>
      <c r="D622" s="85"/>
      <c r="F622" s="85"/>
    </row>
    <row r="623" ht="15.75" customHeight="1">
      <c r="A623" s="85"/>
      <c r="D623" s="85"/>
      <c r="F623" s="85"/>
    </row>
    <row r="624" ht="15.75" customHeight="1">
      <c r="A624" s="85"/>
      <c r="D624" s="85"/>
      <c r="F624" s="85"/>
    </row>
    <row r="625" ht="15.75" customHeight="1">
      <c r="A625" s="85"/>
      <c r="D625" s="85"/>
      <c r="F625" s="85"/>
    </row>
    <row r="626" ht="15.75" customHeight="1">
      <c r="A626" s="85"/>
      <c r="D626" s="85"/>
      <c r="F626" s="85"/>
    </row>
    <row r="627" ht="15.75" customHeight="1">
      <c r="A627" s="85"/>
      <c r="D627" s="85"/>
      <c r="F627" s="85"/>
    </row>
    <row r="628" ht="15.75" customHeight="1">
      <c r="A628" s="85"/>
      <c r="D628" s="85"/>
      <c r="F628" s="85"/>
    </row>
    <row r="629" ht="15.75" customHeight="1">
      <c r="A629" s="85"/>
      <c r="D629" s="85"/>
      <c r="F629" s="85"/>
    </row>
    <row r="630" ht="15.75" customHeight="1">
      <c r="A630" s="85"/>
      <c r="D630" s="85"/>
      <c r="F630" s="85"/>
    </row>
    <row r="631" ht="15.75" customHeight="1">
      <c r="A631" s="85"/>
      <c r="D631" s="85"/>
      <c r="F631" s="85"/>
    </row>
    <row r="632" ht="15.75" customHeight="1">
      <c r="A632" s="85"/>
      <c r="D632" s="85"/>
      <c r="F632" s="85"/>
    </row>
    <row r="633" ht="15.75" customHeight="1">
      <c r="A633" s="85"/>
      <c r="D633" s="85"/>
      <c r="F633" s="85"/>
    </row>
    <row r="634" ht="15.75" customHeight="1">
      <c r="A634" s="85"/>
      <c r="D634" s="85"/>
      <c r="F634" s="85"/>
    </row>
    <row r="635" ht="15.75" customHeight="1">
      <c r="A635" s="85"/>
      <c r="D635" s="85"/>
      <c r="F635" s="85"/>
    </row>
    <row r="636" ht="15.75" customHeight="1">
      <c r="A636" s="85"/>
      <c r="D636" s="85"/>
      <c r="F636" s="85"/>
    </row>
    <row r="637" ht="15.75" customHeight="1">
      <c r="A637" s="85"/>
      <c r="D637" s="85"/>
      <c r="F637" s="85"/>
    </row>
    <row r="638" ht="15.75" customHeight="1">
      <c r="A638" s="85"/>
      <c r="D638" s="85"/>
      <c r="F638" s="85"/>
    </row>
    <row r="639" ht="15.75" customHeight="1">
      <c r="A639" s="85"/>
      <c r="D639" s="85"/>
      <c r="F639" s="85"/>
    </row>
    <row r="640" ht="15.75" customHeight="1">
      <c r="A640" s="85"/>
      <c r="D640" s="85"/>
      <c r="F640" s="85"/>
    </row>
    <row r="641" ht="15.75" customHeight="1">
      <c r="A641" s="85"/>
      <c r="D641" s="85"/>
      <c r="F641" s="85"/>
    </row>
    <row r="642" ht="15.75" customHeight="1">
      <c r="A642" s="85"/>
      <c r="D642" s="85"/>
      <c r="F642" s="85"/>
    </row>
    <row r="643" ht="15.75" customHeight="1">
      <c r="A643" s="85"/>
      <c r="D643" s="85"/>
      <c r="F643" s="85"/>
    </row>
    <row r="644" ht="15.75" customHeight="1">
      <c r="A644" s="85"/>
      <c r="D644" s="85"/>
      <c r="F644" s="85"/>
    </row>
    <row r="645" ht="15.75" customHeight="1">
      <c r="A645" s="85"/>
      <c r="D645" s="85"/>
      <c r="F645" s="85"/>
    </row>
    <row r="646" ht="15.75" customHeight="1">
      <c r="A646" s="85"/>
      <c r="D646" s="85"/>
      <c r="F646" s="85"/>
    </row>
    <row r="647" ht="15.75" customHeight="1">
      <c r="A647" s="85"/>
      <c r="D647" s="85"/>
      <c r="F647" s="85"/>
    </row>
    <row r="648" ht="15.75" customHeight="1">
      <c r="A648" s="85"/>
      <c r="D648" s="85"/>
      <c r="F648" s="85"/>
    </row>
    <row r="649" ht="15.75" customHeight="1">
      <c r="A649" s="85"/>
      <c r="D649" s="85"/>
      <c r="F649" s="85"/>
    </row>
    <row r="650" ht="15.75" customHeight="1">
      <c r="A650" s="85"/>
      <c r="D650" s="85"/>
      <c r="F650" s="85"/>
    </row>
    <row r="651" ht="15.75" customHeight="1">
      <c r="A651" s="85"/>
      <c r="D651" s="85"/>
      <c r="F651" s="85"/>
    </row>
    <row r="652" ht="15.75" customHeight="1">
      <c r="A652" s="85"/>
      <c r="D652" s="85"/>
      <c r="F652" s="85"/>
    </row>
    <row r="653" ht="15.75" customHeight="1">
      <c r="A653" s="85"/>
      <c r="D653" s="85"/>
      <c r="F653" s="85"/>
    </row>
    <row r="654" ht="15.75" customHeight="1">
      <c r="A654" s="85"/>
      <c r="D654" s="85"/>
      <c r="F654" s="85"/>
    </row>
    <row r="655" ht="15.75" customHeight="1">
      <c r="A655" s="85"/>
      <c r="D655" s="85"/>
      <c r="F655" s="85"/>
    </row>
    <row r="656" ht="15.75" customHeight="1">
      <c r="A656" s="85"/>
      <c r="D656" s="85"/>
      <c r="F656" s="85"/>
    </row>
    <row r="657" ht="15.75" customHeight="1">
      <c r="A657" s="85"/>
      <c r="D657" s="85"/>
      <c r="F657" s="85"/>
    </row>
    <row r="658" ht="15.75" customHeight="1">
      <c r="A658" s="85"/>
      <c r="D658" s="85"/>
      <c r="F658" s="85"/>
    </row>
    <row r="659" ht="15.75" customHeight="1">
      <c r="A659" s="85"/>
      <c r="D659" s="85"/>
      <c r="F659" s="85"/>
    </row>
    <row r="660" ht="15.75" customHeight="1">
      <c r="A660" s="85"/>
      <c r="D660" s="85"/>
      <c r="F660" s="85"/>
    </row>
    <row r="661" ht="15.75" customHeight="1">
      <c r="A661" s="85"/>
      <c r="D661" s="85"/>
      <c r="F661" s="85"/>
    </row>
    <row r="662" ht="15.75" customHeight="1">
      <c r="A662" s="85"/>
      <c r="D662" s="85"/>
      <c r="F662" s="85"/>
    </row>
    <row r="663" ht="15.75" customHeight="1">
      <c r="A663" s="85"/>
      <c r="D663" s="85"/>
      <c r="F663" s="85"/>
    </row>
    <row r="664" ht="15.75" customHeight="1">
      <c r="A664" s="85"/>
      <c r="D664" s="85"/>
      <c r="F664" s="85"/>
    </row>
    <row r="665" ht="15.75" customHeight="1">
      <c r="A665" s="85"/>
      <c r="D665" s="85"/>
      <c r="F665" s="85"/>
    </row>
    <row r="666" ht="15.75" customHeight="1">
      <c r="A666" s="85"/>
      <c r="D666" s="85"/>
      <c r="F666" s="85"/>
    </row>
    <row r="667" ht="15.75" customHeight="1">
      <c r="A667" s="85"/>
      <c r="D667" s="85"/>
      <c r="F667" s="85"/>
    </row>
    <row r="668" ht="15.75" customHeight="1">
      <c r="A668" s="85"/>
      <c r="D668" s="85"/>
      <c r="F668" s="85"/>
    </row>
    <row r="669" ht="15.75" customHeight="1">
      <c r="A669" s="85"/>
      <c r="D669" s="85"/>
      <c r="F669" s="85"/>
    </row>
    <row r="670" ht="15.75" customHeight="1">
      <c r="A670" s="85"/>
      <c r="D670" s="85"/>
      <c r="F670" s="85"/>
    </row>
    <row r="671" ht="15.75" customHeight="1">
      <c r="A671" s="85"/>
      <c r="D671" s="85"/>
      <c r="F671" s="85"/>
    </row>
    <row r="672" ht="15.75" customHeight="1">
      <c r="A672" s="85"/>
      <c r="D672" s="85"/>
      <c r="F672" s="85"/>
    </row>
    <row r="673" ht="15.75" customHeight="1">
      <c r="A673" s="85"/>
      <c r="D673" s="85"/>
      <c r="F673" s="85"/>
    </row>
    <row r="674" ht="15.75" customHeight="1">
      <c r="A674" s="85"/>
      <c r="D674" s="85"/>
      <c r="F674" s="85"/>
    </row>
    <row r="675" ht="15.75" customHeight="1">
      <c r="A675" s="85"/>
      <c r="D675" s="85"/>
      <c r="F675" s="85"/>
    </row>
    <row r="676" ht="15.75" customHeight="1">
      <c r="A676" s="85"/>
      <c r="D676" s="85"/>
      <c r="F676" s="85"/>
    </row>
    <row r="677" ht="15.75" customHeight="1">
      <c r="A677" s="85"/>
      <c r="D677" s="85"/>
      <c r="F677" s="85"/>
    </row>
    <row r="678" ht="15.75" customHeight="1">
      <c r="A678" s="85"/>
      <c r="D678" s="85"/>
      <c r="F678" s="85"/>
    </row>
    <row r="679" ht="15.75" customHeight="1">
      <c r="A679" s="85"/>
      <c r="D679" s="85"/>
      <c r="F679" s="85"/>
    </row>
    <row r="680" ht="15.75" customHeight="1">
      <c r="A680" s="85"/>
      <c r="D680" s="85"/>
      <c r="F680" s="85"/>
    </row>
    <row r="681" ht="15.75" customHeight="1">
      <c r="A681" s="85"/>
      <c r="D681" s="85"/>
      <c r="F681" s="85"/>
    </row>
    <row r="682" ht="15.75" customHeight="1">
      <c r="A682" s="85"/>
      <c r="D682" s="85"/>
      <c r="F682" s="85"/>
    </row>
    <row r="683" ht="15.75" customHeight="1">
      <c r="A683" s="85"/>
      <c r="D683" s="85"/>
      <c r="F683" s="85"/>
    </row>
    <row r="684" ht="15.75" customHeight="1">
      <c r="A684" s="85"/>
      <c r="D684" s="85"/>
      <c r="F684" s="85"/>
    </row>
    <row r="685" ht="15.75" customHeight="1">
      <c r="A685" s="85"/>
      <c r="D685" s="85"/>
      <c r="F685" s="85"/>
    </row>
    <row r="686" ht="15.75" customHeight="1">
      <c r="A686" s="85"/>
      <c r="D686" s="85"/>
      <c r="F686" s="85"/>
    </row>
    <row r="687" ht="15.75" customHeight="1">
      <c r="A687" s="85"/>
      <c r="D687" s="85"/>
      <c r="F687" s="85"/>
    </row>
    <row r="688" ht="15.75" customHeight="1">
      <c r="A688" s="85"/>
      <c r="D688" s="85"/>
      <c r="F688" s="85"/>
    </row>
    <row r="689" ht="15.75" customHeight="1">
      <c r="A689" s="85"/>
      <c r="D689" s="85"/>
      <c r="F689" s="85"/>
    </row>
    <row r="690" ht="15.75" customHeight="1">
      <c r="A690" s="85"/>
      <c r="D690" s="85"/>
      <c r="F690" s="85"/>
    </row>
    <row r="691" ht="15.75" customHeight="1">
      <c r="A691" s="85"/>
      <c r="D691" s="85"/>
      <c r="F691" s="85"/>
    </row>
    <row r="692" ht="15.75" customHeight="1">
      <c r="A692" s="85"/>
      <c r="D692" s="85"/>
      <c r="F692" s="85"/>
    </row>
    <row r="693" ht="15.75" customHeight="1">
      <c r="A693" s="85"/>
      <c r="D693" s="85"/>
      <c r="F693" s="85"/>
    </row>
    <row r="694" ht="15.75" customHeight="1">
      <c r="A694" s="85"/>
      <c r="D694" s="85"/>
      <c r="F694" s="85"/>
    </row>
    <row r="695" ht="15.75" customHeight="1">
      <c r="A695" s="85"/>
      <c r="D695" s="85"/>
      <c r="F695" s="85"/>
    </row>
    <row r="696" ht="15.75" customHeight="1">
      <c r="A696" s="85"/>
      <c r="D696" s="85"/>
      <c r="F696" s="85"/>
    </row>
    <row r="697" ht="15.75" customHeight="1">
      <c r="A697" s="85"/>
      <c r="D697" s="85"/>
      <c r="F697" s="85"/>
    </row>
    <row r="698" ht="15.75" customHeight="1">
      <c r="A698" s="85"/>
      <c r="D698" s="85"/>
      <c r="F698" s="85"/>
    </row>
    <row r="699" ht="15.75" customHeight="1">
      <c r="A699" s="85"/>
      <c r="D699" s="85"/>
      <c r="F699" s="85"/>
    </row>
    <row r="700" ht="15.75" customHeight="1">
      <c r="A700" s="85"/>
      <c r="D700" s="85"/>
      <c r="F700" s="85"/>
    </row>
    <row r="701" ht="15.75" customHeight="1">
      <c r="A701" s="85"/>
      <c r="D701" s="85"/>
      <c r="F701" s="85"/>
    </row>
    <row r="702" ht="15.75" customHeight="1">
      <c r="A702" s="85"/>
      <c r="D702" s="85"/>
      <c r="F702" s="85"/>
    </row>
    <row r="703" ht="15.75" customHeight="1">
      <c r="A703" s="85"/>
      <c r="D703" s="85"/>
      <c r="F703" s="85"/>
    </row>
    <row r="704" ht="15.75" customHeight="1">
      <c r="A704" s="85"/>
      <c r="D704" s="85"/>
      <c r="F704" s="85"/>
    </row>
    <row r="705" ht="15.75" customHeight="1">
      <c r="A705" s="85"/>
      <c r="D705" s="85"/>
      <c r="F705" s="85"/>
    </row>
    <row r="706" ht="15.75" customHeight="1">
      <c r="A706" s="85"/>
      <c r="D706" s="85"/>
      <c r="F706" s="85"/>
    </row>
    <row r="707" ht="15.75" customHeight="1">
      <c r="A707" s="85"/>
      <c r="D707" s="85"/>
      <c r="F707" s="85"/>
    </row>
    <row r="708" ht="15.75" customHeight="1">
      <c r="A708" s="85"/>
      <c r="D708" s="85"/>
      <c r="F708" s="85"/>
    </row>
    <row r="709" ht="15.75" customHeight="1">
      <c r="A709" s="85"/>
      <c r="D709" s="85"/>
      <c r="F709" s="85"/>
    </row>
    <row r="710" ht="15.75" customHeight="1">
      <c r="A710" s="85"/>
      <c r="D710" s="85"/>
      <c r="F710" s="85"/>
    </row>
    <row r="711" ht="15.75" customHeight="1">
      <c r="A711" s="85"/>
      <c r="D711" s="85"/>
      <c r="F711" s="85"/>
    </row>
    <row r="712" ht="15.75" customHeight="1">
      <c r="A712" s="85"/>
      <c r="D712" s="85"/>
      <c r="F712" s="85"/>
    </row>
    <row r="713" ht="15.75" customHeight="1">
      <c r="A713" s="85"/>
      <c r="D713" s="85"/>
      <c r="F713" s="85"/>
    </row>
    <row r="714" ht="15.75" customHeight="1">
      <c r="A714" s="85"/>
      <c r="D714" s="85"/>
      <c r="F714" s="85"/>
    </row>
    <row r="715" ht="15.75" customHeight="1">
      <c r="A715" s="85"/>
      <c r="D715" s="85"/>
      <c r="F715" s="85"/>
    </row>
    <row r="716" ht="15.75" customHeight="1">
      <c r="A716" s="85"/>
      <c r="D716" s="85"/>
      <c r="F716" s="85"/>
    </row>
    <row r="717" ht="15.75" customHeight="1">
      <c r="A717" s="85"/>
      <c r="D717" s="85"/>
      <c r="F717" s="85"/>
    </row>
    <row r="718" ht="15.75" customHeight="1">
      <c r="A718" s="85"/>
      <c r="D718" s="85"/>
      <c r="F718" s="85"/>
    </row>
    <row r="719" ht="15.75" customHeight="1">
      <c r="A719" s="85"/>
      <c r="D719" s="85"/>
      <c r="F719" s="85"/>
    </row>
    <row r="720" ht="15.75" customHeight="1">
      <c r="A720" s="85"/>
      <c r="D720" s="85"/>
      <c r="F720" s="85"/>
    </row>
    <row r="721" ht="15.75" customHeight="1">
      <c r="A721" s="85"/>
      <c r="D721" s="85"/>
      <c r="F721" s="85"/>
    </row>
    <row r="722" ht="15.75" customHeight="1">
      <c r="A722" s="85"/>
      <c r="D722" s="85"/>
      <c r="F722" s="85"/>
    </row>
    <row r="723" ht="15.75" customHeight="1">
      <c r="A723" s="85"/>
      <c r="D723" s="85"/>
      <c r="F723" s="85"/>
    </row>
    <row r="724" ht="15.75" customHeight="1">
      <c r="A724" s="85"/>
      <c r="D724" s="85"/>
      <c r="F724" s="85"/>
    </row>
    <row r="725" ht="15.75" customHeight="1">
      <c r="A725" s="85"/>
      <c r="D725" s="85"/>
      <c r="F725" s="85"/>
    </row>
    <row r="726" ht="15.75" customHeight="1">
      <c r="A726" s="85"/>
      <c r="D726" s="85"/>
      <c r="F726" s="85"/>
    </row>
    <row r="727" ht="15.75" customHeight="1">
      <c r="A727" s="85"/>
      <c r="D727" s="85"/>
      <c r="F727" s="85"/>
    </row>
    <row r="728" ht="15.75" customHeight="1">
      <c r="A728" s="85"/>
      <c r="D728" s="85"/>
      <c r="F728" s="85"/>
    </row>
    <row r="729" ht="15.75" customHeight="1">
      <c r="A729" s="85"/>
      <c r="D729" s="85"/>
      <c r="F729" s="85"/>
    </row>
    <row r="730" ht="15.75" customHeight="1">
      <c r="A730" s="85"/>
      <c r="D730" s="85"/>
      <c r="F730" s="85"/>
    </row>
    <row r="731" ht="15.75" customHeight="1">
      <c r="A731" s="85"/>
      <c r="D731" s="85"/>
      <c r="F731" s="85"/>
    </row>
    <row r="732" ht="15.75" customHeight="1">
      <c r="A732" s="85"/>
      <c r="D732" s="85"/>
      <c r="F732" s="85"/>
    </row>
    <row r="733" ht="15.75" customHeight="1">
      <c r="A733" s="85"/>
      <c r="D733" s="85"/>
      <c r="F733" s="85"/>
    </row>
    <row r="734" ht="15.75" customHeight="1">
      <c r="A734" s="85"/>
      <c r="D734" s="85"/>
      <c r="F734" s="85"/>
    </row>
    <row r="735" ht="15.75" customHeight="1">
      <c r="A735" s="85"/>
      <c r="D735" s="85"/>
      <c r="F735" s="85"/>
    </row>
    <row r="736" ht="15.75" customHeight="1">
      <c r="A736" s="85"/>
      <c r="D736" s="85"/>
      <c r="F736" s="85"/>
    </row>
    <row r="737" ht="15.75" customHeight="1">
      <c r="A737" s="85"/>
      <c r="D737" s="85"/>
      <c r="F737" s="85"/>
    </row>
    <row r="738" ht="15.75" customHeight="1">
      <c r="A738" s="85"/>
      <c r="D738" s="85"/>
      <c r="F738" s="85"/>
    </row>
    <row r="739" ht="15.75" customHeight="1">
      <c r="A739" s="85"/>
      <c r="D739" s="85"/>
      <c r="F739" s="85"/>
    </row>
    <row r="740" ht="15.75" customHeight="1">
      <c r="A740" s="85"/>
      <c r="D740" s="85"/>
      <c r="F740" s="85"/>
    </row>
    <row r="741" ht="15.75" customHeight="1">
      <c r="A741" s="85"/>
      <c r="D741" s="85"/>
      <c r="F741" s="85"/>
    </row>
    <row r="742" ht="15.75" customHeight="1">
      <c r="A742" s="85"/>
      <c r="D742" s="85"/>
      <c r="F742" s="85"/>
    </row>
    <row r="743" ht="15.75" customHeight="1">
      <c r="A743" s="85"/>
      <c r="D743" s="85"/>
      <c r="F743" s="85"/>
    </row>
    <row r="744" ht="15.75" customHeight="1">
      <c r="A744" s="85"/>
      <c r="D744" s="85"/>
      <c r="F744" s="85"/>
    </row>
    <row r="745" ht="15.75" customHeight="1">
      <c r="A745" s="85"/>
      <c r="D745" s="85"/>
      <c r="F745" s="85"/>
    </row>
    <row r="746" ht="15.75" customHeight="1">
      <c r="A746" s="85"/>
      <c r="D746" s="85"/>
      <c r="F746" s="85"/>
    </row>
    <row r="747" ht="15.75" customHeight="1">
      <c r="A747" s="85"/>
      <c r="D747" s="85"/>
      <c r="F747" s="85"/>
    </row>
    <row r="748" ht="15.75" customHeight="1">
      <c r="A748" s="85"/>
      <c r="D748" s="85"/>
      <c r="F748" s="85"/>
    </row>
    <row r="749" ht="15.75" customHeight="1">
      <c r="A749" s="85"/>
      <c r="D749" s="85"/>
      <c r="F749" s="85"/>
    </row>
    <row r="750" ht="15.75" customHeight="1">
      <c r="A750" s="85"/>
      <c r="D750" s="85"/>
      <c r="F750" s="85"/>
    </row>
    <row r="751" ht="15.75" customHeight="1">
      <c r="A751" s="85"/>
      <c r="D751" s="85"/>
      <c r="F751" s="85"/>
    </row>
    <row r="752" ht="15.75" customHeight="1">
      <c r="A752" s="85"/>
      <c r="D752" s="85"/>
      <c r="F752" s="85"/>
    </row>
    <row r="753" ht="15.75" customHeight="1">
      <c r="A753" s="85"/>
      <c r="D753" s="85"/>
      <c r="F753" s="85"/>
    </row>
    <row r="754" ht="15.75" customHeight="1">
      <c r="A754" s="85"/>
      <c r="D754" s="85"/>
      <c r="F754" s="85"/>
    </row>
    <row r="755" ht="15.75" customHeight="1">
      <c r="A755" s="85"/>
      <c r="D755" s="85"/>
      <c r="F755" s="85"/>
    </row>
    <row r="756" ht="15.75" customHeight="1">
      <c r="A756" s="85"/>
      <c r="D756" s="85"/>
      <c r="F756" s="85"/>
    </row>
    <row r="757" ht="15.75" customHeight="1">
      <c r="A757" s="85"/>
      <c r="D757" s="85"/>
      <c r="F757" s="85"/>
    </row>
    <row r="758" ht="15.75" customHeight="1">
      <c r="A758" s="85"/>
      <c r="D758" s="85"/>
      <c r="F758" s="85"/>
    </row>
    <row r="759" ht="15.75" customHeight="1">
      <c r="A759" s="85"/>
      <c r="D759" s="85"/>
      <c r="F759" s="85"/>
    </row>
    <row r="760" ht="15.75" customHeight="1">
      <c r="A760" s="85"/>
      <c r="D760" s="85"/>
      <c r="F760" s="85"/>
    </row>
    <row r="761" ht="15.75" customHeight="1">
      <c r="A761" s="85"/>
      <c r="D761" s="85"/>
      <c r="F761" s="85"/>
    </row>
    <row r="762" ht="15.75" customHeight="1">
      <c r="A762" s="85"/>
      <c r="D762" s="85"/>
      <c r="F762" s="85"/>
    </row>
    <row r="763" ht="15.75" customHeight="1">
      <c r="A763" s="85"/>
      <c r="D763" s="85"/>
      <c r="F763" s="85"/>
    </row>
    <row r="764" ht="15.75" customHeight="1">
      <c r="A764" s="85"/>
      <c r="D764" s="85"/>
      <c r="F764" s="85"/>
    </row>
    <row r="765" ht="15.75" customHeight="1">
      <c r="A765" s="85"/>
      <c r="D765" s="85"/>
      <c r="F765" s="85"/>
    </row>
    <row r="766" ht="15.75" customHeight="1">
      <c r="A766" s="85"/>
      <c r="D766" s="85"/>
      <c r="F766" s="85"/>
    </row>
    <row r="767" ht="15.75" customHeight="1">
      <c r="A767" s="85"/>
      <c r="D767" s="85"/>
      <c r="F767" s="85"/>
    </row>
    <row r="768" ht="15.75" customHeight="1">
      <c r="A768" s="85"/>
      <c r="D768" s="85"/>
      <c r="F768" s="85"/>
    </row>
    <row r="769" ht="15.75" customHeight="1">
      <c r="A769" s="85"/>
      <c r="D769" s="85"/>
      <c r="F769" s="85"/>
    </row>
    <row r="770" ht="15.75" customHeight="1">
      <c r="A770" s="85"/>
      <c r="D770" s="85"/>
      <c r="F770" s="85"/>
    </row>
    <row r="771" ht="15.75" customHeight="1">
      <c r="A771" s="85"/>
      <c r="D771" s="85"/>
      <c r="F771" s="85"/>
    </row>
    <row r="772" ht="15.75" customHeight="1">
      <c r="A772" s="85"/>
      <c r="D772" s="85"/>
      <c r="F772" s="85"/>
    </row>
    <row r="773" ht="15.75" customHeight="1">
      <c r="A773" s="85"/>
      <c r="D773" s="85"/>
      <c r="F773" s="85"/>
    </row>
    <row r="774" ht="15.75" customHeight="1">
      <c r="A774" s="85"/>
      <c r="D774" s="85"/>
      <c r="F774" s="85"/>
    </row>
    <row r="775" ht="15.75" customHeight="1">
      <c r="A775" s="85"/>
      <c r="D775" s="85"/>
      <c r="F775" s="85"/>
    </row>
    <row r="776" ht="15.75" customHeight="1">
      <c r="A776" s="85"/>
      <c r="D776" s="85"/>
      <c r="F776" s="85"/>
    </row>
    <row r="777" ht="15.75" customHeight="1">
      <c r="A777" s="85"/>
      <c r="D777" s="85"/>
      <c r="F777" s="85"/>
    </row>
    <row r="778" ht="15.75" customHeight="1">
      <c r="A778" s="85"/>
      <c r="D778" s="85"/>
      <c r="F778" s="85"/>
    </row>
    <row r="779" ht="15.75" customHeight="1">
      <c r="A779" s="85"/>
      <c r="D779" s="85"/>
      <c r="F779" s="85"/>
    </row>
    <row r="780" ht="15.75" customHeight="1">
      <c r="A780" s="85"/>
      <c r="D780" s="85"/>
      <c r="F780" s="85"/>
    </row>
    <row r="781" ht="15.75" customHeight="1">
      <c r="A781" s="85"/>
      <c r="D781" s="85"/>
      <c r="F781" s="85"/>
    </row>
    <row r="782" ht="15.75" customHeight="1">
      <c r="A782" s="85"/>
      <c r="D782" s="85"/>
      <c r="F782" s="85"/>
    </row>
    <row r="783" ht="15.75" customHeight="1">
      <c r="A783" s="85"/>
      <c r="D783" s="85"/>
      <c r="F783" s="85"/>
    </row>
    <row r="784" ht="15.75" customHeight="1">
      <c r="A784" s="85"/>
      <c r="D784" s="85"/>
      <c r="F784" s="85"/>
    </row>
    <row r="785" ht="15.75" customHeight="1">
      <c r="A785" s="85"/>
      <c r="D785" s="85"/>
      <c r="F785" s="85"/>
    </row>
    <row r="786" ht="15.75" customHeight="1">
      <c r="A786" s="85"/>
      <c r="D786" s="85"/>
      <c r="F786" s="85"/>
    </row>
    <row r="787" ht="15.75" customHeight="1">
      <c r="A787" s="85"/>
      <c r="D787" s="85"/>
      <c r="F787" s="85"/>
    </row>
    <row r="788" ht="15.75" customHeight="1">
      <c r="A788" s="85"/>
      <c r="D788" s="85"/>
      <c r="F788" s="85"/>
    </row>
    <row r="789" ht="15.75" customHeight="1">
      <c r="A789" s="85"/>
      <c r="D789" s="85"/>
      <c r="F789" s="85"/>
    </row>
    <row r="790" ht="15.75" customHeight="1">
      <c r="A790" s="85"/>
      <c r="D790" s="85"/>
      <c r="F790" s="85"/>
    </row>
    <row r="791" ht="15.75" customHeight="1">
      <c r="A791" s="85"/>
      <c r="D791" s="85"/>
      <c r="F791" s="85"/>
    </row>
    <row r="792" ht="15.75" customHeight="1">
      <c r="A792" s="85"/>
      <c r="D792" s="85"/>
      <c r="F792" s="85"/>
    </row>
    <row r="793" ht="15.75" customHeight="1">
      <c r="A793" s="85"/>
      <c r="D793" s="85"/>
      <c r="F793" s="85"/>
    </row>
    <row r="794" ht="15.75" customHeight="1">
      <c r="A794" s="85"/>
      <c r="D794" s="85"/>
      <c r="F794" s="85"/>
    </row>
    <row r="795" ht="15.75" customHeight="1">
      <c r="A795" s="85"/>
      <c r="D795" s="85"/>
      <c r="F795" s="85"/>
    </row>
    <row r="796" ht="15.75" customHeight="1">
      <c r="A796" s="85"/>
      <c r="D796" s="85"/>
      <c r="F796" s="85"/>
    </row>
    <row r="797" ht="15.75" customHeight="1">
      <c r="A797" s="85"/>
      <c r="D797" s="85"/>
      <c r="F797" s="85"/>
    </row>
    <row r="798" ht="15.75" customHeight="1">
      <c r="A798" s="85"/>
      <c r="D798" s="85"/>
      <c r="F798" s="85"/>
    </row>
    <row r="799" ht="15.75" customHeight="1">
      <c r="A799" s="85"/>
      <c r="D799" s="85"/>
      <c r="F799" s="85"/>
    </row>
    <row r="800" ht="15.75" customHeight="1">
      <c r="A800" s="85"/>
      <c r="D800" s="85"/>
      <c r="F800" s="85"/>
    </row>
    <row r="801" ht="15.75" customHeight="1">
      <c r="A801" s="85"/>
      <c r="D801" s="85"/>
      <c r="F801" s="85"/>
    </row>
    <row r="802" ht="15.75" customHeight="1">
      <c r="A802" s="85"/>
      <c r="D802" s="85"/>
      <c r="F802" s="85"/>
    </row>
    <row r="803" ht="15.75" customHeight="1">
      <c r="A803" s="85"/>
      <c r="D803" s="85"/>
      <c r="F803" s="85"/>
    </row>
    <row r="804" ht="15.75" customHeight="1">
      <c r="A804" s="85"/>
      <c r="D804" s="85"/>
      <c r="F804" s="85"/>
    </row>
    <row r="805" ht="15.75" customHeight="1">
      <c r="A805" s="85"/>
      <c r="D805" s="85"/>
      <c r="F805" s="85"/>
    </row>
    <row r="806" ht="15.75" customHeight="1">
      <c r="A806" s="85"/>
      <c r="D806" s="85"/>
      <c r="F806" s="85"/>
    </row>
    <row r="807" ht="15.75" customHeight="1">
      <c r="A807" s="85"/>
      <c r="D807" s="85"/>
      <c r="F807" s="85"/>
    </row>
    <row r="808" ht="15.75" customHeight="1">
      <c r="A808" s="85"/>
      <c r="D808" s="85"/>
      <c r="F808" s="85"/>
    </row>
    <row r="809" ht="15.75" customHeight="1">
      <c r="A809" s="85"/>
      <c r="D809" s="85"/>
      <c r="F809" s="85"/>
    </row>
    <row r="810" ht="15.75" customHeight="1">
      <c r="A810" s="85"/>
      <c r="D810" s="85"/>
      <c r="F810" s="85"/>
    </row>
    <row r="811" ht="15.75" customHeight="1">
      <c r="A811" s="85"/>
      <c r="D811" s="85"/>
      <c r="F811" s="85"/>
    </row>
    <row r="812" ht="15.75" customHeight="1">
      <c r="A812" s="85"/>
      <c r="D812" s="85"/>
      <c r="F812" s="85"/>
    </row>
    <row r="813" ht="15.75" customHeight="1">
      <c r="A813" s="85"/>
      <c r="D813" s="85"/>
      <c r="F813" s="85"/>
    </row>
    <row r="814" ht="15.75" customHeight="1">
      <c r="A814" s="85"/>
      <c r="D814" s="85"/>
      <c r="F814" s="85"/>
    </row>
    <row r="815" ht="15.75" customHeight="1">
      <c r="A815" s="85"/>
      <c r="D815" s="85"/>
      <c r="F815" s="85"/>
    </row>
    <row r="816" ht="15.75" customHeight="1">
      <c r="A816" s="85"/>
      <c r="D816" s="85"/>
      <c r="F816" s="85"/>
    </row>
    <row r="817" ht="15.75" customHeight="1">
      <c r="A817" s="85"/>
      <c r="D817" s="85"/>
      <c r="F817" s="85"/>
    </row>
    <row r="818" ht="15.75" customHeight="1">
      <c r="A818" s="85"/>
      <c r="D818" s="85"/>
      <c r="F818" s="85"/>
    </row>
    <row r="819" ht="15.75" customHeight="1">
      <c r="A819" s="85"/>
      <c r="D819" s="85"/>
      <c r="F819" s="85"/>
    </row>
    <row r="820" ht="15.75" customHeight="1">
      <c r="A820" s="85"/>
      <c r="D820" s="85"/>
      <c r="F820" s="85"/>
    </row>
    <row r="821" ht="15.75" customHeight="1">
      <c r="A821" s="85"/>
      <c r="D821" s="85"/>
      <c r="F821" s="85"/>
    </row>
    <row r="822" ht="15.75" customHeight="1">
      <c r="A822" s="85"/>
      <c r="D822" s="85"/>
      <c r="F822" s="85"/>
    </row>
    <row r="823" ht="15.75" customHeight="1">
      <c r="A823" s="85"/>
      <c r="D823" s="85"/>
      <c r="F823" s="85"/>
    </row>
    <row r="824" ht="15.75" customHeight="1">
      <c r="A824" s="85"/>
      <c r="D824" s="85"/>
      <c r="F824" s="85"/>
    </row>
    <row r="825" ht="15.75" customHeight="1">
      <c r="A825" s="85"/>
      <c r="D825" s="85"/>
      <c r="F825" s="85"/>
    </row>
    <row r="826" ht="15.75" customHeight="1">
      <c r="A826" s="85"/>
      <c r="D826" s="85"/>
      <c r="F826" s="85"/>
    </row>
    <row r="827" ht="15.75" customHeight="1">
      <c r="A827" s="85"/>
      <c r="D827" s="85"/>
      <c r="F827" s="85"/>
    </row>
    <row r="828" ht="15.75" customHeight="1">
      <c r="A828" s="85"/>
      <c r="D828" s="85"/>
      <c r="F828" s="85"/>
    </row>
    <row r="829" ht="15.75" customHeight="1">
      <c r="A829" s="85"/>
      <c r="D829" s="85"/>
      <c r="F829" s="85"/>
    </row>
    <row r="830" ht="15.75" customHeight="1">
      <c r="A830" s="85"/>
      <c r="D830" s="85"/>
      <c r="F830" s="85"/>
    </row>
    <row r="831" ht="15.75" customHeight="1">
      <c r="A831" s="85"/>
      <c r="D831" s="85"/>
      <c r="F831" s="85"/>
    </row>
    <row r="832" ht="15.75" customHeight="1">
      <c r="A832" s="85"/>
      <c r="D832" s="85"/>
      <c r="F832" s="85"/>
    </row>
    <row r="833" ht="15.75" customHeight="1">
      <c r="A833" s="85"/>
      <c r="D833" s="85"/>
      <c r="F833" s="85"/>
    </row>
    <row r="834" ht="15.75" customHeight="1">
      <c r="A834" s="85"/>
      <c r="D834" s="85"/>
      <c r="F834" s="85"/>
    </row>
    <row r="835" ht="15.75" customHeight="1">
      <c r="A835" s="85"/>
      <c r="D835" s="85"/>
      <c r="F835" s="85"/>
    </row>
    <row r="836" ht="15.75" customHeight="1">
      <c r="A836" s="85"/>
      <c r="D836" s="85"/>
      <c r="F836" s="85"/>
    </row>
    <row r="837" ht="15.75" customHeight="1">
      <c r="A837" s="85"/>
      <c r="D837" s="85"/>
      <c r="F837" s="85"/>
    </row>
    <row r="838" ht="15.75" customHeight="1">
      <c r="A838" s="85"/>
      <c r="D838" s="85"/>
      <c r="F838" s="85"/>
    </row>
    <row r="839" ht="15.75" customHeight="1">
      <c r="A839" s="85"/>
      <c r="D839" s="85"/>
      <c r="F839" s="85"/>
    </row>
    <row r="840" ht="15.75" customHeight="1">
      <c r="A840" s="85"/>
      <c r="D840" s="85"/>
      <c r="F840" s="85"/>
    </row>
    <row r="841" ht="15.75" customHeight="1">
      <c r="A841" s="85"/>
      <c r="D841" s="85"/>
      <c r="F841" s="85"/>
    </row>
    <row r="842" ht="15.75" customHeight="1">
      <c r="A842" s="85"/>
      <c r="D842" s="85"/>
      <c r="F842" s="85"/>
    </row>
    <row r="843" ht="15.75" customHeight="1">
      <c r="A843" s="85"/>
      <c r="D843" s="85"/>
      <c r="F843" s="85"/>
    </row>
    <row r="844" ht="15.75" customHeight="1">
      <c r="A844" s="85"/>
      <c r="D844" s="85"/>
      <c r="F844" s="85"/>
    </row>
    <row r="845" ht="15.75" customHeight="1">
      <c r="A845" s="85"/>
      <c r="D845" s="85"/>
      <c r="F845" s="85"/>
    </row>
    <row r="846" ht="15.75" customHeight="1">
      <c r="A846" s="85"/>
      <c r="D846" s="85"/>
      <c r="F846" s="85"/>
    </row>
    <row r="847" ht="15.75" customHeight="1">
      <c r="A847" s="85"/>
      <c r="D847" s="85"/>
      <c r="F847" s="85"/>
    </row>
    <row r="848" ht="15.75" customHeight="1">
      <c r="A848" s="85"/>
      <c r="D848" s="85"/>
      <c r="F848" s="85"/>
    </row>
    <row r="849" ht="15.75" customHeight="1">
      <c r="A849" s="85"/>
      <c r="D849" s="85"/>
      <c r="F849" s="85"/>
    </row>
    <row r="850" ht="15.75" customHeight="1">
      <c r="A850" s="85"/>
      <c r="D850" s="85"/>
      <c r="F850" s="85"/>
    </row>
    <row r="851" ht="15.75" customHeight="1">
      <c r="A851" s="85"/>
      <c r="D851" s="85"/>
      <c r="F851" s="85"/>
    </row>
    <row r="852" ht="15.75" customHeight="1">
      <c r="A852" s="85"/>
      <c r="D852" s="85"/>
      <c r="F852" s="85"/>
    </row>
    <row r="853" ht="15.75" customHeight="1">
      <c r="A853" s="85"/>
      <c r="D853" s="85"/>
      <c r="F853" s="85"/>
    </row>
    <row r="854" ht="15.75" customHeight="1">
      <c r="A854" s="85"/>
      <c r="D854" s="85"/>
      <c r="F854" s="85"/>
    </row>
    <row r="855" ht="15.75" customHeight="1">
      <c r="A855" s="85"/>
      <c r="D855" s="85"/>
      <c r="F855" s="85"/>
    </row>
    <row r="856" ht="15.75" customHeight="1">
      <c r="A856" s="85"/>
      <c r="D856" s="85"/>
      <c r="F856" s="85"/>
    </row>
    <row r="857" ht="15.75" customHeight="1">
      <c r="A857" s="85"/>
      <c r="D857" s="85"/>
      <c r="F857" s="85"/>
    </row>
    <row r="858" ht="15.75" customHeight="1">
      <c r="A858" s="85"/>
      <c r="D858" s="85"/>
      <c r="F858" s="85"/>
    </row>
    <row r="859" ht="15.75" customHeight="1">
      <c r="A859" s="85"/>
      <c r="D859" s="85"/>
      <c r="F859" s="85"/>
    </row>
    <row r="860" ht="15.75" customHeight="1">
      <c r="A860" s="85"/>
      <c r="D860" s="85"/>
      <c r="F860" s="85"/>
    </row>
    <row r="861" ht="15.75" customHeight="1">
      <c r="A861" s="85"/>
      <c r="D861" s="85"/>
      <c r="F861" s="85"/>
    </row>
    <row r="862" ht="15.75" customHeight="1">
      <c r="A862" s="85"/>
      <c r="D862" s="85"/>
      <c r="F862" s="85"/>
    </row>
    <row r="863" ht="15.75" customHeight="1">
      <c r="A863" s="85"/>
      <c r="D863" s="85"/>
      <c r="F863" s="85"/>
    </row>
    <row r="864" ht="15.75" customHeight="1">
      <c r="A864" s="85"/>
      <c r="D864" s="85"/>
      <c r="F864" s="85"/>
    </row>
    <row r="865" ht="15.75" customHeight="1">
      <c r="A865" s="85"/>
      <c r="D865" s="85"/>
      <c r="F865" s="85"/>
    </row>
    <row r="866" ht="15.75" customHeight="1">
      <c r="A866" s="85"/>
      <c r="D866" s="85"/>
      <c r="F866" s="85"/>
    </row>
    <row r="867" ht="15.75" customHeight="1">
      <c r="A867" s="85"/>
      <c r="D867" s="85"/>
      <c r="F867" s="85"/>
    </row>
    <row r="868" ht="15.75" customHeight="1">
      <c r="A868" s="85"/>
      <c r="D868" s="85"/>
      <c r="F868" s="85"/>
    </row>
    <row r="869" ht="15.75" customHeight="1">
      <c r="A869" s="85"/>
      <c r="D869" s="85"/>
      <c r="F869" s="85"/>
    </row>
    <row r="870" ht="15.75" customHeight="1">
      <c r="A870" s="85"/>
      <c r="D870" s="85"/>
      <c r="F870" s="85"/>
    </row>
    <row r="871" ht="15.75" customHeight="1">
      <c r="A871" s="85"/>
      <c r="D871" s="85"/>
      <c r="F871" s="85"/>
    </row>
    <row r="872" ht="15.75" customHeight="1">
      <c r="A872" s="85"/>
      <c r="D872" s="85"/>
      <c r="F872" s="85"/>
    </row>
    <row r="873" ht="15.75" customHeight="1">
      <c r="A873" s="85"/>
      <c r="D873" s="85"/>
      <c r="F873" s="85"/>
    </row>
    <row r="874" ht="15.75" customHeight="1">
      <c r="A874" s="85"/>
      <c r="D874" s="85"/>
      <c r="F874" s="85"/>
    </row>
    <row r="875" ht="15.75" customHeight="1">
      <c r="A875" s="85"/>
      <c r="D875" s="85"/>
      <c r="F875" s="85"/>
    </row>
    <row r="876" ht="15.75" customHeight="1">
      <c r="A876" s="85"/>
      <c r="D876" s="85"/>
      <c r="F876" s="85"/>
    </row>
    <row r="877" ht="15.75" customHeight="1">
      <c r="A877" s="85"/>
      <c r="D877" s="85"/>
      <c r="F877" s="85"/>
    </row>
    <row r="878" ht="15.75" customHeight="1">
      <c r="A878" s="85"/>
      <c r="D878" s="85"/>
      <c r="F878" s="85"/>
    </row>
    <row r="879" ht="15.75" customHeight="1">
      <c r="A879" s="85"/>
      <c r="D879" s="85"/>
      <c r="F879" s="85"/>
    </row>
    <row r="880" ht="15.75" customHeight="1">
      <c r="A880" s="85"/>
      <c r="D880" s="85"/>
      <c r="F880" s="85"/>
    </row>
    <row r="881" ht="15.75" customHeight="1">
      <c r="A881" s="85"/>
      <c r="D881" s="85"/>
      <c r="F881" s="85"/>
    </row>
    <row r="882" ht="15.75" customHeight="1">
      <c r="A882" s="85"/>
      <c r="D882" s="85"/>
      <c r="F882" s="85"/>
    </row>
    <row r="883" ht="15.75" customHeight="1">
      <c r="A883" s="85"/>
      <c r="D883" s="85"/>
      <c r="F883" s="85"/>
    </row>
    <row r="884" ht="15.75" customHeight="1">
      <c r="A884" s="85"/>
      <c r="D884" s="85"/>
      <c r="F884" s="85"/>
    </row>
    <row r="885" ht="15.75" customHeight="1">
      <c r="A885" s="85"/>
      <c r="D885" s="85"/>
      <c r="F885" s="85"/>
    </row>
    <row r="886" ht="15.75" customHeight="1">
      <c r="A886" s="85"/>
      <c r="D886" s="85"/>
      <c r="F886" s="85"/>
    </row>
    <row r="887" ht="15.75" customHeight="1">
      <c r="A887" s="85"/>
      <c r="D887" s="85"/>
      <c r="F887" s="85"/>
    </row>
    <row r="888" ht="15.75" customHeight="1">
      <c r="A888" s="85"/>
      <c r="D888" s="85"/>
      <c r="F888" s="85"/>
    </row>
    <row r="889" ht="15.75" customHeight="1">
      <c r="A889" s="85"/>
      <c r="D889" s="85"/>
      <c r="F889" s="85"/>
    </row>
    <row r="890" ht="15.75" customHeight="1">
      <c r="A890" s="85"/>
      <c r="D890" s="85"/>
      <c r="F890" s="85"/>
    </row>
    <row r="891" ht="15.75" customHeight="1">
      <c r="A891" s="85"/>
      <c r="D891" s="85"/>
      <c r="F891" s="85"/>
    </row>
    <row r="892" ht="15.75" customHeight="1">
      <c r="A892" s="85"/>
      <c r="D892" s="85"/>
      <c r="F892" s="85"/>
    </row>
    <row r="893" ht="15.75" customHeight="1">
      <c r="A893" s="85"/>
      <c r="D893" s="85"/>
      <c r="F893" s="85"/>
    </row>
    <row r="894" ht="15.75" customHeight="1">
      <c r="A894" s="85"/>
      <c r="D894" s="85"/>
      <c r="F894" s="85"/>
    </row>
    <row r="895" ht="15.75" customHeight="1">
      <c r="A895" s="85"/>
      <c r="D895" s="85"/>
      <c r="F895" s="85"/>
    </row>
    <row r="896" ht="15.75" customHeight="1">
      <c r="A896" s="85"/>
      <c r="D896" s="85"/>
      <c r="F896" s="85"/>
    </row>
    <row r="897" ht="15.75" customHeight="1">
      <c r="A897" s="85"/>
      <c r="D897" s="85"/>
      <c r="F897" s="85"/>
    </row>
    <row r="898" ht="15.75" customHeight="1">
      <c r="A898" s="85"/>
      <c r="D898" s="85"/>
      <c r="F898" s="85"/>
    </row>
    <row r="899" ht="15.75" customHeight="1">
      <c r="A899" s="85"/>
      <c r="D899" s="85"/>
      <c r="F899" s="85"/>
    </row>
    <row r="900" ht="15.75" customHeight="1">
      <c r="A900" s="85"/>
      <c r="D900" s="85"/>
      <c r="F900" s="85"/>
    </row>
    <row r="901" ht="15.75" customHeight="1">
      <c r="A901" s="85"/>
      <c r="D901" s="85"/>
      <c r="F901" s="85"/>
    </row>
    <row r="902" ht="15.75" customHeight="1">
      <c r="A902" s="85"/>
      <c r="D902" s="85"/>
      <c r="F902" s="85"/>
    </row>
    <row r="903" ht="15.75" customHeight="1">
      <c r="A903" s="85"/>
      <c r="D903" s="85"/>
      <c r="F903" s="85"/>
    </row>
    <row r="904" ht="15.75" customHeight="1">
      <c r="A904" s="85"/>
      <c r="D904" s="85"/>
      <c r="F904" s="85"/>
    </row>
    <row r="905" ht="15.75" customHeight="1">
      <c r="A905" s="85"/>
      <c r="D905" s="85"/>
      <c r="F905" s="85"/>
    </row>
    <row r="906" ht="15.75" customHeight="1">
      <c r="A906" s="85"/>
      <c r="D906" s="85"/>
      <c r="F906" s="85"/>
    </row>
    <row r="907" ht="15.75" customHeight="1">
      <c r="A907" s="85"/>
      <c r="D907" s="85"/>
      <c r="F907" s="85"/>
    </row>
    <row r="908" ht="15.75" customHeight="1">
      <c r="A908" s="85"/>
      <c r="D908" s="85"/>
      <c r="F908" s="85"/>
    </row>
    <row r="909" ht="15.75" customHeight="1">
      <c r="A909" s="85"/>
      <c r="D909" s="85"/>
      <c r="F909" s="85"/>
    </row>
    <row r="910" ht="15.75" customHeight="1">
      <c r="A910" s="85"/>
      <c r="D910" s="85"/>
      <c r="F910" s="85"/>
    </row>
    <row r="911" ht="15.75" customHeight="1">
      <c r="A911" s="85"/>
      <c r="D911" s="85"/>
      <c r="F911" s="85"/>
    </row>
    <row r="912" ht="15.75" customHeight="1">
      <c r="A912" s="85"/>
      <c r="D912" s="85"/>
      <c r="F912" s="85"/>
    </row>
    <row r="913" ht="15.75" customHeight="1">
      <c r="A913" s="85"/>
      <c r="D913" s="85"/>
      <c r="F913" s="85"/>
    </row>
    <row r="914" ht="15.75" customHeight="1">
      <c r="A914" s="85"/>
      <c r="D914" s="85"/>
      <c r="F914" s="85"/>
    </row>
    <row r="915" ht="15.75" customHeight="1">
      <c r="A915" s="85"/>
      <c r="D915" s="85"/>
      <c r="F915" s="85"/>
    </row>
    <row r="916" ht="15.75" customHeight="1">
      <c r="A916" s="85"/>
      <c r="D916" s="85"/>
      <c r="F916" s="85"/>
    </row>
    <row r="917" ht="15.75" customHeight="1">
      <c r="A917" s="85"/>
      <c r="D917" s="85"/>
      <c r="F917" s="85"/>
    </row>
    <row r="918" ht="15.75" customHeight="1">
      <c r="A918" s="85"/>
      <c r="D918" s="85"/>
      <c r="F918" s="85"/>
    </row>
    <row r="919" ht="15.75" customHeight="1">
      <c r="A919" s="85"/>
      <c r="D919" s="85"/>
      <c r="F919" s="85"/>
    </row>
    <row r="920" ht="15.75" customHeight="1">
      <c r="A920" s="85"/>
      <c r="D920" s="85"/>
      <c r="F920" s="85"/>
    </row>
    <row r="921" ht="15.75" customHeight="1">
      <c r="A921" s="85"/>
      <c r="D921" s="85"/>
      <c r="F921" s="85"/>
    </row>
    <row r="922" ht="15.75" customHeight="1">
      <c r="A922" s="85"/>
      <c r="D922" s="85"/>
      <c r="F922" s="85"/>
    </row>
    <row r="923" ht="15.75" customHeight="1">
      <c r="A923" s="85"/>
      <c r="D923" s="85"/>
      <c r="F923" s="85"/>
    </row>
    <row r="924" ht="15.75" customHeight="1">
      <c r="A924" s="85"/>
      <c r="D924" s="85"/>
      <c r="F924" s="85"/>
    </row>
    <row r="925" ht="15.75" customHeight="1">
      <c r="A925" s="85"/>
      <c r="D925" s="85"/>
      <c r="F925" s="85"/>
    </row>
    <row r="926" ht="15.75" customHeight="1">
      <c r="A926" s="85"/>
      <c r="D926" s="85"/>
      <c r="F926" s="85"/>
    </row>
    <row r="927" ht="15.75" customHeight="1">
      <c r="A927" s="85"/>
      <c r="D927" s="85"/>
      <c r="F927" s="85"/>
    </row>
    <row r="928" ht="15.75" customHeight="1">
      <c r="A928" s="85"/>
      <c r="D928" s="85"/>
      <c r="F928" s="85"/>
    </row>
    <row r="929" ht="15.75" customHeight="1">
      <c r="A929" s="85"/>
      <c r="D929" s="85"/>
      <c r="F929" s="85"/>
    </row>
    <row r="930" ht="15.75" customHeight="1">
      <c r="A930" s="85"/>
      <c r="D930" s="85"/>
      <c r="F930" s="85"/>
    </row>
    <row r="931" ht="15.75" customHeight="1">
      <c r="A931" s="85"/>
      <c r="D931" s="85"/>
      <c r="F931" s="85"/>
    </row>
    <row r="932" ht="15.75" customHeight="1">
      <c r="A932" s="85"/>
      <c r="D932" s="85"/>
      <c r="F932" s="85"/>
    </row>
    <row r="933" ht="15.75" customHeight="1">
      <c r="A933" s="85"/>
      <c r="D933" s="85"/>
      <c r="F933" s="85"/>
    </row>
    <row r="934" ht="15.75" customHeight="1">
      <c r="A934" s="85"/>
      <c r="D934" s="85"/>
      <c r="F934" s="85"/>
    </row>
    <row r="935" ht="15.75" customHeight="1">
      <c r="A935" s="85"/>
      <c r="D935" s="85"/>
      <c r="F935" s="85"/>
    </row>
    <row r="936" ht="15.75" customHeight="1">
      <c r="A936" s="85"/>
      <c r="D936" s="85"/>
      <c r="F936" s="85"/>
    </row>
    <row r="937" ht="15.75" customHeight="1">
      <c r="A937" s="85"/>
      <c r="D937" s="85"/>
      <c r="F937" s="85"/>
    </row>
    <row r="938" ht="15.75" customHeight="1">
      <c r="A938" s="85"/>
      <c r="D938" s="85"/>
      <c r="F938" s="85"/>
    </row>
    <row r="939" ht="15.75" customHeight="1">
      <c r="A939" s="85"/>
      <c r="D939" s="85"/>
      <c r="F939" s="85"/>
    </row>
    <row r="940" ht="15.75" customHeight="1">
      <c r="A940" s="85"/>
      <c r="D940" s="85"/>
      <c r="F940" s="85"/>
    </row>
    <row r="941" ht="15.75" customHeight="1">
      <c r="A941" s="85"/>
      <c r="D941" s="85"/>
      <c r="F941" s="85"/>
    </row>
    <row r="942" ht="15.75" customHeight="1">
      <c r="A942" s="85"/>
      <c r="D942" s="85"/>
      <c r="F942" s="85"/>
    </row>
    <row r="943" ht="15.75" customHeight="1">
      <c r="A943" s="85"/>
      <c r="D943" s="85"/>
      <c r="F943" s="85"/>
    </row>
    <row r="944" ht="15.75" customHeight="1">
      <c r="A944" s="85"/>
      <c r="D944" s="85"/>
      <c r="F944" s="85"/>
    </row>
    <row r="945" ht="15.75" customHeight="1">
      <c r="A945" s="85"/>
      <c r="D945" s="85"/>
      <c r="F945" s="85"/>
    </row>
    <row r="946" ht="15.75" customHeight="1">
      <c r="A946" s="85"/>
      <c r="D946" s="85"/>
      <c r="F946" s="85"/>
    </row>
    <row r="947" ht="15.75" customHeight="1">
      <c r="A947" s="85"/>
      <c r="D947" s="85"/>
      <c r="F947" s="85"/>
    </row>
    <row r="948" ht="15.75" customHeight="1">
      <c r="A948" s="85"/>
      <c r="D948" s="85"/>
      <c r="F948" s="85"/>
    </row>
    <row r="949" ht="15.75" customHeight="1">
      <c r="A949" s="85"/>
      <c r="D949" s="85"/>
      <c r="F949" s="85"/>
    </row>
    <row r="950" ht="15.75" customHeight="1">
      <c r="A950" s="85"/>
      <c r="D950" s="85"/>
      <c r="F950" s="85"/>
    </row>
    <row r="951" ht="15.75" customHeight="1">
      <c r="A951" s="85"/>
      <c r="D951" s="85"/>
      <c r="F951" s="85"/>
    </row>
    <row r="952" ht="15.75" customHeight="1">
      <c r="A952" s="85"/>
      <c r="D952" s="85"/>
      <c r="F952" s="85"/>
    </row>
    <row r="953" ht="15.75" customHeight="1">
      <c r="A953" s="85"/>
      <c r="D953" s="85"/>
      <c r="F953" s="85"/>
    </row>
    <row r="954" ht="15.75" customHeight="1">
      <c r="A954" s="85"/>
      <c r="D954" s="85"/>
      <c r="F954" s="85"/>
    </row>
    <row r="955" ht="15.75" customHeight="1">
      <c r="A955" s="85"/>
      <c r="D955" s="85"/>
      <c r="F955" s="85"/>
    </row>
    <row r="956" ht="15.75" customHeight="1">
      <c r="A956" s="85"/>
      <c r="D956" s="85"/>
      <c r="F956" s="85"/>
    </row>
    <row r="957" ht="15.75" customHeight="1">
      <c r="A957" s="85"/>
      <c r="D957" s="85"/>
      <c r="F957" s="85"/>
    </row>
    <row r="958" ht="15.75" customHeight="1">
      <c r="A958" s="85"/>
      <c r="D958" s="85"/>
      <c r="F958" s="85"/>
    </row>
    <row r="959" ht="15.75" customHeight="1">
      <c r="A959" s="85"/>
      <c r="D959" s="85"/>
      <c r="F959" s="85"/>
    </row>
    <row r="960" ht="15.75" customHeight="1">
      <c r="A960" s="85"/>
      <c r="D960" s="85"/>
      <c r="F960" s="85"/>
    </row>
    <row r="961" ht="15.75" customHeight="1">
      <c r="A961" s="85"/>
      <c r="D961" s="85"/>
      <c r="F961" s="85"/>
    </row>
    <row r="962" ht="15.75" customHeight="1">
      <c r="A962" s="85"/>
      <c r="D962" s="85"/>
      <c r="F962" s="85"/>
    </row>
    <row r="963" ht="15.75" customHeight="1">
      <c r="A963" s="85"/>
      <c r="D963" s="85"/>
      <c r="F963" s="85"/>
    </row>
    <row r="964" ht="15.75" customHeight="1">
      <c r="A964" s="85"/>
      <c r="D964" s="85"/>
      <c r="F964" s="85"/>
    </row>
    <row r="965" ht="15.75" customHeight="1">
      <c r="A965" s="85"/>
      <c r="D965" s="85"/>
      <c r="F965" s="85"/>
    </row>
    <row r="966" ht="15.75" customHeight="1">
      <c r="A966" s="85"/>
      <c r="D966" s="85"/>
      <c r="F966" s="85"/>
    </row>
    <row r="967" ht="15.75" customHeight="1">
      <c r="A967" s="85"/>
      <c r="D967" s="85"/>
      <c r="F967" s="85"/>
    </row>
    <row r="968" ht="15.75" customHeight="1">
      <c r="A968" s="85"/>
      <c r="D968" s="85"/>
      <c r="F968" s="85"/>
    </row>
    <row r="969" ht="15.75" customHeight="1">
      <c r="A969" s="85"/>
      <c r="D969" s="85"/>
      <c r="F969" s="85"/>
    </row>
    <row r="970" ht="15.75" customHeight="1">
      <c r="A970" s="85"/>
      <c r="D970" s="85"/>
      <c r="F970" s="85"/>
    </row>
    <row r="971" ht="15.75" customHeight="1">
      <c r="A971" s="85"/>
      <c r="D971" s="85"/>
      <c r="F971" s="85"/>
    </row>
    <row r="972" ht="15.75" customHeight="1">
      <c r="A972" s="85"/>
      <c r="D972" s="85"/>
      <c r="F972" s="85"/>
    </row>
    <row r="973" ht="15.75" customHeight="1">
      <c r="A973" s="85"/>
      <c r="D973" s="85"/>
      <c r="F973" s="85"/>
    </row>
    <row r="974" ht="15.75" customHeight="1">
      <c r="A974" s="85"/>
      <c r="D974" s="85"/>
      <c r="F974" s="85"/>
    </row>
    <row r="975" ht="15.75" customHeight="1">
      <c r="A975" s="85"/>
      <c r="D975" s="85"/>
      <c r="F975" s="85"/>
    </row>
    <row r="976" ht="15.75" customHeight="1">
      <c r="A976" s="85"/>
      <c r="D976" s="85"/>
      <c r="F976" s="85"/>
    </row>
    <row r="977" ht="15.75" customHeight="1">
      <c r="A977" s="85"/>
      <c r="D977" s="85"/>
      <c r="F977" s="85"/>
    </row>
    <row r="978" ht="15.75" customHeight="1">
      <c r="A978" s="85"/>
      <c r="D978" s="85"/>
      <c r="F978" s="85"/>
    </row>
    <row r="979" ht="15.75" customHeight="1">
      <c r="A979" s="85"/>
      <c r="D979" s="85"/>
      <c r="F979" s="85"/>
    </row>
    <row r="980" ht="15.75" customHeight="1">
      <c r="A980" s="85"/>
      <c r="D980" s="85"/>
      <c r="F980" s="85"/>
    </row>
    <row r="981" ht="15.75" customHeight="1">
      <c r="A981" s="85"/>
      <c r="D981" s="85"/>
      <c r="F981" s="85"/>
    </row>
    <row r="982" ht="15.75" customHeight="1">
      <c r="A982" s="85"/>
      <c r="D982" s="85"/>
      <c r="F982" s="85"/>
    </row>
    <row r="983" ht="15.75" customHeight="1">
      <c r="A983" s="85"/>
      <c r="D983" s="85"/>
      <c r="F983" s="85"/>
    </row>
    <row r="984" ht="15.75" customHeight="1">
      <c r="A984" s="85"/>
      <c r="D984" s="85"/>
      <c r="F984" s="85"/>
    </row>
    <row r="985" ht="15.75" customHeight="1">
      <c r="A985" s="85"/>
      <c r="D985" s="85"/>
      <c r="F985" s="85"/>
    </row>
    <row r="986" ht="15.75" customHeight="1">
      <c r="A986" s="85"/>
      <c r="D986" s="85"/>
      <c r="F986" s="85"/>
    </row>
    <row r="987" ht="15.75" customHeight="1">
      <c r="A987" s="85"/>
      <c r="D987" s="85"/>
      <c r="F987" s="85"/>
    </row>
    <row r="988" ht="15.75" customHeight="1">
      <c r="A988" s="85"/>
      <c r="D988" s="85"/>
      <c r="F988" s="85"/>
    </row>
    <row r="989" ht="15.75" customHeight="1">
      <c r="A989" s="85"/>
      <c r="D989" s="85"/>
      <c r="F989" s="85"/>
    </row>
    <row r="990" ht="15.75" customHeight="1">
      <c r="A990" s="85"/>
      <c r="D990" s="85"/>
      <c r="F990" s="85"/>
    </row>
    <row r="991" ht="15.75" customHeight="1">
      <c r="A991" s="85"/>
      <c r="D991" s="85"/>
      <c r="F991" s="85"/>
    </row>
    <row r="992" ht="15.75" customHeight="1">
      <c r="A992" s="85"/>
      <c r="D992" s="85"/>
      <c r="F992" s="85"/>
    </row>
    <row r="993" ht="15.75" customHeight="1">
      <c r="A993" s="85"/>
      <c r="D993" s="85"/>
      <c r="F993" s="85"/>
    </row>
    <row r="994" ht="15.75" customHeight="1">
      <c r="A994" s="85"/>
      <c r="D994" s="85"/>
      <c r="F994" s="85"/>
    </row>
    <row r="995" ht="15.75" customHeight="1">
      <c r="A995" s="85"/>
      <c r="D995" s="85"/>
      <c r="F995" s="85"/>
    </row>
    <row r="996" ht="15.75" customHeight="1">
      <c r="A996" s="85"/>
      <c r="D996" s="85"/>
      <c r="F996" s="85"/>
    </row>
    <row r="997" ht="15.75" customHeight="1">
      <c r="A997" s="85"/>
      <c r="D997" s="85"/>
      <c r="F997" s="85"/>
    </row>
    <row r="998" ht="15.75" customHeight="1">
      <c r="A998" s="85"/>
      <c r="D998" s="85"/>
      <c r="F998" s="85"/>
    </row>
    <row r="999" ht="15.75" customHeight="1">
      <c r="A999" s="85"/>
      <c r="D999" s="85"/>
      <c r="F999" s="85"/>
    </row>
    <row r="1000" ht="15.75" customHeight="1">
      <c r="A1000" s="85"/>
      <c r="D1000" s="85"/>
      <c r="F1000" s="85"/>
    </row>
  </sheetData>
  <mergeCells count="1">
    <mergeCell ref="A26:F26"/>
  </mergeCell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322" t="s">
        <v>292</v>
      </c>
    </row>
    <row r="3">
      <c r="B3" s="322" t="s">
        <v>293</v>
      </c>
    </row>
    <row r="4">
      <c r="B4" s="348" t="s">
        <v>294</v>
      </c>
    </row>
    <row r="6">
      <c r="B6" s="322" t="s">
        <v>295</v>
      </c>
    </row>
    <row r="7">
      <c r="B7" s="348" t="s">
        <v>296</v>
      </c>
    </row>
    <row r="9">
      <c r="B9" s="322" t="s">
        <v>297</v>
      </c>
    </row>
    <row r="10">
      <c r="B10" s="348" t="s">
        <v>298</v>
      </c>
    </row>
  </sheetData>
  <hyperlinks>
    <hyperlink r:id="rId1" ref="B4"/>
    <hyperlink r:id="rId2" ref="B7"/>
    <hyperlink r:id="rId3" ref="B10"/>
  </hyperlinks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8.71"/>
    <col customWidth="1" min="4" max="15" width="5.86"/>
    <col customWidth="1" min="16" max="16" width="7.43"/>
    <col customWidth="1" min="17" max="27" width="5.86"/>
    <col customWidth="1" min="28" max="28" width="7.0"/>
    <col customWidth="1" min="29" max="29" width="7.43"/>
    <col customWidth="1" min="30" max="30" width="8.43"/>
    <col customWidth="1" min="31" max="31" width="6.71"/>
    <col customWidth="1" min="32" max="32" width="8.57"/>
    <col customWidth="1" min="33" max="33" width="17.14"/>
  </cols>
  <sheetData>
    <row r="1" ht="40.5" customHeight="1">
      <c r="A1" s="349" t="s">
        <v>299</v>
      </c>
      <c r="B1" s="349" t="s">
        <v>300</v>
      </c>
      <c r="C1" s="349" t="s">
        <v>301</v>
      </c>
      <c r="D1" s="350"/>
      <c r="E1" s="351"/>
      <c r="F1" s="352"/>
      <c r="G1" s="352"/>
      <c r="H1" s="351"/>
      <c r="I1" s="352"/>
      <c r="J1" s="353"/>
      <c r="K1" s="352"/>
      <c r="L1" s="351"/>
      <c r="M1" s="352"/>
      <c r="N1" s="353"/>
      <c r="O1" s="354" t="s">
        <v>302</v>
      </c>
      <c r="P1" s="355" t="s">
        <v>303</v>
      </c>
      <c r="Q1" s="356"/>
      <c r="R1" s="357"/>
      <c r="S1" s="358"/>
      <c r="T1" s="359"/>
      <c r="U1" s="358"/>
      <c r="V1" s="358"/>
      <c r="W1" s="358"/>
      <c r="X1" s="360"/>
      <c r="Y1" s="358"/>
      <c r="Z1" s="358"/>
      <c r="AA1" s="358"/>
      <c r="AB1" s="361" t="s">
        <v>302</v>
      </c>
      <c r="AC1" s="362" t="s">
        <v>303</v>
      </c>
      <c r="AD1" s="363" t="s">
        <v>304</v>
      </c>
      <c r="AE1" s="363" t="s">
        <v>305</v>
      </c>
      <c r="AF1" s="364" t="s">
        <v>306</v>
      </c>
      <c r="AG1" s="365"/>
      <c r="AH1" s="366" t="s">
        <v>307</v>
      </c>
      <c r="AI1" s="366" t="s">
        <v>308</v>
      </c>
      <c r="AK1" s="362" t="s">
        <v>309</v>
      </c>
      <c r="AL1" s="362" t="s">
        <v>309</v>
      </c>
      <c r="AM1" s="367" t="s">
        <v>310</v>
      </c>
      <c r="AN1" s="367" t="s">
        <v>311</v>
      </c>
      <c r="AO1" s="367" t="s">
        <v>312</v>
      </c>
      <c r="AP1" s="367"/>
      <c r="AQ1" s="367"/>
      <c r="AR1" s="367"/>
    </row>
    <row r="2" ht="21.0" customHeight="1">
      <c r="A2" s="310">
        <v>1.0</v>
      </c>
      <c r="B2" s="368">
        <v>10.0</v>
      </c>
      <c r="C2" s="310">
        <f>B2</f>
        <v>10</v>
      </c>
      <c r="D2" s="369">
        <v>0.0</v>
      </c>
      <c r="E2" s="370">
        <v>0.0</v>
      </c>
      <c r="F2" s="371">
        <v>1.0</v>
      </c>
      <c r="G2" s="372">
        <v>0.0</v>
      </c>
      <c r="H2" s="370">
        <v>0.0</v>
      </c>
      <c r="I2" s="372">
        <v>0.0</v>
      </c>
      <c r="J2" s="373">
        <v>0.0</v>
      </c>
      <c r="K2" s="374">
        <v>0.0</v>
      </c>
      <c r="L2" s="375">
        <v>10.0</v>
      </c>
      <c r="M2" s="372">
        <v>0.0</v>
      </c>
      <c r="N2" s="373">
        <v>0.0</v>
      </c>
      <c r="O2" s="372">
        <v>0.0</v>
      </c>
      <c r="P2" s="376" t="str">
        <f t="shared" ref="P2:P31" si="1">D2+E2*'Item values'!$D$7+F2*'Item values'!$D$8+G2*'Item values'!$D$9+H2*'Item values'!$D$4+I2*'Item values'!$D$5+J2*'Item values'!$D$3+K2/60*'Item values'!$D$13+IF(L2&gt;0,VLOOKUP(L2,'Item values'!$B$19:$D$26,3),0)+IF(M2&gt;0,VLOOKUP(M2,'Item values'!$B$28:$D$36,3),0)+IF(N2&gt;0,VLOOKUP(N2,'Item values'!$B$38:$D$47,3),0)</f>
        <v>#REF!</v>
      </c>
      <c r="Q2" s="377">
        <v>0.0</v>
      </c>
      <c r="R2" s="370">
        <v>0.0</v>
      </c>
      <c r="S2" s="372">
        <v>0.0</v>
      </c>
      <c r="T2" s="373">
        <v>0.0</v>
      </c>
      <c r="U2" s="372">
        <v>0.0</v>
      </c>
      <c r="V2" s="372">
        <v>0.0</v>
      </c>
      <c r="W2" s="372">
        <v>0.0</v>
      </c>
      <c r="X2" s="378">
        <v>120.0</v>
      </c>
      <c r="Y2" s="372">
        <v>0.0</v>
      </c>
      <c r="Z2" s="375">
        <v>15.0</v>
      </c>
      <c r="AA2" s="379">
        <v>0.0</v>
      </c>
      <c r="AB2" s="380">
        <v>1.0</v>
      </c>
      <c r="AC2" s="381" t="str">
        <f t="shared" ref="AC2:AC31" si="2">Q2+R2*'Item values'!$D$7+S2*'Item values'!$D$8+T2*'Item values'!$D$9+U2*'Item values'!$D$4+V2*'Item values'!$D$5+W2*'Item values'!$D$3+X2/60*'Item values'!$D$13+IF(Y2&gt;0,VLOOKUP(Y2,'Item values'!$B$19:$D$26,3),0)+IF(Z2&gt;0,VLOOKUP(Z2,'Item values'!$B$28:$D$36,3),0)+IF(AA2&gt;0,VLOOKUP(AA2,'Item values'!$B$38:$D$47,3),0)</f>
        <v>#REF!</v>
      </c>
      <c r="AD2" s="368" t="str">
        <f t="shared" ref="AD2:AD31" si="3">IF(Y2&gt;0,VLOOKUP(Y2,'Item values'!$B$19:$D$26,3),0)+IF(Z2&gt;0,VLOOKUP(Z2,'Item values'!$B$28:$D$36,3),0)+IF(AA2&gt;0,VLOOKUP(AA2,'Item values'!$B$38:$D$47,3),0)</f>
        <v>#REF!</v>
      </c>
      <c r="AE2" s="368" t="str">
        <f t="shared" ref="AE2:AE31" si="4">IF(L2&gt;0,VLOOKUP(L2,'Item values'!$B$19:$D$26,3),0)+IF(M2&gt;0,VLOOKUP(M2,'Item values'!$B$28:$D$36,3),0)+IF(N2&gt;0,VLOOKUP(N2,'Item values'!$B$38:$D$47,3),0)</f>
        <v>#REF!</v>
      </c>
      <c r="AF2" s="382" t="str">
        <f t="shared" ref="AF2:AF31" si="5">AC2-P2</f>
        <v>#REF!</v>
      </c>
      <c r="AG2" s="383" t="s">
        <v>313</v>
      </c>
      <c r="AH2" s="384" t="str">
        <f>P32</f>
        <v>#REF!</v>
      </c>
      <c r="AI2" s="384" t="str">
        <f>P32+AC32</f>
        <v>#REF!</v>
      </c>
      <c r="AK2" s="385" t="str">
        <f t="shared" ref="AK2:AK31" si="7">Q2+R2*'Item values'!$D$7+S2*'Item values'!$D$8+T2*'Item values'!$D$9+U2*'Item values'!$D$4+V2*'Item values'!$D$5+W2*'Item values'!$D$3+IF(Y2&gt;0,VLOOKUP(Y2,'Item values'!$B$19:$D$26,3),0)+IF(Z2&gt;0,VLOOKUP(Z2,'Item values'!$B$28:$D$36,3),0)+IF(AA2&gt;0,VLOOKUP(AA2,'Item values'!$B$38:$D$47,3),0)</f>
        <v>#REF!</v>
      </c>
      <c r="AL2" s="385" t="str">
        <f t="shared" ref="AL2:AL31" si="8">Q2+R2*'Item values'!$D$7+S2*'Item values'!$D$8+T2*'Item values'!$D$9+U2*'Item values'!$D$4+V2*'Item values'!$D$5+W2*'Item values'!$D$3+IF(Y2&gt;0,VLOOKUP(Y2,'Item values'!$B$19:$D$26,3),0)+IF(Z2&gt;0,VLOOKUP(Z2,'Item values'!$B$28:$D$36,3),0)+IF(AA2&gt;0,VLOOKUP(AA2,'Item values'!$B$38:$D$47,3),0)</f>
        <v>#REF!</v>
      </c>
      <c r="AM2" s="385" t="str">
        <f t="shared" ref="AM2:AM31" si="9">D2+E2*'Item values'!$D$7+F2*'Item values'!$D$8+G2*'Item values'!$D$9+H2*'Item values'!$D$4+I2*'Item values'!$D$5+J2*'Item values'!$D$3+IF(L2&gt;0,VLOOKUP(L2,'Item values'!$B$19:$D$26,3),0)+IF(M2&gt;0,VLOOKUP(M2,'Item values'!$B$28:$D$36,3),0)+IF(N2&gt;0,VLOOKUP(N2,'Item values'!$B$38:$D$47,3),0)</f>
        <v>#REF!</v>
      </c>
      <c r="AN2" s="385" t="str">
        <f t="shared" ref="AN2:AN31" si="10">Q2+R2*'Item values'!$D$7+S2*'Item values'!$D$8+T2*'Item values'!$D$9+U2*'Item values'!$D$4+V2*'Item values'!$D$5+W2*'Item values'!$D$3+IF(Y2&gt;0,VLOOKUP(Y2,'Item values'!$B$19:$D$26,3),0)+IF(Z2&gt;0,VLOOKUP(Z2,'Item values'!$B$28:$D$36,3),0)+IF(AA2&gt;0,VLOOKUP(AA2,'Item values'!$B$38:$D$47,3),0)</f>
        <v>#REF!</v>
      </c>
      <c r="AO2" s="385" t="str">
        <f t="shared" ref="AO2:AO31" si="11">AM2+AN2</f>
        <v>#REF!</v>
      </c>
      <c r="AP2" s="385"/>
      <c r="AQ2" s="385"/>
      <c r="AR2" s="385"/>
    </row>
    <row r="3">
      <c r="A3" s="310">
        <f t="shared" ref="A3:A31" si="12">A2+1</f>
        <v>2</v>
      </c>
      <c r="B3" s="368">
        <v>14.0</v>
      </c>
      <c r="C3" s="310">
        <f t="shared" ref="C3:C31" si="13">B3+C2</f>
        <v>24</v>
      </c>
      <c r="D3" s="386">
        <v>10.0</v>
      </c>
      <c r="E3" s="387">
        <v>0.0</v>
      </c>
      <c r="F3" s="388">
        <v>0.0</v>
      </c>
      <c r="G3" s="388">
        <v>0.0</v>
      </c>
      <c r="H3" s="387">
        <v>0.0</v>
      </c>
      <c r="I3" s="388">
        <v>0.0</v>
      </c>
      <c r="J3" s="389">
        <v>0.0</v>
      </c>
      <c r="K3" s="390">
        <v>0.0</v>
      </c>
      <c r="L3" s="387">
        <v>0.0</v>
      </c>
      <c r="M3" s="388">
        <v>0.0</v>
      </c>
      <c r="N3" s="389">
        <v>0.0</v>
      </c>
      <c r="O3" s="388">
        <v>0.0</v>
      </c>
      <c r="P3" s="376" t="str">
        <f t="shared" si="1"/>
        <v>#REF!</v>
      </c>
      <c r="Q3" s="391">
        <v>25.0</v>
      </c>
      <c r="R3" s="387">
        <v>0.0</v>
      </c>
      <c r="S3" s="388">
        <v>0.0</v>
      </c>
      <c r="T3" s="389">
        <v>0.0</v>
      </c>
      <c r="U3" s="388">
        <v>0.0</v>
      </c>
      <c r="V3" s="388">
        <v>0.0</v>
      </c>
      <c r="W3" s="388">
        <v>0.0</v>
      </c>
      <c r="X3" s="390">
        <v>0.0</v>
      </c>
      <c r="Y3" s="388">
        <v>0.0</v>
      </c>
      <c r="Z3" s="388">
        <v>0.0</v>
      </c>
      <c r="AA3" s="388">
        <v>0.0</v>
      </c>
      <c r="AB3" s="390">
        <v>0.0</v>
      </c>
      <c r="AC3" s="381" t="str">
        <f t="shared" si="2"/>
        <v>#REF!</v>
      </c>
      <c r="AD3" s="368">
        <f t="shared" si="3"/>
        <v>0</v>
      </c>
      <c r="AE3" s="368">
        <f t="shared" si="4"/>
        <v>0</v>
      </c>
      <c r="AF3" s="382" t="str">
        <f t="shared" si="5"/>
        <v>#REF!</v>
      </c>
      <c r="AG3" s="392" t="s">
        <v>314</v>
      </c>
      <c r="AH3" s="393">
        <f t="shared" ref="AH3:AI3" si="6">$B32</f>
        <v>3557</v>
      </c>
      <c r="AI3" s="393">
        <f t="shared" si="6"/>
        <v>3557</v>
      </c>
      <c r="AK3" s="385" t="str">
        <f t="shared" si="7"/>
        <v>#REF!</v>
      </c>
      <c r="AL3" s="385" t="str">
        <f t="shared" si="8"/>
        <v>#REF!</v>
      </c>
      <c r="AM3" s="385" t="str">
        <f t="shared" si="9"/>
        <v>#REF!</v>
      </c>
      <c r="AN3" s="385" t="str">
        <f t="shared" si="10"/>
        <v>#REF!</v>
      </c>
      <c r="AO3" s="385" t="str">
        <f t="shared" si="11"/>
        <v>#REF!</v>
      </c>
      <c r="AP3" s="385"/>
      <c r="AQ3" s="385"/>
      <c r="AR3" s="385"/>
    </row>
    <row r="4">
      <c r="A4" s="310">
        <f t="shared" si="12"/>
        <v>3</v>
      </c>
      <c r="B4" s="368">
        <v>20.0</v>
      </c>
      <c r="C4" s="310">
        <f t="shared" si="13"/>
        <v>44</v>
      </c>
      <c r="D4" s="394">
        <v>0.0</v>
      </c>
      <c r="E4" s="395">
        <v>0.0</v>
      </c>
      <c r="F4" s="396">
        <v>0.0</v>
      </c>
      <c r="G4" s="396">
        <v>0.0</v>
      </c>
      <c r="H4" s="395">
        <v>0.0</v>
      </c>
      <c r="I4" s="396">
        <v>0.0</v>
      </c>
      <c r="J4" s="397">
        <v>0.0</v>
      </c>
      <c r="K4" s="398">
        <v>60.0</v>
      </c>
      <c r="L4" s="395">
        <v>0.0</v>
      </c>
      <c r="M4" s="396">
        <v>0.0</v>
      </c>
      <c r="N4" s="397">
        <v>0.0</v>
      </c>
      <c r="O4" s="396">
        <v>0.0</v>
      </c>
      <c r="P4" s="376" t="str">
        <f t="shared" si="1"/>
        <v>#REF!</v>
      </c>
      <c r="Q4" s="399">
        <v>0.0</v>
      </c>
      <c r="R4" s="400">
        <v>1.0</v>
      </c>
      <c r="S4" s="396">
        <v>0.0</v>
      </c>
      <c r="T4" s="397">
        <v>0.0</v>
      </c>
      <c r="U4" s="396">
        <v>0.0</v>
      </c>
      <c r="V4" s="396">
        <v>0.0</v>
      </c>
      <c r="W4" s="396">
        <v>0.0</v>
      </c>
      <c r="X4" s="401">
        <v>0.0</v>
      </c>
      <c r="Y4" s="396">
        <v>0.0</v>
      </c>
      <c r="Z4" s="396">
        <v>0.0</v>
      </c>
      <c r="AA4" s="396">
        <v>0.0</v>
      </c>
      <c r="AB4" s="401">
        <v>0.0</v>
      </c>
      <c r="AC4" s="381" t="str">
        <f t="shared" si="2"/>
        <v>#REF!</v>
      </c>
      <c r="AD4" s="368">
        <f t="shared" si="3"/>
        <v>0</v>
      </c>
      <c r="AE4" s="368">
        <f t="shared" si="4"/>
        <v>0</v>
      </c>
      <c r="AF4" s="382" t="str">
        <f t="shared" si="5"/>
        <v>#REF!</v>
      </c>
      <c r="AG4" s="402" t="s">
        <v>315</v>
      </c>
      <c r="AH4" s="403" t="str">
        <f t="shared" ref="AH4:AI4" si="14">AH2/AH3</f>
        <v>#REF!</v>
      </c>
      <c r="AI4" s="403" t="str">
        <f t="shared" si="14"/>
        <v>#REF!</v>
      </c>
      <c r="AK4" s="385" t="str">
        <f t="shared" si="7"/>
        <v>#REF!</v>
      </c>
      <c r="AL4" s="385" t="str">
        <f t="shared" si="8"/>
        <v>#REF!</v>
      </c>
      <c r="AM4" s="385" t="str">
        <f t="shared" si="9"/>
        <v>#REF!</v>
      </c>
      <c r="AN4" s="385" t="str">
        <f t="shared" si="10"/>
        <v>#REF!</v>
      </c>
      <c r="AO4" s="385" t="str">
        <f t="shared" si="11"/>
        <v>#REF!</v>
      </c>
      <c r="AP4" s="385"/>
      <c r="AQ4" s="385"/>
      <c r="AR4" s="385"/>
    </row>
    <row r="5">
      <c r="A5" s="310">
        <f t="shared" si="12"/>
        <v>4</v>
      </c>
      <c r="B5" s="368">
        <v>28.0</v>
      </c>
      <c r="C5" s="310">
        <f t="shared" si="13"/>
        <v>72</v>
      </c>
      <c r="D5" s="404">
        <v>0.0</v>
      </c>
      <c r="E5" s="387">
        <v>0.0</v>
      </c>
      <c r="F5" s="388">
        <v>0.0</v>
      </c>
      <c r="G5" s="388">
        <v>0.0</v>
      </c>
      <c r="H5" s="387">
        <v>0.0</v>
      </c>
      <c r="I5" s="388">
        <v>0.0</v>
      </c>
      <c r="J5" s="389">
        <v>0.0</v>
      </c>
      <c r="K5" s="390">
        <v>0.0</v>
      </c>
      <c r="L5" s="387">
        <v>0.0</v>
      </c>
      <c r="M5" s="405">
        <v>15.0</v>
      </c>
      <c r="N5" s="389">
        <v>0.0</v>
      </c>
      <c r="O5" s="388">
        <v>0.0</v>
      </c>
      <c r="P5" s="376" t="str">
        <f t="shared" si="1"/>
        <v>#REF!</v>
      </c>
      <c r="Q5" s="406">
        <v>0.0</v>
      </c>
      <c r="R5" s="387">
        <v>0.0</v>
      </c>
      <c r="S5" s="388">
        <v>0.0</v>
      </c>
      <c r="T5" s="389">
        <v>0.0</v>
      </c>
      <c r="U5" s="388">
        <v>0.0</v>
      </c>
      <c r="V5" s="405">
        <v>1.0</v>
      </c>
      <c r="W5" s="388">
        <v>0.0</v>
      </c>
      <c r="X5" s="390">
        <v>0.0</v>
      </c>
      <c r="Y5" s="388">
        <v>0.0</v>
      </c>
      <c r="Z5" s="388">
        <v>0.0</v>
      </c>
      <c r="AA5" s="388">
        <v>0.0</v>
      </c>
      <c r="AB5" s="390">
        <v>0.0</v>
      </c>
      <c r="AC5" s="381" t="str">
        <f t="shared" si="2"/>
        <v>#REF!</v>
      </c>
      <c r="AD5" s="368">
        <f t="shared" si="3"/>
        <v>0</v>
      </c>
      <c r="AE5" s="368" t="str">
        <f t="shared" si="4"/>
        <v>#REF!</v>
      </c>
      <c r="AF5" s="382" t="str">
        <f t="shared" si="5"/>
        <v>#REF!</v>
      </c>
      <c r="AK5" s="385" t="str">
        <f t="shared" si="7"/>
        <v>#REF!</v>
      </c>
      <c r="AL5" s="385" t="str">
        <f t="shared" si="8"/>
        <v>#REF!</v>
      </c>
      <c r="AM5" s="385" t="str">
        <f t="shared" si="9"/>
        <v>#REF!</v>
      </c>
      <c r="AN5" s="385" t="str">
        <f t="shared" si="10"/>
        <v>#REF!</v>
      </c>
      <c r="AO5" s="385" t="str">
        <f t="shared" si="11"/>
        <v>#REF!</v>
      </c>
      <c r="AP5" s="385"/>
      <c r="AQ5" s="385"/>
      <c r="AR5" s="385"/>
    </row>
    <row r="6">
      <c r="A6" s="310">
        <f t="shared" si="12"/>
        <v>5</v>
      </c>
      <c r="B6" s="368">
        <v>35.0</v>
      </c>
      <c r="C6" s="310">
        <f t="shared" si="13"/>
        <v>107</v>
      </c>
      <c r="D6" s="386">
        <v>10.0</v>
      </c>
      <c r="E6" s="395">
        <v>0.0</v>
      </c>
      <c r="F6" s="396">
        <v>0.0</v>
      </c>
      <c r="G6" s="396">
        <v>0.0</v>
      </c>
      <c r="H6" s="395">
        <v>0.0</v>
      </c>
      <c r="I6" s="396">
        <v>0.0</v>
      </c>
      <c r="J6" s="397">
        <v>0.0</v>
      </c>
      <c r="K6" s="401">
        <v>0.0</v>
      </c>
      <c r="L6" s="395">
        <v>0.0</v>
      </c>
      <c r="M6" s="396">
        <v>0.0</v>
      </c>
      <c r="N6" s="397">
        <v>0.0</v>
      </c>
      <c r="O6" s="396">
        <v>0.0</v>
      </c>
      <c r="P6" s="376" t="str">
        <f t="shared" si="1"/>
        <v>#REF!</v>
      </c>
      <c r="Q6" s="391">
        <v>25.0</v>
      </c>
      <c r="R6" s="395">
        <v>0.0</v>
      </c>
      <c r="S6" s="396">
        <v>0.0</v>
      </c>
      <c r="T6" s="397">
        <v>0.0</v>
      </c>
      <c r="U6" s="396">
        <v>0.0</v>
      </c>
      <c r="V6" s="396">
        <v>0.0</v>
      </c>
      <c r="W6" s="396">
        <v>0.0</v>
      </c>
      <c r="X6" s="398">
        <v>30.0</v>
      </c>
      <c r="Y6" s="396">
        <v>0.0</v>
      </c>
      <c r="Z6" s="396">
        <v>0.0</v>
      </c>
      <c r="AA6" s="396">
        <v>0.0</v>
      </c>
      <c r="AB6" s="401">
        <v>0.0</v>
      </c>
      <c r="AC6" s="381" t="str">
        <f t="shared" si="2"/>
        <v>#REF!</v>
      </c>
      <c r="AD6" s="368">
        <f t="shared" si="3"/>
        <v>0</v>
      </c>
      <c r="AE6" s="368">
        <f t="shared" si="4"/>
        <v>0</v>
      </c>
      <c r="AF6" s="382" t="str">
        <f t="shared" si="5"/>
        <v>#REF!</v>
      </c>
      <c r="AK6" s="385" t="str">
        <f t="shared" si="7"/>
        <v>#REF!</v>
      </c>
      <c r="AL6" s="385" t="str">
        <f t="shared" si="8"/>
        <v>#REF!</v>
      </c>
      <c r="AM6" s="385" t="str">
        <f t="shared" si="9"/>
        <v>#REF!</v>
      </c>
      <c r="AN6" s="385" t="str">
        <f t="shared" si="10"/>
        <v>#REF!</v>
      </c>
      <c r="AO6" s="385" t="str">
        <f t="shared" si="11"/>
        <v>#REF!</v>
      </c>
      <c r="AP6" s="385"/>
      <c r="AQ6" s="385"/>
      <c r="AR6" s="385"/>
    </row>
    <row r="7">
      <c r="A7" s="310">
        <f t="shared" si="12"/>
        <v>6</v>
      </c>
      <c r="B7" s="368">
        <v>70.0</v>
      </c>
      <c r="C7" s="310">
        <f t="shared" si="13"/>
        <v>177</v>
      </c>
      <c r="D7" s="404">
        <v>0.0</v>
      </c>
      <c r="E7" s="375">
        <v>1.0</v>
      </c>
      <c r="F7" s="388">
        <v>0.0</v>
      </c>
      <c r="G7" s="388">
        <v>0.0</v>
      </c>
      <c r="H7" s="387">
        <v>0.0</v>
      </c>
      <c r="I7" s="388">
        <v>0.0</v>
      </c>
      <c r="J7" s="389">
        <v>0.0</v>
      </c>
      <c r="K7" s="390">
        <v>0.0</v>
      </c>
      <c r="L7" s="387">
        <v>0.0</v>
      </c>
      <c r="M7" s="388">
        <v>0.0</v>
      </c>
      <c r="N7" s="407">
        <v>0.0</v>
      </c>
      <c r="O7" s="388">
        <v>0.0</v>
      </c>
      <c r="P7" s="376" t="str">
        <f t="shared" si="1"/>
        <v>#REF!</v>
      </c>
      <c r="Q7" s="406">
        <v>0.0</v>
      </c>
      <c r="R7" s="387">
        <v>0.0</v>
      </c>
      <c r="S7" s="388">
        <v>0.0</v>
      </c>
      <c r="T7" s="408">
        <v>1.0</v>
      </c>
      <c r="U7" s="388">
        <v>0.0</v>
      </c>
      <c r="V7" s="388">
        <v>0.0</v>
      </c>
      <c r="W7" s="388">
        <v>0.0</v>
      </c>
      <c r="X7" s="390">
        <v>0.0</v>
      </c>
      <c r="Y7" s="388">
        <v>0.0</v>
      </c>
      <c r="Z7" s="388">
        <v>0.0</v>
      </c>
      <c r="AA7" s="388">
        <v>0.0</v>
      </c>
      <c r="AB7" s="390">
        <v>0.0</v>
      </c>
      <c r="AC7" s="381" t="str">
        <f t="shared" si="2"/>
        <v>#REF!</v>
      </c>
      <c r="AD7" s="368">
        <f t="shared" si="3"/>
        <v>0</v>
      </c>
      <c r="AE7" s="368">
        <f t="shared" si="4"/>
        <v>0</v>
      </c>
      <c r="AF7" s="382" t="str">
        <f t="shared" si="5"/>
        <v>#REF!</v>
      </c>
      <c r="AG7" s="322" t="s">
        <v>316</v>
      </c>
      <c r="AH7" s="409">
        <v>0.0199</v>
      </c>
      <c r="AK7" s="385" t="str">
        <f t="shared" si="7"/>
        <v>#REF!</v>
      </c>
      <c r="AL7" s="385" t="str">
        <f t="shared" si="8"/>
        <v>#REF!</v>
      </c>
      <c r="AM7" s="385" t="str">
        <f t="shared" si="9"/>
        <v>#REF!</v>
      </c>
      <c r="AN7" s="385" t="str">
        <f t="shared" si="10"/>
        <v>#REF!</v>
      </c>
      <c r="AO7" s="385" t="str">
        <f t="shared" si="11"/>
        <v>#REF!</v>
      </c>
      <c r="AP7" s="385"/>
      <c r="AQ7" s="385"/>
      <c r="AR7" s="385"/>
    </row>
    <row r="8">
      <c r="A8" s="310">
        <f t="shared" si="12"/>
        <v>7</v>
      </c>
      <c r="B8" s="368">
        <v>70.0</v>
      </c>
      <c r="C8" s="310">
        <f t="shared" si="13"/>
        <v>247</v>
      </c>
      <c r="D8" s="394">
        <v>0.0</v>
      </c>
      <c r="E8" s="395">
        <v>0.0</v>
      </c>
      <c r="F8" s="405">
        <v>1.0</v>
      </c>
      <c r="G8" s="396">
        <v>0.0</v>
      </c>
      <c r="H8" s="395">
        <v>0.0</v>
      </c>
      <c r="I8" s="396">
        <v>0.0</v>
      </c>
      <c r="J8" s="397">
        <v>0.0</v>
      </c>
      <c r="K8" s="401">
        <v>0.0</v>
      </c>
      <c r="L8" s="395">
        <v>0.0</v>
      </c>
      <c r="M8" s="396">
        <v>0.0</v>
      </c>
      <c r="N8" s="397">
        <v>0.0</v>
      </c>
      <c r="O8" s="396">
        <v>0.0</v>
      </c>
      <c r="P8" s="376" t="str">
        <f t="shared" si="1"/>
        <v>#REF!</v>
      </c>
      <c r="Q8" s="399">
        <v>0.0</v>
      </c>
      <c r="R8" s="395">
        <v>0.0</v>
      </c>
      <c r="S8" s="396">
        <v>0.0</v>
      </c>
      <c r="T8" s="397">
        <v>0.0</v>
      </c>
      <c r="U8" s="396">
        <v>0.0</v>
      </c>
      <c r="V8" s="396">
        <v>0.0</v>
      </c>
      <c r="W8" s="396">
        <v>0.0</v>
      </c>
      <c r="X8" s="410">
        <v>0.0</v>
      </c>
      <c r="Y8" s="396">
        <v>0.0</v>
      </c>
      <c r="Z8" s="396">
        <v>0.0</v>
      </c>
      <c r="AA8" s="375">
        <v>10.0</v>
      </c>
      <c r="AB8" s="401">
        <v>0.0</v>
      </c>
      <c r="AC8" s="381" t="str">
        <f t="shared" si="2"/>
        <v>#REF!</v>
      </c>
      <c r="AD8" s="368" t="str">
        <f t="shared" si="3"/>
        <v>#REF!</v>
      </c>
      <c r="AE8" s="368">
        <f t="shared" si="4"/>
        <v>0</v>
      </c>
      <c r="AF8" s="382" t="str">
        <f t="shared" si="5"/>
        <v>#REF!</v>
      </c>
      <c r="AK8" s="385" t="str">
        <f t="shared" si="7"/>
        <v>#REF!</v>
      </c>
      <c r="AL8" s="385" t="str">
        <f t="shared" si="8"/>
        <v>#REF!</v>
      </c>
      <c r="AM8" s="385" t="str">
        <f t="shared" si="9"/>
        <v>#REF!</v>
      </c>
      <c r="AN8" s="385" t="str">
        <f t="shared" si="10"/>
        <v>#REF!</v>
      </c>
      <c r="AO8" s="385" t="str">
        <f t="shared" si="11"/>
        <v>#REF!</v>
      </c>
      <c r="AP8" s="385"/>
      <c r="AQ8" s="385"/>
      <c r="AR8" s="385"/>
    </row>
    <row r="9">
      <c r="A9" s="310">
        <f t="shared" si="12"/>
        <v>8</v>
      </c>
      <c r="B9" s="368">
        <v>70.0</v>
      </c>
      <c r="C9" s="310">
        <f t="shared" si="13"/>
        <v>317</v>
      </c>
      <c r="D9" s="404">
        <v>0.0</v>
      </c>
      <c r="E9" s="387">
        <v>0.0</v>
      </c>
      <c r="F9" s="388">
        <v>0.0</v>
      </c>
      <c r="G9" s="388">
        <v>0.0</v>
      </c>
      <c r="H9" s="387">
        <v>0.0</v>
      </c>
      <c r="I9" s="388">
        <v>0.0</v>
      </c>
      <c r="J9" s="389">
        <v>0.0</v>
      </c>
      <c r="K9" s="398">
        <v>15.0</v>
      </c>
      <c r="L9" s="387">
        <v>0.0</v>
      </c>
      <c r="M9" s="388">
        <v>0.0</v>
      </c>
      <c r="N9" s="389">
        <v>0.0</v>
      </c>
      <c r="O9" s="388">
        <v>0.0</v>
      </c>
      <c r="P9" s="376" t="str">
        <f t="shared" si="1"/>
        <v>#REF!</v>
      </c>
      <c r="Q9" s="406">
        <v>0.0</v>
      </c>
      <c r="R9" s="387">
        <v>0.0</v>
      </c>
      <c r="S9" s="388">
        <v>0.0</v>
      </c>
      <c r="T9" s="389">
        <v>0.0</v>
      </c>
      <c r="U9" s="405">
        <v>1.0</v>
      </c>
      <c r="V9" s="388">
        <v>0.0</v>
      </c>
      <c r="W9" s="388">
        <v>0.0</v>
      </c>
      <c r="X9" s="390">
        <v>0.0</v>
      </c>
      <c r="Y9" s="388">
        <v>0.0</v>
      </c>
      <c r="Z9" s="388">
        <v>0.0</v>
      </c>
      <c r="AA9" s="388">
        <v>0.0</v>
      </c>
      <c r="AB9" s="390">
        <v>0.0</v>
      </c>
      <c r="AC9" s="381" t="str">
        <f t="shared" si="2"/>
        <v>#REF!</v>
      </c>
      <c r="AD9" s="368">
        <f t="shared" si="3"/>
        <v>0</v>
      </c>
      <c r="AE9" s="368">
        <f t="shared" si="4"/>
        <v>0</v>
      </c>
      <c r="AF9" s="382" t="str">
        <f t="shared" si="5"/>
        <v>#REF!</v>
      </c>
      <c r="AG9" s="411" t="s">
        <v>317</v>
      </c>
      <c r="AH9" s="412" t="s">
        <v>318</v>
      </c>
      <c r="AI9" s="412" t="s">
        <v>319</v>
      </c>
      <c r="AJ9" s="413" t="s">
        <v>320</v>
      </c>
      <c r="AK9" s="385" t="str">
        <f t="shared" si="7"/>
        <v>#REF!</v>
      </c>
      <c r="AL9" s="385" t="str">
        <f t="shared" si="8"/>
        <v>#REF!</v>
      </c>
      <c r="AM9" s="385" t="str">
        <f t="shared" si="9"/>
        <v>#REF!</v>
      </c>
      <c r="AN9" s="385" t="str">
        <f t="shared" si="10"/>
        <v>#REF!</v>
      </c>
      <c r="AO9" s="385" t="str">
        <f t="shared" si="11"/>
        <v>#REF!</v>
      </c>
      <c r="AP9" s="385"/>
      <c r="AQ9" s="385"/>
      <c r="AR9" s="385"/>
    </row>
    <row r="10">
      <c r="A10" s="310">
        <f t="shared" si="12"/>
        <v>9</v>
      </c>
      <c r="B10" s="368">
        <v>70.0</v>
      </c>
      <c r="C10" s="310">
        <f t="shared" si="13"/>
        <v>387</v>
      </c>
      <c r="D10" s="394">
        <v>0.0</v>
      </c>
      <c r="E10" s="395">
        <v>0.0</v>
      </c>
      <c r="F10" s="396">
        <v>0.0</v>
      </c>
      <c r="G10" s="396">
        <v>0.0</v>
      </c>
      <c r="H10" s="395">
        <v>0.0</v>
      </c>
      <c r="I10" s="396">
        <v>0.0</v>
      </c>
      <c r="J10" s="397">
        <v>0.0</v>
      </c>
      <c r="K10" s="401">
        <v>0.0</v>
      </c>
      <c r="L10" s="400">
        <v>10.0</v>
      </c>
      <c r="M10" s="396">
        <v>0.0</v>
      </c>
      <c r="N10" s="397">
        <v>0.0</v>
      </c>
      <c r="O10" s="396">
        <v>0.0</v>
      </c>
      <c r="P10" s="376" t="str">
        <f t="shared" si="1"/>
        <v>#REF!</v>
      </c>
      <c r="Q10" s="399">
        <v>0.0</v>
      </c>
      <c r="R10" s="395">
        <v>0.0</v>
      </c>
      <c r="S10" s="396">
        <v>0.0</v>
      </c>
      <c r="T10" s="397">
        <v>0.0</v>
      </c>
      <c r="U10" s="396">
        <v>0.0</v>
      </c>
      <c r="V10" s="405">
        <v>1.0</v>
      </c>
      <c r="W10" s="396">
        <v>0.0</v>
      </c>
      <c r="X10" s="401">
        <v>0.0</v>
      </c>
      <c r="Y10" s="396">
        <v>0.0</v>
      </c>
      <c r="Z10" s="396">
        <v>0.0</v>
      </c>
      <c r="AA10" s="396">
        <v>0.0</v>
      </c>
      <c r="AB10" s="401">
        <v>0.0</v>
      </c>
      <c r="AC10" s="381" t="str">
        <f t="shared" si="2"/>
        <v>#REF!</v>
      </c>
      <c r="AD10" s="368">
        <f t="shared" si="3"/>
        <v>0</v>
      </c>
      <c r="AE10" s="368" t="str">
        <f t="shared" si="4"/>
        <v>#REF!</v>
      </c>
      <c r="AF10" s="382" t="str">
        <f t="shared" si="5"/>
        <v>#REF!</v>
      </c>
      <c r="AG10" s="414" t="s">
        <v>90</v>
      </c>
      <c r="AH10" s="415">
        <f>Q33*AH7</f>
        <v>5.97</v>
      </c>
      <c r="AI10" s="416">
        <f>D33*AH7</f>
        <v>2.587</v>
      </c>
      <c r="AJ10" s="417">
        <f t="shared" ref="AJ10:AJ15" si="15">AH10+AI10</f>
        <v>8.557</v>
      </c>
      <c r="AK10" s="385" t="str">
        <f t="shared" si="7"/>
        <v>#REF!</v>
      </c>
      <c r="AL10" s="385" t="str">
        <f t="shared" si="8"/>
        <v>#REF!</v>
      </c>
      <c r="AM10" s="385" t="str">
        <f t="shared" si="9"/>
        <v>#REF!</v>
      </c>
      <c r="AN10" s="385" t="str">
        <f t="shared" si="10"/>
        <v>#REF!</v>
      </c>
      <c r="AO10" s="385" t="str">
        <f t="shared" si="11"/>
        <v>#REF!</v>
      </c>
      <c r="AP10" s="385"/>
      <c r="AQ10" s="385"/>
      <c r="AR10" s="385"/>
    </row>
    <row r="11">
      <c r="A11" s="310">
        <f t="shared" si="12"/>
        <v>10</v>
      </c>
      <c r="B11" s="368">
        <v>100.0</v>
      </c>
      <c r="C11" s="310">
        <f t="shared" si="13"/>
        <v>487</v>
      </c>
      <c r="D11" s="418">
        <v>10.0</v>
      </c>
      <c r="E11" s="419">
        <v>0.0</v>
      </c>
      <c r="F11" s="420">
        <v>0.0</v>
      </c>
      <c r="G11" s="420">
        <v>0.0</v>
      </c>
      <c r="H11" s="419">
        <v>0.0</v>
      </c>
      <c r="I11" s="420">
        <v>0.0</v>
      </c>
      <c r="J11" s="421">
        <v>0.0</v>
      </c>
      <c r="K11" s="422">
        <v>0.0</v>
      </c>
      <c r="L11" s="419">
        <v>0.0</v>
      </c>
      <c r="M11" s="420">
        <v>0.0</v>
      </c>
      <c r="N11" s="421">
        <v>0.0</v>
      </c>
      <c r="O11" s="420">
        <v>0.0</v>
      </c>
      <c r="P11" s="376" t="str">
        <f t="shared" si="1"/>
        <v>#REF!</v>
      </c>
      <c r="Q11" s="423">
        <v>25.0</v>
      </c>
      <c r="R11" s="419">
        <v>0.0</v>
      </c>
      <c r="S11" s="420">
        <v>0.0</v>
      </c>
      <c r="T11" s="421">
        <v>0.0</v>
      </c>
      <c r="U11" s="420">
        <v>0.0</v>
      </c>
      <c r="V11" s="420">
        <v>0.0</v>
      </c>
      <c r="W11" s="420">
        <v>0.0</v>
      </c>
      <c r="X11" s="424">
        <v>30.0</v>
      </c>
      <c r="Y11" s="420">
        <v>0.0</v>
      </c>
      <c r="Z11" s="420">
        <v>0.0</v>
      </c>
      <c r="AA11" s="420">
        <v>0.0</v>
      </c>
      <c r="AB11" s="422">
        <v>0.0</v>
      </c>
      <c r="AC11" s="381" t="str">
        <f t="shared" si="2"/>
        <v>#REF!</v>
      </c>
      <c r="AD11" s="368">
        <f t="shared" si="3"/>
        <v>0</v>
      </c>
      <c r="AE11" s="368">
        <f t="shared" si="4"/>
        <v>0</v>
      </c>
      <c r="AF11" s="382" t="str">
        <f t="shared" si="5"/>
        <v>#REF!</v>
      </c>
      <c r="AG11" s="414" t="s">
        <v>321</v>
      </c>
      <c r="AH11" s="425" t="str">
        <f>(R33+S33+T33)*AH7</f>
        <v>#REF!</v>
      </c>
      <c r="AI11" s="426" t="str">
        <f>(E33+F33+G33)*AH7</f>
        <v>#REF!</v>
      </c>
      <c r="AJ11" s="427" t="str">
        <f t="shared" si="15"/>
        <v>#REF!</v>
      </c>
      <c r="AK11" s="385" t="str">
        <f t="shared" si="7"/>
        <v>#REF!</v>
      </c>
      <c r="AL11" s="385" t="str">
        <f t="shared" si="8"/>
        <v>#REF!</v>
      </c>
      <c r="AM11" s="385" t="str">
        <f t="shared" si="9"/>
        <v>#REF!</v>
      </c>
      <c r="AN11" s="385" t="str">
        <f t="shared" si="10"/>
        <v>#REF!</v>
      </c>
      <c r="AO11" s="385" t="str">
        <f t="shared" si="11"/>
        <v>#REF!</v>
      </c>
      <c r="AP11" s="385"/>
      <c r="AQ11" s="385"/>
      <c r="AR11" s="385"/>
    </row>
    <row r="12">
      <c r="A12" s="310">
        <f t="shared" si="12"/>
        <v>11</v>
      </c>
      <c r="B12" s="368">
        <v>100.0</v>
      </c>
      <c r="C12" s="310">
        <f t="shared" si="13"/>
        <v>587</v>
      </c>
      <c r="D12" s="394">
        <v>0.0</v>
      </c>
      <c r="E12" s="395">
        <v>0.0</v>
      </c>
      <c r="F12" s="396">
        <v>0.0</v>
      </c>
      <c r="G12" s="396">
        <v>0.0</v>
      </c>
      <c r="H12" s="395">
        <v>0.0</v>
      </c>
      <c r="I12" s="396">
        <v>0.0</v>
      </c>
      <c r="J12" s="397">
        <v>0.0</v>
      </c>
      <c r="K12" s="398">
        <v>15.0</v>
      </c>
      <c r="L12" s="395">
        <v>0.0</v>
      </c>
      <c r="M12" s="396">
        <v>0.0</v>
      </c>
      <c r="N12" s="397">
        <v>0.0</v>
      </c>
      <c r="O12" s="396">
        <v>0.0</v>
      </c>
      <c r="P12" s="376" t="str">
        <f t="shared" si="1"/>
        <v>#REF!</v>
      </c>
      <c r="Q12" s="399">
        <v>0.0</v>
      </c>
      <c r="R12" s="395">
        <v>0.0</v>
      </c>
      <c r="S12" s="396">
        <v>0.0</v>
      </c>
      <c r="T12" s="397">
        <v>0.0</v>
      </c>
      <c r="U12" s="396">
        <v>0.0</v>
      </c>
      <c r="V12" s="396">
        <v>0.0</v>
      </c>
      <c r="W12" s="405">
        <v>1.0</v>
      </c>
      <c r="X12" s="401">
        <v>0.0</v>
      </c>
      <c r="Y12" s="396">
        <v>0.0</v>
      </c>
      <c r="Z12" s="396">
        <v>0.0</v>
      </c>
      <c r="AA12" s="396">
        <v>0.0</v>
      </c>
      <c r="AB12" s="401">
        <v>0.0</v>
      </c>
      <c r="AC12" s="381" t="str">
        <f t="shared" si="2"/>
        <v>#REF!</v>
      </c>
      <c r="AD12" s="368">
        <f t="shared" si="3"/>
        <v>0</v>
      </c>
      <c r="AE12" s="368">
        <f t="shared" si="4"/>
        <v>0</v>
      </c>
      <c r="AF12" s="382" t="str">
        <f t="shared" si="5"/>
        <v>#REF!</v>
      </c>
      <c r="AG12" s="414" t="s">
        <v>322</v>
      </c>
      <c r="AH12" s="425" t="str">
        <f>(U33+V33+W33)*AH7</f>
        <v>#REF!</v>
      </c>
      <c r="AI12" s="426" t="str">
        <f>(H33+I33+J33)*AH7</f>
        <v>#REF!</v>
      </c>
      <c r="AJ12" s="427" t="str">
        <f t="shared" si="15"/>
        <v>#REF!</v>
      </c>
      <c r="AK12" s="385" t="str">
        <f t="shared" si="7"/>
        <v>#REF!</v>
      </c>
      <c r="AL12" s="385" t="str">
        <f t="shared" si="8"/>
        <v>#REF!</v>
      </c>
      <c r="AM12" s="385" t="str">
        <f t="shared" si="9"/>
        <v>#REF!</v>
      </c>
      <c r="AN12" s="385" t="str">
        <f t="shared" si="10"/>
        <v>#REF!</v>
      </c>
      <c r="AO12" s="385" t="str">
        <f t="shared" si="11"/>
        <v>#REF!</v>
      </c>
      <c r="AP12" s="385"/>
      <c r="AQ12" s="385"/>
      <c r="AR12" s="385"/>
    </row>
    <row r="13">
      <c r="A13" s="310">
        <f t="shared" si="12"/>
        <v>12</v>
      </c>
      <c r="B13" s="368">
        <v>100.0</v>
      </c>
      <c r="C13" s="310">
        <f t="shared" si="13"/>
        <v>687</v>
      </c>
      <c r="D13" s="404">
        <v>0.0</v>
      </c>
      <c r="E13" s="400">
        <v>1.0</v>
      </c>
      <c r="F13" s="388">
        <v>0.0</v>
      </c>
      <c r="G13" s="388">
        <v>0.0</v>
      </c>
      <c r="H13" s="387">
        <v>0.0</v>
      </c>
      <c r="I13" s="388">
        <v>0.0</v>
      </c>
      <c r="J13" s="389">
        <v>0.0</v>
      </c>
      <c r="K13" s="390">
        <v>0.0</v>
      </c>
      <c r="L13" s="387">
        <v>0.0</v>
      </c>
      <c r="M13" s="388">
        <v>0.0</v>
      </c>
      <c r="N13" s="389">
        <v>0.0</v>
      </c>
      <c r="O13" s="388">
        <v>0.0</v>
      </c>
      <c r="P13" s="376" t="str">
        <f t="shared" si="1"/>
        <v>#REF!</v>
      </c>
      <c r="Q13" s="406">
        <v>0.0</v>
      </c>
      <c r="R13" s="387">
        <v>0.0</v>
      </c>
      <c r="S13" s="405">
        <v>1.0</v>
      </c>
      <c r="T13" s="389">
        <v>0.0</v>
      </c>
      <c r="U13" s="388">
        <v>0.0</v>
      </c>
      <c r="V13" s="388">
        <v>0.0</v>
      </c>
      <c r="W13" s="388">
        <v>0.0</v>
      </c>
      <c r="X13" s="390">
        <v>0.0</v>
      </c>
      <c r="Y13" s="388">
        <v>0.0</v>
      </c>
      <c r="Z13" s="388">
        <v>0.0</v>
      </c>
      <c r="AA13" s="388">
        <v>0.0</v>
      </c>
      <c r="AB13" s="390">
        <v>0.0</v>
      </c>
      <c r="AC13" s="381" t="str">
        <f t="shared" si="2"/>
        <v>#REF!</v>
      </c>
      <c r="AD13" s="368">
        <f t="shared" si="3"/>
        <v>0</v>
      </c>
      <c r="AE13" s="368">
        <f t="shared" si="4"/>
        <v>0</v>
      </c>
      <c r="AF13" s="382" t="str">
        <f t="shared" si="5"/>
        <v>#REF!</v>
      </c>
      <c r="AG13" s="414" t="s">
        <v>323</v>
      </c>
      <c r="AH13" s="425" t="str">
        <f>X33*AH7</f>
        <v>#REF!</v>
      </c>
      <c r="AI13" s="426" t="str">
        <f>K33*AH7</f>
        <v>#REF!</v>
      </c>
      <c r="AJ13" s="427" t="str">
        <f t="shared" si="15"/>
        <v>#REF!</v>
      </c>
      <c r="AK13" s="385" t="str">
        <f t="shared" si="7"/>
        <v>#REF!</v>
      </c>
      <c r="AL13" s="385" t="str">
        <f t="shared" si="8"/>
        <v>#REF!</v>
      </c>
      <c r="AM13" s="385" t="str">
        <f t="shared" si="9"/>
        <v>#REF!</v>
      </c>
      <c r="AN13" s="385" t="str">
        <f t="shared" si="10"/>
        <v>#REF!</v>
      </c>
      <c r="AO13" s="385" t="str">
        <f t="shared" si="11"/>
        <v>#REF!</v>
      </c>
      <c r="AP13" s="385"/>
      <c r="AQ13" s="385"/>
      <c r="AR13" s="385"/>
    </row>
    <row r="14">
      <c r="A14" s="310">
        <f t="shared" si="12"/>
        <v>13</v>
      </c>
      <c r="B14" s="368">
        <v>100.0</v>
      </c>
      <c r="C14" s="310">
        <f t="shared" si="13"/>
        <v>787</v>
      </c>
      <c r="D14" s="394">
        <v>0.0</v>
      </c>
      <c r="E14" s="395">
        <v>0.0</v>
      </c>
      <c r="F14" s="396">
        <v>0.0</v>
      </c>
      <c r="G14" s="396">
        <v>0.0</v>
      </c>
      <c r="H14" s="395">
        <v>0.0</v>
      </c>
      <c r="I14" s="428">
        <v>1.0</v>
      </c>
      <c r="J14" s="397">
        <v>0.0</v>
      </c>
      <c r="K14" s="401">
        <v>0.0</v>
      </c>
      <c r="L14" s="379">
        <v>0.0</v>
      </c>
      <c r="M14" s="396">
        <v>0.0</v>
      </c>
      <c r="N14" s="397">
        <v>0.0</v>
      </c>
      <c r="O14" s="396">
        <v>0.0</v>
      </c>
      <c r="P14" s="376" t="str">
        <f t="shared" si="1"/>
        <v>#REF!</v>
      </c>
      <c r="Q14" s="399">
        <v>0.0</v>
      </c>
      <c r="R14" s="395">
        <v>0.0</v>
      </c>
      <c r="S14" s="396">
        <v>0.0</v>
      </c>
      <c r="T14" s="397">
        <v>0.0</v>
      </c>
      <c r="U14" s="396">
        <v>0.0</v>
      </c>
      <c r="V14" s="396">
        <v>0.0</v>
      </c>
      <c r="W14" s="396">
        <v>0.0</v>
      </c>
      <c r="X14" s="401">
        <v>0.0</v>
      </c>
      <c r="Y14" s="396">
        <v>0.0</v>
      </c>
      <c r="Z14" s="375">
        <v>15.0</v>
      </c>
      <c r="AA14" s="379">
        <v>0.0</v>
      </c>
      <c r="AB14" s="401">
        <v>0.0</v>
      </c>
      <c r="AC14" s="381" t="str">
        <f t="shared" si="2"/>
        <v>#REF!</v>
      </c>
      <c r="AD14" s="368" t="str">
        <f t="shared" si="3"/>
        <v>#REF!</v>
      </c>
      <c r="AE14" s="368">
        <f t="shared" si="4"/>
        <v>0</v>
      </c>
      <c r="AF14" s="382" t="str">
        <f t="shared" si="5"/>
        <v>#REF!</v>
      </c>
      <c r="AG14" s="414" t="s">
        <v>324</v>
      </c>
      <c r="AH14" s="425" t="str">
        <f>AD32*AH7</f>
        <v>#REF!</v>
      </c>
      <c r="AI14" s="426" t="str">
        <f>AE32*AH7</f>
        <v>#REF!</v>
      </c>
      <c r="AJ14" s="427" t="str">
        <f t="shared" si="15"/>
        <v>#REF!</v>
      </c>
      <c r="AK14" s="385" t="str">
        <f t="shared" si="7"/>
        <v>#REF!</v>
      </c>
      <c r="AL14" s="385" t="str">
        <f t="shared" si="8"/>
        <v>#REF!</v>
      </c>
      <c r="AM14" s="385" t="str">
        <f t="shared" si="9"/>
        <v>#REF!</v>
      </c>
      <c r="AN14" s="385" t="str">
        <f t="shared" si="10"/>
        <v>#REF!</v>
      </c>
      <c r="AO14" s="385" t="str">
        <f t="shared" si="11"/>
        <v>#REF!</v>
      </c>
      <c r="AP14" s="385"/>
      <c r="AQ14" s="385"/>
      <c r="AR14" s="385"/>
    </row>
    <row r="15">
      <c r="A15" s="310">
        <f t="shared" si="12"/>
        <v>14</v>
      </c>
      <c r="B15" s="368">
        <v>100.0</v>
      </c>
      <c r="C15" s="310">
        <f t="shared" si="13"/>
        <v>887</v>
      </c>
      <c r="D15" s="404">
        <v>0.0</v>
      </c>
      <c r="E15" s="400">
        <v>1.0</v>
      </c>
      <c r="F15" s="388">
        <v>0.0</v>
      </c>
      <c r="G15" s="388">
        <v>0.0</v>
      </c>
      <c r="H15" s="387">
        <v>0.0</v>
      </c>
      <c r="I15" s="388">
        <v>0.0</v>
      </c>
      <c r="J15" s="389">
        <v>0.0</v>
      </c>
      <c r="K15" s="390">
        <v>0.0</v>
      </c>
      <c r="L15" s="387">
        <v>0.0</v>
      </c>
      <c r="M15" s="388">
        <v>0.0</v>
      </c>
      <c r="N15" s="389">
        <v>0.0</v>
      </c>
      <c r="O15" s="388">
        <v>0.0</v>
      </c>
      <c r="P15" s="376" t="str">
        <f t="shared" si="1"/>
        <v>#REF!</v>
      </c>
      <c r="Q15" s="406">
        <v>0.0</v>
      </c>
      <c r="R15" s="387">
        <v>0.0</v>
      </c>
      <c r="S15" s="388">
        <v>0.0</v>
      </c>
      <c r="T15" s="408">
        <v>1.0</v>
      </c>
      <c r="U15" s="388">
        <v>0.0</v>
      </c>
      <c r="V15" s="388">
        <v>0.0</v>
      </c>
      <c r="W15" s="388">
        <v>0.0</v>
      </c>
      <c r="X15" s="390">
        <v>0.0</v>
      </c>
      <c r="Y15" s="388">
        <v>0.0</v>
      </c>
      <c r="Z15" s="388">
        <v>0.0</v>
      </c>
      <c r="AA15" s="388">
        <v>0.0</v>
      </c>
      <c r="AB15" s="390">
        <v>0.0</v>
      </c>
      <c r="AC15" s="381" t="str">
        <f t="shared" si="2"/>
        <v>#REF!</v>
      </c>
      <c r="AD15" s="368">
        <f t="shared" si="3"/>
        <v>0</v>
      </c>
      <c r="AE15" s="368">
        <f t="shared" si="4"/>
        <v>0</v>
      </c>
      <c r="AF15" s="382" t="str">
        <f t="shared" si="5"/>
        <v>#REF!</v>
      </c>
      <c r="AG15" s="429" t="s">
        <v>325</v>
      </c>
      <c r="AH15" s="430" t="str">
        <f t="shared" ref="AH15:AI15" si="16">SUM(AH10:AH14)</f>
        <v>#REF!</v>
      </c>
      <c r="AI15" s="431" t="str">
        <f t="shared" si="16"/>
        <v>#REF!</v>
      </c>
      <c r="AJ15" s="432" t="str">
        <f t="shared" si="15"/>
        <v>#REF!</v>
      </c>
      <c r="AK15" s="385" t="str">
        <f t="shared" si="7"/>
        <v>#REF!</v>
      </c>
      <c r="AL15" s="385" t="str">
        <f t="shared" si="8"/>
        <v>#REF!</v>
      </c>
      <c r="AM15" s="385" t="str">
        <f t="shared" si="9"/>
        <v>#REF!</v>
      </c>
      <c r="AN15" s="385" t="str">
        <f t="shared" si="10"/>
        <v>#REF!</v>
      </c>
      <c r="AO15" s="385" t="str">
        <f t="shared" si="11"/>
        <v>#REF!</v>
      </c>
      <c r="AP15" s="385"/>
      <c r="AQ15" s="385"/>
      <c r="AR15" s="385"/>
    </row>
    <row r="16">
      <c r="A16" s="310">
        <f t="shared" si="12"/>
        <v>15</v>
      </c>
      <c r="B16" s="368">
        <v>130.0</v>
      </c>
      <c r="C16" s="310">
        <f t="shared" si="13"/>
        <v>1017</v>
      </c>
      <c r="D16" s="386">
        <v>15.0</v>
      </c>
      <c r="E16" s="395">
        <v>0.0</v>
      </c>
      <c r="F16" s="396">
        <v>0.0</v>
      </c>
      <c r="G16" s="396">
        <v>0.0</v>
      </c>
      <c r="H16" s="395">
        <v>0.0</v>
      </c>
      <c r="I16" s="396">
        <v>0.0</v>
      </c>
      <c r="J16" s="397">
        <v>0.0</v>
      </c>
      <c r="K16" s="401">
        <v>0.0</v>
      </c>
      <c r="L16" s="395">
        <v>0.0</v>
      </c>
      <c r="M16" s="396">
        <v>0.0</v>
      </c>
      <c r="N16" s="397">
        <v>0.0</v>
      </c>
      <c r="O16" s="396">
        <v>0.0</v>
      </c>
      <c r="P16" s="376" t="str">
        <f t="shared" si="1"/>
        <v>#REF!</v>
      </c>
      <c r="Q16" s="391">
        <v>30.0</v>
      </c>
      <c r="R16" s="400">
        <v>1.0</v>
      </c>
      <c r="S16" s="396">
        <v>0.0</v>
      </c>
      <c r="T16" s="397">
        <v>0.0</v>
      </c>
      <c r="U16" s="396">
        <v>0.0</v>
      </c>
      <c r="V16" s="396">
        <v>0.0</v>
      </c>
      <c r="W16" s="396">
        <v>0.0</v>
      </c>
      <c r="X16" s="398">
        <v>60.0</v>
      </c>
      <c r="Y16" s="396">
        <v>0.0</v>
      </c>
      <c r="Z16" s="396">
        <v>0.0</v>
      </c>
      <c r="AA16" s="396">
        <v>0.0</v>
      </c>
      <c r="AB16" s="401">
        <v>0.0</v>
      </c>
      <c r="AC16" s="381" t="str">
        <f t="shared" si="2"/>
        <v>#REF!</v>
      </c>
      <c r="AD16" s="368">
        <f t="shared" si="3"/>
        <v>0</v>
      </c>
      <c r="AE16" s="368">
        <f t="shared" si="4"/>
        <v>0</v>
      </c>
      <c r="AF16" s="382" t="str">
        <f t="shared" si="5"/>
        <v>#REF!</v>
      </c>
      <c r="AG16" s="433" t="s">
        <v>326</v>
      </c>
      <c r="AH16" s="434" t="str">
        <f t="shared" ref="AH16:AJ16" si="17">AH10+AH11+AH12+AH14</f>
        <v>#REF!</v>
      </c>
      <c r="AI16" s="434" t="str">
        <f t="shared" si="17"/>
        <v>#REF!</v>
      </c>
      <c r="AJ16" s="435" t="str">
        <f t="shared" si="17"/>
        <v>#REF!</v>
      </c>
      <c r="AK16" s="385" t="str">
        <f t="shared" si="7"/>
        <v>#REF!</v>
      </c>
      <c r="AL16" s="385" t="str">
        <f t="shared" si="8"/>
        <v>#REF!</v>
      </c>
      <c r="AM16" s="385" t="str">
        <f t="shared" si="9"/>
        <v>#REF!</v>
      </c>
      <c r="AN16" s="385" t="str">
        <f t="shared" si="10"/>
        <v>#REF!</v>
      </c>
      <c r="AO16" s="385" t="str">
        <f t="shared" si="11"/>
        <v>#REF!</v>
      </c>
      <c r="AP16" s="385"/>
      <c r="AQ16" s="385"/>
      <c r="AR16" s="385"/>
    </row>
    <row r="17">
      <c r="A17" s="310">
        <f t="shared" si="12"/>
        <v>16</v>
      </c>
      <c r="B17" s="368">
        <v>130.0</v>
      </c>
      <c r="C17" s="310">
        <f t="shared" si="13"/>
        <v>1147</v>
      </c>
      <c r="D17" s="404">
        <v>0.0</v>
      </c>
      <c r="E17" s="387">
        <v>0.0</v>
      </c>
      <c r="F17" s="388">
        <v>0.0</v>
      </c>
      <c r="G17" s="388">
        <v>0.0</v>
      </c>
      <c r="H17" s="387">
        <v>0.0</v>
      </c>
      <c r="I17" s="388">
        <v>0.0</v>
      </c>
      <c r="J17" s="389">
        <v>0.0</v>
      </c>
      <c r="K17" s="398">
        <v>15.0</v>
      </c>
      <c r="L17" s="387">
        <v>0.0</v>
      </c>
      <c r="M17" s="388">
        <v>0.0</v>
      </c>
      <c r="N17" s="389">
        <v>0.0</v>
      </c>
      <c r="O17" s="388">
        <v>0.0</v>
      </c>
      <c r="P17" s="376" t="str">
        <f t="shared" si="1"/>
        <v>#REF!</v>
      </c>
      <c r="Q17" s="406">
        <v>0.0</v>
      </c>
      <c r="R17" s="387">
        <v>0.0</v>
      </c>
      <c r="S17" s="388">
        <v>0.0</v>
      </c>
      <c r="T17" s="389">
        <v>0.0</v>
      </c>
      <c r="U17" s="405">
        <v>1.0</v>
      </c>
      <c r="V17" s="388">
        <v>0.0</v>
      </c>
      <c r="W17" s="388">
        <v>0.0</v>
      </c>
      <c r="X17" s="390">
        <v>0.0</v>
      </c>
      <c r="Y17" s="375">
        <v>10.0</v>
      </c>
      <c r="Z17" s="388">
        <v>0.0</v>
      </c>
      <c r="AA17" s="407">
        <v>0.0</v>
      </c>
      <c r="AB17" s="390">
        <v>0.0</v>
      </c>
      <c r="AC17" s="381" t="str">
        <f t="shared" si="2"/>
        <v>#REF!</v>
      </c>
      <c r="AD17" s="368" t="str">
        <f t="shared" si="3"/>
        <v>#REF!</v>
      </c>
      <c r="AE17" s="368">
        <f t="shared" si="4"/>
        <v>0</v>
      </c>
      <c r="AF17" s="382" t="str">
        <f t="shared" si="5"/>
        <v>#REF!</v>
      </c>
      <c r="AK17" s="385" t="str">
        <f t="shared" si="7"/>
        <v>#REF!</v>
      </c>
      <c r="AL17" s="385" t="str">
        <f t="shared" si="8"/>
        <v>#REF!</v>
      </c>
      <c r="AM17" s="385" t="str">
        <f t="shared" si="9"/>
        <v>#REF!</v>
      </c>
      <c r="AN17" s="385" t="str">
        <f t="shared" si="10"/>
        <v>#REF!</v>
      </c>
      <c r="AO17" s="385" t="str">
        <f t="shared" si="11"/>
        <v>#REF!</v>
      </c>
      <c r="AP17" s="385"/>
      <c r="AQ17" s="385"/>
      <c r="AR17" s="385"/>
    </row>
    <row r="18">
      <c r="A18" s="310">
        <f t="shared" si="12"/>
        <v>17</v>
      </c>
      <c r="B18" s="368">
        <v>130.0</v>
      </c>
      <c r="C18" s="310">
        <f t="shared" si="13"/>
        <v>1277</v>
      </c>
      <c r="D18" s="394">
        <v>0.0</v>
      </c>
      <c r="E18" s="436">
        <v>0.0</v>
      </c>
      <c r="F18" s="405">
        <v>1.0</v>
      </c>
      <c r="G18" s="396">
        <v>0.0</v>
      </c>
      <c r="H18" s="395">
        <v>0.0</v>
      </c>
      <c r="I18" s="396">
        <v>0.0</v>
      </c>
      <c r="J18" s="397">
        <v>0.0</v>
      </c>
      <c r="K18" s="401">
        <v>0.0</v>
      </c>
      <c r="L18" s="395">
        <v>0.0</v>
      </c>
      <c r="M18" s="396">
        <v>0.0</v>
      </c>
      <c r="N18" s="397">
        <v>0.0</v>
      </c>
      <c r="O18" s="396">
        <v>0.0</v>
      </c>
      <c r="P18" s="376" t="str">
        <f t="shared" si="1"/>
        <v>#REF!</v>
      </c>
      <c r="Q18" s="399">
        <v>0.0</v>
      </c>
      <c r="R18" s="395">
        <v>0.0</v>
      </c>
      <c r="S18" s="379">
        <v>0.0</v>
      </c>
      <c r="T18" s="375">
        <v>1.0</v>
      </c>
      <c r="U18" s="396">
        <v>0.0</v>
      </c>
      <c r="V18" s="396">
        <v>0.0</v>
      </c>
      <c r="W18" s="405">
        <v>1.0</v>
      </c>
      <c r="X18" s="401">
        <v>0.0</v>
      </c>
      <c r="Y18" s="396">
        <v>0.0</v>
      </c>
      <c r="Z18" s="396">
        <v>0.0</v>
      </c>
      <c r="AA18" s="396">
        <v>0.0</v>
      </c>
      <c r="AB18" s="401">
        <v>0.0</v>
      </c>
      <c r="AC18" s="381" t="str">
        <f t="shared" si="2"/>
        <v>#REF!</v>
      </c>
      <c r="AD18" s="368">
        <f t="shared" si="3"/>
        <v>0</v>
      </c>
      <c r="AE18" s="368">
        <f t="shared" si="4"/>
        <v>0</v>
      </c>
      <c r="AF18" s="382" t="str">
        <f t="shared" si="5"/>
        <v>#REF!</v>
      </c>
      <c r="AK18" s="385" t="str">
        <f t="shared" si="7"/>
        <v>#REF!</v>
      </c>
      <c r="AL18" s="385" t="str">
        <f t="shared" si="8"/>
        <v>#REF!</v>
      </c>
      <c r="AM18" s="385" t="str">
        <f t="shared" si="9"/>
        <v>#REF!</v>
      </c>
      <c r="AN18" s="385" t="str">
        <f t="shared" si="10"/>
        <v>#REF!</v>
      </c>
      <c r="AO18" s="385" t="str">
        <f t="shared" si="11"/>
        <v>#REF!</v>
      </c>
      <c r="AP18" s="385"/>
      <c r="AQ18" s="385"/>
      <c r="AR18" s="385"/>
    </row>
    <row r="19">
      <c r="A19" s="310">
        <f t="shared" si="12"/>
        <v>18</v>
      </c>
      <c r="B19" s="368">
        <v>130.0</v>
      </c>
      <c r="C19" s="310">
        <f t="shared" si="13"/>
        <v>1407</v>
      </c>
      <c r="D19" s="404">
        <v>0.0</v>
      </c>
      <c r="E19" s="375">
        <v>1.0</v>
      </c>
      <c r="F19" s="388">
        <v>0.0</v>
      </c>
      <c r="G19" s="388">
        <v>0.0</v>
      </c>
      <c r="H19" s="387">
        <v>0.0</v>
      </c>
      <c r="I19" s="388">
        <v>0.0</v>
      </c>
      <c r="J19" s="389">
        <v>0.0</v>
      </c>
      <c r="K19" s="390">
        <v>0.0</v>
      </c>
      <c r="L19" s="387">
        <v>0.0</v>
      </c>
      <c r="M19" s="407">
        <v>0.0</v>
      </c>
      <c r="N19" s="389">
        <v>0.0</v>
      </c>
      <c r="O19" s="388">
        <v>0.0</v>
      </c>
      <c r="P19" s="376" t="str">
        <f t="shared" si="1"/>
        <v>#REF!</v>
      </c>
      <c r="Q19" s="406">
        <v>0.0</v>
      </c>
      <c r="R19" s="387">
        <v>0.0</v>
      </c>
      <c r="S19" s="388">
        <v>0.0</v>
      </c>
      <c r="T19" s="389">
        <v>0.0</v>
      </c>
      <c r="U19" s="405">
        <v>1.0</v>
      </c>
      <c r="V19" s="388">
        <v>0.0</v>
      </c>
      <c r="W19" s="388">
        <v>0.0</v>
      </c>
      <c r="X19" s="390">
        <v>0.0</v>
      </c>
      <c r="Y19" s="388">
        <v>0.0</v>
      </c>
      <c r="Z19" s="375">
        <v>10.0</v>
      </c>
      <c r="AA19" s="379">
        <v>0.0</v>
      </c>
      <c r="AB19" s="390">
        <v>0.0</v>
      </c>
      <c r="AC19" s="381" t="str">
        <f t="shared" si="2"/>
        <v>#REF!</v>
      </c>
      <c r="AD19" s="368" t="str">
        <f t="shared" si="3"/>
        <v>#REF!</v>
      </c>
      <c r="AE19" s="368">
        <f t="shared" si="4"/>
        <v>0</v>
      </c>
      <c r="AF19" s="382" t="str">
        <f t="shared" si="5"/>
        <v>#REF!</v>
      </c>
      <c r="AK19" s="385" t="str">
        <f t="shared" si="7"/>
        <v>#REF!</v>
      </c>
      <c r="AL19" s="385" t="str">
        <f t="shared" si="8"/>
        <v>#REF!</v>
      </c>
      <c r="AM19" s="385" t="str">
        <f t="shared" si="9"/>
        <v>#REF!</v>
      </c>
      <c r="AN19" s="385" t="str">
        <f t="shared" si="10"/>
        <v>#REF!</v>
      </c>
      <c r="AO19" s="385" t="str">
        <f t="shared" si="11"/>
        <v>#REF!</v>
      </c>
      <c r="AP19" s="385"/>
      <c r="AQ19" s="385"/>
      <c r="AR19" s="385"/>
    </row>
    <row r="20">
      <c r="A20" s="310">
        <f t="shared" si="12"/>
        <v>19</v>
      </c>
      <c r="B20" s="368">
        <v>130.0</v>
      </c>
      <c r="C20" s="310">
        <f t="shared" si="13"/>
        <v>1537</v>
      </c>
      <c r="D20" s="394">
        <v>0.0</v>
      </c>
      <c r="E20" s="395">
        <v>0.0</v>
      </c>
      <c r="F20" s="396">
        <v>0.0</v>
      </c>
      <c r="G20" s="405">
        <v>1.0</v>
      </c>
      <c r="H20" s="395">
        <v>0.0</v>
      </c>
      <c r="I20" s="396">
        <v>0.0</v>
      </c>
      <c r="J20" s="397">
        <v>0.0</v>
      </c>
      <c r="K20" s="401">
        <v>0.0</v>
      </c>
      <c r="L20" s="395">
        <v>0.0</v>
      </c>
      <c r="M20" s="396">
        <v>0.0</v>
      </c>
      <c r="N20" s="397">
        <v>0.0</v>
      </c>
      <c r="O20" s="396">
        <v>0.0</v>
      </c>
      <c r="P20" s="376" t="str">
        <f t="shared" si="1"/>
        <v>#REF!</v>
      </c>
      <c r="Q20" s="399">
        <v>0.0</v>
      </c>
      <c r="R20" s="395">
        <v>0.0</v>
      </c>
      <c r="S20" s="405">
        <v>1.0</v>
      </c>
      <c r="T20" s="397">
        <v>0.0</v>
      </c>
      <c r="U20" s="396">
        <v>0.0</v>
      </c>
      <c r="V20" s="396">
        <v>0.0</v>
      </c>
      <c r="W20" s="396">
        <v>0.0</v>
      </c>
      <c r="X20" s="401">
        <v>0.0</v>
      </c>
      <c r="Y20" s="375">
        <v>15.0</v>
      </c>
      <c r="Z20" s="396">
        <v>0.0</v>
      </c>
      <c r="AA20" s="396">
        <v>0.0</v>
      </c>
      <c r="AB20" s="401">
        <v>0.0</v>
      </c>
      <c r="AC20" s="381" t="str">
        <f t="shared" si="2"/>
        <v>#REF!</v>
      </c>
      <c r="AD20" s="368" t="str">
        <f t="shared" si="3"/>
        <v>#REF!</v>
      </c>
      <c r="AE20" s="368">
        <f t="shared" si="4"/>
        <v>0</v>
      </c>
      <c r="AF20" s="382" t="str">
        <f t="shared" si="5"/>
        <v>#REF!</v>
      </c>
      <c r="AK20" s="385" t="str">
        <f t="shared" si="7"/>
        <v>#REF!</v>
      </c>
      <c r="AL20" s="385" t="str">
        <f t="shared" si="8"/>
        <v>#REF!</v>
      </c>
      <c r="AM20" s="385" t="str">
        <f t="shared" si="9"/>
        <v>#REF!</v>
      </c>
      <c r="AN20" s="385" t="str">
        <f t="shared" si="10"/>
        <v>#REF!</v>
      </c>
      <c r="AO20" s="385" t="str">
        <f t="shared" si="11"/>
        <v>#REF!</v>
      </c>
      <c r="AP20" s="385"/>
      <c r="AQ20" s="385"/>
      <c r="AR20" s="385"/>
    </row>
    <row r="21">
      <c r="A21" s="310">
        <f t="shared" si="12"/>
        <v>20</v>
      </c>
      <c r="B21" s="368">
        <v>160.0</v>
      </c>
      <c r="C21" s="310">
        <f t="shared" si="13"/>
        <v>1697</v>
      </c>
      <c r="D21" s="418">
        <v>20.0</v>
      </c>
      <c r="E21" s="419">
        <v>0.0</v>
      </c>
      <c r="F21" s="420">
        <v>0.0</v>
      </c>
      <c r="G21" s="420">
        <v>0.0</v>
      </c>
      <c r="H21" s="419">
        <v>0.0</v>
      </c>
      <c r="I21" s="420">
        <v>0.0</v>
      </c>
      <c r="J21" s="421">
        <v>0.0</v>
      </c>
      <c r="K21" s="422">
        <v>0.0</v>
      </c>
      <c r="L21" s="419">
        <v>0.0</v>
      </c>
      <c r="M21" s="420">
        <v>0.0</v>
      </c>
      <c r="N21" s="421">
        <v>0.0</v>
      </c>
      <c r="O21" s="420">
        <v>0.0</v>
      </c>
      <c r="P21" s="376" t="str">
        <f t="shared" si="1"/>
        <v>#REF!</v>
      </c>
      <c r="Q21" s="423">
        <v>40.0</v>
      </c>
      <c r="R21" s="437">
        <v>1.0</v>
      </c>
      <c r="S21" s="420">
        <v>0.0</v>
      </c>
      <c r="T21" s="421">
        <v>0.0</v>
      </c>
      <c r="U21" s="420">
        <v>0.0</v>
      </c>
      <c r="V21" s="420">
        <v>0.0</v>
      </c>
      <c r="W21" s="420">
        <v>0.0</v>
      </c>
      <c r="X21" s="438">
        <v>60.0</v>
      </c>
      <c r="Y21" s="420">
        <v>0.0</v>
      </c>
      <c r="Z21" s="420">
        <v>0.0</v>
      </c>
      <c r="AA21" s="420">
        <v>0.0</v>
      </c>
      <c r="AB21" s="422">
        <v>0.0</v>
      </c>
      <c r="AC21" s="381" t="str">
        <f t="shared" si="2"/>
        <v>#REF!</v>
      </c>
      <c r="AD21" s="368">
        <f t="shared" si="3"/>
        <v>0</v>
      </c>
      <c r="AE21" s="368">
        <f t="shared" si="4"/>
        <v>0</v>
      </c>
      <c r="AF21" s="382" t="str">
        <f t="shared" si="5"/>
        <v>#REF!</v>
      </c>
      <c r="AK21" s="385" t="str">
        <f t="shared" si="7"/>
        <v>#REF!</v>
      </c>
      <c r="AL21" s="385" t="str">
        <f t="shared" si="8"/>
        <v>#REF!</v>
      </c>
      <c r="AM21" s="385" t="str">
        <f t="shared" si="9"/>
        <v>#REF!</v>
      </c>
      <c r="AN21" s="385" t="str">
        <f t="shared" si="10"/>
        <v>#REF!</v>
      </c>
      <c r="AO21" s="385" t="str">
        <f t="shared" si="11"/>
        <v>#REF!</v>
      </c>
      <c r="AP21" s="385"/>
      <c r="AQ21" s="385"/>
      <c r="AR21" s="385"/>
    </row>
    <row r="22">
      <c r="A22" s="310">
        <f t="shared" si="12"/>
        <v>21</v>
      </c>
      <c r="B22" s="368">
        <v>160.0</v>
      </c>
      <c r="C22" s="310">
        <f t="shared" si="13"/>
        <v>1857</v>
      </c>
      <c r="D22" s="394">
        <v>0.0</v>
      </c>
      <c r="E22" s="395">
        <v>0.0</v>
      </c>
      <c r="F22" s="405">
        <v>1.0</v>
      </c>
      <c r="G22" s="396">
        <v>0.0</v>
      </c>
      <c r="H22" s="395">
        <v>0.0</v>
      </c>
      <c r="I22" s="396">
        <v>0.0</v>
      </c>
      <c r="J22" s="397">
        <v>0.0</v>
      </c>
      <c r="K22" s="401">
        <v>0.0</v>
      </c>
      <c r="L22" s="395">
        <v>0.0</v>
      </c>
      <c r="M22" s="396">
        <v>0.0</v>
      </c>
      <c r="N22" s="397">
        <v>0.0</v>
      </c>
      <c r="O22" s="396">
        <v>0.0</v>
      </c>
      <c r="P22" s="376" t="str">
        <f t="shared" si="1"/>
        <v>#REF!</v>
      </c>
      <c r="Q22" s="399">
        <v>0.0</v>
      </c>
      <c r="R22" s="395">
        <v>0.0</v>
      </c>
      <c r="S22" s="396">
        <v>0.0</v>
      </c>
      <c r="T22" s="408">
        <v>1.0</v>
      </c>
      <c r="U22" s="396">
        <v>0.0</v>
      </c>
      <c r="V22" s="396">
        <v>0.0</v>
      </c>
      <c r="W22" s="396">
        <v>0.0</v>
      </c>
      <c r="X22" s="401">
        <v>0.0</v>
      </c>
      <c r="Y22" s="396">
        <v>0.0</v>
      </c>
      <c r="Z22" s="375">
        <v>15.0</v>
      </c>
      <c r="AA22" s="396">
        <v>0.0</v>
      </c>
      <c r="AB22" s="401">
        <v>0.0</v>
      </c>
      <c r="AC22" s="381" t="str">
        <f t="shared" si="2"/>
        <v>#REF!</v>
      </c>
      <c r="AD22" s="368" t="str">
        <f t="shared" si="3"/>
        <v>#REF!</v>
      </c>
      <c r="AE22" s="368">
        <f t="shared" si="4"/>
        <v>0</v>
      </c>
      <c r="AF22" s="382" t="str">
        <f t="shared" si="5"/>
        <v>#REF!</v>
      </c>
      <c r="AK22" s="385" t="str">
        <f t="shared" si="7"/>
        <v>#REF!</v>
      </c>
      <c r="AL22" s="385" t="str">
        <f t="shared" si="8"/>
        <v>#REF!</v>
      </c>
      <c r="AM22" s="385" t="str">
        <f t="shared" si="9"/>
        <v>#REF!</v>
      </c>
      <c r="AN22" s="385" t="str">
        <f t="shared" si="10"/>
        <v>#REF!</v>
      </c>
      <c r="AO22" s="385" t="str">
        <f t="shared" si="11"/>
        <v>#REF!</v>
      </c>
      <c r="AP22" s="385"/>
      <c r="AQ22" s="385"/>
      <c r="AR22" s="385"/>
    </row>
    <row r="23">
      <c r="A23" s="310">
        <f t="shared" si="12"/>
        <v>22</v>
      </c>
      <c r="B23" s="368">
        <v>160.0</v>
      </c>
      <c r="C23" s="310">
        <f t="shared" si="13"/>
        <v>2017</v>
      </c>
      <c r="D23" s="404">
        <v>0.0</v>
      </c>
      <c r="E23" s="387">
        <v>0.0</v>
      </c>
      <c r="F23" s="388">
        <v>0.0</v>
      </c>
      <c r="G23" s="388">
        <v>0.0</v>
      </c>
      <c r="H23" s="387">
        <v>0.0</v>
      </c>
      <c r="I23" s="388">
        <v>0.0</v>
      </c>
      <c r="J23" s="389">
        <v>0.0</v>
      </c>
      <c r="K23" s="390">
        <v>0.0</v>
      </c>
      <c r="L23" s="400">
        <v>15.0</v>
      </c>
      <c r="M23" s="388">
        <v>0.0</v>
      </c>
      <c r="N23" s="389">
        <v>0.0</v>
      </c>
      <c r="O23" s="388">
        <v>0.0</v>
      </c>
      <c r="P23" s="376" t="str">
        <f t="shared" si="1"/>
        <v>#REF!</v>
      </c>
      <c r="Q23" s="406">
        <v>0.0</v>
      </c>
      <c r="R23" s="387">
        <v>0.0</v>
      </c>
      <c r="S23" s="388">
        <v>0.0</v>
      </c>
      <c r="T23" s="389">
        <v>0.0</v>
      </c>
      <c r="U23" s="388">
        <v>0.0</v>
      </c>
      <c r="V23" s="405">
        <v>1.0</v>
      </c>
      <c r="W23" s="388">
        <v>0.0</v>
      </c>
      <c r="X23" s="390">
        <v>0.0</v>
      </c>
      <c r="Y23" s="407">
        <v>0.0</v>
      </c>
      <c r="Z23" s="388">
        <v>0.0</v>
      </c>
      <c r="AA23" s="375">
        <v>10.0</v>
      </c>
      <c r="AB23" s="390">
        <v>0.0</v>
      </c>
      <c r="AC23" s="381" t="str">
        <f t="shared" si="2"/>
        <v>#REF!</v>
      </c>
      <c r="AD23" s="368" t="str">
        <f t="shared" si="3"/>
        <v>#REF!</v>
      </c>
      <c r="AE23" s="368" t="str">
        <f t="shared" si="4"/>
        <v>#REF!</v>
      </c>
      <c r="AF23" s="382" t="str">
        <f t="shared" si="5"/>
        <v>#REF!</v>
      </c>
      <c r="AK23" s="385" t="str">
        <f t="shared" si="7"/>
        <v>#REF!</v>
      </c>
      <c r="AL23" s="385" t="str">
        <f t="shared" si="8"/>
        <v>#REF!</v>
      </c>
      <c r="AM23" s="385" t="str">
        <f t="shared" si="9"/>
        <v>#REF!</v>
      </c>
      <c r="AN23" s="385" t="str">
        <f t="shared" si="10"/>
        <v>#REF!</v>
      </c>
      <c r="AO23" s="385" t="str">
        <f t="shared" si="11"/>
        <v>#REF!</v>
      </c>
      <c r="AP23" s="385"/>
      <c r="AQ23" s="385"/>
      <c r="AR23" s="385"/>
    </row>
    <row r="24">
      <c r="A24" s="310">
        <f t="shared" si="12"/>
        <v>23</v>
      </c>
      <c r="B24" s="368">
        <v>160.0</v>
      </c>
      <c r="C24" s="310">
        <f t="shared" si="13"/>
        <v>2177</v>
      </c>
      <c r="D24" s="394">
        <v>0.0</v>
      </c>
      <c r="E24" s="395">
        <v>0.0</v>
      </c>
      <c r="F24" s="405">
        <v>1.0</v>
      </c>
      <c r="G24" s="396">
        <v>0.0</v>
      </c>
      <c r="H24" s="395">
        <v>0.0</v>
      </c>
      <c r="I24" s="396">
        <v>0.0</v>
      </c>
      <c r="J24" s="397">
        <v>0.0</v>
      </c>
      <c r="K24" s="401">
        <v>0.0</v>
      </c>
      <c r="L24" s="395">
        <v>0.0</v>
      </c>
      <c r="M24" s="396">
        <v>0.0</v>
      </c>
      <c r="N24" s="397">
        <v>0.0</v>
      </c>
      <c r="O24" s="396">
        <v>0.0</v>
      </c>
      <c r="P24" s="376" t="str">
        <f t="shared" si="1"/>
        <v>#REF!</v>
      </c>
      <c r="Q24" s="399">
        <v>0.0</v>
      </c>
      <c r="R24" s="395">
        <v>0.0</v>
      </c>
      <c r="S24" s="396">
        <v>0.0</v>
      </c>
      <c r="T24" s="408">
        <v>1.0</v>
      </c>
      <c r="U24" s="405">
        <v>1.0</v>
      </c>
      <c r="V24" s="396">
        <v>0.0</v>
      </c>
      <c r="W24" s="396">
        <v>0.0</v>
      </c>
      <c r="X24" s="401">
        <v>0.0</v>
      </c>
      <c r="Y24" s="396">
        <v>0.0</v>
      </c>
      <c r="Z24" s="396">
        <v>0.0</v>
      </c>
      <c r="AA24" s="396">
        <v>0.0</v>
      </c>
      <c r="AB24" s="401">
        <v>0.0</v>
      </c>
      <c r="AC24" s="381" t="str">
        <f t="shared" si="2"/>
        <v>#REF!</v>
      </c>
      <c r="AD24" s="368">
        <f t="shared" si="3"/>
        <v>0</v>
      </c>
      <c r="AE24" s="368">
        <f t="shared" si="4"/>
        <v>0</v>
      </c>
      <c r="AF24" s="382" t="str">
        <f t="shared" si="5"/>
        <v>#REF!</v>
      </c>
      <c r="AK24" s="385" t="str">
        <f t="shared" si="7"/>
        <v>#REF!</v>
      </c>
      <c r="AL24" s="385" t="str">
        <f t="shared" si="8"/>
        <v>#REF!</v>
      </c>
      <c r="AM24" s="385" t="str">
        <f t="shared" si="9"/>
        <v>#REF!</v>
      </c>
      <c r="AN24" s="385" t="str">
        <f t="shared" si="10"/>
        <v>#REF!</v>
      </c>
      <c r="AO24" s="385" t="str">
        <f t="shared" si="11"/>
        <v>#REF!</v>
      </c>
      <c r="AP24" s="385"/>
      <c r="AQ24" s="385"/>
      <c r="AR24" s="385"/>
    </row>
    <row r="25">
      <c r="A25" s="310">
        <f t="shared" si="12"/>
        <v>24</v>
      </c>
      <c r="B25" s="368">
        <v>160.0</v>
      </c>
      <c r="C25" s="310">
        <f t="shared" si="13"/>
        <v>2337</v>
      </c>
      <c r="D25" s="404">
        <v>0.0</v>
      </c>
      <c r="E25" s="387">
        <v>0.0</v>
      </c>
      <c r="F25" s="388">
        <v>0.0</v>
      </c>
      <c r="G25" s="388">
        <v>0.0</v>
      </c>
      <c r="H25" s="387">
        <v>0.0</v>
      </c>
      <c r="I25" s="388">
        <v>0.0</v>
      </c>
      <c r="J25" s="389">
        <v>0.0</v>
      </c>
      <c r="K25" s="398">
        <v>30.0</v>
      </c>
      <c r="L25" s="387">
        <v>0.0</v>
      </c>
      <c r="M25" s="388">
        <v>0.0</v>
      </c>
      <c r="N25" s="389">
        <v>0.0</v>
      </c>
      <c r="O25" s="388">
        <v>0.0</v>
      </c>
      <c r="P25" s="376" t="str">
        <f t="shared" si="1"/>
        <v>#REF!</v>
      </c>
      <c r="Q25" s="406">
        <v>0.0</v>
      </c>
      <c r="R25" s="387">
        <v>0.0</v>
      </c>
      <c r="S25" s="405">
        <v>1.0</v>
      </c>
      <c r="T25" s="389">
        <v>0.0</v>
      </c>
      <c r="U25" s="388">
        <v>0.0</v>
      </c>
      <c r="V25" s="407">
        <v>0.0</v>
      </c>
      <c r="W25" s="388">
        <v>0.0</v>
      </c>
      <c r="X25" s="390">
        <v>0.0</v>
      </c>
      <c r="Y25" s="375">
        <v>10.0</v>
      </c>
      <c r="Z25" s="388">
        <v>0.0</v>
      </c>
      <c r="AA25" s="388">
        <v>0.0</v>
      </c>
      <c r="AB25" s="390">
        <v>0.0</v>
      </c>
      <c r="AC25" s="381" t="str">
        <f t="shared" si="2"/>
        <v>#REF!</v>
      </c>
      <c r="AD25" s="368" t="str">
        <f t="shared" si="3"/>
        <v>#REF!</v>
      </c>
      <c r="AE25" s="368">
        <f t="shared" si="4"/>
        <v>0</v>
      </c>
      <c r="AF25" s="382" t="str">
        <f t="shared" si="5"/>
        <v>#REF!</v>
      </c>
      <c r="AK25" s="385" t="str">
        <f t="shared" si="7"/>
        <v>#REF!</v>
      </c>
      <c r="AL25" s="385" t="str">
        <f t="shared" si="8"/>
        <v>#REF!</v>
      </c>
      <c r="AM25" s="385" t="str">
        <f t="shared" si="9"/>
        <v>#REF!</v>
      </c>
      <c r="AN25" s="385" t="str">
        <f t="shared" si="10"/>
        <v>#REF!</v>
      </c>
      <c r="AO25" s="385" t="str">
        <f t="shared" si="11"/>
        <v>#REF!</v>
      </c>
      <c r="AP25" s="385"/>
      <c r="AQ25" s="385"/>
      <c r="AR25" s="385"/>
    </row>
    <row r="26">
      <c r="A26" s="310">
        <f t="shared" si="12"/>
        <v>25</v>
      </c>
      <c r="B26" s="368">
        <v>190.0</v>
      </c>
      <c r="C26" s="310">
        <f t="shared" si="13"/>
        <v>2527</v>
      </c>
      <c r="D26" s="386">
        <v>25.0</v>
      </c>
      <c r="E26" s="395">
        <v>0.0</v>
      </c>
      <c r="F26" s="396">
        <v>0.0</v>
      </c>
      <c r="G26" s="396">
        <v>0.0</v>
      </c>
      <c r="H26" s="395">
        <v>0.0</v>
      </c>
      <c r="I26" s="396">
        <v>0.0</v>
      </c>
      <c r="J26" s="397">
        <v>0.0</v>
      </c>
      <c r="K26" s="401">
        <v>0.0</v>
      </c>
      <c r="L26" s="395">
        <v>0.0</v>
      </c>
      <c r="M26" s="396">
        <v>0.0</v>
      </c>
      <c r="N26" s="397">
        <v>0.0</v>
      </c>
      <c r="O26" s="396">
        <v>0.0</v>
      </c>
      <c r="P26" s="376" t="str">
        <f t="shared" si="1"/>
        <v>#REF!</v>
      </c>
      <c r="Q26" s="391">
        <v>55.0</v>
      </c>
      <c r="R26" s="395">
        <v>0.0</v>
      </c>
      <c r="S26" s="396">
        <v>0.0</v>
      </c>
      <c r="T26" s="397">
        <v>0.0</v>
      </c>
      <c r="U26" s="396">
        <v>0.0</v>
      </c>
      <c r="V26" s="396">
        <v>0.0</v>
      </c>
      <c r="W26" s="396">
        <v>0.0</v>
      </c>
      <c r="X26" s="398">
        <v>120.0</v>
      </c>
      <c r="Y26" s="396">
        <v>0.0</v>
      </c>
      <c r="Z26" s="396">
        <v>0.0</v>
      </c>
      <c r="AA26" s="396">
        <v>0.0</v>
      </c>
      <c r="AB26" s="401">
        <v>0.0</v>
      </c>
      <c r="AC26" s="381" t="str">
        <f t="shared" si="2"/>
        <v>#REF!</v>
      </c>
      <c r="AD26" s="368">
        <f t="shared" si="3"/>
        <v>0</v>
      </c>
      <c r="AE26" s="368">
        <f t="shared" si="4"/>
        <v>0</v>
      </c>
      <c r="AF26" s="382" t="str">
        <f t="shared" si="5"/>
        <v>#REF!</v>
      </c>
      <c r="AK26" s="385" t="str">
        <f t="shared" si="7"/>
        <v>#REF!</v>
      </c>
      <c r="AL26" s="385" t="str">
        <f t="shared" si="8"/>
        <v>#REF!</v>
      </c>
      <c r="AM26" s="385" t="str">
        <f t="shared" si="9"/>
        <v>#REF!</v>
      </c>
      <c r="AN26" s="385" t="str">
        <f t="shared" si="10"/>
        <v>#REF!</v>
      </c>
      <c r="AO26" s="385" t="str">
        <f t="shared" si="11"/>
        <v>#REF!</v>
      </c>
      <c r="AP26" s="385"/>
      <c r="AQ26" s="385"/>
      <c r="AR26" s="385"/>
    </row>
    <row r="27">
      <c r="A27" s="310">
        <f t="shared" si="12"/>
        <v>26</v>
      </c>
      <c r="B27" s="368">
        <v>190.0</v>
      </c>
      <c r="C27" s="310">
        <f t="shared" si="13"/>
        <v>2717</v>
      </c>
      <c r="D27" s="404">
        <v>0.0</v>
      </c>
      <c r="E27" s="387">
        <v>0.0</v>
      </c>
      <c r="F27" s="388">
        <v>0.0</v>
      </c>
      <c r="G27" s="388">
        <v>0.0</v>
      </c>
      <c r="H27" s="387">
        <v>0.0</v>
      </c>
      <c r="I27" s="388">
        <v>0.0</v>
      </c>
      <c r="J27" s="389">
        <v>0.0</v>
      </c>
      <c r="K27" s="398">
        <v>30.0</v>
      </c>
      <c r="L27" s="387">
        <v>0.0</v>
      </c>
      <c r="M27" s="388">
        <v>0.0</v>
      </c>
      <c r="N27" s="389">
        <v>0.0</v>
      </c>
      <c r="O27" s="388">
        <v>0.0</v>
      </c>
      <c r="P27" s="376" t="str">
        <f t="shared" si="1"/>
        <v>#REF!</v>
      </c>
      <c r="Q27" s="406">
        <v>0.0</v>
      </c>
      <c r="R27" s="400">
        <v>1.0</v>
      </c>
      <c r="S27" s="388">
        <v>0.0</v>
      </c>
      <c r="T27" s="389">
        <v>0.0</v>
      </c>
      <c r="U27" s="388">
        <v>0.0</v>
      </c>
      <c r="V27" s="375">
        <v>1.0</v>
      </c>
      <c r="W27" s="388">
        <v>0.0</v>
      </c>
      <c r="X27" s="390">
        <v>0.0</v>
      </c>
      <c r="Y27" s="388">
        <v>0.0</v>
      </c>
      <c r="Z27" s="388">
        <v>0.0</v>
      </c>
      <c r="AA27" s="407">
        <v>0.0</v>
      </c>
      <c r="AB27" s="390">
        <v>0.0</v>
      </c>
      <c r="AC27" s="381" t="str">
        <f t="shared" si="2"/>
        <v>#REF!</v>
      </c>
      <c r="AD27" s="368">
        <f t="shared" si="3"/>
        <v>0</v>
      </c>
      <c r="AE27" s="368">
        <f t="shared" si="4"/>
        <v>0</v>
      </c>
      <c r="AF27" s="382" t="str">
        <f t="shared" si="5"/>
        <v>#REF!</v>
      </c>
      <c r="AK27" s="385" t="str">
        <f t="shared" si="7"/>
        <v>#REF!</v>
      </c>
      <c r="AL27" s="385" t="str">
        <f t="shared" si="8"/>
        <v>#REF!</v>
      </c>
      <c r="AM27" s="385" t="str">
        <f t="shared" si="9"/>
        <v>#REF!</v>
      </c>
      <c r="AN27" s="385" t="str">
        <f t="shared" si="10"/>
        <v>#REF!</v>
      </c>
      <c r="AO27" s="385" t="str">
        <f t="shared" si="11"/>
        <v>#REF!</v>
      </c>
      <c r="AP27" s="385"/>
      <c r="AQ27" s="385"/>
      <c r="AR27" s="385"/>
    </row>
    <row r="28">
      <c r="A28" s="310">
        <f t="shared" si="12"/>
        <v>27</v>
      </c>
      <c r="B28" s="368">
        <v>190.0</v>
      </c>
      <c r="C28" s="310">
        <f t="shared" si="13"/>
        <v>2907</v>
      </c>
      <c r="D28" s="394">
        <v>0.0</v>
      </c>
      <c r="E28" s="395">
        <v>0.0</v>
      </c>
      <c r="F28" s="396">
        <v>0.0</v>
      </c>
      <c r="G28" s="396">
        <v>0.0</v>
      </c>
      <c r="H28" s="400">
        <v>1.0</v>
      </c>
      <c r="I28" s="396">
        <v>0.0</v>
      </c>
      <c r="J28" s="397">
        <v>0.0</v>
      </c>
      <c r="K28" s="401">
        <v>0.0</v>
      </c>
      <c r="L28" s="395">
        <v>0.0</v>
      </c>
      <c r="M28" s="396">
        <v>0.0</v>
      </c>
      <c r="N28" s="397">
        <v>0.0</v>
      </c>
      <c r="O28" s="396">
        <v>0.0</v>
      </c>
      <c r="P28" s="376" t="str">
        <f t="shared" si="1"/>
        <v>#REF!</v>
      </c>
      <c r="Q28" s="399">
        <v>0.0</v>
      </c>
      <c r="R28" s="395">
        <v>0.0</v>
      </c>
      <c r="S28" s="396">
        <v>0.0</v>
      </c>
      <c r="T28" s="397">
        <v>0.0</v>
      </c>
      <c r="U28" s="396">
        <v>0.0</v>
      </c>
      <c r="V28" s="396">
        <v>0.0</v>
      </c>
      <c r="W28" s="405">
        <v>1.0</v>
      </c>
      <c r="X28" s="401">
        <v>0.0</v>
      </c>
      <c r="Y28" s="379">
        <v>0.0</v>
      </c>
      <c r="Z28" s="375">
        <v>10.0</v>
      </c>
      <c r="AA28" s="396">
        <v>0.0</v>
      </c>
      <c r="AB28" s="401">
        <v>0.0</v>
      </c>
      <c r="AC28" s="381" t="str">
        <f t="shared" si="2"/>
        <v>#REF!</v>
      </c>
      <c r="AD28" s="368" t="str">
        <f t="shared" si="3"/>
        <v>#REF!</v>
      </c>
      <c r="AE28" s="368">
        <f t="shared" si="4"/>
        <v>0</v>
      </c>
      <c r="AF28" s="382" t="str">
        <f t="shared" si="5"/>
        <v>#REF!</v>
      </c>
      <c r="AK28" s="385" t="str">
        <f t="shared" si="7"/>
        <v>#REF!</v>
      </c>
      <c r="AL28" s="385" t="str">
        <f t="shared" si="8"/>
        <v>#REF!</v>
      </c>
      <c r="AM28" s="385" t="str">
        <f t="shared" si="9"/>
        <v>#REF!</v>
      </c>
      <c r="AN28" s="385" t="str">
        <f t="shared" si="10"/>
        <v>#REF!</v>
      </c>
      <c r="AO28" s="385" t="str">
        <f t="shared" si="11"/>
        <v>#REF!</v>
      </c>
      <c r="AP28" s="385"/>
      <c r="AQ28" s="385"/>
      <c r="AR28" s="385"/>
    </row>
    <row r="29">
      <c r="A29" s="310">
        <f t="shared" si="12"/>
        <v>28</v>
      </c>
      <c r="B29" s="368">
        <v>190.0</v>
      </c>
      <c r="C29" s="310">
        <f t="shared" si="13"/>
        <v>3097</v>
      </c>
      <c r="D29" s="404">
        <v>0.0</v>
      </c>
      <c r="E29" s="387">
        <v>0.0</v>
      </c>
      <c r="F29" s="388">
        <v>0.0</v>
      </c>
      <c r="G29" s="405">
        <v>1.0</v>
      </c>
      <c r="H29" s="387">
        <v>0.0</v>
      </c>
      <c r="I29" s="388">
        <v>0.0</v>
      </c>
      <c r="J29" s="389">
        <v>0.0</v>
      </c>
      <c r="K29" s="390">
        <v>0.0</v>
      </c>
      <c r="L29" s="387">
        <v>0.0</v>
      </c>
      <c r="M29" s="388">
        <v>0.0</v>
      </c>
      <c r="N29" s="389">
        <v>0.0</v>
      </c>
      <c r="O29" s="388">
        <v>0.0</v>
      </c>
      <c r="P29" s="376" t="str">
        <f t="shared" si="1"/>
        <v>#REF!</v>
      </c>
      <c r="Q29" s="406">
        <v>0.0</v>
      </c>
      <c r="R29" s="387">
        <v>0.0</v>
      </c>
      <c r="S29" s="388">
        <v>0.0</v>
      </c>
      <c r="T29" s="389">
        <v>0.0</v>
      </c>
      <c r="U29" s="388">
        <v>0.0</v>
      </c>
      <c r="V29" s="388">
        <v>0.0</v>
      </c>
      <c r="W29" s="388">
        <v>0.0</v>
      </c>
      <c r="X29" s="439">
        <v>60.0</v>
      </c>
      <c r="Y29" s="375">
        <v>15.0</v>
      </c>
      <c r="Z29" s="407">
        <v>0.0</v>
      </c>
      <c r="AA29" s="388">
        <v>0.0</v>
      </c>
      <c r="AB29" s="390">
        <v>0.0</v>
      </c>
      <c r="AC29" s="381" t="str">
        <f t="shared" si="2"/>
        <v>#REF!</v>
      </c>
      <c r="AD29" s="368" t="str">
        <f t="shared" si="3"/>
        <v>#REF!</v>
      </c>
      <c r="AE29" s="368">
        <f t="shared" si="4"/>
        <v>0</v>
      </c>
      <c r="AF29" s="382" t="str">
        <f t="shared" si="5"/>
        <v>#REF!</v>
      </c>
      <c r="AK29" s="385" t="str">
        <f t="shared" si="7"/>
        <v>#REF!</v>
      </c>
      <c r="AL29" s="385" t="str">
        <f t="shared" si="8"/>
        <v>#REF!</v>
      </c>
      <c r="AM29" s="385" t="str">
        <f t="shared" si="9"/>
        <v>#REF!</v>
      </c>
      <c r="AN29" s="385" t="str">
        <f t="shared" si="10"/>
        <v>#REF!</v>
      </c>
      <c r="AO29" s="385" t="str">
        <f t="shared" si="11"/>
        <v>#REF!</v>
      </c>
      <c r="AP29" s="385"/>
      <c r="AQ29" s="385"/>
      <c r="AR29" s="385"/>
    </row>
    <row r="30">
      <c r="A30" s="310">
        <f t="shared" si="12"/>
        <v>29</v>
      </c>
      <c r="B30" s="368">
        <v>190.0</v>
      </c>
      <c r="C30" s="310">
        <f t="shared" si="13"/>
        <v>3287</v>
      </c>
      <c r="D30" s="394">
        <v>0.0</v>
      </c>
      <c r="E30" s="395">
        <v>0.0</v>
      </c>
      <c r="F30" s="396">
        <v>0.0</v>
      </c>
      <c r="G30" s="396">
        <v>0.0</v>
      </c>
      <c r="H30" s="395">
        <v>0.0</v>
      </c>
      <c r="I30" s="405">
        <v>1.0</v>
      </c>
      <c r="J30" s="397">
        <v>0.0</v>
      </c>
      <c r="K30" s="401">
        <v>0.0</v>
      </c>
      <c r="L30" s="395">
        <v>0.0</v>
      </c>
      <c r="M30" s="396">
        <v>0.0</v>
      </c>
      <c r="N30" s="397">
        <v>0.0</v>
      </c>
      <c r="O30" s="396">
        <v>0.0</v>
      </c>
      <c r="P30" s="376" t="str">
        <f t="shared" si="1"/>
        <v>#REF!</v>
      </c>
      <c r="Q30" s="399">
        <v>0.0</v>
      </c>
      <c r="R30" s="395">
        <v>0.0</v>
      </c>
      <c r="S30" s="396">
        <v>0.0</v>
      </c>
      <c r="T30" s="397">
        <v>0.0</v>
      </c>
      <c r="U30" s="396">
        <v>0.0</v>
      </c>
      <c r="V30" s="396">
        <v>0.0</v>
      </c>
      <c r="W30" s="396">
        <v>0.0</v>
      </c>
      <c r="X30" s="439">
        <v>120.0</v>
      </c>
      <c r="Y30" s="396">
        <v>0.0</v>
      </c>
      <c r="Z30" s="396">
        <v>0.0</v>
      </c>
      <c r="AA30" s="375">
        <v>15.0</v>
      </c>
      <c r="AB30" s="401">
        <v>0.0</v>
      </c>
      <c r="AC30" s="381" t="str">
        <f t="shared" si="2"/>
        <v>#REF!</v>
      </c>
      <c r="AD30" s="368" t="str">
        <f t="shared" si="3"/>
        <v>#REF!</v>
      </c>
      <c r="AE30" s="368">
        <f t="shared" si="4"/>
        <v>0</v>
      </c>
      <c r="AF30" s="382" t="str">
        <f t="shared" si="5"/>
        <v>#REF!</v>
      </c>
      <c r="AK30" s="385" t="str">
        <f t="shared" si="7"/>
        <v>#REF!</v>
      </c>
      <c r="AL30" s="385" t="str">
        <f t="shared" si="8"/>
        <v>#REF!</v>
      </c>
      <c r="AM30" s="385" t="str">
        <f t="shared" si="9"/>
        <v>#REF!</v>
      </c>
      <c r="AN30" s="385" t="str">
        <f t="shared" si="10"/>
        <v>#REF!</v>
      </c>
      <c r="AO30" s="385" t="str">
        <f t="shared" si="11"/>
        <v>#REF!</v>
      </c>
      <c r="AP30" s="385"/>
      <c r="AQ30" s="385"/>
      <c r="AR30" s="385"/>
    </row>
    <row r="31">
      <c r="A31" s="310">
        <f t="shared" si="12"/>
        <v>30</v>
      </c>
      <c r="B31" s="368">
        <v>270.0</v>
      </c>
      <c r="C31" s="310">
        <f t="shared" si="13"/>
        <v>3557</v>
      </c>
      <c r="D31" s="386">
        <v>40.0</v>
      </c>
      <c r="E31" s="387">
        <v>0.0</v>
      </c>
      <c r="F31" s="388">
        <v>0.0</v>
      </c>
      <c r="G31" s="388">
        <v>0.0</v>
      </c>
      <c r="H31" s="387">
        <v>0.0</v>
      </c>
      <c r="I31" s="388">
        <v>0.0</v>
      </c>
      <c r="J31" s="389">
        <v>0.0</v>
      </c>
      <c r="K31" s="390">
        <v>0.0</v>
      </c>
      <c r="L31" s="387">
        <v>0.0</v>
      </c>
      <c r="M31" s="388">
        <v>0.0</v>
      </c>
      <c r="N31" s="389">
        <v>0.0</v>
      </c>
      <c r="O31" s="405">
        <v>1.0</v>
      </c>
      <c r="P31" s="376" t="str">
        <f t="shared" si="1"/>
        <v>#REF!</v>
      </c>
      <c r="Q31" s="391">
        <v>100.0</v>
      </c>
      <c r="R31" s="387">
        <v>0.0</v>
      </c>
      <c r="S31" s="388">
        <v>0.0</v>
      </c>
      <c r="T31" s="389">
        <v>0.0</v>
      </c>
      <c r="U31" s="388">
        <v>0.0</v>
      </c>
      <c r="V31" s="388">
        <v>0.0</v>
      </c>
      <c r="W31" s="405">
        <v>1.0</v>
      </c>
      <c r="X31" s="390">
        <v>0.0</v>
      </c>
      <c r="Y31" s="388">
        <v>0.0</v>
      </c>
      <c r="Z31" s="388">
        <v>0.0</v>
      </c>
      <c r="AA31" s="388">
        <v>0.0</v>
      </c>
      <c r="AB31" s="398">
        <v>1.0</v>
      </c>
      <c r="AC31" s="381" t="str">
        <f t="shared" si="2"/>
        <v>#REF!</v>
      </c>
      <c r="AD31" s="368">
        <f t="shared" si="3"/>
        <v>0</v>
      </c>
      <c r="AE31" s="368">
        <f t="shared" si="4"/>
        <v>0</v>
      </c>
      <c r="AF31" s="382" t="str">
        <f t="shared" si="5"/>
        <v>#REF!</v>
      </c>
      <c r="AK31" s="385" t="str">
        <f t="shared" si="7"/>
        <v>#REF!</v>
      </c>
      <c r="AL31" s="385" t="str">
        <f t="shared" si="8"/>
        <v>#REF!</v>
      </c>
      <c r="AM31" s="385" t="str">
        <f t="shared" si="9"/>
        <v>#REF!</v>
      </c>
      <c r="AN31" s="385" t="str">
        <f t="shared" si="10"/>
        <v>#REF!</v>
      </c>
      <c r="AO31" s="385" t="str">
        <f t="shared" si="11"/>
        <v>#REF!</v>
      </c>
      <c r="AP31" s="385"/>
      <c r="AQ31" s="385"/>
      <c r="AR31" s="385"/>
    </row>
    <row r="32">
      <c r="A32" s="440" t="s">
        <v>325</v>
      </c>
      <c r="B32" s="440">
        <f>SUM(B2:B31)</f>
        <v>3557</v>
      </c>
      <c r="C32" s="440" t="s">
        <v>327</v>
      </c>
      <c r="D32" s="441">
        <f t="shared" ref="D32:AC32" si="18">SUM(D1:D31)</f>
        <v>130</v>
      </c>
      <c r="E32" s="442">
        <f t="shared" si="18"/>
        <v>4</v>
      </c>
      <c r="F32" s="442">
        <f t="shared" si="18"/>
        <v>5</v>
      </c>
      <c r="G32" s="442">
        <f t="shared" si="18"/>
        <v>2</v>
      </c>
      <c r="H32" s="442">
        <f t="shared" si="18"/>
        <v>1</v>
      </c>
      <c r="I32" s="442">
        <f t="shared" si="18"/>
        <v>2</v>
      </c>
      <c r="J32" s="442">
        <f t="shared" si="18"/>
        <v>0</v>
      </c>
      <c r="K32" s="442">
        <f t="shared" si="18"/>
        <v>165</v>
      </c>
      <c r="L32" s="443">
        <f t="shared" si="18"/>
        <v>35</v>
      </c>
      <c r="M32" s="442">
        <f t="shared" si="18"/>
        <v>15</v>
      </c>
      <c r="N32" s="444">
        <f t="shared" si="18"/>
        <v>0</v>
      </c>
      <c r="O32" s="442">
        <f t="shared" si="18"/>
        <v>1</v>
      </c>
      <c r="P32" s="445" t="str">
        <f t="shared" si="18"/>
        <v>#REF!</v>
      </c>
      <c r="Q32" s="442">
        <f t="shared" si="18"/>
        <v>300</v>
      </c>
      <c r="R32" s="445">
        <f t="shared" si="18"/>
        <v>4</v>
      </c>
      <c r="S32" s="446">
        <f t="shared" si="18"/>
        <v>3</v>
      </c>
      <c r="T32" s="442">
        <f t="shared" si="18"/>
        <v>5</v>
      </c>
      <c r="U32" s="442">
        <f t="shared" si="18"/>
        <v>4</v>
      </c>
      <c r="V32" s="442">
        <f t="shared" si="18"/>
        <v>4</v>
      </c>
      <c r="W32" s="442">
        <f t="shared" si="18"/>
        <v>4</v>
      </c>
      <c r="X32" s="442">
        <f t="shared" si="18"/>
        <v>600</v>
      </c>
      <c r="Y32" s="442">
        <f t="shared" si="18"/>
        <v>50</v>
      </c>
      <c r="Z32" s="442">
        <f t="shared" si="18"/>
        <v>65</v>
      </c>
      <c r="AA32" s="442">
        <f t="shared" si="18"/>
        <v>35</v>
      </c>
      <c r="AB32" s="442">
        <f t="shared" si="18"/>
        <v>2</v>
      </c>
      <c r="AC32" s="447" t="str">
        <f t="shared" si="18"/>
        <v>#REF!</v>
      </c>
      <c r="AD32" s="337" t="str">
        <f t="shared" ref="AD32:AE32" si="19">sum(AD2:AD31)</f>
        <v>#REF!</v>
      </c>
      <c r="AE32" s="337" t="str">
        <f t="shared" si="19"/>
        <v>#REF!</v>
      </c>
      <c r="AF32" s="382"/>
      <c r="AK32" s="337" t="str">
        <f t="shared" ref="AK32:AL32" si="20">SUM(AK2:AK31)</f>
        <v>#REF!</v>
      </c>
      <c r="AL32" s="337" t="str">
        <f t="shared" si="20"/>
        <v>#REF!</v>
      </c>
      <c r="AM32" s="385"/>
      <c r="AN32" s="385"/>
      <c r="AO32" s="385"/>
      <c r="AP32" s="385"/>
      <c r="AQ32" s="385"/>
      <c r="AR32" s="385"/>
    </row>
    <row r="33">
      <c r="C33" s="322" t="s">
        <v>328</v>
      </c>
      <c r="D33" s="448">
        <f>D32</f>
        <v>130</v>
      </c>
      <c r="E33" s="448" t="str">
        <f>E32*'Item values'!$D$7</f>
        <v>#REF!</v>
      </c>
      <c r="F33" s="448" t="str">
        <f>F32*'Item values'!$D$8</f>
        <v>#REF!</v>
      </c>
      <c r="G33" s="448" t="str">
        <f>G32*'Item values'!$D$9</f>
        <v>#REF!</v>
      </c>
      <c r="H33" s="448" t="str">
        <f>H32*'Item values'!$D$4</f>
        <v>#REF!</v>
      </c>
      <c r="I33" s="448" t="str">
        <f>I32*'Item values'!$D$5</f>
        <v>#REF!</v>
      </c>
      <c r="J33" s="448" t="str">
        <f>J32*'Item values'!$D$3</f>
        <v>#REF!</v>
      </c>
      <c r="K33" s="448" t="str">
        <f>K32/60*'Item values'!$D$13</f>
        <v>#REF!</v>
      </c>
      <c r="O33" s="322">
        <v>0.0</v>
      </c>
      <c r="P33" s="449" t="str">
        <f>sum(D33:K33)+AE32</f>
        <v>#REF!</v>
      </c>
      <c r="Q33" s="448">
        <f>Q32</f>
        <v>300</v>
      </c>
      <c r="R33" s="448" t="str">
        <f>R32*'Item values'!$D$7</f>
        <v>#REF!</v>
      </c>
      <c r="S33" s="448" t="str">
        <f>S32*'Item values'!$D$8</f>
        <v>#REF!</v>
      </c>
      <c r="T33" s="448" t="str">
        <f>T32*'Item values'!$D$9</f>
        <v>#REF!</v>
      </c>
      <c r="U33" s="448" t="str">
        <f>U32*'Item values'!$D$4</f>
        <v>#REF!</v>
      </c>
      <c r="V33" s="448" t="str">
        <f>V32*'Item values'!$D$5</f>
        <v>#REF!</v>
      </c>
      <c r="W33" s="448" t="str">
        <f>W32*'Item values'!$D$3</f>
        <v>#REF!</v>
      </c>
      <c r="X33" s="448" t="str">
        <f>X32/60*'Item values'!$D$13</f>
        <v>#REF!</v>
      </c>
      <c r="AA33" s="368" t="str">
        <f>AF32</f>
        <v/>
      </c>
      <c r="AB33" s="322">
        <v>0.0</v>
      </c>
      <c r="AC33" s="449" t="str">
        <f>sum(Q33:AB33)+AD32</f>
        <v>#REF!</v>
      </c>
      <c r="AF33" s="382"/>
    </row>
    <row r="34">
      <c r="AF34" s="382"/>
    </row>
    <row r="36">
      <c r="B36" s="368">
        <f t="shared" ref="B36:B65" si="21">B2/10</f>
        <v>1</v>
      </c>
      <c r="AL36" s="450"/>
      <c r="AM36" s="450"/>
      <c r="AN36" s="450"/>
      <c r="AO36" s="450"/>
      <c r="AP36" s="450"/>
      <c r="AQ36" s="450"/>
      <c r="AR36" s="450"/>
    </row>
    <row r="37">
      <c r="B37" s="368">
        <f t="shared" si="21"/>
        <v>1.4</v>
      </c>
      <c r="AL37" s="451"/>
      <c r="AM37" s="452"/>
      <c r="AN37" s="451"/>
      <c r="AO37" s="453"/>
      <c r="AP37" s="453"/>
      <c r="AQ37" s="453"/>
      <c r="AR37" s="453"/>
    </row>
    <row r="38">
      <c r="B38" s="368">
        <f t="shared" si="21"/>
        <v>2</v>
      </c>
      <c r="D38" s="322" t="s">
        <v>329</v>
      </c>
      <c r="E38" s="322" t="s">
        <v>330</v>
      </c>
      <c r="F38" s="322" t="s">
        <v>331</v>
      </c>
      <c r="G38" s="322" t="s">
        <v>332</v>
      </c>
      <c r="H38" s="322" t="s">
        <v>333</v>
      </c>
      <c r="I38" s="322" t="s">
        <v>334</v>
      </c>
      <c r="J38" s="322" t="s">
        <v>335</v>
      </c>
      <c r="K38" s="322" t="s">
        <v>336</v>
      </c>
      <c r="L38" s="322" t="s">
        <v>337</v>
      </c>
      <c r="M38" s="322" t="s">
        <v>338</v>
      </c>
      <c r="N38" s="322" t="s">
        <v>339</v>
      </c>
      <c r="AL38" s="451"/>
      <c r="AM38" s="452"/>
      <c r="AN38" s="451"/>
      <c r="AO38" s="453"/>
      <c r="AP38" s="453"/>
      <c r="AQ38" s="453"/>
      <c r="AR38" s="453"/>
    </row>
    <row r="39">
      <c r="B39" s="368">
        <f t="shared" si="21"/>
        <v>2.8</v>
      </c>
      <c r="D39" s="368" t="str">
        <f>IFERROR(__xludf.DUMMYFUNCTION("join("","", D38:N38)"),"coin,red,chuck,bomb,slighshot,shuffle,shooting star,UL,UR,UC,UB")</f>
        <v>coin,red,chuck,bomb,slighshot,shuffle,shooting star,UL,UR,UC,UB</v>
      </c>
      <c r="AL39" s="451"/>
      <c r="AM39" s="452"/>
      <c r="AN39" s="454"/>
      <c r="AO39" s="453"/>
      <c r="AP39" s="453"/>
      <c r="AQ39" s="453"/>
      <c r="AR39" s="453"/>
    </row>
    <row r="40">
      <c r="B40" s="368">
        <f t="shared" si="21"/>
        <v>3.5</v>
      </c>
      <c r="AG40" s="455"/>
      <c r="AH40" s="425"/>
      <c r="AL40" s="451"/>
      <c r="AM40" s="452"/>
      <c r="AN40" s="451"/>
      <c r="AO40" s="453"/>
      <c r="AP40" s="453"/>
      <c r="AQ40" s="453"/>
      <c r="AR40" s="453"/>
    </row>
    <row r="41">
      <c r="B41" s="368">
        <f t="shared" si="21"/>
        <v>7</v>
      </c>
      <c r="AG41" s="455"/>
      <c r="AH41" s="425"/>
      <c r="AL41" s="451"/>
      <c r="AM41" s="452"/>
      <c r="AN41" s="451"/>
      <c r="AO41" s="453"/>
      <c r="AP41" s="453"/>
      <c r="AQ41" s="453"/>
      <c r="AR41" s="453"/>
    </row>
    <row r="42">
      <c r="B42" s="368">
        <f t="shared" si="21"/>
        <v>7</v>
      </c>
    </row>
    <row r="43">
      <c r="B43" s="368">
        <f t="shared" si="21"/>
        <v>7</v>
      </c>
    </row>
    <row r="44">
      <c r="B44" s="368">
        <f t="shared" si="21"/>
        <v>7</v>
      </c>
    </row>
    <row r="45">
      <c r="B45" s="368">
        <f t="shared" si="21"/>
        <v>10</v>
      </c>
    </row>
    <row r="46">
      <c r="B46" s="368">
        <f t="shared" si="21"/>
        <v>10</v>
      </c>
    </row>
    <row r="47">
      <c r="B47" s="368">
        <f t="shared" si="21"/>
        <v>10</v>
      </c>
    </row>
    <row r="48">
      <c r="B48" s="368">
        <f t="shared" si="21"/>
        <v>10</v>
      </c>
    </row>
    <row r="49">
      <c r="B49" s="368">
        <f t="shared" si="21"/>
        <v>10</v>
      </c>
    </row>
    <row r="50">
      <c r="B50" s="368">
        <f t="shared" si="21"/>
        <v>13</v>
      </c>
    </row>
    <row r="51">
      <c r="B51" s="368">
        <f t="shared" si="21"/>
        <v>13</v>
      </c>
    </row>
    <row r="52">
      <c r="B52" s="368">
        <f t="shared" si="21"/>
        <v>13</v>
      </c>
    </row>
    <row r="53">
      <c r="B53" s="368">
        <f t="shared" si="21"/>
        <v>13</v>
      </c>
    </row>
    <row r="54">
      <c r="B54" s="368">
        <f t="shared" si="21"/>
        <v>13</v>
      </c>
    </row>
    <row r="55">
      <c r="B55" s="368">
        <f t="shared" si="21"/>
        <v>16</v>
      </c>
    </row>
    <row r="56">
      <c r="B56" s="368">
        <f t="shared" si="21"/>
        <v>16</v>
      </c>
    </row>
    <row r="57">
      <c r="B57" s="368">
        <f t="shared" si="21"/>
        <v>16</v>
      </c>
    </row>
    <row r="58">
      <c r="B58" s="368">
        <f t="shared" si="21"/>
        <v>16</v>
      </c>
    </row>
    <row r="59">
      <c r="B59" s="368">
        <f t="shared" si="21"/>
        <v>16</v>
      </c>
    </row>
    <row r="60">
      <c r="B60" s="368">
        <f t="shared" si="21"/>
        <v>19</v>
      </c>
    </row>
    <row r="61">
      <c r="B61" s="368">
        <f t="shared" si="21"/>
        <v>19</v>
      </c>
    </row>
    <row r="62">
      <c r="B62" s="368">
        <f t="shared" si="21"/>
        <v>19</v>
      </c>
    </row>
    <row r="63">
      <c r="B63" s="368">
        <f t="shared" si="21"/>
        <v>19</v>
      </c>
    </row>
    <row r="64">
      <c r="B64" s="368">
        <f t="shared" si="21"/>
        <v>19</v>
      </c>
    </row>
    <row r="65">
      <c r="B65" s="368">
        <f t="shared" si="21"/>
        <v>27</v>
      </c>
    </row>
  </sheetData>
  <conditionalFormatting sqref="AF1:AF1000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AO37:AR41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  <tableParts count="3">
    <tablePart r:id="rId5"/>
    <tablePart r:id="rId6"/>
    <tablePart r:id="rId7"/>
  </tableParts>
</worksheet>
</file>